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vr-data\home$\modishan\Documents\Administration Projects Specifications\20920 Strategic documents\IDP Process Plan\"/>
    </mc:Choice>
  </mc:AlternateContent>
  <bookViews>
    <workbookView xWindow="0" yWindow="0" windowWidth="20490" windowHeight="6855" activeTab="1"/>
  </bookViews>
  <sheets>
    <sheet name="Cover Page" sheetId="16" r:id="rId1"/>
    <sheet name="Executive Summary" sheetId="10" r:id="rId2"/>
    <sheet name="Summary" sheetId="9" r:id="rId3"/>
    <sheet name="Opex per dept" sheetId="11" state="hidden" r:id="rId4"/>
    <sheet name="Revenue per source" sheetId="17" r:id="rId5"/>
    <sheet name="All Dept" sheetId="1" r:id="rId6"/>
    <sheet name="Sheet3" sheetId="18" r:id="rId7"/>
    <sheet name="Sheet4" sheetId="19" r:id="rId8"/>
    <sheet name="Corporate Services" sheetId="2" r:id="rId9"/>
    <sheet name="LEDP" sheetId="3" r:id="rId10"/>
    <sheet name="MM" sheetId="4" r:id="rId11"/>
    <sheet name="mayors" sheetId="5" r:id="rId12"/>
    <sheet name="B&amp;T" sheetId="6" r:id="rId13"/>
    <sheet name="Community" sheetId="7" r:id="rId14"/>
    <sheet name="Technical" sheetId="8" r:id="rId15"/>
    <sheet name="Sheet1" sheetId="14" state="hidden" r:id="rId16"/>
    <sheet name="Sheet2" sheetId="15" state="hidden" r:id="rId17"/>
    <sheet name="Sheet8" sheetId="23" r:id="rId18"/>
    <sheet name="Reconcilliation" sheetId="24" r:id="rId19"/>
    <sheet name="filtered Danielle " sheetId="22" r:id="rId20"/>
    <sheet name="Unfilterd" sheetId="21" r:id="rId21"/>
  </sheets>
  <externalReferences>
    <externalReference r:id="rId22"/>
    <externalReference r:id="rId23"/>
    <externalReference r:id="rId24"/>
  </externalReferences>
  <definedNames>
    <definedName name="_xlnm._FilterDatabase" localSheetId="5" hidden="1">'All Dept'!$A$1:$AA$28323</definedName>
    <definedName name="_xlnm._FilterDatabase" localSheetId="12" hidden="1">'B&amp;T'!$A$1:$M$515</definedName>
    <definedName name="_xlnm._FilterDatabase" localSheetId="13" hidden="1">Community!$A$1:$M$542</definedName>
    <definedName name="_xlnm._FilterDatabase" localSheetId="8" hidden="1">'Corporate Services'!$A$1:$M$411</definedName>
    <definedName name="_xlnm._FilterDatabase" localSheetId="19" hidden="1">'filtered Danielle '!$A$1:$P$3059</definedName>
    <definedName name="_xlnm._FilterDatabase" localSheetId="9" hidden="1">LEDP!$A$1:$M$301</definedName>
    <definedName name="_xlnm._FilterDatabase" localSheetId="11" hidden="1">mayors!$A$1:$M$329</definedName>
    <definedName name="_xlnm._FilterDatabase" localSheetId="10" hidden="1">MM!$A$1:$M$368</definedName>
    <definedName name="_xlnm._FilterDatabase" localSheetId="15" hidden="1">Sheet1!$A$1:$H$1945</definedName>
    <definedName name="_xlnm._FilterDatabase" localSheetId="14" hidden="1">Technical!$A$1:$M$565</definedName>
    <definedName name="_xlnm._FilterDatabase" localSheetId="20" hidden="1">Unfilterd!$A$1:$N$3059</definedName>
    <definedName name="bud_321">Sheet8!$A$1:$Q$994</definedName>
    <definedName name="fin">Sheet1!$A:$F</definedName>
    <definedName name="s">Sheet2!$A:$C</definedName>
  </definedNames>
  <calcPr calcId="152511"/>
  <pivotCaches>
    <pivotCache cacheId="0" r:id="rId25"/>
  </pivotCaches>
</workbook>
</file>

<file path=xl/calcChain.xml><?xml version="1.0" encoding="utf-8"?>
<calcChain xmlns="http://schemas.openxmlformats.org/spreadsheetml/2006/main">
  <c r="P519" i="1" l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518" i="1"/>
  <c r="O820" i="1"/>
  <c r="B319" i="1"/>
  <c r="O1401" i="1"/>
  <c r="P3" i="22"/>
  <c r="P4" i="22"/>
  <c r="P5" i="22"/>
  <c r="P6" i="22"/>
  <c r="P7" i="22"/>
  <c r="P8" i="22"/>
  <c r="P9" i="22"/>
  <c r="P10" i="22"/>
  <c r="P11" i="22"/>
  <c r="P12" i="22"/>
  <c r="P13" i="22"/>
  <c r="P14" i="22"/>
  <c r="P15" i="22"/>
  <c r="P16" i="22"/>
  <c r="P17" i="22"/>
  <c r="P18" i="22"/>
  <c r="P19" i="22"/>
  <c r="P20" i="22"/>
  <c r="P21" i="22"/>
  <c r="P22" i="22"/>
  <c r="P23" i="22"/>
  <c r="P24" i="22"/>
  <c r="P25" i="22"/>
  <c r="P26" i="22"/>
  <c r="P27" i="22"/>
  <c r="P28" i="22"/>
  <c r="P29" i="22"/>
  <c r="P30" i="22"/>
  <c r="P31" i="22"/>
  <c r="P32" i="22"/>
  <c r="P33" i="22"/>
  <c r="P34" i="22"/>
  <c r="P35" i="22"/>
  <c r="P36" i="22"/>
  <c r="P37" i="22"/>
  <c r="P38" i="22"/>
  <c r="P39" i="22"/>
  <c r="P40" i="22"/>
  <c r="P41" i="22"/>
  <c r="P42" i="22"/>
  <c r="P43" i="22"/>
  <c r="P44" i="22"/>
  <c r="P45" i="22"/>
  <c r="P46" i="22"/>
  <c r="P47" i="22"/>
  <c r="P48" i="22"/>
  <c r="P49" i="22"/>
  <c r="P50" i="22"/>
  <c r="P51" i="22"/>
  <c r="P52" i="22"/>
  <c r="P53" i="22"/>
  <c r="P54" i="22"/>
  <c r="P55" i="22"/>
  <c r="P56" i="22"/>
  <c r="P57" i="22"/>
  <c r="P58" i="22"/>
  <c r="P59" i="22"/>
  <c r="P60" i="22"/>
  <c r="P61" i="22"/>
  <c r="P62" i="22"/>
  <c r="P63" i="22"/>
  <c r="P64" i="22"/>
  <c r="P65" i="22"/>
  <c r="P66" i="22"/>
  <c r="P67" i="22"/>
  <c r="P68" i="22"/>
  <c r="P69" i="22"/>
  <c r="P70" i="22"/>
  <c r="P71" i="22"/>
  <c r="P72" i="22"/>
  <c r="P73" i="22"/>
  <c r="P74" i="22"/>
  <c r="P75" i="22"/>
  <c r="P76" i="22"/>
  <c r="P77" i="22"/>
  <c r="P78" i="22"/>
  <c r="P79" i="22"/>
  <c r="P80" i="22"/>
  <c r="P81" i="22"/>
  <c r="P82" i="22"/>
  <c r="P83" i="22"/>
  <c r="P84" i="22"/>
  <c r="P85" i="22"/>
  <c r="P86" i="22"/>
  <c r="P87" i="22"/>
  <c r="P88" i="22"/>
  <c r="P89" i="22"/>
  <c r="P90" i="22"/>
  <c r="P91" i="22"/>
  <c r="P92" i="22"/>
  <c r="P93" i="22"/>
  <c r="P94" i="22"/>
  <c r="P95" i="22"/>
  <c r="P96" i="22"/>
  <c r="P97" i="22"/>
  <c r="P98" i="22"/>
  <c r="P99" i="22"/>
  <c r="P100" i="22"/>
  <c r="P101" i="22"/>
  <c r="P102" i="22"/>
  <c r="P103" i="22"/>
  <c r="P104" i="22"/>
  <c r="P105" i="22"/>
  <c r="P106" i="22"/>
  <c r="P107" i="22"/>
  <c r="P108" i="22"/>
  <c r="P109" i="22"/>
  <c r="P110" i="22"/>
  <c r="P111" i="22"/>
  <c r="P112" i="22"/>
  <c r="P113" i="22"/>
  <c r="P114" i="22"/>
  <c r="P115" i="22"/>
  <c r="P116" i="22"/>
  <c r="P117" i="22"/>
  <c r="P118" i="22"/>
  <c r="P119" i="22"/>
  <c r="P120" i="22"/>
  <c r="P121" i="22"/>
  <c r="P122" i="22"/>
  <c r="P123" i="22"/>
  <c r="P124" i="22"/>
  <c r="P125" i="22"/>
  <c r="P126" i="22"/>
  <c r="P127" i="22"/>
  <c r="P128" i="22"/>
  <c r="P129" i="22"/>
  <c r="P130" i="22"/>
  <c r="P131" i="22"/>
  <c r="P132" i="22"/>
  <c r="P133" i="22"/>
  <c r="P134" i="22"/>
  <c r="P135" i="22"/>
  <c r="P136" i="22"/>
  <c r="P137" i="22"/>
  <c r="P138" i="22"/>
  <c r="P139" i="22"/>
  <c r="P140" i="22"/>
  <c r="P141" i="22"/>
  <c r="P142" i="22"/>
  <c r="P143" i="22"/>
  <c r="P144" i="22"/>
  <c r="P145" i="22"/>
  <c r="P146" i="22"/>
  <c r="P147" i="22"/>
  <c r="P148" i="22"/>
  <c r="P149" i="22"/>
  <c r="P150" i="22"/>
  <c r="P151" i="22"/>
  <c r="P152" i="22"/>
  <c r="P153" i="22"/>
  <c r="P154" i="22"/>
  <c r="P155" i="22"/>
  <c r="P156" i="22"/>
  <c r="P157" i="22"/>
  <c r="P158" i="22"/>
  <c r="P159" i="22"/>
  <c r="P160" i="22"/>
  <c r="P161" i="22"/>
  <c r="P162" i="22"/>
  <c r="P163" i="22"/>
  <c r="P164" i="22"/>
  <c r="P165" i="22"/>
  <c r="P166" i="22"/>
  <c r="P167" i="22"/>
  <c r="P168" i="22"/>
  <c r="P169" i="22"/>
  <c r="P170" i="22"/>
  <c r="P171" i="22"/>
  <c r="P172" i="22"/>
  <c r="P173" i="22"/>
  <c r="P174" i="22"/>
  <c r="P175" i="22"/>
  <c r="P176" i="22"/>
  <c r="P177" i="22"/>
  <c r="P178" i="22"/>
  <c r="P179" i="22"/>
  <c r="P180" i="22"/>
  <c r="P181" i="22"/>
  <c r="P182" i="22"/>
  <c r="P183" i="22"/>
  <c r="P184" i="22"/>
  <c r="P185" i="22"/>
  <c r="P186" i="22"/>
  <c r="P187" i="22"/>
  <c r="P188" i="22"/>
  <c r="P189" i="22"/>
  <c r="P190" i="22"/>
  <c r="P191" i="22"/>
  <c r="P192" i="22"/>
  <c r="P193" i="22"/>
  <c r="P194" i="22"/>
  <c r="P195" i="22"/>
  <c r="P196" i="22"/>
  <c r="P197" i="22"/>
  <c r="P198" i="22"/>
  <c r="P199" i="22"/>
  <c r="P200" i="22"/>
  <c r="P201" i="22"/>
  <c r="P202" i="22"/>
  <c r="P203" i="22"/>
  <c r="P204" i="22"/>
  <c r="P205" i="22"/>
  <c r="P206" i="22"/>
  <c r="P207" i="22"/>
  <c r="P208" i="22"/>
  <c r="P209" i="22"/>
  <c r="P210" i="22"/>
  <c r="P211" i="22"/>
  <c r="P212" i="22"/>
  <c r="P213" i="22"/>
  <c r="P214" i="22"/>
  <c r="P215" i="22"/>
  <c r="P216" i="22"/>
  <c r="P217" i="22"/>
  <c r="P218" i="22"/>
  <c r="P219" i="22"/>
  <c r="P220" i="22"/>
  <c r="P221" i="22"/>
  <c r="P222" i="22"/>
  <c r="P223" i="22"/>
  <c r="P224" i="22"/>
  <c r="P225" i="22"/>
  <c r="P226" i="22"/>
  <c r="P227" i="22"/>
  <c r="P228" i="22"/>
  <c r="P229" i="22"/>
  <c r="P230" i="22"/>
  <c r="P231" i="22"/>
  <c r="P232" i="22"/>
  <c r="P233" i="22"/>
  <c r="P234" i="22"/>
  <c r="P235" i="22"/>
  <c r="P236" i="22"/>
  <c r="P237" i="22"/>
  <c r="P238" i="22"/>
  <c r="P239" i="22"/>
  <c r="P240" i="22"/>
  <c r="P241" i="22"/>
  <c r="P242" i="22"/>
  <c r="P243" i="22"/>
  <c r="P244" i="22"/>
  <c r="P245" i="22"/>
  <c r="P246" i="22"/>
  <c r="P247" i="22"/>
  <c r="P248" i="22"/>
  <c r="P249" i="22"/>
  <c r="P250" i="22"/>
  <c r="P251" i="22"/>
  <c r="P252" i="22"/>
  <c r="P253" i="22"/>
  <c r="P254" i="22"/>
  <c r="P255" i="22"/>
  <c r="P256" i="22"/>
  <c r="P257" i="22"/>
  <c r="P258" i="22"/>
  <c r="P259" i="22"/>
  <c r="P260" i="22"/>
  <c r="P261" i="22"/>
  <c r="P262" i="22"/>
  <c r="P263" i="22"/>
  <c r="P264" i="22"/>
  <c r="P265" i="22"/>
  <c r="P266" i="22"/>
  <c r="P267" i="22"/>
  <c r="P268" i="22"/>
  <c r="P269" i="22"/>
  <c r="P270" i="22"/>
  <c r="P271" i="22"/>
  <c r="P272" i="22"/>
  <c r="P273" i="22"/>
  <c r="P274" i="22"/>
  <c r="P275" i="22"/>
  <c r="P276" i="22"/>
  <c r="P277" i="22"/>
  <c r="P278" i="22"/>
  <c r="P279" i="22"/>
  <c r="P280" i="22"/>
  <c r="P281" i="22"/>
  <c r="P282" i="22"/>
  <c r="P283" i="22"/>
  <c r="P284" i="22"/>
  <c r="P285" i="22"/>
  <c r="P286" i="22"/>
  <c r="P287" i="22"/>
  <c r="P288" i="22"/>
  <c r="P289" i="22"/>
  <c r="P290" i="22"/>
  <c r="P291" i="22"/>
  <c r="P292" i="22"/>
  <c r="P293" i="22"/>
  <c r="P294" i="22"/>
  <c r="P295" i="22"/>
  <c r="P296" i="22"/>
  <c r="P297" i="22"/>
  <c r="P298" i="22"/>
  <c r="P299" i="22"/>
  <c r="P300" i="22"/>
  <c r="P301" i="22"/>
  <c r="P302" i="22"/>
  <c r="P303" i="22"/>
  <c r="P304" i="22"/>
  <c r="P305" i="22"/>
  <c r="P306" i="22"/>
  <c r="P307" i="22"/>
  <c r="P308" i="22"/>
  <c r="P309" i="22"/>
  <c r="P310" i="22"/>
  <c r="P311" i="22"/>
  <c r="P312" i="22"/>
  <c r="P313" i="22"/>
  <c r="P314" i="22"/>
  <c r="P315" i="22"/>
  <c r="P316" i="22"/>
  <c r="P317" i="22"/>
  <c r="P318" i="22"/>
  <c r="P319" i="22"/>
  <c r="P320" i="22"/>
  <c r="P321" i="22"/>
  <c r="P322" i="22"/>
  <c r="P323" i="22"/>
  <c r="P324" i="22"/>
  <c r="P325" i="22"/>
  <c r="P326" i="22"/>
  <c r="P327" i="22"/>
  <c r="P328" i="22"/>
  <c r="P329" i="22"/>
  <c r="P330" i="22"/>
  <c r="P331" i="22"/>
  <c r="P332" i="22"/>
  <c r="P333" i="22"/>
  <c r="P334" i="22"/>
  <c r="P335" i="22"/>
  <c r="P336" i="22"/>
  <c r="P337" i="22"/>
  <c r="P338" i="22"/>
  <c r="P339" i="22"/>
  <c r="P340" i="22"/>
  <c r="P341" i="22"/>
  <c r="P342" i="22"/>
  <c r="P343" i="22"/>
  <c r="P344" i="22"/>
  <c r="P345" i="22"/>
  <c r="P346" i="22"/>
  <c r="P347" i="22"/>
  <c r="P348" i="22"/>
  <c r="P349" i="22"/>
  <c r="P350" i="22"/>
  <c r="P351" i="22"/>
  <c r="P352" i="22"/>
  <c r="P353" i="22"/>
  <c r="P354" i="22"/>
  <c r="P355" i="22"/>
  <c r="P356" i="22"/>
  <c r="P357" i="22"/>
  <c r="P358" i="22"/>
  <c r="P359" i="22"/>
  <c r="P360" i="22"/>
  <c r="P361" i="22"/>
  <c r="P362" i="22"/>
  <c r="P363" i="22"/>
  <c r="P364" i="22"/>
  <c r="P365" i="22"/>
  <c r="P366" i="22"/>
  <c r="P367" i="22"/>
  <c r="P368" i="22"/>
  <c r="P369" i="22"/>
  <c r="P370" i="22"/>
  <c r="P371" i="22"/>
  <c r="P372" i="22"/>
  <c r="P373" i="22"/>
  <c r="P374" i="22"/>
  <c r="P375" i="22"/>
  <c r="P376" i="22"/>
  <c r="P377" i="22"/>
  <c r="P378" i="22"/>
  <c r="P379" i="22"/>
  <c r="P380" i="22"/>
  <c r="P381" i="22"/>
  <c r="P382" i="22"/>
  <c r="P383" i="22"/>
  <c r="P384" i="22"/>
  <c r="P385" i="22"/>
  <c r="P386" i="22"/>
  <c r="P387" i="22"/>
  <c r="P388" i="22"/>
  <c r="P389" i="22"/>
  <c r="P390" i="22"/>
  <c r="P391" i="22"/>
  <c r="P392" i="22"/>
  <c r="P393" i="22"/>
  <c r="P394" i="22"/>
  <c r="P395" i="22"/>
  <c r="P396" i="22"/>
  <c r="P397" i="22"/>
  <c r="P398" i="22"/>
  <c r="P399" i="22"/>
  <c r="P400" i="22"/>
  <c r="P401" i="22"/>
  <c r="P402" i="22"/>
  <c r="P403" i="22"/>
  <c r="P404" i="22"/>
  <c r="P405" i="22"/>
  <c r="P406" i="22"/>
  <c r="P407" i="22"/>
  <c r="P408" i="22"/>
  <c r="P409" i="22"/>
  <c r="P410" i="22"/>
  <c r="P411" i="22"/>
  <c r="P412" i="22"/>
  <c r="P413" i="22"/>
  <c r="P414" i="22"/>
  <c r="P415" i="22"/>
  <c r="P416" i="22"/>
  <c r="P417" i="22"/>
  <c r="P418" i="22"/>
  <c r="P419" i="22"/>
  <c r="P420" i="22"/>
  <c r="P421" i="22"/>
  <c r="P422" i="22"/>
  <c r="P423" i="22"/>
  <c r="P424" i="22"/>
  <c r="P425" i="22"/>
  <c r="P426" i="22"/>
  <c r="P427" i="22"/>
  <c r="P428" i="22"/>
  <c r="P429" i="22"/>
  <c r="P430" i="22"/>
  <c r="P431" i="22"/>
  <c r="P432" i="22"/>
  <c r="P433" i="22"/>
  <c r="P434" i="22"/>
  <c r="P435" i="22"/>
  <c r="P436" i="22"/>
  <c r="P437" i="22"/>
  <c r="P438" i="22"/>
  <c r="P439" i="22"/>
  <c r="P440" i="22"/>
  <c r="P441" i="22"/>
  <c r="P442" i="22"/>
  <c r="P443" i="22"/>
  <c r="P444" i="22"/>
  <c r="P445" i="22"/>
  <c r="P446" i="22"/>
  <c r="P447" i="22"/>
  <c r="P448" i="22"/>
  <c r="P449" i="22"/>
  <c r="P450" i="22"/>
  <c r="P451" i="22"/>
  <c r="P452" i="22"/>
  <c r="P453" i="22"/>
  <c r="P454" i="22"/>
  <c r="P455" i="22"/>
  <c r="P456" i="22"/>
  <c r="P457" i="22"/>
  <c r="P458" i="22"/>
  <c r="P459" i="22"/>
  <c r="P460" i="22"/>
  <c r="P461" i="22"/>
  <c r="P462" i="22"/>
  <c r="P463" i="22"/>
  <c r="P464" i="22"/>
  <c r="P465" i="22"/>
  <c r="P466" i="22"/>
  <c r="P467" i="22"/>
  <c r="P468" i="22"/>
  <c r="P469" i="22"/>
  <c r="P470" i="22"/>
  <c r="P471" i="22"/>
  <c r="P472" i="22"/>
  <c r="P473" i="22"/>
  <c r="P474" i="22"/>
  <c r="P475" i="22"/>
  <c r="P476" i="22"/>
  <c r="P477" i="22"/>
  <c r="P478" i="22"/>
  <c r="P479" i="22"/>
  <c r="P480" i="22"/>
  <c r="P481" i="22"/>
  <c r="P482" i="22"/>
  <c r="P483" i="22"/>
  <c r="P484" i="22"/>
  <c r="P485" i="22"/>
  <c r="P486" i="22"/>
  <c r="P487" i="22"/>
  <c r="P488" i="22"/>
  <c r="P489" i="22"/>
  <c r="P490" i="22"/>
  <c r="P491" i="22"/>
  <c r="P492" i="22"/>
  <c r="P493" i="22"/>
  <c r="P494" i="22"/>
  <c r="P495" i="22"/>
  <c r="P496" i="22"/>
  <c r="P497" i="22"/>
  <c r="P498" i="22"/>
  <c r="P499" i="22"/>
  <c r="P500" i="22"/>
  <c r="P501" i="22"/>
  <c r="P502" i="22"/>
  <c r="P503" i="22"/>
  <c r="P504" i="22"/>
  <c r="P505" i="22"/>
  <c r="P506" i="22"/>
  <c r="P507" i="22"/>
  <c r="P508" i="22"/>
  <c r="P509" i="22"/>
  <c r="P510" i="22"/>
  <c r="P511" i="22"/>
  <c r="P512" i="22"/>
  <c r="P513" i="22"/>
  <c r="P514" i="22"/>
  <c r="P515" i="22"/>
  <c r="P516" i="22"/>
  <c r="P517" i="22"/>
  <c r="P518" i="22"/>
  <c r="P519" i="22"/>
  <c r="P520" i="22"/>
  <c r="P521" i="22"/>
  <c r="P522" i="22"/>
  <c r="P523" i="22"/>
  <c r="P524" i="22"/>
  <c r="P525" i="22"/>
  <c r="P526" i="22"/>
  <c r="P527" i="22"/>
  <c r="P528" i="22"/>
  <c r="P529" i="22"/>
  <c r="P530" i="22"/>
  <c r="P531" i="22"/>
  <c r="P532" i="22"/>
  <c r="P533" i="22"/>
  <c r="P534" i="22"/>
  <c r="P535" i="22"/>
  <c r="P536" i="22"/>
  <c r="P537" i="22"/>
  <c r="P538" i="22"/>
  <c r="P539" i="22"/>
  <c r="P540" i="22"/>
  <c r="P541" i="22"/>
  <c r="P542" i="22"/>
  <c r="P543" i="22"/>
  <c r="P544" i="22"/>
  <c r="P545" i="22"/>
  <c r="P546" i="22"/>
  <c r="P547" i="22"/>
  <c r="P548" i="22"/>
  <c r="P549" i="22"/>
  <c r="P550" i="22"/>
  <c r="P551" i="22"/>
  <c r="P552" i="22"/>
  <c r="P553" i="22"/>
  <c r="P554" i="22"/>
  <c r="P555" i="22"/>
  <c r="P556" i="22"/>
  <c r="P557" i="22"/>
  <c r="P558" i="22"/>
  <c r="P559" i="22"/>
  <c r="P560" i="22"/>
  <c r="P561" i="22"/>
  <c r="P562" i="22"/>
  <c r="P563" i="22"/>
  <c r="P564" i="22"/>
  <c r="P565" i="22"/>
  <c r="P566" i="22"/>
  <c r="P567" i="22"/>
  <c r="P568" i="22"/>
  <c r="P569" i="22"/>
  <c r="P570" i="22"/>
  <c r="P571" i="22"/>
  <c r="P572" i="22"/>
  <c r="P573" i="22"/>
  <c r="P574" i="22"/>
  <c r="P575" i="22"/>
  <c r="P576" i="22"/>
  <c r="P577" i="22"/>
  <c r="P578" i="22"/>
  <c r="P579" i="22"/>
  <c r="P580" i="22"/>
  <c r="P581" i="22"/>
  <c r="P582" i="22"/>
  <c r="P583" i="22"/>
  <c r="P585" i="22"/>
  <c r="P586" i="22"/>
  <c r="P587" i="22"/>
  <c r="P588" i="22"/>
  <c r="P589" i="22"/>
  <c r="P590" i="22"/>
  <c r="P591" i="22"/>
  <c r="P592" i="22"/>
  <c r="P593" i="22"/>
  <c r="P594" i="22"/>
  <c r="P595" i="22"/>
  <c r="P596" i="22"/>
  <c r="P597" i="22"/>
  <c r="P598" i="22"/>
  <c r="P599" i="22"/>
  <c r="P600" i="22"/>
  <c r="P601" i="22"/>
  <c r="P602" i="22"/>
  <c r="P603" i="22"/>
  <c r="P604" i="22"/>
  <c r="P605" i="22"/>
  <c r="P606" i="22"/>
  <c r="P607" i="22"/>
  <c r="P608" i="22"/>
  <c r="P609" i="22"/>
  <c r="P610" i="22"/>
  <c r="P611" i="22"/>
  <c r="P612" i="22"/>
  <c r="P613" i="22"/>
  <c r="P614" i="22"/>
  <c r="P615" i="22"/>
  <c r="P616" i="22"/>
  <c r="P617" i="22"/>
  <c r="P618" i="22"/>
  <c r="P619" i="22"/>
  <c r="P620" i="22"/>
  <c r="P621" i="22"/>
  <c r="P622" i="22"/>
  <c r="P623" i="22"/>
  <c r="P624" i="22"/>
  <c r="P625" i="22"/>
  <c r="P626" i="22"/>
  <c r="P627" i="22"/>
  <c r="P628" i="22"/>
  <c r="P629" i="22"/>
  <c r="P630" i="22"/>
  <c r="P631" i="22"/>
  <c r="P632" i="22"/>
  <c r="P633" i="22"/>
  <c r="P634" i="22"/>
  <c r="P635" i="22"/>
  <c r="P636" i="22"/>
  <c r="P637" i="22"/>
  <c r="P638" i="22"/>
  <c r="P639" i="22"/>
  <c r="P640" i="22"/>
  <c r="P641" i="22"/>
  <c r="P642" i="22"/>
  <c r="P643" i="22"/>
  <c r="P644" i="22"/>
  <c r="P645" i="22"/>
  <c r="P646" i="22"/>
  <c r="P647" i="22"/>
  <c r="P648" i="22"/>
  <c r="P649" i="22"/>
  <c r="P650" i="22"/>
  <c r="P651" i="22"/>
  <c r="P652" i="22"/>
  <c r="P653" i="22"/>
  <c r="P654" i="22"/>
  <c r="P655" i="22"/>
  <c r="P656" i="22"/>
  <c r="P657" i="22"/>
  <c r="P658" i="22"/>
  <c r="P659" i="22"/>
  <c r="P660" i="22"/>
  <c r="P661" i="22"/>
  <c r="P662" i="22"/>
  <c r="P663" i="22"/>
  <c r="P664" i="22"/>
  <c r="P665" i="22"/>
  <c r="P666" i="22"/>
  <c r="P667" i="22"/>
  <c r="P668" i="22"/>
  <c r="P669" i="22"/>
  <c r="P670" i="22"/>
  <c r="P671" i="22"/>
  <c r="P672" i="22"/>
  <c r="P673" i="22"/>
  <c r="P674" i="22"/>
  <c r="P675" i="22"/>
  <c r="P676" i="22"/>
  <c r="P677" i="22"/>
  <c r="P678" i="22"/>
  <c r="P679" i="22"/>
  <c r="P680" i="22"/>
  <c r="P681" i="22"/>
  <c r="P682" i="22"/>
  <c r="P683" i="22"/>
  <c r="P684" i="22"/>
  <c r="P685" i="22"/>
  <c r="P686" i="22"/>
  <c r="P687" i="22"/>
  <c r="P688" i="22"/>
  <c r="P689" i="22"/>
  <c r="P690" i="22"/>
  <c r="P691" i="22"/>
  <c r="P692" i="22"/>
  <c r="P693" i="22"/>
  <c r="P694" i="22"/>
  <c r="P695" i="22"/>
  <c r="P696" i="22"/>
  <c r="P697" i="22"/>
  <c r="P698" i="22"/>
  <c r="P699" i="22"/>
  <c r="P700" i="22"/>
  <c r="P701" i="22"/>
  <c r="P702" i="22"/>
  <c r="P703" i="22"/>
  <c r="P704" i="22"/>
  <c r="P705" i="22"/>
  <c r="P706" i="22"/>
  <c r="P707" i="22"/>
  <c r="P708" i="22"/>
  <c r="P709" i="22"/>
  <c r="P710" i="22"/>
  <c r="P711" i="22"/>
  <c r="P712" i="22"/>
  <c r="P713" i="22"/>
  <c r="P714" i="22"/>
  <c r="P715" i="22"/>
  <c r="P716" i="22"/>
  <c r="P717" i="22"/>
  <c r="P718" i="22"/>
  <c r="P719" i="22"/>
  <c r="P720" i="22"/>
  <c r="P721" i="22"/>
  <c r="P722" i="22"/>
  <c r="P723" i="22"/>
  <c r="P724" i="22"/>
  <c r="P725" i="22"/>
  <c r="P726" i="22"/>
  <c r="P727" i="22"/>
  <c r="P728" i="22"/>
  <c r="P729" i="22"/>
  <c r="P730" i="22"/>
  <c r="P731" i="22"/>
  <c r="P732" i="22"/>
  <c r="P733" i="22"/>
  <c r="P734" i="22"/>
  <c r="P735" i="22"/>
  <c r="P736" i="22"/>
  <c r="P737" i="22"/>
  <c r="P738" i="22"/>
  <c r="P739" i="22"/>
  <c r="P740" i="22"/>
  <c r="P741" i="22"/>
  <c r="P742" i="22"/>
  <c r="P743" i="22"/>
  <c r="P744" i="22"/>
  <c r="P745" i="22"/>
  <c r="P746" i="22"/>
  <c r="P747" i="22"/>
  <c r="P748" i="22"/>
  <c r="P749" i="22"/>
  <c r="P750" i="22"/>
  <c r="P751" i="22"/>
  <c r="P752" i="22"/>
  <c r="P753" i="22"/>
  <c r="P754" i="22"/>
  <c r="P755" i="22"/>
  <c r="P756" i="22"/>
  <c r="P757" i="22"/>
  <c r="P758" i="22"/>
  <c r="P759" i="22"/>
  <c r="P760" i="22"/>
  <c r="P761" i="22"/>
  <c r="P762" i="22"/>
  <c r="P763" i="22"/>
  <c r="P764" i="22"/>
  <c r="P765" i="22"/>
  <c r="P766" i="22"/>
  <c r="P767" i="22"/>
  <c r="P768" i="22"/>
  <c r="P769" i="22"/>
  <c r="P770" i="22"/>
  <c r="P771" i="22"/>
  <c r="P772" i="22"/>
  <c r="P773" i="22"/>
  <c r="P774" i="22"/>
  <c r="P775" i="22"/>
  <c r="P776" i="22"/>
  <c r="P777" i="22"/>
  <c r="P778" i="22"/>
  <c r="P779" i="22"/>
  <c r="P780" i="22"/>
  <c r="P781" i="22"/>
  <c r="P782" i="22"/>
  <c r="P783" i="22"/>
  <c r="P784" i="22"/>
  <c r="P785" i="22"/>
  <c r="P786" i="22"/>
  <c r="P787" i="22"/>
  <c r="P788" i="22"/>
  <c r="P789" i="22"/>
  <c r="P790" i="22"/>
  <c r="P791" i="22"/>
  <c r="P792" i="22"/>
  <c r="P793" i="22"/>
  <c r="P794" i="22"/>
  <c r="P795" i="22"/>
  <c r="P796" i="22"/>
  <c r="P797" i="22"/>
  <c r="P798" i="22"/>
  <c r="P799" i="22"/>
  <c r="P800" i="22"/>
  <c r="P801" i="22"/>
  <c r="P802" i="22"/>
  <c r="P803" i="22"/>
  <c r="P804" i="22"/>
  <c r="P805" i="22"/>
  <c r="P806" i="22"/>
  <c r="P807" i="22"/>
  <c r="P808" i="22"/>
  <c r="P809" i="22"/>
  <c r="P810" i="22"/>
  <c r="P811" i="22"/>
  <c r="P812" i="22"/>
  <c r="P813" i="22"/>
  <c r="P814" i="22"/>
  <c r="P815" i="22"/>
  <c r="P816" i="22"/>
  <c r="P817" i="22"/>
  <c r="P818" i="22"/>
  <c r="P819" i="22"/>
  <c r="P820" i="22"/>
  <c r="P821" i="22"/>
  <c r="P822" i="22"/>
  <c r="P823" i="22"/>
  <c r="P824" i="22"/>
  <c r="P825" i="22"/>
  <c r="P826" i="22"/>
  <c r="P827" i="22"/>
  <c r="P828" i="22"/>
  <c r="P829" i="22"/>
  <c r="P830" i="22"/>
  <c r="P831" i="22"/>
  <c r="P832" i="22"/>
  <c r="P833" i="22"/>
  <c r="P834" i="22"/>
  <c r="P835" i="22"/>
  <c r="P836" i="22"/>
  <c r="P837" i="22"/>
  <c r="P838" i="22"/>
  <c r="P839" i="22"/>
  <c r="P840" i="22"/>
  <c r="P841" i="22"/>
  <c r="P842" i="22"/>
  <c r="P843" i="22"/>
  <c r="P844" i="22"/>
  <c r="P845" i="22"/>
  <c r="P846" i="22"/>
  <c r="P847" i="22"/>
  <c r="P848" i="22"/>
  <c r="P849" i="22"/>
  <c r="P850" i="22"/>
  <c r="P851" i="22"/>
  <c r="P852" i="22"/>
  <c r="P853" i="22"/>
  <c r="P854" i="22"/>
  <c r="P855" i="22"/>
  <c r="P856" i="22"/>
  <c r="P857" i="22"/>
  <c r="P858" i="22"/>
  <c r="P859" i="22"/>
  <c r="P860" i="22"/>
  <c r="P861" i="22"/>
  <c r="P862" i="22"/>
  <c r="P863" i="22"/>
  <c r="P864" i="22"/>
  <c r="P865" i="22"/>
  <c r="P866" i="22"/>
  <c r="P867" i="22"/>
  <c r="P868" i="22"/>
  <c r="P869" i="22"/>
  <c r="P870" i="22"/>
  <c r="P875" i="22"/>
  <c r="P876" i="22"/>
  <c r="P877" i="22"/>
  <c r="P878" i="22"/>
  <c r="P879" i="22"/>
  <c r="P880" i="22"/>
  <c r="P881" i="22"/>
  <c r="P882" i="22"/>
  <c r="P883" i="22"/>
  <c r="P884" i="22"/>
  <c r="P885" i="22"/>
  <c r="P886" i="22"/>
  <c r="P887" i="22"/>
  <c r="P888" i="22"/>
  <c r="P889" i="22"/>
  <c r="P890" i="22"/>
  <c r="P891" i="22"/>
  <c r="P892" i="22"/>
  <c r="P893" i="22"/>
  <c r="P894" i="22"/>
  <c r="P895" i="22"/>
  <c r="P896" i="22"/>
  <c r="P897" i="22"/>
  <c r="P898" i="22"/>
  <c r="P899" i="22"/>
  <c r="P900" i="22"/>
  <c r="P901" i="22"/>
  <c r="P902" i="22"/>
  <c r="P903" i="22"/>
  <c r="P904" i="22"/>
  <c r="P905" i="22"/>
  <c r="P906" i="22"/>
  <c r="P907" i="22"/>
  <c r="P908" i="22"/>
  <c r="P909" i="22"/>
  <c r="P910" i="22"/>
  <c r="P911" i="22"/>
  <c r="P912" i="22"/>
  <c r="P913" i="22"/>
  <c r="P914" i="22"/>
  <c r="P915" i="22"/>
  <c r="P916" i="22"/>
  <c r="P917" i="22"/>
  <c r="P918" i="22"/>
  <c r="P919" i="22"/>
  <c r="P920" i="22"/>
  <c r="P921" i="22"/>
  <c r="P922" i="22"/>
  <c r="P923" i="22"/>
  <c r="P924" i="22"/>
  <c r="P925" i="22"/>
  <c r="P926" i="22"/>
  <c r="P927" i="22"/>
  <c r="P928" i="22"/>
  <c r="P929" i="22"/>
  <c r="P930" i="22"/>
  <c r="P931" i="22"/>
  <c r="P932" i="22"/>
  <c r="P933" i="22"/>
  <c r="P934" i="22"/>
  <c r="P935" i="22"/>
  <c r="P936" i="22"/>
  <c r="P937" i="22"/>
  <c r="P938" i="22"/>
  <c r="P939" i="22"/>
  <c r="P940" i="22"/>
  <c r="P941" i="22"/>
  <c r="P942" i="22"/>
  <c r="P943" i="22"/>
  <c r="P944" i="22"/>
  <c r="P947" i="22"/>
  <c r="P948" i="22"/>
  <c r="P949" i="22"/>
  <c r="P950" i="22"/>
  <c r="P951" i="22"/>
  <c r="P952" i="22"/>
  <c r="P953" i="22"/>
  <c r="P954" i="22"/>
  <c r="P955" i="22"/>
  <c r="P956" i="22"/>
  <c r="P957" i="22"/>
  <c r="P958" i="22"/>
  <c r="P959" i="22"/>
  <c r="P960" i="22"/>
  <c r="P961" i="22"/>
  <c r="P962" i="22"/>
  <c r="P963" i="22"/>
  <c r="P964" i="22"/>
  <c r="P965" i="22"/>
  <c r="P966" i="22"/>
  <c r="P967" i="22"/>
  <c r="P968" i="22"/>
  <c r="P969" i="22"/>
  <c r="P970" i="22"/>
  <c r="P971" i="22"/>
  <c r="P972" i="22"/>
  <c r="P973" i="22"/>
  <c r="P974" i="22"/>
  <c r="P975" i="22"/>
  <c r="P976" i="22"/>
  <c r="P977" i="22"/>
  <c r="P978" i="22"/>
  <c r="P979" i="22"/>
  <c r="P980" i="22"/>
  <c r="P981" i="22"/>
  <c r="P982" i="22"/>
  <c r="P983" i="22"/>
  <c r="P984" i="22"/>
  <c r="P985" i="22"/>
  <c r="P986" i="22"/>
  <c r="P987" i="22"/>
  <c r="P988" i="22"/>
  <c r="P989" i="22"/>
  <c r="P990" i="22"/>
  <c r="P991" i="22"/>
  <c r="P992" i="22"/>
  <c r="P993" i="22"/>
  <c r="P994" i="22"/>
  <c r="P995" i="22"/>
  <c r="P996" i="22"/>
  <c r="P2" i="22"/>
  <c r="O3" i="22"/>
  <c r="O4" i="22"/>
  <c r="O5" i="22"/>
  <c r="O6" i="22"/>
  <c r="O7" i="22"/>
  <c r="O8" i="22"/>
  <c r="O9" i="22"/>
  <c r="O10" i="22"/>
  <c r="O11" i="22"/>
  <c r="O12" i="22"/>
  <c r="O13" i="22"/>
  <c r="O14" i="22"/>
  <c r="O15" i="22"/>
  <c r="O16" i="22"/>
  <c r="O17" i="22"/>
  <c r="O18" i="22"/>
  <c r="O19" i="22"/>
  <c r="O20" i="22"/>
  <c r="O21" i="22"/>
  <c r="O22" i="22"/>
  <c r="O23" i="22"/>
  <c r="O24" i="22"/>
  <c r="O25" i="22"/>
  <c r="O26" i="22"/>
  <c r="O27" i="22"/>
  <c r="O28" i="22"/>
  <c r="O29" i="22"/>
  <c r="O30" i="22"/>
  <c r="O31" i="22"/>
  <c r="O32" i="22"/>
  <c r="O33" i="22"/>
  <c r="O34" i="22"/>
  <c r="O35" i="22"/>
  <c r="O36" i="22"/>
  <c r="O37" i="22"/>
  <c r="O38" i="22"/>
  <c r="O39" i="22"/>
  <c r="O40" i="22"/>
  <c r="O41" i="22"/>
  <c r="O42" i="22"/>
  <c r="O43" i="22"/>
  <c r="O44" i="22"/>
  <c r="O45" i="22"/>
  <c r="O46" i="22"/>
  <c r="O47" i="22"/>
  <c r="O48" i="22"/>
  <c r="O49" i="22"/>
  <c r="O50" i="22"/>
  <c r="O51" i="22"/>
  <c r="O52" i="22"/>
  <c r="O53" i="22"/>
  <c r="O54" i="22"/>
  <c r="O55" i="22"/>
  <c r="O56" i="22"/>
  <c r="O57" i="22"/>
  <c r="O58" i="22"/>
  <c r="O59" i="22"/>
  <c r="O60" i="22"/>
  <c r="O61" i="22"/>
  <c r="O62" i="22"/>
  <c r="O63" i="22"/>
  <c r="O64" i="22"/>
  <c r="O65" i="22"/>
  <c r="O66" i="22"/>
  <c r="O67" i="22"/>
  <c r="O68" i="22"/>
  <c r="O69" i="22"/>
  <c r="O70" i="22"/>
  <c r="O71" i="22"/>
  <c r="O72" i="22"/>
  <c r="O73" i="22"/>
  <c r="O74" i="22"/>
  <c r="O75" i="22"/>
  <c r="O76" i="22"/>
  <c r="O77" i="22"/>
  <c r="O78" i="22"/>
  <c r="O79" i="22"/>
  <c r="O80" i="22"/>
  <c r="O81" i="22"/>
  <c r="O82" i="22"/>
  <c r="O83" i="22"/>
  <c r="O84" i="22"/>
  <c r="O85" i="22"/>
  <c r="O86" i="22"/>
  <c r="O87" i="22"/>
  <c r="O88" i="22"/>
  <c r="O89" i="22"/>
  <c r="O90" i="22"/>
  <c r="O91" i="22"/>
  <c r="O92" i="22"/>
  <c r="O93" i="22"/>
  <c r="O94" i="22"/>
  <c r="O95" i="22"/>
  <c r="O96" i="22"/>
  <c r="O97" i="22"/>
  <c r="O98" i="22"/>
  <c r="O99" i="22"/>
  <c r="O100" i="22"/>
  <c r="O101" i="22"/>
  <c r="O102" i="22"/>
  <c r="O103" i="22"/>
  <c r="O104" i="22"/>
  <c r="O105" i="22"/>
  <c r="O106" i="22"/>
  <c r="O107" i="22"/>
  <c r="O108" i="22"/>
  <c r="O109" i="22"/>
  <c r="O110" i="22"/>
  <c r="O111" i="22"/>
  <c r="O112" i="22"/>
  <c r="O113" i="22"/>
  <c r="O114" i="22"/>
  <c r="O115" i="22"/>
  <c r="O116" i="22"/>
  <c r="O117" i="22"/>
  <c r="O118" i="22"/>
  <c r="O119" i="22"/>
  <c r="O120" i="22"/>
  <c r="O121" i="22"/>
  <c r="O122" i="22"/>
  <c r="O123" i="22"/>
  <c r="O124" i="22"/>
  <c r="O125" i="22"/>
  <c r="O126" i="22"/>
  <c r="O127" i="22"/>
  <c r="O128" i="22"/>
  <c r="O129" i="22"/>
  <c r="O130" i="22"/>
  <c r="O131" i="22"/>
  <c r="O132" i="22"/>
  <c r="O133" i="22"/>
  <c r="O134" i="22"/>
  <c r="O135" i="22"/>
  <c r="O136" i="22"/>
  <c r="O137" i="22"/>
  <c r="O138" i="22"/>
  <c r="O139" i="22"/>
  <c r="O140" i="22"/>
  <c r="O141" i="22"/>
  <c r="O142" i="22"/>
  <c r="O143" i="22"/>
  <c r="O144" i="22"/>
  <c r="O145" i="22"/>
  <c r="O146" i="22"/>
  <c r="O147" i="22"/>
  <c r="O148" i="22"/>
  <c r="O149" i="22"/>
  <c r="O150" i="22"/>
  <c r="O151" i="22"/>
  <c r="O152" i="22"/>
  <c r="O153" i="22"/>
  <c r="O154" i="22"/>
  <c r="O155" i="22"/>
  <c r="O156" i="22"/>
  <c r="O157" i="22"/>
  <c r="O158" i="22"/>
  <c r="O159" i="22"/>
  <c r="O160" i="22"/>
  <c r="O161" i="22"/>
  <c r="O162" i="22"/>
  <c r="O163" i="22"/>
  <c r="O164" i="22"/>
  <c r="O165" i="22"/>
  <c r="O166" i="22"/>
  <c r="O167" i="22"/>
  <c r="O168" i="22"/>
  <c r="O169" i="22"/>
  <c r="O170" i="22"/>
  <c r="O171" i="22"/>
  <c r="O172" i="22"/>
  <c r="O173" i="22"/>
  <c r="O174" i="22"/>
  <c r="O175" i="22"/>
  <c r="O176" i="22"/>
  <c r="O177" i="22"/>
  <c r="O178" i="22"/>
  <c r="O179" i="22"/>
  <c r="O180" i="22"/>
  <c r="O181" i="22"/>
  <c r="O182" i="22"/>
  <c r="O183" i="22"/>
  <c r="O184" i="22"/>
  <c r="O185" i="22"/>
  <c r="O186" i="22"/>
  <c r="O187" i="22"/>
  <c r="O188" i="22"/>
  <c r="O189" i="22"/>
  <c r="O190" i="22"/>
  <c r="O191" i="22"/>
  <c r="O192" i="22"/>
  <c r="O193" i="22"/>
  <c r="O194" i="22"/>
  <c r="O195" i="22"/>
  <c r="O196" i="22"/>
  <c r="O197" i="22"/>
  <c r="O198" i="22"/>
  <c r="O199" i="22"/>
  <c r="O200" i="22"/>
  <c r="O201" i="22"/>
  <c r="O202" i="22"/>
  <c r="O203" i="22"/>
  <c r="O204" i="22"/>
  <c r="O205" i="22"/>
  <c r="O206" i="22"/>
  <c r="O207" i="22"/>
  <c r="O208" i="22"/>
  <c r="O209" i="22"/>
  <c r="O210" i="22"/>
  <c r="O211" i="22"/>
  <c r="O212" i="22"/>
  <c r="O213" i="22"/>
  <c r="O214" i="22"/>
  <c r="O215" i="22"/>
  <c r="O216" i="22"/>
  <c r="O217" i="22"/>
  <c r="O218" i="22"/>
  <c r="O219" i="22"/>
  <c r="O220" i="22"/>
  <c r="O221" i="22"/>
  <c r="O222" i="22"/>
  <c r="O223" i="22"/>
  <c r="O224" i="22"/>
  <c r="O225" i="22"/>
  <c r="O226" i="22"/>
  <c r="O227" i="22"/>
  <c r="O228" i="22"/>
  <c r="O229" i="22"/>
  <c r="O230" i="22"/>
  <c r="O231" i="22"/>
  <c r="O232" i="22"/>
  <c r="O233" i="22"/>
  <c r="O234" i="22"/>
  <c r="O235" i="22"/>
  <c r="O236" i="22"/>
  <c r="O237" i="22"/>
  <c r="O238" i="22"/>
  <c r="O239" i="22"/>
  <c r="O240" i="22"/>
  <c r="O241" i="22"/>
  <c r="O242" i="22"/>
  <c r="O243" i="22"/>
  <c r="O244" i="22"/>
  <c r="O245" i="22"/>
  <c r="O246" i="22"/>
  <c r="O247" i="22"/>
  <c r="O248" i="22"/>
  <c r="O249" i="22"/>
  <c r="O250" i="22"/>
  <c r="O251" i="22"/>
  <c r="O252" i="22"/>
  <c r="O253" i="22"/>
  <c r="O254" i="22"/>
  <c r="O255" i="22"/>
  <c r="O256" i="22"/>
  <c r="O257" i="22"/>
  <c r="O258" i="22"/>
  <c r="O259" i="22"/>
  <c r="O260" i="22"/>
  <c r="O261" i="22"/>
  <c r="O262" i="22"/>
  <c r="O263" i="22"/>
  <c r="O264" i="22"/>
  <c r="O265" i="22"/>
  <c r="O266" i="22"/>
  <c r="O267" i="22"/>
  <c r="O268" i="22"/>
  <c r="O269" i="22"/>
  <c r="O270" i="22"/>
  <c r="O271" i="22"/>
  <c r="O272" i="22"/>
  <c r="O273" i="22"/>
  <c r="O274" i="22"/>
  <c r="O275" i="22"/>
  <c r="O276" i="22"/>
  <c r="O277" i="22"/>
  <c r="O278" i="22"/>
  <c r="O279" i="22"/>
  <c r="O280" i="22"/>
  <c r="O281" i="22"/>
  <c r="O282" i="22"/>
  <c r="O283" i="22"/>
  <c r="O284" i="22"/>
  <c r="O285" i="22"/>
  <c r="O286" i="22"/>
  <c r="O287" i="22"/>
  <c r="O288" i="22"/>
  <c r="O289" i="22"/>
  <c r="O290" i="22"/>
  <c r="O291" i="22"/>
  <c r="O292" i="22"/>
  <c r="O293" i="22"/>
  <c r="O294" i="22"/>
  <c r="O295" i="22"/>
  <c r="O296" i="22"/>
  <c r="O297" i="22"/>
  <c r="O298" i="22"/>
  <c r="O299" i="22"/>
  <c r="O300" i="22"/>
  <c r="O301" i="22"/>
  <c r="O302" i="22"/>
  <c r="O303" i="22"/>
  <c r="O304" i="22"/>
  <c r="O305" i="22"/>
  <c r="O306" i="22"/>
  <c r="O307" i="22"/>
  <c r="O308" i="22"/>
  <c r="O309" i="22"/>
  <c r="O310" i="22"/>
  <c r="O311" i="22"/>
  <c r="O312" i="22"/>
  <c r="O313" i="22"/>
  <c r="O314" i="22"/>
  <c r="O315" i="22"/>
  <c r="O316" i="22"/>
  <c r="O317" i="22"/>
  <c r="O318" i="22"/>
  <c r="O319" i="22"/>
  <c r="O320" i="22"/>
  <c r="O321" i="22"/>
  <c r="O322" i="22"/>
  <c r="O323" i="22"/>
  <c r="O324" i="22"/>
  <c r="O325" i="22"/>
  <c r="O326" i="22"/>
  <c r="O327" i="22"/>
  <c r="O328" i="22"/>
  <c r="O329" i="22"/>
  <c r="O330" i="22"/>
  <c r="O331" i="22"/>
  <c r="O332" i="22"/>
  <c r="O333" i="22"/>
  <c r="O334" i="22"/>
  <c r="O335" i="22"/>
  <c r="O336" i="22"/>
  <c r="O337" i="22"/>
  <c r="O338" i="22"/>
  <c r="O339" i="22"/>
  <c r="O340" i="22"/>
  <c r="O341" i="22"/>
  <c r="O342" i="22"/>
  <c r="O343" i="22"/>
  <c r="O344" i="22"/>
  <c r="O345" i="22"/>
  <c r="O346" i="22"/>
  <c r="O347" i="22"/>
  <c r="O348" i="22"/>
  <c r="O349" i="22"/>
  <c r="O350" i="22"/>
  <c r="O351" i="22"/>
  <c r="O352" i="22"/>
  <c r="O353" i="22"/>
  <c r="O354" i="22"/>
  <c r="O355" i="22"/>
  <c r="O356" i="22"/>
  <c r="O357" i="22"/>
  <c r="O358" i="22"/>
  <c r="O359" i="22"/>
  <c r="O360" i="22"/>
  <c r="O361" i="22"/>
  <c r="O362" i="22"/>
  <c r="O363" i="22"/>
  <c r="O364" i="22"/>
  <c r="O365" i="22"/>
  <c r="O366" i="22"/>
  <c r="O367" i="22"/>
  <c r="O368" i="22"/>
  <c r="O369" i="22"/>
  <c r="O370" i="22"/>
  <c r="O371" i="22"/>
  <c r="O372" i="22"/>
  <c r="O373" i="22"/>
  <c r="O374" i="22"/>
  <c r="O375" i="22"/>
  <c r="O376" i="22"/>
  <c r="O377" i="22"/>
  <c r="O378" i="22"/>
  <c r="O379" i="22"/>
  <c r="O380" i="22"/>
  <c r="O381" i="22"/>
  <c r="O382" i="22"/>
  <c r="O383" i="22"/>
  <c r="O384" i="22"/>
  <c r="O385" i="22"/>
  <c r="O386" i="22"/>
  <c r="O387" i="22"/>
  <c r="O388" i="22"/>
  <c r="O389" i="22"/>
  <c r="O390" i="22"/>
  <c r="O391" i="22"/>
  <c r="O392" i="22"/>
  <c r="O393" i="22"/>
  <c r="O394" i="22"/>
  <c r="O395" i="22"/>
  <c r="O396" i="22"/>
  <c r="O397" i="22"/>
  <c r="O398" i="22"/>
  <c r="O399" i="22"/>
  <c r="O400" i="22"/>
  <c r="O401" i="22"/>
  <c r="O402" i="22"/>
  <c r="O403" i="22"/>
  <c r="O404" i="22"/>
  <c r="O405" i="22"/>
  <c r="O406" i="22"/>
  <c r="O407" i="22"/>
  <c r="O408" i="22"/>
  <c r="O409" i="22"/>
  <c r="O410" i="22"/>
  <c r="O411" i="22"/>
  <c r="O412" i="22"/>
  <c r="O413" i="22"/>
  <c r="O414" i="22"/>
  <c r="O415" i="22"/>
  <c r="O416" i="22"/>
  <c r="O417" i="22"/>
  <c r="O418" i="22"/>
  <c r="O419" i="22"/>
  <c r="O420" i="22"/>
  <c r="O421" i="22"/>
  <c r="O422" i="22"/>
  <c r="O423" i="22"/>
  <c r="O424" i="22"/>
  <c r="O425" i="22"/>
  <c r="O426" i="22"/>
  <c r="O427" i="22"/>
  <c r="O428" i="22"/>
  <c r="O429" i="22"/>
  <c r="O430" i="22"/>
  <c r="O431" i="22"/>
  <c r="O432" i="22"/>
  <c r="O433" i="22"/>
  <c r="O434" i="22"/>
  <c r="O435" i="22"/>
  <c r="O436" i="22"/>
  <c r="O437" i="22"/>
  <c r="O438" i="22"/>
  <c r="O439" i="22"/>
  <c r="O440" i="22"/>
  <c r="O441" i="22"/>
  <c r="O442" i="22"/>
  <c r="O443" i="22"/>
  <c r="O444" i="22"/>
  <c r="O445" i="22"/>
  <c r="O446" i="22"/>
  <c r="O447" i="22"/>
  <c r="O448" i="22"/>
  <c r="O449" i="22"/>
  <c r="O450" i="22"/>
  <c r="O451" i="22"/>
  <c r="O452" i="22"/>
  <c r="O453" i="22"/>
  <c r="O454" i="22"/>
  <c r="O455" i="22"/>
  <c r="O456" i="22"/>
  <c r="O457" i="22"/>
  <c r="O458" i="22"/>
  <c r="O459" i="22"/>
  <c r="O460" i="22"/>
  <c r="O461" i="22"/>
  <c r="O462" i="22"/>
  <c r="O463" i="22"/>
  <c r="O464" i="22"/>
  <c r="O465" i="22"/>
  <c r="O466" i="22"/>
  <c r="O467" i="22"/>
  <c r="O468" i="22"/>
  <c r="O469" i="22"/>
  <c r="O470" i="22"/>
  <c r="O471" i="22"/>
  <c r="O472" i="22"/>
  <c r="O473" i="22"/>
  <c r="O474" i="22"/>
  <c r="O475" i="22"/>
  <c r="O476" i="22"/>
  <c r="O477" i="22"/>
  <c r="O478" i="22"/>
  <c r="O479" i="22"/>
  <c r="O480" i="22"/>
  <c r="O481" i="22"/>
  <c r="O482" i="22"/>
  <c r="O483" i="22"/>
  <c r="O484" i="22"/>
  <c r="O485" i="22"/>
  <c r="O486" i="22"/>
  <c r="O487" i="22"/>
  <c r="O488" i="22"/>
  <c r="O489" i="22"/>
  <c r="O490" i="22"/>
  <c r="O491" i="22"/>
  <c r="O492" i="22"/>
  <c r="O493" i="22"/>
  <c r="O494" i="22"/>
  <c r="O495" i="22"/>
  <c r="O496" i="22"/>
  <c r="O497" i="22"/>
  <c r="O498" i="22"/>
  <c r="O499" i="22"/>
  <c r="O500" i="22"/>
  <c r="O501" i="22"/>
  <c r="O502" i="22"/>
  <c r="O503" i="22"/>
  <c r="O504" i="22"/>
  <c r="O505" i="22"/>
  <c r="O506" i="22"/>
  <c r="O507" i="22"/>
  <c r="O508" i="22"/>
  <c r="O509" i="22"/>
  <c r="O510" i="22"/>
  <c r="O511" i="22"/>
  <c r="O512" i="22"/>
  <c r="O513" i="22"/>
  <c r="O514" i="22"/>
  <c r="O515" i="22"/>
  <c r="O516" i="22"/>
  <c r="O517" i="22"/>
  <c r="O518" i="22"/>
  <c r="O519" i="22"/>
  <c r="O520" i="22"/>
  <c r="O521" i="22"/>
  <c r="O522" i="22"/>
  <c r="O523" i="22"/>
  <c r="O524" i="22"/>
  <c r="O525" i="22"/>
  <c r="O526" i="22"/>
  <c r="O527" i="22"/>
  <c r="O528" i="22"/>
  <c r="O529" i="22"/>
  <c r="O530" i="22"/>
  <c r="O531" i="22"/>
  <c r="O532" i="22"/>
  <c r="O533" i="22"/>
  <c r="O534" i="22"/>
  <c r="O535" i="22"/>
  <c r="O536" i="22"/>
  <c r="O537" i="22"/>
  <c r="O538" i="22"/>
  <c r="O539" i="22"/>
  <c r="O540" i="22"/>
  <c r="O541" i="22"/>
  <c r="O542" i="22"/>
  <c r="O543" i="22"/>
  <c r="O544" i="22"/>
  <c r="O545" i="22"/>
  <c r="O546" i="22"/>
  <c r="O547" i="22"/>
  <c r="O548" i="22"/>
  <c r="O549" i="22"/>
  <c r="O550" i="22"/>
  <c r="O551" i="22"/>
  <c r="O552" i="22"/>
  <c r="O553" i="22"/>
  <c r="O554" i="22"/>
  <c r="O555" i="22"/>
  <c r="O556" i="22"/>
  <c r="O557" i="22"/>
  <c r="O558" i="22"/>
  <c r="O559" i="22"/>
  <c r="O560" i="22"/>
  <c r="O561" i="22"/>
  <c r="O562" i="22"/>
  <c r="O563" i="22"/>
  <c r="O564" i="22"/>
  <c r="O565" i="22"/>
  <c r="O566" i="22"/>
  <c r="O567" i="22"/>
  <c r="O568" i="22"/>
  <c r="O569" i="22"/>
  <c r="O570" i="22"/>
  <c r="O571" i="22"/>
  <c r="O572" i="22"/>
  <c r="O573" i="22"/>
  <c r="O574" i="22"/>
  <c r="O575" i="22"/>
  <c r="O576" i="22"/>
  <c r="O577" i="22"/>
  <c r="O578" i="22"/>
  <c r="O579" i="22"/>
  <c r="O580" i="22"/>
  <c r="O581" i="22"/>
  <c r="O582" i="22"/>
  <c r="O583" i="22"/>
  <c r="O584" i="22"/>
  <c r="O585" i="22"/>
  <c r="O586" i="22"/>
  <c r="O587" i="22"/>
  <c r="O588" i="22"/>
  <c r="O589" i="22"/>
  <c r="O590" i="22"/>
  <c r="O591" i="22"/>
  <c r="O592" i="22"/>
  <c r="O593" i="22"/>
  <c r="O594" i="22"/>
  <c r="O595" i="22"/>
  <c r="O596" i="22"/>
  <c r="O597" i="22"/>
  <c r="O598" i="22"/>
  <c r="O599" i="22"/>
  <c r="O600" i="22"/>
  <c r="O601" i="22"/>
  <c r="O602" i="22"/>
  <c r="O603" i="22"/>
  <c r="O604" i="22"/>
  <c r="O605" i="22"/>
  <c r="O606" i="22"/>
  <c r="O607" i="22"/>
  <c r="O608" i="22"/>
  <c r="O609" i="22"/>
  <c r="O610" i="22"/>
  <c r="O611" i="22"/>
  <c r="O612" i="22"/>
  <c r="O613" i="22"/>
  <c r="O614" i="22"/>
  <c r="O615" i="22"/>
  <c r="O616" i="22"/>
  <c r="O617" i="22"/>
  <c r="O618" i="22"/>
  <c r="O619" i="22"/>
  <c r="O620" i="22"/>
  <c r="O621" i="22"/>
  <c r="O622" i="22"/>
  <c r="O623" i="22"/>
  <c r="O624" i="22"/>
  <c r="O625" i="22"/>
  <c r="O626" i="22"/>
  <c r="O627" i="22"/>
  <c r="O628" i="22"/>
  <c r="O629" i="22"/>
  <c r="O630" i="22"/>
  <c r="O631" i="22"/>
  <c r="O632" i="22"/>
  <c r="O633" i="22"/>
  <c r="O634" i="22"/>
  <c r="O635" i="22"/>
  <c r="O636" i="22"/>
  <c r="O637" i="22"/>
  <c r="O638" i="22"/>
  <c r="O639" i="22"/>
  <c r="O640" i="22"/>
  <c r="O641" i="22"/>
  <c r="O642" i="22"/>
  <c r="O643" i="22"/>
  <c r="O644" i="22"/>
  <c r="O645" i="22"/>
  <c r="O646" i="22"/>
  <c r="O647" i="22"/>
  <c r="O648" i="22"/>
  <c r="O649" i="22"/>
  <c r="O650" i="22"/>
  <c r="O651" i="22"/>
  <c r="O652" i="22"/>
  <c r="O653" i="22"/>
  <c r="O654" i="22"/>
  <c r="O655" i="22"/>
  <c r="O656" i="22"/>
  <c r="O657" i="22"/>
  <c r="O658" i="22"/>
  <c r="O659" i="22"/>
  <c r="O660" i="22"/>
  <c r="O661" i="22"/>
  <c r="O662" i="22"/>
  <c r="O663" i="22"/>
  <c r="O664" i="22"/>
  <c r="O665" i="22"/>
  <c r="O666" i="22"/>
  <c r="O667" i="22"/>
  <c r="O668" i="22"/>
  <c r="O669" i="22"/>
  <c r="O670" i="22"/>
  <c r="O671" i="22"/>
  <c r="O672" i="22"/>
  <c r="O673" i="22"/>
  <c r="O674" i="22"/>
  <c r="O675" i="22"/>
  <c r="O676" i="22"/>
  <c r="O677" i="22"/>
  <c r="O678" i="22"/>
  <c r="O679" i="22"/>
  <c r="O680" i="22"/>
  <c r="O681" i="22"/>
  <c r="O682" i="22"/>
  <c r="O683" i="22"/>
  <c r="O684" i="22"/>
  <c r="O685" i="22"/>
  <c r="O686" i="22"/>
  <c r="O687" i="22"/>
  <c r="O688" i="22"/>
  <c r="O689" i="22"/>
  <c r="O690" i="22"/>
  <c r="O691" i="22"/>
  <c r="O692" i="22"/>
  <c r="O693" i="22"/>
  <c r="O694" i="22"/>
  <c r="O695" i="22"/>
  <c r="O696" i="22"/>
  <c r="O697" i="22"/>
  <c r="O698" i="22"/>
  <c r="O699" i="22"/>
  <c r="O700" i="22"/>
  <c r="O701" i="22"/>
  <c r="O702" i="22"/>
  <c r="O703" i="22"/>
  <c r="O704" i="22"/>
  <c r="O705" i="22"/>
  <c r="O706" i="22"/>
  <c r="O707" i="22"/>
  <c r="O708" i="22"/>
  <c r="O709" i="22"/>
  <c r="O710" i="22"/>
  <c r="O711" i="22"/>
  <c r="O712" i="22"/>
  <c r="O713" i="22"/>
  <c r="O714" i="22"/>
  <c r="O715" i="22"/>
  <c r="O716" i="22"/>
  <c r="O717" i="22"/>
  <c r="O718" i="22"/>
  <c r="O719" i="22"/>
  <c r="O720" i="22"/>
  <c r="O721" i="22"/>
  <c r="O722" i="22"/>
  <c r="O723" i="22"/>
  <c r="O724" i="22"/>
  <c r="O725" i="22"/>
  <c r="O726" i="22"/>
  <c r="O727" i="22"/>
  <c r="O728" i="22"/>
  <c r="O729" i="22"/>
  <c r="O730" i="22"/>
  <c r="O731" i="22"/>
  <c r="O732" i="22"/>
  <c r="O733" i="22"/>
  <c r="O734" i="22"/>
  <c r="O735" i="22"/>
  <c r="O736" i="22"/>
  <c r="O737" i="22"/>
  <c r="O738" i="22"/>
  <c r="O739" i="22"/>
  <c r="O740" i="22"/>
  <c r="O741" i="22"/>
  <c r="O742" i="22"/>
  <c r="O743" i="22"/>
  <c r="O744" i="22"/>
  <c r="O745" i="22"/>
  <c r="O746" i="22"/>
  <c r="O747" i="22"/>
  <c r="O748" i="22"/>
  <c r="O749" i="22"/>
  <c r="O750" i="22"/>
  <c r="O751" i="22"/>
  <c r="O752" i="22"/>
  <c r="O753" i="22"/>
  <c r="O754" i="22"/>
  <c r="O755" i="22"/>
  <c r="O756" i="22"/>
  <c r="O757" i="22"/>
  <c r="O758" i="22"/>
  <c r="O759" i="22"/>
  <c r="O760" i="22"/>
  <c r="O761" i="22"/>
  <c r="O762" i="22"/>
  <c r="O763" i="22"/>
  <c r="O764" i="22"/>
  <c r="O765" i="22"/>
  <c r="O766" i="22"/>
  <c r="O767" i="22"/>
  <c r="O768" i="22"/>
  <c r="O769" i="22"/>
  <c r="O770" i="22"/>
  <c r="O771" i="22"/>
  <c r="O772" i="22"/>
  <c r="O773" i="22"/>
  <c r="O774" i="22"/>
  <c r="O775" i="22"/>
  <c r="O776" i="22"/>
  <c r="O777" i="22"/>
  <c r="O778" i="22"/>
  <c r="O779" i="22"/>
  <c r="O780" i="22"/>
  <c r="O781" i="22"/>
  <c r="O782" i="22"/>
  <c r="O783" i="22"/>
  <c r="O784" i="22"/>
  <c r="O785" i="22"/>
  <c r="O786" i="22"/>
  <c r="O787" i="22"/>
  <c r="O788" i="22"/>
  <c r="O789" i="22"/>
  <c r="O790" i="22"/>
  <c r="O791" i="22"/>
  <c r="O792" i="22"/>
  <c r="O793" i="22"/>
  <c r="O794" i="22"/>
  <c r="O795" i="22"/>
  <c r="O796" i="22"/>
  <c r="O797" i="22"/>
  <c r="O798" i="22"/>
  <c r="O799" i="22"/>
  <c r="O800" i="22"/>
  <c r="O801" i="22"/>
  <c r="O802" i="22"/>
  <c r="O803" i="22"/>
  <c r="O804" i="22"/>
  <c r="O805" i="22"/>
  <c r="O806" i="22"/>
  <c r="O807" i="22"/>
  <c r="O808" i="22"/>
  <c r="O809" i="22"/>
  <c r="O810" i="22"/>
  <c r="O811" i="22"/>
  <c r="O812" i="22"/>
  <c r="O813" i="22"/>
  <c r="O814" i="22"/>
  <c r="O815" i="22"/>
  <c r="O816" i="22"/>
  <c r="O817" i="22"/>
  <c r="O818" i="22"/>
  <c r="O819" i="22"/>
  <c r="O820" i="22"/>
  <c r="O821" i="22"/>
  <c r="O822" i="22"/>
  <c r="O823" i="22"/>
  <c r="O824" i="22"/>
  <c r="O825" i="22"/>
  <c r="O826" i="22"/>
  <c r="O827" i="22"/>
  <c r="O828" i="22"/>
  <c r="O829" i="22"/>
  <c r="O830" i="22"/>
  <c r="O831" i="22"/>
  <c r="O832" i="22"/>
  <c r="O833" i="22"/>
  <c r="O834" i="22"/>
  <c r="O835" i="22"/>
  <c r="O836" i="22"/>
  <c r="O837" i="22"/>
  <c r="O838" i="22"/>
  <c r="O839" i="22"/>
  <c r="O840" i="22"/>
  <c r="O841" i="22"/>
  <c r="O842" i="22"/>
  <c r="O843" i="22"/>
  <c r="O844" i="22"/>
  <c r="O845" i="22"/>
  <c r="O846" i="22"/>
  <c r="O847" i="22"/>
  <c r="O848" i="22"/>
  <c r="O849" i="22"/>
  <c r="O850" i="22"/>
  <c r="O851" i="22"/>
  <c r="O852" i="22"/>
  <c r="O853" i="22"/>
  <c r="O854" i="22"/>
  <c r="O855" i="22"/>
  <c r="O856" i="22"/>
  <c r="O857" i="22"/>
  <c r="O858" i="22"/>
  <c r="O859" i="22"/>
  <c r="O860" i="22"/>
  <c r="O861" i="22"/>
  <c r="O862" i="22"/>
  <c r="O863" i="22"/>
  <c r="O864" i="22"/>
  <c r="O865" i="22"/>
  <c r="O866" i="22"/>
  <c r="O867" i="22"/>
  <c r="O868" i="22"/>
  <c r="O869" i="22"/>
  <c r="O870" i="22"/>
  <c r="O871" i="22"/>
  <c r="O872" i="22"/>
  <c r="O873" i="22"/>
  <c r="O874" i="22"/>
  <c r="O875" i="22"/>
  <c r="O876" i="22"/>
  <c r="O877" i="22"/>
  <c r="O878" i="22"/>
  <c r="O879" i="22"/>
  <c r="O880" i="22"/>
  <c r="O881" i="22"/>
  <c r="O882" i="22"/>
  <c r="O883" i="22"/>
  <c r="O884" i="22"/>
  <c r="O885" i="22"/>
  <c r="O886" i="22"/>
  <c r="O887" i="22"/>
  <c r="O888" i="22"/>
  <c r="O889" i="22"/>
  <c r="O890" i="22"/>
  <c r="O891" i="22"/>
  <c r="O892" i="22"/>
  <c r="O893" i="22"/>
  <c r="O894" i="22"/>
  <c r="O895" i="22"/>
  <c r="O896" i="22"/>
  <c r="O897" i="22"/>
  <c r="O898" i="22"/>
  <c r="O899" i="22"/>
  <c r="O900" i="22"/>
  <c r="O901" i="22"/>
  <c r="O902" i="22"/>
  <c r="O903" i="22"/>
  <c r="O904" i="22"/>
  <c r="O905" i="22"/>
  <c r="O906" i="22"/>
  <c r="O907" i="22"/>
  <c r="O908" i="22"/>
  <c r="O909" i="22"/>
  <c r="O910" i="22"/>
  <c r="O911" i="22"/>
  <c r="O912" i="22"/>
  <c r="O913" i="22"/>
  <c r="O914" i="22"/>
  <c r="O915" i="22"/>
  <c r="O916" i="22"/>
  <c r="O917" i="22"/>
  <c r="O918" i="22"/>
  <c r="O919" i="22"/>
  <c r="O920" i="22"/>
  <c r="O921" i="22"/>
  <c r="O922" i="22"/>
  <c r="O923" i="22"/>
  <c r="O924" i="22"/>
  <c r="O925" i="22"/>
  <c r="O926" i="22"/>
  <c r="O927" i="22"/>
  <c r="O928" i="22"/>
  <c r="O929" i="22"/>
  <c r="O930" i="22"/>
  <c r="O931" i="22"/>
  <c r="O932" i="22"/>
  <c r="O933" i="22"/>
  <c r="O934" i="22"/>
  <c r="O935" i="22"/>
  <c r="O936" i="22"/>
  <c r="O937" i="22"/>
  <c r="O938" i="22"/>
  <c r="O939" i="22"/>
  <c r="O940" i="22"/>
  <c r="O941" i="22"/>
  <c r="O942" i="22"/>
  <c r="O943" i="22"/>
  <c r="O944" i="22"/>
  <c r="O945" i="22"/>
  <c r="O946" i="22"/>
  <c r="O947" i="22"/>
  <c r="O948" i="22"/>
  <c r="O949" i="22"/>
  <c r="O950" i="22"/>
  <c r="O951" i="22"/>
  <c r="O952" i="22"/>
  <c r="O953" i="22"/>
  <c r="O954" i="22"/>
  <c r="O955" i="22"/>
  <c r="O956" i="22"/>
  <c r="O957" i="22"/>
  <c r="O958" i="22"/>
  <c r="O959" i="22"/>
  <c r="O960" i="22"/>
  <c r="O961" i="22"/>
  <c r="O962" i="22"/>
  <c r="O963" i="22"/>
  <c r="O964" i="22"/>
  <c r="O965" i="22"/>
  <c r="O966" i="22"/>
  <c r="O967" i="22"/>
  <c r="O968" i="22"/>
  <c r="O969" i="22"/>
  <c r="O970" i="22"/>
  <c r="O971" i="22"/>
  <c r="O972" i="22"/>
  <c r="O973" i="22"/>
  <c r="O974" i="22"/>
  <c r="O975" i="22"/>
  <c r="O976" i="22"/>
  <c r="O977" i="22"/>
  <c r="O978" i="22"/>
  <c r="O979" i="22"/>
  <c r="O980" i="22"/>
  <c r="O981" i="22"/>
  <c r="O982" i="22"/>
  <c r="O983" i="22"/>
  <c r="O984" i="22"/>
  <c r="O985" i="22"/>
  <c r="O986" i="22"/>
  <c r="O987" i="22"/>
  <c r="O988" i="22"/>
  <c r="O989" i="22"/>
  <c r="O990" i="22"/>
  <c r="O991" i="22"/>
  <c r="O992" i="22"/>
  <c r="O993" i="22"/>
  <c r="O994" i="22"/>
  <c r="O995" i="22"/>
  <c r="O996" i="22"/>
  <c r="O2" i="22"/>
  <c r="M466" i="1" l="1"/>
  <c r="N466" i="1"/>
  <c r="O466" i="1"/>
  <c r="K466" i="1"/>
  <c r="N546" i="1"/>
  <c r="N1182" i="1"/>
  <c r="M220" i="1"/>
  <c r="N220" i="1"/>
  <c r="M214" i="1"/>
  <c r="N214" i="1"/>
  <c r="M434" i="1"/>
  <c r="N434" i="1"/>
  <c r="D343" i="1" l="1"/>
  <c r="E343" i="1"/>
  <c r="F343" i="1"/>
  <c r="G343" i="1"/>
  <c r="H343" i="1"/>
  <c r="I343" i="1"/>
  <c r="C343" i="1"/>
  <c r="D464" i="1"/>
  <c r="E464" i="1"/>
  <c r="F464" i="1"/>
  <c r="G464" i="1"/>
  <c r="H464" i="1"/>
  <c r="M464" i="1"/>
  <c r="N464" i="1"/>
  <c r="O481" i="1"/>
  <c r="D481" i="1"/>
  <c r="E481" i="1"/>
  <c r="F481" i="1"/>
  <c r="G481" i="1"/>
  <c r="H481" i="1"/>
  <c r="I481" i="1"/>
  <c r="J481" i="1"/>
  <c r="K481" i="1"/>
  <c r="L481" i="1"/>
  <c r="M481" i="1"/>
  <c r="N481" i="1"/>
  <c r="C481" i="1"/>
  <c r="K482" i="1"/>
  <c r="M42" i="17"/>
  <c r="L42" i="17"/>
  <c r="K42" i="17"/>
  <c r="D3326" i="1"/>
  <c r="D460" i="1" s="1"/>
  <c r="E3326" i="1"/>
  <c r="E460" i="1" s="1"/>
  <c r="F3326" i="1"/>
  <c r="F460" i="1" s="1"/>
  <c r="G3326" i="1"/>
  <c r="G460" i="1" s="1"/>
  <c r="H3326" i="1"/>
  <c r="H460" i="1" s="1"/>
  <c r="I3326" i="1"/>
  <c r="I460" i="1" s="1"/>
  <c r="J3326" i="1"/>
  <c r="J460" i="1" s="1"/>
  <c r="K3326" i="1"/>
  <c r="K460" i="1" s="1"/>
  <c r="L3326" i="1"/>
  <c r="L460" i="1" s="1"/>
  <c r="M3326" i="1"/>
  <c r="M460" i="1" s="1"/>
  <c r="N3326" i="1"/>
  <c r="N460" i="1" s="1"/>
  <c r="O3326" i="1"/>
  <c r="O460" i="1" s="1"/>
  <c r="C3326" i="1"/>
  <c r="C460" i="1" s="1"/>
  <c r="O3325" i="1"/>
  <c r="O459" i="1" s="1"/>
  <c r="D3325" i="1"/>
  <c r="D459" i="1" s="1"/>
  <c r="E3325" i="1"/>
  <c r="E459" i="1" s="1"/>
  <c r="F3325" i="1"/>
  <c r="F459" i="1" s="1"/>
  <c r="G3325" i="1"/>
  <c r="G459" i="1" s="1"/>
  <c r="H3325" i="1"/>
  <c r="H459" i="1" s="1"/>
  <c r="I3325" i="1"/>
  <c r="I459" i="1" s="1"/>
  <c r="J3325" i="1"/>
  <c r="J459" i="1" s="1"/>
  <c r="K3325" i="1"/>
  <c r="K459" i="1" s="1"/>
  <c r="L3325" i="1"/>
  <c r="L459" i="1" s="1"/>
  <c r="M3325" i="1"/>
  <c r="M459" i="1" s="1"/>
  <c r="N3325" i="1"/>
  <c r="N459" i="1" s="1"/>
  <c r="C3325" i="1"/>
  <c r="C459" i="1" s="1"/>
  <c r="O3108" i="1"/>
  <c r="O479" i="1" s="1"/>
  <c r="O3109" i="1"/>
  <c r="O480" i="1" s="1"/>
  <c r="O3107" i="1"/>
  <c r="O478" i="1" s="1"/>
  <c r="D3109" i="1"/>
  <c r="D480" i="1" s="1"/>
  <c r="E3109" i="1"/>
  <c r="E480" i="1" s="1"/>
  <c r="F3109" i="1"/>
  <c r="F480" i="1" s="1"/>
  <c r="G3109" i="1"/>
  <c r="G480" i="1" s="1"/>
  <c r="H3109" i="1"/>
  <c r="H480" i="1" s="1"/>
  <c r="I3109" i="1"/>
  <c r="I480" i="1" s="1"/>
  <c r="J3109" i="1"/>
  <c r="J480" i="1" s="1"/>
  <c r="K3109" i="1"/>
  <c r="K480" i="1" s="1"/>
  <c r="L3109" i="1"/>
  <c r="L480" i="1" s="1"/>
  <c r="M3109" i="1"/>
  <c r="M480" i="1" s="1"/>
  <c r="N3109" i="1"/>
  <c r="N480" i="1" s="1"/>
  <c r="C3109" i="1"/>
  <c r="C480" i="1" s="1"/>
  <c r="D3108" i="1"/>
  <c r="D479" i="1" s="1"/>
  <c r="E3108" i="1"/>
  <c r="E479" i="1" s="1"/>
  <c r="F3108" i="1"/>
  <c r="F479" i="1" s="1"/>
  <c r="G3108" i="1"/>
  <c r="G479" i="1" s="1"/>
  <c r="H3108" i="1"/>
  <c r="H479" i="1" s="1"/>
  <c r="I3108" i="1"/>
  <c r="I479" i="1" s="1"/>
  <c r="J3108" i="1"/>
  <c r="J479" i="1" s="1"/>
  <c r="K3108" i="1"/>
  <c r="K479" i="1" s="1"/>
  <c r="L3108" i="1"/>
  <c r="L479" i="1" s="1"/>
  <c r="M3108" i="1"/>
  <c r="M479" i="1" s="1"/>
  <c r="N3108" i="1"/>
  <c r="N479" i="1" s="1"/>
  <c r="D3107" i="1"/>
  <c r="D478" i="1" s="1"/>
  <c r="E3107" i="1"/>
  <c r="E478" i="1" s="1"/>
  <c r="F3107" i="1"/>
  <c r="F478" i="1" s="1"/>
  <c r="G3107" i="1"/>
  <c r="G478" i="1" s="1"/>
  <c r="H3107" i="1"/>
  <c r="H478" i="1" s="1"/>
  <c r="I3107" i="1"/>
  <c r="I478" i="1" s="1"/>
  <c r="J3107" i="1"/>
  <c r="J478" i="1" s="1"/>
  <c r="K3107" i="1"/>
  <c r="K478" i="1" s="1"/>
  <c r="L3107" i="1"/>
  <c r="L478" i="1" s="1"/>
  <c r="M3107" i="1"/>
  <c r="M478" i="1" s="1"/>
  <c r="N3107" i="1"/>
  <c r="N478" i="1" s="1"/>
  <c r="C3108" i="1"/>
  <c r="C479" i="1" s="1"/>
  <c r="C3107" i="1"/>
  <c r="C478" i="1" s="1"/>
  <c r="D2212" i="1" l="1"/>
  <c r="D315" i="1" s="1"/>
  <c r="E2212" i="1"/>
  <c r="E315" i="1" s="1"/>
  <c r="F2212" i="1"/>
  <c r="F315" i="1" s="1"/>
  <c r="G2212" i="1"/>
  <c r="G315" i="1" s="1"/>
  <c r="H2212" i="1"/>
  <c r="H315" i="1" s="1"/>
  <c r="I2212" i="1"/>
  <c r="I315" i="1" s="1"/>
  <c r="J2212" i="1"/>
  <c r="J315" i="1" s="1"/>
  <c r="K2212" i="1"/>
  <c r="K315" i="1" s="1"/>
  <c r="L2212" i="1"/>
  <c r="L315" i="1" s="1"/>
  <c r="M2212" i="1"/>
  <c r="M315" i="1" s="1"/>
  <c r="N2212" i="1"/>
  <c r="N315" i="1" s="1"/>
  <c r="O2212" i="1"/>
  <c r="O315" i="1" s="1"/>
  <c r="C2212" i="1"/>
  <c r="C315" i="1" s="1"/>
  <c r="K72" i="17"/>
  <c r="L72" i="17" s="1"/>
  <c r="M72" i="17" s="1"/>
  <c r="L58" i="17"/>
  <c r="M58" i="17" s="1"/>
  <c r="K56" i="17"/>
  <c r="L56" i="17" s="1"/>
  <c r="M56" i="17" s="1"/>
  <c r="K57" i="17"/>
  <c r="L57" i="17" s="1"/>
  <c r="M57" i="17" s="1"/>
  <c r="K58" i="17"/>
  <c r="K59" i="17"/>
  <c r="L59" i="17" s="1"/>
  <c r="M59" i="17" s="1"/>
  <c r="K60" i="17"/>
  <c r="L60" i="17" s="1"/>
  <c r="M60" i="17" s="1"/>
  <c r="K55" i="17"/>
  <c r="L55" i="17" s="1"/>
  <c r="M55" i="17" s="1"/>
  <c r="O2686" i="1" l="1"/>
  <c r="O468" i="1" s="1"/>
  <c r="D2686" i="1"/>
  <c r="D468" i="1" s="1"/>
  <c r="E2686" i="1"/>
  <c r="E468" i="1" s="1"/>
  <c r="F2686" i="1"/>
  <c r="F468" i="1" s="1"/>
  <c r="G2686" i="1"/>
  <c r="G468" i="1" s="1"/>
  <c r="H2686" i="1"/>
  <c r="H468" i="1" s="1"/>
  <c r="I2686" i="1"/>
  <c r="I468" i="1" s="1"/>
  <c r="J2686" i="1"/>
  <c r="J468" i="1" s="1"/>
  <c r="K2686" i="1"/>
  <c r="K468" i="1" s="1"/>
  <c r="L2686" i="1"/>
  <c r="L468" i="1" s="1"/>
  <c r="M2686" i="1"/>
  <c r="M468" i="1" s="1"/>
  <c r="N2686" i="1"/>
  <c r="N468" i="1" s="1"/>
  <c r="D2685" i="1"/>
  <c r="D467" i="1" s="1"/>
  <c r="E2685" i="1"/>
  <c r="E467" i="1" s="1"/>
  <c r="F2685" i="1"/>
  <c r="F467" i="1" s="1"/>
  <c r="G2685" i="1"/>
  <c r="G467" i="1" s="1"/>
  <c r="H2685" i="1"/>
  <c r="H467" i="1" s="1"/>
  <c r="I2685" i="1"/>
  <c r="I467" i="1" s="1"/>
  <c r="J2685" i="1"/>
  <c r="J467" i="1" s="1"/>
  <c r="K2685" i="1"/>
  <c r="K467" i="1" s="1"/>
  <c r="L2685" i="1"/>
  <c r="L467" i="1" s="1"/>
  <c r="M2685" i="1"/>
  <c r="M467" i="1" s="1"/>
  <c r="N2685" i="1"/>
  <c r="N467" i="1" s="1"/>
  <c r="O2685" i="1"/>
  <c r="O467" i="1" s="1"/>
  <c r="C2686" i="1"/>
  <c r="C468" i="1" s="1"/>
  <c r="C2685" i="1"/>
  <c r="C467" i="1" s="1"/>
  <c r="D719" i="1" l="1"/>
  <c r="D365" i="1" s="1"/>
  <c r="E719" i="1"/>
  <c r="E365" i="1" s="1"/>
  <c r="F719" i="1"/>
  <c r="F365" i="1" s="1"/>
  <c r="G719" i="1"/>
  <c r="G365" i="1" s="1"/>
  <c r="H719" i="1"/>
  <c r="H365" i="1" s="1"/>
  <c r="I719" i="1"/>
  <c r="I365" i="1" s="1"/>
  <c r="J719" i="1"/>
  <c r="J365" i="1" s="1"/>
  <c r="K719" i="1"/>
  <c r="K365" i="1" s="1"/>
  <c r="N719" i="1"/>
  <c r="N365" i="1" s="1"/>
  <c r="C719" i="1"/>
  <c r="C365" i="1" s="1"/>
  <c r="L122" i="17"/>
  <c r="D2203" i="1"/>
  <c r="D300" i="1" s="1"/>
  <c r="E2203" i="1"/>
  <c r="E300" i="1" s="1"/>
  <c r="F2203" i="1"/>
  <c r="F300" i="1" s="1"/>
  <c r="G2203" i="1"/>
  <c r="G300" i="1" s="1"/>
  <c r="H2203" i="1"/>
  <c r="H300" i="1" s="1"/>
  <c r="I2203" i="1"/>
  <c r="I300" i="1" s="1"/>
  <c r="J2203" i="1"/>
  <c r="J300" i="1" s="1"/>
  <c r="K2203" i="1"/>
  <c r="K300" i="1" s="1"/>
  <c r="L2203" i="1"/>
  <c r="L300" i="1" s="1"/>
  <c r="M2203" i="1"/>
  <c r="M300" i="1" s="1"/>
  <c r="N2203" i="1"/>
  <c r="N300" i="1" s="1"/>
  <c r="O2203" i="1"/>
  <c r="O300" i="1" s="1"/>
  <c r="C2203" i="1"/>
  <c r="C300" i="1" s="1"/>
  <c r="M12" i="18" l="1"/>
  <c r="N11" i="18"/>
  <c r="D2731" i="1"/>
  <c r="E2731" i="1"/>
  <c r="F2731" i="1"/>
  <c r="G2731" i="1"/>
  <c r="H2731" i="1"/>
  <c r="M2731" i="1"/>
  <c r="N2731" i="1"/>
  <c r="I110" i="7"/>
  <c r="I519" i="6" l="1"/>
  <c r="I326" i="5" l="1"/>
  <c r="I328" i="5" s="1"/>
  <c r="I283" i="5"/>
  <c r="I281" i="5"/>
  <c r="I231" i="5"/>
  <c r="I331" i="5" s="1"/>
  <c r="E166" i="4"/>
  <c r="F166" i="4"/>
  <c r="G166" i="4"/>
  <c r="H166" i="4"/>
  <c r="I166" i="4"/>
  <c r="I261" i="3"/>
  <c r="B10" i="18"/>
  <c r="B9" i="18"/>
  <c r="B8" i="18"/>
  <c r="B7" i="18"/>
  <c r="B6" i="18"/>
  <c r="B5" i="18"/>
  <c r="B4" i="18"/>
  <c r="I233" i="5" l="1"/>
  <c r="B12" i="18"/>
  <c r="I568" i="8" l="1"/>
  <c r="I567" i="8"/>
  <c r="I546" i="7"/>
  <c r="I545" i="7"/>
  <c r="I544" i="7"/>
  <c r="I518" i="6"/>
  <c r="I517" i="6"/>
  <c r="I371" i="4"/>
  <c r="I370" i="4"/>
  <c r="I302" i="3"/>
  <c r="O1046" i="1" l="1"/>
  <c r="D1046" i="1"/>
  <c r="E1046" i="1"/>
  <c r="F1046" i="1"/>
  <c r="G1046" i="1"/>
  <c r="H1046" i="1"/>
  <c r="K1046" i="1"/>
  <c r="L1046" i="1"/>
  <c r="M1046" i="1"/>
  <c r="N1046" i="1"/>
  <c r="D1047" i="1"/>
  <c r="E1047" i="1"/>
  <c r="F1047" i="1"/>
  <c r="G1047" i="1"/>
  <c r="H1047" i="1"/>
  <c r="J1047" i="1"/>
  <c r="K1047" i="1"/>
  <c r="K319" i="1" s="1"/>
  <c r="L1047" i="1"/>
  <c r="L319" i="1" s="1"/>
  <c r="M1047" i="1"/>
  <c r="N1047" i="1"/>
  <c r="O1047" i="1"/>
  <c r="O319" i="1" s="1"/>
  <c r="C1047" i="1"/>
  <c r="O1043" i="1"/>
  <c r="K1043" i="1"/>
  <c r="L1043" i="1"/>
  <c r="M1043" i="1"/>
  <c r="N1043" i="1"/>
  <c r="K1042" i="1"/>
  <c r="L1042" i="1"/>
  <c r="M1042" i="1"/>
  <c r="N1042" i="1"/>
  <c r="O1042" i="1"/>
  <c r="M1041" i="1"/>
  <c r="N1041" i="1"/>
  <c r="O1041" i="1"/>
  <c r="K1062" i="1"/>
  <c r="K343" i="1" s="1"/>
  <c r="N1062" i="1"/>
  <c r="N343" i="1" s="1"/>
  <c r="J1062" i="1"/>
  <c r="J343" i="1" s="1"/>
  <c r="M170" i="3"/>
  <c r="L1062" i="1" s="1"/>
  <c r="L343" i="1" s="1"/>
  <c r="D609" i="1"/>
  <c r="D411" i="1" s="1"/>
  <c r="E609" i="1"/>
  <c r="E411" i="1" s="1"/>
  <c r="F609" i="1"/>
  <c r="F411" i="1" s="1"/>
  <c r="G609" i="1"/>
  <c r="G411" i="1" s="1"/>
  <c r="H609" i="1"/>
  <c r="H411" i="1" s="1"/>
  <c r="I609" i="1"/>
  <c r="J609" i="1"/>
  <c r="K609" i="1"/>
  <c r="N609" i="1"/>
  <c r="O609" i="1"/>
  <c r="C609" i="1"/>
  <c r="C411" i="1" s="1"/>
  <c r="M125" i="2"/>
  <c r="L609" i="1" s="1"/>
  <c r="N170" i="3" l="1"/>
  <c r="N125" i="2"/>
  <c r="M609" i="1" s="1"/>
  <c r="I52" i="5"/>
  <c r="H52" i="5"/>
  <c r="G52" i="5"/>
  <c r="F52" i="5"/>
  <c r="E52" i="5"/>
  <c r="N2001" i="1"/>
  <c r="O1400" i="1"/>
  <c r="O352" i="1" s="1"/>
  <c r="D1400" i="1"/>
  <c r="E1400" i="1"/>
  <c r="E352" i="1" s="1"/>
  <c r="F1400" i="1"/>
  <c r="F352" i="1" s="1"/>
  <c r="G1400" i="1"/>
  <c r="G352" i="1" s="1"/>
  <c r="H1400" i="1"/>
  <c r="I1400" i="1"/>
  <c r="I352" i="1" s="1"/>
  <c r="J1400" i="1"/>
  <c r="J352" i="1" s="1"/>
  <c r="K1400" i="1"/>
  <c r="K352" i="1" s="1"/>
  <c r="L1400" i="1"/>
  <c r="L352" i="1" s="1"/>
  <c r="M1400" i="1"/>
  <c r="M352" i="1" s="1"/>
  <c r="N1400" i="1"/>
  <c r="N352" i="1" s="1"/>
  <c r="C1400" i="1"/>
  <c r="I301" i="3"/>
  <c r="N2878" i="1"/>
  <c r="N74" i="1" s="1"/>
  <c r="E483" i="7"/>
  <c r="D2878" i="1" s="1"/>
  <c r="D74" i="1" s="1"/>
  <c r="D80" i="1" s="1"/>
  <c r="F483" i="7"/>
  <c r="E2878" i="1" s="1"/>
  <c r="G483" i="7"/>
  <c r="F2878" i="1" s="1"/>
  <c r="H483" i="7"/>
  <c r="G2878" i="1" s="1"/>
  <c r="G74" i="1" s="1"/>
  <c r="G80" i="1" s="1"/>
  <c r="I483" i="7"/>
  <c r="H2878" i="1" s="1"/>
  <c r="H74" i="1" s="1"/>
  <c r="K483" i="7"/>
  <c r="K485" i="7" s="1"/>
  <c r="D483" i="7"/>
  <c r="C2878" i="1" s="1"/>
  <c r="C74" i="1" s="1"/>
  <c r="C80" i="1" s="1"/>
  <c r="D24" i="1"/>
  <c r="E24" i="1"/>
  <c r="F24" i="1"/>
  <c r="G24" i="1"/>
  <c r="H24" i="1"/>
  <c r="M24" i="1"/>
  <c r="N24" i="1"/>
  <c r="C24" i="1"/>
  <c r="D2696" i="1"/>
  <c r="D23" i="1" s="1"/>
  <c r="E2696" i="1"/>
  <c r="E23" i="1" s="1"/>
  <c r="F2696" i="1"/>
  <c r="F23" i="1" s="1"/>
  <c r="G2696" i="1"/>
  <c r="H2696" i="1"/>
  <c r="N2696" i="1"/>
  <c r="N23" i="1" s="1"/>
  <c r="D22" i="1"/>
  <c r="E22" i="1"/>
  <c r="F22" i="1"/>
  <c r="G22" i="1"/>
  <c r="H22" i="1"/>
  <c r="M22" i="1"/>
  <c r="N22" i="1"/>
  <c r="C22" i="1"/>
  <c r="E199" i="3"/>
  <c r="F199" i="3"/>
  <c r="G199" i="3"/>
  <c r="H199" i="3"/>
  <c r="I199" i="3"/>
  <c r="K199" i="3"/>
  <c r="E198" i="3"/>
  <c r="F198" i="3"/>
  <c r="G198" i="3"/>
  <c r="H198" i="3"/>
  <c r="I198" i="3"/>
  <c r="K198" i="3"/>
  <c r="E196" i="3"/>
  <c r="F196" i="3"/>
  <c r="G196" i="3"/>
  <c r="H196" i="3"/>
  <c r="I196" i="3"/>
  <c r="K196" i="3"/>
  <c r="E195" i="3"/>
  <c r="F195" i="3"/>
  <c r="G195" i="3"/>
  <c r="H195" i="3"/>
  <c r="I195" i="3"/>
  <c r="K195" i="3"/>
  <c r="M385" i="2"/>
  <c r="N385" i="2" s="1"/>
  <c r="O869" i="1" s="1"/>
  <c r="M235" i="2"/>
  <c r="L719" i="1" s="1"/>
  <c r="L365" i="1" s="1"/>
  <c r="M218" i="2"/>
  <c r="N218" i="2" s="1"/>
  <c r="M211" i="2"/>
  <c r="L695" i="1" s="1"/>
  <c r="C532" i="1"/>
  <c r="C541" i="1"/>
  <c r="C562" i="1"/>
  <c r="C570" i="1"/>
  <c r="C595" i="1"/>
  <c r="C603" i="1"/>
  <c r="C611" i="1"/>
  <c r="C625" i="1"/>
  <c r="C494" i="1"/>
  <c r="C496" i="1" s="1"/>
  <c r="C498" i="1" s="1"/>
  <c r="C636" i="1"/>
  <c r="C646" i="1"/>
  <c r="C648" i="1" s="1"/>
  <c r="C650" i="1" s="1"/>
  <c r="C668" i="1"/>
  <c r="C677" i="1"/>
  <c r="C685" i="1"/>
  <c r="C698" i="1"/>
  <c r="C706" i="1"/>
  <c r="C726" i="1"/>
  <c r="C733" i="1"/>
  <c r="C743" i="1"/>
  <c r="C762" i="1"/>
  <c r="C771" i="1"/>
  <c r="C779" i="1"/>
  <c r="C793" i="1"/>
  <c r="C795" i="1" s="1"/>
  <c r="C803" i="1"/>
  <c r="C811" i="1"/>
  <c r="C820" i="1"/>
  <c r="C823" i="1" s="1"/>
  <c r="C842" i="1"/>
  <c r="C851" i="1"/>
  <c r="C859" i="1"/>
  <c r="C874" i="1"/>
  <c r="C883" i="1"/>
  <c r="C887" i="1"/>
  <c r="C908" i="1"/>
  <c r="C910" i="1" s="1"/>
  <c r="C912" i="1" s="1"/>
  <c r="C928" i="1"/>
  <c r="C937" i="1"/>
  <c r="C945" i="1"/>
  <c r="C960" i="1"/>
  <c r="C968" i="1"/>
  <c r="C981" i="1"/>
  <c r="C989" i="1"/>
  <c r="C991" i="1" s="1"/>
  <c r="C1008" i="1"/>
  <c r="C1017" i="1"/>
  <c r="C1025" i="1"/>
  <c r="C1037" i="1"/>
  <c r="C1073" i="1"/>
  <c r="C1089" i="1"/>
  <c r="C1114" i="1"/>
  <c r="C1123" i="1"/>
  <c r="C1131" i="1"/>
  <c r="C1168" i="1"/>
  <c r="C1177" i="1"/>
  <c r="C1185" i="1"/>
  <c r="C1206" i="1"/>
  <c r="C1208" i="1" s="1"/>
  <c r="C1210" i="1" s="1"/>
  <c r="C1226" i="1"/>
  <c r="C1235" i="1"/>
  <c r="C1243" i="1"/>
  <c r="C1254" i="1"/>
  <c r="C1260" i="1" s="1"/>
  <c r="C1274" i="1"/>
  <c r="C1288" i="1"/>
  <c r="C1310" i="1"/>
  <c r="C1319" i="1"/>
  <c r="C1327" i="1"/>
  <c r="C1339" i="1"/>
  <c r="C1345" i="1"/>
  <c r="C1354" i="1"/>
  <c r="C1374" i="1"/>
  <c r="C1383" i="1"/>
  <c r="C1391" i="1"/>
  <c r="C1413" i="1"/>
  <c r="C1415" i="1" s="1"/>
  <c r="C1433" i="1"/>
  <c r="C1442" i="1"/>
  <c r="C1450" i="1"/>
  <c r="C1462" i="1"/>
  <c r="C1466" i="1" s="1"/>
  <c r="C1473" i="1"/>
  <c r="C1481" i="1"/>
  <c r="C1483" i="1" s="1"/>
  <c r="C1503" i="1"/>
  <c r="C1513" i="1"/>
  <c r="C1521" i="1"/>
  <c r="C1533" i="1"/>
  <c r="C1537" i="1" s="1"/>
  <c r="C1546" i="1"/>
  <c r="C1553" i="1"/>
  <c r="C1577" i="1"/>
  <c r="C1586" i="1"/>
  <c r="C1594" i="1"/>
  <c r="C1608" i="1"/>
  <c r="C1618" i="1" s="1"/>
  <c r="C1620" i="1" s="1"/>
  <c r="C1634" i="1"/>
  <c r="C1636" i="1" s="1"/>
  <c r="C1648" i="1"/>
  <c r="C1664" i="1"/>
  <c r="C1666" i="1" s="1"/>
  <c r="C1672" i="1"/>
  <c r="C1691" i="1"/>
  <c r="C1700" i="1"/>
  <c r="C1714" i="1"/>
  <c r="C1722" i="1"/>
  <c r="C1735" i="1"/>
  <c r="C1750" i="1"/>
  <c r="C1752" i="1" s="1"/>
  <c r="C1754" i="1" s="1"/>
  <c r="C1764" i="1"/>
  <c r="C1772" i="1"/>
  <c r="C1785" i="1"/>
  <c r="C1801" i="1"/>
  <c r="C1803" i="1" s="1"/>
  <c r="C1805" i="1" s="1"/>
  <c r="C1815" i="1"/>
  <c r="C1823" i="1"/>
  <c r="C1835" i="1"/>
  <c r="C1850" i="1"/>
  <c r="C1856" i="1"/>
  <c r="C1868" i="1"/>
  <c r="C1870" i="1" s="1"/>
  <c r="C1872" i="1" s="1"/>
  <c r="C1880" i="1"/>
  <c r="C1902" i="1"/>
  <c r="C1908" i="1"/>
  <c r="C1931" i="1"/>
  <c r="C1937" i="1"/>
  <c r="C1956" i="1"/>
  <c r="C1958" i="1" s="1"/>
  <c r="C1960" i="1" s="1"/>
  <c r="C1973" i="1"/>
  <c r="C1982" i="1"/>
  <c r="C2003" i="1"/>
  <c r="C2009" i="1"/>
  <c r="C2015" i="1"/>
  <c r="C2029" i="1"/>
  <c r="C2057" i="1"/>
  <c r="C2061" i="1" s="1"/>
  <c r="C2063" i="1" s="1"/>
  <c r="C2082" i="1"/>
  <c r="C2091" i="1"/>
  <c r="C2099" i="1"/>
  <c r="C2110" i="1"/>
  <c r="C2124" i="1"/>
  <c r="C2134" i="1"/>
  <c r="C2142" i="1"/>
  <c r="C2148" i="1"/>
  <c r="C2174" i="1"/>
  <c r="C2184" i="1"/>
  <c r="C2192" i="1"/>
  <c r="C2207" i="1"/>
  <c r="C2214" i="1"/>
  <c r="C2225" i="1"/>
  <c r="C2231" i="1"/>
  <c r="C2240" i="1"/>
  <c r="C2250" i="1"/>
  <c r="C2271" i="1"/>
  <c r="C2281" i="1"/>
  <c r="C2289" i="1"/>
  <c r="C2301" i="1"/>
  <c r="C2303" i="1" s="1"/>
  <c r="C2311" i="1"/>
  <c r="C2317" i="1"/>
  <c r="C2324" i="1"/>
  <c r="C2349" i="1"/>
  <c r="C2358" i="1"/>
  <c r="C2366" i="1"/>
  <c r="C2379" i="1"/>
  <c r="C2385" i="1"/>
  <c r="C2392" i="1"/>
  <c r="C2423" i="1"/>
  <c r="C2425" i="1" s="1"/>
  <c r="C2427" i="1" s="1"/>
  <c r="C2440" i="1"/>
  <c r="C2457" i="1"/>
  <c r="C2467" i="1"/>
  <c r="C2469" i="1" s="1"/>
  <c r="C2490" i="1"/>
  <c r="C2503" i="1"/>
  <c r="C2523" i="1"/>
  <c r="D505" i="8"/>
  <c r="C3438" i="1" s="1"/>
  <c r="C3440" i="1" s="1"/>
  <c r="D524" i="8"/>
  <c r="C3457" i="1" s="1"/>
  <c r="D525" i="8"/>
  <c r="C3458" i="1" s="1"/>
  <c r="D526" i="8"/>
  <c r="C3459" i="1" s="1"/>
  <c r="D527" i="8"/>
  <c r="C3460" i="1" s="1"/>
  <c r="D528" i="8"/>
  <c r="C3461" i="1" s="1"/>
  <c r="D529" i="8"/>
  <c r="C3462" i="1" s="1"/>
  <c r="D530" i="8"/>
  <c r="C3463" i="1" s="1"/>
  <c r="C3474" i="1"/>
  <c r="C3482" i="1"/>
  <c r="D557" i="8"/>
  <c r="C3490" i="1" s="1"/>
  <c r="D558" i="8"/>
  <c r="M141" i="6"/>
  <c r="N141" i="6" s="1"/>
  <c r="O2023" i="1" s="1"/>
  <c r="D820" i="1"/>
  <c r="D823" i="1" s="1"/>
  <c r="D1481" i="1"/>
  <c r="D1483" i="1" s="1"/>
  <c r="E820" i="1"/>
  <c r="E823" i="1" s="1"/>
  <c r="E1481" i="1"/>
  <c r="E1483" i="1" s="1"/>
  <c r="F820" i="1"/>
  <c r="F823" i="1" s="1"/>
  <c r="F1481" i="1"/>
  <c r="F1483" i="1" s="1"/>
  <c r="G820" i="1"/>
  <c r="G823" i="1" s="1"/>
  <c r="G1481" i="1"/>
  <c r="H820" i="1"/>
  <c r="H823" i="1" s="1"/>
  <c r="H1481" i="1"/>
  <c r="I820" i="1"/>
  <c r="J820" i="1"/>
  <c r="K820" i="1"/>
  <c r="K2132" i="1"/>
  <c r="K2134" i="1" s="1"/>
  <c r="L820" i="1"/>
  <c r="L1481" i="1"/>
  <c r="L1483" i="1" s="1"/>
  <c r="M820" i="1"/>
  <c r="M823" i="1" s="1"/>
  <c r="M1481" i="1"/>
  <c r="M1483" i="1" s="1"/>
  <c r="N820" i="1"/>
  <c r="N823" i="1" s="1"/>
  <c r="N1481" i="1"/>
  <c r="N1483" i="1" s="1"/>
  <c r="O819" i="1"/>
  <c r="O2132" i="1"/>
  <c r="O2134" i="1" s="1"/>
  <c r="O1481" i="1"/>
  <c r="O1483" i="1" s="1"/>
  <c r="L92" i="4"/>
  <c r="M92" i="4"/>
  <c r="N92" i="4"/>
  <c r="D3323" i="1"/>
  <c r="D457" i="1" s="1"/>
  <c r="E3323" i="1"/>
  <c r="E457" i="1" s="1"/>
  <c r="F3323" i="1"/>
  <c r="F457" i="1" s="1"/>
  <c r="G3323" i="1"/>
  <c r="G457" i="1" s="1"/>
  <c r="H3323" i="1"/>
  <c r="H457" i="1" s="1"/>
  <c r="I3323" i="1"/>
  <c r="I457" i="1" s="1"/>
  <c r="J3323" i="1"/>
  <c r="J457" i="1" s="1"/>
  <c r="K3323" i="1"/>
  <c r="K457" i="1" s="1"/>
  <c r="L3323" i="1"/>
  <c r="L457" i="1" s="1"/>
  <c r="M3323" i="1"/>
  <c r="M457" i="1" s="1"/>
  <c r="N3323" i="1"/>
  <c r="N457" i="1" s="1"/>
  <c r="O3323" i="1"/>
  <c r="O457" i="1" s="1"/>
  <c r="C3323" i="1"/>
  <c r="C457" i="1" s="1"/>
  <c r="O3320" i="1"/>
  <c r="O3321" i="1"/>
  <c r="O3322" i="1"/>
  <c r="O3324" i="1"/>
  <c r="O458" i="1" s="1"/>
  <c r="O3327" i="1"/>
  <c r="O461" i="1" s="1"/>
  <c r="O3319" i="1"/>
  <c r="O455" i="1" s="1"/>
  <c r="D3324" i="1"/>
  <c r="D458" i="1" s="1"/>
  <c r="E3324" i="1"/>
  <c r="E458" i="1" s="1"/>
  <c r="F3324" i="1"/>
  <c r="F458" i="1" s="1"/>
  <c r="G3324" i="1"/>
  <c r="G458" i="1" s="1"/>
  <c r="H3324" i="1"/>
  <c r="H458" i="1" s="1"/>
  <c r="I3324" i="1"/>
  <c r="I458" i="1" s="1"/>
  <c r="J3324" i="1"/>
  <c r="J458" i="1" s="1"/>
  <c r="K3324" i="1"/>
  <c r="K458" i="1" s="1"/>
  <c r="L3324" i="1"/>
  <c r="L458" i="1" s="1"/>
  <c r="M3324" i="1"/>
  <c r="M458" i="1" s="1"/>
  <c r="N3324" i="1"/>
  <c r="N458" i="1" s="1"/>
  <c r="D3322" i="1"/>
  <c r="E3322" i="1"/>
  <c r="F3322" i="1"/>
  <c r="G3322" i="1"/>
  <c r="H3322" i="1"/>
  <c r="I3322" i="1"/>
  <c r="J3322" i="1"/>
  <c r="K3322" i="1"/>
  <c r="L3322" i="1"/>
  <c r="M3322" i="1"/>
  <c r="N3322" i="1"/>
  <c r="C3322" i="1"/>
  <c r="C3324" i="1"/>
  <c r="C458" i="1" s="1"/>
  <c r="D3321" i="1"/>
  <c r="E3321" i="1"/>
  <c r="F3321" i="1"/>
  <c r="G3321" i="1"/>
  <c r="H3321" i="1"/>
  <c r="I3321" i="1"/>
  <c r="J3321" i="1"/>
  <c r="K3321" i="1"/>
  <c r="L3321" i="1"/>
  <c r="M3321" i="1"/>
  <c r="N3321" i="1"/>
  <c r="C3321" i="1"/>
  <c r="M3320" i="1"/>
  <c r="M456" i="1" s="1"/>
  <c r="N3320" i="1"/>
  <c r="N456" i="1" s="1"/>
  <c r="L7" i="2"/>
  <c r="K492" i="1" s="1"/>
  <c r="E9" i="7"/>
  <c r="D2404" i="1" s="1"/>
  <c r="D2406" i="1" s="1"/>
  <c r="D2408" i="1" s="1"/>
  <c r="F9" i="7"/>
  <c r="G9" i="7"/>
  <c r="H9" i="7"/>
  <c r="I9" i="7"/>
  <c r="K9" i="7"/>
  <c r="L9" i="7"/>
  <c r="N9" i="7"/>
  <c r="D9" i="7"/>
  <c r="C2404" i="1" s="1"/>
  <c r="C2406" i="1" s="1"/>
  <c r="C2408" i="1" s="1"/>
  <c r="D63" i="1"/>
  <c r="E63" i="1"/>
  <c r="F63" i="1"/>
  <c r="G63" i="1"/>
  <c r="H63" i="1"/>
  <c r="M63" i="1"/>
  <c r="N63" i="1"/>
  <c r="D61" i="1"/>
  <c r="E61" i="1"/>
  <c r="F61" i="1"/>
  <c r="G61" i="1"/>
  <c r="H61" i="1"/>
  <c r="M61" i="1"/>
  <c r="N61" i="1"/>
  <c r="C62" i="1"/>
  <c r="C63" i="1"/>
  <c r="C61" i="1"/>
  <c r="D56" i="1"/>
  <c r="E56" i="1"/>
  <c r="F56" i="1"/>
  <c r="G56" i="1"/>
  <c r="H56" i="1"/>
  <c r="K279" i="8"/>
  <c r="J3212" i="1" s="1"/>
  <c r="J56" i="1" s="1"/>
  <c r="L279" i="8"/>
  <c r="K3212" i="1" s="1"/>
  <c r="K56" i="1" s="1"/>
  <c r="M56" i="1"/>
  <c r="N56" i="1"/>
  <c r="E278" i="8"/>
  <c r="D3211" i="1" s="1"/>
  <c r="F278" i="8"/>
  <c r="G278" i="8"/>
  <c r="F3211" i="1" s="1"/>
  <c r="F55" i="1" s="1"/>
  <c r="H278" i="8"/>
  <c r="I278" i="8"/>
  <c r="H3211" i="1" s="1"/>
  <c r="H55" i="1" s="1"/>
  <c r="K278" i="8"/>
  <c r="J3211" i="1" s="1"/>
  <c r="J55" i="1" s="1"/>
  <c r="L278" i="8"/>
  <c r="K3211" i="1" s="1"/>
  <c r="K55" i="1" s="1"/>
  <c r="N3211" i="1"/>
  <c r="N55" i="1" s="1"/>
  <c r="D279" i="8"/>
  <c r="C3212" i="1" s="1"/>
  <c r="C56" i="1" s="1"/>
  <c r="D280" i="8"/>
  <c r="C3213" i="1" s="1"/>
  <c r="C57" i="1" s="1"/>
  <c r="D281" i="8"/>
  <c r="C3214" i="1" s="1"/>
  <c r="C58" i="1" s="1"/>
  <c r="D282" i="8"/>
  <c r="C3215" i="1" s="1"/>
  <c r="C59" i="1" s="1"/>
  <c r="D283" i="8"/>
  <c r="C3216" i="1" s="1"/>
  <c r="C60" i="1" s="1"/>
  <c r="D278" i="8"/>
  <c r="C3211" i="1" s="1"/>
  <c r="C55" i="1" s="1"/>
  <c r="M194" i="8"/>
  <c r="L3127" i="1" s="1"/>
  <c r="L42" i="1" s="1"/>
  <c r="N194" i="8"/>
  <c r="N3127" i="1"/>
  <c r="N42" i="1" s="1"/>
  <c r="L194" i="8"/>
  <c r="K3127" i="1" s="1"/>
  <c r="K42" i="1" s="1"/>
  <c r="M26" i="17"/>
  <c r="N189" i="3"/>
  <c r="M122" i="17"/>
  <c r="D130" i="17"/>
  <c r="E130" i="17"/>
  <c r="F130" i="17"/>
  <c r="G130" i="17"/>
  <c r="H130" i="17"/>
  <c r="J130" i="17"/>
  <c r="M266" i="8"/>
  <c r="L3199" i="1" s="1"/>
  <c r="L44" i="1" s="1"/>
  <c r="N266" i="8"/>
  <c r="N3199" i="1"/>
  <c r="N44" i="1" s="1"/>
  <c r="M265" i="8"/>
  <c r="L3198" i="1" s="1"/>
  <c r="N265" i="8"/>
  <c r="O3198" i="1" s="1"/>
  <c r="O43" i="1" s="1"/>
  <c r="N3198" i="1"/>
  <c r="N43" i="1" s="1"/>
  <c r="E266" i="8"/>
  <c r="D3199" i="1"/>
  <c r="F266" i="8"/>
  <c r="E3199" i="1" s="1"/>
  <c r="E44" i="1" s="1"/>
  <c r="G266" i="8"/>
  <c r="F3199" i="1" s="1"/>
  <c r="F44" i="1" s="1"/>
  <c r="H266" i="8"/>
  <c r="G3199" i="1" s="1"/>
  <c r="G44" i="1" s="1"/>
  <c r="I266" i="8"/>
  <c r="H3199" i="1" s="1"/>
  <c r="H44" i="1" s="1"/>
  <c r="J266" i="8"/>
  <c r="I3199" i="1" s="1"/>
  <c r="I44" i="1" s="1"/>
  <c r="K266" i="8"/>
  <c r="J3199" i="1" s="1"/>
  <c r="J44" i="1" s="1"/>
  <c r="L266" i="8"/>
  <c r="K3199" i="1" s="1"/>
  <c r="K44" i="1" s="1"/>
  <c r="E265" i="8"/>
  <c r="D3198" i="1" s="1"/>
  <c r="F265" i="8"/>
  <c r="E3198" i="1" s="1"/>
  <c r="G265" i="8"/>
  <c r="F3198" i="1" s="1"/>
  <c r="H265" i="8"/>
  <c r="G3198" i="1" s="1"/>
  <c r="I265" i="8"/>
  <c r="H3198" i="1" s="1"/>
  <c r="J265" i="8"/>
  <c r="K265" i="8"/>
  <c r="J3198" i="1" s="1"/>
  <c r="D266" i="8"/>
  <c r="C3199" i="1" s="1"/>
  <c r="D265" i="8"/>
  <c r="K887" i="1"/>
  <c r="O2120" i="1"/>
  <c r="K353" i="6"/>
  <c r="L353" i="6" s="1"/>
  <c r="M353" i="6" s="1"/>
  <c r="N353" i="6" s="1"/>
  <c r="O2235" i="1" s="1"/>
  <c r="K142" i="8"/>
  <c r="L142" i="8" s="1"/>
  <c r="K3076" i="1" s="1"/>
  <c r="K244" i="8"/>
  <c r="L244" i="8" s="1"/>
  <c r="K239" i="6"/>
  <c r="L239" i="6" s="1"/>
  <c r="K354" i="6"/>
  <c r="L354" i="6" s="1"/>
  <c r="K439" i="6"/>
  <c r="K507" i="6"/>
  <c r="L507" i="6" s="1"/>
  <c r="M507" i="6" s="1"/>
  <c r="K143" i="8"/>
  <c r="L143" i="8" s="1"/>
  <c r="K245" i="8"/>
  <c r="K372" i="8"/>
  <c r="L372" i="8" s="1"/>
  <c r="K484" i="8"/>
  <c r="L484" i="8" s="1"/>
  <c r="K3417" i="1" s="1"/>
  <c r="K240" i="6"/>
  <c r="L240" i="6" s="1"/>
  <c r="K355" i="6"/>
  <c r="K440" i="6"/>
  <c r="L440" i="6" s="1"/>
  <c r="K508" i="6"/>
  <c r="K13" i="8"/>
  <c r="L13" i="8" s="1"/>
  <c r="M13" i="8" s="1"/>
  <c r="K144" i="8"/>
  <c r="L144" i="8" s="1"/>
  <c r="K246" i="8"/>
  <c r="L246" i="8" s="1"/>
  <c r="K373" i="8"/>
  <c r="L373" i="8" s="1"/>
  <c r="K485" i="8"/>
  <c r="L485" i="8" s="1"/>
  <c r="M485" i="8" s="1"/>
  <c r="K145" i="8"/>
  <c r="L145" i="8" s="1"/>
  <c r="K374" i="8"/>
  <c r="K146" i="8"/>
  <c r="K375" i="8"/>
  <c r="L375" i="8" s="1"/>
  <c r="M375" i="8" s="1"/>
  <c r="L3308" i="1" s="1"/>
  <c r="K147" i="8"/>
  <c r="L147" i="8" s="1"/>
  <c r="M147" i="8" s="1"/>
  <c r="N147" i="8" s="1"/>
  <c r="O3081" i="1" s="1"/>
  <c r="K376" i="8"/>
  <c r="L376" i="8" s="1"/>
  <c r="K486" i="8"/>
  <c r="L486" i="8" s="1"/>
  <c r="O881" i="1"/>
  <c r="K148" i="8"/>
  <c r="J3082" i="1" s="1"/>
  <c r="K14" i="8"/>
  <c r="L14" i="8" s="1"/>
  <c r="M14" i="8" s="1"/>
  <c r="L2949" i="1" s="1"/>
  <c r="K149" i="8"/>
  <c r="L149" i="8" s="1"/>
  <c r="K3083" i="1" s="1"/>
  <c r="M158" i="6"/>
  <c r="L2040" i="1" s="1"/>
  <c r="M238" i="6"/>
  <c r="L2120" i="1" s="1"/>
  <c r="M159" i="6"/>
  <c r="L2041" i="1" s="1"/>
  <c r="M160" i="6"/>
  <c r="L2042" i="1" s="1"/>
  <c r="L158" i="6"/>
  <c r="K2040" i="1" s="1"/>
  <c r="L238" i="6"/>
  <c r="K2120" i="1" s="1"/>
  <c r="L159" i="6"/>
  <c r="K2041" i="1" s="1"/>
  <c r="K2389" i="1"/>
  <c r="L160" i="6"/>
  <c r="K2042" i="1" s="1"/>
  <c r="K158" i="6"/>
  <c r="J2040" i="1" s="1"/>
  <c r="K238" i="6"/>
  <c r="J2120" i="1" s="1"/>
  <c r="K159" i="6"/>
  <c r="J2041" i="1" s="1"/>
  <c r="J2121" i="1"/>
  <c r="J2236" i="1"/>
  <c r="J2389" i="1"/>
  <c r="K160" i="6"/>
  <c r="J2042" i="1" s="1"/>
  <c r="J2122" i="1"/>
  <c r="J2322" i="1"/>
  <c r="J3309" i="1"/>
  <c r="C437" i="1"/>
  <c r="B43" i="9" s="1"/>
  <c r="K366" i="8"/>
  <c r="L366" i="8" s="1"/>
  <c r="M366" i="8" s="1"/>
  <c r="N366" i="8" s="1"/>
  <c r="C401" i="1"/>
  <c r="B39" i="9" s="1"/>
  <c r="K117" i="8"/>
  <c r="K119" i="8"/>
  <c r="K120" i="8"/>
  <c r="K228" i="8"/>
  <c r="J3161" i="1" s="1"/>
  <c r="K229" i="8"/>
  <c r="K343" i="8"/>
  <c r="K345" i="8" s="1"/>
  <c r="K350" i="8"/>
  <c r="K352" i="8" s="1"/>
  <c r="K118" i="6"/>
  <c r="K121" i="6" s="1"/>
  <c r="K125" i="6"/>
  <c r="K127" i="6" s="1"/>
  <c r="K131" i="6"/>
  <c r="K133" i="6" s="1"/>
  <c r="K320" i="6"/>
  <c r="K322" i="6"/>
  <c r="K323" i="6"/>
  <c r="L323" i="6" s="1"/>
  <c r="M323" i="6" s="1"/>
  <c r="N323" i="6" s="1"/>
  <c r="K329" i="6"/>
  <c r="K332" i="6" s="1"/>
  <c r="K417" i="6"/>
  <c r="K419" i="6"/>
  <c r="K421" i="6" s="1"/>
  <c r="L121" i="6"/>
  <c r="L135" i="6" s="1"/>
  <c r="L127" i="6"/>
  <c r="L133" i="6"/>
  <c r="L120" i="8"/>
  <c r="K3054" i="1" s="1"/>
  <c r="L229" i="8"/>
  <c r="K3162" i="1" s="1"/>
  <c r="K314" i="1" s="1"/>
  <c r="L345" i="8"/>
  <c r="L332" i="6"/>
  <c r="L419" i="6"/>
  <c r="L421" i="6" s="1"/>
  <c r="M118" i="6"/>
  <c r="L2001" i="1" s="1"/>
  <c r="M125" i="6"/>
  <c r="M127" i="6"/>
  <c r="M131" i="6"/>
  <c r="M133" i="6" s="1"/>
  <c r="M117" i="8"/>
  <c r="N117" i="8" s="1"/>
  <c r="M119" i="8"/>
  <c r="M229" i="8"/>
  <c r="L3162" i="1" s="1"/>
  <c r="L314" i="1" s="1"/>
  <c r="M345" i="8"/>
  <c r="M332" i="6"/>
  <c r="M417" i="6"/>
  <c r="M419" i="6" s="1"/>
  <c r="M421" i="6" s="1"/>
  <c r="N125" i="6"/>
  <c r="N127" i="6" s="1"/>
  <c r="N345" i="8"/>
  <c r="N329" i="6"/>
  <c r="N332" i="6"/>
  <c r="N419" i="6"/>
  <c r="N421" i="6" s="1"/>
  <c r="N211" i="2"/>
  <c r="M695" i="1" s="1"/>
  <c r="C306" i="1"/>
  <c r="C320" i="1"/>
  <c r="C335" i="1"/>
  <c r="D105" i="6"/>
  <c r="C1988" i="1" s="1"/>
  <c r="C1991" i="1" s="1"/>
  <c r="C226" i="1"/>
  <c r="C235" i="1"/>
  <c r="C147" i="1"/>
  <c r="C158" i="1"/>
  <c r="C169" i="1"/>
  <c r="C179" i="1"/>
  <c r="C190" i="1"/>
  <c r="C201" i="1"/>
  <c r="C256" i="1"/>
  <c r="C264" i="1"/>
  <c r="C272" i="1"/>
  <c r="C280" i="1"/>
  <c r="C288" i="1"/>
  <c r="C395" i="1"/>
  <c r="B38" i="9" s="1"/>
  <c r="D347" i="6"/>
  <c r="D349" i="6" s="1"/>
  <c r="B42" i="9" s="1"/>
  <c r="D501" i="6"/>
  <c r="D503" i="6" s="1"/>
  <c r="B40" i="9"/>
  <c r="D3111" i="1"/>
  <c r="D483" i="1" s="1"/>
  <c r="E3111" i="1"/>
  <c r="E483" i="1" s="1"/>
  <c r="F3111" i="1"/>
  <c r="F483" i="1" s="1"/>
  <c r="G3111" i="1"/>
  <c r="G483" i="1" s="1"/>
  <c r="H3111" i="1"/>
  <c r="H483" i="1" s="1"/>
  <c r="I3111" i="1"/>
  <c r="I483" i="1" s="1"/>
  <c r="J3111" i="1"/>
  <c r="J483" i="1" s="1"/>
  <c r="K3111" i="1"/>
  <c r="K483" i="1" s="1"/>
  <c r="L3111" i="1"/>
  <c r="L483" i="1" s="1"/>
  <c r="M3111" i="1"/>
  <c r="M483" i="1" s="1"/>
  <c r="N3111" i="1"/>
  <c r="N483" i="1" s="1"/>
  <c r="O3111" i="1"/>
  <c r="O483" i="1" s="1"/>
  <c r="D3110" i="1"/>
  <c r="D482" i="1" s="1"/>
  <c r="E3110" i="1"/>
  <c r="E482" i="1" s="1"/>
  <c r="F3110" i="1"/>
  <c r="F482" i="1" s="1"/>
  <c r="G3110" i="1"/>
  <c r="G482" i="1" s="1"/>
  <c r="H3110" i="1"/>
  <c r="H482" i="1" s="1"/>
  <c r="I3110" i="1"/>
  <c r="I482" i="1" s="1"/>
  <c r="J3110" i="1"/>
  <c r="J482" i="1" s="1"/>
  <c r="L3110" i="1"/>
  <c r="L482" i="1" s="1"/>
  <c r="M3110" i="1"/>
  <c r="M482" i="1" s="1"/>
  <c r="N3110" i="1"/>
  <c r="N482" i="1" s="1"/>
  <c r="O3110" i="1"/>
  <c r="O482" i="1" s="1"/>
  <c r="C3111" i="1"/>
  <c r="C483" i="1" s="1"/>
  <c r="C3110" i="1"/>
  <c r="C482" i="1" s="1"/>
  <c r="K3096" i="1"/>
  <c r="K3097" i="1"/>
  <c r="K3095" i="1"/>
  <c r="M162" i="8"/>
  <c r="L3096" i="1" s="1"/>
  <c r="M163" i="8"/>
  <c r="L3097" i="1" s="1"/>
  <c r="L3095" i="1"/>
  <c r="M3096" i="1"/>
  <c r="M3097" i="1"/>
  <c r="M3095" i="1"/>
  <c r="N3096" i="1"/>
  <c r="N3097" i="1"/>
  <c r="N3095" i="1"/>
  <c r="O3096" i="1"/>
  <c r="O3097" i="1"/>
  <c r="O3095" i="1"/>
  <c r="L3106" i="1"/>
  <c r="L477" i="1" s="1"/>
  <c r="O3105" i="1"/>
  <c r="O476" i="1" s="1"/>
  <c r="O3106" i="1"/>
  <c r="O477" i="1" s="1"/>
  <c r="K501" i="6"/>
  <c r="K347" i="6"/>
  <c r="L347" i="6" s="1"/>
  <c r="M347" i="6" s="1"/>
  <c r="N347" i="6" s="1"/>
  <c r="O2229" i="1" s="1"/>
  <c r="O417" i="1" s="1"/>
  <c r="D173" i="7"/>
  <c r="K173" i="7"/>
  <c r="J2568" i="1" s="1"/>
  <c r="J24" i="1" s="1"/>
  <c r="D183" i="7"/>
  <c r="K183" i="7"/>
  <c r="D189" i="7"/>
  <c r="K189" i="7"/>
  <c r="D195" i="7"/>
  <c r="K195" i="7"/>
  <c r="D301" i="7"/>
  <c r="C2696" i="1" s="1"/>
  <c r="C23" i="1" s="1"/>
  <c r="K301" i="7"/>
  <c r="J2696" i="1" s="1"/>
  <c r="J23" i="1" s="1"/>
  <c r="D311" i="7"/>
  <c r="K311" i="7"/>
  <c r="D400" i="7"/>
  <c r="K400" i="7"/>
  <c r="D475" i="7"/>
  <c r="K475" i="7"/>
  <c r="J475" i="7" s="1"/>
  <c r="I2870" i="1" s="1"/>
  <c r="I61" i="1" s="1"/>
  <c r="D477" i="7"/>
  <c r="K477" i="7"/>
  <c r="J2872" i="1" s="1"/>
  <c r="J63" i="1" s="1"/>
  <c r="E180" i="8"/>
  <c r="F180" i="8"/>
  <c r="G180" i="8"/>
  <c r="H180" i="8"/>
  <c r="I180" i="8"/>
  <c r="I569" i="8" s="1"/>
  <c r="K159" i="8"/>
  <c r="D159" i="8"/>
  <c r="C3093" i="1" s="1"/>
  <c r="K160" i="8"/>
  <c r="D160" i="8"/>
  <c r="K161" i="8"/>
  <c r="D161" i="8"/>
  <c r="C3095" i="1" s="1"/>
  <c r="K162" i="8"/>
  <c r="J3096" i="1" s="1"/>
  <c r="D162" i="8"/>
  <c r="K163" i="8"/>
  <c r="D163" i="8"/>
  <c r="C3097" i="1" s="1"/>
  <c r="K164" i="8"/>
  <c r="J3098" i="1" s="1"/>
  <c r="D164" i="8"/>
  <c r="K165" i="8"/>
  <c r="D165" i="8"/>
  <c r="C3099" i="1" s="1"/>
  <c r="K166" i="8"/>
  <c r="D166" i="8"/>
  <c r="K167" i="8"/>
  <c r="D167" i="8"/>
  <c r="C3101" i="1" s="1"/>
  <c r="C472" i="1" s="1"/>
  <c r="J168" i="8"/>
  <c r="I3102" i="1" s="1"/>
  <c r="I473" i="1" s="1"/>
  <c r="J169" i="8"/>
  <c r="J170" i="8"/>
  <c r="K171" i="8"/>
  <c r="D171" i="8"/>
  <c r="C3105" i="1" s="1"/>
  <c r="C476" i="1" s="1"/>
  <c r="K172" i="8"/>
  <c r="D172" i="8"/>
  <c r="L159" i="8"/>
  <c r="K3093" i="1" s="1"/>
  <c r="L165" i="8"/>
  <c r="L166" i="8"/>
  <c r="M159" i="8"/>
  <c r="M160" i="8"/>
  <c r="L3094" i="1" s="1"/>
  <c r="M164" i="8"/>
  <c r="L466" i="1" s="1"/>
  <c r="M165" i="8"/>
  <c r="M166" i="8"/>
  <c r="N180" i="8"/>
  <c r="K109" i="17"/>
  <c r="L109" i="17" s="1"/>
  <c r="K511" i="8"/>
  <c r="J3444" i="1" s="1"/>
  <c r="J3446" i="1" s="1"/>
  <c r="D511" i="8"/>
  <c r="C3444" i="1" s="1"/>
  <c r="C3446" i="1" s="1"/>
  <c r="D3327" i="1"/>
  <c r="D461" i="1" s="1"/>
  <c r="E3327" i="1"/>
  <c r="E461" i="1" s="1"/>
  <c r="F3327" i="1"/>
  <c r="F461" i="1" s="1"/>
  <c r="G3327" i="1"/>
  <c r="G461" i="1" s="1"/>
  <c r="H3327" i="1"/>
  <c r="H461" i="1" s="1"/>
  <c r="J394" i="8"/>
  <c r="I3327" i="1"/>
  <c r="I461" i="1" s="1"/>
  <c r="J3327" i="1"/>
  <c r="J461" i="1" s="1"/>
  <c r="K3327" i="1"/>
  <c r="K461" i="1" s="1"/>
  <c r="L3327" i="1"/>
  <c r="L461" i="1" s="1"/>
  <c r="M3327" i="1"/>
  <c r="M461" i="1" s="1"/>
  <c r="N3327" i="1"/>
  <c r="N461" i="1" s="1"/>
  <c r="C3327" i="1"/>
  <c r="C461" i="1" s="1"/>
  <c r="K194" i="8"/>
  <c r="J3127" i="1" s="1"/>
  <c r="J3129" i="1" s="1"/>
  <c r="D3194" i="1"/>
  <c r="E3194" i="1"/>
  <c r="F3194" i="1"/>
  <c r="G3194" i="1"/>
  <c r="H3194" i="1"/>
  <c r="I3193" i="1"/>
  <c r="K259" i="8"/>
  <c r="J3192" i="1" s="1"/>
  <c r="M3194" i="1"/>
  <c r="N3194" i="1"/>
  <c r="C3194" i="1"/>
  <c r="D415" i="8"/>
  <c r="D417" i="8" s="1"/>
  <c r="K415" i="8"/>
  <c r="E289" i="8"/>
  <c r="F289" i="8"/>
  <c r="G289" i="8"/>
  <c r="F3222" i="1" s="1"/>
  <c r="F3224" i="1" s="1"/>
  <c r="H289" i="8"/>
  <c r="G3222" i="1" s="1"/>
  <c r="G3224" i="1" s="1"/>
  <c r="I289" i="8"/>
  <c r="K289" i="8"/>
  <c r="L289" i="8"/>
  <c r="K3222" i="1" s="1"/>
  <c r="K72" i="1" s="1"/>
  <c r="D289" i="8"/>
  <c r="E259" i="8"/>
  <c r="E261" i="8" s="1"/>
  <c r="F259" i="8"/>
  <c r="F261" i="8" s="1"/>
  <c r="G259" i="8"/>
  <c r="G261" i="8" s="1"/>
  <c r="H259" i="8"/>
  <c r="H261" i="8" s="1"/>
  <c r="H268" i="8"/>
  <c r="H270" i="8" s="1"/>
  <c r="D259" i="8"/>
  <c r="D261" i="8" s="1"/>
  <c r="K268" i="8"/>
  <c r="K270" i="8" s="1"/>
  <c r="E283" i="8"/>
  <c r="F283" i="8"/>
  <c r="G283" i="8"/>
  <c r="H283" i="8"/>
  <c r="I283" i="8"/>
  <c r="K283" i="8"/>
  <c r="J3216" i="1" s="1"/>
  <c r="J60" i="1" s="1"/>
  <c r="L283" i="8"/>
  <c r="E282" i="8"/>
  <c r="F282" i="8"/>
  <c r="G282" i="8"/>
  <c r="H282" i="8"/>
  <c r="I282" i="8"/>
  <c r="K282" i="8"/>
  <c r="J3215" i="1" s="1"/>
  <c r="J59" i="1" s="1"/>
  <c r="L282" i="8"/>
  <c r="K3215" i="1" s="1"/>
  <c r="K59" i="1" s="1"/>
  <c r="E281" i="8"/>
  <c r="F281" i="8"/>
  <c r="G281" i="8"/>
  <c r="H281" i="8"/>
  <c r="I281" i="8"/>
  <c r="K281" i="8"/>
  <c r="J3214" i="1" s="1"/>
  <c r="J58" i="1" s="1"/>
  <c r="L281" i="8"/>
  <c r="K3214" i="1" s="1"/>
  <c r="K58" i="1" s="1"/>
  <c r="M281" i="8"/>
  <c r="L3214" i="1" s="1"/>
  <c r="L58" i="1" s="1"/>
  <c r="E280" i="8"/>
  <c r="F280" i="8"/>
  <c r="G280" i="8"/>
  <c r="H280" i="8"/>
  <c r="I280" i="8"/>
  <c r="K280" i="8"/>
  <c r="L280" i="8"/>
  <c r="K3213" i="1" s="1"/>
  <c r="K57" i="1" s="1"/>
  <c r="E279" i="8"/>
  <c r="F279" i="8"/>
  <c r="G279" i="8"/>
  <c r="H279" i="8"/>
  <c r="I279" i="8"/>
  <c r="I259" i="8"/>
  <c r="E194" i="8"/>
  <c r="F194" i="8"/>
  <c r="G194" i="8"/>
  <c r="H194" i="8"/>
  <c r="H196" i="8" s="1"/>
  <c r="I194" i="8"/>
  <c r="D194" i="8"/>
  <c r="E188" i="8"/>
  <c r="F188" i="8"/>
  <c r="F190" i="8" s="1"/>
  <c r="G188" i="8"/>
  <c r="H188" i="8"/>
  <c r="I188" i="8"/>
  <c r="K188" i="8"/>
  <c r="J3121" i="1" s="1"/>
  <c r="L188" i="8"/>
  <c r="K3121" i="1" s="1"/>
  <c r="K35" i="1" s="1"/>
  <c r="M188" i="8"/>
  <c r="L3121" i="1" s="1"/>
  <c r="L35" i="1" s="1"/>
  <c r="N188" i="8"/>
  <c r="O3121" i="1" s="1"/>
  <c r="O35" i="1" s="1"/>
  <c r="D188" i="8"/>
  <c r="K43" i="17"/>
  <c r="L265" i="8" s="1"/>
  <c r="K3198" i="1" s="1"/>
  <c r="K43" i="1" s="1"/>
  <c r="D887" i="1"/>
  <c r="E887" i="1"/>
  <c r="E441" i="1" s="1"/>
  <c r="E443" i="1" s="1"/>
  <c r="F887" i="1"/>
  <c r="F441" i="1" s="1"/>
  <c r="F443" i="1" s="1"/>
  <c r="G887" i="1"/>
  <c r="G441" i="1" s="1"/>
  <c r="G443" i="1" s="1"/>
  <c r="H887" i="1"/>
  <c r="I887" i="1"/>
  <c r="J887" i="1"/>
  <c r="J441" i="1" s="1"/>
  <c r="J443" i="1" s="1"/>
  <c r="N887" i="1"/>
  <c r="N441" i="1" s="1"/>
  <c r="N443" i="1" s="1"/>
  <c r="L2229" i="1"/>
  <c r="L417" i="1" s="1"/>
  <c r="K2229" i="1"/>
  <c r="K478" i="8"/>
  <c r="J3411" i="1" s="1"/>
  <c r="J2229" i="1"/>
  <c r="C419" i="1"/>
  <c r="B12" i="9" s="1"/>
  <c r="C413" i="1"/>
  <c r="B11" i="9" s="1"/>
  <c r="M232" i="6"/>
  <c r="L2114" i="1" s="1"/>
  <c r="L232" i="6"/>
  <c r="K2114" i="1" s="1"/>
  <c r="K232" i="6"/>
  <c r="J2114" i="1" s="1"/>
  <c r="K136" i="8"/>
  <c r="L136" i="8" s="1"/>
  <c r="M136" i="8" s="1"/>
  <c r="K433" i="6"/>
  <c r="L433" i="6" s="1"/>
  <c r="K66" i="8"/>
  <c r="O2990" i="1"/>
  <c r="O954" i="1"/>
  <c r="O1730" i="1"/>
  <c r="O1780" i="1"/>
  <c r="K140" i="6"/>
  <c r="O2022" i="1"/>
  <c r="O2474" i="1"/>
  <c r="K128" i="8"/>
  <c r="L128" i="8" s="1"/>
  <c r="K56" i="8"/>
  <c r="L56" i="8" s="1"/>
  <c r="M56" i="8" s="1"/>
  <c r="N56" i="8" s="1"/>
  <c r="O2991" i="1" s="1"/>
  <c r="K129" i="8"/>
  <c r="L129" i="8" s="1"/>
  <c r="K237" i="8"/>
  <c r="K358" i="8"/>
  <c r="L358" i="8" s="1"/>
  <c r="K471" i="8"/>
  <c r="L471" i="8" s="1"/>
  <c r="K3404" i="1" s="1"/>
  <c r="K557" i="8"/>
  <c r="L557" i="8" s="1"/>
  <c r="O1781" i="1"/>
  <c r="K142" i="6"/>
  <c r="L142" i="6" s="1"/>
  <c r="M142" i="6" s="1"/>
  <c r="N142" i="6" s="1"/>
  <c r="O2024" i="1" s="1"/>
  <c r="K225" i="6"/>
  <c r="L225" i="6" s="1"/>
  <c r="M225" i="6" s="1"/>
  <c r="N225" i="6" s="1"/>
  <c r="O2107" i="1" s="1"/>
  <c r="K339" i="6"/>
  <c r="K340" i="6"/>
  <c r="K425" i="6"/>
  <c r="L425" i="6" s="1"/>
  <c r="K426" i="6"/>
  <c r="L426" i="6" s="1"/>
  <c r="M426" i="6" s="1"/>
  <c r="N426" i="6" s="1"/>
  <c r="O2308" i="1" s="1"/>
  <c r="K494" i="6"/>
  <c r="L494" i="6" s="1"/>
  <c r="M494" i="6" s="1"/>
  <c r="N494" i="6" s="1"/>
  <c r="O2376" i="1"/>
  <c r="K57" i="8"/>
  <c r="L57" i="8" s="1"/>
  <c r="K58" i="8"/>
  <c r="K130" i="8"/>
  <c r="L130" i="8" s="1"/>
  <c r="M130" i="8" s="1"/>
  <c r="L3064" i="1" s="1"/>
  <c r="K238" i="8"/>
  <c r="L238" i="8" s="1"/>
  <c r="K3171" i="1" s="1"/>
  <c r="K359" i="8"/>
  <c r="L359" i="8" s="1"/>
  <c r="K3292" i="1" s="1"/>
  <c r="K472" i="8"/>
  <c r="L472" i="8" s="1"/>
  <c r="K143" i="6"/>
  <c r="L143" i="6" s="1"/>
  <c r="K144" i="6"/>
  <c r="K226" i="6"/>
  <c r="L226" i="6" s="1"/>
  <c r="M226" i="6" s="1"/>
  <c r="N226" i="6" s="1"/>
  <c r="O2108" i="1" s="1"/>
  <c r="K341" i="6"/>
  <c r="L341" i="6" s="1"/>
  <c r="M341" i="6" s="1"/>
  <c r="N341" i="6" s="1"/>
  <c r="O2223" i="1" s="1"/>
  <c r="K427" i="6"/>
  <c r="L427" i="6" s="1"/>
  <c r="K495" i="6"/>
  <c r="L495" i="6" s="1"/>
  <c r="M495" i="6" s="1"/>
  <c r="N495" i="6" s="1"/>
  <c r="O2377" i="1" s="1"/>
  <c r="K59" i="8"/>
  <c r="L59" i="8" s="1"/>
  <c r="K145" i="6"/>
  <c r="L145" i="6" s="1"/>
  <c r="M145" i="6" s="1"/>
  <c r="N145" i="6" s="1"/>
  <c r="O2027" i="1" s="1"/>
  <c r="K60" i="8"/>
  <c r="J2995" i="1" s="1"/>
  <c r="K360" i="8"/>
  <c r="O1399" i="1"/>
  <c r="K139" i="6"/>
  <c r="O2926" i="1"/>
  <c r="O345" i="1" s="1"/>
  <c r="K492" i="6"/>
  <c r="K338" i="6"/>
  <c r="M338" i="6" s="1"/>
  <c r="N338" i="6" s="1"/>
  <c r="O2220" i="1" s="1"/>
  <c r="O348" i="1" s="1"/>
  <c r="K493" i="6"/>
  <c r="L493" i="6" s="1"/>
  <c r="M493" i="6" s="1"/>
  <c r="N493" i="6" s="1"/>
  <c r="O2375" i="1" s="1"/>
  <c r="O955" i="1"/>
  <c r="O359" i="1" s="1"/>
  <c r="K141" i="6"/>
  <c r="J2023" i="1" s="1"/>
  <c r="L2990" i="1"/>
  <c r="L1730" i="1"/>
  <c r="L2022" i="1"/>
  <c r="L2474" i="1"/>
  <c r="M7" i="8"/>
  <c r="L2942" i="1" s="1"/>
  <c r="L2107" i="1"/>
  <c r="L2308" i="1"/>
  <c r="L2376" i="1"/>
  <c r="L2027" i="1"/>
  <c r="L1399" i="1"/>
  <c r="L955" i="1"/>
  <c r="L359" i="1" s="1"/>
  <c r="L1401" i="1"/>
  <c r="L2023" i="1"/>
  <c r="L869" i="1"/>
  <c r="K2990" i="1"/>
  <c r="K1730" i="1"/>
  <c r="K2022" i="1"/>
  <c r="K2474" i="1"/>
  <c r="L7" i="8"/>
  <c r="K2942" i="1" s="1"/>
  <c r="K2991" i="1"/>
  <c r="K2107" i="1"/>
  <c r="K2308" i="1"/>
  <c r="K2376" i="1"/>
  <c r="K2223" i="1"/>
  <c r="K2377" i="1"/>
  <c r="K2027" i="1"/>
  <c r="K1061" i="1"/>
  <c r="K1399" i="1"/>
  <c r="K2926" i="1"/>
  <c r="K345" i="1" s="1"/>
  <c r="K2220" i="1"/>
  <c r="K348" i="1" s="1"/>
  <c r="K955" i="1"/>
  <c r="K359" i="1" s="1"/>
  <c r="K1401" i="1"/>
  <c r="K2023" i="1"/>
  <c r="K869" i="1"/>
  <c r="K366" i="1" s="1"/>
  <c r="K1064" i="1"/>
  <c r="K369" i="1" s="1"/>
  <c r="K55" i="8"/>
  <c r="J2990" i="1" s="1"/>
  <c r="J2022" i="1"/>
  <c r="K7" i="8"/>
  <c r="J2942" i="1" s="1"/>
  <c r="J2991" i="1"/>
  <c r="J2107" i="1"/>
  <c r="J2307" i="1"/>
  <c r="J2308" i="1"/>
  <c r="J2376" i="1"/>
  <c r="K558" i="8"/>
  <c r="J3491" i="1" s="1"/>
  <c r="J2377" i="1"/>
  <c r="J2375" i="1"/>
  <c r="J353" i="1" s="1"/>
  <c r="O1613" i="1"/>
  <c r="O1614" i="1"/>
  <c r="K29" i="8"/>
  <c r="L29" i="8" s="1"/>
  <c r="M29" i="8" s="1"/>
  <c r="K30" i="8"/>
  <c r="K31" i="8"/>
  <c r="L31" i="8" s="1"/>
  <c r="K32" i="8"/>
  <c r="L32" i="8" s="1"/>
  <c r="M32" i="8" s="1"/>
  <c r="K33" i="8"/>
  <c r="K34" i="8"/>
  <c r="L34" i="8" s="1"/>
  <c r="O1954" i="1"/>
  <c r="O156" i="1" s="1"/>
  <c r="O508" i="1"/>
  <c r="O167" i="1" s="1"/>
  <c r="O2421" i="1"/>
  <c r="O199" i="1" s="1"/>
  <c r="K80" i="8"/>
  <c r="L80" i="8" s="1"/>
  <c r="K209" i="8"/>
  <c r="O3142" i="1"/>
  <c r="K304" i="8"/>
  <c r="L304" i="8" s="1"/>
  <c r="K434" i="8"/>
  <c r="L434" i="8" s="1"/>
  <c r="M434" i="8" s="1"/>
  <c r="N434" i="8" s="1"/>
  <c r="O3367" i="1" s="1"/>
  <c r="K524" i="8"/>
  <c r="L524" i="8"/>
  <c r="M524" i="8" s="1"/>
  <c r="K81" i="8"/>
  <c r="L81" i="8" s="1"/>
  <c r="K210" i="8"/>
  <c r="L210" i="8" s="1"/>
  <c r="K305" i="8"/>
  <c r="L305" i="8" s="1"/>
  <c r="K435" i="8"/>
  <c r="L435" i="8" s="1"/>
  <c r="M435" i="8" s="1"/>
  <c r="K525" i="8"/>
  <c r="L525" i="8" s="1"/>
  <c r="M525" i="8"/>
  <c r="N525" i="8" s="1"/>
  <c r="O3458" i="1" s="1"/>
  <c r="K82" i="8"/>
  <c r="L82" i="8" s="1"/>
  <c r="K306" i="8"/>
  <c r="L306" i="8" s="1"/>
  <c r="M306" i="8" s="1"/>
  <c r="K436" i="8"/>
  <c r="L436" i="8" s="1"/>
  <c r="M436" i="8" s="1"/>
  <c r="N436" i="8" s="1"/>
  <c r="O3369" i="1"/>
  <c r="K83" i="8"/>
  <c r="L83" i="8" s="1"/>
  <c r="K307" i="8"/>
  <c r="L307" i="8" s="1"/>
  <c r="K437" i="8"/>
  <c r="L437" i="8" s="1"/>
  <c r="K438" i="8"/>
  <c r="L438" i="8" s="1"/>
  <c r="M438" i="8" s="1"/>
  <c r="N438" i="8" s="1"/>
  <c r="O3371" i="1" s="1"/>
  <c r="K84" i="8"/>
  <c r="L84" i="8" s="1"/>
  <c r="K308" i="8"/>
  <c r="L308" i="8" s="1"/>
  <c r="K439" i="8"/>
  <c r="L439" i="8"/>
  <c r="M439" i="8" s="1"/>
  <c r="N439" i="8" s="1"/>
  <c r="O3372" i="1" s="1"/>
  <c r="K526" i="8"/>
  <c r="L526" i="8" s="1"/>
  <c r="M526" i="8" s="1"/>
  <c r="N526" i="8" s="1"/>
  <c r="O3459" i="1" s="1"/>
  <c r="K85" i="8"/>
  <c r="J3020" i="1" s="1"/>
  <c r="K309" i="8"/>
  <c r="L309" i="8" s="1"/>
  <c r="K440" i="8"/>
  <c r="L440" i="8" s="1"/>
  <c r="M440" i="8" s="1"/>
  <c r="K86" i="8"/>
  <c r="L86" i="8" s="1"/>
  <c r="K310" i="8"/>
  <c r="L310" i="8" s="1"/>
  <c r="K441" i="8"/>
  <c r="L441" i="8" s="1"/>
  <c r="K527" i="8"/>
  <c r="L527" i="8" s="1"/>
  <c r="M527" i="8" s="1"/>
  <c r="N527" i="8" s="1"/>
  <c r="O3460" i="1" s="1"/>
  <c r="K311" i="8"/>
  <c r="L311" i="8" s="1"/>
  <c r="M311" i="8" s="1"/>
  <c r="K87" i="8"/>
  <c r="L87" i="8" s="1"/>
  <c r="K312" i="8"/>
  <c r="L312" i="8" s="1"/>
  <c r="K442" i="8"/>
  <c r="L442" i="8" s="1"/>
  <c r="M442" i="8" s="1"/>
  <c r="N442" i="8" s="1"/>
  <c r="O3375" i="1" s="1"/>
  <c r="K528" i="8"/>
  <c r="L528" i="8" s="1"/>
  <c r="M528" i="8" s="1"/>
  <c r="N528" i="8" s="1"/>
  <c r="O3461" i="1" s="1"/>
  <c r="K443" i="8"/>
  <c r="L443" i="8" s="1"/>
  <c r="M443" i="8" s="1"/>
  <c r="K529" i="8"/>
  <c r="L529" i="8" s="1"/>
  <c r="M529" i="8" s="1"/>
  <c r="K88" i="8"/>
  <c r="L88" i="8" s="1"/>
  <c r="K313" i="8"/>
  <c r="L313" i="8" s="1"/>
  <c r="K444" i="8"/>
  <c r="L444" i="8" s="1"/>
  <c r="K530" i="8"/>
  <c r="L530" i="8" s="1"/>
  <c r="M530" i="8" s="1"/>
  <c r="L45" i="8"/>
  <c r="M45" i="8" s="1"/>
  <c r="N45" i="8" s="1"/>
  <c r="O2980" i="1" s="1"/>
  <c r="O2982" i="1" s="1"/>
  <c r="O2984" i="1" s="1"/>
  <c r="K314" i="8"/>
  <c r="L314" i="8" s="1"/>
  <c r="K94" i="8"/>
  <c r="L94" i="8" s="1"/>
  <c r="K320" i="8"/>
  <c r="L320" i="8" s="1"/>
  <c r="K450" i="8"/>
  <c r="L450" i="8" s="1"/>
  <c r="M450" i="8" s="1"/>
  <c r="K536" i="8"/>
  <c r="L536" i="8" s="1"/>
  <c r="K95" i="8"/>
  <c r="L95" i="8" s="1"/>
  <c r="K321" i="8"/>
  <c r="L321" i="8" s="1"/>
  <c r="K3254" i="1" s="1"/>
  <c r="K451" i="8"/>
  <c r="K537" i="8"/>
  <c r="L537" i="8" s="1"/>
  <c r="K96" i="8"/>
  <c r="J3031" i="1" s="1"/>
  <c r="K322" i="8"/>
  <c r="L322" i="8" s="1"/>
  <c r="M322" i="8" s="1"/>
  <c r="K452" i="8"/>
  <c r="J3385" i="1" s="1"/>
  <c r="K538" i="8"/>
  <c r="L538" i="8" s="1"/>
  <c r="K97" i="8"/>
  <c r="L97" i="8" s="1"/>
  <c r="K216" i="8"/>
  <c r="L216" i="8" s="1"/>
  <c r="K323" i="8"/>
  <c r="J3256" i="1" s="1"/>
  <c r="K453" i="8"/>
  <c r="L453" i="8" s="1"/>
  <c r="K539" i="8"/>
  <c r="L539" i="8" s="1"/>
  <c r="O2182" i="1"/>
  <c r="O2279" i="1"/>
  <c r="K103" i="8"/>
  <c r="K329" i="8"/>
  <c r="L329" i="8" s="1"/>
  <c r="K459" i="8"/>
  <c r="L459" i="8"/>
  <c r="K3392" i="1" s="1"/>
  <c r="K545" i="8"/>
  <c r="L545" i="8" s="1"/>
  <c r="M545" i="8" s="1"/>
  <c r="K104" i="8"/>
  <c r="L104" i="8" s="1"/>
  <c r="M104" i="8" s="1"/>
  <c r="N104" i="8" s="1"/>
  <c r="O3039" i="1" s="1"/>
  <c r="K330" i="8"/>
  <c r="K460" i="8"/>
  <c r="L460" i="8" s="1"/>
  <c r="K546" i="8"/>
  <c r="K105" i="8"/>
  <c r="L105" i="8" s="1"/>
  <c r="K331" i="8"/>
  <c r="K461" i="8"/>
  <c r="K547" i="8"/>
  <c r="J3480" i="1" s="1"/>
  <c r="M71" i="6"/>
  <c r="L1954" i="1" s="1"/>
  <c r="L156" i="1" s="1"/>
  <c r="L3142" i="1"/>
  <c r="L3367" i="1"/>
  <c r="L3458" i="1"/>
  <c r="L3369" i="1"/>
  <c r="L3371" i="1"/>
  <c r="L3372" i="1"/>
  <c r="L3459" i="1"/>
  <c r="L3460" i="1"/>
  <c r="L3375" i="1"/>
  <c r="L3461" i="1"/>
  <c r="M300" i="6"/>
  <c r="L2182" i="1" s="1"/>
  <c r="M397" i="6"/>
  <c r="L2279" i="1" s="1"/>
  <c r="L71" i="6"/>
  <c r="K1954" i="1" s="1"/>
  <c r="K156" i="1" s="1"/>
  <c r="K3142" i="1"/>
  <c r="K3367" i="1"/>
  <c r="K3457" i="1"/>
  <c r="K3368" i="1"/>
  <c r="K3458" i="1"/>
  <c r="K3369" i="1"/>
  <c r="K3371" i="1"/>
  <c r="K3372" i="1"/>
  <c r="K3459" i="1"/>
  <c r="K3373" i="1"/>
  <c r="K3460" i="1"/>
  <c r="K3375" i="1"/>
  <c r="K3461" i="1"/>
  <c r="K3376" i="1"/>
  <c r="K3462" i="1"/>
  <c r="K3463" i="1"/>
  <c r="L300" i="6"/>
  <c r="K2182" i="1" s="1"/>
  <c r="L397" i="6"/>
  <c r="K2279" i="1" s="1"/>
  <c r="J2964" i="1"/>
  <c r="J183" i="1" s="1"/>
  <c r="J2966" i="1"/>
  <c r="J185" i="1" s="1"/>
  <c r="J2969" i="1"/>
  <c r="J188" i="1" s="1"/>
  <c r="K66" i="6"/>
  <c r="L66" i="6" s="1"/>
  <c r="M66" i="6" s="1"/>
  <c r="L1949" i="1" s="1"/>
  <c r="L151" i="1" s="1"/>
  <c r="K67" i="6"/>
  <c r="K68" i="6"/>
  <c r="L68" i="6" s="1"/>
  <c r="M68" i="6" s="1"/>
  <c r="K69" i="6"/>
  <c r="K70" i="6"/>
  <c r="L70" i="6" s="1"/>
  <c r="M70" i="6" s="1"/>
  <c r="L1953" i="1" s="1"/>
  <c r="L155" i="1" s="1"/>
  <c r="K71" i="6"/>
  <c r="J1954" i="1" s="1"/>
  <c r="J156" i="1" s="1"/>
  <c r="J3142" i="1"/>
  <c r="J3237" i="1"/>
  <c r="J3367" i="1"/>
  <c r="J3457" i="1"/>
  <c r="K82" i="6"/>
  <c r="L82" i="6" s="1"/>
  <c r="M82" i="6" s="1"/>
  <c r="K188" i="6"/>
  <c r="K189" i="6"/>
  <c r="L189" i="6" s="1"/>
  <c r="M189" i="6" s="1"/>
  <c r="K279" i="6"/>
  <c r="K280" i="6"/>
  <c r="L280" i="6" s="1"/>
  <c r="M280" i="6" s="1"/>
  <c r="K376" i="6"/>
  <c r="L376" i="6" s="1"/>
  <c r="M376" i="6" s="1"/>
  <c r="N376" i="6" s="1"/>
  <c r="O2258" i="1" s="1"/>
  <c r="K377" i="6"/>
  <c r="L377" i="6" s="1"/>
  <c r="K454" i="6"/>
  <c r="L454" i="6" s="1"/>
  <c r="M454" i="6" s="1"/>
  <c r="N454" i="6" s="1"/>
  <c r="O2336" i="1" s="1"/>
  <c r="K455" i="6"/>
  <c r="L455" i="6" s="1"/>
  <c r="J2337" i="1"/>
  <c r="J3143" i="1"/>
  <c r="J3238" i="1"/>
  <c r="J3368" i="1"/>
  <c r="J3458" i="1"/>
  <c r="K83" i="6"/>
  <c r="L83" i="6" s="1"/>
  <c r="M83" i="6" s="1"/>
  <c r="K190" i="6"/>
  <c r="L190" i="6" s="1"/>
  <c r="M190" i="6" s="1"/>
  <c r="N190" i="6" s="1"/>
  <c r="O2072" i="1" s="1"/>
  <c r="K281" i="6"/>
  <c r="L281" i="6" s="1"/>
  <c r="M281" i="6" s="1"/>
  <c r="K378" i="6"/>
  <c r="L378" i="6" s="1"/>
  <c r="M378" i="6" s="1"/>
  <c r="N378" i="6" s="1"/>
  <c r="O2260" i="1" s="1"/>
  <c r="K456" i="6"/>
  <c r="L456" i="6" s="1"/>
  <c r="J3239" i="1"/>
  <c r="J3369" i="1"/>
  <c r="K191" i="6"/>
  <c r="K282" i="6"/>
  <c r="L282" i="6" s="1"/>
  <c r="M282" i="6" s="1"/>
  <c r="K379" i="6"/>
  <c r="L379" i="6" s="1"/>
  <c r="M379" i="6" s="1"/>
  <c r="K457" i="6"/>
  <c r="L457" i="6" s="1"/>
  <c r="M457" i="6" s="1"/>
  <c r="J3018" i="1"/>
  <c r="J3370" i="1"/>
  <c r="K84" i="6"/>
  <c r="L84" i="6" s="1"/>
  <c r="M84" i="6" s="1"/>
  <c r="L1967" i="1" s="1"/>
  <c r="K192" i="6"/>
  <c r="L192" i="6" s="1"/>
  <c r="M192" i="6" s="1"/>
  <c r="N192" i="6" s="1"/>
  <c r="O2074" i="1" s="1"/>
  <c r="J2074" i="1"/>
  <c r="K283" i="6"/>
  <c r="L283" i="6" s="1"/>
  <c r="M283" i="6" s="1"/>
  <c r="N283" i="6" s="1"/>
  <c r="O2165" i="1" s="1"/>
  <c r="K380" i="6"/>
  <c r="L380" i="6" s="1"/>
  <c r="J2262" i="1"/>
  <c r="K458" i="6"/>
  <c r="L458" i="6" s="1"/>
  <c r="M458" i="6" s="1"/>
  <c r="N458" i="6" s="1"/>
  <c r="O2340" i="1" s="1"/>
  <c r="J3371" i="1"/>
  <c r="J3241" i="1"/>
  <c r="J3372" i="1"/>
  <c r="J3459" i="1"/>
  <c r="K85" i="6"/>
  <c r="L85" i="6" s="1"/>
  <c r="M85" i="6" s="1"/>
  <c r="K193" i="6"/>
  <c r="L193" i="6" s="1"/>
  <c r="M193" i="6" s="1"/>
  <c r="K284" i="6"/>
  <c r="L284" i="6" s="1"/>
  <c r="M284" i="6" s="1"/>
  <c r="N284" i="6" s="1"/>
  <c r="O2166" i="1" s="1"/>
  <c r="K381" i="6"/>
  <c r="L381" i="6" s="1"/>
  <c r="M381" i="6" s="1"/>
  <c r="N381" i="6" s="1"/>
  <c r="O2263" i="1" s="1"/>
  <c r="K459" i="6"/>
  <c r="L459" i="6" s="1"/>
  <c r="J3242" i="1"/>
  <c r="J3373" i="1"/>
  <c r="K194" i="6"/>
  <c r="K285" i="6"/>
  <c r="L285" i="6" s="1"/>
  <c r="M285" i="6" s="1"/>
  <c r="K382" i="6"/>
  <c r="L382" i="6" s="1"/>
  <c r="K460" i="6"/>
  <c r="L460" i="6" s="1"/>
  <c r="M460" i="6" s="1"/>
  <c r="N460" i="6" s="1"/>
  <c r="O2342" i="1" s="1"/>
  <c r="J2342" i="1"/>
  <c r="J3243" i="1"/>
  <c r="J3374" i="1"/>
  <c r="J3460" i="1"/>
  <c r="K86" i="6"/>
  <c r="K195" i="6"/>
  <c r="L195" i="6" s="1"/>
  <c r="M195" i="6" s="1"/>
  <c r="K286" i="6"/>
  <c r="K383" i="6"/>
  <c r="L383" i="6" s="1"/>
  <c r="J2265" i="1"/>
  <c r="K461" i="6"/>
  <c r="L461" i="6" s="1"/>
  <c r="M461" i="6" s="1"/>
  <c r="N461" i="6" s="1"/>
  <c r="O2343" i="1" s="1"/>
  <c r="J3244" i="1"/>
  <c r="K196" i="6"/>
  <c r="K287" i="6"/>
  <c r="L287" i="6" s="1"/>
  <c r="M287" i="6" s="1"/>
  <c r="K384" i="6"/>
  <c r="L384" i="6" s="1"/>
  <c r="M384" i="6" s="1"/>
  <c r="N384" i="6" s="1"/>
  <c r="O2266" i="1" s="1"/>
  <c r="K462" i="6"/>
  <c r="L462" i="6" s="1"/>
  <c r="M462" i="6" s="1"/>
  <c r="J3245" i="1"/>
  <c r="J3375" i="1"/>
  <c r="J3461" i="1"/>
  <c r="K87" i="6"/>
  <c r="L87" i="6" s="1"/>
  <c r="M87" i="6" s="1"/>
  <c r="K197" i="6"/>
  <c r="K288" i="6"/>
  <c r="L288" i="6" s="1"/>
  <c r="M288" i="6" s="1"/>
  <c r="L2170" i="1" s="1"/>
  <c r="K385" i="6"/>
  <c r="L385" i="6" s="1"/>
  <c r="M385" i="6" s="1"/>
  <c r="N385" i="6" s="1"/>
  <c r="O2267" i="1" s="1"/>
  <c r="K463" i="6"/>
  <c r="L463" i="6" s="1"/>
  <c r="J2345" i="1"/>
  <c r="J3376" i="1"/>
  <c r="J3462" i="1"/>
  <c r="K289" i="6"/>
  <c r="L289" i="6" s="1"/>
  <c r="M289" i="6" s="1"/>
  <c r="N289" i="6" s="1"/>
  <c r="O2171" i="1" s="1"/>
  <c r="K386" i="6"/>
  <c r="L386" i="6" s="1"/>
  <c r="K464" i="6"/>
  <c r="L464" i="6" s="1"/>
  <c r="M464" i="6" s="1"/>
  <c r="J3377" i="1"/>
  <c r="J3463" i="1"/>
  <c r="K45" i="8"/>
  <c r="J2980" i="1" s="1"/>
  <c r="J2982" i="1" s="1"/>
  <c r="J2984" i="1" s="1"/>
  <c r="J3247" i="1"/>
  <c r="K88" i="6"/>
  <c r="L88" i="6" s="1"/>
  <c r="M88" i="6" s="1"/>
  <c r="N88" i="6" s="1"/>
  <c r="O1971" i="1" s="1"/>
  <c r="K198" i="6"/>
  <c r="L198" i="6" s="1"/>
  <c r="M198" i="6" s="1"/>
  <c r="N198" i="6" s="1"/>
  <c r="O2080" i="1" s="1"/>
  <c r="K290" i="6"/>
  <c r="L290" i="6" s="1"/>
  <c r="K2172" i="1" s="1"/>
  <c r="K387" i="6"/>
  <c r="L387" i="6" s="1"/>
  <c r="K465" i="6"/>
  <c r="L465" i="6" s="1"/>
  <c r="J2347" i="1"/>
  <c r="J3383" i="1"/>
  <c r="K94" i="6"/>
  <c r="L94" i="6" s="1"/>
  <c r="M94" i="6" s="1"/>
  <c r="L1977" i="1" s="1"/>
  <c r="K204" i="6"/>
  <c r="K296" i="6"/>
  <c r="L296" i="6" s="1"/>
  <c r="M296" i="6" s="1"/>
  <c r="N296" i="6" s="1"/>
  <c r="O2178" i="1" s="1"/>
  <c r="K393" i="6"/>
  <c r="K471" i="6"/>
  <c r="L471" i="6" s="1"/>
  <c r="M471" i="6" s="1"/>
  <c r="L2353" i="1" s="1"/>
  <c r="J3254" i="1"/>
  <c r="K95" i="6"/>
  <c r="L95" i="6" s="1"/>
  <c r="M95" i="6" s="1"/>
  <c r="K205" i="6"/>
  <c r="L205" i="6" s="1"/>
  <c r="M205" i="6" s="1"/>
  <c r="L2087" i="1" s="1"/>
  <c r="K297" i="6"/>
  <c r="L297" i="6" s="1"/>
  <c r="M297" i="6" s="1"/>
  <c r="N297" i="6" s="1"/>
  <c r="O2179" i="1" s="1"/>
  <c r="K394" i="6"/>
  <c r="L394" i="6" s="1"/>
  <c r="M394" i="6" s="1"/>
  <c r="N394" i="6" s="1"/>
  <c r="O2276" i="1" s="1"/>
  <c r="K472" i="6"/>
  <c r="L472" i="6" s="1"/>
  <c r="K2354" i="1" s="1"/>
  <c r="K96" i="6"/>
  <c r="L96" i="6" s="1"/>
  <c r="M96" i="6" s="1"/>
  <c r="K206" i="6"/>
  <c r="K298" i="6"/>
  <c r="L298" i="6" s="1"/>
  <c r="M298" i="6" s="1"/>
  <c r="N298" i="6" s="1"/>
  <c r="O2180" i="1" s="1"/>
  <c r="K395" i="6"/>
  <c r="K473" i="6"/>
  <c r="L473" i="6" s="1"/>
  <c r="M473" i="6" s="1"/>
  <c r="J3149" i="1"/>
  <c r="J3151" i="1" s="1"/>
  <c r="J3472" i="1"/>
  <c r="K97" i="6"/>
  <c r="L97" i="6" s="1"/>
  <c r="M97" i="6" s="1"/>
  <c r="N97" i="6" s="1"/>
  <c r="O1980" i="1" s="1"/>
  <c r="K207" i="6"/>
  <c r="L207" i="6" s="1"/>
  <c r="K2089" i="1" s="1"/>
  <c r="K299" i="6"/>
  <c r="L299" i="6" s="1"/>
  <c r="M299" i="6" s="1"/>
  <c r="N299" i="6" s="1"/>
  <c r="O2181" i="1" s="1"/>
  <c r="J2181" i="1"/>
  <c r="K300" i="6"/>
  <c r="J2182" i="1" s="1"/>
  <c r="K396" i="6"/>
  <c r="L396" i="6" s="1"/>
  <c r="M396" i="6" s="1"/>
  <c r="N396" i="6" s="1"/>
  <c r="O2278" i="1" s="1"/>
  <c r="K397" i="6"/>
  <c r="J2279" i="1" s="1"/>
  <c r="K474" i="6"/>
  <c r="L474" i="6" s="1"/>
  <c r="M474" i="6" s="1"/>
  <c r="N474" i="6" s="1"/>
  <c r="O2356" i="1" s="1"/>
  <c r="J3392" i="1"/>
  <c r="K103" i="6"/>
  <c r="L103" i="6" s="1"/>
  <c r="M103" i="6" s="1"/>
  <c r="K213" i="6"/>
  <c r="L213" i="6" s="1"/>
  <c r="M213" i="6" s="1"/>
  <c r="N213" i="6" s="1"/>
  <c r="O2095" i="1" s="1"/>
  <c r="K306" i="6"/>
  <c r="L306" i="6" s="1"/>
  <c r="M306" i="6" s="1"/>
  <c r="N306" i="6" s="1"/>
  <c r="O2188" i="1" s="1"/>
  <c r="K403" i="6"/>
  <c r="L403" i="6" s="1"/>
  <c r="M403" i="6" s="1"/>
  <c r="N403" i="6" s="1"/>
  <c r="O2285" i="1" s="1"/>
  <c r="K480" i="6"/>
  <c r="L480" i="6" s="1"/>
  <c r="M480" i="6" s="1"/>
  <c r="K104" i="6"/>
  <c r="L104" i="6" s="1"/>
  <c r="M104" i="6" s="1"/>
  <c r="L1987" i="1" s="1"/>
  <c r="K214" i="6"/>
  <c r="L214" i="6" s="1"/>
  <c r="M214" i="6" s="1"/>
  <c r="N214" i="6" s="1"/>
  <c r="O2096" i="1" s="1"/>
  <c r="K307" i="6"/>
  <c r="L307" i="6" s="1"/>
  <c r="M307" i="6" s="1"/>
  <c r="N307" i="6" s="1"/>
  <c r="O2189" i="1" s="1"/>
  <c r="K404" i="6"/>
  <c r="L404" i="6" s="1"/>
  <c r="M404" i="6" s="1"/>
  <c r="K481" i="6"/>
  <c r="L481" i="6" s="1"/>
  <c r="M481" i="6" s="1"/>
  <c r="N481" i="6" s="1"/>
  <c r="O2363" i="1" s="1"/>
  <c r="K106" i="6"/>
  <c r="L106" i="6" s="1"/>
  <c r="M106" i="6" s="1"/>
  <c r="N106" i="6" s="1"/>
  <c r="O1989" i="1" s="1"/>
  <c r="K215" i="6"/>
  <c r="L215" i="6" s="1"/>
  <c r="M215" i="6" s="1"/>
  <c r="N215" i="6" s="1"/>
  <c r="O2097" i="1" s="1"/>
  <c r="K308" i="6"/>
  <c r="L308" i="6" s="1"/>
  <c r="M308" i="6" s="1"/>
  <c r="K405" i="6"/>
  <c r="L405" i="6" s="1"/>
  <c r="M405" i="6" s="1"/>
  <c r="N405" i="6" s="1"/>
  <c r="O2287" i="1" s="1"/>
  <c r="K482" i="6"/>
  <c r="L482" i="6" s="1"/>
  <c r="M482" i="6" s="1"/>
  <c r="N482" i="6" s="1"/>
  <c r="O2364" i="1" s="1"/>
  <c r="K105" i="6"/>
  <c r="L105" i="6" s="1"/>
  <c r="M105" i="6" s="1"/>
  <c r="N105" i="6" s="1"/>
  <c r="O1988" i="1" s="1"/>
  <c r="C29" i="9"/>
  <c r="C5" i="10" s="1"/>
  <c r="L31" i="6"/>
  <c r="K1914" i="1" s="1"/>
  <c r="L32" i="6"/>
  <c r="K1915" i="1" s="1"/>
  <c r="K36" i="1" s="1"/>
  <c r="K2404" i="1"/>
  <c r="K33" i="1" s="1"/>
  <c r="M31" i="6"/>
  <c r="L1914" i="1" s="1"/>
  <c r="L34" i="1" s="1"/>
  <c r="M32" i="6"/>
  <c r="L1915" i="1"/>
  <c r="L36" i="1" s="1"/>
  <c r="N31" i="6"/>
  <c r="O1914" i="1" s="1"/>
  <c r="N32" i="6"/>
  <c r="O1915" i="1" s="1"/>
  <c r="O36" i="1" s="1"/>
  <c r="O2404" i="1"/>
  <c r="O33" i="1" s="1"/>
  <c r="E46" i="6"/>
  <c r="F46" i="6"/>
  <c r="G46" i="6"/>
  <c r="H46" i="6"/>
  <c r="I46" i="6"/>
  <c r="K46" i="6"/>
  <c r="J1929" i="1" s="1"/>
  <c r="J84" i="1" s="1"/>
  <c r="J86" i="1" s="1"/>
  <c r="D46" i="6"/>
  <c r="E32" i="6"/>
  <c r="F32" i="6"/>
  <c r="G32" i="6"/>
  <c r="H32" i="6"/>
  <c r="I32" i="6"/>
  <c r="D32" i="6"/>
  <c r="C1915" i="1" s="1"/>
  <c r="C36" i="1" s="1"/>
  <c r="E31" i="6"/>
  <c r="F31" i="6"/>
  <c r="G31" i="6"/>
  <c r="H31" i="6"/>
  <c r="I31" i="6"/>
  <c r="K31" i="6"/>
  <c r="J1914" i="1" s="1"/>
  <c r="J34" i="1" s="1"/>
  <c r="D31" i="6"/>
  <c r="C1914" i="1" s="1"/>
  <c r="E23" i="6"/>
  <c r="F23" i="6"/>
  <c r="G23" i="6"/>
  <c r="H23" i="6"/>
  <c r="I23" i="6"/>
  <c r="K23" i="6"/>
  <c r="J1906" i="1" s="1"/>
  <c r="J26" i="1" s="1"/>
  <c r="L23" i="6"/>
  <c r="M23" i="6"/>
  <c r="L1906" i="1" s="1"/>
  <c r="L26" i="1" s="1"/>
  <c r="N23" i="6"/>
  <c r="D23" i="6"/>
  <c r="K9" i="17"/>
  <c r="L9" i="17"/>
  <c r="M9" i="6" s="1"/>
  <c r="L1892" i="1" s="1"/>
  <c r="L9" i="1" s="1"/>
  <c r="M9" i="17"/>
  <c r="N9" i="6" s="1"/>
  <c r="O1892" i="1" s="1"/>
  <c r="O9" i="1" s="1"/>
  <c r="K10" i="17"/>
  <c r="L10" i="17"/>
  <c r="M10" i="17"/>
  <c r="N10" i="6" s="1"/>
  <c r="O1893" i="1" s="1"/>
  <c r="K11" i="17"/>
  <c r="L11" i="17"/>
  <c r="M11" i="17"/>
  <c r="N11" i="6" s="1"/>
  <c r="O1894" i="1" s="1"/>
  <c r="O11" i="1" s="1"/>
  <c r="K12" i="17"/>
  <c r="L12" i="17"/>
  <c r="M12" i="6" s="1"/>
  <c r="L1895" i="1" s="1"/>
  <c r="M12" i="17"/>
  <c r="N12" i="6" s="1"/>
  <c r="O1895" i="1" s="1"/>
  <c r="K13" i="17"/>
  <c r="L13" i="17"/>
  <c r="M13" i="6" s="1"/>
  <c r="L1896" i="1" s="1"/>
  <c r="M13" i="17"/>
  <c r="N13" i="6" s="1"/>
  <c r="O1896" i="1" s="1"/>
  <c r="K14" i="17"/>
  <c r="L14" i="17"/>
  <c r="M14" i="17"/>
  <c r="N14" i="6" s="1"/>
  <c r="O1897" i="1" s="1"/>
  <c r="O13" i="1" s="1"/>
  <c r="K15" i="17"/>
  <c r="L15" i="17"/>
  <c r="M15" i="17"/>
  <c r="N15" i="6" s="1"/>
  <c r="O1898" i="1" s="1"/>
  <c r="O14" i="1" s="1"/>
  <c r="K16" i="17"/>
  <c r="L16" i="17"/>
  <c r="M16" i="6" s="1"/>
  <c r="L1899" i="1" s="1"/>
  <c r="L15" i="1" s="1"/>
  <c r="M16" i="17"/>
  <c r="N16" i="6" s="1"/>
  <c r="O1899" i="1" s="1"/>
  <c r="O15" i="1" s="1"/>
  <c r="M10" i="6"/>
  <c r="L1893" i="1" s="1"/>
  <c r="M11" i="6"/>
  <c r="L1894" i="1" s="1"/>
  <c r="L11" i="1" s="1"/>
  <c r="M14" i="6"/>
  <c r="L1897" i="1" s="1"/>
  <c r="L13" i="1" s="1"/>
  <c r="M15" i="6"/>
  <c r="L1898" i="1" s="1"/>
  <c r="L14" i="1" s="1"/>
  <c r="M17" i="6"/>
  <c r="L1900" i="1" s="1"/>
  <c r="L16" i="1" s="1"/>
  <c r="L9" i="6"/>
  <c r="K1892" i="1" s="1"/>
  <c r="K9" i="1" s="1"/>
  <c r="L10" i="6"/>
  <c r="K1893" i="1" s="1"/>
  <c r="K10" i="1" s="1"/>
  <c r="L11" i="6"/>
  <c r="K1894" i="1" s="1"/>
  <c r="K11" i="1" s="1"/>
  <c r="L12" i="6"/>
  <c r="L13" i="6"/>
  <c r="L14" i="6"/>
  <c r="K1897" i="1" s="1"/>
  <c r="K13" i="1" s="1"/>
  <c r="L15" i="6"/>
  <c r="K1898" i="1" s="1"/>
  <c r="K14" i="1" s="1"/>
  <c r="L16" i="6"/>
  <c r="K1899" i="1" s="1"/>
  <c r="K15" i="1" s="1"/>
  <c r="L17" i="6"/>
  <c r="K1900" i="1" s="1"/>
  <c r="K16" i="1" s="1"/>
  <c r="K9" i="6"/>
  <c r="J1892" i="1" s="1"/>
  <c r="K10" i="6"/>
  <c r="J1893" i="1" s="1"/>
  <c r="J10" i="1" s="1"/>
  <c r="K11" i="6"/>
  <c r="J1894" i="1" s="1"/>
  <c r="J11" i="1" s="1"/>
  <c r="K12" i="6"/>
  <c r="K13" i="6"/>
  <c r="K14" i="6"/>
  <c r="J1897" i="1" s="1"/>
  <c r="J13" i="1" s="1"/>
  <c r="K15" i="6"/>
  <c r="J1898" i="1" s="1"/>
  <c r="J14" i="1" s="1"/>
  <c r="K16" i="6"/>
  <c r="K17" i="6"/>
  <c r="J1900" i="1" s="1"/>
  <c r="J16" i="1" s="1"/>
  <c r="D9" i="6"/>
  <c r="D10" i="6"/>
  <c r="D11" i="6"/>
  <c r="D12" i="6"/>
  <c r="D13" i="6"/>
  <c r="D14" i="6"/>
  <c r="D15" i="6"/>
  <c r="D16" i="6"/>
  <c r="E8" i="6"/>
  <c r="F8" i="6"/>
  <c r="G8" i="6"/>
  <c r="H8" i="6"/>
  <c r="I8" i="6"/>
  <c r="J8" i="6"/>
  <c r="K8" i="6"/>
  <c r="J1891" i="1" s="1"/>
  <c r="J8" i="1" s="1"/>
  <c r="K8" i="17"/>
  <c r="K18" i="17" s="1"/>
  <c r="D8" i="6"/>
  <c r="O1900" i="1"/>
  <c r="O16" i="1" s="1"/>
  <c r="O2697" i="1"/>
  <c r="O1906" i="1"/>
  <c r="O26" i="1" s="1"/>
  <c r="O3438" i="1"/>
  <c r="O75" i="1" s="1"/>
  <c r="O3342" i="1"/>
  <c r="O76" i="1" s="1"/>
  <c r="O3354" i="1"/>
  <c r="O98" i="1" s="1"/>
  <c r="O1935" i="1"/>
  <c r="O97" i="1" s="1"/>
  <c r="N7" i="2"/>
  <c r="O492" i="1" s="1"/>
  <c r="O120" i="1" s="1"/>
  <c r="M476" i="7"/>
  <c r="L2871" i="1" s="1"/>
  <c r="L62" i="1" s="1"/>
  <c r="M499" i="8"/>
  <c r="M402" i="8"/>
  <c r="L3335" i="1" s="1"/>
  <c r="L65" i="1" s="1"/>
  <c r="M403" i="8"/>
  <c r="L3336" i="1" s="1"/>
  <c r="L66" i="1" s="1"/>
  <c r="M505" i="8"/>
  <c r="M409" i="8"/>
  <c r="L3342" i="1" s="1"/>
  <c r="L76" i="1" s="1"/>
  <c r="M189" i="3"/>
  <c r="L1081" i="1" s="1"/>
  <c r="L3354" i="1"/>
  <c r="L98" i="1" s="1"/>
  <c r="M7" i="2"/>
  <c r="L492" i="1" s="1"/>
  <c r="L120" i="1" s="1"/>
  <c r="K1895" i="1"/>
  <c r="K1896" i="1"/>
  <c r="K1906" i="1"/>
  <c r="K3216" i="1"/>
  <c r="K60" i="1" s="1"/>
  <c r="L476" i="7"/>
  <c r="K2871" i="1" s="1"/>
  <c r="K62" i="1" s="1"/>
  <c r="L499" i="8"/>
  <c r="K3432" i="1" s="1"/>
  <c r="K64" i="1" s="1"/>
  <c r="L402" i="8"/>
  <c r="K3335" i="1" s="1"/>
  <c r="K65" i="1" s="1"/>
  <c r="L403" i="8"/>
  <c r="K3336" i="1" s="1"/>
  <c r="K66" i="1" s="1"/>
  <c r="L505" i="8"/>
  <c r="K3438" i="1" s="1"/>
  <c r="K75" i="1" s="1"/>
  <c r="L409" i="8"/>
  <c r="L264" i="6"/>
  <c r="K2146" i="1" s="1"/>
  <c r="L189" i="3"/>
  <c r="K1081" i="1" s="1"/>
  <c r="K3354" i="1"/>
  <c r="K98" i="1" s="1"/>
  <c r="J1895" i="1"/>
  <c r="J1896" i="1"/>
  <c r="J1899" i="1"/>
  <c r="J15" i="1" s="1"/>
  <c r="J2404" i="1"/>
  <c r="J33" i="1" s="1"/>
  <c r="K258" i="6"/>
  <c r="J2140" i="1" s="1"/>
  <c r="K173" i="6"/>
  <c r="J2055" i="1" s="1"/>
  <c r="J77" i="1" s="1"/>
  <c r="K87" i="3"/>
  <c r="J979" i="1" s="1"/>
  <c r="K505" i="8"/>
  <c r="J3438" i="1" s="1"/>
  <c r="J75" i="1" s="1"/>
  <c r="K409" i="8"/>
  <c r="K411" i="8" s="1"/>
  <c r="K264" i="6"/>
  <c r="J2146" i="1" s="1"/>
  <c r="J2148" i="1" s="1"/>
  <c r="K189" i="3"/>
  <c r="J1081" i="1" s="1"/>
  <c r="K160" i="2"/>
  <c r="J644" i="1" s="1"/>
  <c r="J101" i="1" s="1"/>
  <c r="J3354" i="1"/>
  <c r="J98" i="1" s="1"/>
  <c r="K52" i="6"/>
  <c r="J1935" i="1" s="1"/>
  <c r="J1087" i="1"/>
  <c r="J113" i="1" s="1"/>
  <c r="J1088" i="1"/>
  <c r="J116" i="1" s="1"/>
  <c r="K95" i="3"/>
  <c r="J987" i="1" s="1"/>
  <c r="J1090" i="1"/>
  <c r="J118" i="1" s="1"/>
  <c r="J1091" i="1"/>
  <c r="J119" i="1" s="1"/>
  <c r="K7" i="2"/>
  <c r="J492" i="1" s="1"/>
  <c r="J120" i="1" s="1"/>
  <c r="J2795" i="1"/>
  <c r="J114" i="1" s="1"/>
  <c r="J2590" i="1"/>
  <c r="J3213" i="1"/>
  <c r="J57" i="1" s="1"/>
  <c r="K499" i="8"/>
  <c r="J3432" i="1" s="1"/>
  <c r="J64" i="1" s="1"/>
  <c r="K402" i="8"/>
  <c r="J3335" i="1" s="1"/>
  <c r="J65" i="1" s="1"/>
  <c r="K403" i="8"/>
  <c r="J3336" i="1" s="1"/>
  <c r="J66" i="1" s="1"/>
  <c r="J3348" i="1"/>
  <c r="J3350" i="1" s="1"/>
  <c r="J2584" i="1"/>
  <c r="J2706" i="1"/>
  <c r="J126" i="1" s="1"/>
  <c r="J128" i="1" s="1"/>
  <c r="J18" i="17"/>
  <c r="J46" i="17"/>
  <c r="J111" i="17"/>
  <c r="K38" i="17"/>
  <c r="K48" i="17" s="1"/>
  <c r="K46" i="17"/>
  <c r="L46" i="17"/>
  <c r="M38" i="17"/>
  <c r="M46" i="17"/>
  <c r="C46" i="17"/>
  <c r="E95" i="3"/>
  <c r="F95" i="3"/>
  <c r="G95" i="3"/>
  <c r="H95" i="3"/>
  <c r="I95" i="3"/>
  <c r="D95" i="3"/>
  <c r="E87" i="3"/>
  <c r="F87" i="3"/>
  <c r="G87" i="3"/>
  <c r="H87" i="3"/>
  <c r="I87" i="3"/>
  <c r="D87" i="3"/>
  <c r="L1064" i="1"/>
  <c r="L369" i="1" s="1"/>
  <c r="M169" i="3"/>
  <c r="L1061" i="1" s="1"/>
  <c r="M161" i="3"/>
  <c r="N161" i="3" s="1"/>
  <c r="L221" i="3"/>
  <c r="M403" i="2"/>
  <c r="L887" i="1" s="1"/>
  <c r="L441" i="1" s="1"/>
  <c r="L443" i="1" s="1"/>
  <c r="E44" i="9" s="1"/>
  <c r="N235" i="2"/>
  <c r="E160" i="2"/>
  <c r="E162" i="2" s="1"/>
  <c r="E164" i="2" s="1"/>
  <c r="E166" i="2" s="1"/>
  <c r="F160" i="2"/>
  <c r="G160" i="2"/>
  <c r="G162" i="2" s="1"/>
  <c r="G164" i="2" s="1"/>
  <c r="G166" i="2" s="1"/>
  <c r="H160" i="2"/>
  <c r="H162" i="2" s="1"/>
  <c r="H164" i="2" s="1"/>
  <c r="H166" i="2" s="1"/>
  <c r="I160" i="2"/>
  <c r="D160" i="2"/>
  <c r="D162" i="2" s="1"/>
  <c r="D164" i="2" s="1"/>
  <c r="D166" i="2" s="1"/>
  <c r="L97" i="2"/>
  <c r="M97" i="2" s="1"/>
  <c r="N97" i="2" s="1"/>
  <c r="O581" i="1" s="1"/>
  <c r="D2349" i="1"/>
  <c r="D2358" i="1"/>
  <c r="D2366" i="1"/>
  <c r="D2379" i="1"/>
  <c r="D2385" i="1"/>
  <c r="D2392" i="1"/>
  <c r="E2349" i="1"/>
  <c r="E2358" i="1"/>
  <c r="E2366" i="1"/>
  <c r="E2379" i="1"/>
  <c r="E2385" i="1"/>
  <c r="E2392" i="1"/>
  <c r="F2349" i="1"/>
  <c r="F2358" i="1"/>
  <c r="F2366" i="1"/>
  <c r="F2379" i="1"/>
  <c r="F2385" i="1"/>
  <c r="F2392" i="1"/>
  <c r="G2349" i="1"/>
  <c r="G2358" i="1"/>
  <c r="G2366" i="1"/>
  <c r="G2379" i="1"/>
  <c r="G2385" i="1"/>
  <c r="G2392" i="1"/>
  <c r="H2349" i="1"/>
  <c r="H2358" i="1"/>
  <c r="H2366" i="1"/>
  <c r="H2379" i="1"/>
  <c r="H2385" i="1"/>
  <c r="H2392" i="1"/>
  <c r="D454" i="6"/>
  <c r="J454" i="6" s="1"/>
  <c r="I2336" i="1" s="1"/>
  <c r="D455" i="6"/>
  <c r="J455" i="6" s="1"/>
  <c r="I2337" i="1" s="1"/>
  <c r="D456" i="6"/>
  <c r="J456" i="6" s="1"/>
  <c r="I2338" i="1" s="1"/>
  <c r="D457" i="6"/>
  <c r="J457" i="6"/>
  <c r="I2339" i="1" s="1"/>
  <c r="D458" i="6"/>
  <c r="D459" i="6"/>
  <c r="J459" i="6"/>
  <c r="I2341" i="1" s="1"/>
  <c r="D460" i="6"/>
  <c r="J460" i="6" s="1"/>
  <c r="I2342" i="1" s="1"/>
  <c r="D461" i="6"/>
  <c r="J461" i="6" s="1"/>
  <c r="I2343" i="1" s="1"/>
  <c r="D462" i="6"/>
  <c r="J462" i="6" s="1"/>
  <c r="I2344" i="1" s="1"/>
  <c r="D463" i="6"/>
  <c r="J463" i="6" s="1"/>
  <c r="I2345" i="1" s="1"/>
  <c r="D464" i="6"/>
  <c r="D465" i="6"/>
  <c r="J465" i="6"/>
  <c r="I2347" i="1" s="1"/>
  <c r="I2348" i="1"/>
  <c r="D471" i="6"/>
  <c r="J471" i="6" s="1"/>
  <c r="I2353" i="1" s="1"/>
  <c r="D472" i="6"/>
  <c r="D473" i="6"/>
  <c r="J473" i="6" s="1"/>
  <c r="I2355" i="1" s="1"/>
  <c r="D474" i="6"/>
  <c r="J474" i="6"/>
  <c r="I2356" i="1" s="1"/>
  <c r="I2357" i="1"/>
  <c r="D480" i="6"/>
  <c r="J480" i="6" s="1"/>
  <c r="I2362" i="1" s="1"/>
  <c r="D481" i="6"/>
  <c r="D482" i="6"/>
  <c r="I2365" i="1"/>
  <c r="D492" i="6"/>
  <c r="J492" i="6" s="1"/>
  <c r="I2374" i="1" s="1"/>
  <c r="I346" i="1" s="1"/>
  <c r="D493" i="6"/>
  <c r="J493" i="6" s="1"/>
  <c r="I2375" i="1" s="1"/>
  <c r="I353" i="1" s="1"/>
  <c r="D494" i="6"/>
  <c r="J494" i="6" s="1"/>
  <c r="I2376" i="1" s="1"/>
  <c r="D495" i="6"/>
  <c r="J495" i="6"/>
  <c r="I2377" i="1" s="1"/>
  <c r="I2378" i="1"/>
  <c r="J501" i="6"/>
  <c r="I2383" i="1" s="1"/>
  <c r="I2384" i="1"/>
  <c r="D507" i="6"/>
  <c r="J507" i="6" s="1"/>
  <c r="I2389" i="1" s="1"/>
  <c r="D508" i="6"/>
  <c r="I2391" i="1"/>
  <c r="M2349" i="1"/>
  <c r="M2358" i="1"/>
  <c r="M2366" i="1"/>
  <c r="M2379" i="1"/>
  <c r="M2385" i="1"/>
  <c r="M2392" i="1"/>
  <c r="N2349" i="1"/>
  <c r="N2358" i="1"/>
  <c r="N2366" i="1"/>
  <c r="N2379" i="1"/>
  <c r="N2385" i="1"/>
  <c r="N2392" i="1"/>
  <c r="D2271" i="1"/>
  <c r="D2281" i="1"/>
  <c r="D2289" i="1"/>
  <c r="D2301" i="1"/>
  <c r="D2303" i="1" s="1"/>
  <c r="D2311" i="1"/>
  <c r="D2317" i="1"/>
  <c r="D2324" i="1"/>
  <c r="E2271" i="1"/>
  <c r="E2281" i="1"/>
  <c r="E2289" i="1"/>
  <c r="E2301" i="1"/>
  <c r="E2303" i="1" s="1"/>
  <c r="E2311" i="1"/>
  <c r="E2317" i="1"/>
  <c r="E2324" i="1"/>
  <c r="F2271" i="1"/>
  <c r="F2281" i="1"/>
  <c r="F2289" i="1"/>
  <c r="F2301" i="1"/>
  <c r="F2303" i="1" s="1"/>
  <c r="F2311" i="1"/>
  <c r="F2317" i="1"/>
  <c r="F2324" i="1"/>
  <c r="G2271" i="1"/>
  <c r="G2281" i="1"/>
  <c r="G2289" i="1"/>
  <c r="G2301" i="1"/>
  <c r="G2303" i="1" s="1"/>
  <c r="G2311" i="1"/>
  <c r="G2317" i="1"/>
  <c r="G2324" i="1"/>
  <c r="H2271" i="1"/>
  <c r="H2281" i="1"/>
  <c r="H2289" i="1"/>
  <c r="H2301" i="1"/>
  <c r="H2303" i="1" s="1"/>
  <c r="H2311" i="1"/>
  <c r="H2317" i="1"/>
  <c r="H2324" i="1"/>
  <c r="D376" i="6"/>
  <c r="J376" i="6" s="1"/>
  <c r="I2258" i="1" s="1"/>
  <c r="D377" i="6"/>
  <c r="J377" i="6"/>
  <c r="I2259" i="1" s="1"/>
  <c r="D378" i="6"/>
  <c r="J378" i="6" s="1"/>
  <c r="I2260" i="1" s="1"/>
  <c r="D379" i="6"/>
  <c r="J379" i="6" s="1"/>
  <c r="I2261" i="1" s="1"/>
  <c r="D380" i="6"/>
  <c r="J380" i="6" s="1"/>
  <c r="I2262" i="1" s="1"/>
  <c r="D381" i="6"/>
  <c r="J381" i="6" s="1"/>
  <c r="I2263" i="1" s="1"/>
  <c r="D382" i="6"/>
  <c r="J382" i="6" s="1"/>
  <c r="I2264" i="1" s="1"/>
  <c r="D383" i="6"/>
  <c r="J383" i="6" s="1"/>
  <c r="I2265" i="1" s="1"/>
  <c r="D384" i="6"/>
  <c r="J384" i="6" s="1"/>
  <c r="I2266" i="1" s="1"/>
  <c r="D385" i="6"/>
  <c r="J385" i="6" s="1"/>
  <c r="I2267" i="1" s="1"/>
  <c r="D386" i="6"/>
  <c r="D387" i="6"/>
  <c r="J387" i="6" s="1"/>
  <c r="I2269" i="1" s="1"/>
  <c r="I2270" i="1"/>
  <c r="D393" i="6"/>
  <c r="J393" i="6" s="1"/>
  <c r="I2275" i="1" s="1"/>
  <c r="D394" i="6"/>
  <c r="J394" i="6" s="1"/>
  <c r="I2276" i="1" s="1"/>
  <c r="D395" i="6"/>
  <c r="D396" i="6"/>
  <c r="J396" i="6" s="1"/>
  <c r="I2278" i="1" s="1"/>
  <c r="D397" i="6"/>
  <c r="J397" i="6" s="1"/>
  <c r="I2279" i="1" s="1"/>
  <c r="I2280" i="1"/>
  <c r="D403" i="6"/>
  <c r="J403" i="6" s="1"/>
  <c r="I2285" i="1" s="1"/>
  <c r="D404" i="6"/>
  <c r="J404" i="6" s="1"/>
  <c r="I2286" i="1" s="1"/>
  <c r="D405" i="6"/>
  <c r="I2288" i="1"/>
  <c r="D417" i="6"/>
  <c r="J417" i="6" s="1"/>
  <c r="I2299" i="1" s="1"/>
  <c r="I297" i="1" s="1"/>
  <c r="I2300" i="1"/>
  <c r="D425" i="6"/>
  <c r="J425" i="6" s="1"/>
  <c r="I2307" i="1" s="1"/>
  <c r="D426" i="6"/>
  <c r="J426" i="6" s="1"/>
  <c r="I2308" i="1" s="1"/>
  <c r="D427" i="6"/>
  <c r="J427" i="6" s="1"/>
  <c r="I2309" i="1" s="1"/>
  <c r="I2310" i="1"/>
  <c r="D433" i="6"/>
  <c r="J433" i="6" s="1"/>
  <c r="I2315" i="1" s="1"/>
  <c r="I2316" i="1"/>
  <c r="D439" i="6"/>
  <c r="J439" i="6" s="1"/>
  <c r="I2321" i="1" s="1"/>
  <c r="D440" i="6"/>
  <c r="J440" i="6" s="1"/>
  <c r="I2322" i="1" s="1"/>
  <c r="I2323" i="1"/>
  <c r="J2299" i="1"/>
  <c r="J297" i="1" s="1"/>
  <c r="J2300" i="1"/>
  <c r="K2299" i="1"/>
  <c r="K2300" i="1"/>
  <c r="L2299" i="1"/>
  <c r="L297" i="1" s="1"/>
  <c r="L2300" i="1"/>
  <c r="M2271" i="1"/>
  <c r="M2281" i="1"/>
  <c r="M2289" i="1"/>
  <c r="M2301" i="1"/>
  <c r="M2303" i="1" s="1"/>
  <c r="M2311" i="1"/>
  <c r="M2317" i="1"/>
  <c r="M2324" i="1"/>
  <c r="N2271" i="1"/>
  <c r="N2281" i="1"/>
  <c r="N2289" i="1"/>
  <c r="N2301" i="1"/>
  <c r="N2303" i="1" s="1"/>
  <c r="N2311" i="1"/>
  <c r="N2317" i="1"/>
  <c r="N2324" i="1"/>
  <c r="O2299" i="1"/>
  <c r="D2901" i="1"/>
  <c r="D2910" i="1"/>
  <c r="D2918" i="1"/>
  <c r="E2901" i="1"/>
  <c r="E2910" i="1"/>
  <c r="E2918" i="1"/>
  <c r="F2901" i="1"/>
  <c r="F2910" i="1"/>
  <c r="F2918" i="1"/>
  <c r="G2901" i="1"/>
  <c r="G2910" i="1"/>
  <c r="G2918" i="1"/>
  <c r="H2901" i="1"/>
  <c r="H2910" i="1"/>
  <c r="H2918" i="1"/>
  <c r="I2900" i="1"/>
  <c r="I2909" i="1"/>
  <c r="I2917" i="1"/>
  <c r="M2910" i="1"/>
  <c r="M2918" i="1"/>
  <c r="N2899" i="1"/>
  <c r="N2901" i="1" s="1"/>
  <c r="N2910" i="1"/>
  <c r="N2918" i="1"/>
  <c r="C2901" i="1"/>
  <c r="C2910" i="1"/>
  <c r="C2918" i="1"/>
  <c r="D2250" i="1"/>
  <c r="E2250" i="1"/>
  <c r="F2250" i="1"/>
  <c r="G2250" i="1"/>
  <c r="H2250" i="1"/>
  <c r="K366" i="6"/>
  <c r="J2248" i="1" s="1"/>
  <c r="J2250" i="1" s="1"/>
  <c r="D366" i="6"/>
  <c r="I2249" i="1"/>
  <c r="L366" i="6"/>
  <c r="K2248" i="1" s="1"/>
  <c r="M366" i="6"/>
  <c r="L2248" i="1"/>
  <c r="L2250" i="1" s="1"/>
  <c r="M2250" i="1"/>
  <c r="N2250" i="1"/>
  <c r="O2248" i="1"/>
  <c r="D2142" i="1"/>
  <c r="D2148" i="1"/>
  <c r="D2174" i="1"/>
  <c r="D2184" i="1"/>
  <c r="D2192" i="1"/>
  <c r="D2207" i="1"/>
  <c r="D2214" i="1"/>
  <c r="D2225" i="1"/>
  <c r="D2231" i="1"/>
  <c r="D2240" i="1"/>
  <c r="E2142" i="1"/>
  <c r="E2148" i="1"/>
  <c r="E2174" i="1"/>
  <c r="E2184" i="1"/>
  <c r="E2192" i="1"/>
  <c r="E2207" i="1"/>
  <c r="E2214" i="1"/>
  <c r="E2225" i="1"/>
  <c r="E2231" i="1"/>
  <c r="E2240" i="1"/>
  <c r="F2142" i="1"/>
  <c r="F2148" i="1"/>
  <c r="F2174" i="1"/>
  <c r="F2184" i="1"/>
  <c r="F2192" i="1"/>
  <c r="F2207" i="1"/>
  <c r="F2214" i="1"/>
  <c r="F2225" i="1"/>
  <c r="F2231" i="1"/>
  <c r="F2240" i="1"/>
  <c r="G2142" i="1"/>
  <c r="G2148" i="1"/>
  <c r="G2174" i="1"/>
  <c r="G2184" i="1"/>
  <c r="G2192" i="1"/>
  <c r="G2207" i="1"/>
  <c r="G2214" i="1"/>
  <c r="G2225" i="1"/>
  <c r="G2231" i="1"/>
  <c r="G2240" i="1"/>
  <c r="H2142" i="1"/>
  <c r="H2148" i="1"/>
  <c r="H2174" i="1"/>
  <c r="H2184" i="1"/>
  <c r="H2192" i="1"/>
  <c r="H2207" i="1"/>
  <c r="H2214" i="1"/>
  <c r="H2225" i="1"/>
  <c r="H2231" i="1"/>
  <c r="H2240" i="1"/>
  <c r="I2141" i="1"/>
  <c r="I2147" i="1"/>
  <c r="D279" i="6"/>
  <c r="D280" i="6"/>
  <c r="J280" i="6" s="1"/>
  <c r="I2162" i="1" s="1"/>
  <c r="D281" i="6"/>
  <c r="J281" i="6" s="1"/>
  <c r="I2163" i="1" s="1"/>
  <c r="D282" i="6"/>
  <c r="J282" i="6" s="1"/>
  <c r="I2164" i="1" s="1"/>
  <c r="D283" i="6"/>
  <c r="J283" i="6" s="1"/>
  <c r="I2165" i="1" s="1"/>
  <c r="D284" i="6"/>
  <c r="J284" i="6"/>
  <c r="I2166" i="1" s="1"/>
  <c r="D285" i="6"/>
  <c r="J285" i="6" s="1"/>
  <c r="I2167" i="1" s="1"/>
  <c r="D286" i="6"/>
  <c r="D287" i="6"/>
  <c r="J287" i="6" s="1"/>
  <c r="I2169" i="1" s="1"/>
  <c r="D288" i="6"/>
  <c r="J288" i="6" s="1"/>
  <c r="I2170" i="1" s="1"/>
  <c r="D289" i="6"/>
  <c r="J289" i="6" s="1"/>
  <c r="I2171" i="1" s="1"/>
  <c r="D290" i="6"/>
  <c r="J290" i="6" s="1"/>
  <c r="I2172" i="1" s="1"/>
  <c r="I2173" i="1"/>
  <c r="D296" i="6"/>
  <c r="J296" i="6" s="1"/>
  <c r="I2178" i="1" s="1"/>
  <c r="D297" i="6"/>
  <c r="J297" i="6" s="1"/>
  <c r="I2179" i="1" s="1"/>
  <c r="D298" i="6"/>
  <c r="J298" i="6" s="1"/>
  <c r="I2180" i="1" s="1"/>
  <c r="D299" i="6"/>
  <c r="J299" i="6" s="1"/>
  <c r="I2181" i="1" s="1"/>
  <c r="D300" i="6"/>
  <c r="J300" i="6" s="1"/>
  <c r="I2182" i="1" s="1"/>
  <c r="I2183" i="1"/>
  <c r="D306" i="6"/>
  <c r="D307" i="6"/>
  <c r="J307" i="6" s="1"/>
  <c r="I2189" i="1" s="1"/>
  <c r="D308" i="6"/>
  <c r="J308" i="6" s="1"/>
  <c r="I2190" i="1" s="1"/>
  <c r="I2191" i="1"/>
  <c r="D320" i="6"/>
  <c r="J320" i="6" s="1"/>
  <c r="I2202" i="1" s="1"/>
  <c r="D322" i="6"/>
  <c r="J322" i="6" s="1"/>
  <c r="I2204" i="1" s="1"/>
  <c r="D323" i="6"/>
  <c r="J323" i="6" s="1"/>
  <c r="I2205" i="1" s="1"/>
  <c r="I2206" i="1"/>
  <c r="D329" i="6"/>
  <c r="J329" i="6" s="1"/>
  <c r="I2211" i="1" s="1"/>
  <c r="I2213" i="1"/>
  <c r="D338" i="6"/>
  <c r="J338" i="6" s="1"/>
  <c r="I2220" i="1" s="1"/>
  <c r="D339" i="6"/>
  <c r="J339" i="6" s="1"/>
  <c r="I2221" i="1" s="1"/>
  <c r="D340" i="6"/>
  <c r="D341" i="6"/>
  <c r="J341" i="6" s="1"/>
  <c r="I2223" i="1" s="1"/>
  <c r="I2224" i="1"/>
  <c r="J347" i="6"/>
  <c r="I2229" i="1" s="1"/>
  <c r="I2230" i="1"/>
  <c r="D353" i="6"/>
  <c r="J353" i="6" s="1"/>
  <c r="I2235" i="1" s="1"/>
  <c r="D354" i="6"/>
  <c r="J354" i="6"/>
  <c r="I2236" i="1" s="1"/>
  <c r="D355" i="6"/>
  <c r="I2239" i="1"/>
  <c r="J2202" i="1"/>
  <c r="J2204" i="1"/>
  <c r="J2205" i="1"/>
  <c r="J2211" i="1"/>
  <c r="J2214" i="1" s="1"/>
  <c r="K2204" i="1"/>
  <c r="K2205" i="1"/>
  <c r="K2211" i="1"/>
  <c r="K2214" i="1" s="1"/>
  <c r="L2205" i="1"/>
  <c r="L2211" i="1"/>
  <c r="L2214" i="1" s="1"/>
  <c r="M2142" i="1"/>
  <c r="M2148" i="1"/>
  <c r="M2174" i="1"/>
  <c r="M2184" i="1"/>
  <c r="M2192" i="1"/>
  <c r="M2207" i="1"/>
  <c r="M2214" i="1"/>
  <c r="M2225" i="1"/>
  <c r="M2231" i="1"/>
  <c r="M2240" i="1"/>
  <c r="N2142" i="1"/>
  <c r="N2148" i="1"/>
  <c r="N2174" i="1"/>
  <c r="N2184" i="1"/>
  <c r="N2192" i="1"/>
  <c r="N2207" i="1"/>
  <c r="N2214" i="1"/>
  <c r="N2225" i="1"/>
  <c r="N2231" i="1"/>
  <c r="N2240" i="1"/>
  <c r="O2204" i="1"/>
  <c r="O2205" i="1"/>
  <c r="O2211" i="1"/>
  <c r="O2214" i="1" s="1"/>
  <c r="E264" i="6"/>
  <c r="F264" i="6"/>
  <c r="G264" i="6"/>
  <c r="H264" i="6"/>
  <c r="I264" i="6"/>
  <c r="D264" i="6"/>
  <c r="E258" i="6"/>
  <c r="F258" i="6"/>
  <c r="F260" i="6" s="1"/>
  <c r="G258" i="6"/>
  <c r="H258" i="6"/>
  <c r="I258" i="6"/>
  <c r="D258" i="6"/>
  <c r="D260" i="6" s="1"/>
  <c r="D2134" i="1"/>
  <c r="E2134" i="1"/>
  <c r="F2134" i="1"/>
  <c r="G2134" i="1"/>
  <c r="H2134" i="1"/>
  <c r="K250" i="6"/>
  <c r="J2132" i="1" s="1"/>
  <c r="J2134" i="1" s="1"/>
  <c r="D250" i="6"/>
  <c r="I2133" i="1"/>
  <c r="M250" i="6"/>
  <c r="M2134" i="1"/>
  <c r="N2134" i="1"/>
  <c r="D2057" i="1"/>
  <c r="D2061" i="1" s="1"/>
  <c r="D2063" i="1" s="1"/>
  <c r="D2082" i="1"/>
  <c r="D2091" i="1"/>
  <c r="D2099" i="1"/>
  <c r="D2110" i="1"/>
  <c r="D2124" i="1"/>
  <c r="E2057" i="1"/>
  <c r="E2061" i="1" s="1"/>
  <c r="E2063" i="1" s="1"/>
  <c r="E2082" i="1"/>
  <c r="E2091" i="1"/>
  <c r="E2099" i="1"/>
  <c r="E2110" i="1"/>
  <c r="E2124" i="1"/>
  <c r="F2057" i="1"/>
  <c r="F2061" i="1" s="1"/>
  <c r="F2063" i="1" s="1"/>
  <c r="F2082" i="1"/>
  <c r="F2091" i="1"/>
  <c r="F2099" i="1"/>
  <c r="F2110" i="1"/>
  <c r="F2124" i="1"/>
  <c r="G2057" i="1"/>
  <c r="G2061" i="1" s="1"/>
  <c r="G2063" i="1" s="1"/>
  <c r="G2082" i="1"/>
  <c r="G2091" i="1"/>
  <c r="G2099" i="1"/>
  <c r="G2110" i="1"/>
  <c r="G2124" i="1"/>
  <c r="H2057" i="1"/>
  <c r="H2061" i="1" s="1"/>
  <c r="H2063" i="1" s="1"/>
  <c r="H2082" i="1"/>
  <c r="H2091" i="1"/>
  <c r="H2099" i="1"/>
  <c r="H2110" i="1"/>
  <c r="H2124" i="1"/>
  <c r="I2056" i="1"/>
  <c r="D188" i="6"/>
  <c r="J188" i="6" s="1"/>
  <c r="I2070" i="1" s="1"/>
  <c r="D189" i="6"/>
  <c r="J189" i="6" s="1"/>
  <c r="I2071" i="1" s="1"/>
  <c r="D190" i="6"/>
  <c r="J190" i="6" s="1"/>
  <c r="I2072" i="1" s="1"/>
  <c r="D191" i="6"/>
  <c r="J191" i="6" s="1"/>
  <c r="I2073" i="1" s="1"/>
  <c r="D192" i="6"/>
  <c r="J192" i="6" s="1"/>
  <c r="I2074" i="1" s="1"/>
  <c r="D193" i="6"/>
  <c r="J193" i="6"/>
  <c r="I2075" i="1" s="1"/>
  <c r="D194" i="6"/>
  <c r="D195" i="6"/>
  <c r="J195" i="6" s="1"/>
  <c r="I2077" i="1" s="1"/>
  <c r="D196" i="6"/>
  <c r="J196" i="6" s="1"/>
  <c r="I2078" i="1" s="1"/>
  <c r="D197" i="6"/>
  <c r="J197" i="6" s="1"/>
  <c r="I2079" i="1" s="1"/>
  <c r="D198" i="6"/>
  <c r="J198" i="6" s="1"/>
  <c r="I2080" i="1" s="1"/>
  <c r="I2081" i="1"/>
  <c r="D204" i="6"/>
  <c r="J204" i="6" s="1"/>
  <c r="I2086" i="1" s="1"/>
  <c r="D205" i="6"/>
  <c r="J205" i="6" s="1"/>
  <c r="I2087" i="1" s="1"/>
  <c r="D206" i="6"/>
  <c r="D207" i="6"/>
  <c r="J207" i="6" s="1"/>
  <c r="I2089" i="1" s="1"/>
  <c r="I2090" i="1"/>
  <c r="D213" i="6"/>
  <c r="J213" i="6" s="1"/>
  <c r="I2095" i="1" s="1"/>
  <c r="D214" i="6"/>
  <c r="J214" i="6" s="1"/>
  <c r="I2096" i="1" s="1"/>
  <c r="D215" i="6"/>
  <c r="J215" i="6"/>
  <c r="I2097" i="1" s="1"/>
  <c r="I2098" i="1"/>
  <c r="D225" i="6"/>
  <c r="J225" i="6" s="1"/>
  <c r="I2107" i="1" s="1"/>
  <c r="D226" i="6"/>
  <c r="I2109" i="1"/>
  <c r="K234" i="6"/>
  <c r="D232" i="6"/>
  <c r="D234" i="6" s="1"/>
  <c r="D238" i="6"/>
  <c r="J238" i="6" s="1"/>
  <c r="I2120" i="1" s="1"/>
  <c r="D239" i="6"/>
  <c r="J239" i="6" s="1"/>
  <c r="I2121" i="1" s="1"/>
  <c r="D240" i="6"/>
  <c r="J240" i="6" s="1"/>
  <c r="I2122" i="1" s="1"/>
  <c r="I2123" i="1"/>
  <c r="L234" i="6"/>
  <c r="K2116" i="1" s="1"/>
  <c r="M234" i="6"/>
  <c r="L2116" i="1" s="1"/>
  <c r="M2057" i="1"/>
  <c r="M2061" i="1" s="1"/>
  <c r="M2063" i="1" s="1"/>
  <c r="M2082" i="1"/>
  <c r="M2091" i="1"/>
  <c r="M2099" i="1"/>
  <c r="M2110" i="1"/>
  <c r="M2124" i="1"/>
  <c r="N2057" i="1"/>
  <c r="N2061" i="1" s="1"/>
  <c r="N2063" i="1" s="1"/>
  <c r="N2082" i="1"/>
  <c r="N2091" i="1"/>
  <c r="N2099" i="1"/>
  <c r="N2110" i="1"/>
  <c r="N2124" i="1"/>
  <c r="D1868" i="1"/>
  <c r="D1870" i="1" s="1"/>
  <c r="D1872" i="1" s="1"/>
  <c r="D1880" i="1"/>
  <c r="E1868" i="1"/>
  <c r="E1870" i="1" s="1"/>
  <c r="E1872" i="1" s="1"/>
  <c r="E1880" i="1"/>
  <c r="F1868" i="1"/>
  <c r="F1870" i="1" s="1"/>
  <c r="F1872" i="1" s="1"/>
  <c r="F1880" i="1"/>
  <c r="G1868" i="1"/>
  <c r="G1870" i="1" s="1"/>
  <c r="G1872" i="1" s="1"/>
  <c r="G1880" i="1"/>
  <c r="H1868" i="1"/>
  <c r="H1870" i="1" s="1"/>
  <c r="H1872" i="1" s="1"/>
  <c r="H1880" i="1"/>
  <c r="I1867" i="1"/>
  <c r="I1871" i="1"/>
  <c r="I1879" i="1"/>
  <c r="M1868" i="1"/>
  <c r="M1870" i="1" s="1"/>
  <c r="M1872" i="1" s="1"/>
  <c r="M1880" i="1"/>
  <c r="N1868" i="1"/>
  <c r="N1870" i="1" s="1"/>
  <c r="N1872" i="1" s="1"/>
  <c r="N1880" i="1"/>
  <c r="D1850" i="1"/>
  <c r="D1856" i="1"/>
  <c r="E1850" i="1"/>
  <c r="E1856" i="1"/>
  <c r="F1850" i="1"/>
  <c r="F1856" i="1"/>
  <c r="G1850" i="1"/>
  <c r="G1856" i="1"/>
  <c r="H1850" i="1"/>
  <c r="H1856" i="1"/>
  <c r="I1849" i="1"/>
  <c r="I1855" i="1"/>
  <c r="M1850" i="1"/>
  <c r="M1856" i="1"/>
  <c r="N1850" i="1"/>
  <c r="N1856" i="1"/>
  <c r="D1815" i="1"/>
  <c r="D1823" i="1"/>
  <c r="D1835" i="1"/>
  <c r="E1815" i="1"/>
  <c r="E1823" i="1"/>
  <c r="E1835" i="1"/>
  <c r="F1815" i="1"/>
  <c r="F1823" i="1"/>
  <c r="F1835" i="1"/>
  <c r="G1815" i="1"/>
  <c r="G1823" i="1"/>
  <c r="G1835" i="1"/>
  <c r="H1815" i="1"/>
  <c r="H1823" i="1"/>
  <c r="H1835" i="1"/>
  <c r="I1814" i="1"/>
  <c r="I1822" i="1"/>
  <c r="I1834" i="1"/>
  <c r="J1822" i="1"/>
  <c r="K1822" i="1"/>
  <c r="L1822" i="1"/>
  <c r="M1815" i="1"/>
  <c r="M1823" i="1"/>
  <c r="M1835" i="1"/>
  <c r="N1815" i="1"/>
  <c r="N1823" i="1"/>
  <c r="N1835" i="1"/>
  <c r="O1823" i="1"/>
  <c r="D1801" i="1"/>
  <c r="D1803" i="1" s="1"/>
  <c r="D1805" i="1" s="1"/>
  <c r="E1801" i="1"/>
  <c r="E1803" i="1" s="1"/>
  <c r="E1805" i="1" s="1"/>
  <c r="F1801" i="1"/>
  <c r="F1803" i="1" s="1"/>
  <c r="F1805" i="1" s="1"/>
  <c r="G1801" i="1"/>
  <c r="G1803" i="1" s="1"/>
  <c r="G1805" i="1" s="1"/>
  <c r="H1801" i="1"/>
  <c r="H1803" i="1" s="1"/>
  <c r="H1805" i="1" s="1"/>
  <c r="I1800" i="1"/>
  <c r="M1801" i="1"/>
  <c r="M1803" i="1" s="1"/>
  <c r="M1805" i="1" s="1"/>
  <c r="N1801" i="1"/>
  <c r="N1803" i="1" s="1"/>
  <c r="N1805" i="1" s="1"/>
  <c r="D1764" i="1"/>
  <c r="D1772" i="1"/>
  <c r="D1785" i="1"/>
  <c r="E1764" i="1"/>
  <c r="E1772" i="1"/>
  <c r="E1785" i="1"/>
  <c r="F1764" i="1"/>
  <c r="F1772" i="1"/>
  <c r="F1785" i="1"/>
  <c r="G1764" i="1"/>
  <c r="G1772" i="1"/>
  <c r="G1785" i="1"/>
  <c r="H1764" i="1"/>
  <c r="H1772" i="1"/>
  <c r="H1785" i="1"/>
  <c r="I1763" i="1"/>
  <c r="I1771" i="1"/>
  <c r="I1784" i="1"/>
  <c r="J1771" i="1"/>
  <c r="K1771" i="1"/>
  <c r="L1771" i="1"/>
  <c r="M1764" i="1"/>
  <c r="M1772" i="1"/>
  <c r="M1785" i="1"/>
  <c r="N1764" i="1"/>
  <c r="N1772" i="1"/>
  <c r="N1785" i="1"/>
  <c r="O1772" i="1"/>
  <c r="D1750" i="1"/>
  <c r="D1752" i="1" s="1"/>
  <c r="D1754" i="1" s="1"/>
  <c r="E1750" i="1"/>
  <c r="E1752" i="1" s="1"/>
  <c r="E1754" i="1" s="1"/>
  <c r="F1750" i="1"/>
  <c r="F1752" i="1" s="1"/>
  <c r="F1754" i="1" s="1"/>
  <c r="G1750" i="1"/>
  <c r="G1752" i="1" s="1"/>
  <c r="G1754" i="1" s="1"/>
  <c r="H1750" i="1"/>
  <c r="H1752" i="1" s="1"/>
  <c r="H1754" i="1" s="1"/>
  <c r="I1749" i="1"/>
  <c r="M1750" i="1"/>
  <c r="M1752" i="1" s="1"/>
  <c r="M1754" i="1" s="1"/>
  <c r="N1750" i="1"/>
  <c r="N1752" i="1" s="1"/>
  <c r="N1754" i="1" s="1"/>
  <c r="D1691" i="1"/>
  <c r="D1700" i="1"/>
  <c r="D1714" i="1"/>
  <c r="D1722" i="1"/>
  <c r="D1735" i="1"/>
  <c r="E1691" i="1"/>
  <c r="E1700" i="1"/>
  <c r="E1714" i="1"/>
  <c r="E1722" i="1"/>
  <c r="E1735" i="1"/>
  <c r="F1691" i="1"/>
  <c r="F1700" i="1"/>
  <c r="F1714" i="1"/>
  <c r="F1722" i="1"/>
  <c r="F1735" i="1"/>
  <c r="G1691" i="1"/>
  <c r="G1700" i="1"/>
  <c r="G1714" i="1"/>
  <c r="G1722" i="1"/>
  <c r="G1735" i="1"/>
  <c r="H1691" i="1"/>
  <c r="H1700" i="1"/>
  <c r="H1714" i="1"/>
  <c r="H1722" i="1"/>
  <c r="H1735" i="1"/>
  <c r="I1690" i="1"/>
  <c r="I1699" i="1"/>
  <c r="I1713" i="1"/>
  <c r="I1721" i="1"/>
  <c r="I1734" i="1"/>
  <c r="J1721" i="1"/>
  <c r="K1721" i="1"/>
  <c r="L1721" i="1"/>
  <c r="M1691" i="1"/>
  <c r="M1700" i="1"/>
  <c r="M1714" i="1"/>
  <c r="M1722" i="1"/>
  <c r="M1735" i="1"/>
  <c r="N1691" i="1"/>
  <c r="N1700" i="1"/>
  <c r="N1714" i="1"/>
  <c r="N1722" i="1"/>
  <c r="N1735" i="1"/>
  <c r="O1722" i="1"/>
  <c r="D1664" i="1"/>
  <c r="D1666" i="1" s="1"/>
  <c r="D1672" i="1"/>
  <c r="E1664" i="1"/>
  <c r="E1666" i="1" s="1"/>
  <c r="E1672" i="1"/>
  <c r="F1664" i="1"/>
  <c r="F1666" i="1" s="1"/>
  <c r="F1672" i="1"/>
  <c r="G1664" i="1"/>
  <c r="G1666" i="1" s="1"/>
  <c r="G1672" i="1"/>
  <c r="H1664" i="1"/>
  <c r="H1666" i="1" s="1"/>
  <c r="H1672" i="1"/>
  <c r="I1663" i="1"/>
  <c r="M1664" i="1"/>
  <c r="M1666" i="1" s="1"/>
  <c r="M1672" i="1"/>
  <c r="N1664" i="1"/>
  <c r="N1666" i="1" s="1"/>
  <c r="N1672" i="1"/>
  <c r="D1577" i="1"/>
  <c r="D1586" i="1"/>
  <c r="D1594" i="1"/>
  <c r="D1608" i="1"/>
  <c r="D1618" i="1" s="1"/>
  <c r="D1620" i="1" s="1"/>
  <c r="D1634" i="1"/>
  <c r="D1636" i="1" s="1"/>
  <c r="D1648" i="1"/>
  <c r="E1577" i="1"/>
  <c r="E1586" i="1"/>
  <c r="E1594" i="1"/>
  <c r="E1608" i="1"/>
  <c r="E1618" i="1" s="1"/>
  <c r="E1620" i="1" s="1"/>
  <c r="E1634" i="1"/>
  <c r="E1636" i="1" s="1"/>
  <c r="E1648" i="1"/>
  <c r="F1577" i="1"/>
  <c r="F1586" i="1"/>
  <c r="F1594" i="1"/>
  <c r="F1608" i="1"/>
  <c r="F1618" i="1" s="1"/>
  <c r="F1620" i="1" s="1"/>
  <c r="F1634" i="1"/>
  <c r="F1636" i="1" s="1"/>
  <c r="F1648" i="1"/>
  <c r="G1577" i="1"/>
  <c r="G1586" i="1"/>
  <c r="G1594" i="1"/>
  <c r="G1608" i="1"/>
  <c r="G1618" i="1" s="1"/>
  <c r="G1620" i="1" s="1"/>
  <c r="G1634" i="1"/>
  <c r="G1636" i="1" s="1"/>
  <c r="G1648" i="1"/>
  <c r="H1577" i="1"/>
  <c r="H1586" i="1"/>
  <c r="H1594" i="1"/>
  <c r="H1608" i="1"/>
  <c r="H1618" i="1" s="1"/>
  <c r="H1620" i="1" s="1"/>
  <c r="H1634" i="1"/>
  <c r="H1636" i="1" s="1"/>
  <c r="H1648" i="1"/>
  <c r="I1576" i="1"/>
  <c r="I1585" i="1"/>
  <c r="I1593" i="1"/>
  <c r="I1607" i="1"/>
  <c r="I1633" i="1"/>
  <c r="I1647" i="1"/>
  <c r="M1577" i="1"/>
  <c r="M1586" i="1"/>
  <c r="M1594" i="1"/>
  <c r="M1608" i="1"/>
  <c r="M1618" i="1" s="1"/>
  <c r="M1620" i="1" s="1"/>
  <c r="M1634" i="1"/>
  <c r="M1636" i="1" s="1"/>
  <c r="M1648" i="1"/>
  <c r="N1577" i="1"/>
  <c r="N1586" i="1"/>
  <c r="N1594" i="1"/>
  <c r="N1608" i="1"/>
  <c r="N1618" i="1" s="1"/>
  <c r="N1620" i="1" s="1"/>
  <c r="N1634" i="1"/>
  <c r="N1636" i="1" s="1"/>
  <c r="N1648" i="1"/>
  <c r="O1616" i="1"/>
  <c r="O1615" i="1"/>
  <c r="O1612" i="1"/>
  <c r="D1503" i="1"/>
  <c r="D1513" i="1"/>
  <c r="D1521" i="1"/>
  <c r="D1533" i="1"/>
  <c r="D1537" i="1" s="1"/>
  <c r="D1546" i="1"/>
  <c r="D1553" i="1"/>
  <c r="E1503" i="1"/>
  <c r="E1513" i="1"/>
  <c r="E1521" i="1"/>
  <c r="E1533" i="1"/>
  <c r="E1537" i="1" s="1"/>
  <c r="E1546" i="1"/>
  <c r="E1553" i="1"/>
  <c r="F1503" i="1"/>
  <c r="F1513" i="1"/>
  <c r="F1521" i="1"/>
  <c r="F1533" i="1"/>
  <c r="F1537" i="1" s="1"/>
  <c r="F1546" i="1"/>
  <c r="F1553" i="1"/>
  <c r="G1503" i="1"/>
  <c r="G1513" i="1"/>
  <c r="G1521" i="1"/>
  <c r="G1533" i="1"/>
  <c r="G1537" i="1" s="1"/>
  <c r="G1546" i="1"/>
  <c r="G1553" i="1"/>
  <c r="H1503" i="1"/>
  <c r="H1513" i="1"/>
  <c r="H1521" i="1"/>
  <c r="H1533" i="1"/>
  <c r="H1537" i="1" s="1"/>
  <c r="H1546" i="1"/>
  <c r="H1553" i="1"/>
  <c r="I1502" i="1"/>
  <c r="I1512" i="1"/>
  <c r="I1520" i="1"/>
  <c r="I1532" i="1"/>
  <c r="I1545" i="1"/>
  <c r="I1552" i="1"/>
  <c r="M1503" i="1"/>
  <c r="M1513" i="1"/>
  <c r="M1521" i="1"/>
  <c r="M1533" i="1"/>
  <c r="M1537" i="1" s="1"/>
  <c r="M1546" i="1"/>
  <c r="M1553" i="1"/>
  <c r="N1503" i="1"/>
  <c r="N1513" i="1"/>
  <c r="N1521" i="1"/>
  <c r="N1533" i="1"/>
  <c r="N1537" i="1" s="1"/>
  <c r="N1546" i="1"/>
  <c r="N1553" i="1"/>
  <c r="G1483" i="1"/>
  <c r="D1433" i="1"/>
  <c r="D1442" i="1"/>
  <c r="D1450" i="1"/>
  <c r="D1462" i="1"/>
  <c r="D1466" i="1" s="1"/>
  <c r="D1473" i="1"/>
  <c r="E1433" i="1"/>
  <c r="E1442" i="1"/>
  <c r="E1450" i="1"/>
  <c r="E1462" i="1"/>
  <c r="E1466" i="1" s="1"/>
  <c r="E1473" i="1"/>
  <c r="F1433" i="1"/>
  <c r="F1442" i="1"/>
  <c r="F1450" i="1"/>
  <c r="F1462" i="1"/>
  <c r="F1466" i="1" s="1"/>
  <c r="F1473" i="1"/>
  <c r="G1433" i="1"/>
  <c r="G1442" i="1"/>
  <c r="G1450" i="1"/>
  <c r="G1462" i="1"/>
  <c r="G1466" i="1" s="1"/>
  <c r="G1473" i="1"/>
  <c r="H1433" i="1"/>
  <c r="H1442" i="1"/>
  <c r="H1450" i="1"/>
  <c r="H1462" i="1"/>
  <c r="H1466" i="1" s="1"/>
  <c r="H1473" i="1"/>
  <c r="I1432" i="1"/>
  <c r="I1441" i="1"/>
  <c r="I1449" i="1"/>
  <c r="I1461" i="1"/>
  <c r="I1472" i="1"/>
  <c r="M1433" i="1"/>
  <c r="M1442" i="1"/>
  <c r="M1450" i="1"/>
  <c r="M1462" i="1"/>
  <c r="M1466" i="1" s="1"/>
  <c r="M1473" i="1"/>
  <c r="N1433" i="1"/>
  <c r="N1442" i="1"/>
  <c r="N1450" i="1"/>
  <c r="N1462" i="1"/>
  <c r="N1466" i="1" s="1"/>
  <c r="N1473" i="1"/>
  <c r="D1374" i="1"/>
  <c r="D1383" i="1"/>
  <c r="D1391" i="1"/>
  <c r="E1374" i="1"/>
  <c r="E1383" i="1"/>
  <c r="E1391" i="1"/>
  <c r="E1405" i="1"/>
  <c r="F1374" i="1"/>
  <c r="F1383" i="1"/>
  <c r="F1391" i="1"/>
  <c r="G1374" i="1"/>
  <c r="G1383" i="1"/>
  <c r="G1391" i="1"/>
  <c r="H1374" i="1"/>
  <c r="H1383" i="1"/>
  <c r="H1391" i="1"/>
  <c r="I1373" i="1"/>
  <c r="I1382" i="1"/>
  <c r="I1390" i="1"/>
  <c r="I1404" i="1"/>
  <c r="M1374" i="1"/>
  <c r="M1383" i="1"/>
  <c r="M1391" i="1"/>
  <c r="M1405" i="1"/>
  <c r="N1374" i="1"/>
  <c r="N1383" i="1"/>
  <c r="N1391" i="1"/>
  <c r="D1310" i="1"/>
  <c r="D1319" i="1"/>
  <c r="D1327" i="1"/>
  <c r="D1339" i="1"/>
  <c r="D1345" i="1"/>
  <c r="D1354" i="1"/>
  <c r="E1310" i="1"/>
  <c r="E1319" i="1"/>
  <c r="E1327" i="1"/>
  <c r="E1339" i="1"/>
  <c r="E1345" i="1"/>
  <c r="E1354" i="1"/>
  <c r="F1310" i="1"/>
  <c r="F1319" i="1"/>
  <c r="F1327" i="1"/>
  <c r="F1339" i="1"/>
  <c r="F1345" i="1"/>
  <c r="F1354" i="1"/>
  <c r="G1310" i="1"/>
  <c r="G1319" i="1"/>
  <c r="G1327" i="1"/>
  <c r="G1339" i="1"/>
  <c r="G1345" i="1"/>
  <c r="G1354" i="1"/>
  <c r="H1310" i="1"/>
  <c r="H1319" i="1"/>
  <c r="H1327" i="1"/>
  <c r="H1339" i="1"/>
  <c r="H1345" i="1"/>
  <c r="H1354" i="1"/>
  <c r="I1309" i="1"/>
  <c r="I1318" i="1"/>
  <c r="I1326" i="1"/>
  <c r="I1338" i="1"/>
  <c r="I1344" i="1"/>
  <c r="I1353" i="1"/>
  <c r="M1310" i="1"/>
  <c r="M1319" i="1"/>
  <c r="M1327" i="1"/>
  <c r="M1339" i="1"/>
  <c r="M1345" i="1"/>
  <c r="M1354" i="1"/>
  <c r="N1310" i="1"/>
  <c r="N1319" i="1"/>
  <c r="N1327" i="1"/>
  <c r="N1339" i="1"/>
  <c r="N1345" i="1"/>
  <c r="N1354" i="1"/>
  <c r="D1206" i="1"/>
  <c r="D1208" i="1" s="1"/>
  <c r="D1210" i="1" s="1"/>
  <c r="D1226" i="1"/>
  <c r="D1235" i="1"/>
  <c r="D1243" i="1"/>
  <c r="D1254" i="1"/>
  <c r="D1260" i="1" s="1"/>
  <c r="D1274" i="1"/>
  <c r="D1288" i="1"/>
  <c r="E1206" i="1"/>
  <c r="E1208" i="1" s="1"/>
  <c r="E1210" i="1" s="1"/>
  <c r="E1226" i="1"/>
  <c r="E1235" i="1"/>
  <c r="E1243" i="1"/>
  <c r="E1254" i="1"/>
  <c r="E1260" i="1" s="1"/>
  <c r="E1274" i="1"/>
  <c r="E1288" i="1"/>
  <c r="F1206" i="1"/>
  <c r="F1208" i="1" s="1"/>
  <c r="F1210" i="1" s="1"/>
  <c r="F1226" i="1"/>
  <c r="F1235" i="1"/>
  <c r="F1243" i="1"/>
  <c r="F1254" i="1"/>
  <c r="F1260" i="1" s="1"/>
  <c r="F1274" i="1"/>
  <c r="F1288" i="1"/>
  <c r="G1206" i="1"/>
  <c r="G1208" i="1" s="1"/>
  <c r="G1210" i="1" s="1"/>
  <c r="G1226" i="1"/>
  <c r="G1235" i="1"/>
  <c r="G1243" i="1"/>
  <c r="G1254" i="1"/>
  <c r="G1260" i="1" s="1"/>
  <c r="G1274" i="1"/>
  <c r="G1288" i="1"/>
  <c r="H1206" i="1"/>
  <c r="H1208" i="1" s="1"/>
  <c r="H1210" i="1" s="1"/>
  <c r="H1226" i="1"/>
  <c r="H1235" i="1"/>
  <c r="H1243" i="1"/>
  <c r="H1254" i="1"/>
  <c r="H1260" i="1" s="1"/>
  <c r="H1274" i="1"/>
  <c r="H1288" i="1"/>
  <c r="I1205" i="1"/>
  <c r="I1225" i="1"/>
  <c r="I1234" i="1"/>
  <c r="I1242" i="1"/>
  <c r="I1253" i="1"/>
  <c r="I1273" i="1"/>
  <c r="I1282" i="1"/>
  <c r="I1287" i="1"/>
  <c r="J1282" i="1"/>
  <c r="M1206" i="1"/>
  <c r="M1208" i="1" s="1"/>
  <c r="M1210" i="1" s="1"/>
  <c r="M1226" i="1"/>
  <c r="M1235" i="1"/>
  <c r="M1243" i="1"/>
  <c r="M1254" i="1"/>
  <c r="M1260" i="1" s="1"/>
  <c r="M1274" i="1"/>
  <c r="M1288" i="1"/>
  <c r="N1206" i="1"/>
  <c r="N1208" i="1" s="1"/>
  <c r="N1210" i="1" s="1"/>
  <c r="N1226" i="1"/>
  <c r="N1235" i="1"/>
  <c r="N1243" i="1"/>
  <c r="N1254" i="1"/>
  <c r="N1260" i="1" s="1"/>
  <c r="N1274" i="1"/>
  <c r="N1288" i="1"/>
  <c r="O1282" i="1"/>
  <c r="D1168" i="1"/>
  <c r="D1177" i="1"/>
  <c r="D1185" i="1"/>
  <c r="E1168" i="1"/>
  <c r="E1177" i="1"/>
  <c r="E1185" i="1"/>
  <c r="F1168" i="1"/>
  <c r="F1177" i="1"/>
  <c r="F1185" i="1"/>
  <c r="G1168" i="1"/>
  <c r="G1177" i="1"/>
  <c r="G1185" i="1"/>
  <c r="H1168" i="1"/>
  <c r="H1177" i="1"/>
  <c r="H1185" i="1"/>
  <c r="J1167" i="1"/>
  <c r="K1167" i="1"/>
  <c r="L1167" i="1"/>
  <c r="M1168" i="1"/>
  <c r="M1177" i="1"/>
  <c r="N1168" i="1"/>
  <c r="N1177" i="1"/>
  <c r="N1185" i="1"/>
  <c r="E189" i="3"/>
  <c r="F189" i="3"/>
  <c r="E1081" i="1" s="1"/>
  <c r="E1083" i="1" s="1"/>
  <c r="G189" i="3"/>
  <c r="H189" i="3"/>
  <c r="G1081" i="1" s="1"/>
  <c r="G1083" i="1" s="1"/>
  <c r="I189" i="3"/>
  <c r="N1081" i="1"/>
  <c r="D189" i="3"/>
  <c r="D1061" i="1"/>
  <c r="D1067" i="1" s="1"/>
  <c r="E1061" i="1"/>
  <c r="E1067" i="1" s="1"/>
  <c r="F1061" i="1"/>
  <c r="F1067" i="1" s="1"/>
  <c r="G1061" i="1"/>
  <c r="G1067" i="1" s="1"/>
  <c r="H1061" i="1"/>
  <c r="H1067" i="1" s="1"/>
  <c r="N1061" i="1"/>
  <c r="N1067" i="1" s="1"/>
  <c r="D1041" i="1"/>
  <c r="D1049" i="1" s="1"/>
  <c r="D1053" i="1"/>
  <c r="D1055" i="1" s="1"/>
  <c r="D1037" i="1"/>
  <c r="E1041" i="1"/>
  <c r="E1049" i="1" s="1"/>
  <c r="E1053" i="1"/>
  <c r="E1055" i="1" s="1"/>
  <c r="E1037" i="1"/>
  <c r="F1041" i="1"/>
  <c r="F1049" i="1" s="1"/>
  <c r="F1053" i="1"/>
  <c r="F1055" i="1" s="1"/>
  <c r="F1037" i="1"/>
  <c r="G1041" i="1"/>
  <c r="G1049" i="1" s="1"/>
  <c r="G1053" i="1"/>
  <c r="G1055" i="1" s="1"/>
  <c r="G1037" i="1"/>
  <c r="H1041" i="1"/>
  <c r="H1049" i="1" s="1"/>
  <c r="H1053" i="1"/>
  <c r="H1055" i="1" s="1"/>
  <c r="H1037" i="1"/>
  <c r="I1048" i="1"/>
  <c r="K1053" i="1"/>
  <c r="K1045" i="1"/>
  <c r="L1053" i="1"/>
  <c r="L1055" i="1" s="1"/>
  <c r="L1045" i="1"/>
  <c r="M1049" i="1"/>
  <c r="M1037" i="1"/>
  <c r="N1049" i="1"/>
  <c r="N1053" i="1"/>
  <c r="N1055" i="1" s="1"/>
  <c r="N1037" i="1"/>
  <c r="O316" i="1"/>
  <c r="O1044" i="1"/>
  <c r="O1045" i="1"/>
  <c r="J36" i="17"/>
  <c r="K32" i="6" s="1"/>
  <c r="J1915" i="1" s="1"/>
  <c r="J36" i="1" s="1"/>
  <c r="J38" i="17"/>
  <c r="J48" i="17" s="1"/>
  <c r="D46" i="17"/>
  <c r="E46" i="17"/>
  <c r="F46" i="17"/>
  <c r="G46" i="17"/>
  <c r="H46" i="17"/>
  <c r="D38" i="17"/>
  <c r="D48" i="17" s="1"/>
  <c r="E38" i="17"/>
  <c r="F38" i="17"/>
  <c r="F48" i="17" s="1"/>
  <c r="G38" i="17"/>
  <c r="G48" i="17" s="1"/>
  <c r="H38" i="17"/>
  <c r="H48" i="17" s="1"/>
  <c r="D28" i="17"/>
  <c r="E28" i="17"/>
  <c r="F28" i="17"/>
  <c r="G28" i="17"/>
  <c r="H28" i="17"/>
  <c r="J28" i="17"/>
  <c r="J50" i="17" s="1"/>
  <c r="D18" i="17"/>
  <c r="E18" i="17"/>
  <c r="F18" i="17"/>
  <c r="G18" i="17"/>
  <c r="H18" i="17"/>
  <c r="D1139" i="1"/>
  <c r="D1140" i="1"/>
  <c r="D1146" i="1"/>
  <c r="D1147" i="1"/>
  <c r="D1148" i="1"/>
  <c r="D1114" i="1"/>
  <c r="D1123" i="1"/>
  <c r="D1131" i="1"/>
  <c r="E1139" i="1"/>
  <c r="E1140" i="1"/>
  <c r="E1146" i="1"/>
  <c r="E1147" i="1"/>
  <c r="E1148" i="1"/>
  <c r="E1114" i="1"/>
  <c r="E1123" i="1"/>
  <c r="E1131" i="1"/>
  <c r="F1139" i="1"/>
  <c r="F1140" i="1"/>
  <c r="F1146" i="1"/>
  <c r="F1147" i="1"/>
  <c r="F1148" i="1"/>
  <c r="F1114" i="1"/>
  <c r="F1123" i="1"/>
  <c r="F1131" i="1"/>
  <c r="G1139" i="1"/>
  <c r="G1140" i="1"/>
  <c r="G1146" i="1"/>
  <c r="G1147" i="1"/>
  <c r="G1148" i="1"/>
  <c r="G1114" i="1"/>
  <c r="G1123" i="1"/>
  <c r="G1131" i="1"/>
  <c r="H1139" i="1"/>
  <c r="H1140" i="1"/>
  <c r="H1146" i="1"/>
  <c r="H1147" i="1"/>
  <c r="H1148" i="1"/>
  <c r="H1114" i="1"/>
  <c r="H1123" i="1"/>
  <c r="H1131" i="1"/>
  <c r="M1114" i="1"/>
  <c r="M1123" i="1"/>
  <c r="M1131" i="1"/>
  <c r="N1139" i="1"/>
  <c r="N1142" i="1" s="1"/>
  <c r="N1146" i="1"/>
  <c r="N1147" i="1"/>
  <c r="N1148" i="1"/>
  <c r="N1114" i="1"/>
  <c r="N1123" i="1"/>
  <c r="N1131" i="1"/>
  <c r="D1087" i="1"/>
  <c r="D1093" i="1" s="1"/>
  <c r="E1087" i="1"/>
  <c r="E1093" i="1" s="1"/>
  <c r="F1087" i="1"/>
  <c r="F1093" i="1" s="1"/>
  <c r="G1087" i="1"/>
  <c r="G1093" i="1" s="1"/>
  <c r="H1087" i="1"/>
  <c r="H1093" i="1" s="1"/>
  <c r="J197" i="3"/>
  <c r="I1089" i="1" s="1"/>
  <c r="D196" i="3"/>
  <c r="C1088" i="1" s="1"/>
  <c r="D198" i="3"/>
  <c r="C1090" i="1" s="1"/>
  <c r="D199" i="3"/>
  <c r="C1091" i="1" s="1"/>
  <c r="J1089" i="1"/>
  <c r="K1089" i="1"/>
  <c r="L1089" i="1"/>
  <c r="N1087" i="1"/>
  <c r="O1089" i="1"/>
  <c r="D195" i="3"/>
  <c r="K201" i="3"/>
  <c r="K191" i="3"/>
  <c r="L191" i="3"/>
  <c r="M191" i="3"/>
  <c r="F191" i="3"/>
  <c r="H191" i="3"/>
  <c r="D1008" i="1"/>
  <c r="D1017" i="1"/>
  <c r="D1025" i="1"/>
  <c r="D1073" i="1"/>
  <c r="E1008" i="1"/>
  <c r="E1017" i="1"/>
  <c r="E1025" i="1"/>
  <c r="E1073" i="1"/>
  <c r="F1008" i="1"/>
  <c r="F1017" i="1"/>
  <c r="F1025" i="1"/>
  <c r="F1073" i="1"/>
  <c r="G1008" i="1"/>
  <c r="G1017" i="1"/>
  <c r="G1025" i="1"/>
  <c r="G1073" i="1"/>
  <c r="H1008" i="1"/>
  <c r="H1017" i="1"/>
  <c r="H1025" i="1"/>
  <c r="H1073" i="1"/>
  <c r="M1008" i="1"/>
  <c r="M1017" i="1"/>
  <c r="M1025" i="1"/>
  <c r="M1073" i="1"/>
  <c r="N1008" i="1"/>
  <c r="N1017" i="1"/>
  <c r="N1025" i="1"/>
  <c r="N1073" i="1"/>
  <c r="D989" i="1"/>
  <c r="D991" i="1" s="1"/>
  <c r="E989" i="1"/>
  <c r="E991" i="1" s="1"/>
  <c r="F989" i="1"/>
  <c r="F991" i="1" s="1"/>
  <c r="G989" i="1"/>
  <c r="G991" i="1" s="1"/>
  <c r="H989" i="1"/>
  <c r="H991" i="1" s="1"/>
  <c r="I988" i="1"/>
  <c r="K119" i="17"/>
  <c r="M989" i="1"/>
  <c r="M991" i="1" s="1"/>
  <c r="N989" i="1"/>
  <c r="N991" i="1" s="1"/>
  <c r="D981" i="1"/>
  <c r="E981" i="1"/>
  <c r="F981" i="1"/>
  <c r="G981" i="1"/>
  <c r="H981" i="1"/>
  <c r="K78" i="17"/>
  <c r="M981" i="1"/>
  <c r="N981" i="1"/>
  <c r="D908" i="1"/>
  <c r="D910" i="1" s="1"/>
  <c r="D912" i="1" s="1"/>
  <c r="D928" i="1"/>
  <c r="D937" i="1"/>
  <c r="D945" i="1"/>
  <c r="D960" i="1"/>
  <c r="D968" i="1"/>
  <c r="E908" i="1"/>
  <c r="E910" i="1" s="1"/>
  <c r="E912" i="1" s="1"/>
  <c r="E928" i="1"/>
  <c r="E937" i="1"/>
  <c r="E945" i="1"/>
  <c r="E960" i="1"/>
  <c r="E968" i="1"/>
  <c r="F908" i="1"/>
  <c r="F910" i="1" s="1"/>
  <c r="F912" i="1" s="1"/>
  <c r="F928" i="1"/>
  <c r="F937" i="1"/>
  <c r="F945" i="1"/>
  <c r="F960" i="1"/>
  <c r="F968" i="1"/>
  <c r="G908" i="1"/>
  <c r="G910" i="1" s="1"/>
  <c r="G912" i="1" s="1"/>
  <c r="G928" i="1"/>
  <c r="G937" i="1"/>
  <c r="G945" i="1"/>
  <c r="G960" i="1"/>
  <c r="G968" i="1"/>
  <c r="H908" i="1"/>
  <c r="H910" i="1" s="1"/>
  <c r="H912" i="1" s="1"/>
  <c r="H928" i="1"/>
  <c r="H937" i="1"/>
  <c r="H945" i="1"/>
  <c r="H960" i="1"/>
  <c r="H968" i="1"/>
  <c r="M908" i="1"/>
  <c r="M910" i="1" s="1"/>
  <c r="M912" i="1" s="1"/>
  <c r="M928" i="1"/>
  <c r="M937" i="1"/>
  <c r="M945" i="1"/>
  <c r="M960" i="1"/>
  <c r="M968" i="1"/>
  <c r="N908" i="1"/>
  <c r="N910" i="1" s="1"/>
  <c r="N912" i="1" s="1"/>
  <c r="N928" i="1"/>
  <c r="N937" i="1"/>
  <c r="N945" i="1"/>
  <c r="N960" i="1"/>
  <c r="N968" i="1"/>
  <c r="O741" i="1"/>
  <c r="O743" i="1" s="1"/>
  <c r="D2476" i="1"/>
  <c r="D367" i="1" s="1"/>
  <c r="D395" i="1"/>
  <c r="D401" i="1"/>
  <c r="E2476" i="1"/>
  <c r="E367" i="1" s="1"/>
  <c r="E387" i="1" s="1"/>
  <c r="E395" i="1"/>
  <c r="E401" i="1"/>
  <c r="F2476" i="1"/>
  <c r="F367" i="1" s="1"/>
  <c r="F395" i="1"/>
  <c r="F401" i="1"/>
  <c r="G2476" i="1"/>
  <c r="G367" i="1" s="1"/>
  <c r="G395" i="1"/>
  <c r="G401" i="1"/>
  <c r="N118" i="1"/>
  <c r="N119" i="1"/>
  <c r="N492" i="1"/>
  <c r="N120" i="1" s="1"/>
  <c r="N114" i="1"/>
  <c r="N2592" i="1"/>
  <c r="N115" i="1" s="1"/>
  <c r="N116" i="1"/>
  <c r="N117" i="1"/>
  <c r="N3354" i="1"/>
  <c r="N98" i="1" s="1"/>
  <c r="N1935" i="1"/>
  <c r="N644" i="1"/>
  <c r="N101" i="1" s="1"/>
  <c r="N2580" i="1"/>
  <c r="N96" i="1" s="1"/>
  <c r="N99" i="1"/>
  <c r="N57" i="1"/>
  <c r="N58" i="1"/>
  <c r="N59" i="1"/>
  <c r="N60" i="1"/>
  <c r="N3222" i="1"/>
  <c r="N72" i="1" s="1"/>
  <c r="N3438" i="1"/>
  <c r="N75" i="1" s="1"/>
  <c r="N3342" i="1"/>
  <c r="N76" i="1" s="1"/>
  <c r="N73" i="1"/>
  <c r="N77" i="1"/>
  <c r="N78" i="1"/>
  <c r="N3348" i="1"/>
  <c r="N3350" i="1" s="1"/>
  <c r="N3444" i="1"/>
  <c r="N3446" i="1" s="1"/>
  <c r="N1929" i="1"/>
  <c r="N84" i="1" s="1"/>
  <c r="N86" i="1" s="1"/>
  <c r="N2586" i="1"/>
  <c r="N107" i="1" s="1"/>
  <c r="N109" i="1" s="1"/>
  <c r="N126" i="1"/>
  <c r="N128" i="1" s="1"/>
  <c r="N1891" i="1"/>
  <c r="N8" i="1" s="1"/>
  <c r="N1892" i="1"/>
  <c r="N1893" i="1"/>
  <c r="N10" i="1" s="1"/>
  <c r="N1894" i="1"/>
  <c r="N11" i="1" s="1"/>
  <c r="N1895" i="1"/>
  <c r="N1896" i="1"/>
  <c r="N1897" i="1"/>
  <c r="N13" i="1" s="1"/>
  <c r="N1898" i="1"/>
  <c r="N14" i="1" s="1"/>
  <c r="N1899" i="1"/>
  <c r="N15" i="1" s="1"/>
  <c r="N1900" i="1"/>
  <c r="N16" i="1" s="1"/>
  <c r="N1906" i="1"/>
  <c r="N26" i="1" s="1"/>
  <c r="N2570" i="1"/>
  <c r="N2572" i="1" s="1"/>
  <c r="N25" i="1"/>
  <c r="N2404" i="1"/>
  <c r="N33" i="1" s="1"/>
  <c r="N1914" i="1"/>
  <c r="N1915" i="1"/>
  <c r="N36" i="1" s="1"/>
  <c r="N35" i="1"/>
  <c r="N3237" i="1"/>
  <c r="N3249" i="1" s="1"/>
  <c r="N518" i="1"/>
  <c r="N657" i="1"/>
  <c r="N831" i="1"/>
  <c r="N1965" i="1"/>
  <c r="N519" i="1"/>
  <c r="N658" i="1"/>
  <c r="N832" i="1"/>
  <c r="N1966" i="1"/>
  <c r="N520" i="1"/>
  <c r="N659" i="1"/>
  <c r="N833" i="1"/>
  <c r="N521" i="1"/>
  <c r="N660" i="1"/>
  <c r="N834" i="1"/>
  <c r="N1967" i="1"/>
  <c r="N522" i="1"/>
  <c r="N661" i="1"/>
  <c r="N1968" i="1"/>
  <c r="N523" i="1"/>
  <c r="N662" i="1"/>
  <c r="N524" i="1"/>
  <c r="N663" i="1"/>
  <c r="N1969" i="1"/>
  <c r="N525" i="1"/>
  <c r="N664" i="1"/>
  <c r="N526" i="1"/>
  <c r="N665" i="1"/>
  <c r="N1970" i="1"/>
  <c r="N527" i="1"/>
  <c r="N221" i="1" s="1"/>
  <c r="N528" i="1"/>
  <c r="N222" i="1" s="1"/>
  <c r="N529" i="1"/>
  <c r="N223" i="1" s="1"/>
  <c r="N530" i="1"/>
  <c r="N666" i="1"/>
  <c r="N1971" i="1"/>
  <c r="N3253" i="1"/>
  <c r="N3258" i="1" s="1"/>
  <c r="N536" i="1"/>
  <c r="N672" i="1"/>
  <c r="N846" i="1"/>
  <c r="N1977" i="1"/>
  <c r="N2444" i="1"/>
  <c r="N2449" i="1" s="1"/>
  <c r="N537" i="1"/>
  <c r="N673" i="1"/>
  <c r="N847" i="1"/>
  <c r="N1978" i="1"/>
  <c r="N538" i="1"/>
  <c r="N674" i="1"/>
  <c r="N848" i="1"/>
  <c r="N1979" i="1"/>
  <c r="N539" i="1"/>
  <c r="N675" i="1"/>
  <c r="N849" i="1"/>
  <c r="N1980" i="1"/>
  <c r="N3262" i="1"/>
  <c r="N3266" i="1" s="1"/>
  <c r="N545" i="1"/>
  <c r="N681" i="1"/>
  <c r="N855" i="1"/>
  <c r="N1986" i="1"/>
  <c r="N682" i="1"/>
  <c r="N240" i="1" s="1"/>
  <c r="N856" i="1"/>
  <c r="N1987" i="1"/>
  <c r="N547" i="1"/>
  <c r="N1988" i="1"/>
  <c r="N548" i="1"/>
  <c r="N683" i="1"/>
  <c r="N857" i="1"/>
  <c r="N1989" i="1"/>
  <c r="N140" i="1"/>
  <c r="N141" i="1"/>
  <c r="N142" i="1"/>
  <c r="N143" i="1"/>
  <c r="N144" i="1"/>
  <c r="N145" i="1"/>
  <c r="N1949" i="1"/>
  <c r="N151" i="1" s="1"/>
  <c r="N1950" i="1"/>
  <c r="N152" i="1" s="1"/>
  <c r="N1951" i="1"/>
  <c r="N153" i="1" s="1"/>
  <c r="N1952" i="1"/>
  <c r="N154" i="1" s="1"/>
  <c r="N1953" i="1"/>
  <c r="N155" i="1" s="1"/>
  <c r="N1954" i="1"/>
  <c r="N156" i="1" s="1"/>
  <c r="N503" i="1"/>
  <c r="N162" i="1" s="1"/>
  <c r="N504" i="1"/>
  <c r="N163" i="1" s="1"/>
  <c r="N505" i="1"/>
  <c r="N164" i="1" s="1"/>
  <c r="N506" i="1"/>
  <c r="N165" i="1" s="1"/>
  <c r="N507" i="1"/>
  <c r="N166" i="1" s="1"/>
  <c r="N167" i="1"/>
  <c r="N173" i="1"/>
  <c r="N174" i="1"/>
  <c r="N175" i="1"/>
  <c r="N176" i="1"/>
  <c r="N177" i="1"/>
  <c r="N183" i="1"/>
  <c r="N184" i="1"/>
  <c r="N185" i="1"/>
  <c r="N186" i="1"/>
  <c r="N187" i="1"/>
  <c r="N188" i="1"/>
  <c r="N194" i="1"/>
  <c r="N195" i="1"/>
  <c r="N196" i="1"/>
  <c r="N197" i="1"/>
  <c r="N198" i="1"/>
  <c r="N199" i="1"/>
  <c r="N3291" i="1"/>
  <c r="N3295" i="1" s="1"/>
  <c r="N3490" i="1"/>
  <c r="N3493" i="1" s="1"/>
  <c r="N870" i="1"/>
  <c r="N2024" i="1"/>
  <c r="N712" i="1"/>
  <c r="N2021" i="1"/>
  <c r="N713" i="1"/>
  <c r="N342" i="1" s="1"/>
  <c r="N714" i="1"/>
  <c r="N715" i="1"/>
  <c r="N350" i="1"/>
  <c r="N351" i="1"/>
  <c r="N2022" i="1"/>
  <c r="N354" i="1" s="1"/>
  <c r="N867" i="1"/>
  <c r="N868" i="1"/>
  <c r="N2023" i="1"/>
  <c r="N869" i="1"/>
  <c r="N871" i="1"/>
  <c r="N371" i="1" s="1"/>
  <c r="N583" i="1"/>
  <c r="N872" i="1"/>
  <c r="N2025" i="1"/>
  <c r="N2026" i="1"/>
  <c r="N2027" i="1"/>
  <c r="N381" i="1" s="1"/>
  <c r="N382" i="1"/>
  <c r="N383" i="1"/>
  <c r="N344" i="1"/>
  <c r="N345" i="1"/>
  <c r="N346" i="1"/>
  <c r="N348" i="1"/>
  <c r="N349" i="1"/>
  <c r="N353" i="1"/>
  <c r="N355" i="1"/>
  <c r="N356" i="1"/>
  <c r="N357" i="1"/>
  <c r="N358" i="1"/>
  <c r="N359" i="1"/>
  <c r="N360" i="1"/>
  <c r="N361" i="1"/>
  <c r="N362" i="1"/>
  <c r="N363" i="1"/>
  <c r="N367" i="1"/>
  <c r="N369" i="1"/>
  <c r="N384" i="1"/>
  <c r="N385" i="1"/>
  <c r="N615" i="1"/>
  <c r="N616" i="1"/>
  <c r="N878" i="1"/>
  <c r="N617" i="1"/>
  <c r="N879" i="1"/>
  <c r="N619" i="1"/>
  <c r="N880" i="1"/>
  <c r="N618" i="1"/>
  <c r="N428" i="1" s="1"/>
  <c r="N620" i="1"/>
  <c r="N430" i="1" s="1"/>
  <c r="N621" i="1"/>
  <c r="N431" i="1" s="1"/>
  <c r="N622" i="1"/>
  <c r="N432" i="1" s="1"/>
  <c r="N623" i="1"/>
  <c r="N435" i="1" s="1"/>
  <c r="N426" i="1"/>
  <c r="N427" i="1"/>
  <c r="N433" i="1"/>
  <c r="N316" i="1"/>
  <c r="N2007" i="1"/>
  <c r="N311" i="1"/>
  <c r="N312" i="1"/>
  <c r="N313" i="1"/>
  <c r="N314" i="1"/>
  <c r="N317" i="1"/>
  <c r="N318" i="1"/>
  <c r="N3283" i="1"/>
  <c r="N331" i="1" s="1"/>
  <c r="N2013" i="1"/>
  <c r="N702" i="1"/>
  <c r="N325" i="1" s="1"/>
  <c r="N703" i="1"/>
  <c r="N326" i="1" s="1"/>
  <c r="N327" i="1"/>
  <c r="N328" i="1"/>
  <c r="N329" i="1"/>
  <c r="N330" i="1"/>
  <c r="N332" i="1"/>
  <c r="N3276" i="1"/>
  <c r="N303" i="1" s="1"/>
  <c r="N695" i="1"/>
  <c r="N696" i="1"/>
  <c r="N301" i="1"/>
  <c r="N560" i="1"/>
  <c r="N304" i="1" s="1"/>
  <c r="N297" i="1"/>
  <c r="N299" i="1"/>
  <c r="N302" i="1"/>
  <c r="N3299" i="1"/>
  <c r="N399" i="1" s="1"/>
  <c r="N401" i="1" s="1"/>
  <c r="N252" i="1"/>
  <c r="N253" i="1"/>
  <c r="N254" i="1"/>
  <c r="N260" i="1"/>
  <c r="N261" i="1"/>
  <c r="N262" i="1"/>
  <c r="N268" i="1"/>
  <c r="N269" i="1"/>
  <c r="N270" i="1"/>
  <c r="N276" i="1"/>
  <c r="N277" i="1"/>
  <c r="N278" i="1"/>
  <c r="N285" i="1"/>
  <c r="N286" i="1"/>
  <c r="N284" i="1"/>
  <c r="N599" i="1"/>
  <c r="N391" i="1" s="1"/>
  <c r="N600" i="1"/>
  <c r="N392" i="1" s="1"/>
  <c r="N601" i="1"/>
  <c r="N393" i="1" s="1"/>
  <c r="N607" i="1"/>
  <c r="N608" i="1"/>
  <c r="N405" i="1"/>
  <c r="N407" i="1" s="1"/>
  <c r="N417" i="1"/>
  <c r="N419" i="1" s="1"/>
  <c r="C35" i="1"/>
  <c r="C8" i="1"/>
  <c r="C9" i="1"/>
  <c r="C86" i="1"/>
  <c r="C92" i="1"/>
  <c r="C103" i="1"/>
  <c r="C109" i="1"/>
  <c r="C122" i="1"/>
  <c r="C128" i="1"/>
  <c r="C407" i="1"/>
  <c r="B10" i="9" s="1"/>
  <c r="D80" i="8"/>
  <c r="J80" i="8" s="1"/>
  <c r="I3015" i="1" s="1"/>
  <c r="D209" i="8"/>
  <c r="D304" i="8"/>
  <c r="D434" i="8"/>
  <c r="J434" i="8"/>
  <c r="I3367" i="1" s="1"/>
  <c r="J524" i="8"/>
  <c r="I3457" i="1" s="1"/>
  <c r="D82" i="6"/>
  <c r="D81" i="8"/>
  <c r="D210" i="8"/>
  <c r="J210" i="8" s="1"/>
  <c r="I3143" i="1" s="1"/>
  <c r="D305" i="8"/>
  <c r="J305" i="8" s="1"/>
  <c r="I3238" i="1" s="1"/>
  <c r="D435" i="8"/>
  <c r="J435" i="8" s="1"/>
  <c r="I3368" i="1"/>
  <c r="J525" i="8"/>
  <c r="I3458" i="1" s="1"/>
  <c r="D83" i="6"/>
  <c r="J83" i="6" s="1"/>
  <c r="I1966" i="1" s="1"/>
  <c r="D82" i="8"/>
  <c r="J82" i="8" s="1"/>
  <c r="I3017" i="1" s="1"/>
  <c r="D306" i="8"/>
  <c r="J306" i="8" s="1"/>
  <c r="I3239" i="1" s="1"/>
  <c r="D436" i="8"/>
  <c r="J436" i="8" s="1"/>
  <c r="I3369" i="1" s="1"/>
  <c r="D83" i="8"/>
  <c r="J83" i="8" s="1"/>
  <c r="I3018" i="1" s="1"/>
  <c r="D307" i="8"/>
  <c r="D437" i="8"/>
  <c r="J437" i="8" s="1"/>
  <c r="I3370" i="1" s="1"/>
  <c r="D84" i="6"/>
  <c r="J84" i="6" s="1"/>
  <c r="I1967" i="1" s="1"/>
  <c r="D438" i="8"/>
  <c r="J438" i="8"/>
  <c r="I3371" i="1" s="1"/>
  <c r="D84" i="8"/>
  <c r="D308" i="8"/>
  <c r="J308" i="8" s="1"/>
  <c r="I3241" i="1" s="1"/>
  <c r="D439" i="8"/>
  <c r="J439" i="8" s="1"/>
  <c r="I3372" i="1" s="1"/>
  <c r="J526" i="8"/>
  <c r="I3459" i="1" s="1"/>
  <c r="D85" i="6"/>
  <c r="J85" i="6" s="1"/>
  <c r="I1968" i="1" s="1"/>
  <c r="D85" i="8"/>
  <c r="D309" i="8"/>
  <c r="J309" i="8" s="1"/>
  <c r="I3242" i="1" s="1"/>
  <c r="D440" i="8"/>
  <c r="J440" i="8" s="1"/>
  <c r="I3373" i="1" s="1"/>
  <c r="D86" i="8"/>
  <c r="D310" i="8"/>
  <c r="J310" i="8" s="1"/>
  <c r="I3243" i="1" s="1"/>
  <c r="D441" i="8"/>
  <c r="J441" i="8" s="1"/>
  <c r="I3374" i="1" s="1"/>
  <c r="J527" i="8"/>
  <c r="I3460" i="1"/>
  <c r="D86" i="6"/>
  <c r="J86" i="6"/>
  <c r="I1969" i="1" s="1"/>
  <c r="D311" i="8"/>
  <c r="J311" i="8" s="1"/>
  <c r="I3244" i="1" s="1"/>
  <c r="D87" i="8"/>
  <c r="J87" i="8" s="1"/>
  <c r="I3022" i="1" s="1"/>
  <c r="D312" i="8"/>
  <c r="J312" i="8" s="1"/>
  <c r="I3245" i="1" s="1"/>
  <c r="D442" i="8"/>
  <c r="J442" i="8" s="1"/>
  <c r="I3375" i="1" s="1"/>
  <c r="J528" i="8"/>
  <c r="I3461" i="1" s="1"/>
  <c r="D87" i="6"/>
  <c r="J87" i="6" s="1"/>
  <c r="I1970" i="1" s="1"/>
  <c r="D443" i="8"/>
  <c r="J443" i="8"/>
  <c r="I3376" i="1" s="1"/>
  <c r="J529" i="8"/>
  <c r="I3462" i="1" s="1"/>
  <c r="D88" i="8"/>
  <c r="D313" i="8"/>
  <c r="J313" i="8" s="1"/>
  <c r="I3246" i="1" s="1"/>
  <c r="D444" i="8"/>
  <c r="J444" i="8" s="1"/>
  <c r="I3377" i="1" s="1"/>
  <c r="J530" i="8"/>
  <c r="I3463" i="1" s="1"/>
  <c r="D45" i="8"/>
  <c r="D314" i="8"/>
  <c r="J314" i="8" s="1"/>
  <c r="I3247" i="1" s="1"/>
  <c r="D88" i="6"/>
  <c r="J88" i="6" s="1"/>
  <c r="I1971" i="1" s="1"/>
  <c r="D94" i="8"/>
  <c r="D320" i="8"/>
  <c r="D450" i="8"/>
  <c r="J450" i="8" s="1"/>
  <c r="I3383" i="1" s="1"/>
  <c r="D536" i="8"/>
  <c r="I536" i="1"/>
  <c r="D94" i="6"/>
  <c r="J94" i="6" s="1"/>
  <c r="I1977" i="1" s="1"/>
  <c r="D95" i="8"/>
  <c r="D321" i="8"/>
  <c r="D451" i="8"/>
  <c r="D537" i="8"/>
  <c r="J537" i="8" s="1"/>
  <c r="I3470" i="1" s="1"/>
  <c r="D95" i="6"/>
  <c r="J95" i="6" s="1"/>
  <c r="I1978" i="1" s="1"/>
  <c r="D96" i="8"/>
  <c r="D99" i="8" s="1"/>
  <c r="D322" i="8"/>
  <c r="J322" i="8" s="1"/>
  <c r="I3255" i="1" s="1"/>
  <c r="D452" i="8"/>
  <c r="D538" i="8"/>
  <c r="I538" i="1"/>
  <c r="D96" i="6"/>
  <c r="J96" i="6" s="1"/>
  <c r="I1979" i="1" s="1"/>
  <c r="D97" i="8"/>
  <c r="D216" i="8"/>
  <c r="D323" i="8"/>
  <c r="J323" i="8" s="1"/>
  <c r="I3256" i="1" s="1"/>
  <c r="D453" i="8"/>
  <c r="D539" i="8"/>
  <c r="J539" i="8" s="1"/>
  <c r="I3472" i="1" s="1"/>
  <c r="I539" i="1"/>
  <c r="D97" i="6"/>
  <c r="J97" i="6" s="1"/>
  <c r="I1980" i="1" s="1"/>
  <c r="D103" i="8"/>
  <c r="D329" i="8"/>
  <c r="C3262" i="1" s="1"/>
  <c r="D459" i="8"/>
  <c r="J459" i="8" s="1"/>
  <c r="I3392" i="1" s="1"/>
  <c r="D545" i="8"/>
  <c r="I545" i="1"/>
  <c r="D103" i="6"/>
  <c r="J103" i="6" s="1"/>
  <c r="I1986" i="1" s="1"/>
  <c r="D104" i="8"/>
  <c r="D330" i="8"/>
  <c r="C3263" i="1" s="1"/>
  <c r="D460" i="8"/>
  <c r="J460" i="8" s="1"/>
  <c r="I3393" i="1" s="1"/>
  <c r="D546" i="8"/>
  <c r="I546" i="1"/>
  <c r="D104" i="6"/>
  <c r="D105" i="8"/>
  <c r="J105" i="8" s="1"/>
  <c r="I3040" i="1" s="1"/>
  <c r="D331" i="8"/>
  <c r="D461" i="8"/>
  <c r="D547" i="8"/>
  <c r="D106" i="6"/>
  <c r="J106" i="6" s="1"/>
  <c r="I1989" i="1" s="1"/>
  <c r="J105" i="6"/>
  <c r="I1988" i="1" s="1"/>
  <c r="D29" i="8"/>
  <c r="J29" i="8" s="1"/>
  <c r="I2964" i="1" s="1"/>
  <c r="I183" i="1" s="1"/>
  <c r="D30" i="8"/>
  <c r="D31" i="8"/>
  <c r="D32" i="8"/>
  <c r="J32" i="8" s="1"/>
  <c r="I2967" i="1" s="1"/>
  <c r="I186" i="1" s="1"/>
  <c r="D33" i="8"/>
  <c r="D34" i="8"/>
  <c r="J34" i="8" s="1"/>
  <c r="I2969" i="1" s="1"/>
  <c r="I188" i="1" s="1"/>
  <c r="D66" i="6"/>
  <c r="J66" i="6" s="1"/>
  <c r="I1949" i="1" s="1"/>
  <c r="I151" i="1" s="1"/>
  <c r="D67" i="6"/>
  <c r="D68" i="6"/>
  <c r="J68" i="6" s="1"/>
  <c r="I1951" i="1" s="1"/>
  <c r="I153" i="1" s="1"/>
  <c r="D69" i="6"/>
  <c r="J69" i="6" s="1"/>
  <c r="I1952" i="1" s="1"/>
  <c r="I154" i="1" s="1"/>
  <c r="D70" i="6"/>
  <c r="J70" i="6" s="1"/>
  <c r="I1953" i="1" s="1"/>
  <c r="I155" i="1" s="1"/>
  <c r="D71" i="6"/>
  <c r="D7" i="8"/>
  <c r="D56" i="8"/>
  <c r="D129" i="8"/>
  <c r="D237" i="8"/>
  <c r="J237" i="8" s="1"/>
  <c r="I3170" i="1" s="1"/>
  <c r="D358" i="8"/>
  <c r="D471" i="8"/>
  <c r="D142" i="6"/>
  <c r="J142" i="6" s="1"/>
  <c r="I2024" i="1" s="1"/>
  <c r="D57" i="8"/>
  <c r="D58" i="8"/>
  <c r="D130" i="8"/>
  <c r="D238" i="8"/>
  <c r="J238" i="8" s="1"/>
  <c r="I3171" i="1" s="1"/>
  <c r="D359" i="8"/>
  <c r="D472" i="8"/>
  <c r="D143" i="6"/>
  <c r="J143" i="6" s="1"/>
  <c r="I2025" i="1" s="1"/>
  <c r="D144" i="6"/>
  <c r="J144" i="6" s="1"/>
  <c r="I2026" i="1" s="1"/>
  <c r="D139" i="6"/>
  <c r="J139" i="6" s="1"/>
  <c r="I2021" i="1" s="1"/>
  <c r="D55" i="8"/>
  <c r="D140" i="6"/>
  <c r="J140" i="6" s="1"/>
  <c r="I2022" i="1" s="1"/>
  <c r="D128" i="8"/>
  <c r="J128" i="8" s="1"/>
  <c r="I3062" i="1" s="1"/>
  <c r="I357" i="1" s="1"/>
  <c r="D59" i="8"/>
  <c r="D145" i="6"/>
  <c r="J145" i="6" s="1"/>
  <c r="I2027" i="1" s="1"/>
  <c r="D60" i="8"/>
  <c r="D360" i="8"/>
  <c r="J360" i="8" s="1"/>
  <c r="I3293" i="1" s="1"/>
  <c r="I385" i="1" s="1"/>
  <c r="D141" i="6"/>
  <c r="J141" i="6" s="1"/>
  <c r="I2023" i="1" s="1"/>
  <c r="D142" i="8"/>
  <c r="D244" i="8"/>
  <c r="J244" i="8" s="1"/>
  <c r="I3177" i="1" s="1"/>
  <c r="D158" i="6"/>
  <c r="D143" i="8"/>
  <c r="J143" i="8" s="1"/>
  <c r="I3077" i="1" s="1"/>
  <c r="D245" i="8"/>
  <c r="D372" i="8"/>
  <c r="J372" i="8" s="1"/>
  <c r="I3305" i="1" s="1"/>
  <c r="D484" i="8"/>
  <c r="D159" i="6"/>
  <c r="J159" i="6" s="1"/>
  <c r="I2041" i="1" s="1"/>
  <c r="D13" i="8"/>
  <c r="D144" i="8"/>
  <c r="J144" i="8" s="1"/>
  <c r="I3078" i="1" s="1"/>
  <c r="D246" i="8"/>
  <c r="J246" i="8" s="1"/>
  <c r="I3179" i="1" s="1"/>
  <c r="D373" i="8"/>
  <c r="D485" i="8"/>
  <c r="J485" i="8" s="1"/>
  <c r="I3418" i="1" s="1"/>
  <c r="D160" i="6"/>
  <c r="J160" i="6" s="1"/>
  <c r="I2042" i="1" s="1"/>
  <c r="D146" i="8"/>
  <c r="D375" i="8"/>
  <c r="D145" i="8"/>
  <c r="D374" i="8"/>
  <c r="D147" i="8"/>
  <c r="J147" i="8" s="1"/>
  <c r="I3081" i="1" s="1"/>
  <c r="D376" i="8"/>
  <c r="J376" i="8" s="1"/>
  <c r="I3309" i="1" s="1"/>
  <c r="D486" i="8"/>
  <c r="D148" i="8"/>
  <c r="J148" i="8" s="1"/>
  <c r="I3082" i="1" s="1"/>
  <c r="D14" i="8"/>
  <c r="J14" i="8" s="1"/>
  <c r="I2949" i="1" s="1"/>
  <c r="D149" i="8"/>
  <c r="J149" i="8" s="1"/>
  <c r="I3083" i="1" s="1"/>
  <c r="D228" i="8"/>
  <c r="J228" i="8" s="1"/>
  <c r="I3161" i="1" s="1"/>
  <c r="D229" i="8"/>
  <c r="J229" i="8" s="1"/>
  <c r="I3162" i="1" s="1"/>
  <c r="I314" i="1" s="1"/>
  <c r="D125" i="6"/>
  <c r="D117" i="8"/>
  <c r="J117" i="8" s="1"/>
  <c r="I3052" i="1" s="1"/>
  <c r="D119" i="8"/>
  <c r="J119" i="8" s="1"/>
  <c r="I3053" i="1" s="1"/>
  <c r="D120" i="8"/>
  <c r="J120" i="8" s="1"/>
  <c r="I3054" i="1" s="1"/>
  <c r="D350" i="8"/>
  <c r="D352" i="8" s="1"/>
  <c r="D131" i="6"/>
  <c r="J131" i="6" s="1"/>
  <c r="I2013" i="1" s="1"/>
  <c r="D343" i="8"/>
  <c r="C3276" i="1" s="1"/>
  <c r="C3278" i="1" s="1"/>
  <c r="D118" i="6"/>
  <c r="J118" i="6" s="1"/>
  <c r="I2001" i="1" s="1"/>
  <c r="D136" i="8"/>
  <c r="D66" i="8"/>
  <c r="J66" i="8" s="1"/>
  <c r="I3001" i="1" s="1"/>
  <c r="D366" i="8"/>
  <c r="D478" i="8"/>
  <c r="D480" i="8" s="1"/>
  <c r="J232" i="6"/>
  <c r="I2114" i="1" s="1"/>
  <c r="J3162" i="1"/>
  <c r="J314" i="1" s="1"/>
  <c r="J2007" i="1"/>
  <c r="J3052" i="1"/>
  <c r="J3053" i="1"/>
  <c r="J3054" i="1"/>
  <c r="J2013" i="1"/>
  <c r="J3276" i="1"/>
  <c r="J303" i="1" s="1"/>
  <c r="J2001" i="1"/>
  <c r="K2007" i="1"/>
  <c r="K3052" i="1"/>
  <c r="K3053" i="1"/>
  <c r="K702" i="1"/>
  <c r="K325" i="1" s="1"/>
  <c r="K2013" i="1"/>
  <c r="K704" i="1"/>
  <c r="K327" i="1" s="1"/>
  <c r="K695" i="1"/>
  <c r="K3276" i="1"/>
  <c r="K303" i="1" s="1"/>
  <c r="K2001" i="1"/>
  <c r="K2003" i="1" s="1"/>
  <c r="L2007" i="1"/>
  <c r="L3052" i="1"/>
  <c r="L3053" i="1"/>
  <c r="L702" i="1"/>
  <c r="L325" i="1" s="1"/>
  <c r="L2013" i="1"/>
  <c r="L324" i="1" s="1"/>
  <c r="L3276" i="1"/>
  <c r="L303" i="1" s="1"/>
  <c r="M1971" i="1"/>
  <c r="M1980" i="1"/>
  <c r="M1988" i="1"/>
  <c r="M1989" i="1"/>
  <c r="M167" i="1"/>
  <c r="M140" i="1"/>
  <c r="M141" i="1"/>
  <c r="M142" i="1"/>
  <c r="M143" i="1"/>
  <c r="M144" i="1"/>
  <c r="M145" i="1"/>
  <c r="M1954" i="1"/>
  <c r="M156" i="1" s="1"/>
  <c r="M173" i="1"/>
  <c r="M174" i="1"/>
  <c r="M175" i="1"/>
  <c r="M176" i="1"/>
  <c r="M177" i="1"/>
  <c r="M183" i="1"/>
  <c r="M184" i="1"/>
  <c r="M185" i="1"/>
  <c r="M186" i="1"/>
  <c r="M187" i="1"/>
  <c r="M188" i="1"/>
  <c r="M194" i="1"/>
  <c r="M195" i="1"/>
  <c r="M196" i="1"/>
  <c r="M197" i="1"/>
  <c r="M198" i="1"/>
  <c r="M199" i="1"/>
  <c r="M2024" i="1"/>
  <c r="M350" i="1"/>
  <c r="M351" i="1"/>
  <c r="M2022" i="1"/>
  <c r="M354" i="1" s="1"/>
  <c r="M2027" i="1"/>
  <c r="M381" i="1" s="1"/>
  <c r="M382" i="1"/>
  <c r="M383" i="1"/>
  <c r="M344" i="1"/>
  <c r="M345" i="1"/>
  <c r="M346" i="1"/>
  <c r="M348" i="1"/>
  <c r="M349" i="1"/>
  <c r="M353" i="1"/>
  <c r="M355" i="1"/>
  <c r="M356" i="1"/>
  <c r="M357" i="1"/>
  <c r="M358" i="1"/>
  <c r="M359" i="1"/>
  <c r="M360" i="1"/>
  <c r="M361" i="1"/>
  <c r="M362" i="1"/>
  <c r="M363" i="1"/>
  <c r="M367" i="1"/>
  <c r="M369" i="1"/>
  <c r="M384" i="1"/>
  <c r="M385" i="1"/>
  <c r="M426" i="1"/>
  <c r="M427" i="1"/>
  <c r="M433" i="1"/>
  <c r="M2007" i="1"/>
  <c r="M311" i="1"/>
  <c r="M312" i="1"/>
  <c r="M313" i="1"/>
  <c r="M314" i="1"/>
  <c r="M317" i="1"/>
  <c r="M318" i="1"/>
  <c r="M327" i="1"/>
  <c r="M328" i="1"/>
  <c r="M329" i="1"/>
  <c r="M330" i="1"/>
  <c r="M332" i="1"/>
  <c r="M3276" i="1"/>
  <c r="M303" i="1" s="1"/>
  <c r="M297" i="1"/>
  <c r="M299" i="1"/>
  <c r="M302" i="1"/>
  <c r="M252" i="1"/>
  <c r="M253" i="1"/>
  <c r="M254" i="1"/>
  <c r="M260" i="1"/>
  <c r="M261" i="1"/>
  <c r="M262" i="1"/>
  <c r="M268" i="1"/>
  <c r="M269" i="1"/>
  <c r="M270" i="1"/>
  <c r="M276" i="1"/>
  <c r="M277" i="1"/>
  <c r="M278" i="1"/>
  <c r="M285" i="1"/>
  <c r="M286" i="1"/>
  <c r="M284" i="1"/>
  <c r="M405" i="1"/>
  <c r="M407" i="1" s="1"/>
  <c r="M417" i="1"/>
  <c r="M419" i="1" s="1"/>
  <c r="O3276" i="1"/>
  <c r="O303" i="1" s="1"/>
  <c r="O2007" i="1"/>
  <c r="O314" i="1"/>
  <c r="O3052" i="1"/>
  <c r="O327" i="1"/>
  <c r="D842" i="1"/>
  <c r="D851" i="1"/>
  <c r="D859" i="1"/>
  <c r="D874" i="1"/>
  <c r="D883" i="1"/>
  <c r="E842" i="1"/>
  <c r="E851" i="1"/>
  <c r="E859" i="1"/>
  <c r="E874" i="1"/>
  <c r="E883" i="1"/>
  <c r="F842" i="1"/>
  <c r="F851" i="1"/>
  <c r="F859" i="1"/>
  <c r="F874" i="1"/>
  <c r="F883" i="1"/>
  <c r="G842" i="1"/>
  <c r="G851" i="1"/>
  <c r="G859" i="1"/>
  <c r="G874" i="1"/>
  <c r="G883" i="1"/>
  <c r="H842" i="1"/>
  <c r="H851" i="1"/>
  <c r="H859" i="1"/>
  <c r="H874" i="1"/>
  <c r="H883" i="1"/>
  <c r="I841" i="1"/>
  <c r="I850" i="1"/>
  <c r="I858" i="1"/>
  <c r="I873" i="1"/>
  <c r="I882" i="1"/>
  <c r="E358" i="2"/>
  <c r="E367" i="2"/>
  <c r="E375" i="2"/>
  <c r="E390" i="2"/>
  <c r="E399" i="2"/>
  <c r="E405" i="2"/>
  <c r="F358" i="2"/>
  <c r="F367" i="2"/>
  <c r="F375" i="2"/>
  <c r="F390" i="2"/>
  <c r="F399" i="2"/>
  <c r="F405" i="2"/>
  <c r="G358" i="2"/>
  <c r="G367" i="2"/>
  <c r="G375" i="2"/>
  <c r="G390" i="2"/>
  <c r="G399" i="2"/>
  <c r="G405" i="2"/>
  <c r="H358" i="2"/>
  <c r="H367" i="2"/>
  <c r="H375" i="2"/>
  <c r="D383" i="2"/>
  <c r="H383" i="2" s="1"/>
  <c r="D384" i="2"/>
  <c r="H384" i="2" s="1"/>
  <c r="D385" i="2"/>
  <c r="H385" i="2" s="1"/>
  <c r="D386" i="2"/>
  <c r="H386" i="2" s="1"/>
  <c r="D387" i="2"/>
  <c r="H387" i="2" s="1"/>
  <c r="D388" i="2"/>
  <c r="H388" i="2" s="1"/>
  <c r="H399" i="2"/>
  <c r="H405" i="2"/>
  <c r="I399" i="2"/>
  <c r="I405" i="2"/>
  <c r="K347" i="2"/>
  <c r="J831" i="1" s="1"/>
  <c r="K348" i="2"/>
  <c r="J832" i="1" s="1"/>
  <c r="K349" i="2"/>
  <c r="J833" i="1" s="1"/>
  <c r="K350" i="2"/>
  <c r="J834" i="1" s="1"/>
  <c r="K351" i="2"/>
  <c r="K352" i="2"/>
  <c r="J836" i="1" s="1"/>
  <c r="K353" i="2"/>
  <c r="J837" i="1" s="1"/>
  <c r="K354" i="2"/>
  <c r="J838" i="1" s="1"/>
  <c r="K355" i="2"/>
  <c r="K356" i="2"/>
  <c r="J840" i="1" s="1"/>
  <c r="K362" i="2"/>
  <c r="K363" i="2"/>
  <c r="K364" i="2"/>
  <c r="K365" i="2"/>
  <c r="K371" i="2"/>
  <c r="K372" i="2"/>
  <c r="K373" i="2"/>
  <c r="D347" i="2"/>
  <c r="D348" i="2"/>
  <c r="D349" i="2"/>
  <c r="D350" i="2"/>
  <c r="D351" i="2"/>
  <c r="D352" i="2"/>
  <c r="D353" i="2"/>
  <c r="D354" i="2"/>
  <c r="D355" i="2"/>
  <c r="D356" i="2"/>
  <c r="D362" i="2"/>
  <c r="D363" i="2"/>
  <c r="D364" i="2"/>
  <c r="D365" i="2"/>
  <c r="D371" i="2"/>
  <c r="D372" i="2"/>
  <c r="D373" i="2"/>
  <c r="K383" i="2"/>
  <c r="K384" i="2"/>
  <c r="L384" i="2" s="1"/>
  <c r="K385" i="2"/>
  <c r="J869" i="1" s="1"/>
  <c r="J366" i="1" s="1"/>
  <c r="K386" i="2"/>
  <c r="J870" i="1" s="1"/>
  <c r="K387" i="2"/>
  <c r="K388" i="2"/>
  <c r="L388" i="2" s="1"/>
  <c r="K394" i="2"/>
  <c r="D394" i="2"/>
  <c r="K395" i="2"/>
  <c r="D395" i="2"/>
  <c r="K396" i="2"/>
  <c r="D396" i="2"/>
  <c r="K397" i="2"/>
  <c r="J881" i="1" s="1"/>
  <c r="D397" i="2"/>
  <c r="J405" i="2"/>
  <c r="K405" i="2"/>
  <c r="L397" i="2"/>
  <c r="K881" i="1" s="1"/>
  <c r="L405" i="2"/>
  <c r="M397" i="2"/>
  <c r="L881" i="1" s="1"/>
  <c r="M405" i="2"/>
  <c r="D405" i="2"/>
  <c r="N264" i="6"/>
  <c r="E173" i="6"/>
  <c r="F173" i="6"/>
  <c r="F175" i="6" s="1"/>
  <c r="G173" i="6"/>
  <c r="G175" i="6" s="1"/>
  <c r="G179" i="6" s="1"/>
  <c r="G181" i="6" s="1"/>
  <c r="H173" i="6"/>
  <c r="H175" i="6" s="1"/>
  <c r="H179" i="6" s="1"/>
  <c r="H181" i="6" s="1"/>
  <c r="I173" i="6"/>
  <c r="D173" i="6"/>
  <c r="D175" i="6" s="1"/>
  <c r="D1914" i="1"/>
  <c r="D1915" i="1"/>
  <c r="D36" i="1" s="1"/>
  <c r="D1902" i="1"/>
  <c r="D1908" i="1"/>
  <c r="D1931" i="1"/>
  <c r="D1937" i="1"/>
  <c r="D1988" i="1"/>
  <c r="D1991" i="1" s="1"/>
  <c r="D1973" i="1"/>
  <c r="D1982" i="1"/>
  <c r="D1956" i="1"/>
  <c r="D1958" i="1" s="1"/>
  <c r="D1960" i="1" s="1"/>
  <c r="D2003" i="1"/>
  <c r="D2009" i="1"/>
  <c r="D2015" i="1"/>
  <c r="D2029" i="1"/>
  <c r="E1914" i="1"/>
  <c r="E34" i="1" s="1"/>
  <c r="E1915" i="1"/>
  <c r="E36" i="1" s="1"/>
  <c r="E1902" i="1"/>
  <c r="E1908" i="1"/>
  <c r="E1931" i="1"/>
  <c r="E1937" i="1"/>
  <c r="E1988" i="1"/>
  <c r="E1991" i="1" s="1"/>
  <c r="E1973" i="1"/>
  <c r="E1982" i="1"/>
  <c r="E1956" i="1"/>
  <c r="E1958" i="1" s="1"/>
  <c r="E1960" i="1" s="1"/>
  <c r="E2003" i="1"/>
  <c r="E2009" i="1"/>
  <c r="E2015" i="1"/>
  <c r="E2029" i="1"/>
  <c r="F1914" i="1"/>
  <c r="F34" i="1" s="1"/>
  <c r="F1915" i="1"/>
  <c r="F36" i="1" s="1"/>
  <c r="F1902" i="1"/>
  <c r="F1908" i="1"/>
  <c r="F1931" i="1"/>
  <c r="F1937" i="1"/>
  <c r="F1988" i="1"/>
  <c r="F1991" i="1" s="1"/>
  <c r="F1973" i="1"/>
  <c r="F1982" i="1"/>
  <c r="F1956" i="1"/>
  <c r="F1958" i="1" s="1"/>
  <c r="F1960" i="1" s="1"/>
  <c r="F2003" i="1"/>
  <c r="F2009" i="1"/>
  <c r="F2015" i="1"/>
  <c r="F2029" i="1"/>
  <c r="G1914" i="1"/>
  <c r="G34" i="1" s="1"/>
  <c r="G1915" i="1"/>
  <c r="G36" i="1" s="1"/>
  <c r="G1902" i="1"/>
  <c r="G1908" i="1"/>
  <c r="G1931" i="1"/>
  <c r="G1937" i="1"/>
  <c r="G1988" i="1"/>
  <c r="G1991" i="1" s="1"/>
  <c r="G1973" i="1"/>
  <c r="G1982" i="1"/>
  <c r="G1956" i="1"/>
  <c r="G1958" i="1" s="1"/>
  <c r="G1960" i="1" s="1"/>
  <c r="G2003" i="1"/>
  <c r="G2009" i="1"/>
  <c r="G2015" i="1"/>
  <c r="G2029" i="1"/>
  <c r="H1914" i="1"/>
  <c r="H34" i="1" s="1"/>
  <c r="H1915" i="1"/>
  <c r="H36" i="1" s="1"/>
  <c r="H1902" i="1"/>
  <c r="H1908" i="1"/>
  <c r="H1931" i="1"/>
  <c r="H1937" i="1"/>
  <c r="H1956" i="1"/>
  <c r="H1958" i="1" s="1"/>
  <c r="H1960" i="1" s="1"/>
  <c r="H1973" i="1"/>
  <c r="H1982" i="1"/>
  <c r="H1991" i="1"/>
  <c r="H2003" i="1"/>
  <c r="H2009" i="1"/>
  <c r="H2015" i="1"/>
  <c r="H2029" i="1"/>
  <c r="I1891" i="1"/>
  <c r="I8" i="1" s="1"/>
  <c r="J9" i="6"/>
  <c r="I1892" i="1" s="1"/>
  <c r="I9" i="1" s="1"/>
  <c r="J10" i="6"/>
  <c r="I1893" i="1" s="1"/>
  <c r="I10" i="1" s="1"/>
  <c r="J11" i="6"/>
  <c r="I1894" i="1" s="1"/>
  <c r="I11" i="1" s="1"/>
  <c r="J12" i="6"/>
  <c r="I1895" i="1" s="1"/>
  <c r="J13" i="6"/>
  <c r="I1896" i="1" s="1"/>
  <c r="J14" i="6"/>
  <c r="I1897" i="1" s="1"/>
  <c r="I13" i="1" s="1"/>
  <c r="J15" i="6"/>
  <c r="I1898" i="1" s="1"/>
  <c r="I14" i="1" s="1"/>
  <c r="J16" i="6"/>
  <c r="I1899" i="1" s="1"/>
  <c r="I15" i="1" s="1"/>
  <c r="D17" i="6"/>
  <c r="J17" i="6" s="1"/>
  <c r="I1900" i="1" s="1"/>
  <c r="I16" i="1" s="1"/>
  <c r="I1901" i="1"/>
  <c r="I1907" i="1"/>
  <c r="I1916" i="1"/>
  <c r="I1930" i="1"/>
  <c r="D52" i="6"/>
  <c r="I1955" i="1"/>
  <c r="I1972" i="1"/>
  <c r="I1981" i="1"/>
  <c r="I1990" i="1"/>
  <c r="I2002" i="1"/>
  <c r="I2008" i="1"/>
  <c r="I2014" i="1"/>
  <c r="I2028" i="1"/>
  <c r="K84" i="17"/>
  <c r="L46" i="6" s="1"/>
  <c r="K1929" i="1" s="1"/>
  <c r="K99" i="17"/>
  <c r="L52" i="6" s="1"/>
  <c r="K1935" i="1" s="1"/>
  <c r="K1937" i="1" s="1"/>
  <c r="L84" i="17"/>
  <c r="M46" i="6" s="1"/>
  <c r="L1929" i="1" s="1"/>
  <c r="L99" i="17"/>
  <c r="M52" i="6" s="1"/>
  <c r="L1935" i="1" s="1"/>
  <c r="L97" i="1" s="1"/>
  <c r="M1892" i="1"/>
  <c r="M9" i="1" s="1"/>
  <c r="M1893" i="1"/>
  <c r="M10" i="1" s="1"/>
  <c r="M1894" i="1"/>
  <c r="M11" i="1" s="1"/>
  <c r="M1895" i="1"/>
  <c r="M1896" i="1"/>
  <c r="M1897" i="1"/>
  <c r="M13" i="1" s="1"/>
  <c r="M1898" i="1"/>
  <c r="M14" i="1" s="1"/>
  <c r="M1899" i="1"/>
  <c r="M15" i="1" s="1"/>
  <c r="M1900" i="1"/>
  <c r="M16" i="1" s="1"/>
  <c r="M1906" i="1"/>
  <c r="M1908" i="1" s="1"/>
  <c r="M1914" i="1"/>
  <c r="M34" i="1" s="1"/>
  <c r="M1915" i="1"/>
  <c r="M36" i="1" s="1"/>
  <c r="M99" i="17"/>
  <c r="N52" i="6" s="1"/>
  <c r="M1935" i="1" s="1"/>
  <c r="M1937" i="1" s="1"/>
  <c r="N2003" i="1"/>
  <c r="D3025" i="1"/>
  <c r="D3034" i="1"/>
  <c r="D3042" i="1"/>
  <c r="D3056" i="1"/>
  <c r="D3058" i="1" s="1"/>
  <c r="D3066" i="1"/>
  <c r="D3072" i="1"/>
  <c r="D3085" i="1"/>
  <c r="E3025" i="1"/>
  <c r="E3034" i="1"/>
  <c r="E3042" i="1"/>
  <c r="E3056" i="1"/>
  <c r="E3058" i="1" s="1"/>
  <c r="E3066" i="1"/>
  <c r="E3072" i="1"/>
  <c r="E3085" i="1"/>
  <c r="F3025" i="1"/>
  <c r="F3034" i="1"/>
  <c r="F3042" i="1"/>
  <c r="F3056" i="1"/>
  <c r="F3058" i="1" s="1"/>
  <c r="F3066" i="1"/>
  <c r="F3072" i="1"/>
  <c r="F3085" i="1"/>
  <c r="G3025" i="1"/>
  <c r="G3034" i="1"/>
  <c r="G3042" i="1"/>
  <c r="G3056" i="1"/>
  <c r="G3058" i="1" s="1"/>
  <c r="G3066" i="1"/>
  <c r="G3072" i="1"/>
  <c r="G3085" i="1"/>
  <c r="H3025" i="1"/>
  <c r="H3034" i="1"/>
  <c r="H3042" i="1"/>
  <c r="H3056" i="1"/>
  <c r="H3058" i="1" s="1"/>
  <c r="H3066" i="1"/>
  <c r="H3072" i="1"/>
  <c r="H3085" i="1"/>
  <c r="I3024" i="1"/>
  <c r="I3033" i="1"/>
  <c r="I3041" i="1"/>
  <c r="I3055" i="1"/>
  <c r="I3065" i="1"/>
  <c r="I3071" i="1"/>
  <c r="I3084" i="1"/>
  <c r="M3025" i="1"/>
  <c r="M3034" i="1"/>
  <c r="M3042" i="1"/>
  <c r="M3056" i="1"/>
  <c r="M3058" i="1" s="1"/>
  <c r="M3066" i="1"/>
  <c r="M3072" i="1"/>
  <c r="M3085" i="1"/>
  <c r="N3025" i="1"/>
  <c r="N3034" i="1"/>
  <c r="N3042" i="1"/>
  <c r="N3056" i="1"/>
  <c r="N3058" i="1" s="1"/>
  <c r="N3066" i="1"/>
  <c r="N3072" i="1"/>
  <c r="N3085" i="1"/>
  <c r="C3025" i="1"/>
  <c r="C3034" i="1"/>
  <c r="C3042" i="1"/>
  <c r="C3056" i="1"/>
  <c r="C3058" i="1" s="1"/>
  <c r="C3066" i="1"/>
  <c r="C3072" i="1"/>
  <c r="C3085" i="1"/>
  <c r="D2971" i="1"/>
  <c r="D2973" i="1" s="1"/>
  <c r="D2975" i="1" s="1"/>
  <c r="D2982" i="1"/>
  <c r="D2984" i="1" s="1"/>
  <c r="D2997" i="1"/>
  <c r="D3003" i="1"/>
  <c r="E2971" i="1"/>
  <c r="E2973" i="1" s="1"/>
  <c r="E2975" i="1" s="1"/>
  <c r="E2982" i="1"/>
  <c r="E2984" i="1" s="1"/>
  <c r="E2997" i="1"/>
  <c r="E3003" i="1"/>
  <c r="F2971" i="1"/>
  <c r="F2973" i="1" s="1"/>
  <c r="F2975" i="1" s="1"/>
  <c r="F2982" i="1"/>
  <c r="F2984" i="1" s="1"/>
  <c r="F2997" i="1"/>
  <c r="F3003" i="1"/>
  <c r="G2971" i="1"/>
  <c r="G2973" i="1" s="1"/>
  <c r="G2975" i="1" s="1"/>
  <c r="G2982" i="1"/>
  <c r="G2984" i="1" s="1"/>
  <c r="G2997" i="1"/>
  <c r="G3003" i="1"/>
  <c r="H2971" i="1"/>
  <c r="H2973" i="1" s="1"/>
  <c r="H2975" i="1" s="1"/>
  <c r="H2982" i="1"/>
  <c r="H2984" i="1" s="1"/>
  <c r="H2997" i="1"/>
  <c r="H3003" i="1"/>
  <c r="I2970" i="1"/>
  <c r="I2981" i="1"/>
  <c r="I2996" i="1"/>
  <c r="I3002" i="1"/>
  <c r="M2971" i="1"/>
  <c r="M2973" i="1" s="1"/>
  <c r="M2975" i="1" s="1"/>
  <c r="M2982" i="1"/>
  <c r="M2984" i="1" s="1"/>
  <c r="M2997" i="1"/>
  <c r="M3003" i="1"/>
  <c r="N2971" i="1"/>
  <c r="N2973" i="1" s="1"/>
  <c r="N2975" i="1" s="1"/>
  <c r="N2982" i="1"/>
  <c r="N2984" i="1" s="1"/>
  <c r="N2997" i="1"/>
  <c r="N3003" i="1"/>
  <c r="C2971" i="1"/>
  <c r="C2973" i="1" s="1"/>
  <c r="C2975" i="1" s="1"/>
  <c r="C2982" i="1"/>
  <c r="C2984" i="1" s="1"/>
  <c r="C2997" i="1"/>
  <c r="C3003" i="1"/>
  <c r="D2951" i="1"/>
  <c r="D2953" i="1" s="1"/>
  <c r="D2955" i="1" s="1"/>
  <c r="E2951" i="1"/>
  <c r="E2953" i="1" s="1"/>
  <c r="E2955" i="1" s="1"/>
  <c r="F2951" i="1"/>
  <c r="F2953" i="1" s="1"/>
  <c r="F2955" i="1" s="1"/>
  <c r="G2951" i="1"/>
  <c r="G2953" i="1" s="1"/>
  <c r="G2955" i="1" s="1"/>
  <c r="H2951" i="1"/>
  <c r="H2953" i="1" s="1"/>
  <c r="H2955" i="1" s="1"/>
  <c r="I2950" i="1"/>
  <c r="M2951" i="1"/>
  <c r="M2953" i="1" s="1"/>
  <c r="M2955" i="1" s="1"/>
  <c r="N2951" i="1"/>
  <c r="N2953" i="1" s="1"/>
  <c r="N2955" i="1" s="1"/>
  <c r="C2951" i="1"/>
  <c r="C2953" i="1" s="1"/>
  <c r="C2955" i="1" s="1"/>
  <c r="D2932" i="1"/>
  <c r="D2884" i="1"/>
  <c r="E2932" i="1"/>
  <c r="E2884" i="1"/>
  <c r="F2932" i="1"/>
  <c r="F2884" i="1"/>
  <c r="G2932" i="1"/>
  <c r="G2884" i="1"/>
  <c r="H2932" i="1"/>
  <c r="H2884" i="1"/>
  <c r="I2931" i="1"/>
  <c r="I2884" i="1"/>
  <c r="J2884" i="1"/>
  <c r="K2884" i="1"/>
  <c r="L2884" i="1"/>
  <c r="M2932" i="1"/>
  <c r="M2884" i="1"/>
  <c r="N2932" i="1"/>
  <c r="N2884" i="1"/>
  <c r="O2884" i="1"/>
  <c r="C2932" i="1"/>
  <c r="C2884" i="1"/>
  <c r="I2879" i="1"/>
  <c r="K74" i="17"/>
  <c r="L483" i="7" s="1"/>
  <c r="K2878" i="1" s="1"/>
  <c r="K74" i="1" s="1"/>
  <c r="L74" i="17"/>
  <c r="M483" i="7" s="1"/>
  <c r="L2878" i="1" s="1"/>
  <c r="L74" i="1" s="1"/>
  <c r="C2880" i="1"/>
  <c r="D2874" i="1"/>
  <c r="E2874" i="1"/>
  <c r="F2874" i="1"/>
  <c r="G2874" i="1"/>
  <c r="H2874" i="1"/>
  <c r="I2873" i="1"/>
  <c r="K61" i="17"/>
  <c r="L475" i="7" s="1"/>
  <c r="K2870" i="1" s="1"/>
  <c r="K63" i="17"/>
  <c r="L477" i="7" s="1"/>
  <c r="K2872" i="1" s="1"/>
  <c r="K63" i="1" s="1"/>
  <c r="L61" i="17"/>
  <c r="M475" i="7" s="1"/>
  <c r="L2870" i="1" s="1"/>
  <c r="L61" i="1" s="1"/>
  <c r="M2874" i="1"/>
  <c r="N2874" i="1"/>
  <c r="M61" i="17"/>
  <c r="N475" i="7" s="1"/>
  <c r="O2870" i="1" s="1"/>
  <c r="O61" i="1" s="1"/>
  <c r="O2871" i="1"/>
  <c r="C2874" i="1"/>
  <c r="D2797" i="1"/>
  <c r="D2799" i="1" s="1"/>
  <c r="D2801" i="1" s="1"/>
  <c r="D2816" i="1"/>
  <c r="D2825" i="1"/>
  <c r="D2833" i="1"/>
  <c r="D2844" i="1"/>
  <c r="D2846" i="1" s="1"/>
  <c r="D2852" i="1"/>
  <c r="E2797" i="1"/>
  <c r="E2799" i="1" s="1"/>
  <c r="E2801" i="1" s="1"/>
  <c r="E2816" i="1"/>
  <c r="E2825" i="1"/>
  <c r="E2833" i="1"/>
  <c r="E2844" i="1"/>
  <c r="E2846" i="1" s="1"/>
  <c r="E2852" i="1"/>
  <c r="F2797" i="1"/>
  <c r="F2799" i="1" s="1"/>
  <c r="F2801" i="1" s="1"/>
  <c r="F2816" i="1"/>
  <c r="F2825" i="1"/>
  <c r="F2833" i="1"/>
  <c r="F2844" i="1"/>
  <c r="F2846" i="1" s="1"/>
  <c r="F2852" i="1"/>
  <c r="G2797" i="1"/>
  <c r="G2799" i="1" s="1"/>
  <c r="G2801" i="1" s="1"/>
  <c r="G2816" i="1"/>
  <c r="G2825" i="1"/>
  <c r="G2833" i="1"/>
  <c r="G2844" i="1"/>
  <c r="G2846" i="1" s="1"/>
  <c r="G2852" i="1"/>
  <c r="H2797" i="1"/>
  <c r="H2799" i="1" s="1"/>
  <c r="H2801" i="1" s="1"/>
  <c r="H2816" i="1"/>
  <c r="H2825" i="1"/>
  <c r="H2833" i="1"/>
  <c r="H2844" i="1"/>
  <c r="H2846" i="1" s="1"/>
  <c r="H2852" i="1"/>
  <c r="I2796" i="1"/>
  <c r="I2815" i="1"/>
  <c r="I2824" i="1"/>
  <c r="I2832" i="1"/>
  <c r="I2843" i="1"/>
  <c r="I2851" i="1"/>
  <c r="K116" i="17"/>
  <c r="L400" i="7" s="1"/>
  <c r="K2795" i="1" s="1"/>
  <c r="M2797" i="1"/>
  <c r="M2799" i="1" s="1"/>
  <c r="M2801" i="1" s="1"/>
  <c r="M2816" i="1"/>
  <c r="M2825" i="1"/>
  <c r="M2833" i="1"/>
  <c r="M2844" i="1"/>
  <c r="M2846" i="1" s="1"/>
  <c r="M2852" i="1"/>
  <c r="N2797" i="1"/>
  <c r="N2799" i="1" s="1"/>
  <c r="N2801" i="1" s="1"/>
  <c r="N2816" i="1"/>
  <c r="N2825" i="1"/>
  <c r="N2833" i="1"/>
  <c r="N2844" i="1"/>
  <c r="N2846" i="1" s="1"/>
  <c r="N2852" i="1"/>
  <c r="C2797" i="1"/>
  <c r="C2799" i="1" s="1"/>
  <c r="C2801" i="1" s="1"/>
  <c r="C2816" i="1"/>
  <c r="C2825" i="1"/>
  <c r="C2833" i="1"/>
  <c r="C2844" i="1"/>
  <c r="C2846" i="1" s="1"/>
  <c r="C2852" i="1"/>
  <c r="D2789" i="1"/>
  <c r="E2789" i="1"/>
  <c r="F2789" i="1"/>
  <c r="G2789" i="1"/>
  <c r="H2789" i="1"/>
  <c r="I2788" i="1"/>
  <c r="K2787" i="1"/>
  <c r="K2789" i="1" s="1"/>
  <c r="M2789" i="1"/>
  <c r="N2789" i="1"/>
  <c r="O2787" i="1"/>
  <c r="O2789" i="1" s="1"/>
  <c r="C2789" i="1"/>
  <c r="D2708" i="1"/>
  <c r="D2710" i="1" s="1"/>
  <c r="D2740" i="1"/>
  <c r="D2748" i="1"/>
  <c r="D2759" i="1"/>
  <c r="D2761" i="1" s="1"/>
  <c r="D2768" i="1"/>
  <c r="D2779" i="1"/>
  <c r="E2708" i="1"/>
  <c r="E2710" i="1" s="1"/>
  <c r="E2740" i="1"/>
  <c r="E2748" i="1"/>
  <c r="E2759" i="1"/>
  <c r="E2761" i="1" s="1"/>
  <c r="E2768" i="1"/>
  <c r="E2779" i="1"/>
  <c r="F2708" i="1"/>
  <c r="F2710" i="1" s="1"/>
  <c r="F2740" i="1"/>
  <c r="F2748" i="1"/>
  <c r="F2759" i="1"/>
  <c r="F2761" i="1" s="1"/>
  <c r="F2768" i="1"/>
  <c r="F2779" i="1"/>
  <c r="G2708" i="1"/>
  <c r="G2710" i="1" s="1"/>
  <c r="G2740" i="1"/>
  <c r="G2748" i="1"/>
  <c r="G2759" i="1"/>
  <c r="G2761" i="1" s="1"/>
  <c r="G2768" i="1"/>
  <c r="G2779" i="1"/>
  <c r="H2708" i="1"/>
  <c r="H2710" i="1" s="1"/>
  <c r="H2740" i="1"/>
  <c r="H2748" i="1"/>
  <c r="H2759" i="1"/>
  <c r="H2761" i="1" s="1"/>
  <c r="H2768" i="1"/>
  <c r="H2779" i="1"/>
  <c r="I2698" i="1"/>
  <c r="I2707" i="1"/>
  <c r="I2730" i="1"/>
  <c r="I2739" i="1"/>
  <c r="I2747" i="1"/>
  <c r="I2758" i="1"/>
  <c r="I2767" i="1"/>
  <c r="I2778" i="1"/>
  <c r="J2708" i="1"/>
  <c r="J2710" i="1" s="1"/>
  <c r="K23" i="17"/>
  <c r="L301" i="7" s="1"/>
  <c r="K2696" i="1" s="1"/>
  <c r="K23" i="1" s="1"/>
  <c r="K128" i="17"/>
  <c r="M2708" i="1"/>
  <c r="M2710" i="1" s="1"/>
  <c r="M2740" i="1"/>
  <c r="M2748" i="1"/>
  <c r="M2759" i="1"/>
  <c r="M2761" i="1" s="1"/>
  <c r="M2768" i="1"/>
  <c r="M2779" i="1"/>
  <c r="N2708" i="1"/>
  <c r="N2710" i="1" s="1"/>
  <c r="N2740" i="1"/>
  <c r="N2748" i="1"/>
  <c r="N2759" i="1"/>
  <c r="N2761" i="1" s="1"/>
  <c r="N2768" i="1"/>
  <c r="N2779" i="1"/>
  <c r="C2708" i="1"/>
  <c r="C2710" i="1" s="1"/>
  <c r="C2731" i="1"/>
  <c r="C2740" i="1"/>
  <c r="C2748" i="1"/>
  <c r="C2759" i="1"/>
  <c r="C2761" i="1" s="1"/>
  <c r="C2768" i="1"/>
  <c r="C2779" i="1"/>
  <c r="K335" i="2"/>
  <c r="J819" i="1" s="1"/>
  <c r="J3093" i="1"/>
  <c r="K386" i="8"/>
  <c r="K387" i="8"/>
  <c r="J3320" i="1"/>
  <c r="J456" i="1" s="1"/>
  <c r="K337" i="2"/>
  <c r="J821" i="1" s="1"/>
  <c r="J464" i="1" s="1"/>
  <c r="J3097" i="1"/>
  <c r="J3095" i="1"/>
  <c r="J3099" i="1"/>
  <c r="J3100" i="1"/>
  <c r="J469" i="1" s="1"/>
  <c r="K150" i="2"/>
  <c r="J634" i="1" s="1"/>
  <c r="K257" i="2"/>
  <c r="J3101" i="1"/>
  <c r="J472" i="1" s="1"/>
  <c r="J3102" i="1"/>
  <c r="J473" i="1" s="1"/>
  <c r="J3103" i="1"/>
  <c r="J474" i="1" s="1"/>
  <c r="J3104" i="1"/>
  <c r="J475" i="1" s="1"/>
  <c r="J3106" i="1"/>
  <c r="J477" i="1" s="1"/>
  <c r="L335" i="2"/>
  <c r="K2687" i="1"/>
  <c r="K3319" i="1"/>
  <c r="K455" i="1" s="1"/>
  <c r="K3320" i="1"/>
  <c r="K456" i="1" s="1"/>
  <c r="K1413" i="1"/>
  <c r="K1415" i="1" s="1"/>
  <c r="K3094" i="1"/>
  <c r="K821" i="1"/>
  <c r="K464" i="1" s="1"/>
  <c r="K3100" i="1"/>
  <c r="K469" i="1" s="1"/>
  <c r="K634" i="1"/>
  <c r="L257" i="2"/>
  <c r="K741" i="1" s="1"/>
  <c r="K743" i="1" s="1"/>
  <c r="K3101" i="1"/>
  <c r="K472" i="1" s="1"/>
  <c r="K3102" i="1"/>
  <c r="K473" i="1" s="1"/>
  <c r="K3103" i="1"/>
  <c r="K474" i="1" s="1"/>
  <c r="K3104" i="1"/>
  <c r="K475" i="1" s="1"/>
  <c r="K3105" i="1"/>
  <c r="K476" i="1" s="1"/>
  <c r="K3106" i="1"/>
  <c r="K477" i="1" s="1"/>
  <c r="K484" i="1"/>
  <c r="M335" i="2"/>
  <c r="L3093" i="1"/>
  <c r="L3319" i="1"/>
  <c r="L455" i="1" s="1"/>
  <c r="L3320" i="1"/>
  <c r="L456" i="1" s="1"/>
  <c r="L1413" i="1"/>
  <c r="L1415" i="1" s="1"/>
  <c r="L3100" i="1"/>
  <c r="L634" i="1"/>
  <c r="M257" i="2"/>
  <c r="L741" i="1" s="1"/>
  <c r="L743" i="1" s="1"/>
  <c r="L3101" i="1"/>
  <c r="L472" i="1" s="1"/>
  <c r="L3102" i="1"/>
  <c r="L473" i="1" s="1"/>
  <c r="L3103" i="1"/>
  <c r="L474" i="1" s="1"/>
  <c r="L3104" i="1"/>
  <c r="L475" i="1" s="1"/>
  <c r="L3105" i="1"/>
  <c r="L476" i="1" s="1"/>
  <c r="O2684" i="1"/>
  <c r="O2687" i="1"/>
  <c r="O3093" i="1"/>
  <c r="O1413" i="1"/>
  <c r="O1415" i="1" s="1"/>
  <c r="O3094" i="1"/>
  <c r="O634" i="1"/>
  <c r="O3101" i="1"/>
  <c r="O472" i="1" s="1"/>
  <c r="O3102" i="1"/>
  <c r="O473" i="1" s="1"/>
  <c r="O3103" i="1"/>
  <c r="O474" i="1" s="1"/>
  <c r="O3104" i="1"/>
  <c r="O475" i="1" s="1"/>
  <c r="C453" i="1"/>
  <c r="D386" i="8"/>
  <c r="D387" i="8"/>
  <c r="C3320" i="1" s="1"/>
  <c r="C456" i="1" s="1"/>
  <c r="C3094" i="1"/>
  <c r="C463" i="1"/>
  <c r="C464" i="1"/>
  <c r="C3102" i="1"/>
  <c r="C473" i="1" s="1"/>
  <c r="C3103" i="1"/>
  <c r="C474" i="1" s="1"/>
  <c r="C3104" i="1"/>
  <c r="C475" i="1" s="1"/>
  <c r="C3106" i="1"/>
  <c r="C477" i="1" s="1"/>
  <c r="K19" i="2"/>
  <c r="K20" i="2"/>
  <c r="K21" i="2"/>
  <c r="K22" i="2"/>
  <c r="K23" i="2"/>
  <c r="K24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52" i="2"/>
  <c r="K53" i="2"/>
  <c r="K54" i="2"/>
  <c r="K55" i="2"/>
  <c r="K61" i="2"/>
  <c r="K62" i="2"/>
  <c r="K63" i="2"/>
  <c r="K64" i="2"/>
  <c r="K173" i="2"/>
  <c r="J657" i="1" s="1"/>
  <c r="K174" i="2"/>
  <c r="K175" i="2"/>
  <c r="K176" i="2"/>
  <c r="J660" i="1" s="1"/>
  <c r="K177" i="2"/>
  <c r="J661" i="1" s="1"/>
  <c r="K178" i="2"/>
  <c r="K179" i="2"/>
  <c r="L179" i="2" s="1"/>
  <c r="K663" i="1" s="1"/>
  <c r="K180" i="2"/>
  <c r="K181" i="2"/>
  <c r="J665" i="1" s="1"/>
  <c r="K182" i="2"/>
  <c r="K188" i="2"/>
  <c r="K189" i="2"/>
  <c r="K190" i="2"/>
  <c r="K191" i="2"/>
  <c r="K197" i="2"/>
  <c r="K198" i="2"/>
  <c r="K199" i="2"/>
  <c r="K268" i="2"/>
  <c r="K269" i="2"/>
  <c r="K270" i="2"/>
  <c r="J754" i="1" s="1"/>
  <c r="K271" i="2"/>
  <c r="L271" i="2" s="1"/>
  <c r="K272" i="2"/>
  <c r="K273" i="2"/>
  <c r="K274" i="2"/>
  <c r="L274" i="2" s="1"/>
  <c r="K275" i="2"/>
  <c r="J759" i="1" s="1"/>
  <c r="K276" i="2"/>
  <c r="K282" i="2"/>
  <c r="K283" i="2"/>
  <c r="K284" i="2"/>
  <c r="K285" i="2"/>
  <c r="K291" i="2"/>
  <c r="K292" i="2"/>
  <c r="K293" i="2"/>
  <c r="K76" i="2"/>
  <c r="K82" i="2"/>
  <c r="K83" i="2"/>
  <c r="K84" i="2"/>
  <c r="K211" i="2"/>
  <c r="K212" i="2"/>
  <c r="K218" i="2"/>
  <c r="J702" i="1" s="1"/>
  <c r="J325" i="1" s="1"/>
  <c r="K219" i="2"/>
  <c r="K220" i="2"/>
  <c r="J704" i="1" s="1"/>
  <c r="J327" i="1" s="1"/>
  <c r="K305" i="2"/>
  <c r="K306" i="2"/>
  <c r="K307" i="2"/>
  <c r="K92" i="2"/>
  <c r="K93" i="2"/>
  <c r="K94" i="2"/>
  <c r="K95" i="2"/>
  <c r="K96" i="2"/>
  <c r="K98" i="2"/>
  <c r="K107" i="2"/>
  <c r="K108" i="2"/>
  <c r="K109" i="2"/>
  <c r="K228" i="2"/>
  <c r="J712" i="1" s="1"/>
  <c r="K229" i="2"/>
  <c r="J713" i="1" s="1"/>
  <c r="J342" i="1" s="1"/>
  <c r="K230" i="2"/>
  <c r="L230" i="2" s="1"/>
  <c r="K714" i="1" s="1"/>
  <c r="K231" i="2"/>
  <c r="K232" i="2"/>
  <c r="J716" i="1" s="1"/>
  <c r="K233" i="2"/>
  <c r="J717" i="1" s="1"/>
  <c r="K234" i="2"/>
  <c r="L234" i="2" s="1"/>
  <c r="K236" i="2"/>
  <c r="K237" i="2"/>
  <c r="J721" i="1" s="1"/>
  <c r="K238" i="2"/>
  <c r="L238" i="2" s="1"/>
  <c r="K722" i="1" s="1"/>
  <c r="K239" i="2"/>
  <c r="L239" i="2" s="1"/>
  <c r="K240" i="2"/>
  <c r="L240" i="2" s="1"/>
  <c r="K315" i="2"/>
  <c r="K316" i="2"/>
  <c r="K317" i="2"/>
  <c r="K115" i="2"/>
  <c r="K116" i="2"/>
  <c r="K117" i="2"/>
  <c r="K123" i="2"/>
  <c r="K124" i="2"/>
  <c r="K131" i="2"/>
  <c r="L131" i="2" s="1"/>
  <c r="K615" i="1" s="1"/>
  <c r="K132" i="2"/>
  <c r="J616" i="1" s="1"/>
  <c r="K133" i="2"/>
  <c r="K134" i="2"/>
  <c r="K135" i="2"/>
  <c r="K136" i="2"/>
  <c r="K137" i="2"/>
  <c r="J621" i="1" s="1"/>
  <c r="K138" i="2"/>
  <c r="K139" i="2"/>
  <c r="K246" i="2"/>
  <c r="K247" i="2"/>
  <c r="K323" i="2"/>
  <c r="K324" i="2"/>
  <c r="K325" i="2"/>
  <c r="L163" i="3"/>
  <c r="L99" i="2"/>
  <c r="L100" i="2"/>
  <c r="L101" i="2"/>
  <c r="L102" i="2"/>
  <c r="L103" i="2"/>
  <c r="L104" i="2"/>
  <c r="L105" i="2"/>
  <c r="L106" i="2"/>
  <c r="M220" i="2"/>
  <c r="L704" i="1" s="1"/>
  <c r="L327" i="1" s="1"/>
  <c r="M24" i="2"/>
  <c r="L508" i="1" s="1"/>
  <c r="L167" i="1" s="1"/>
  <c r="N99" i="2"/>
  <c r="N100" i="2"/>
  <c r="O584" i="1" s="1"/>
  <c r="N101" i="2"/>
  <c r="O585" i="1" s="1"/>
  <c r="N102" i="2"/>
  <c r="O586" i="1" s="1"/>
  <c r="N103" i="2"/>
  <c r="O587" i="1" s="1"/>
  <c r="N104" i="2"/>
  <c r="O588" i="1" s="1"/>
  <c r="N105" i="2"/>
  <c r="O589" i="1" s="1"/>
  <c r="N106" i="2"/>
  <c r="D19" i="2"/>
  <c r="I19" i="2" s="1"/>
  <c r="H503" i="1" s="1"/>
  <c r="D20" i="2"/>
  <c r="C504" i="1" s="1"/>
  <c r="D21" i="2"/>
  <c r="C505" i="1" s="1"/>
  <c r="D22" i="2"/>
  <c r="C506" i="1" s="1"/>
  <c r="D23" i="2"/>
  <c r="C507" i="1" s="1"/>
  <c r="D24" i="2"/>
  <c r="C508" i="1" s="1"/>
  <c r="D34" i="2"/>
  <c r="D35" i="2"/>
  <c r="H35" i="2" s="1"/>
  <c r="D36" i="2"/>
  <c r="H36" i="2" s="1"/>
  <c r="D37" i="2"/>
  <c r="D38" i="2"/>
  <c r="I38" i="2" s="1"/>
  <c r="D39" i="2"/>
  <c r="H39" i="2" s="1"/>
  <c r="D40" i="2"/>
  <c r="H40" i="2" s="1"/>
  <c r="D41" i="2"/>
  <c r="D42" i="2"/>
  <c r="H42" i="2" s="1"/>
  <c r="D43" i="2"/>
  <c r="H43" i="2" s="1"/>
  <c r="D44" i="2"/>
  <c r="H44" i="2" s="1"/>
  <c r="D45" i="2"/>
  <c r="I45" i="2" s="1"/>
  <c r="D46" i="2"/>
  <c r="H46" i="2" s="1"/>
  <c r="D52" i="2"/>
  <c r="H52" i="2" s="1"/>
  <c r="D53" i="2"/>
  <c r="I53" i="2" s="1"/>
  <c r="D54" i="2"/>
  <c r="I54" i="2" s="1"/>
  <c r="D55" i="2"/>
  <c r="I55" i="2" s="1"/>
  <c r="D61" i="2"/>
  <c r="D62" i="2"/>
  <c r="D63" i="2"/>
  <c r="C547" i="1" s="1"/>
  <c r="D64" i="2"/>
  <c r="D173" i="2"/>
  <c r="D174" i="2"/>
  <c r="D175" i="2"/>
  <c r="D176" i="2"/>
  <c r="D177" i="2"/>
  <c r="D178" i="2"/>
  <c r="D179" i="2"/>
  <c r="D180" i="2"/>
  <c r="D181" i="2"/>
  <c r="D182" i="2"/>
  <c r="D188" i="2"/>
  <c r="D189" i="2"/>
  <c r="D190" i="2"/>
  <c r="D191" i="2"/>
  <c r="D197" i="2"/>
  <c r="D198" i="2"/>
  <c r="D199" i="2"/>
  <c r="D268" i="2"/>
  <c r="D269" i="2"/>
  <c r="D270" i="2"/>
  <c r="D271" i="2"/>
  <c r="D272" i="2"/>
  <c r="D273" i="2"/>
  <c r="D274" i="2"/>
  <c r="D275" i="2"/>
  <c r="D276" i="2"/>
  <c r="D282" i="2"/>
  <c r="D283" i="2"/>
  <c r="D284" i="2"/>
  <c r="D285" i="2"/>
  <c r="D291" i="2"/>
  <c r="D292" i="2"/>
  <c r="D293" i="2"/>
  <c r="D76" i="2"/>
  <c r="H76" i="2" s="1"/>
  <c r="H78" i="2" s="1"/>
  <c r="D82" i="2"/>
  <c r="D83" i="2"/>
  <c r="D84" i="2"/>
  <c r="D211" i="2"/>
  <c r="D212" i="2"/>
  <c r="D218" i="2"/>
  <c r="H218" i="2" s="1"/>
  <c r="D219" i="2"/>
  <c r="D220" i="2"/>
  <c r="I220" i="2" s="1"/>
  <c r="D305" i="2"/>
  <c r="D306" i="2"/>
  <c r="D307" i="2"/>
  <c r="D92" i="2"/>
  <c r="H92" i="2" s="1"/>
  <c r="D93" i="2"/>
  <c r="H93" i="2" s="1"/>
  <c r="D94" i="2"/>
  <c r="I94" i="2" s="1"/>
  <c r="D95" i="2"/>
  <c r="D96" i="2"/>
  <c r="H96" i="2" s="1"/>
  <c r="D98" i="2"/>
  <c r="D107" i="2"/>
  <c r="I107" i="2" s="1"/>
  <c r="D108" i="2"/>
  <c r="D109" i="2"/>
  <c r="H109" i="2" s="1"/>
  <c r="D228" i="2"/>
  <c r="H228" i="2" s="1"/>
  <c r="D229" i="2"/>
  <c r="H229" i="2" s="1"/>
  <c r="D230" i="2"/>
  <c r="D231" i="2"/>
  <c r="I231" i="2" s="1"/>
  <c r="D232" i="2"/>
  <c r="H232" i="2" s="1"/>
  <c r="D233" i="2"/>
  <c r="H233" i="2" s="1"/>
  <c r="D234" i="2"/>
  <c r="D236" i="2"/>
  <c r="H236" i="2" s="1"/>
  <c r="D237" i="2"/>
  <c r="H237" i="2" s="1"/>
  <c r="D238" i="2"/>
  <c r="I238" i="2" s="1"/>
  <c r="D239" i="2"/>
  <c r="D240" i="2"/>
  <c r="H240" i="2" s="1"/>
  <c r="D315" i="2"/>
  <c r="D316" i="2"/>
  <c r="D317" i="2"/>
  <c r="D115" i="2"/>
  <c r="D116" i="2"/>
  <c r="D117" i="2"/>
  <c r="D123" i="2"/>
  <c r="D124" i="2"/>
  <c r="D131" i="2"/>
  <c r="D132" i="2"/>
  <c r="D133" i="2"/>
  <c r="D134" i="2"/>
  <c r="D135" i="2"/>
  <c r="D136" i="2"/>
  <c r="D137" i="2"/>
  <c r="D138" i="2"/>
  <c r="D139" i="2"/>
  <c r="D246" i="2"/>
  <c r="D247" i="2"/>
  <c r="D323" i="2"/>
  <c r="D324" i="2"/>
  <c r="D325" i="2"/>
  <c r="D2684" i="1"/>
  <c r="D2689" i="1" s="1"/>
  <c r="E2684" i="1"/>
  <c r="E2689" i="1" s="1"/>
  <c r="F2684" i="1"/>
  <c r="F2689" i="1" s="1"/>
  <c r="G2684" i="1"/>
  <c r="G2689" i="1" s="1"/>
  <c r="H2684" i="1"/>
  <c r="H2689" i="1" s="1"/>
  <c r="I2688" i="1"/>
  <c r="M2684" i="1"/>
  <c r="M2689" i="1" s="1"/>
  <c r="N2684" i="1"/>
  <c r="N2689" i="1" s="1"/>
  <c r="D2570" i="1"/>
  <c r="D2572" i="1" s="1"/>
  <c r="D2580" i="1"/>
  <c r="D2586" i="1"/>
  <c r="D2592" i="1"/>
  <c r="D2614" i="1"/>
  <c r="D2623" i="1"/>
  <c r="D2631" i="1"/>
  <c r="D2642" i="1"/>
  <c r="D2648" i="1"/>
  <c r="D2655" i="1"/>
  <c r="D2666" i="1"/>
  <c r="D2676" i="1"/>
  <c r="E2570" i="1"/>
  <c r="E2572" i="1" s="1"/>
  <c r="E2580" i="1"/>
  <c r="E2586" i="1"/>
  <c r="E2592" i="1"/>
  <c r="E2614" i="1"/>
  <c r="E2623" i="1"/>
  <c r="E2631" i="1"/>
  <c r="E2642" i="1"/>
  <c r="E2648" i="1"/>
  <c r="E2655" i="1"/>
  <c r="E2666" i="1"/>
  <c r="E2676" i="1"/>
  <c r="F2570" i="1"/>
  <c r="F2572" i="1" s="1"/>
  <c r="F2580" i="1"/>
  <c r="F2586" i="1"/>
  <c r="F2592" i="1"/>
  <c r="F2614" i="1"/>
  <c r="F2623" i="1"/>
  <c r="F2631" i="1"/>
  <c r="F2642" i="1"/>
  <c r="F2648" i="1"/>
  <c r="F2655" i="1"/>
  <c r="F2666" i="1"/>
  <c r="F2676" i="1"/>
  <c r="G2570" i="1"/>
  <c r="G2572" i="1" s="1"/>
  <c r="G2580" i="1"/>
  <c r="G2586" i="1"/>
  <c r="G2592" i="1"/>
  <c r="G2614" i="1"/>
  <c r="G2623" i="1"/>
  <c r="G2631" i="1"/>
  <c r="G2642" i="1"/>
  <c r="G2648" i="1"/>
  <c r="G2655" i="1"/>
  <c r="G2666" i="1"/>
  <c r="G2676" i="1"/>
  <c r="H2570" i="1"/>
  <c r="H2572" i="1" s="1"/>
  <c r="H2580" i="1"/>
  <c r="H2586" i="1"/>
  <c r="H2592" i="1"/>
  <c r="H2614" i="1"/>
  <c r="H2623" i="1"/>
  <c r="H2631" i="1"/>
  <c r="H2642" i="1"/>
  <c r="H2648" i="1"/>
  <c r="H2655" i="1"/>
  <c r="H2666" i="1"/>
  <c r="H2676" i="1"/>
  <c r="I2569" i="1"/>
  <c r="I2579" i="1"/>
  <c r="I2585" i="1"/>
  <c r="I2591" i="1"/>
  <c r="I2613" i="1"/>
  <c r="I2622" i="1"/>
  <c r="I2630" i="1"/>
  <c r="I2641" i="1"/>
  <c r="I2647" i="1"/>
  <c r="I2654" i="1"/>
  <c r="I2665" i="1"/>
  <c r="I2675" i="1"/>
  <c r="K24" i="17"/>
  <c r="L173" i="7" s="1"/>
  <c r="K2568" i="1" s="1"/>
  <c r="K117" i="17"/>
  <c r="L195" i="7" s="1"/>
  <c r="K2590" i="1" s="1"/>
  <c r="K2592" i="1" s="1"/>
  <c r="K115" i="1" s="1"/>
  <c r="L24" i="17"/>
  <c r="M173" i="7" s="1"/>
  <c r="L2568" i="1" s="1"/>
  <c r="L117" i="17"/>
  <c r="M195" i="7" s="1"/>
  <c r="L2590" i="1" s="1"/>
  <c r="L2592" i="1" s="1"/>
  <c r="L115" i="1" s="1"/>
  <c r="M2570" i="1"/>
  <c r="M2572" i="1" s="1"/>
  <c r="M2580" i="1"/>
  <c r="M96" i="1" s="1"/>
  <c r="M2586" i="1"/>
  <c r="M107" i="1" s="1"/>
  <c r="M109" i="1" s="1"/>
  <c r="M2592" i="1"/>
  <c r="M115" i="1" s="1"/>
  <c r="M2614" i="1"/>
  <c r="M2623" i="1"/>
  <c r="M2631" i="1"/>
  <c r="M2642" i="1"/>
  <c r="M2648" i="1"/>
  <c r="M2655" i="1"/>
  <c r="M2666" i="1"/>
  <c r="M2676" i="1"/>
  <c r="N2614" i="1"/>
  <c r="N2623" i="1"/>
  <c r="N2631" i="1"/>
  <c r="N2642" i="1"/>
  <c r="N2648" i="1"/>
  <c r="N2655" i="1"/>
  <c r="N2666" i="1"/>
  <c r="N2676" i="1"/>
  <c r="C2570" i="1"/>
  <c r="C2572" i="1" s="1"/>
  <c r="C2580" i="1"/>
  <c r="C2586" i="1"/>
  <c r="C2592" i="1"/>
  <c r="C2614" i="1"/>
  <c r="C2623" i="1"/>
  <c r="C2631" i="1"/>
  <c r="C2642" i="1"/>
  <c r="C2648" i="1"/>
  <c r="C2655" i="1"/>
  <c r="C2666" i="1"/>
  <c r="C2676" i="1"/>
  <c r="D2523" i="1"/>
  <c r="D2532" i="1"/>
  <c r="D2540" i="1"/>
  <c r="D2550" i="1"/>
  <c r="D2557" i="1"/>
  <c r="E2523" i="1"/>
  <c r="E2532" i="1"/>
  <c r="E2540" i="1"/>
  <c r="E2550" i="1"/>
  <c r="E2557" i="1"/>
  <c r="F2523" i="1"/>
  <c r="F2532" i="1"/>
  <c r="F2540" i="1"/>
  <c r="F2550" i="1"/>
  <c r="F2557" i="1"/>
  <c r="G2523" i="1"/>
  <c r="G2532" i="1"/>
  <c r="G2540" i="1"/>
  <c r="G2550" i="1"/>
  <c r="G2557" i="1"/>
  <c r="H2523" i="1"/>
  <c r="H2532" i="1"/>
  <c r="H2540" i="1"/>
  <c r="H2550" i="1"/>
  <c r="H2557" i="1"/>
  <c r="I2522" i="1"/>
  <c r="I2531" i="1"/>
  <c r="I2539" i="1"/>
  <c r="I2549" i="1"/>
  <c r="I2556" i="1"/>
  <c r="M2523" i="1"/>
  <c r="M2532" i="1"/>
  <c r="M2540" i="1"/>
  <c r="M2550" i="1"/>
  <c r="M2557" i="1"/>
  <c r="N2523" i="1"/>
  <c r="N2532" i="1"/>
  <c r="N2540" i="1"/>
  <c r="N2550" i="1"/>
  <c r="N2557" i="1"/>
  <c r="C2532" i="1"/>
  <c r="C2540" i="1"/>
  <c r="C2550" i="1"/>
  <c r="C2557" i="1"/>
  <c r="D2423" i="1"/>
  <c r="D2425" i="1" s="1"/>
  <c r="D2427" i="1" s="1"/>
  <c r="D2440" i="1"/>
  <c r="D2444" i="1"/>
  <c r="D2449" i="1" s="1"/>
  <c r="D2457" i="1"/>
  <c r="D2467" i="1"/>
  <c r="D2469" i="1" s="1"/>
  <c r="D2490" i="1"/>
  <c r="D2503" i="1"/>
  <c r="E2404" i="1"/>
  <c r="E2406" i="1" s="1"/>
  <c r="E2408" i="1" s="1"/>
  <c r="E2423" i="1"/>
  <c r="E2425" i="1" s="1"/>
  <c r="E2427" i="1" s="1"/>
  <c r="E2440" i="1"/>
  <c r="E2444" i="1"/>
  <c r="E2449" i="1" s="1"/>
  <c r="E2457" i="1"/>
  <c r="E2467" i="1"/>
  <c r="E2469" i="1" s="1"/>
  <c r="E2490" i="1"/>
  <c r="E2503" i="1"/>
  <c r="F2404" i="1"/>
  <c r="F2406" i="1" s="1"/>
  <c r="F2408" i="1" s="1"/>
  <c r="F2423" i="1"/>
  <c r="F2425" i="1" s="1"/>
  <c r="F2427" i="1" s="1"/>
  <c r="F2440" i="1"/>
  <c r="F2444" i="1"/>
  <c r="F2449" i="1" s="1"/>
  <c r="F2457" i="1"/>
  <c r="F2467" i="1"/>
  <c r="F2469" i="1" s="1"/>
  <c r="F2490" i="1"/>
  <c r="F2503" i="1"/>
  <c r="G2404" i="1"/>
  <c r="G2406" i="1" s="1"/>
  <c r="G2408" i="1" s="1"/>
  <c r="G2423" i="1"/>
  <c r="G2425" i="1" s="1"/>
  <c r="G2427" i="1" s="1"/>
  <c r="G2440" i="1"/>
  <c r="G2444" i="1"/>
  <c r="G2449" i="1" s="1"/>
  <c r="G2457" i="1"/>
  <c r="G2467" i="1"/>
  <c r="G2469" i="1" s="1"/>
  <c r="G2490" i="1"/>
  <c r="G2503" i="1"/>
  <c r="H2404" i="1"/>
  <c r="H2406" i="1" s="1"/>
  <c r="H2408" i="1" s="1"/>
  <c r="H2423" i="1"/>
  <c r="H2425" i="1" s="1"/>
  <c r="H2427" i="1" s="1"/>
  <c r="H2440" i="1"/>
  <c r="H2444" i="1"/>
  <c r="H2449" i="1" s="1"/>
  <c r="H2457" i="1"/>
  <c r="H2467" i="1"/>
  <c r="H2469" i="1" s="1"/>
  <c r="H2483" i="1"/>
  <c r="H2490" i="1"/>
  <c r="H2503" i="1"/>
  <c r="M2404" i="1"/>
  <c r="M33" i="1" s="1"/>
  <c r="M2423" i="1"/>
  <c r="M2425" i="1" s="1"/>
  <c r="M2427" i="1" s="1"/>
  <c r="M2440" i="1"/>
  <c r="M2457" i="1"/>
  <c r="M2467" i="1"/>
  <c r="M2469" i="1" s="1"/>
  <c r="M2483" i="1"/>
  <c r="M2490" i="1"/>
  <c r="M2503" i="1"/>
  <c r="N2423" i="1"/>
  <c r="N2425" i="1" s="1"/>
  <c r="N2427" i="1" s="1"/>
  <c r="N2440" i="1"/>
  <c r="N2457" i="1"/>
  <c r="N2467" i="1"/>
  <c r="N2469" i="1" s="1"/>
  <c r="N2483" i="1"/>
  <c r="N2490" i="1"/>
  <c r="N2503" i="1"/>
  <c r="I2422" i="1"/>
  <c r="I2439" i="1"/>
  <c r="I2448" i="1"/>
  <c r="I2456" i="1"/>
  <c r="I2466" i="1"/>
  <c r="I2482" i="1"/>
  <c r="I2489" i="1"/>
  <c r="I2502" i="1"/>
  <c r="D3438" i="1"/>
  <c r="D3440" i="1" s="1"/>
  <c r="D3465" i="1"/>
  <c r="D3474" i="1"/>
  <c r="D3482" i="1"/>
  <c r="D3490" i="1"/>
  <c r="D3493" i="1" s="1"/>
  <c r="E3438" i="1"/>
  <c r="E3440" i="1" s="1"/>
  <c r="E3465" i="1"/>
  <c r="E3474" i="1"/>
  <c r="E3482" i="1"/>
  <c r="E3490" i="1"/>
  <c r="E3493" i="1" s="1"/>
  <c r="F3438" i="1"/>
  <c r="F3440" i="1" s="1"/>
  <c r="F3465" i="1"/>
  <c r="F3474" i="1"/>
  <c r="F3482" i="1"/>
  <c r="F3490" i="1"/>
  <c r="F3493" i="1" s="1"/>
  <c r="G3438" i="1"/>
  <c r="G3440" i="1" s="1"/>
  <c r="G3465" i="1"/>
  <c r="G3474" i="1"/>
  <c r="G3482" i="1"/>
  <c r="G3490" i="1"/>
  <c r="G3493" i="1" s="1"/>
  <c r="H3438" i="1"/>
  <c r="H3440" i="1" s="1"/>
  <c r="H3465" i="1"/>
  <c r="H3474" i="1"/>
  <c r="H3482" i="1"/>
  <c r="H3490" i="1"/>
  <c r="H3493" i="1" s="1"/>
  <c r="J505" i="8"/>
  <c r="I3438" i="1" s="1"/>
  <c r="I75" i="1" s="1"/>
  <c r="I3439" i="1"/>
  <c r="I3445" i="1"/>
  <c r="I3464" i="1"/>
  <c r="I3473" i="1"/>
  <c r="I3481" i="1"/>
  <c r="I3492" i="1"/>
  <c r="J3439" i="1"/>
  <c r="K3439" i="1"/>
  <c r="K91" i="17"/>
  <c r="L511" i="8" s="1"/>
  <c r="K3444" i="1" s="1"/>
  <c r="K3446" i="1" s="1"/>
  <c r="L3439" i="1"/>
  <c r="M3438" i="1"/>
  <c r="M3440" i="1" s="1"/>
  <c r="M3465" i="1"/>
  <c r="M3474" i="1"/>
  <c r="M3482" i="1"/>
  <c r="N3465" i="1"/>
  <c r="N3474" i="1"/>
  <c r="N3482" i="1"/>
  <c r="D3434" i="1"/>
  <c r="E3434" i="1"/>
  <c r="F3434" i="1"/>
  <c r="G3434" i="1"/>
  <c r="H3434" i="1"/>
  <c r="D499" i="8"/>
  <c r="D501" i="8" s="1"/>
  <c r="I3433" i="1"/>
  <c r="J3433" i="1"/>
  <c r="K3433" i="1"/>
  <c r="L3433" i="1"/>
  <c r="M3434" i="1"/>
  <c r="N3434" i="1"/>
  <c r="O3434" i="1"/>
  <c r="C3434" i="1"/>
  <c r="D3342" i="1"/>
  <c r="D3344" i="1" s="1"/>
  <c r="D3354" i="1"/>
  <c r="D3356" i="1" s="1"/>
  <c r="D3379" i="1"/>
  <c r="D3388" i="1"/>
  <c r="D3396" i="1"/>
  <c r="D3407" i="1"/>
  <c r="D3413" i="1"/>
  <c r="D3421" i="1"/>
  <c r="E3342" i="1"/>
  <c r="E3344" i="1" s="1"/>
  <c r="E3354" i="1"/>
  <c r="E3356" i="1" s="1"/>
  <c r="E3379" i="1"/>
  <c r="E3388" i="1"/>
  <c r="E3396" i="1"/>
  <c r="E3407" i="1"/>
  <c r="E3413" i="1"/>
  <c r="E3421" i="1"/>
  <c r="F3342" i="1"/>
  <c r="F3344" i="1" s="1"/>
  <c r="F3354" i="1"/>
  <c r="F3356" i="1" s="1"/>
  <c r="F3379" i="1"/>
  <c r="F3388" i="1"/>
  <c r="F3396" i="1"/>
  <c r="F3407" i="1"/>
  <c r="F3413" i="1"/>
  <c r="F3421" i="1"/>
  <c r="G3342" i="1"/>
  <c r="G3344" i="1" s="1"/>
  <c r="G3354" i="1"/>
  <c r="G3356" i="1" s="1"/>
  <c r="G3379" i="1"/>
  <c r="G3388" i="1"/>
  <c r="G3396" i="1"/>
  <c r="G3407" i="1"/>
  <c r="G3413" i="1"/>
  <c r="G3421" i="1"/>
  <c r="H3342" i="1"/>
  <c r="H3344" i="1" s="1"/>
  <c r="H3354" i="1"/>
  <c r="H3356" i="1" s="1"/>
  <c r="H3379" i="1"/>
  <c r="H3388" i="1"/>
  <c r="H3396" i="1"/>
  <c r="H3407" i="1"/>
  <c r="H3413" i="1"/>
  <c r="H3421" i="1"/>
  <c r="D409" i="8"/>
  <c r="D411" i="8" s="1"/>
  <c r="I3343" i="1"/>
  <c r="I3349" i="1"/>
  <c r="I3354" i="1"/>
  <c r="I98" i="1" s="1"/>
  <c r="I3355" i="1"/>
  <c r="J3355" i="1" s="1"/>
  <c r="I3378" i="1"/>
  <c r="I3387" i="1"/>
  <c r="I3395" i="1"/>
  <c r="I3406" i="1"/>
  <c r="I3412" i="1"/>
  <c r="I3420" i="1"/>
  <c r="J3343" i="1"/>
  <c r="J3412" i="1"/>
  <c r="K3343" i="1"/>
  <c r="K90" i="17"/>
  <c r="L415" i="8" s="1"/>
  <c r="K3348" i="1" s="1"/>
  <c r="K3350" i="1" s="1"/>
  <c r="K3413" i="1"/>
  <c r="L3343" i="1"/>
  <c r="L3413" i="1"/>
  <c r="M3342" i="1"/>
  <c r="M3344" i="1" s="1"/>
  <c r="M3354" i="1"/>
  <c r="M98" i="1" s="1"/>
  <c r="M3379" i="1"/>
  <c r="M3388" i="1"/>
  <c r="M3396" i="1"/>
  <c r="M3407" i="1"/>
  <c r="M3413" i="1"/>
  <c r="M3421" i="1"/>
  <c r="N3379" i="1"/>
  <c r="N3388" i="1"/>
  <c r="N3396" i="1"/>
  <c r="N3407" i="1"/>
  <c r="N3413" i="1"/>
  <c r="N3421" i="1"/>
  <c r="O3413" i="1"/>
  <c r="C3354" i="1"/>
  <c r="C3356" i="1" s="1"/>
  <c r="C3367" i="1"/>
  <c r="C3368" i="1"/>
  <c r="C3369" i="1"/>
  <c r="C3370" i="1"/>
  <c r="C3371" i="1"/>
  <c r="C3372" i="1"/>
  <c r="C3373" i="1"/>
  <c r="C3374" i="1"/>
  <c r="C3375" i="1"/>
  <c r="C3376" i="1"/>
  <c r="C3377" i="1"/>
  <c r="C3388" i="1"/>
  <c r="C3396" i="1"/>
  <c r="C3407" i="1"/>
  <c r="C3413" i="1"/>
  <c r="C3421" i="1"/>
  <c r="D35" i="1"/>
  <c r="E35" i="1"/>
  <c r="F35" i="1"/>
  <c r="G35" i="1"/>
  <c r="H35" i="1"/>
  <c r="M35" i="1"/>
  <c r="D3319" i="1"/>
  <c r="D455" i="1" s="1"/>
  <c r="D3320" i="1"/>
  <c r="D456" i="1" s="1"/>
  <c r="E3319" i="1"/>
  <c r="E455" i="1" s="1"/>
  <c r="E3320" i="1"/>
  <c r="E456" i="1" s="1"/>
  <c r="F3319" i="1"/>
  <c r="F455" i="1" s="1"/>
  <c r="F3320" i="1"/>
  <c r="G3319" i="1"/>
  <c r="G455" i="1" s="1"/>
  <c r="G3320" i="1"/>
  <c r="G456" i="1" s="1"/>
  <c r="H3319" i="1"/>
  <c r="H455" i="1" s="1"/>
  <c r="H3320" i="1"/>
  <c r="I3328" i="1"/>
  <c r="M3319" i="1"/>
  <c r="M455" i="1" s="1"/>
  <c r="N3319" i="1"/>
  <c r="D3222" i="1"/>
  <c r="D3224" i="1" s="1"/>
  <c r="D3237" i="1"/>
  <c r="D3249" i="1" s="1"/>
  <c r="D3253" i="1"/>
  <c r="D3258" i="1" s="1"/>
  <c r="D3262" i="1"/>
  <c r="D3266" i="1" s="1"/>
  <c r="D3276" i="1"/>
  <c r="D3278" i="1" s="1"/>
  <c r="D3283" i="1"/>
  <c r="D3285" i="1" s="1"/>
  <c r="D3291" i="1"/>
  <c r="D3295" i="1" s="1"/>
  <c r="D3299" i="1"/>
  <c r="D3301" i="1" s="1"/>
  <c r="D3311" i="1"/>
  <c r="E3222" i="1"/>
  <c r="E3224" i="1" s="1"/>
  <c r="E3237" i="1"/>
  <c r="E3249" i="1" s="1"/>
  <c r="E3253" i="1"/>
  <c r="E3258" i="1" s="1"/>
  <c r="E3262" i="1"/>
  <c r="E3266" i="1" s="1"/>
  <c r="E3276" i="1"/>
  <c r="E3278" i="1" s="1"/>
  <c r="E3283" i="1"/>
  <c r="E3285" i="1" s="1"/>
  <c r="E3291" i="1"/>
  <c r="E3295" i="1" s="1"/>
  <c r="E3299" i="1"/>
  <c r="E3301" i="1" s="1"/>
  <c r="E3311" i="1"/>
  <c r="F3237" i="1"/>
  <c r="F3249" i="1" s="1"/>
  <c r="F3253" i="1"/>
  <c r="F3258" i="1" s="1"/>
  <c r="F3262" i="1"/>
  <c r="F3266" i="1" s="1"/>
  <c r="F3276" i="1"/>
  <c r="F3278" i="1" s="1"/>
  <c r="F3283" i="1"/>
  <c r="F3285" i="1" s="1"/>
  <c r="F3291" i="1"/>
  <c r="F3295" i="1" s="1"/>
  <c r="F3299" i="1"/>
  <c r="F3301" i="1" s="1"/>
  <c r="F3311" i="1"/>
  <c r="G3237" i="1"/>
  <c r="G3249" i="1" s="1"/>
  <c r="G3253" i="1"/>
  <c r="G3258" i="1" s="1"/>
  <c r="G3262" i="1"/>
  <c r="G3266" i="1" s="1"/>
  <c r="G3276" i="1"/>
  <c r="G3278" i="1" s="1"/>
  <c r="G3283" i="1"/>
  <c r="G3285" i="1" s="1"/>
  <c r="G3291" i="1"/>
  <c r="G3295" i="1" s="1"/>
  <c r="G3299" i="1"/>
  <c r="G3301" i="1" s="1"/>
  <c r="G3311" i="1"/>
  <c r="H3222" i="1"/>
  <c r="H3224" i="1" s="1"/>
  <c r="H3237" i="1"/>
  <c r="H3249" i="1" s="1"/>
  <c r="H3253" i="1"/>
  <c r="H3258" i="1" s="1"/>
  <c r="H3262" i="1"/>
  <c r="H3266" i="1" s="1"/>
  <c r="H3276" i="1"/>
  <c r="H3278" i="1" s="1"/>
  <c r="H3283" i="1"/>
  <c r="H3285" i="1" s="1"/>
  <c r="H3291" i="1"/>
  <c r="H3295" i="1" s="1"/>
  <c r="H3299" i="1"/>
  <c r="H3301" i="1" s="1"/>
  <c r="H3311" i="1"/>
  <c r="I3217" i="1"/>
  <c r="I3223" i="1"/>
  <c r="I3248" i="1"/>
  <c r="I3257" i="1"/>
  <c r="I3265" i="1"/>
  <c r="I3277" i="1"/>
  <c r="I3284" i="1"/>
  <c r="I3294" i="1"/>
  <c r="I3300" i="1"/>
  <c r="I3310" i="1"/>
  <c r="M278" i="8"/>
  <c r="M279" i="8"/>
  <c r="L3212" i="1" s="1"/>
  <c r="L56" i="1" s="1"/>
  <c r="M280" i="8"/>
  <c r="L3213" i="1" s="1"/>
  <c r="L57" i="1" s="1"/>
  <c r="M282" i="8"/>
  <c r="L3215" i="1" s="1"/>
  <c r="L59" i="1" s="1"/>
  <c r="N283" i="8"/>
  <c r="O3216" i="1" s="1"/>
  <c r="O60" i="1" s="1"/>
  <c r="M3311" i="1"/>
  <c r="N3311" i="1"/>
  <c r="N280" i="8"/>
  <c r="O3213" i="1" s="1"/>
  <c r="O57" i="1" s="1"/>
  <c r="N281" i="8"/>
  <c r="O3214" i="1" s="1"/>
  <c r="O58" i="1" s="1"/>
  <c r="N282" i="8"/>
  <c r="O3215" i="1" s="1"/>
  <c r="O59" i="1" s="1"/>
  <c r="C3222" i="1"/>
  <c r="C3224" i="1" s="1"/>
  <c r="C3237" i="1"/>
  <c r="C3238" i="1"/>
  <c r="C3240" i="1"/>
  <c r="C3244" i="1"/>
  <c r="C3245" i="1"/>
  <c r="C3246" i="1"/>
  <c r="C3247" i="1"/>
  <c r="C3256" i="1"/>
  <c r="C3264" i="1"/>
  <c r="C3291" i="1"/>
  <c r="C3307" i="1"/>
  <c r="D3106" i="1"/>
  <c r="D477" i="1" s="1"/>
  <c r="E3106" i="1"/>
  <c r="E477" i="1" s="1"/>
  <c r="F3106" i="1"/>
  <c r="F477" i="1" s="1"/>
  <c r="G3106" i="1"/>
  <c r="G477" i="1" s="1"/>
  <c r="H3106" i="1"/>
  <c r="H477" i="1" s="1"/>
  <c r="M3106" i="1"/>
  <c r="M477" i="1" s="1"/>
  <c r="N3106" i="1"/>
  <c r="N477" i="1" s="1"/>
  <c r="D3105" i="1"/>
  <c r="D476" i="1" s="1"/>
  <c r="E3105" i="1"/>
  <c r="E476" i="1" s="1"/>
  <c r="F3105" i="1"/>
  <c r="F476" i="1" s="1"/>
  <c r="G3105" i="1"/>
  <c r="G476" i="1" s="1"/>
  <c r="H3105" i="1"/>
  <c r="H476" i="1" s="1"/>
  <c r="M3105" i="1"/>
  <c r="M476" i="1" s="1"/>
  <c r="N3105" i="1"/>
  <c r="N476" i="1" s="1"/>
  <c r="D3104" i="1"/>
  <c r="D475" i="1" s="1"/>
  <c r="E3104" i="1"/>
  <c r="E475" i="1" s="1"/>
  <c r="F3104" i="1"/>
  <c r="F475" i="1" s="1"/>
  <c r="G3104" i="1"/>
  <c r="G475" i="1" s="1"/>
  <c r="H3104" i="1"/>
  <c r="H475" i="1" s="1"/>
  <c r="I3104" i="1"/>
  <c r="I475" i="1" s="1"/>
  <c r="M3104" i="1"/>
  <c r="M475" i="1" s="1"/>
  <c r="N3104" i="1"/>
  <c r="N475" i="1" s="1"/>
  <c r="D3103" i="1"/>
  <c r="D474" i="1" s="1"/>
  <c r="E3103" i="1"/>
  <c r="E474" i="1" s="1"/>
  <c r="F3103" i="1"/>
  <c r="F474" i="1" s="1"/>
  <c r="G3103" i="1"/>
  <c r="G474" i="1" s="1"/>
  <c r="H3103" i="1"/>
  <c r="H474" i="1" s="1"/>
  <c r="I3103" i="1"/>
  <c r="I474" i="1" s="1"/>
  <c r="M3103" i="1"/>
  <c r="M474" i="1" s="1"/>
  <c r="N3103" i="1"/>
  <c r="N474" i="1" s="1"/>
  <c r="D3102" i="1"/>
  <c r="D473" i="1" s="1"/>
  <c r="E3102" i="1"/>
  <c r="E473" i="1" s="1"/>
  <c r="F3102" i="1"/>
  <c r="F473" i="1" s="1"/>
  <c r="G3102" i="1"/>
  <c r="G473" i="1" s="1"/>
  <c r="H3102" i="1"/>
  <c r="H473" i="1" s="1"/>
  <c r="M3102" i="1"/>
  <c r="M473" i="1" s="1"/>
  <c r="N3102" i="1"/>
  <c r="N473" i="1" s="1"/>
  <c r="D3101" i="1"/>
  <c r="D472" i="1" s="1"/>
  <c r="E3101" i="1"/>
  <c r="E472" i="1" s="1"/>
  <c r="F3101" i="1"/>
  <c r="F472" i="1" s="1"/>
  <c r="G3101" i="1"/>
  <c r="G472" i="1" s="1"/>
  <c r="H3101" i="1"/>
  <c r="H472" i="1" s="1"/>
  <c r="M3101" i="1"/>
  <c r="M472" i="1" s="1"/>
  <c r="N3101" i="1"/>
  <c r="N472" i="1" s="1"/>
  <c r="D3093" i="1"/>
  <c r="D3094" i="1"/>
  <c r="D3095" i="1"/>
  <c r="D3096" i="1"/>
  <c r="D3097" i="1"/>
  <c r="D3098" i="1"/>
  <c r="D3100" i="1"/>
  <c r="E3093" i="1"/>
  <c r="E3094" i="1"/>
  <c r="E3095" i="1"/>
  <c r="E3096" i="1"/>
  <c r="E3097" i="1"/>
  <c r="E3098" i="1"/>
  <c r="E3100" i="1"/>
  <c r="F3093" i="1"/>
  <c r="F3094" i="1"/>
  <c r="F3095" i="1"/>
  <c r="F3096" i="1"/>
  <c r="F3097" i="1"/>
  <c r="F3098" i="1"/>
  <c r="F3100" i="1"/>
  <c r="G3093" i="1"/>
  <c r="G3094" i="1"/>
  <c r="G3095" i="1"/>
  <c r="G3096" i="1"/>
  <c r="G3097" i="1"/>
  <c r="G3098" i="1"/>
  <c r="G3100" i="1"/>
  <c r="H3093" i="1"/>
  <c r="H3094" i="1"/>
  <c r="H3095" i="1"/>
  <c r="H3096" i="1"/>
  <c r="H3097" i="1"/>
  <c r="H3098" i="1"/>
  <c r="H3100" i="1"/>
  <c r="I3112" i="1"/>
  <c r="K3098" i="1"/>
  <c r="K3099" i="1"/>
  <c r="L3098" i="1"/>
  <c r="L3099" i="1"/>
  <c r="M3093" i="1"/>
  <c r="M3094" i="1"/>
  <c r="M3098" i="1"/>
  <c r="M3100" i="1"/>
  <c r="N3093" i="1"/>
  <c r="N3094" i="1"/>
  <c r="N3098" i="1"/>
  <c r="N3100" i="1"/>
  <c r="O3098" i="1"/>
  <c r="O3100" i="1"/>
  <c r="C3100" i="1"/>
  <c r="C3096" i="1"/>
  <c r="C3098" i="1"/>
  <c r="D337" i="2"/>
  <c r="J337" i="2" s="1"/>
  <c r="I821" i="1" s="1"/>
  <c r="I464" i="1" s="1"/>
  <c r="D463" i="1"/>
  <c r="E463" i="1"/>
  <c r="F463" i="1"/>
  <c r="G463" i="1"/>
  <c r="H463" i="1"/>
  <c r="M463" i="1"/>
  <c r="N463" i="1"/>
  <c r="D1413" i="1"/>
  <c r="D1415" i="1" s="1"/>
  <c r="E1413" i="1"/>
  <c r="F1413" i="1"/>
  <c r="F1415" i="1" s="1"/>
  <c r="G1413" i="1"/>
  <c r="G1415" i="1" s="1"/>
  <c r="H1413" i="1"/>
  <c r="M1413" i="1"/>
  <c r="M1415" i="1" s="1"/>
  <c r="N1413" i="1"/>
  <c r="J149" i="2"/>
  <c r="I633" i="1" s="1"/>
  <c r="D453" i="1"/>
  <c r="E453" i="1"/>
  <c r="F453" i="1"/>
  <c r="G453" i="1"/>
  <c r="H453" i="1"/>
  <c r="M453" i="1"/>
  <c r="N453" i="1"/>
  <c r="D335" i="2"/>
  <c r="J335" i="2" s="1"/>
  <c r="I819" i="1" s="1"/>
  <c r="I822" i="1"/>
  <c r="D762" i="1"/>
  <c r="D771" i="1"/>
  <c r="D779" i="1"/>
  <c r="D793" i="1"/>
  <c r="D795" i="1" s="1"/>
  <c r="D803" i="1"/>
  <c r="D811" i="1"/>
  <c r="E762" i="1"/>
  <c r="E771" i="1"/>
  <c r="E779" i="1"/>
  <c r="E793" i="1"/>
  <c r="E795" i="1" s="1"/>
  <c r="E803" i="1"/>
  <c r="E811" i="1"/>
  <c r="F762" i="1"/>
  <c r="F771" i="1"/>
  <c r="F779" i="1"/>
  <c r="F793" i="1"/>
  <c r="F795" i="1" s="1"/>
  <c r="F803" i="1"/>
  <c r="F811" i="1"/>
  <c r="G762" i="1"/>
  <c r="G771" i="1"/>
  <c r="G779" i="1"/>
  <c r="G793" i="1"/>
  <c r="G795" i="1" s="1"/>
  <c r="G803" i="1"/>
  <c r="G811" i="1"/>
  <c r="H762" i="1"/>
  <c r="H771" i="1"/>
  <c r="H779" i="1"/>
  <c r="H793" i="1"/>
  <c r="H795" i="1" s="1"/>
  <c r="H803" i="1"/>
  <c r="H811" i="1"/>
  <c r="I761" i="1"/>
  <c r="I770" i="1"/>
  <c r="I778" i="1"/>
  <c r="I792" i="1"/>
  <c r="I802" i="1"/>
  <c r="I810" i="1"/>
  <c r="M762" i="1"/>
  <c r="M771" i="1"/>
  <c r="M779" i="1"/>
  <c r="M793" i="1"/>
  <c r="M795" i="1" s="1"/>
  <c r="M803" i="1"/>
  <c r="M811" i="1"/>
  <c r="N762" i="1"/>
  <c r="N771" i="1"/>
  <c r="N779" i="1"/>
  <c r="N793" i="1"/>
  <c r="N795" i="1" s="1"/>
  <c r="N803" i="1"/>
  <c r="N811" i="1"/>
  <c r="D743" i="1"/>
  <c r="E743" i="1"/>
  <c r="F743" i="1"/>
  <c r="G743" i="1"/>
  <c r="H743" i="1"/>
  <c r="D257" i="2"/>
  <c r="D259" i="2" s="1"/>
  <c r="I742" i="1"/>
  <c r="M743" i="1"/>
  <c r="N743" i="1"/>
  <c r="D646" i="1"/>
  <c r="D648" i="1" s="1"/>
  <c r="D650" i="1" s="1"/>
  <c r="D668" i="1"/>
  <c r="D677" i="1"/>
  <c r="D685" i="1"/>
  <c r="D698" i="1"/>
  <c r="D706" i="1"/>
  <c r="D726" i="1"/>
  <c r="D733" i="1"/>
  <c r="E646" i="1"/>
  <c r="E648" i="1" s="1"/>
  <c r="E650" i="1" s="1"/>
  <c r="E668" i="1"/>
  <c r="E677" i="1"/>
  <c r="E685" i="1"/>
  <c r="E698" i="1"/>
  <c r="E706" i="1"/>
  <c r="E726" i="1"/>
  <c r="E733" i="1"/>
  <c r="F646" i="1"/>
  <c r="F648" i="1" s="1"/>
  <c r="F650" i="1" s="1"/>
  <c r="F668" i="1"/>
  <c r="F677" i="1"/>
  <c r="F685" i="1"/>
  <c r="F698" i="1"/>
  <c r="F706" i="1"/>
  <c r="F726" i="1"/>
  <c r="F733" i="1"/>
  <c r="G646" i="1"/>
  <c r="G648" i="1" s="1"/>
  <c r="G650" i="1" s="1"/>
  <c r="G668" i="1"/>
  <c r="G677" i="1"/>
  <c r="G685" i="1"/>
  <c r="G698" i="1"/>
  <c r="G706" i="1"/>
  <c r="G726" i="1"/>
  <c r="G733" i="1"/>
  <c r="H646" i="1"/>
  <c r="H648" i="1" s="1"/>
  <c r="H650" i="1" s="1"/>
  <c r="H668" i="1"/>
  <c r="H677" i="1"/>
  <c r="H685" i="1"/>
  <c r="H698" i="1"/>
  <c r="H706" i="1"/>
  <c r="H726" i="1"/>
  <c r="H733" i="1"/>
  <c r="I645" i="1"/>
  <c r="I667" i="1"/>
  <c r="I676" i="1"/>
  <c r="I684" i="1"/>
  <c r="I697" i="1"/>
  <c r="I705" i="1"/>
  <c r="I725" i="1"/>
  <c r="I732" i="1"/>
  <c r="K103" i="17"/>
  <c r="L160" i="2" s="1"/>
  <c r="K644" i="1" s="1"/>
  <c r="K101" i="1" s="1"/>
  <c r="M733" i="1"/>
  <c r="N733" i="1"/>
  <c r="D636" i="1"/>
  <c r="E636" i="1"/>
  <c r="F636" i="1"/>
  <c r="G636" i="1"/>
  <c r="H636" i="1"/>
  <c r="D150" i="2"/>
  <c r="I635" i="1"/>
  <c r="J633" i="1"/>
  <c r="K633" i="1"/>
  <c r="L633" i="1"/>
  <c r="M636" i="1"/>
  <c r="N636" i="1"/>
  <c r="O633" i="1"/>
  <c r="O454" i="1" s="1"/>
  <c r="D7" i="2"/>
  <c r="D3123" i="1"/>
  <c r="D3129" i="1"/>
  <c r="D3145" i="1"/>
  <c r="D3151" i="1"/>
  <c r="D3164" i="1"/>
  <c r="D3166" i="1" s="1"/>
  <c r="D3173" i="1"/>
  <c r="D3181" i="1"/>
  <c r="E3123" i="1"/>
  <c r="E3129" i="1"/>
  <c r="E3145" i="1"/>
  <c r="E3151" i="1"/>
  <c r="E3164" i="1"/>
  <c r="E3166" i="1" s="1"/>
  <c r="E3173" i="1"/>
  <c r="E3181" i="1"/>
  <c r="F3123" i="1"/>
  <c r="F3129" i="1"/>
  <c r="F3145" i="1"/>
  <c r="F3151" i="1"/>
  <c r="F3164" i="1"/>
  <c r="F3166" i="1" s="1"/>
  <c r="F3173" i="1"/>
  <c r="F3181" i="1"/>
  <c r="G3123" i="1"/>
  <c r="G3129" i="1"/>
  <c r="G3145" i="1"/>
  <c r="G3151" i="1"/>
  <c r="G3164" i="1"/>
  <c r="G3166" i="1" s="1"/>
  <c r="G3173" i="1"/>
  <c r="G3181" i="1"/>
  <c r="H3123" i="1"/>
  <c r="H3129" i="1"/>
  <c r="H3145" i="1"/>
  <c r="H3151" i="1"/>
  <c r="H3164" i="1"/>
  <c r="H3166" i="1" s="1"/>
  <c r="H3173" i="1"/>
  <c r="H3181" i="1"/>
  <c r="I3122" i="1"/>
  <c r="I3128" i="1"/>
  <c r="I3144" i="1"/>
  <c r="I3150" i="1"/>
  <c r="I3163" i="1"/>
  <c r="I3172" i="1"/>
  <c r="I3180" i="1"/>
  <c r="M3123" i="1"/>
  <c r="M3145" i="1"/>
  <c r="M3151" i="1"/>
  <c r="M3164" i="1"/>
  <c r="M3166" i="1" s="1"/>
  <c r="M3173" i="1"/>
  <c r="M3181" i="1"/>
  <c r="N3123" i="1"/>
  <c r="N3145" i="1"/>
  <c r="N3151" i="1"/>
  <c r="N3164" i="1"/>
  <c r="N3166" i="1" s="1"/>
  <c r="N3173" i="1"/>
  <c r="N3181" i="1"/>
  <c r="C3123" i="1"/>
  <c r="C3129" i="1"/>
  <c r="C3145" i="1"/>
  <c r="C3151" i="1"/>
  <c r="C3164" i="1"/>
  <c r="C3166" i="1" s="1"/>
  <c r="C3173" i="1"/>
  <c r="C3181" i="1"/>
  <c r="N463" i="7"/>
  <c r="N394" i="7"/>
  <c r="H1945" i="14"/>
  <c r="G1945" i="14"/>
  <c r="H1944" i="14"/>
  <c r="G1944" i="14"/>
  <c r="H1943" i="14"/>
  <c r="G1943" i="14"/>
  <c r="H1941" i="14"/>
  <c r="G1941" i="14"/>
  <c r="H1940" i="14"/>
  <c r="G1940" i="14"/>
  <c r="H1939" i="14"/>
  <c r="G1939" i="14"/>
  <c r="H1938" i="14"/>
  <c r="G1938" i="14"/>
  <c r="H1937" i="14"/>
  <c r="G1937" i="14"/>
  <c r="H1936" i="14"/>
  <c r="G1936" i="14"/>
  <c r="H1935" i="14"/>
  <c r="G1935" i="14"/>
  <c r="H1934" i="14"/>
  <c r="G1934" i="14"/>
  <c r="H1933" i="14"/>
  <c r="G1933" i="14"/>
  <c r="H1932" i="14"/>
  <c r="G1932" i="14"/>
  <c r="H1931" i="14"/>
  <c r="G1931" i="14"/>
  <c r="H1930" i="14"/>
  <c r="G1930" i="14"/>
  <c r="H1929" i="14"/>
  <c r="G1929" i="14"/>
  <c r="H1928" i="14"/>
  <c r="G1928" i="14"/>
  <c r="H1927" i="14"/>
  <c r="G1927" i="14"/>
  <c r="H1926" i="14"/>
  <c r="G1926" i="14"/>
  <c r="H1925" i="14"/>
  <c r="G1925" i="14"/>
  <c r="H1924" i="14"/>
  <c r="G1924" i="14"/>
  <c r="H1923" i="14"/>
  <c r="G1923" i="14"/>
  <c r="H1922" i="14"/>
  <c r="G1922" i="14"/>
  <c r="H1921" i="14"/>
  <c r="G1921" i="14"/>
  <c r="H1920" i="14"/>
  <c r="G1920" i="14"/>
  <c r="H1919" i="14"/>
  <c r="G1919" i="14"/>
  <c r="H1918" i="14"/>
  <c r="G1918" i="14"/>
  <c r="H1917" i="14"/>
  <c r="G1917" i="14"/>
  <c r="H1916" i="14"/>
  <c r="G1916" i="14"/>
  <c r="H1915" i="14"/>
  <c r="G1915" i="14"/>
  <c r="H1914" i="14"/>
  <c r="G1914" i="14"/>
  <c r="H1913" i="14"/>
  <c r="G1913" i="14"/>
  <c r="H1912" i="14"/>
  <c r="G1912" i="14"/>
  <c r="H1911" i="14"/>
  <c r="G1911" i="14"/>
  <c r="H1910" i="14"/>
  <c r="G1910" i="14"/>
  <c r="H1909" i="14"/>
  <c r="G1909" i="14"/>
  <c r="H1908" i="14"/>
  <c r="G1908" i="14"/>
  <c r="H1907" i="14"/>
  <c r="G1907" i="14"/>
  <c r="H1906" i="14"/>
  <c r="G1906" i="14"/>
  <c r="H1905" i="14"/>
  <c r="G1905" i="14"/>
  <c r="H1904" i="14"/>
  <c r="G1904" i="14"/>
  <c r="H1903" i="14"/>
  <c r="G1903" i="14"/>
  <c r="H1902" i="14"/>
  <c r="G1902" i="14"/>
  <c r="H1901" i="14"/>
  <c r="G1901" i="14"/>
  <c r="H1900" i="14"/>
  <c r="G1900" i="14"/>
  <c r="H1899" i="14"/>
  <c r="G1899" i="14"/>
  <c r="H1898" i="14"/>
  <c r="G1898" i="14"/>
  <c r="H1897" i="14"/>
  <c r="G1897" i="14"/>
  <c r="H1896" i="14"/>
  <c r="G1896" i="14"/>
  <c r="H1895" i="14"/>
  <c r="G1895" i="14"/>
  <c r="H1894" i="14"/>
  <c r="G1894" i="14"/>
  <c r="H1893" i="14"/>
  <c r="G1893" i="14"/>
  <c r="H1892" i="14"/>
  <c r="G1892" i="14"/>
  <c r="H1891" i="14"/>
  <c r="G1891" i="14"/>
  <c r="H1890" i="14"/>
  <c r="G1890" i="14"/>
  <c r="H1889" i="14"/>
  <c r="G1889" i="14"/>
  <c r="H1888" i="14"/>
  <c r="G1888" i="14"/>
  <c r="H1887" i="14"/>
  <c r="G1887" i="14"/>
  <c r="H1886" i="14"/>
  <c r="G1886" i="14"/>
  <c r="H1885" i="14"/>
  <c r="G1885" i="14"/>
  <c r="H1884" i="14"/>
  <c r="G1884" i="14"/>
  <c r="H1883" i="14"/>
  <c r="G1883" i="14"/>
  <c r="H1882" i="14"/>
  <c r="G1882" i="14"/>
  <c r="H1881" i="14"/>
  <c r="G1881" i="14"/>
  <c r="H1880" i="14"/>
  <c r="G1880" i="14"/>
  <c r="H1879" i="14"/>
  <c r="G1879" i="14"/>
  <c r="H1878" i="14"/>
  <c r="G1878" i="14"/>
  <c r="H1877" i="14"/>
  <c r="G1877" i="14"/>
  <c r="H1876" i="14"/>
  <c r="G1876" i="14"/>
  <c r="H1875" i="14"/>
  <c r="G1875" i="14"/>
  <c r="H1874" i="14"/>
  <c r="G1874" i="14"/>
  <c r="H1873" i="14"/>
  <c r="G1873" i="14"/>
  <c r="H1872" i="14"/>
  <c r="G1872" i="14"/>
  <c r="H1871" i="14"/>
  <c r="G1871" i="14"/>
  <c r="H1870" i="14"/>
  <c r="G1870" i="14"/>
  <c r="H1869" i="14"/>
  <c r="G1869" i="14"/>
  <c r="H1868" i="14"/>
  <c r="G1868" i="14"/>
  <c r="H1867" i="14"/>
  <c r="G1867" i="14"/>
  <c r="H1866" i="14"/>
  <c r="G1866" i="14"/>
  <c r="H1865" i="14"/>
  <c r="G1865" i="14"/>
  <c r="H1864" i="14"/>
  <c r="G1864" i="14"/>
  <c r="H1863" i="14"/>
  <c r="G1863" i="14"/>
  <c r="H1862" i="14"/>
  <c r="G1862" i="14"/>
  <c r="H1861" i="14"/>
  <c r="G1861" i="14"/>
  <c r="H1860" i="14"/>
  <c r="G1860" i="14"/>
  <c r="H1859" i="14"/>
  <c r="G1859" i="14"/>
  <c r="H1858" i="14"/>
  <c r="G1858" i="14"/>
  <c r="H1857" i="14"/>
  <c r="G1857" i="14"/>
  <c r="H1856" i="14"/>
  <c r="G1856" i="14"/>
  <c r="H1855" i="14"/>
  <c r="G1855" i="14"/>
  <c r="H1854" i="14"/>
  <c r="G1854" i="14"/>
  <c r="H1853" i="14"/>
  <c r="G1853" i="14"/>
  <c r="H1852" i="14"/>
  <c r="G1852" i="14"/>
  <c r="H1851" i="14"/>
  <c r="G1851" i="14"/>
  <c r="H1850" i="14"/>
  <c r="G1850" i="14"/>
  <c r="H1849" i="14"/>
  <c r="G1849" i="14"/>
  <c r="H1848" i="14"/>
  <c r="G1848" i="14"/>
  <c r="H1847" i="14"/>
  <c r="G1847" i="14"/>
  <c r="H1846" i="14"/>
  <c r="G1846" i="14"/>
  <c r="H1845" i="14"/>
  <c r="G1845" i="14"/>
  <c r="H1844" i="14"/>
  <c r="G1844" i="14"/>
  <c r="H1843" i="14"/>
  <c r="G1843" i="14"/>
  <c r="H1842" i="14"/>
  <c r="G1842" i="14"/>
  <c r="H1841" i="14"/>
  <c r="G1841" i="14"/>
  <c r="H1840" i="14"/>
  <c r="G1840" i="14"/>
  <c r="H1839" i="14"/>
  <c r="G1839" i="14"/>
  <c r="H1838" i="14"/>
  <c r="G1838" i="14"/>
  <c r="H1837" i="14"/>
  <c r="G1837" i="14"/>
  <c r="H1836" i="14"/>
  <c r="G1836" i="14"/>
  <c r="H1835" i="14"/>
  <c r="G1835" i="14"/>
  <c r="H1834" i="14"/>
  <c r="G1834" i="14"/>
  <c r="H1833" i="14"/>
  <c r="G1833" i="14"/>
  <c r="H1832" i="14"/>
  <c r="G1832" i="14"/>
  <c r="H1831" i="14"/>
  <c r="G1831" i="14"/>
  <c r="H1830" i="14"/>
  <c r="G1830" i="14"/>
  <c r="H1829" i="14"/>
  <c r="G1829" i="14"/>
  <c r="H1828" i="14"/>
  <c r="G1828" i="14"/>
  <c r="H1827" i="14"/>
  <c r="G1827" i="14"/>
  <c r="H1826" i="14"/>
  <c r="G1826" i="14"/>
  <c r="H1825" i="14"/>
  <c r="G1825" i="14"/>
  <c r="H1824" i="14"/>
  <c r="G1824" i="14"/>
  <c r="H1823" i="14"/>
  <c r="G1823" i="14"/>
  <c r="H1822" i="14"/>
  <c r="G1822" i="14"/>
  <c r="H1821" i="14"/>
  <c r="G1821" i="14"/>
  <c r="H1820" i="14"/>
  <c r="G1820" i="14"/>
  <c r="H1819" i="14"/>
  <c r="G1819" i="14"/>
  <c r="H1818" i="14"/>
  <c r="G1818" i="14"/>
  <c r="H1817" i="14"/>
  <c r="G1817" i="14"/>
  <c r="H1816" i="14"/>
  <c r="G1816" i="14"/>
  <c r="H1815" i="14"/>
  <c r="G1815" i="14"/>
  <c r="H1814" i="14"/>
  <c r="G1814" i="14"/>
  <c r="H1813" i="14"/>
  <c r="G1813" i="14"/>
  <c r="H1812" i="14"/>
  <c r="G1812" i="14"/>
  <c r="H1811" i="14"/>
  <c r="G1811" i="14"/>
  <c r="H1810" i="14"/>
  <c r="G1810" i="14"/>
  <c r="H1809" i="14"/>
  <c r="G1809" i="14"/>
  <c r="H1808" i="14"/>
  <c r="G1808" i="14"/>
  <c r="H1807" i="14"/>
  <c r="G1807" i="14"/>
  <c r="H1806" i="14"/>
  <c r="G1806" i="14"/>
  <c r="H1805" i="14"/>
  <c r="G1805" i="14"/>
  <c r="H1804" i="14"/>
  <c r="G1804" i="14"/>
  <c r="H1803" i="14"/>
  <c r="G1803" i="14"/>
  <c r="H1802" i="14"/>
  <c r="G1802" i="14"/>
  <c r="H1801" i="14"/>
  <c r="G1801" i="14"/>
  <c r="H1800" i="14"/>
  <c r="G1800" i="14"/>
  <c r="H1799" i="14"/>
  <c r="G1799" i="14"/>
  <c r="H1798" i="14"/>
  <c r="G1798" i="14"/>
  <c r="H1797" i="14"/>
  <c r="G1797" i="14"/>
  <c r="H1796" i="14"/>
  <c r="G1796" i="14"/>
  <c r="H1795" i="14"/>
  <c r="G1795" i="14"/>
  <c r="H1794" i="14"/>
  <c r="G1794" i="14"/>
  <c r="H1793" i="14"/>
  <c r="G1793" i="14"/>
  <c r="H1792" i="14"/>
  <c r="G1792" i="14"/>
  <c r="H1791" i="14"/>
  <c r="G1791" i="14"/>
  <c r="H1790" i="14"/>
  <c r="G1790" i="14"/>
  <c r="H1789" i="14"/>
  <c r="G1789" i="14"/>
  <c r="H1788" i="14"/>
  <c r="G1788" i="14"/>
  <c r="H1787" i="14"/>
  <c r="G1787" i="14"/>
  <c r="H1786" i="14"/>
  <c r="G1786" i="14"/>
  <c r="H1785" i="14"/>
  <c r="G1785" i="14"/>
  <c r="H1784" i="14"/>
  <c r="G1784" i="14"/>
  <c r="H1783" i="14"/>
  <c r="G1783" i="14"/>
  <c r="H1782" i="14"/>
  <c r="G1782" i="14"/>
  <c r="H1781" i="14"/>
  <c r="G1781" i="14"/>
  <c r="H1780" i="14"/>
  <c r="G1780" i="14"/>
  <c r="H1779" i="14"/>
  <c r="G1779" i="14"/>
  <c r="H1778" i="14"/>
  <c r="G1778" i="14"/>
  <c r="H1777" i="14"/>
  <c r="G1777" i="14"/>
  <c r="H1776" i="14"/>
  <c r="G1776" i="14"/>
  <c r="H1775" i="14"/>
  <c r="G1775" i="14"/>
  <c r="H1774" i="14"/>
  <c r="G1774" i="14"/>
  <c r="H1773" i="14"/>
  <c r="G1773" i="14"/>
  <c r="H1772" i="14"/>
  <c r="G1772" i="14"/>
  <c r="H1771" i="14"/>
  <c r="G1771" i="14"/>
  <c r="H1770" i="14"/>
  <c r="G1770" i="14"/>
  <c r="H1769" i="14"/>
  <c r="G1769" i="14"/>
  <c r="H1768" i="14"/>
  <c r="G1768" i="14"/>
  <c r="H1767" i="14"/>
  <c r="G1767" i="14"/>
  <c r="H1766" i="14"/>
  <c r="G1766" i="14"/>
  <c r="H1765" i="14"/>
  <c r="G1765" i="14"/>
  <c r="H1764" i="14"/>
  <c r="G1764" i="14"/>
  <c r="H1763" i="14"/>
  <c r="G1763" i="14"/>
  <c r="H1762" i="14"/>
  <c r="G1762" i="14"/>
  <c r="H1761" i="14"/>
  <c r="G1761" i="14"/>
  <c r="H1760" i="14"/>
  <c r="G1760" i="14"/>
  <c r="H1759" i="14"/>
  <c r="G1759" i="14"/>
  <c r="H1758" i="14"/>
  <c r="G1758" i="14"/>
  <c r="H1757" i="14"/>
  <c r="G1757" i="14"/>
  <c r="H1756" i="14"/>
  <c r="G1756" i="14"/>
  <c r="H1755" i="14"/>
  <c r="G1755" i="14"/>
  <c r="H1754" i="14"/>
  <c r="G1754" i="14"/>
  <c r="H1753" i="14"/>
  <c r="G1753" i="14"/>
  <c r="H1752" i="14"/>
  <c r="G1752" i="14"/>
  <c r="H1751" i="14"/>
  <c r="G1751" i="14"/>
  <c r="H1750" i="14"/>
  <c r="G1750" i="14"/>
  <c r="H1749" i="14"/>
  <c r="G1749" i="14"/>
  <c r="H1748" i="14"/>
  <c r="G1748" i="14"/>
  <c r="H1747" i="14"/>
  <c r="G1747" i="14"/>
  <c r="H1746" i="14"/>
  <c r="G1746" i="14"/>
  <c r="H1745" i="14"/>
  <c r="G1745" i="14"/>
  <c r="H1744" i="14"/>
  <c r="G1744" i="14"/>
  <c r="H1743" i="14"/>
  <c r="G1743" i="14"/>
  <c r="H1742" i="14"/>
  <c r="G1742" i="14"/>
  <c r="H1741" i="14"/>
  <c r="G1741" i="14"/>
  <c r="H1740" i="14"/>
  <c r="G1740" i="14"/>
  <c r="H1739" i="14"/>
  <c r="G1739" i="14"/>
  <c r="H1738" i="14"/>
  <c r="G1738" i="14"/>
  <c r="H1737" i="14"/>
  <c r="G1737" i="14"/>
  <c r="H1736" i="14"/>
  <c r="G1736" i="14"/>
  <c r="H1735" i="14"/>
  <c r="G1735" i="14"/>
  <c r="H1734" i="14"/>
  <c r="G1734" i="14"/>
  <c r="H1733" i="14"/>
  <c r="G1733" i="14"/>
  <c r="H1732" i="14"/>
  <c r="G1732" i="14"/>
  <c r="H1731" i="14"/>
  <c r="G1731" i="14"/>
  <c r="H1730" i="14"/>
  <c r="G1730" i="14"/>
  <c r="H1729" i="14"/>
  <c r="G1729" i="14"/>
  <c r="H1728" i="14"/>
  <c r="G1728" i="14"/>
  <c r="H1727" i="14"/>
  <c r="G1727" i="14"/>
  <c r="H1726" i="14"/>
  <c r="G1726" i="14"/>
  <c r="H1725" i="14"/>
  <c r="G1725" i="14"/>
  <c r="H1724" i="14"/>
  <c r="G1724" i="14"/>
  <c r="H1723" i="14"/>
  <c r="G1723" i="14"/>
  <c r="H1722" i="14"/>
  <c r="G1722" i="14"/>
  <c r="H1721" i="14"/>
  <c r="G1721" i="14"/>
  <c r="H1720" i="14"/>
  <c r="G1720" i="14"/>
  <c r="H1719" i="14"/>
  <c r="G1719" i="14"/>
  <c r="H1718" i="14"/>
  <c r="G1718" i="14"/>
  <c r="H1717" i="14"/>
  <c r="G1717" i="14"/>
  <c r="H1716" i="14"/>
  <c r="G1716" i="14"/>
  <c r="H1715" i="14"/>
  <c r="G1715" i="14"/>
  <c r="H1714" i="14"/>
  <c r="G1714" i="14"/>
  <c r="H1713" i="14"/>
  <c r="G1713" i="14"/>
  <c r="H1712" i="14"/>
  <c r="G1712" i="14"/>
  <c r="H1711" i="14"/>
  <c r="G1711" i="14"/>
  <c r="H1710" i="14"/>
  <c r="G1710" i="14"/>
  <c r="H1709" i="14"/>
  <c r="G1709" i="14"/>
  <c r="H1708" i="14"/>
  <c r="G1708" i="14"/>
  <c r="H1707" i="14"/>
  <c r="G1707" i="14"/>
  <c r="H1706" i="14"/>
  <c r="G1706" i="14"/>
  <c r="H1705" i="14"/>
  <c r="G1705" i="14"/>
  <c r="H1704" i="14"/>
  <c r="G1704" i="14"/>
  <c r="H1703" i="14"/>
  <c r="G1703" i="14"/>
  <c r="H1702" i="14"/>
  <c r="G1702" i="14"/>
  <c r="H1701" i="14"/>
  <c r="G1701" i="14"/>
  <c r="H1700" i="14"/>
  <c r="G1700" i="14"/>
  <c r="H1699" i="14"/>
  <c r="G1699" i="14"/>
  <c r="H1698" i="14"/>
  <c r="G1698" i="14"/>
  <c r="H1697" i="14"/>
  <c r="G1697" i="14"/>
  <c r="H1696" i="14"/>
  <c r="G1696" i="14"/>
  <c r="H1695" i="14"/>
  <c r="G1695" i="14"/>
  <c r="H1694" i="14"/>
  <c r="G1694" i="14"/>
  <c r="H1693" i="14"/>
  <c r="G1693" i="14"/>
  <c r="H1692" i="14"/>
  <c r="G1692" i="14"/>
  <c r="H1691" i="14"/>
  <c r="G1691" i="14"/>
  <c r="H1690" i="14"/>
  <c r="G1690" i="14"/>
  <c r="H1689" i="14"/>
  <c r="G1689" i="14"/>
  <c r="H1688" i="14"/>
  <c r="G1688" i="14"/>
  <c r="H1687" i="14"/>
  <c r="G1687" i="14"/>
  <c r="H1686" i="14"/>
  <c r="G1686" i="14"/>
  <c r="H1685" i="14"/>
  <c r="G1685" i="14"/>
  <c r="H1684" i="14"/>
  <c r="G1684" i="14"/>
  <c r="H1683" i="14"/>
  <c r="G1683" i="14"/>
  <c r="H1682" i="14"/>
  <c r="G1682" i="14"/>
  <c r="H1681" i="14"/>
  <c r="G1681" i="14"/>
  <c r="H1680" i="14"/>
  <c r="G1680" i="14"/>
  <c r="H1679" i="14"/>
  <c r="G1679" i="14"/>
  <c r="H1678" i="14"/>
  <c r="G1678" i="14"/>
  <c r="H1677" i="14"/>
  <c r="G1677" i="14"/>
  <c r="H1676" i="14"/>
  <c r="G1676" i="14"/>
  <c r="H1675" i="14"/>
  <c r="G1675" i="14"/>
  <c r="H1674" i="14"/>
  <c r="G1674" i="14"/>
  <c r="H1673" i="14"/>
  <c r="G1673" i="14"/>
  <c r="H1672" i="14"/>
  <c r="G1672" i="14"/>
  <c r="H1671" i="14"/>
  <c r="G1671" i="14"/>
  <c r="H1670" i="14"/>
  <c r="G1670" i="14"/>
  <c r="H1669" i="14"/>
  <c r="G1669" i="14"/>
  <c r="H1668" i="14"/>
  <c r="G1668" i="14"/>
  <c r="H1667" i="14"/>
  <c r="G1667" i="14"/>
  <c r="H1666" i="14"/>
  <c r="G1666" i="14"/>
  <c r="H1665" i="14"/>
  <c r="G1665" i="14"/>
  <c r="H1664" i="14"/>
  <c r="G1664" i="14"/>
  <c r="H1663" i="14"/>
  <c r="G1663" i="14"/>
  <c r="H1662" i="14"/>
  <c r="G1662" i="14"/>
  <c r="H1661" i="14"/>
  <c r="G1661" i="14"/>
  <c r="H1660" i="14"/>
  <c r="G1660" i="14"/>
  <c r="H1659" i="14"/>
  <c r="G1659" i="14"/>
  <c r="H1658" i="14"/>
  <c r="G1658" i="14"/>
  <c r="H1657" i="14"/>
  <c r="G1657" i="14"/>
  <c r="H1656" i="14"/>
  <c r="G1656" i="14"/>
  <c r="H1655" i="14"/>
  <c r="G1655" i="14"/>
  <c r="H1654" i="14"/>
  <c r="G1654" i="14"/>
  <c r="H1653" i="14"/>
  <c r="G1653" i="14"/>
  <c r="H1652" i="14"/>
  <c r="G1652" i="14"/>
  <c r="H1651" i="14"/>
  <c r="G1651" i="14"/>
  <c r="H1650" i="14"/>
  <c r="G1650" i="14"/>
  <c r="H1649" i="14"/>
  <c r="G1649" i="14"/>
  <c r="H1648" i="14"/>
  <c r="G1648" i="14"/>
  <c r="H1647" i="14"/>
  <c r="G1647" i="14"/>
  <c r="H1646" i="14"/>
  <c r="G1646" i="14"/>
  <c r="H1645" i="14"/>
  <c r="G1645" i="14"/>
  <c r="H1644" i="14"/>
  <c r="G1644" i="14"/>
  <c r="H1643" i="14"/>
  <c r="G1643" i="14"/>
  <c r="H1642" i="14"/>
  <c r="G1642" i="14"/>
  <c r="H1641" i="14"/>
  <c r="G1641" i="14"/>
  <c r="H1640" i="14"/>
  <c r="G1640" i="14"/>
  <c r="H1639" i="14"/>
  <c r="G1639" i="14"/>
  <c r="H1638" i="14"/>
  <c r="G1638" i="14"/>
  <c r="H1637" i="14"/>
  <c r="G1637" i="14"/>
  <c r="H1636" i="14"/>
  <c r="G1636" i="14"/>
  <c r="H1635" i="14"/>
  <c r="G1635" i="14"/>
  <c r="H1634" i="14"/>
  <c r="G1634" i="14"/>
  <c r="H1633" i="14"/>
  <c r="G1633" i="14"/>
  <c r="H1632" i="14"/>
  <c r="G1632" i="14"/>
  <c r="H1631" i="14"/>
  <c r="G1631" i="14"/>
  <c r="H1630" i="14"/>
  <c r="G1630" i="14"/>
  <c r="H1629" i="14"/>
  <c r="G1629" i="14"/>
  <c r="H1628" i="14"/>
  <c r="G1628" i="14"/>
  <c r="H1627" i="14"/>
  <c r="G1627" i="14"/>
  <c r="H1626" i="14"/>
  <c r="G1626" i="14"/>
  <c r="H1625" i="14"/>
  <c r="G1625" i="14"/>
  <c r="H1624" i="14"/>
  <c r="G1624" i="14"/>
  <c r="H1623" i="14"/>
  <c r="G1623" i="14"/>
  <c r="H1622" i="14"/>
  <c r="G1622" i="14"/>
  <c r="H1621" i="14"/>
  <c r="G1621" i="14"/>
  <c r="H1620" i="14"/>
  <c r="G1620" i="14"/>
  <c r="H1619" i="14"/>
  <c r="G1619" i="14"/>
  <c r="H1618" i="14"/>
  <c r="G1618" i="14"/>
  <c r="H1617" i="14"/>
  <c r="G1617" i="14"/>
  <c r="H1616" i="14"/>
  <c r="G1616" i="14"/>
  <c r="H1615" i="14"/>
  <c r="G1615" i="14"/>
  <c r="H1614" i="14"/>
  <c r="G1614" i="14"/>
  <c r="H1613" i="14"/>
  <c r="G1613" i="14"/>
  <c r="H1612" i="14"/>
  <c r="G1612" i="14"/>
  <c r="H1611" i="14"/>
  <c r="G1611" i="14"/>
  <c r="H1610" i="14"/>
  <c r="G1610" i="14"/>
  <c r="H1609" i="14"/>
  <c r="G1609" i="14"/>
  <c r="H1608" i="14"/>
  <c r="G1608" i="14"/>
  <c r="H1607" i="14"/>
  <c r="G1607" i="14"/>
  <c r="H1606" i="14"/>
  <c r="G1606" i="14"/>
  <c r="H1605" i="14"/>
  <c r="G1605" i="14"/>
  <c r="H1604" i="14"/>
  <c r="G1604" i="14"/>
  <c r="H1603" i="14"/>
  <c r="G1603" i="14"/>
  <c r="H1602" i="14"/>
  <c r="G1602" i="14"/>
  <c r="H1601" i="14"/>
  <c r="G1601" i="14"/>
  <c r="H1600" i="14"/>
  <c r="G1600" i="14"/>
  <c r="H1599" i="14"/>
  <c r="G1599" i="14"/>
  <c r="H1598" i="14"/>
  <c r="G1598" i="14"/>
  <c r="H1597" i="14"/>
  <c r="G1597" i="14"/>
  <c r="H1596" i="14"/>
  <c r="G1596" i="14"/>
  <c r="H1595" i="14"/>
  <c r="G1595" i="14"/>
  <c r="H1594" i="14"/>
  <c r="G1594" i="14"/>
  <c r="H1593" i="14"/>
  <c r="G1593" i="14"/>
  <c r="H1592" i="14"/>
  <c r="G1592" i="14"/>
  <c r="H1591" i="14"/>
  <c r="G1591" i="14"/>
  <c r="H1590" i="14"/>
  <c r="G1590" i="14"/>
  <c r="H1589" i="14"/>
  <c r="G1589" i="14"/>
  <c r="H1588" i="14"/>
  <c r="G1588" i="14"/>
  <c r="H1587" i="14"/>
  <c r="G1587" i="14"/>
  <c r="H1586" i="14"/>
  <c r="G1586" i="14"/>
  <c r="H1585" i="14"/>
  <c r="G1585" i="14"/>
  <c r="H1584" i="14"/>
  <c r="G1584" i="14"/>
  <c r="H1583" i="14"/>
  <c r="G1583" i="14"/>
  <c r="H1582" i="14"/>
  <c r="G1582" i="14"/>
  <c r="H1581" i="14"/>
  <c r="G1581" i="14"/>
  <c r="H1580" i="14"/>
  <c r="G1580" i="14"/>
  <c r="H1579" i="14"/>
  <c r="G1579" i="14"/>
  <c r="H1578" i="14"/>
  <c r="G1578" i="14"/>
  <c r="H1577" i="14"/>
  <c r="G1577" i="14"/>
  <c r="H1576" i="14"/>
  <c r="G1576" i="14"/>
  <c r="H1575" i="14"/>
  <c r="G1575" i="14"/>
  <c r="H1574" i="14"/>
  <c r="G1574" i="14"/>
  <c r="H1573" i="14"/>
  <c r="G1573" i="14"/>
  <c r="H1572" i="14"/>
  <c r="G1572" i="14"/>
  <c r="H1571" i="14"/>
  <c r="G1571" i="14"/>
  <c r="H1570" i="14"/>
  <c r="G1570" i="14"/>
  <c r="H1569" i="14"/>
  <c r="G1569" i="14"/>
  <c r="H1568" i="14"/>
  <c r="G1568" i="14"/>
  <c r="H1567" i="14"/>
  <c r="G1567" i="14"/>
  <c r="H1566" i="14"/>
  <c r="G1566" i="14"/>
  <c r="H1565" i="14"/>
  <c r="G1565" i="14"/>
  <c r="H1564" i="14"/>
  <c r="G1564" i="14"/>
  <c r="H1563" i="14"/>
  <c r="G1563" i="14"/>
  <c r="H1562" i="14"/>
  <c r="G1562" i="14"/>
  <c r="H1561" i="14"/>
  <c r="G1561" i="14"/>
  <c r="H1560" i="14"/>
  <c r="G1560" i="14"/>
  <c r="H1559" i="14"/>
  <c r="G1559" i="14"/>
  <c r="H1558" i="14"/>
  <c r="G1558" i="14"/>
  <c r="H1557" i="14"/>
  <c r="G1557" i="14"/>
  <c r="H1556" i="14"/>
  <c r="G1556" i="14"/>
  <c r="H1555" i="14"/>
  <c r="G1555" i="14"/>
  <c r="H1554" i="14"/>
  <c r="G1554" i="14"/>
  <c r="H1553" i="14"/>
  <c r="G1553" i="14"/>
  <c r="H1552" i="14"/>
  <c r="G1552" i="14"/>
  <c r="H1551" i="14"/>
  <c r="G1551" i="14"/>
  <c r="H1550" i="14"/>
  <c r="G1550" i="14"/>
  <c r="H1549" i="14"/>
  <c r="G1549" i="14"/>
  <c r="H1548" i="14"/>
  <c r="G1548" i="14"/>
  <c r="H1547" i="14"/>
  <c r="G1547" i="14"/>
  <c r="H1546" i="14"/>
  <c r="G1546" i="14"/>
  <c r="H1545" i="14"/>
  <c r="G1545" i="14"/>
  <c r="H1544" i="14"/>
  <c r="G1544" i="14"/>
  <c r="H1543" i="14"/>
  <c r="G1543" i="14"/>
  <c r="H1542" i="14"/>
  <c r="G1542" i="14"/>
  <c r="H1541" i="14"/>
  <c r="G1541" i="14"/>
  <c r="H1540" i="14"/>
  <c r="G1540" i="14"/>
  <c r="H1539" i="14"/>
  <c r="G1539" i="14"/>
  <c r="H1538" i="14"/>
  <c r="G1538" i="14"/>
  <c r="H1537" i="14"/>
  <c r="G1537" i="14"/>
  <c r="H1536" i="14"/>
  <c r="G1536" i="14"/>
  <c r="H1535" i="14"/>
  <c r="G1535" i="14"/>
  <c r="H1534" i="14"/>
  <c r="G1534" i="14"/>
  <c r="H1533" i="14"/>
  <c r="G1533" i="14"/>
  <c r="H1532" i="14"/>
  <c r="G1532" i="14"/>
  <c r="H1531" i="14"/>
  <c r="G1531" i="14"/>
  <c r="H1530" i="14"/>
  <c r="G1530" i="14"/>
  <c r="H1529" i="14"/>
  <c r="G1529" i="14"/>
  <c r="H1528" i="14"/>
  <c r="G1528" i="14"/>
  <c r="H1527" i="14"/>
  <c r="G1527" i="14"/>
  <c r="H1526" i="14"/>
  <c r="G1526" i="14"/>
  <c r="H1525" i="14"/>
  <c r="G1525" i="14"/>
  <c r="H1524" i="14"/>
  <c r="G1524" i="14"/>
  <c r="H1523" i="14"/>
  <c r="G1523" i="14"/>
  <c r="H1522" i="14"/>
  <c r="G1522" i="14"/>
  <c r="H1521" i="14"/>
  <c r="G1521" i="14"/>
  <c r="H1520" i="14"/>
  <c r="G1520" i="14"/>
  <c r="H1519" i="14"/>
  <c r="G1519" i="14"/>
  <c r="H1518" i="14"/>
  <c r="G1518" i="14"/>
  <c r="H1517" i="14"/>
  <c r="G1517" i="14"/>
  <c r="H1516" i="14"/>
  <c r="G1516" i="14"/>
  <c r="H1515" i="14"/>
  <c r="G1515" i="14"/>
  <c r="H1514" i="14"/>
  <c r="G1514" i="14"/>
  <c r="H1513" i="14"/>
  <c r="G1513" i="14"/>
  <c r="H1512" i="14"/>
  <c r="G1512" i="14"/>
  <c r="H1511" i="14"/>
  <c r="G1511" i="14"/>
  <c r="H1510" i="14"/>
  <c r="G1510" i="14"/>
  <c r="H1509" i="14"/>
  <c r="G1509" i="14"/>
  <c r="H1508" i="14"/>
  <c r="G1508" i="14"/>
  <c r="H1507" i="14"/>
  <c r="G1507" i="14"/>
  <c r="H1506" i="14"/>
  <c r="G1506" i="14"/>
  <c r="H1505" i="14"/>
  <c r="G1505" i="14"/>
  <c r="H1504" i="14"/>
  <c r="G1504" i="14"/>
  <c r="H1503" i="14"/>
  <c r="G1503" i="14"/>
  <c r="H1502" i="14"/>
  <c r="G1502" i="14"/>
  <c r="H1501" i="14"/>
  <c r="G1501" i="14"/>
  <c r="H1500" i="14"/>
  <c r="G1500" i="14"/>
  <c r="H1499" i="14"/>
  <c r="G1499" i="14"/>
  <c r="H1498" i="14"/>
  <c r="G1498" i="14"/>
  <c r="H1497" i="14"/>
  <c r="G1497" i="14"/>
  <c r="H1496" i="14"/>
  <c r="G1496" i="14"/>
  <c r="H1495" i="14"/>
  <c r="G1495" i="14"/>
  <c r="H1494" i="14"/>
  <c r="G1494" i="14"/>
  <c r="H1493" i="14"/>
  <c r="G1493" i="14"/>
  <c r="H1492" i="14"/>
  <c r="G1492" i="14"/>
  <c r="H1491" i="14"/>
  <c r="G1491" i="14"/>
  <c r="H1490" i="14"/>
  <c r="G1490" i="14"/>
  <c r="H1489" i="14"/>
  <c r="G1489" i="14"/>
  <c r="H1488" i="14"/>
  <c r="G1488" i="14"/>
  <c r="H1487" i="14"/>
  <c r="G1487" i="14"/>
  <c r="H1486" i="14"/>
  <c r="G1486" i="14"/>
  <c r="H1485" i="14"/>
  <c r="G1485" i="14"/>
  <c r="H1484" i="14"/>
  <c r="G1484" i="14"/>
  <c r="H1483" i="14"/>
  <c r="G1483" i="14"/>
  <c r="H1482" i="14"/>
  <c r="G1482" i="14"/>
  <c r="H1481" i="14"/>
  <c r="G1481" i="14"/>
  <c r="H1480" i="14"/>
  <c r="G1480" i="14"/>
  <c r="H1479" i="14"/>
  <c r="G1479" i="14"/>
  <c r="H1478" i="14"/>
  <c r="G1478" i="14"/>
  <c r="H1477" i="14"/>
  <c r="G1477" i="14"/>
  <c r="H1476" i="14"/>
  <c r="G1476" i="14"/>
  <c r="H1475" i="14"/>
  <c r="G1475" i="14"/>
  <c r="H1474" i="14"/>
  <c r="G1474" i="14"/>
  <c r="H1473" i="14"/>
  <c r="G1473" i="14"/>
  <c r="H1472" i="14"/>
  <c r="G1472" i="14"/>
  <c r="H1471" i="14"/>
  <c r="G1471" i="14"/>
  <c r="H1470" i="14"/>
  <c r="G1470" i="14"/>
  <c r="H1469" i="14"/>
  <c r="G1469" i="14"/>
  <c r="H1468" i="14"/>
  <c r="G1468" i="14"/>
  <c r="H1467" i="14"/>
  <c r="G1467" i="14"/>
  <c r="H1466" i="14"/>
  <c r="G1466" i="14"/>
  <c r="H1465" i="14"/>
  <c r="G1465" i="14"/>
  <c r="H1464" i="14"/>
  <c r="G1464" i="14"/>
  <c r="H1463" i="14"/>
  <c r="G1463" i="14"/>
  <c r="H1462" i="14"/>
  <c r="G1462" i="14"/>
  <c r="H1461" i="14"/>
  <c r="G1461" i="14"/>
  <c r="H1460" i="14"/>
  <c r="G1460" i="14"/>
  <c r="H1459" i="14"/>
  <c r="G1459" i="14"/>
  <c r="H1458" i="14"/>
  <c r="G1458" i="14"/>
  <c r="H1457" i="14"/>
  <c r="G1457" i="14"/>
  <c r="H1456" i="14"/>
  <c r="G1456" i="14"/>
  <c r="H1455" i="14"/>
  <c r="G1455" i="14"/>
  <c r="H1454" i="14"/>
  <c r="G1454" i="14"/>
  <c r="H1453" i="14"/>
  <c r="G1453" i="14"/>
  <c r="H1452" i="14"/>
  <c r="G1452" i="14"/>
  <c r="H1451" i="14"/>
  <c r="G1451" i="14"/>
  <c r="H1450" i="14"/>
  <c r="G1450" i="14"/>
  <c r="H1449" i="14"/>
  <c r="G1449" i="14"/>
  <c r="H1448" i="14"/>
  <c r="G1448" i="14"/>
  <c r="H1447" i="14"/>
  <c r="G1447" i="14"/>
  <c r="H1446" i="14"/>
  <c r="G1446" i="14"/>
  <c r="H1445" i="14"/>
  <c r="G1445" i="14"/>
  <c r="H1444" i="14"/>
  <c r="G1444" i="14"/>
  <c r="H1443" i="14"/>
  <c r="G1443" i="14"/>
  <c r="H1442" i="14"/>
  <c r="G1442" i="14"/>
  <c r="H1441" i="14"/>
  <c r="G1441" i="14"/>
  <c r="H1440" i="14"/>
  <c r="G1440" i="14"/>
  <c r="H1439" i="14"/>
  <c r="G1439" i="14"/>
  <c r="H1438" i="14"/>
  <c r="G1438" i="14"/>
  <c r="H1437" i="14"/>
  <c r="G1437" i="14"/>
  <c r="H1436" i="14"/>
  <c r="G1436" i="14"/>
  <c r="H1435" i="14"/>
  <c r="G1435" i="14"/>
  <c r="H1434" i="14"/>
  <c r="G1434" i="14"/>
  <c r="H1433" i="14"/>
  <c r="G1433" i="14"/>
  <c r="H1432" i="14"/>
  <c r="G1432" i="14"/>
  <c r="H1431" i="14"/>
  <c r="G1431" i="14"/>
  <c r="H1430" i="14"/>
  <c r="G1430" i="14"/>
  <c r="H1429" i="14"/>
  <c r="G1429" i="14"/>
  <c r="H1428" i="14"/>
  <c r="G1428" i="14"/>
  <c r="H1427" i="14"/>
  <c r="G1427" i="14"/>
  <c r="H1426" i="14"/>
  <c r="G1426" i="14"/>
  <c r="H1425" i="14"/>
  <c r="G1425" i="14"/>
  <c r="H1424" i="14"/>
  <c r="G1424" i="14"/>
  <c r="H1423" i="14"/>
  <c r="G1423" i="14"/>
  <c r="H1422" i="14"/>
  <c r="G1422" i="14"/>
  <c r="H1421" i="14"/>
  <c r="G1421" i="14"/>
  <c r="H1420" i="14"/>
  <c r="G1420" i="14"/>
  <c r="H1419" i="14"/>
  <c r="G1419" i="14"/>
  <c r="H1418" i="14"/>
  <c r="G1418" i="14"/>
  <c r="H1417" i="14"/>
  <c r="G1417" i="14"/>
  <c r="H1416" i="14"/>
  <c r="G1416" i="14"/>
  <c r="H1415" i="14"/>
  <c r="G1415" i="14"/>
  <c r="H1414" i="14"/>
  <c r="G1414" i="14"/>
  <c r="H1413" i="14"/>
  <c r="G1413" i="14"/>
  <c r="H1412" i="14"/>
  <c r="G1412" i="14"/>
  <c r="H1411" i="14"/>
  <c r="G1411" i="14"/>
  <c r="H1410" i="14"/>
  <c r="G1410" i="14"/>
  <c r="H1409" i="14"/>
  <c r="G1409" i="14"/>
  <c r="H1408" i="14"/>
  <c r="G1408" i="14"/>
  <c r="H1407" i="14"/>
  <c r="G1407" i="14"/>
  <c r="H1406" i="14"/>
  <c r="G1406" i="14"/>
  <c r="H1405" i="14"/>
  <c r="G1405" i="14"/>
  <c r="H1404" i="14"/>
  <c r="G1404" i="14"/>
  <c r="H1403" i="14"/>
  <c r="G1403" i="14"/>
  <c r="H1402" i="14"/>
  <c r="G1402" i="14"/>
  <c r="H1401" i="14"/>
  <c r="G1401" i="14"/>
  <c r="H1400" i="14"/>
  <c r="G1400" i="14"/>
  <c r="H1399" i="14"/>
  <c r="G1399" i="14"/>
  <c r="H1398" i="14"/>
  <c r="G1398" i="14"/>
  <c r="H1397" i="14"/>
  <c r="G1397" i="14"/>
  <c r="H1396" i="14"/>
  <c r="G1396" i="14"/>
  <c r="H1395" i="14"/>
  <c r="G1395" i="14"/>
  <c r="H1394" i="14"/>
  <c r="G1394" i="14"/>
  <c r="H1393" i="14"/>
  <c r="G1393" i="14"/>
  <c r="H1392" i="14"/>
  <c r="G1392" i="14"/>
  <c r="H1391" i="14"/>
  <c r="G1391" i="14"/>
  <c r="H1390" i="14"/>
  <c r="G1390" i="14"/>
  <c r="H1389" i="14"/>
  <c r="G1389" i="14"/>
  <c r="H1388" i="14"/>
  <c r="G1388" i="14"/>
  <c r="H1387" i="14"/>
  <c r="G1387" i="14"/>
  <c r="H1386" i="14"/>
  <c r="G1386" i="14"/>
  <c r="H1385" i="14"/>
  <c r="G1385" i="14"/>
  <c r="H1384" i="14"/>
  <c r="G1384" i="14"/>
  <c r="H1383" i="14"/>
  <c r="G1383" i="14"/>
  <c r="H1382" i="14"/>
  <c r="G1382" i="14"/>
  <c r="H1381" i="14"/>
  <c r="G1381" i="14"/>
  <c r="H1380" i="14"/>
  <c r="G1380" i="14"/>
  <c r="H1379" i="14"/>
  <c r="G1379" i="14"/>
  <c r="H1378" i="14"/>
  <c r="G1378" i="14"/>
  <c r="H1377" i="14"/>
  <c r="G1377" i="14"/>
  <c r="H1376" i="14"/>
  <c r="G1376" i="14"/>
  <c r="H1375" i="14"/>
  <c r="G1375" i="14"/>
  <c r="H1374" i="14"/>
  <c r="G1374" i="14"/>
  <c r="H1373" i="14"/>
  <c r="G1373" i="14"/>
  <c r="H1372" i="14"/>
  <c r="G1372" i="14"/>
  <c r="H1371" i="14"/>
  <c r="G1371" i="14"/>
  <c r="H1370" i="14"/>
  <c r="G1370" i="14"/>
  <c r="H1369" i="14"/>
  <c r="G1369" i="14"/>
  <c r="H1368" i="14"/>
  <c r="G1368" i="14"/>
  <c r="H1367" i="14"/>
  <c r="G1367" i="14"/>
  <c r="H1366" i="14"/>
  <c r="G1366" i="14"/>
  <c r="H1365" i="14"/>
  <c r="G1365" i="14"/>
  <c r="H1364" i="14"/>
  <c r="G1364" i="14"/>
  <c r="H1363" i="14"/>
  <c r="G1363" i="14"/>
  <c r="H1362" i="14"/>
  <c r="G1362" i="14"/>
  <c r="H1361" i="14"/>
  <c r="G1361" i="14"/>
  <c r="H1360" i="14"/>
  <c r="G1360" i="14"/>
  <c r="H1359" i="14"/>
  <c r="G1359" i="14"/>
  <c r="H1358" i="14"/>
  <c r="G1358" i="14"/>
  <c r="H1357" i="14"/>
  <c r="G1357" i="14"/>
  <c r="H1356" i="14"/>
  <c r="G1356" i="14"/>
  <c r="H1355" i="14"/>
  <c r="G1355" i="14"/>
  <c r="H1354" i="14"/>
  <c r="G1354" i="14"/>
  <c r="H1353" i="14"/>
  <c r="G1353" i="14"/>
  <c r="H1352" i="14"/>
  <c r="G1352" i="14"/>
  <c r="H1351" i="14"/>
  <c r="G1351" i="14"/>
  <c r="H1350" i="14"/>
  <c r="G1350" i="14"/>
  <c r="H1349" i="14"/>
  <c r="G1349" i="14"/>
  <c r="H1348" i="14"/>
  <c r="G1348" i="14"/>
  <c r="H1347" i="14"/>
  <c r="G1347" i="14"/>
  <c r="H1346" i="14"/>
  <c r="G1346" i="14"/>
  <c r="H1345" i="14"/>
  <c r="G1345" i="14"/>
  <c r="H1344" i="14"/>
  <c r="G1344" i="14"/>
  <c r="H1343" i="14"/>
  <c r="G1343" i="14"/>
  <c r="H1342" i="14"/>
  <c r="G1342" i="14"/>
  <c r="H1341" i="14"/>
  <c r="G1341" i="14"/>
  <c r="H1340" i="14"/>
  <c r="G1340" i="14"/>
  <c r="H1339" i="14"/>
  <c r="G1339" i="14"/>
  <c r="H1338" i="14"/>
  <c r="G1338" i="14"/>
  <c r="H1337" i="14"/>
  <c r="G1337" i="14"/>
  <c r="H1336" i="14"/>
  <c r="G1336" i="14"/>
  <c r="H1335" i="14"/>
  <c r="G1335" i="14"/>
  <c r="H1334" i="14"/>
  <c r="G1334" i="14"/>
  <c r="H1333" i="14"/>
  <c r="G1333" i="14"/>
  <c r="H1332" i="14"/>
  <c r="G1332" i="14"/>
  <c r="H1331" i="14"/>
  <c r="G1331" i="14"/>
  <c r="H1330" i="14"/>
  <c r="G1330" i="14"/>
  <c r="H1329" i="14"/>
  <c r="G1329" i="14"/>
  <c r="H1328" i="14"/>
  <c r="G1328" i="14"/>
  <c r="H1327" i="14"/>
  <c r="G1327" i="14"/>
  <c r="H1326" i="14"/>
  <c r="G1326" i="14"/>
  <c r="H1325" i="14"/>
  <c r="G1325" i="14"/>
  <c r="H1324" i="14"/>
  <c r="G1324" i="14"/>
  <c r="H1323" i="14"/>
  <c r="G1323" i="14"/>
  <c r="H1322" i="14"/>
  <c r="G1322" i="14"/>
  <c r="H1321" i="14"/>
  <c r="G1321" i="14"/>
  <c r="H1320" i="14"/>
  <c r="G1320" i="14"/>
  <c r="H1319" i="14"/>
  <c r="G1319" i="14"/>
  <c r="H1318" i="14"/>
  <c r="G1318" i="14"/>
  <c r="H1317" i="14"/>
  <c r="G1317" i="14"/>
  <c r="H1316" i="14"/>
  <c r="G1316" i="14"/>
  <c r="H1315" i="14"/>
  <c r="G1315" i="14"/>
  <c r="H1314" i="14"/>
  <c r="G1314" i="14"/>
  <c r="H1313" i="14"/>
  <c r="G1313" i="14"/>
  <c r="H1312" i="14"/>
  <c r="G1312" i="14"/>
  <c r="H1311" i="14"/>
  <c r="G1311" i="14"/>
  <c r="H1310" i="14"/>
  <c r="G1310" i="14"/>
  <c r="H1309" i="14"/>
  <c r="G1309" i="14"/>
  <c r="H1308" i="14"/>
  <c r="G1308" i="14"/>
  <c r="H1307" i="14"/>
  <c r="G1307" i="14"/>
  <c r="H1306" i="14"/>
  <c r="G1306" i="14"/>
  <c r="H1305" i="14"/>
  <c r="G1305" i="14"/>
  <c r="H1304" i="14"/>
  <c r="G1304" i="14"/>
  <c r="H1303" i="14"/>
  <c r="G1303" i="14"/>
  <c r="H1302" i="14"/>
  <c r="G1302" i="14"/>
  <c r="H1301" i="14"/>
  <c r="G1301" i="14"/>
  <c r="H1300" i="14"/>
  <c r="G1300" i="14"/>
  <c r="H1299" i="14"/>
  <c r="G1299" i="14"/>
  <c r="H1298" i="14"/>
  <c r="G1298" i="14"/>
  <c r="H1297" i="14"/>
  <c r="G1297" i="14"/>
  <c r="H1296" i="14"/>
  <c r="G1296" i="14"/>
  <c r="H1295" i="14"/>
  <c r="G1295" i="14"/>
  <c r="H1294" i="14"/>
  <c r="G1294" i="14"/>
  <c r="H1293" i="14"/>
  <c r="G1293" i="14"/>
  <c r="H1292" i="14"/>
  <c r="G1292" i="14"/>
  <c r="H1291" i="14"/>
  <c r="G1291" i="14"/>
  <c r="H1290" i="14"/>
  <c r="G1290" i="14"/>
  <c r="H1289" i="14"/>
  <c r="G1289" i="14"/>
  <c r="H1288" i="14"/>
  <c r="G1288" i="14"/>
  <c r="H1287" i="14"/>
  <c r="G1287" i="14"/>
  <c r="H1286" i="14"/>
  <c r="G1286" i="14"/>
  <c r="H1285" i="14"/>
  <c r="G1285" i="14"/>
  <c r="H1284" i="14"/>
  <c r="G1284" i="14"/>
  <c r="H1283" i="14"/>
  <c r="G1283" i="14"/>
  <c r="H1282" i="14"/>
  <c r="G1282" i="14"/>
  <c r="H1281" i="14"/>
  <c r="G1281" i="14"/>
  <c r="H1280" i="14"/>
  <c r="G1280" i="14"/>
  <c r="H1279" i="14"/>
  <c r="G1279" i="14"/>
  <c r="H1278" i="14"/>
  <c r="G1278" i="14"/>
  <c r="H1277" i="14"/>
  <c r="G1277" i="14"/>
  <c r="H1276" i="14"/>
  <c r="G1276" i="14"/>
  <c r="H1275" i="14"/>
  <c r="G1275" i="14"/>
  <c r="H1274" i="14"/>
  <c r="G1274" i="14"/>
  <c r="H1273" i="14"/>
  <c r="G1273" i="14"/>
  <c r="H1272" i="14"/>
  <c r="G1272" i="14"/>
  <c r="H1271" i="14"/>
  <c r="G1271" i="14"/>
  <c r="H1270" i="14"/>
  <c r="G1270" i="14"/>
  <c r="H1269" i="14"/>
  <c r="G1269" i="14"/>
  <c r="H1268" i="14"/>
  <c r="G1268" i="14"/>
  <c r="H1267" i="14"/>
  <c r="G1267" i="14"/>
  <c r="H1266" i="14"/>
  <c r="G1266" i="14"/>
  <c r="H1265" i="14"/>
  <c r="G1265" i="14"/>
  <c r="H1264" i="14"/>
  <c r="G1264" i="14"/>
  <c r="H1263" i="14"/>
  <c r="G1263" i="14"/>
  <c r="H1262" i="14"/>
  <c r="G1262" i="14"/>
  <c r="H1261" i="14"/>
  <c r="G1261" i="14"/>
  <c r="H1260" i="14"/>
  <c r="G1260" i="14"/>
  <c r="H1259" i="14"/>
  <c r="G1259" i="14"/>
  <c r="H1258" i="14"/>
  <c r="G1258" i="14"/>
  <c r="H1257" i="14"/>
  <c r="G1257" i="14"/>
  <c r="H1256" i="14"/>
  <c r="G1256" i="14"/>
  <c r="H1255" i="14"/>
  <c r="G1255" i="14"/>
  <c r="H1254" i="14"/>
  <c r="G1254" i="14"/>
  <c r="H1253" i="14"/>
  <c r="G1253" i="14"/>
  <c r="H1252" i="14"/>
  <c r="G1252" i="14"/>
  <c r="H1251" i="14"/>
  <c r="G1251" i="14"/>
  <c r="H1250" i="14"/>
  <c r="G1250" i="14"/>
  <c r="H1249" i="14"/>
  <c r="G1249" i="14"/>
  <c r="H1248" i="14"/>
  <c r="G1248" i="14"/>
  <c r="H1247" i="14"/>
  <c r="G1247" i="14"/>
  <c r="H1246" i="14"/>
  <c r="G1246" i="14"/>
  <c r="H1245" i="14"/>
  <c r="G1245" i="14"/>
  <c r="H1244" i="14"/>
  <c r="G1244" i="14"/>
  <c r="H1243" i="14"/>
  <c r="G1243" i="14"/>
  <c r="H1242" i="14"/>
  <c r="G1242" i="14"/>
  <c r="H1241" i="14"/>
  <c r="G1241" i="14"/>
  <c r="H1240" i="14"/>
  <c r="G1240" i="14"/>
  <c r="H1239" i="14"/>
  <c r="G1239" i="14"/>
  <c r="H1238" i="14"/>
  <c r="G1238" i="14"/>
  <c r="H1237" i="14"/>
  <c r="G1237" i="14"/>
  <c r="H1236" i="14"/>
  <c r="G1236" i="14"/>
  <c r="H1235" i="14"/>
  <c r="G1235" i="14"/>
  <c r="H1234" i="14"/>
  <c r="G1234" i="14"/>
  <c r="H1233" i="14"/>
  <c r="G1233" i="14"/>
  <c r="H1232" i="14"/>
  <c r="G1232" i="14"/>
  <c r="H1231" i="14"/>
  <c r="G1231" i="14"/>
  <c r="H1230" i="14"/>
  <c r="G1230" i="14"/>
  <c r="H1229" i="14"/>
  <c r="G1229" i="14"/>
  <c r="H1228" i="14"/>
  <c r="G1228" i="14"/>
  <c r="H1227" i="14"/>
  <c r="G1227" i="14"/>
  <c r="H1226" i="14"/>
  <c r="G1226" i="14"/>
  <c r="H1225" i="14"/>
  <c r="G1225" i="14"/>
  <c r="H1224" i="14"/>
  <c r="G1224" i="14"/>
  <c r="H1223" i="14"/>
  <c r="G1223" i="14"/>
  <c r="H1222" i="14"/>
  <c r="G1222" i="14"/>
  <c r="H1221" i="14"/>
  <c r="G1221" i="14"/>
  <c r="H1220" i="14"/>
  <c r="G1220" i="14"/>
  <c r="H1219" i="14"/>
  <c r="G1219" i="14"/>
  <c r="H1218" i="14"/>
  <c r="G1218" i="14"/>
  <c r="H1217" i="14"/>
  <c r="G1217" i="14"/>
  <c r="H1216" i="14"/>
  <c r="G1216" i="14"/>
  <c r="H1215" i="14"/>
  <c r="G1215" i="14"/>
  <c r="H1214" i="14"/>
  <c r="G1214" i="14"/>
  <c r="H1213" i="14"/>
  <c r="G1213" i="14"/>
  <c r="H1212" i="14"/>
  <c r="G1212" i="14"/>
  <c r="H1211" i="14"/>
  <c r="G1211" i="14"/>
  <c r="H1210" i="14"/>
  <c r="G1210" i="14"/>
  <c r="H1209" i="14"/>
  <c r="G1209" i="14"/>
  <c r="H1208" i="14"/>
  <c r="G1208" i="14"/>
  <c r="H1207" i="14"/>
  <c r="G1207" i="14"/>
  <c r="H1206" i="14"/>
  <c r="G1206" i="14"/>
  <c r="H1205" i="14"/>
  <c r="G1205" i="14"/>
  <c r="H1204" i="14"/>
  <c r="G1204" i="14"/>
  <c r="H1203" i="14"/>
  <c r="G1203" i="14"/>
  <c r="H1202" i="14"/>
  <c r="G1202" i="14"/>
  <c r="H1201" i="14"/>
  <c r="G1201" i="14"/>
  <c r="H1200" i="14"/>
  <c r="G1200" i="14"/>
  <c r="H1199" i="14"/>
  <c r="G1199" i="14"/>
  <c r="H1198" i="14"/>
  <c r="G1198" i="14"/>
  <c r="H1197" i="14"/>
  <c r="G1197" i="14"/>
  <c r="H1196" i="14"/>
  <c r="G1196" i="14"/>
  <c r="H1195" i="14"/>
  <c r="G1195" i="14"/>
  <c r="H1194" i="14"/>
  <c r="G1194" i="14"/>
  <c r="H1193" i="14"/>
  <c r="G1193" i="14"/>
  <c r="H1192" i="14"/>
  <c r="G1192" i="14"/>
  <c r="H1191" i="14"/>
  <c r="G1191" i="14"/>
  <c r="H1190" i="14"/>
  <c r="G1190" i="14"/>
  <c r="H1189" i="14"/>
  <c r="G1189" i="14"/>
  <c r="H1188" i="14"/>
  <c r="G1188" i="14"/>
  <c r="H1187" i="14"/>
  <c r="G1187" i="14"/>
  <c r="H1186" i="14"/>
  <c r="G1186" i="14"/>
  <c r="H1185" i="14"/>
  <c r="G1185" i="14"/>
  <c r="H1184" i="14"/>
  <c r="G1184" i="14"/>
  <c r="H1183" i="14"/>
  <c r="G1183" i="14"/>
  <c r="H1182" i="14"/>
  <c r="G1182" i="14"/>
  <c r="H1181" i="14"/>
  <c r="G1181" i="14"/>
  <c r="H1180" i="14"/>
  <c r="G1180" i="14"/>
  <c r="H1179" i="14"/>
  <c r="G1179" i="14"/>
  <c r="H1178" i="14"/>
  <c r="G1178" i="14"/>
  <c r="H1177" i="14"/>
  <c r="G1177" i="14"/>
  <c r="H1176" i="14"/>
  <c r="G1176" i="14"/>
  <c r="H1175" i="14"/>
  <c r="G1175" i="14"/>
  <c r="H1174" i="14"/>
  <c r="G1174" i="14"/>
  <c r="H1173" i="14"/>
  <c r="G1173" i="14"/>
  <c r="H1172" i="14"/>
  <c r="G1172" i="14"/>
  <c r="H1171" i="14"/>
  <c r="G1171" i="14"/>
  <c r="H1170" i="14"/>
  <c r="G1170" i="14"/>
  <c r="H1169" i="14"/>
  <c r="G1169" i="14"/>
  <c r="H1168" i="14"/>
  <c r="G1168" i="14"/>
  <c r="H1167" i="14"/>
  <c r="G1167" i="14"/>
  <c r="H1166" i="14"/>
  <c r="G1166" i="14"/>
  <c r="H1165" i="14"/>
  <c r="G1165" i="14"/>
  <c r="H1164" i="14"/>
  <c r="G1164" i="14"/>
  <c r="H1163" i="14"/>
  <c r="G1163" i="14"/>
  <c r="H1162" i="14"/>
  <c r="G1162" i="14"/>
  <c r="H1161" i="14"/>
  <c r="G1161" i="14"/>
  <c r="H1160" i="14"/>
  <c r="G1160" i="14"/>
  <c r="H1159" i="14"/>
  <c r="G1159" i="14"/>
  <c r="H1158" i="14"/>
  <c r="G1158" i="14"/>
  <c r="H1157" i="14"/>
  <c r="G1157" i="14"/>
  <c r="H1156" i="14"/>
  <c r="G1156" i="14"/>
  <c r="H1155" i="14"/>
  <c r="G1155" i="14"/>
  <c r="H1154" i="14"/>
  <c r="G1154" i="14"/>
  <c r="H1153" i="14"/>
  <c r="G1153" i="14"/>
  <c r="H1152" i="14"/>
  <c r="G1152" i="14"/>
  <c r="H1151" i="14"/>
  <c r="G1151" i="14"/>
  <c r="H1150" i="14"/>
  <c r="G1150" i="14"/>
  <c r="H1149" i="14"/>
  <c r="G1149" i="14"/>
  <c r="H1148" i="14"/>
  <c r="G1148" i="14"/>
  <c r="H1147" i="14"/>
  <c r="G1147" i="14"/>
  <c r="H1146" i="14"/>
  <c r="G1146" i="14"/>
  <c r="H1145" i="14"/>
  <c r="G1145" i="14"/>
  <c r="H1144" i="14"/>
  <c r="G1144" i="14"/>
  <c r="H1143" i="14"/>
  <c r="G1143" i="14"/>
  <c r="H1142" i="14"/>
  <c r="G1142" i="14"/>
  <c r="H1141" i="14"/>
  <c r="G1141" i="14"/>
  <c r="H1140" i="14"/>
  <c r="G1140" i="14"/>
  <c r="H1139" i="14"/>
  <c r="G1139" i="14"/>
  <c r="H1138" i="14"/>
  <c r="G1138" i="14"/>
  <c r="H1137" i="14"/>
  <c r="G1137" i="14"/>
  <c r="H1136" i="14"/>
  <c r="G1136" i="14"/>
  <c r="H1135" i="14"/>
  <c r="G1135" i="14"/>
  <c r="H1134" i="14"/>
  <c r="G1134" i="14"/>
  <c r="H1133" i="14"/>
  <c r="G1133" i="14"/>
  <c r="H1132" i="14"/>
  <c r="G1132" i="14"/>
  <c r="H1131" i="14"/>
  <c r="G1131" i="14"/>
  <c r="H1130" i="14"/>
  <c r="G1130" i="14"/>
  <c r="H1129" i="14"/>
  <c r="G1129" i="14"/>
  <c r="H1128" i="14"/>
  <c r="G1128" i="14"/>
  <c r="H1127" i="14"/>
  <c r="G1127" i="14"/>
  <c r="H1126" i="14"/>
  <c r="G1126" i="14"/>
  <c r="H1125" i="14"/>
  <c r="G1125" i="14"/>
  <c r="H1124" i="14"/>
  <c r="G1124" i="14"/>
  <c r="H1123" i="14"/>
  <c r="G1123" i="14"/>
  <c r="H1122" i="14"/>
  <c r="G1122" i="14"/>
  <c r="H1121" i="14"/>
  <c r="G1121" i="14"/>
  <c r="H1120" i="14"/>
  <c r="G1120" i="14"/>
  <c r="H1119" i="14"/>
  <c r="G1119" i="14"/>
  <c r="H1118" i="14"/>
  <c r="G1118" i="14"/>
  <c r="H1117" i="14"/>
  <c r="G1117" i="14"/>
  <c r="H1116" i="14"/>
  <c r="G1116" i="14"/>
  <c r="H1115" i="14"/>
  <c r="G1115" i="14"/>
  <c r="H1114" i="14"/>
  <c r="G1114" i="14"/>
  <c r="H1113" i="14"/>
  <c r="G1113" i="14"/>
  <c r="H1112" i="14"/>
  <c r="G1112" i="14"/>
  <c r="H1111" i="14"/>
  <c r="G1111" i="14"/>
  <c r="H1110" i="14"/>
  <c r="G1110" i="14"/>
  <c r="H1109" i="14"/>
  <c r="G1109" i="14"/>
  <c r="H1108" i="14"/>
  <c r="G1108" i="14"/>
  <c r="H1107" i="14"/>
  <c r="G1107" i="14"/>
  <c r="H1106" i="14"/>
  <c r="G1106" i="14"/>
  <c r="H1105" i="14"/>
  <c r="G1105" i="14"/>
  <c r="H1104" i="14"/>
  <c r="G1104" i="14"/>
  <c r="H1103" i="14"/>
  <c r="G1103" i="14"/>
  <c r="H1102" i="14"/>
  <c r="G1102" i="14"/>
  <c r="H1101" i="14"/>
  <c r="G1101" i="14"/>
  <c r="H1100" i="14"/>
  <c r="G1100" i="14"/>
  <c r="H1099" i="14"/>
  <c r="G1099" i="14"/>
  <c r="H1098" i="14"/>
  <c r="G1098" i="14"/>
  <c r="H1097" i="14"/>
  <c r="G1097" i="14"/>
  <c r="H1096" i="14"/>
  <c r="G1096" i="14"/>
  <c r="H1095" i="14"/>
  <c r="G1095" i="14"/>
  <c r="H1094" i="14"/>
  <c r="G1094" i="14"/>
  <c r="H1093" i="14"/>
  <c r="G1093" i="14"/>
  <c r="H1092" i="14"/>
  <c r="G1092" i="14"/>
  <c r="H1091" i="14"/>
  <c r="G1091" i="14"/>
  <c r="H1090" i="14"/>
  <c r="G1090" i="14"/>
  <c r="H1089" i="14"/>
  <c r="G1089" i="14"/>
  <c r="H1088" i="14"/>
  <c r="G1088" i="14"/>
  <c r="H1087" i="14"/>
  <c r="G1087" i="14"/>
  <c r="H1086" i="14"/>
  <c r="G1086" i="14"/>
  <c r="H1085" i="14"/>
  <c r="G1085" i="14"/>
  <c r="H1084" i="14"/>
  <c r="G1084" i="14"/>
  <c r="H1083" i="14"/>
  <c r="G1083" i="14"/>
  <c r="H1082" i="14"/>
  <c r="G1082" i="14"/>
  <c r="H1081" i="14"/>
  <c r="G1081" i="14"/>
  <c r="H1080" i="14"/>
  <c r="G1080" i="14"/>
  <c r="H1079" i="14"/>
  <c r="G1079" i="14"/>
  <c r="H1078" i="14"/>
  <c r="G1078" i="14"/>
  <c r="H1077" i="14"/>
  <c r="G1077" i="14"/>
  <c r="H1076" i="14"/>
  <c r="G1076" i="14"/>
  <c r="H1075" i="14"/>
  <c r="G1075" i="14"/>
  <c r="H1074" i="14"/>
  <c r="G1074" i="14"/>
  <c r="H1073" i="14"/>
  <c r="G1073" i="14"/>
  <c r="H1072" i="14"/>
  <c r="G1072" i="14"/>
  <c r="H1071" i="14"/>
  <c r="G1071" i="14"/>
  <c r="H1070" i="14"/>
  <c r="G1070" i="14"/>
  <c r="H1069" i="14"/>
  <c r="G1069" i="14"/>
  <c r="H1068" i="14"/>
  <c r="G1068" i="14"/>
  <c r="H1067" i="14"/>
  <c r="G1067" i="14"/>
  <c r="H1066" i="14"/>
  <c r="G1066" i="14"/>
  <c r="H1065" i="14"/>
  <c r="G1065" i="14"/>
  <c r="H1064" i="14"/>
  <c r="G1064" i="14"/>
  <c r="H1063" i="14"/>
  <c r="G1063" i="14"/>
  <c r="H1062" i="14"/>
  <c r="G1062" i="14"/>
  <c r="H1061" i="14"/>
  <c r="G1061" i="14"/>
  <c r="H1060" i="14"/>
  <c r="G1060" i="14"/>
  <c r="H1059" i="14"/>
  <c r="G1059" i="14"/>
  <c r="H1058" i="14"/>
  <c r="G1058" i="14"/>
  <c r="H1057" i="14"/>
  <c r="G1057" i="14"/>
  <c r="H1056" i="14"/>
  <c r="G1056" i="14"/>
  <c r="H1055" i="14"/>
  <c r="G1055" i="14"/>
  <c r="H1054" i="14"/>
  <c r="G1054" i="14"/>
  <c r="H1053" i="14"/>
  <c r="G1053" i="14"/>
  <c r="H1052" i="14"/>
  <c r="G1052" i="14"/>
  <c r="H1051" i="14"/>
  <c r="G1051" i="14"/>
  <c r="H1050" i="14"/>
  <c r="G1050" i="14"/>
  <c r="H1049" i="14"/>
  <c r="G1049" i="14"/>
  <c r="H1048" i="14"/>
  <c r="G1048" i="14"/>
  <c r="H1047" i="14"/>
  <c r="G1047" i="14"/>
  <c r="H1046" i="14"/>
  <c r="G1046" i="14"/>
  <c r="H1045" i="14"/>
  <c r="G1045" i="14"/>
  <c r="H1044" i="14"/>
  <c r="G1044" i="14"/>
  <c r="H1043" i="14"/>
  <c r="G1043" i="14"/>
  <c r="H1042" i="14"/>
  <c r="G1042" i="14"/>
  <c r="H1041" i="14"/>
  <c r="G1041" i="14"/>
  <c r="H1040" i="14"/>
  <c r="G1040" i="14"/>
  <c r="H1039" i="14"/>
  <c r="G1039" i="14"/>
  <c r="H1038" i="14"/>
  <c r="G1038" i="14"/>
  <c r="H1037" i="14"/>
  <c r="G1037" i="14"/>
  <c r="H1036" i="14"/>
  <c r="G1036" i="14"/>
  <c r="H1035" i="14"/>
  <c r="G1035" i="14"/>
  <c r="H1034" i="14"/>
  <c r="G1034" i="14"/>
  <c r="H1033" i="14"/>
  <c r="G1033" i="14"/>
  <c r="H1032" i="14"/>
  <c r="G1032" i="14"/>
  <c r="H1031" i="14"/>
  <c r="G1031" i="14"/>
  <c r="H1030" i="14"/>
  <c r="G1030" i="14"/>
  <c r="H1029" i="14"/>
  <c r="G1029" i="14"/>
  <c r="H1028" i="14"/>
  <c r="G1028" i="14"/>
  <c r="H1027" i="14"/>
  <c r="G1027" i="14"/>
  <c r="H1026" i="14"/>
  <c r="G1026" i="14"/>
  <c r="H1025" i="14"/>
  <c r="G1025" i="14"/>
  <c r="H1024" i="14"/>
  <c r="G1024" i="14"/>
  <c r="H1023" i="14"/>
  <c r="G1023" i="14"/>
  <c r="H1022" i="14"/>
  <c r="G1022" i="14"/>
  <c r="H1021" i="14"/>
  <c r="G1021" i="14"/>
  <c r="H1020" i="14"/>
  <c r="G1020" i="14"/>
  <c r="H1019" i="14"/>
  <c r="G1019" i="14"/>
  <c r="H1018" i="14"/>
  <c r="G1018" i="14"/>
  <c r="H1017" i="14"/>
  <c r="G1017" i="14"/>
  <c r="H1016" i="14"/>
  <c r="G1016" i="14"/>
  <c r="H1015" i="14"/>
  <c r="G1015" i="14"/>
  <c r="H1014" i="14"/>
  <c r="G1014" i="14"/>
  <c r="H1013" i="14"/>
  <c r="G1013" i="14"/>
  <c r="H1012" i="14"/>
  <c r="G1012" i="14"/>
  <c r="H1011" i="14"/>
  <c r="G1011" i="14"/>
  <c r="H1010" i="14"/>
  <c r="G1010" i="14"/>
  <c r="H1009" i="14"/>
  <c r="G1009" i="14"/>
  <c r="H1008" i="14"/>
  <c r="G1008" i="14"/>
  <c r="H1007" i="14"/>
  <c r="G1007" i="14"/>
  <c r="H1006" i="14"/>
  <c r="G1006" i="14"/>
  <c r="H1005" i="14"/>
  <c r="G1005" i="14"/>
  <c r="H1004" i="14"/>
  <c r="G1004" i="14"/>
  <c r="H1003" i="14"/>
  <c r="G1003" i="14"/>
  <c r="H1002" i="14"/>
  <c r="G1002" i="14"/>
  <c r="H1001" i="14"/>
  <c r="G1001" i="14"/>
  <c r="H1000" i="14"/>
  <c r="G1000" i="14"/>
  <c r="H999" i="14"/>
  <c r="G999" i="14"/>
  <c r="H998" i="14"/>
  <c r="G998" i="14"/>
  <c r="H997" i="14"/>
  <c r="G997" i="14"/>
  <c r="H996" i="14"/>
  <c r="G996" i="14"/>
  <c r="H995" i="14"/>
  <c r="G995" i="14"/>
  <c r="H994" i="14"/>
  <c r="G994" i="14"/>
  <c r="H993" i="14"/>
  <c r="G993" i="14"/>
  <c r="H992" i="14"/>
  <c r="G992" i="14"/>
  <c r="H991" i="14"/>
  <c r="G991" i="14"/>
  <c r="H990" i="14"/>
  <c r="G990" i="14"/>
  <c r="H989" i="14"/>
  <c r="G989" i="14"/>
  <c r="H988" i="14"/>
  <c r="G988" i="14"/>
  <c r="H987" i="14"/>
  <c r="G987" i="14"/>
  <c r="H986" i="14"/>
  <c r="G986" i="14"/>
  <c r="H985" i="14"/>
  <c r="G985" i="14"/>
  <c r="H984" i="14"/>
  <c r="G984" i="14"/>
  <c r="H983" i="14"/>
  <c r="G983" i="14"/>
  <c r="H982" i="14"/>
  <c r="G982" i="14"/>
  <c r="H981" i="14"/>
  <c r="G981" i="14"/>
  <c r="H980" i="14"/>
  <c r="G980" i="14"/>
  <c r="H979" i="14"/>
  <c r="G979" i="14"/>
  <c r="H978" i="14"/>
  <c r="G978" i="14"/>
  <c r="H977" i="14"/>
  <c r="G977" i="14"/>
  <c r="H976" i="14"/>
  <c r="G976" i="14"/>
  <c r="H975" i="14"/>
  <c r="G975" i="14"/>
  <c r="H974" i="14"/>
  <c r="G974" i="14"/>
  <c r="H973" i="14"/>
  <c r="G973" i="14"/>
  <c r="H972" i="14"/>
  <c r="G972" i="14"/>
  <c r="H971" i="14"/>
  <c r="G971" i="14"/>
  <c r="H970" i="14"/>
  <c r="G970" i="14"/>
  <c r="H969" i="14"/>
  <c r="G969" i="14"/>
  <c r="H968" i="14"/>
  <c r="G968" i="14"/>
  <c r="H967" i="14"/>
  <c r="G967" i="14"/>
  <c r="H966" i="14"/>
  <c r="G966" i="14"/>
  <c r="H965" i="14"/>
  <c r="G965" i="14"/>
  <c r="H964" i="14"/>
  <c r="G964" i="14"/>
  <c r="H963" i="14"/>
  <c r="G963" i="14"/>
  <c r="H962" i="14"/>
  <c r="G962" i="14"/>
  <c r="H961" i="14"/>
  <c r="G961" i="14"/>
  <c r="H960" i="14"/>
  <c r="G960" i="14"/>
  <c r="H959" i="14"/>
  <c r="G959" i="14"/>
  <c r="H958" i="14"/>
  <c r="G958" i="14"/>
  <c r="H957" i="14"/>
  <c r="G957" i="14"/>
  <c r="H956" i="14"/>
  <c r="G956" i="14"/>
  <c r="H955" i="14"/>
  <c r="G955" i="14"/>
  <c r="H954" i="14"/>
  <c r="G954" i="14"/>
  <c r="H953" i="14"/>
  <c r="G953" i="14"/>
  <c r="H952" i="14"/>
  <c r="G952" i="14"/>
  <c r="H951" i="14"/>
  <c r="G951" i="14"/>
  <c r="H950" i="14"/>
  <c r="G950" i="14"/>
  <c r="H949" i="14"/>
  <c r="G949" i="14"/>
  <c r="H948" i="14"/>
  <c r="G948" i="14"/>
  <c r="H947" i="14"/>
  <c r="G947" i="14"/>
  <c r="H946" i="14"/>
  <c r="G946" i="14"/>
  <c r="H945" i="14"/>
  <c r="G945" i="14"/>
  <c r="H944" i="14"/>
  <c r="G944" i="14"/>
  <c r="H943" i="14"/>
  <c r="G943" i="14"/>
  <c r="H942" i="14"/>
  <c r="G942" i="14"/>
  <c r="H941" i="14"/>
  <c r="G941" i="14"/>
  <c r="H940" i="14"/>
  <c r="G940" i="14"/>
  <c r="H939" i="14"/>
  <c r="G939" i="14"/>
  <c r="H938" i="14"/>
  <c r="G938" i="14"/>
  <c r="H937" i="14"/>
  <c r="G937" i="14"/>
  <c r="H936" i="14"/>
  <c r="G936" i="14"/>
  <c r="H935" i="14"/>
  <c r="G935" i="14"/>
  <c r="H934" i="14"/>
  <c r="G934" i="14"/>
  <c r="H933" i="14"/>
  <c r="G933" i="14"/>
  <c r="H932" i="14"/>
  <c r="G932" i="14"/>
  <c r="H931" i="14"/>
  <c r="G931" i="14"/>
  <c r="H930" i="14"/>
  <c r="G930" i="14"/>
  <c r="H929" i="14"/>
  <c r="G929" i="14"/>
  <c r="H928" i="14"/>
  <c r="G928" i="14"/>
  <c r="H927" i="14"/>
  <c r="G927" i="14"/>
  <c r="H926" i="14"/>
  <c r="G926" i="14"/>
  <c r="H925" i="14"/>
  <c r="G925" i="14"/>
  <c r="H924" i="14"/>
  <c r="G924" i="14"/>
  <c r="H923" i="14"/>
  <c r="G923" i="14"/>
  <c r="H922" i="14"/>
  <c r="G922" i="14"/>
  <c r="H921" i="14"/>
  <c r="G921" i="14"/>
  <c r="H920" i="14"/>
  <c r="G920" i="14"/>
  <c r="H919" i="14"/>
  <c r="G919" i="14"/>
  <c r="H918" i="14"/>
  <c r="G918" i="14"/>
  <c r="H917" i="14"/>
  <c r="G917" i="14"/>
  <c r="H916" i="14"/>
  <c r="G916" i="14"/>
  <c r="H915" i="14"/>
  <c r="G915" i="14"/>
  <c r="H914" i="14"/>
  <c r="G914" i="14"/>
  <c r="H913" i="14"/>
  <c r="G913" i="14"/>
  <c r="H912" i="14"/>
  <c r="G912" i="14"/>
  <c r="H911" i="14"/>
  <c r="G911" i="14"/>
  <c r="H910" i="14"/>
  <c r="G910" i="14"/>
  <c r="H909" i="14"/>
  <c r="G909" i="14"/>
  <c r="H908" i="14"/>
  <c r="G908" i="14"/>
  <c r="H907" i="14"/>
  <c r="G907" i="14"/>
  <c r="H906" i="14"/>
  <c r="G906" i="14"/>
  <c r="H905" i="14"/>
  <c r="G905" i="14"/>
  <c r="H904" i="14"/>
  <c r="G904" i="14"/>
  <c r="H903" i="14"/>
  <c r="G903" i="14"/>
  <c r="H902" i="14"/>
  <c r="G902" i="14"/>
  <c r="H901" i="14"/>
  <c r="G901" i="14"/>
  <c r="H900" i="14"/>
  <c r="G900" i="14"/>
  <c r="H899" i="14"/>
  <c r="G899" i="14"/>
  <c r="H898" i="14"/>
  <c r="G898" i="14"/>
  <c r="H897" i="14"/>
  <c r="G897" i="14"/>
  <c r="F897" i="14"/>
  <c r="E897" i="14"/>
  <c r="D897" i="14"/>
  <c r="H896" i="14"/>
  <c r="G896" i="14"/>
  <c r="H895" i="14"/>
  <c r="G895" i="14"/>
  <c r="H894" i="14"/>
  <c r="G894" i="14"/>
  <c r="H893" i="14"/>
  <c r="G893" i="14"/>
  <c r="H892" i="14"/>
  <c r="G892" i="14"/>
  <c r="H891" i="14"/>
  <c r="G891" i="14"/>
  <c r="H890" i="14"/>
  <c r="G890" i="14"/>
  <c r="H889" i="14"/>
  <c r="G889" i="14"/>
  <c r="H888" i="14"/>
  <c r="G888" i="14"/>
  <c r="H887" i="14"/>
  <c r="G887" i="14"/>
  <c r="H886" i="14"/>
  <c r="G886" i="14"/>
  <c r="H885" i="14"/>
  <c r="G885" i="14"/>
  <c r="H884" i="14"/>
  <c r="G884" i="14"/>
  <c r="H883" i="14"/>
  <c r="G883" i="14"/>
  <c r="H882" i="14"/>
  <c r="G882" i="14"/>
  <c r="H881" i="14"/>
  <c r="G881" i="14"/>
  <c r="H880" i="14"/>
  <c r="G880" i="14"/>
  <c r="H879" i="14"/>
  <c r="G879" i="14"/>
  <c r="H878" i="14"/>
  <c r="G878" i="14"/>
  <c r="H877" i="14"/>
  <c r="G877" i="14"/>
  <c r="H876" i="14"/>
  <c r="G876" i="14"/>
  <c r="H875" i="14"/>
  <c r="G875" i="14"/>
  <c r="H874" i="14"/>
  <c r="G874" i="14"/>
  <c r="H873" i="14"/>
  <c r="G873" i="14"/>
  <c r="H872" i="14"/>
  <c r="G872" i="14"/>
  <c r="H871" i="14"/>
  <c r="G871" i="14"/>
  <c r="H870" i="14"/>
  <c r="G870" i="14"/>
  <c r="H869" i="14"/>
  <c r="G869" i="14"/>
  <c r="H868" i="14"/>
  <c r="G868" i="14"/>
  <c r="H867" i="14"/>
  <c r="G867" i="14"/>
  <c r="H866" i="14"/>
  <c r="G866" i="14"/>
  <c r="H865" i="14"/>
  <c r="G865" i="14"/>
  <c r="H864" i="14"/>
  <c r="G864" i="14"/>
  <c r="H863" i="14"/>
  <c r="G863" i="14"/>
  <c r="H862" i="14"/>
  <c r="G862" i="14"/>
  <c r="H861" i="14"/>
  <c r="G861" i="14"/>
  <c r="H860" i="14"/>
  <c r="G860" i="14"/>
  <c r="H859" i="14"/>
  <c r="G859" i="14"/>
  <c r="H858" i="14"/>
  <c r="G858" i="14"/>
  <c r="H857" i="14"/>
  <c r="G857" i="14"/>
  <c r="H856" i="14"/>
  <c r="G856" i="14"/>
  <c r="H855" i="14"/>
  <c r="G855" i="14"/>
  <c r="H854" i="14"/>
  <c r="G854" i="14"/>
  <c r="H853" i="14"/>
  <c r="G853" i="14"/>
  <c r="H852" i="14"/>
  <c r="G852" i="14"/>
  <c r="H851" i="14"/>
  <c r="G851" i="14"/>
  <c r="H850" i="14"/>
  <c r="G850" i="14"/>
  <c r="H849" i="14"/>
  <c r="G849" i="14"/>
  <c r="H848" i="14"/>
  <c r="G848" i="14"/>
  <c r="H847" i="14"/>
  <c r="G847" i="14"/>
  <c r="H846" i="14"/>
  <c r="G846" i="14"/>
  <c r="H845" i="14"/>
  <c r="G845" i="14"/>
  <c r="H844" i="14"/>
  <c r="G844" i="14"/>
  <c r="H843" i="14"/>
  <c r="G843" i="14"/>
  <c r="H842" i="14"/>
  <c r="G842" i="14"/>
  <c r="H841" i="14"/>
  <c r="G841" i="14"/>
  <c r="H840" i="14"/>
  <c r="G840" i="14"/>
  <c r="H839" i="14"/>
  <c r="G839" i="14"/>
  <c r="H838" i="14"/>
  <c r="G838" i="14"/>
  <c r="H837" i="14"/>
  <c r="G837" i="14"/>
  <c r="H836" i="14"/>
  <c r="G836" i="14"/>
  <c r="H835" i="14"/>
  <c r="G835" i="14"/>
  <c r="H834" i="14"/>
  <c r="G834" i="14"/>
  <c r="H833" i="14"/>
  <c r="G833" i="14"/>
  <c r="H832" i="14"/>
  <c r="G832" i="14"/>
  <c r="H831" i="14"/>
  <c r="G831" i="14"/>
  <c r="H830" i="14"/>
  <c r="G830" i="14"/>
  <c r="H829" i="14"/>
  <c r="G829" i="14"/>
  <c r="H828" i="14"/>
  <c r="G828" i="14"/>
  <c r="H827" i="14"/>
  <c r="G827" i="14"/>
  <c r="H826" i="14"/>
  <c r="G826" i="14"/>
  <c r="H825" i="14"/>
  <c r="G825" i="14"/>
  <c r="H824" i="14"/>
  <c r="G824" i="14"/>
  <c r="H823" i="14"/>
  <c r="G823" i="14"/>
  <c r="H822" i="14"/>
  <c r="G822" i="14"/>
  <c r="H821" i="14"/>
  <c r="G821" i="14"/>
  <c r="H820" i="14"/>
  <c r="G820" i="14"/>
  <c r="H819" i="14"/>
  <c r="G819" i="14"/>
  <c r="H818" i="14"/>
  <c r="G818" i="14"/>
  <c r="H817" i="14"/>
  <c r="G817" i="14"/>
  <c r="H816" i="14"/>
  <c r="G816" i="14"/>
  <c r="H815" i="14"/>
  <c r="G815" i="14"/>
  <c r="H814" i="14"/>
  <c r="G814" i="14"/>
  <c r="H813" i="14"/>
  <c r="G813" i="14"/>
  <c r="H812" i="14"/>
  <c r="G812" i="14"/>
  <c r="H811" i="14"/>
  <c r="G811" i="14"/>
  <c r="H810" i="14"/>
  <c r="G810" i="14"/>
  <c r="H809" i="14"/>
  <c r="G809" i="14"/>
  <c r="H808" i="14"/>
  <c r="G808" i="14"/>
  <c r="H807" i="14"/>
  <c r="G807" i="14"/>
  <c r="H806" i="14"/>
  <c r="G806" i="14"/>
  <c r="H805" i="14"/>
  <c r="G805" i="14"/>
  <c r="H804" i="14"/>
  <c r="G804" i="14"/>
  <c r="H803" i="14"/>
  <c r="G803" i="14"/>
  <c r="H802" i="14"/>
  <c r="G802" i="14"/>
  <c r="H801" i="14"/>
  <c r="G801" i="14"/>
  <c r="H800" i="14"/>
  <c r="G800" i="14"/>
  <c r="H799" i="14"/>
  <c r="G799" i="14"/>
  <c r="H798" i="14"/>
  <c r="G798" i="14"/>
  <c r="H797" i="14"/>
  <c r="G797" i="14"/>
  <c r="H796" i="14"/>
  <c r="G796" i="14"/>
  <c r="H795" i="14"/>
  <c r="G795" i="14"/>
  <c r="H794" i="14"/>
  <c r="G794" i="14"/>
  <c r="H793" i="14"/>
  <c r="G793" i="14"/>
  <c r="H792" i="14"/>
  <c r="G792" i="14"/>
  <c r="H791" i="14"/>
  <c r="G791" i="14"/>
  <c r="H790" i="14"/>
  <c r="G790" i="14"/>
  <c r="H789" i="14"/>
  <c r="G789" i="14"/>
  <c r="H788" i="14"/>
  <c r="G788" i="14"/>
  <c r="H787" i="14"/>
  <c r="G787" i="14"/>
  <c r="H786" i="14"/>
  <c r="G786" i="14"/>
  <c r="H785" i="14"/>
  <c r="G785" i="14"/>
  <c r="H784" i="14"/>
  <c r="G784" i="14"/>
  <c r="H783" i="14"/>
  <c r="G783" i="14"/>
  <c r="H782" i="14"/>
  <c r="G782" i="14"/>
  <c r="H781" i="14"/>
  <c r="G781" i="14"/>
  <c r="H780" i="14"/>
  <c r="G780" i="14"/>
  <c r="H779" i="14"/>
  <c r="G779" i="14"/>
  <c r="H778" i="14"/>
  <c r="G778" i="14"/>
  <c r="H777" i="14"/>
  <c r="G777" i="14"/>
  <c r="H776" i="14"/>
  <c r="G776" i="14"/>
  <c r="H775" i="14"/>
  <c r="G775" i="14"/>
  <c r="H774" i="14"/>
  <c r="G774" i="14"/>
  <c r="H773" i="14"/>
  <c r="G773" i="14"/>
  <c r="H772" i="14"/>
  <c r="G772" i="14"/>
  <c r="H771" i="14"/>
  <c r="G771" i="14"/>
  <c r="H770" i="14"/>
  <c r="G770" i="14"/>
  <c r="H769" i="14"/>
  <c r="G769" i="14"/>
  <c r="H768" i="14"/>
  <c r="G768" i="14"/>
  <c r="H767" i="14"/>
  <c r="G767" i="14"/>
  <c r="H766" i="14"/>
  <c r="G766" i="14"/>
  <c r="H765" i="14"/>
  <c r="G765" i="14"/>
  <c r="H764" i="14"/>
  <c r="G764" i="14"/>
  <c r="H763" i="14"/>
  <c r="G763" i="14"/>
  <c r="H762" i="14"/>
  <c r="G762" i="14"/>
  <c r="H761" i="14"/>
  <c r="G761" i="14"/>
  <c r="H760" i="14"/>
  <c r="G760" i="14"/>
  <c r="H759" i="14"/>
  <c r="G759" i="14"/>
  <c r="H758" i="14"/>
  <c r="G758" i="14"/>
  <c r="H757" i="14"/>
  <c r="G757" i="14"/>
  <c r="H756" i="14"/>
  <c r="G756" i="14"/>
  <c r="H755" i="14"/>
  <c r="G755" i="14"/>
  <c r="H754" i="14"/>
  <c r="G754" i="14"/>
  <c r="H753" i="14"/>
  <c r="G753" i="14"/>
  <c r="H752" i="14"/>
  <c r="G752" i="14"/>
  <c r="H751" i="14"/>
  <c r="G751" i="14"/>
  <c r="H750" i="14"/>
  <c r="G750" i="14"/>
  <c r="H749" i="14"/>
  <c r="G749" i="14"/>
  <c r="H748" i="14"/>
  <c r="G748" i="14"/>
  <c r="H747" i="14"/>
  <c r="G747" i="14"/>
  <c r="H746" i="14"/>
  <c r="G746" i="14"/>
  <c r="H745" i="14"/>
  <c r="G745" i="14"/>
  <c r="H744" i="14"/>
  <c r="G744" i="14"/>
  <c r="H743" i="14"/>
  <c r="G743" i="14"/>
  <c r="H742" i="14"/>
  <c r="G742" i="14"/>
  <c r="H741" i="14"/>
  <c r="G741" i="14"/>
  <c r="H740" i="14"/>
  <c r="G740" i="14"/>
  <c r="H739" i="14"/>
  <c r="G739" i="14"/>
  <c r="H738" i="14"/>
  <c r="G738" i="14"/>
  <c r="H737" i="14"/>
  <c r="G737" i="14"/>
  <c r="H736" i="14"/>
  <c r="G736" i="14"/>
  <c r="H735" i="14"/>
  <c r="G735" i="14"/>
  <c r="H734" i="14"/>
  <c r="G734" i="14"/>
  <c r="H733" i="14"/>
  <c r="G733" i="14"/>
  <c r="H732" i="14"/>
  <c r="G732" i="14"/>
  <c r="H731" i="14"/>
  <c r="G731" i="14"/>
  <c r="H730" i="14"/>
  <c r="G730" i="14"/>
  <c r="H729" i="14"/>
  <c r="G729" i="14"/>
  <c r="H728" i="14"/>
  <c r="G728" i="14"/>
  <c r="H727" i="14"/>
  <c r="G727" i="14"/>
  <c r="H726" i="14"/>
  <c r="G726" i="14"/>
  <c r="H725" i="14"/>
  <c r="G725" i="14"/>
  <c r="H724" i="14"/>
  <c r="G724" i="14"/>
  <c r="H723" i="14"/>
  <c r="G723" i="14"/>
  <c r="H722" i="14"/>
  <c r="G722" i="14"/>
  <c r="H721" i="14"/>
  <c r="G721" i="14"/>
  <c r="H720" i="14"/>
  <c r="G720" i="14"/>
  <c r="H719" i="14"/>
  <c r="G719" i="14"/>
  <c r="H718" i="14"/>
  <c r="G718" i="14"/>
  <c r="H717" i="14"/>
  <c r="G717" i="14"/>
  <c r="H716" i="14"/>
  <c r="G716" i="14"/>
  <c r="H715" i="14"/>
  <c r="G715" i="14"/>
  <c r="H714" i="14"/>
  <c r="G714" i="14"/>
  <c r="H713" i="14"/>
  <c r="G713" i="14"/>
  <c r="H712" i="14"/>
  <c r="G712" i="14"/>
  <c r="H711" i="14"/>
  <c r="G711" i="14"/>
  <c r="H710" i="14"/>
  <c r="G710" i="14"/>
  <c r="H709" i="14"/>
  <c r="G709" i="14"/>
  <c r="H708" i="14"/>
  <c r="G708" i="14"/>
  <c r="H707" i="14"/>
  <c r="G707" i="14"/>
  <c r="H706" i="14"/>
  <c r="G706" i="14"/>
  <c r="H705" i="14"/>
  <c r="G705" i="14"/>
  <c r="H704" i="14"/>
  <c r="G704" i="14"/>
  <c r="H703" i="14"/>
  <c r="G703" i="14"/>
  <c r="H702" i="14"/>
  <c r="G702" i="14"/>
  <c r="H701" i="14"/>
  <c r="G701" i="14"/>
  <c r="H700" i="14"/>
  <c r="G700" i="14"/>
  <c r="H699" i="14"/>
  <c r="G699" i="14"/>
  <c r="H698" i="14"/>
  <c r="G698" i="14"/>
  <c r="H697" i="14"/>
  <c r="G697" i="14"/>
  <c r="H696" i="14"/>
  <c r="G696" i="14"/>
  <c r="H695" i="14"/>
  <c r="G695" i="14"/>
  <c r="H694" i="14"/>
  <c r="G694" i="14"/>
  <c r="H693" i="14"/>
  <c r="G693" i="14"/>
  <c r="H692" i="14"/>
  <c r="G692" i="14"/>
  <c r="H691" i="14"/>
  <c r="G691" i="14"/>
  <c r="H690" i="14"/>
  <c r="G690" i="14"/>
  <c r="H689" i="14"/>
  <c r="G689" i="14"/>
  <c r="H688" i="14"/>
  <c r="G688" i="14"/>
  <c r="H687" i="14"/>
  <c r="G687" i="14"/>
  <c r="H686" i="14"/>
  <c r="G686" i="14"/>
  <c r="H685" i="14"/>
  <c r="G685" i="14"/>
  <c r="H684" i="14"/>
  <c r="G684" i="14"/>
  <c r="H683" i="14"/>
  <c r="G683" i="14"/>
  <c r="H682" i="14"/>
  <c r="G682" i="14"/>
  <c r="H681" i="14"/>
  <c r="G681" i="14"/>
  <c r="H680" i="14"/>
  <c r="G680" i="14"/>
  <c r="H679" i="14"/>
  <c r="G679" i="14"/>
  <c r="H678" i="14"/>
  <c r="G678" i="14"/>
  <c r="H677" i="14"/>
  <c r="G677" i="14"/>
  <c r="H676" i="14"/>
  <c r="G676" i="14"/>
  <c r="H675" i="14"/>
  <c r="G675" i="14"/>
  <c r="H674" i="14"/>
  <c r="G674" i="14"/>
  <c r="H673" i="14"/>
  <c r="G673" i="14"/>
  <c r="H672" i="14"/>
  <c r="G672" i="14"/>
  <c r="H671" i="14"/>
  <c r="G671" i="14"/>
  <c r="H670" i="14"/>
  <c r="G670" i="14"/>
  <c r="H669" i="14"/>
  <c r="G669" i="14"/>
  <c r="H668" i="14"/>
  <c r="G668" i="14"/>
  <c r="H667" i="14"/>
  <c r="G667" i="14"/>
  <c r="H666" i="14"/>
  <c r="G666" i="14"/>
  <c r="H665" i="14"/>
  <c r="G665" i="14"/>
  <c r="H664" i="14"/>
  <c r="G664" i="14"/>
  <c r="H663" i="14"/>
  <c r="G663" i="14"/>
  <c r="H662" i="14"/>
  <c r="G662" i="14"/>
  <c r="H661" i="14"/>
  <c r="G661" i="14"/>
  <c r="H660" i="14"/>
  <c r="G660" i="14"/>
  <c r="H659" i="14"/>
  <c r="G659" i="14"/>
  <c r="H658" i="14"/>
  <c r="G658" i="14"/>
  <c r="H657" i="14"/>
  <c r="G657" i="14"/>
  <c r="H656" i="14"/>
  <c r="G656" i="14"/>
  <c r="H655" i="14"/>
  <c r="G655" i="14"/>
  <c r="H654" i="14"/>
  <c r="G654" i="14"/>
  <c r="H653" i="14"/>
  <c r="G653" i="14"/>
  <c r="H652" i="14"/>
  <c r="G652" i="14"/>
  <c r="H651" i="14"/>
  <c r="G651" i="14"/>
  <c r="H650" i="14"/>
  <c r="G650" i="14"/>
  <c r="H649" i="14"/>
  <c r="G649" i="14"/>
  <c r="H648" i="14"/>
  <c r="G648" i="14"/>
  <c r="H647" i="14"/>
  <c r="G647" i="14"/>
  <c r="H646" i="14"/>
  <c r="G646" i="14"/>
  <c r="H645" i="14"/>
  <c r="G645" i="14"/>
  <c r="H644" i="14"/>
  <c r="G644" i="14"/>
  <c r="H643" i="14"/>
  <c r="G643" i="14"/>
  <c r="H642" i="14"/>
  <c r="G642" i="14"/>
  <c r="H641" i="14"/>
  <c r="G641" i="14"/>
  <c r="H640" i="14"/>
  <c r="G640" i="14"/>
  <c r="H639" i="14"/>
  <c r="G639" i="14"/>
  <c r="H638" i="14"/>
  <c r="G638" i="14"/>
  <c r="H637" i="14"/>
  <c r="G637" i="14"/>
  <c r="H636" i="14"/>
  <c r="G636" i="14"/>
  <c r="H635" i="14"/>
  <c r="G635" i="14"/>
  <c r="H634" i="14"/>
  <c r="G634" i="14"/>
  <c r="H633" i="14"/>
  <c r="G633" i="14"/>
  <c r="H632" i="14"/>
  <c r="G632" i="14"/>
  <c r="H631" i="14"/>
  <c r="G631" i="14"/>
  <c r="H630" i="14"/>
  <c r="G630" i="14"/>
  <c r="H629" i="14"/>
  <c r="G629" i="14"/>
  <c r="H628" i="14"/>
  <c r="G628" i="14"/>
  <c r="H627" i="14"/>
  <c r="G627" i="14"/>
  <c r="H626" i="14"/>
  <c r="G626" i="14"/>
  <c r="H625" i="14"/>
  <c r="G625" i="14"/>
  <c r="H624" i="14"/>
  <c r="G624" i="14"/>
  <c r="H623" i="14"/>
  <c r="G623" i="14"/>
  <c r="H622" i="14"/>
  <c r="G622" i="14"/>
  <c r="H621" i="14"/>
  <c r="G621" i="14"/>
  <c r="H620" i="14"/>
  <c r="G620" i="14"/>
  <c r="H619" i="14"/>
  <c r="G619" i="14"/>
  <c r="H618" i="14"/>
  <c r="G618" i="14"/>
  <c r="H617" i="14"/>
  <c r="G617" i="14"/>
  <c r="H616" i="14"/>
  <c r="G616" i="14"/>
  <c r="H615" i="14"/>
  <c r="G615" i="14"/>
  <c r="H614" i="14"/>
  <c r="G614" i="14"/>
  <c r="H613" i="14"/>
  <c r="G613" i="14"/>
  <c r="H612" i="14"/>
  <c r="G612" i="14"/>
  <c r="H611" i="14"/>
  <c r="G611" i="14"/>
  <c r="H610" i="14"/>
  <c r="G610" i="14"/>
  <c r="H609" i="14"/>
  <c r="G609" i="14"/>
  <c r="H608" i="14"/>
  <c r="G608" i="14"/>
  <c r="H607" i="14"/>
  <c r="G607" i="14"/>
  <c r="H606" i="14"/>
  <c r="G606" i="14"/>
  <c r="H605" i="14"/>
  <c r="G605" i="14"/>
  <c r="H604" i="14"/>
  <c r="G604" i="14"/>
  <c r="H603" i="14"/>
  <c r="G603" i="14"/>
  <c r="H602" i="14"/>
  <c r="G602" i="14"/>
  <c r="H601" i="14"/>
  <c r="G601" i="14"/>
  <c r="H600" i="14"/>
  <c r="G600" i="14"/>
  <c r="H599" i="14"/>
  <c r="G599" i="14"/>
  <c r="H598" i="14"/>
  <c r="G598" i="14"/>
  <c r="H597" i="14"/>
  <c r="G597" i="14"/>
  <c r="H596" i="14"/>
  <c r="G596" i="14"/>
  <c r="H595" i="14"/>
  <c r="G595" i="14"/>
  <c r="H594" i="14"/>
  <c r="G594" i="14"/>
  <c r="H593" i="14"/>
  <c r="G593" i="14"/>
  <c r="H592" i="14"/>
  <c r="G592" i="14"/>
  <c r="H591" i="14"/>
  <c r="G591" i="14"/>
  <c r="H590" i="14"/>
  <c r="G590" i="14"/>
  <c r="H589" i="14"/>
  <c r="G589" i="14"/>
  <c r="H588" i="14"/>
  <c r="G588" i="14"/>
  <c r="H587" i="14"/>
  <c r="G587" i="14"/>
  <c r="H586" i="14"/>
  <c r="G586" i="14"/>
  <c r="H585" i="14"/>
  <c r="G585" i="14"/>
  <c r="H584" i="14"/>
  <c r="G584" i="14"/>
  <c r="H583" i="14"/>
  <c r="G583" i="14"/>
  <c r="H582" i="14"/>
  <c r="G582" i="14"/>
  <c r="H581" i="14"/>
  <c r="G581" i="14"/>
  <c r="H580" i="14"/>
  <c r="G580" i="14"/>
  <c r="H579" i="14"/>
  <c r="G579" i="14"/>
  <c r="H578" i="14"/>
  <c r="G578" i="14"/>
  <c r="H577" i="14"/>
  <c r="G577" i="14"/>
  <c r="H576" i="14"/>
  <c r="G576" i="14"/>
  <c r="H575" i="14"/>
  <c r="G575" i="14"/>
  <c r="H574" i="14"/>
  <c r="G574" i="14"/>
  <c r="H573" i="14"/>
  <c r="G573" i="14"/>
  <c r="H572" i="14"/>
  <c r="G572" i="14"/>
  <c r="H571" i="14"/>
  <c r="G571" i="14"/>
  <c r="H570" i="14"/>
  <c r="G570" i="14"/>
  <c r="H569" i="14"/>
  <c r="G569" i="14"/>
  <c r="H568" i="14"/>
  <c r="G568" i="14"/>
  <c r="H567" i="14"/>
  <c r="G567" i="14"/>
  <c r="H566" i="14"/>
  <c r="G566" i="14"/>
  <c r="H565" i="14"/>
  <c r="G565" i="14"/>
  <c r="H564" i="14"/>
  <c r="G564" i="14"/>
  <c r="H563" i="14"/>
  <c r="G563" i="14"/>
  <c r="H562" i="14"/>
  <c r="G562" i="14"/>
  <c r="H561" i="14"/>
  <c r="G561" i="14"/>
  <c r="H560" i="14"/>
  <c r="G560" i="14"/>
  <c r="H559" i="14"/>
  <c r="G559" i="14"/>
  <c r="H558" i="14"/>
  <c r="G558" i="14"/>
  <c r="H557" i="14"/>
  <c r="G557" i="14"/>
  <c r="H556" i="14"/>
  <c r="G556" i="14"/>
  <c r="H555" i="14"/>
  <c r="G555" i="14"/>
  <c r="H554" i="14"/>
  <c r="G554" i="14"/>
  <c r="H553" i="14"/>
  <c r="G553" i="14"/>
  <c r="H552" i="14"/>
  <c r="G552" i="14"/>
  <c r="H551" i="14"/>
  <c r="G551" i="14"/>
  <c r="H550" i="14"/>
  <c r="G550" i="14"/>
  <c r="H549" i="14"/>
  <c r="G549" i="14"/>
  <c r="H548" i="14"/>
  <c r="G548" i="14"/>
  <c r="H547" i="14"/>
  <c r="G547" i="14"/>
  <c r="H546" i="14"/>
  <c r="G546" i="14"/>
  <c r="H545" i="14"/>
  <c r="G545" i="14"/>
  <c r="H544" i="14"/>
  <c r="G544" i="14"/>
  <c r="H543" i="14"/>
  <c r="G543" i="14"/>
  <c r="H542" i="14"/>
  <c r="G542" i="14"/>
  <c r="H541" i="14"/>
  <c r="G541" i="14"/>
  <c r="H540" i="14"/>
  <c r="G540" i="14"/>
  <c r="H539" i="14"/>
  <c r="G539" i="14"/>
  <c r="H538" i="14"/>
  <c r="G538" i="14"/>
  <c r="H537" i="14"/>
  <c r="G537" i="14"/>
  <c r="H536" i="14"/>
  <c r="G536" i="14"/>
  <c r="H535" i="14"/>
  <c r="G535" i="14"/>
  <c r="H534" i="14"/>
  <c r="G534" i="14"/>
  <c r="H533" i="14"/>
  <c r="G533" i="14"/>
  <c r="H532" i="14"/>
  <c r="G532" i="14"/>
  <c r="H531" i="14"/>
  <c r="G531" i="14"/>
  <c r="H530" i="14"/>
  <c r="G530" i="14"/>
  <c r="H529" i="14"/>
  <c r="G529" i="14"/>
  <c r="H528" i="14"/>
  <c r="G528" i="14"/>
  <c r="H527" i="14"/>
  <c r="G527" i="14"/>
  <c r="H526" i="14"/>
  <c r="G526" i="14"/>
  <c r="H525" i="14"/>
  <c r="G525" i="14"/>
  <c r="H524" i="14"/>
  <c r="G524" i="14"/>
  <c r="H523" i="14"/>
  <c r="G523" i="14"/>
  <c r="H522" i="14"/>
  <c r="G522" i="14"/>
  <c r="H521" i="14"/>
  <c r="G521" i="14"/>
  <c r="H520" i="14"/>
  <c r="G520" i="14"/>
  <c r="H519" i="14"/>
  <c r="G519" i="14"/>
  <c r="H518" i="14"/>
  <c r="G518" i="14"/>
  <c r="H517" i="14"/>
  <c r="G517" i="14"/>
  <c r="H516" i="14"/>
  <c r="G516" i="14"/>
  <c r="H515" i="14"/>
  <c r="G515" i="14"/>
  <c r="H514" i="14"/>
  <c r="G514" i="14"/>
  <c r="H513" i="14"/>
  <c r="G513" i="14"/>
  <c r="H512" i="14"/>
  <c r="G512" i="14"/>
  <c r="H511" i="14"/>
  <c r="G511" i="14"/>
  <c r="H510" i="14"/>
  <c r="G510" i="14"/>
  <c r="H509" i="14"/>
  <c r="G509" i="14"/>
  <c r="H508" i="14"/>
  <c r="G508" i="14"/>
  <c r="H507" i="14"/>
  <c r="G507" i="14"/>
  <c r="H506" i="14"/>
  <c r="G506" i="14"/>
  <c r="H505" i="14"/>
  <c r="G505" i="14"/>
  <c r="H504" i="14"/>
  <c r="G504" i="14"/>
  <c r="H503" i="14"/>
  <c r="G503" i="14"/>
  <c r="H502" i="14"/>
  <c r="G502" i="14"/>
  <c r="H501" i="14"/>
  <c r="G501" i="14"/>
  <c r="H500" i="14"/>
  <c r="G500" i="14"/>
  <c r="H499" i="14"/>
  <c r="G499" i="14"/>
  <c r="H498" i="14"/>
  <c r="G498" i="14"/>
  <c r="H497" i="14"/>
  <c r="G497" i="14"/>
  <c r="H496" i="14"/>
  <c r="G496" i="14"/>
  <c r="H495" i="14"/>
  <c r="G495" i="14"/>
  <c r="H494" i="14"/>
  <c r="G494" i="14"/>
  <c r="H493" i="14"/>
  <c r="G493" i="14"/>
  <c r="H492" i="14"/>
  <c r="G492" i="14"/>
  <c r="H491" i="14"/>
  <c r="G491" i="14"/>
  <c r="H490" i="14"/>
  <c r="G490" i="14"/>
  <c r="H489" i="14"/>
  <c r="G489" i="14"/>
  <c r="H488" i="14"/>
  <c r="G488" i="14"/>
  <c r="H487" i="14"/>
  <c r="G487" i="14"/>
  <c r="H486" i="14"/>
  <c r="G486" i="14"/>
  <c r="H485" i="14"/>
  <c r="G485" i="14"/>
  <c r="H484" i="14"/>
  <c r="G484" i="14"/>
  <c r="H483" i="14"/>
  <c r="G483" i="14"/>
  <c r="H482" i="14"/>
  <c r="G482" i="14"/>
  <c r="H481" i="14"/>
  <c r="G481" i="14"/>
  <c r="H480" i="14"/>
  <c r="G480" i="14"/>
  <c r="H479" i="14"/>
  <c r="G479" i="14"/>
  <c r="H478" i="14"/>
  <c r="G478" i="14"/>
  <c r="H477" i="14"/>
  <c r="G477" i="14"/>
  <c r="H476" i="14"/>
  <c r="G476" i="14"/>
  <c r="H475" i="14"/>
  <c r="G475" i="14"/>
  <c r="H474" i="14"/>
  <c r="G474" i="14"/>
  <c r="H473" i="14"/>
  <c r="G473" i="14"/>
  <c r="H472" i="14"/>
  <c r="G472" i="14"/>
  <c r="H471" i="14"/>
  <c r="G471" i="14"/>
  <c r="H470" i="14"/>
  <c r="G470" i="14"/>
  <c r="H469" i="14"/>
  <c r="G469" i="14"/>
  <c r="H468" i="14"/>
  <c r="G468" i="14"/>
  <c r="H467" i="14"/>
  <c r="G467" i="14"/>
  <c r="H466" i="14"/>
  <c r="G466" i="14"/>
  <c r="H465" i="14"/>
  <c r="G465" i="14"/>
  <c r="H464" i="14"/>
  <c r="G464" i="14"/>
  <c r="H463" i="14"/>
  <c r="G463" i="14"/>
  <c r="H462" i="14"/>
  <c r="G462" i="14"/>
  <c r="H461" i="14"/>
  <c r="G461" i="14"/>
  <c r="H460" i="14"/>
  <c r="G460" i="14"/>
  <c r="H459" i="14"/>
  <c r="G459" i="14"/>
  <c r="H458" i="14"/>
  <c r="G458" i="14"/>
  <c r="H457" i="14"/>
  <c r="G457" i="14"/>
  <c r="H456" i="14"/>
  <c r="G456" i="14"/>
  <c r="H455" i="14"/>
  <c r="G455" i="14"/>
  <c r="H454" i="14"/>
  <c r="G454" i="14"/>
  <c r="H453" i="14"/>
  <c r="G453" i="14"/>
  <c r="H452" i="14"/>
  <c r="G452" i="14"/>
  <c r="H451" i="14"/>
  <c r="G451" i="14"/>
  <c r="H450" i="14"/>
  <c r="G450" i="14"/>
  <c r="H449" i="14"/>
  <c r="G449" i="14"/>
  <c r="H448" i="14"/>
  <c r="G448" i="14"/>
  <c r="H447" i="14"/>
  <c r="G447" i="14"/>
  <c r="H446" i="14"/>
  <c r="G446" i="14"/>
  <c r="H445" i="14"/>
  <c r="G445" i="14"/>
  <c r="H444" i="14"/>
  <c r="G444" i="14"/>
  <c r="H443" i="14"/>
  <c r="G443" i="14"/>
  <c r="H442" i="14"/>
  <c r="G442" i="14"/>
  <c r="H441" i="14"/>
  <c r="G441" i="14"/>
  <c r="H440" i="14"/>
  <c r="G440" i="14"/>
  <c r="H439" i="14"/>
  <c r="G439" i="14"/>
  <c r="H438" i="14"/>
  <c r="G438" i="14"/>
  <c r="H437" i="14"/>
  <c r="G437" i="14"/>
  <c r="H436" i="14"/>
  <c r="G436" i="14"/>
  <c r="H435" i="14"/>
  <c r="G435" i="14"/>
  <c r="H434" i="14"/>
  <c r="G434" i="14"/>
  <c r="H433" i="14"/>
  <c r="G433" i="14"/>
  <c r="H432" i="14"/>
  <c r="G432" i="14"/>
  <c r="H431" i="14"/>
  <c r="G431" i="14"/>
  <c r="H430" i="14"/>
  <c r="G430" i="14"/>
  <c r="H429" i="14"/>
  <c r="G429" i="14"/>
  <c r="H428" i="14"/>
  <c r="G428" i="14"/>
  <c r="H427" i="14"/>
  <c r="G427" i="14"/>
  <c r="H426" i="14"/>
  <c r="G426" i="14"/>
  <c r="H425" i="14"/>
  <c r="G425" i="14"/>
  <c r="H424" i="14"/>
  <c r="G424" i="14"/>
  <c r="H423" i="14"/>
  <c r="G423" i="14"/>
  <c r="H422" i="14"/>
  <c r="G422" i="14"/>
  <c r="H421" i="14"/>
  <c r="G421" i="14"/>
  <c r="H420" i="14"/>
  <c r="G420" i="14"/>
  <c r="H419" i="14"/>
  <c r="G419" i="14"/>
  <c r="H418" i="14"/>
  <c r="G418" i="14"/>
  <c r="H417" i="14"/>
  <c r="G417" i="14"/>
  <c r="H416" i="14"/>
  <c r="G416" i="14"/>
  <c r="H415" i="14"/>
  <c r="G415" i="14"/>
  <c r="H414" i="14"/>
  <c r="G414" i="14"/>
  <c r="H413" i="14"/>
  <c r="G413" i="14"/>
  <c r="H412" i="14"/>
  <c r="G412" i="14"/>
  <c r="H411" i="14"/>
  <c r="G411" i="14"/>
  <c r="H410" i="14"/>
  <c r="G410" i="14"/>
  <c r="H409" i="14"/>
  <c r="G409" i="14"/>
  <c r="H408" i="14"/>
  <c r="G408" i="14"/>
  <c r="H407" i="14"/>
  <c r="G407" i="14"/>
  <c r="H406" i="14"/>
  <c r="G406" i="14"/>
  <c r="H405" i="14"/>
  <c r="G405" i="14"/>
  <c r="H404" i="14"/>
  <c r="G404" i="14"/>
  <c r="H403" i="14"/>
  <c r="G403" i="14"/>
  <c r="H402" i="14"/>
  <c r="G402" i="14"/>
  <c r="H401" i="14"/>
  <c r="G401" i="14"/>
  <c r="H400" i="14"/>
  <c r="G400" i="14"/>
  <c r="H399" i="14"/>
  <c r="G399" i="14"/>
  <c r="H398" i="14"/>
  <c r="G398" i="14"/>
  <c r="H397" i="14"/>
  <c r="G397" i="14"/>
  <c r="H396" i="14"/>
  <c r="G396" i="14"/>
  <c r="H395" i="14"/>
  <c r="G395" i="14"/>
  <c r="H394" i="14"/>
  <c r="G394" i="14"/>
  <c r="H393" i="14"/>
  <c r="G393" i="14"/>
  <c r="H392" i="14"/>
  <c r="G392" i="14"/>
  <c r="H391" i="14"/>
  <c r="G391" i="14"/>
  <c r="H390" i="14"/>
  <c r="G390" i="14"/>
  <c r="H389" i="14"/>
  <c r="G389" i="14"/>
  <c r="H388" i="14"/>
  <c r="G388" i="14"/>
  <c r="H387" i="14"/>
  <c r="G387" i="14"/>
  <c r="H386" i="14"/>
  <c r="G386" i="14"/>
  <c r="H385" i="14"/>
  <c r="G385" i="14"/>
  <c r="H384" i="14"/>
  <c r="G384" i="14"/>
  <c r="H383" i="14"/>
  <c r="G383" i="14"/>
  <c r="H382" i="14"/>
  <c r="G382" i="14"/>
  <c r="H381" i="14"/>
  <c r="G381" i="14"/>
  <c r="H380" i="14"/>
  <c r="G380" i="14"/>
  <c r="H379" i="14"/>
  <c r="G379" i="14"/>
  <c r="H378" i="14"/>
  <c r="G378" i="14"/>
  <c r="H377" i="14"/>
  <c r="G377" i="14"/>
  <c r="H376" i="14"/>
  <c r="G376" i="14"/>
  <c r="H375" i="14"/>
  <c r="G375" i="14"/>
  <c r="H374" i="14"/>
  <c r="G374" i="14"/>
  <c r="H373" i="14"/>
  <c r="G373" i="14"/>
  <c r="H372" i="14"/>
  <c r="G372" i="14"/>
  <c r="H371" i="14"/>
  <c r="G371" i="14"/>
  <c r="H370" i="14"/>
  <c r="G370" i="14"/>
  <c r="H369" i="14"/>
  <c r="G369" i="14"/>
  <c r="H368" i="14"/>
  <c r="G368" i="14"/>
  <c r="H367" i="14"/>
  <c r="G367" i="14"/>
  <c r="H366" i="14"/>
  <c r="G366" i="14"/>
  <c r="H365" i="14"/>
  <c r="G365" i="14"/>
  <c r="H364" i="14"/>
  <c r="G364" i="14"/>
  <c r="H363" i="14"/>
  <c r="G363" i="14"/>
  <c r="H362" i="14"/>
  <c r="G362" i="14"/>
  <c r="H361" i="14"/>
  <c r="G361" i="14"/>
  <c r="H360" i="14"/>
  <c r="G360" i="14"/>
  <c r="H359" i="14"/>
  <c r="G359" i="14"/>
  <c r="H358" i="14"/>
  <c r="G358" i="14"/>
  <c r="H357" i="14"/>
  <c r="G357" i="14"/>
  <c r="H356" i="14"/>
  <c r="G356" i="14"/>
  <c r="H355" i="14"/>
  <c r="G355" i="14"/>
  <c r="H354" i="14"/>
  <c r="G354" i="14"/>
  <c r="H353" i="14"/>
  <c r="G353" i="14"/>
  <c r="H352" i="14"/>
  <c r="G352" i="14"/>
  <c r="H351" i="14"/>
  <c r="G351" i="14"/>
  <c r="H350" i="14"/>
  <c r="G350" i="14"/>
  <c r="H349" i="14"/>
  <c r="G349" i="14"/>
  <c r="H348" i="14"/>
  <c r="G348" i="14"/>
  <c r="H347" i="14"/>
  <c r="G347" i="14"/>
  <c r="H346" i="14"/>
  <c r="G346" i="14"/>
  <c r="H345" i="14"/>
  <c r="G345" i="14"/>
  <c r="H344" i="14"/>
  <c r="G344" i="14"/>
  <c r="H343" i="14"/>
  <c r="G343" i="14"/>
  <c r="H342" i="14"/>
  <c r="G342" i="14"/>
  <c r="H341" i="14"/>
  <c r="G341" i="14"/>
  <c r="H340" i="14"/>
  <c r="G340" i="14"/>
  <c r="H339" i="14"/>
  <c r="G339" i="14"/>
  <c r="H338" i="14"/>
  <c r="G338" i="14"/>
  <c r="H337" i="14"/>
  <c r="G337" i="14"/>
  <c r="H336" i="14"/>
  <c r="G336" i="14"/>
  <c r="H335" i="14"/>
  <c r="G335" i="14"/>
  <c r="H334" i="14"/>
  <c r="G334" i="14"/>
  <c r="H333" i="14"/>
  <c r="G333" i="14"/>
  <c r="H332" i="14"/>
  <c r="G332" i="14"/>
  <c r="H331" i="14"/>
  <c r="G331" i="14"/>
  <c r="H330" i="14"/>
  <c r="G330" i="14"/>
  <c r="H329" i="14"/>
  <c r="G329" i="14"/>
  <c r="H328" i="14"/>
  <c r="G328" i="14"/>
  <c r="H327" i="14"/>
  <c r="G327" i="14"/>
  <c r="H326" i="14"/>
  <c r="G326" i="14"/>
  <c r="H325" i="14"/>
  <c r="G325" i="14"/>
  <c r="H324" i="14"/>
  <c r="G324" i="14"/>
  <c r="H323" i="14"/>
  <c r="G323" i="14"/>
  <c r="H322" i="14"/>
  <c r="G322" i="14"/>
  <c r="H321" i="14"/>
  <c r="G321" i="14"/>
  <c r="H320" i="14"/>
  <c r="G320" i="14"/>
  <c r="H319" i="14"/>
  <c r="G319" i="14"/>
  <c r="H318" i="14"/>
  <c r="G318" i="14"/>
  <c r="H317" i="14"/>
  <c r="G317" i="14"/>
  <c r="H316" i="14"/>
  <c r="G316" i="14"/>
  <c r="H315" i="14"/>
  <c r="G315" i="14"/>
  <c r="H314" i="14"/>
  <c r="G314" i="14"/>
  <c r="H313" i="14"/>
  <c r="G313" i="14"/>
  <c r="H312" i="14"/>
  <c r="G312" i="14"/>
  <c r="H311" i="14"/>
  <c r="G311" i="14"/>
  <c r="H310" i="14"/>
  <c r="G310" i="14"/>
  <c r="H309" i="14"/>
  <c r="G309" i="14"/>
  <c r="H308" i="14"/>
  <c r="G308" i="14"/>
  <c r="H307" i="14"/>
  <c r="G307" i="14"/>
  <c r="H306" i="14"/>
  <c r="G306" i="14"/>
  <c r="H305" i="14"/>
  <c r="G305" i="14"/>
  <c r="H304" i="14"/>
  <c r="G304" i="14"/>
  <c r="H303" i="14"/>
  <c r="G303" i="14"/>
  <c r="H302" i="14"/>
  <c r="G302" i="14"/>
  <c r="H301" i="14"/>
  <c r="G301" i="14"/>
  <c r="H300" i="14"/>
  <c r="G300" i="14"/>
  <c r="H299" i="14"/>
  <c r="G299" i="14"/>
  <c r="H298" i="14"/>
  <c r="G298" i="14"/>
  <c r="H297" i="14"/>
  <c r="G297" i="14"/>
  <c r="H296" i="14"/>
  <c r="G296" i="14"/>
  <c r="H295" i="14"/>
  <c r="G295" i="14"/>
  <c r="H294" i="14"/>
  <c r="G294" i="14"/>
  <c r="H293" i="14"/>
  <c r="G293" i="14"/>
  <c r="H292" i="14"/>
  <c r="G292" i="14"/>
  <c r="H291" i="14"/>
  <c r="G291" i="14"/>
  <c r="H290" i="14"/>
  <c r="G290" i="14"/>
  <c r="H289" i="14"/>
  <c r="G289" i="14"/>
  <c r="H288" i="14"/>
  <c r="G288" i="14"/>
  <c r="H287" i="14"/>
  <c r="G287" i="14"/>
  <c r="H286" i="14"/>
  <c r="G286" i="14"/>
  <c r="H285" i="14"/>
  <c r="G285" i="14"/>
  <c r="H284" i="14"/>
  <c r="G284" i="14"/>
  <c r="H283" i="14"/>
  <c r="G283" i="14"/>
  <c r="H282" i="14"/>
  <c r="G282" i="14"/>
  <c r="H281" i="14"/>
  <c r="G281" i="14"/>
  <c r="H280" i="14"/>
  <c r="G280" i="14"/>
  <c r="H279" i="14"/>
  <c r="G279" i="14"/>
  <c r="H278" i="14"/>
  <c r="G278" i="14"/>
  <c r="H277" i="14"/>
  <c r="G277" i="14"/>
  <c r="H276" i="14"/>
  <c r="G276" i="14"/>
  <c r="H275" i="14"/>
  <c r="G275" i="14"/>
  <c r="H274" i="14"/>
  <c r="G274" i="14"/>
  <c r="H273" i="14"/>
  <c r="G273" i="14"/>
  <c r="H272" i="14"/>
  <c r="G272" i="14"/>
  <c r="H271" i="14"/>
  <c r="G271" i="14"/>
  <c r="H270" i="14"/>
  <c r="G270" i="14"/>
  <c r="H269" i="14"/>
  <c r="G269" i="14"/>
  <c r="H268" i="14"/>
  <c r="G268" i="14"/>
  <c r="H267" i="14"/>
  <c r="G267" i="14"/>
  <c r="H266" i="14"/>
  <c r="G266" i="14"/>
  <c r="H265" i="14"/>
  <c r="G265" i="14"/>
  <c r="H264" i="14"/>
  <c r="G264" i="14"/>
  <c r="H263" i="14"/>
  <c r="G263" i="14"/>
  <c r="H262" i="14"/>
  <c r="G262" i="14"/>
  <c r="H261" i="14"/>
  <c r="G261" i="14"/>
  <c r="H260" i="14"/>
  <c r="G260" i="14"/>
  <c r="H259" i="14"/>
  <c r="G259" i="14"/>
  <c r="H258" i="14"/>
  <c r="G258" i="14"/>
  <c r="H257" i="14"/>
  <c r="G257" i="14"/>
  <c r="H256" i="14"/>
  <c r="G256" i="14"/>
  <c r="H255" i="14"/>
  <c r="G255" i="14"/>
  <c r="H254" i="14"/>
  <c r="G254" i="14"/>
  <c r="H253" i="14"/>
  <c r="G253" i="14"/>
  <c r="H252" i="14"/>
  <c r="G252" i="14"/>
  <c r="H251" i="14"/>
  <c r="G251" i="14"/>
  <c r="H250" i="14"/>
  <c r="G250" i="14"/>
  <c r="H249" i="14"/>
  <c r="G249" i="14"/>
  <c r="H248" i="14"/>
  <c r="G248" i="14"/>
  <c r="H247" i="14"/>
  <c r="G247" i="14"/>
  <c r="H246" i="14"/>
  <c r="G246" i="14"/>
  <c r="H245" i="14"/>
  <c r="G245" i="14"/>
  <c r="H244" i="14"/>
  <c r="G244" i="14"/>
  <c r="H243" i="14"/>
  <c r="G243" i="14"/>
  <c r="H242" i="14"/>
  <c r="G242" i="14"/>
  <c r="H241" i="14"/>
  <c r="G241" i="14"/>
  <c r="H240" i="14"/>
  <c r="G240" i="14"/>
  <c r="H239" i="14"/>
  <c r="G239" i="14"/>
  <c r="H238" i="14"/>
  <c r="G238" i="14"/>
  <c r="H237" i="14"/>
  <c r="G237" i="14"/>
  <c r="H236" i="14"/>
  <c r="G236" i="14"/>
  <c r="H235" i="14"/>
  <c r="G235" i="14"/>
  <c r="H234" i="14"/>
  <c r="G234" i="14"/>
  <c r="H233" i="14"/>
  <c r="G233" i="14"/>
  <c r="H232" i="14"/>
  <c r="G232" i="14"/>
  <c r="H231" i="14"/>
  <c r="G231" i="14"/>
  <c r="H230" i="14"/>
  <c r="G230" i="14"/>
  <c r="H229" i="14"/>
  <c r="G229" i="14"/>
  <c r="H228" i="14"/>
  <c r="G228" i="14"/>
  <c r="H227" i="14"/>
  <c r="G227" i="14"/>
  <c r="H226" i="14"/>
  <c r="G226" i="14"/>
  <c r="H225" i="14"/>
  <c r="G225" i="14"/>
  <c r="H224" i="14"/>
  <c r="G224" i="14"/>
  <c r="H223" i="14"/>
  <c r="G223" i="14"/>
  <c r="H222" i="14"/>
  <c r="G222" i="14"/>
  <c r="H221" i="14"/>
  <c r="G221" i="14"/>
  <c r="H220" i="14"/>
  <c r="G220" i="14"/>
  <c r="H219" i="14"/>
  <c r="G219" i="14"/>
  <c r="H218" i="14"/>
  <c r="G218" i="14"/>
  <c r="H217" i="14"/>
  <c r="G217" i="14"/>
  <c r="H216" i="14"/>
  <c r="G216" i="14"/>
  <c r="H215" i="14"/>
  <c r="G215" i="14"/>
  <c r="H214" i="14"/>
  <c r="G214" i="14"/>
  <c r="H213" i="14"/>
  <c r="G213" i="14"/>
  <c r="H212" i="14"/>
  <c r="G212" i="14"/>
  <c r="H211" i="14"/>
  <c r="G211" i="14"/>
  <c r="H210" i="14"/>
  <c r="G210" i="14"/>
  <c r="H209" i="14"/>
  <c r="G209" i="14"/>
  <c r="H208" i="14"/>
  <c r="G208" i="14"/>
  <c r="H207" i="14"/>
  <c r="G207" i="14"/>
  <c r="H206" i="14"/>
  <c r="G206" i="14"/>
  <c r="H205" i="14"/>
  <c r="G205" i="14"/>
  <c r="H204" i="14"/>
  <c r="G204" i="14"/>
  <c r="H203" i="14"/>
  <c r="G203" i="14"/>
  <c r="H202" i="14"/>
  <c r="G202" i="14"/>
  <c r="H201" i="14"/>
  <c r="G201" i="14"/>
  <c r="H200" i="14"/>
  <c r="G200" i="14"/>
  <c r="H199" i="14"/>
  <c r="G199" i="14"/>
  <c r="H198" i="14"/>
  <c r="G198" i="14"/>
  <c r="H197" i="14"/>
  <c r="G197" i="14"/>
  <c r="H196" i="14"/>
  <c r="G196" i="14"/>
  <c r="H195" i="14"/>
  <c r="G195" i="14"/>
  <c r="H194" i="14"/>
  <c r="G194" i="14"/>
  <c r="H193" i="14"/>
  <c r="G193" i="14"/>
  <c r="H192" i="14"/>
  <c r="G192" i="14"/>
  <c r="H191" i="14"/>
  <c r="G191" i="14"/>
  <c r="H190" i="14"/>
  <c r="G190" i="14"/>
  <c r="H189" i="14"/>
  <c r="G189" i="14"/>
  <c r="H188" i="14"/>
  <c r="G188" i="14"/>
  <c r="H187" i="14"/>
  <c r="G187" i="14"/>
  <c r="H186" i="14"/>
  <c r="G186" i="14"/>
  <c r="H185" i="14"/>
  <c r="G185" i="14"/>
  <c r="H184" i="14"/>
  <c r="G184" i="14"/>
  <c r="H183" i="14"/>
  <c r="G183" i="14"/>
  <c r="H182" i="14"/>
  <c r="G182" i="14"/>
  <c r="H181" i="14"/>
  <c r="G181" i="14"/>
  <c r="H180" i="14"/>
  <c r="G180" i="14"/>
  <c r="H179" i="14"/>
  <c r="G179" i="14"/>
  <c r="H178" i="14"/>
  <c r="G178" i="14"/>
  <c r="H177" i="14"/>
  <c r="G177" i="14"/>
  <c r="H176" i="14"/>
  <c r="G176" i="14"/>
  <c r="H175" i="14"/>
  <c r="G175" i="14"/>
  <c r="H174" i="14"/>
  <c r="G174" i="14"/>
  <c r="H173" i="14"/>
  <c r="G173" i="14"/>
  <c r="H172" i="14"/>
  <c r="G172" i="14"/>
  <c r="H171" i="14"/>
  <c r="G171" i="14"/>
  <c r="H170" i="14"/>
  <c r="G170" i="14"/>
  <c r="H169" i="14"/>
  <c r="G169" i="14"/>
  <c r="H168" i="14"/>
  <c r="G168" i="14"/>
  <c r="H167" i="14"/>
  <c r="G167" i="14"/>
  <c r="H166" i="14"/>
  <c r="G166" i="14"/>
  <c r="H165" i="14"/>
  <c r="G165" i="14"/>
  <c r="H164" i="14"/>
  <c r="G164" i="14"/>
  <c r="H163" i="14"/>
  <c r="G163" i="14"/>
  <c r="H162" i="14"/>
  <c r="G162" i="14"/>
  <c r="H161" i="14"/>
  <c r="G161" i="14"/>
  <c r="H160" i="14"/>
  <c r="G160" i="14"/>
  <c r="H159" i="14"/>
  <c r="G159" i="14"/>
  <c r="H158" i="14"/>
  <c r="G158" i="14"/>
  <c r="H157" i="14"/>
  <c r="G157" i="14"/>
  <c r="H156" i="14"/>
  <c r="G156" i="14"/>
  <c r="H155" i="14"/>
  <c r="G155" i="14"/>
  <c r="H154" i="14"/>
  <c r="G154" i="14"/>
  <c r="H153" i="14"/>
  <c r="G153" i="14"/>
  <c r="H152" i="14"/>
  <c r="G152" i="14"/>
  <c r="H151" i="14"/>
  <c r="G151" i="14"/>
  <c r="H150" i="14"/>
  <c r="G150" i="14"/>
  <c r="H149" i="14"/>
  <c r="G149" i="14"/>
  <c r="H148" i="14"/>
  <c r="G148" i="14"/>
  <c r="H147" i="14"/>
  <c r="G147" i="14"/>
  <c r="H146" i="14"/>
  <c r="G146" i="14"/>
  <c r="H145" i="14"/>
  <c r="G145" i="14"/>
  <c r="H144" i="14"/>
  <c r="G144" i="14"/>
  <c r="H143" i="14"/>
  <c r="G143" i="14"/>
  <c r="H142" i="14"/>
  <c r="G142" i="14"/>
  <c r="H141" i="14"/>
  <c r="G141" i="14"/>
  <c r="H140" i="14"/>
  <c r="G140" i="14"/>
  <c r="H139" i="14"/>
  <c r="G139" i="14"/>
  <c r="H138" i="14"/>
  <c r="G138" i="14"/>
  <c r="H137" i="14"/>
  <c r="G137" i="14"/>
  <c r="H136" i="14"/>
  <c r="G136" i="14"/>
  <c r="H135" i="14"/>
  <c r="G135" i="14"/>
  <c r="H134" i="14"/>
  <c r="G134" i="14"/>
  <c r="H133" i="14"/>
  <c r="G133" i="14"/>
  <c r="H132" i="14"/>
  <c r="G132" i="14"/>
  <c r="H131" i="14"/>
  <c r="G131" i="14"/>
  <c r="H130" i="14"/>
  <c r="G130" i="14"/>
  <c r="H129" i="14"/>
  <c r="G129" i="14"/>
  <c r="H128" i="14"/>
  <c r="G128" i="14"/>
  <c r="H127" i="14"/>
  <c r="G127" i="14"/>
  <c r="H126" i="14"/>
  <c r="G126" i="14"/>
  <c r="H125" i="14"/>
  <c r="G125" i="14"/>
  <c r="H124" i="14"/>
  <c r="G124" i="14"/>
  <c r="H123" i="14"/>
  <c r="G123" i="14"/>
  <c r="H122" i="14"/>
  <c r="G122" i="14"/>
  <c r="H121" i="14"/>
  <c r="G121" i="14"/>
  <c r="H120" i="14"/>
  <c r="G120" i="14"/>
  <c r="H119" i="14"/>
  <c r="G119" i="14"/>
  <c r="H118" i="14"/>
  <c r="G118" i="14"/>
  <c r="H117" i="14"/>
  <c r="G117" i="14"/>
  <c r="H116" i="14"/>
  <c r="G116" i="14"/>
  <c r="H115" i="14"/>
  <c r="G115" i="14"/>
  <c r="H114" i="14"/>
  <c r="G114" i="14"/>
  <c r="H113" i="14"/>
  <c r="G113" i="14"/>
  <c r="H112" i="14"/>
  <c r="G112" i="14"/>
  <c r="H111" i="14"/>
  <c r="G111" i="14"/>
  <c r="H110" i="14"/>
  <c r="G110" i="14"/>
  <c r="H109" i="14"/>
  <c r="G109" i="14"/>
  <c r="H108" i="14"/>
  <c r="G108" i="14"/>
  <c r="H107" i="14"/>
  <c r="G107" i="14"/>
  <c r="H106" i="14"/>
  <c r="G106" i="14"/>
  <c r="H105" i="14"/>
  <c r="G105" i="14"/>
  <c r="H104" i="14"/>
  <c r="G104" i="14"/>
  <c r="H103" i="14"/>
  <c r="G103" i="14"/>
  <c r="H102" i="14"/>
  <c r="G102" i="14"/>
  <c r="H101" i="14"/>
  <c r="G101" i="14"/>
  <c r="H100" i="14"/>
  <c r="G100" i="14"/>
  <c r="H99" i="14"/>
  <c r="G99" i="14"/>
  <c r="H98" i="14"/>
  <c r="G98" i="14"/>
  <c r="H97" i="14"/>
  <c r="G97" i="14"/>
  <c r="H96" i="14"/>
  <c r="G96" i="14"/>
  <c r="H95" i="14"/>
  <c r="G95" i="14"/>
  <c r="H94" i="14"/>
  <c r="G94" i="14"/>
  <c r="H93" i="14"/>
  <c r="G93" i="14"/>
  <c r="H92" i="14"/>
  <c r="G92" i="14"/>
  <c r="H91" i="14"/>
  <c r="G91" i="14"/>
  <c r="H90" i="14"/>
  <c r="G90" i="14"/>
  <c r="H89" i="14"/>
  <c r="G89" i="14"/>
  <c r="H88" i="14"/>
  <c r="G88" i="14"/>
  <c r="H87" i="14"/>
  <c r="G87" i="14"/>
  <c r="H86" i="14"/>
  <c r="G86" i="14"/>
  <c r="H85" i="14"/>
  <c r="G85" i="14"/>
  <c r="H84" i="14"/>
  <c r="G84" i="14"/>
  <c r="H83" i="14"/>
  <c r="G83" i="14"/>
  <c r="H82" i="14"/>
  <c r="G82" i="14"/>
  <c r="H81" i="14"/>
  <c r="G81" i="14"/>
  <c r="H80" i="14"/>
  <c r="G80" i="14"/>
  <c r="H79" i="14"/>
  <c r="G79" i="14"/>
  <c r="H78" i="14"/>
  <c r="G78" i="14"/>
  <c r="H77" i="14"/>
  <c r="G77" i="14"/>
  <c r="H76" i="14"/>
  <c r="G76" i="14"/>
  <c r="H75" i="14"/>
  <c r="G75" i="14"/>
  <c r="H74" i="14"/>
  <c r="G74" i="14"/>
  <c r="H73" i="14"/>
  <c r="G73" i="14"/>
  <c r="H72" i="14"/>
  <c r="G72" i="14"/>
  <c r="H71" i="14"/>
  <c r="G71" i="14"/>
  <c r="H70" i="14"/>
  <c r="G70" i="14"/>
  <c r="H69" i="14"/>
  <c r="G69" i="14"/>
  <c r="H68" i="14"/>
  <c r="G68" i="14"/>
  <c r="H67" i="14"/>
  <c r="G67" i="14"/>
  <c r="H66" i="14"/>
  <c r="G66" i="14"/>
  <c r="H65" i="14"/>
  <c r="G65" i="14"/>
  <c r="H64" i="14"/>
  <c r="G64" i="14"/>
  <c r="H63" i="14"/>
  <c r="G63" i="14"/>
  <c r="H62" i="14"/>
  <c r="G62" i="14"/>
  <c r="H61" i="14"/>
  <c r="G61" i="14"/>
  <c r="H60" i="14"/>
  <c r="G60" i="14"/>
  <c r="H59" i="14"/>
  <c r="G59" i="14"/>
  <c r="H58" i="14"/>
  <c r="G58" i="14"/>
  <c r="H57" i="14"/>
  <c r="G57" i="14"/>
  <c r="H56" i="14"/>
  <c r="G56" i="14"/>
  <c r="H55" i="14"/>
  <c r="G55" i="14"/>
  <c r="H54" i="14"/>
  <c r="G54" i="14"/>
  <c r="H53" i="14"/>
  <c r="G53" i="14"/>
  <c r="H52" i="14"/>
  <c r="G52" i="14"/>
  <c r="H51" i="14"/>
  <c r="G51" i="14"/>
  <c r="H50" i="14"/>
  <c r="G50" i="14"/>
  <c r="H49" i="14"/>
  <c r="G49" i="14"/>
  <c r="H48" i="14"/>
  <c r="G48" i="14"/>
  <c r="H47" i="14"/>
  <c r="G47" i="14"/>
  <c r="H46" i="14"/>
  <c r="G46" i="14"/>
  <c r="H45" i="14"/>
  <c r="G45" i="14"/>
  <c r="H44" i="14"/>
  <c r="G44" i="14"/>
  <c r="H43" i="14"/>
  <c r="G43" i="14"/>
  <c r="H42" i="14"/>
  <c r="G42" i="14"/>
  <c r="H41" i="14"/>
  <c r="G41" i="14"/>
  <c r="H40" i="14"/>
  <c r="G40" i="14"/>
  <c r="H39" i="14"/>
  <c r="G39" i="14"/>
  <c r="H38" i="14"/>
  <c r="G38" i="14"/>
  <c r="H37" i="14"/>
  <c r="G37" i="14"/>
  <c r="H36" i="14"/>
  <c r="G36" i="14"/>
  <c r="H35" i="14"/>
  <c r="G35" i="14"/>
  <c r="H34" i="14"/>
  <c r="G34" i="14"/>
  <c r="H33" i="14"/>
  <c r="G33" i="14"/>
  <c r="H32" i="14"/>
  <c r="G32" i="14"/>
  <c r="H31" i="14"/>
  <c r="G31" i="14"/>
  <c r="H30" i="14"/>
  <c r="G30" i="14"/>
  <c r="H29" i="14"/>
  <c r="G29" i="14"/>
  <c r="H28" i="14"/>
  <c r="G28" i="14"/>
  <c r="H27" i="14"/>
  <c r="G27" i="14"/>
  <c r="H26" i="14"/>
  <c r="G26" i="14"/>
  <c r="H25" i="14"/>
  <c r="G25" i="14"/>
  <c r="H24" i="14"/>
  <c r="G24" i="14"/>
  <c r="H23" i="14"/>
  <c r="G23" i="14"/>
  <c r="H22" i="14"/>
  <c r="G22" i="14"/>
  <c r="H21" i="14"/>
  <c r="G21" i="14"/>
  <c r="H20" i="14"/>
  <c r="G20" i="14"/>
  <c r="H19" i="14"/>
  <c r="G19" i="14"/>
  <c r="H18" i="14"/>
  <c r="G18" i="14"/>
  <c r="H17" i="14"/>
  <c r="G17" i="14"/>
  <c r="H16" i="14"/>
  <c r="G16" i="14"/>
  <c r="H15" i="14"/>
  <c r="G15" i="14"/>
  <c r="H14" i="14"/>
  <c r="G14" i="14"/>
  <c r="H13" i="14"/>
  <c r="G13" i="14"/>
  <c r="H12" i="14"/>
  <c r="G12" i="14"/>
  <c r="H11" i="14"/>
  <c r="G11" i="14"/>
  <c r="H10" i="14"/>
  <c r="G10" i="14"/>
  <c r="H9" i="14"/>
  <c r="G9" i="14"/>
  <c r="H8" i="14"/>
  <c r="G8" i="14"/>
  <c r="H7" i="14"/>
  <c r="G7" i="14"/>
  <c r="H6" i="14"/>
  <c r="G6" i="14"/>
  <c r="H5" i="14"/>
  <c r="G5" i="14"/>
  <c r="H4" i="14"/>
  <c r="G4" i="14"/>
  <c r="H3" i="14"/>
  <c r="G3" i="14"/>
  <c r="H2" i="14"/>
  <c r="G2" i="14"/>
  <c r="M532" i="8"/>
  <c r="L513" i="8"/>
  <c r="L532" i="8"/>
  <c r="K507" i="8"/>
  <c r="J507" i="8" s="1"/>
  <c r="K513" i="8"/>
  <c r="K532" i="8"/>
  <c r="D507" i="8"/>
  <c r="D513" i="8"/>
  <c r="D532" i="8"/>
  <c r="H532" i="8"/>
  <c r="H541" i="8"/>
  <c r="H549" i="8"/>
  <c r="H551" i="8"/>
  <c r="H553" i="8" s="1"/>
  <c r="H562" i="8" s="1"/>
  <c r="H564" i="8" s="1"/>
  <c r="H560" i="8"/>
  <c r="G532" i="8"/>
  <c r="G541" i="8"/>
  <c r="G549" i="8"/>
  <c r="G551" i="8"/>
  <c r="G553" i="8" s="1"/>
  <c r="G562" i="8" s="1"/>
  <c r="G564" i="8" s="1"/>
  <c r="G560" i="8"/>
  <c r="F532" i="8"/>
  <c r="F541" i="8"/>
  <c r="F549" i="8"/>
  <c r="F551" i="8"/>
  <c r="F553" i="8" s="1"/>
  <c r="F562" i="8" s="1"/>
  <c r="F564" i="8" s="1"/>
  <c r="F560" i="8"/>
  <c r="E532" i="8"/>
  <c r="E541" i="8"/>
  <c r="E549" i="8"/>
  <c r="E551" i="8"/>
  <c r="E553" i="8" s="1"/>
  <c r="E562" i="8" s="1"/>
  <c r="E564" i="8" s="1"/>
  <c r="E560" i="8"/>
  <c r="J555" i="8"/>
  <c r="J543" i="8"/>
  <c r="J534" i="8"/>
  <c r="J522" i="8"/>
  <c r="J521" i="8"/>
  <c r="J520" i="8"/>
  <c r="J519" i="8"/>
  <c r="J509" i="8"/>
  <c r="J503" i="8"/>
  <c r="J497" i="8"/>
  <c r="J496" i="8"/>
  <c r="J495" i="8"/>
  <c r="J494" i="8"/>
  <c r="N411" i="8"/>
  <c r="M423" i="8"/>
  <c r="L417" i="8"/>
  <c r="L423" i="8"/>
  <c r="L446" i="8"/>
  <c r="L488" i="8"/>
  <c r="K417" i="8"/>
  <c r="K423" i="8"/>
  <c r="K446" i="8"/>
  <c r="K474" i="8"/>
  <c r="D423" i="8"/>
  <c r="D446" i="8"/>
  <c r="M478" i="8"/>
  <c r="M480" i="8" s="1"/>
  <c r="L478" i="8"/>
  <c r="L480" i="8" s="1"/>
  <c r="K480" i="8"/>
  <c r="J448" i="8"/>
  <c r="H446" i="8"/>
  <c r="G446" i="8"/>
  <c r="F446" i="8"/>
  <c r="E446" i="8"/>
  <c r="J432" i="8"/>
  <c r="J431" i="8"/>
  <c r="J430" i="8"/>
  <c r="J429" i="8"/>
  <c r="H411" i="8"/>
  <c r="H423" i="8"/>
  <c r="G411" i="8"/>
  <c r="G423" i="8"/>
  <c r="F411" i="8"/>
  <c r="F423" i="8"/>
  <c r="E411" i="8"/>
  <c r="E423" i="8"/>
  <c r="J423" i="8"/>
  <c r="J419" i="8"/>
  <c r="J413" i="8"/>
  <c r="J407" i="8"/>
  <c r="L405" i="8"/>
  <c r="D402" i="8"/>
  <c r="J402" i="8" s="1"/>
  <c r="I3335" i="1" s="1"/>
  <c r="I65" i="1" s="1"/>
  <c r="D403" i="8"/>
  <c r="J403" i="8" s="1"/>
  <c r="I3336" i="1" s="1"/>
  <c r="I66" i="1" s="1"/>
  <c r="H405" i="8"/>
  <c r="G405" i="8"/>
  <c r="F405" i="8"/>
  <c r="E405" i="8"/>
  <c r="J400" i="8"/>
  <c r="J399" i="8"/>
  <c r="J398" i="8"/>
  <c r="N396" i="8"/>
  <c r="M396" i="8"/>
  <c r="L396" i="8"/>
  <c r="H396" i="8"/>
  <c r="G396" i="8"/>
  <c r="F396" i="8"/>
  <c r="E396" i="8"/>
  <c r="J384" i="8"/>
  <c r="M368" i="8"/>
  <c r="K285" i="8"/>
  <c r="D291" i="8"/>
  <c r="H316" i="8"/>
  <c r="H325" i="8"/>
  <c r="H333" i="8"/>
  <c r="H335" i="8"/>
  <c r="H337" i="8" s="1"/>
  <c r="H380" i="8" s="1"/>
  <c r="H345" i="8"/>
  <c r="H352" i="8"/>
  <c r="H354" i="8"/>
  <c r="H362" i="8"/>
  <c r="H368" i="8"/>
  <c r="H378" i="8"/>
  <c r="G291" i="8"/>
  <c r="G316" i="8"/>
  <c r="G325" i="8"/>
  <c r="G333" i="8"/>
  <c r="G335" i="8" s="1"/>
  <c r="G337" i="8" s="1"/>
  <c r="G345" i="8"/>
  <c r="G352" i="8"/>
  <c r="G354" i="8" s="1"/>
  <c r="G362" i="8"/>
  <c r="G368" i="8"/>
  <c r="G378" i="8"/>
  <c r="F291" i="8"/>
  <c r="F316" i="8"/>
  <c r="F335" i="8" s="1"/>
  <c r="F337" i="8" s="1"/>
  <c r="F380" i="8" s="1"/>
  <c r="F325" i="8"/>
  <c r="F333" i="8"/>
  <c r="F345" i="8"/>
  <c r="F354" i="8" s="1"/>
  <c r="F352" i="8"/>
  <c r="F362" i="8"/>
  <c r="F368" i="8"/>
  <c r="F378" i="8"/>
  <c r="E285" i="8"/>
  <c r="E291" i="8"/>
  <c r="E316" i="8"/>
  <c r="E325" i="8"/>
  <c r="E333" i="8"/>
  <c r="E335" i="8"/>
  <c r="E337" i="8" s="1"/>
  <c r="E380" i="8" s="1"/>
  <c r="E345" i="8"/>
  <c r="E352" i="8"/>
  <c r="E354" i="8"/>
  <c r="E362" i="8"/>
  <c r="E368" i="8"/>
  <c r="E378" i="8"/>
  <c r="J370" i="8"/>
  <c r="J364" i="8"/>
  <c r="J356" i="8"/>
  <c r="J348" i="8"/>
  <c r="J347" i="8"/>
  <c r="J341" i="8"/>
  <c r="J339" i="8"/>
  <c r="J327" i="8"/>
  <c r="J318" i="8"/>
  <c r="J302" i="8"/>
  <c r="J301" i="8"/>
  <c r="J300" i="8"/>
  <c r="J299" i="8"/>
  <c r="J293" i="8"/>
  <c r="J287" i="8"/>
  <c r="I285" i="8"/>
  <c r="J276" i="8"/>
  <c r="J274" i="8"/>
  <c r="J257" i="8"/>
  <c r="J256" i="8"/>
  <c r="J255" i="8"/>
  <c r="J254" i="8"/>
  <c r="M190" i="8"/>
  <c r="L190" i="8"/>
  <c r="L198" i="8" s="1"/>
  <c r="L200" i="8" s="1"/>
  <c r="L202" i="8" s="1"/>
  <c r="L212" i="8"/>
  <c r="K190" i="8"/>
  <c r="K198" i="8" s="1"/>
  <c r="D190" i="8"/>
  <c r="D198" i="8" s="1"/>
  <c r="D200" i="8" s="1"/>
  <c r="D202" i="8" s="1"/>
  <c r="D212" i="8"/>
  <c r="D218" i="8"/>
  <c r="H190" i="8"/>
  <c r="H198" i="8" s="1"/>
  <c r="H200" i="8" s="1"/>
  <c r="H202" i="8" s="1"/>
  <c r="H212" i="8"/>
  <c r="H218" i="8"/>
  <c r="H220" i="8" s="1"/>
  <c r="H222" i="8" s="1"/>
  <c r="H250" i="8" s="1"/>
  <c r="H231" i="8"/>
  <c r="H233" i="8"/>
  <c r="H240" i="8"/>
  <c r="H248" i="8"/>
  <c r="G190" i="8"/>
  <c r="G198" i="8" s="1"/>
  <c r="G200" i="8" s="1"/>
  <c r="G202" i="8" s="1"/>
  <c r="G212" i="8"/>
  <c r="G220" i="8" s="1"/>
  <c r="G222" i="8" s="1"/>
  <c r="G218" i="8"/>
  <c r="G231" i="8"/>
  <c r="G233" i="8" s="1"/>
  <c r="G240" i="8"/>
  <c r="G248" i="8"/>
  <c r="F212" i="8"/>
  <c r="F218" i="8"/>
  <c r="F220" i="8"/>
  <c r="F222" i="8" s="1"/>
  <c r="F250" i="8" s="1"/>
  <c r="F231" i="8"/>
  <c r="F233" i="8"/>
  <c r="F240" i="8"/>
  <c r="F248" i="8"/>
  <c r="E190" i="8"/>
  <c r="E198" i="8" s="1"/>
  <c r="E200" i="8" s="1"/>
  <c r="E202" i="8" s="1"/>
  <c r="E212" i="8"/>
  <c r="E220" i="8" s="1"/>
  <c r="E222" i="8" s="1"/>
  <c r="E218" i="8"/>
  <c r="E231" i="8"/>
  <c r="E233" i="8" s="1"/>
  <c r="E240" i="8"/>
  <c r="E248" i="8"/>
  <c r="J242" i="8"/>
  <c r="J235" i="8"/>
  <c r="J226" i="8"/>
  <c r="J224" i="8"/>
  <c r="J214" i="8"/>
  <c r="J207" i="8"/>
  <c r="J206" i="8"/>
  <c r="J205" i="8"/>
  <c r="J204" i="8"/>
  <c r="N196" i="8"/>
  <c r="L196" i="8"/>
  <c r="K196" i="8"/>
  <c r="I196" i="8"/>
  <c r="G196" i="8"/>
  <c r="F196" i="8"/>
  <c r="E196" i="8"/>
  <c r="D196" i="8"/>
  <c r="J192" i="8"/>
  <c r="J186" i="8"/>
  <c r="J185" i="8"/>
  <c r="J184" i="8"/>
  <c r="J183" i="8"/>
  <c r="J182" i="8"/>
  <c r="J157" i="8"/>
  <c r="M138" i="8"/>
  <c r="L138" i="8"/>
  <c r="K107" i="8"/>
  <c r="K138" i="8"/>
  <c r="K151" i="8"/>
  <c r="D122" i="8"/>
  <c r="D124" i="8" s="1"/>
  <c r="H90" i="8"/>
  <c r="H109" i="8" s="1"/>
  <c r="H111" i="8" s="1"/>
  <c r="H99" i="8"/>
  <c r="H107" i="8"/>
  <c r="H122" i="8"/>
  <c r="H124" i="8" s="1"/>
  <c r="H132" i="8"/>
  <c r="H138" i="8"/>
  <c r="H151" i="8"/>
  <c r="G90" i="8"/>
  <c r="G109" i="8" s="1"/>
  <c r="G111" i="8" s="1"/>
  <c r="G153" i="8" s="1"/>
  <c r="G155" i="8" s="1"/>
  <c r="G99" i="8"/>
  <c r="G107" i="8"/>
  <c r="G122" i="8"/>
  <c r="G124" i="8" s="1"/>
  <c r="G132" i="8"/>
  <c r="G138" i="8"/>
  <c r="G151" i="8"/>
  <c r="F90" i="8"/>
  <c r="F109" i="8" s="1"/>
  <c r="F111" i="8" s="1"/>
  <c r="F153" i="8" s="1"/>
  <c r="F155" i="8" s="1"/>
  <c r="F99" i="8"/>
  <c r="F107" i="8"/>
  <c r="F122" i="8"/>
  <c r="F124" i="8" s="1"/>
  <c r="F132" i="8"/>
  <c r="F138" i="8"/>
  <c r="F151" i="8"/>
  <c r="E90" i="8"/>
  <c r="E109" i="8" s="1"/>
  <c r="E111" i="8" s="1"/>
  <c r="E153" i="8" s="1"/>
  <c r="E155" i="8" s="1"/>
  <c r="E99" i="8"/>
  <c r="E107" i="8"/>
  <c r="E122" i="8"/>
  <c r="E124" i="8" s="1"/>
  <c r="E132" i="8"/>
  <c r="E138" i="8"/>
  <c r="E151" i="8"/>
  <c r="J140" i="8"/>
  <c r="J134" i="8"/>
  <c r="J126" i="8"/>
  <c r="J115" i="8"/>
  <c r="J113" i="8"/>
  <c r="J101" i="8"/>
  <c r="J92" i="8"/>
  <c r="J78" i="8"/>
  <c r="J77" i="8"/>
  <c r="J76" i="8"/>
  <c r="J75" i="8"/>
  <c r="J74" i="8"/>
  <c r="K68" i="8"/>
  <c r="H62" i="8"/>
  <c r="H70" i="8" s="1"/>
  <c r="H72" i="8" s="1"/>
  <c r="H68" i="8"/>
  <c r="G62" i="8"/>
  <c r="G70" i="8" s="1"/>
  <c r="G72" i="8" s="1"/>
  <c r="G68" i="8"/>
  <c r="F62" i="8"/>
  <c r="F70" i="8" s="1"/>
  <c r="F72" i="8" s="1"/>
  <c r="F68" i="8"/>
  <c r="E62" i="8"/>
  <c r="E70" i="8" s="1"/>
  <c r="E72" i="8" s="1"/>
  <c r="E68" i="8"/>
  <c r="J64" i="8"/>
  <c r="J53" i="8"/>
  <c r="H47" i="8"/>
  <c r="H49" i="8"/>
  <c r="G47" i="8"/>
  <c r="G49" i="8" s="1"/>
  <c r="F47" i="8"/>
  <c r="F49" i="8"/>
  <c r="E47" i="8"/>
  <c r="E49" i="8" s="1"/>
  <c r="J43" i="8"/>
  <c r="J42" i="8"/>
  <c r="H36" i="8"/>
  <c r="H38" i="8" s="1"/>
  <c r="H40" i="8" s="1"/>
  <c r="G36" i="8"/>
  <c r="G38" i="8"/>
  <c r="G40" i="8" s="1"/>
  <c r="F36" i="8"/>
  <c r="F38" i="8"/>
  <c r="F40" i="8"/>
  <c r="E36" i="8"/>
  <c r="E38" i="8" s="1"/>
  <c r="E40" i="8" s="1"/>
  <c r="J27" i="8"/>
  <c r="I2962" i="1" s="1"/>
  <c r="J26" i="8"/>
  <c r="I2961" i="1" s="1"/>
  <c r="J25" i="8"/>
  <c r="I2960" i="1" s="1"/>
  <c r="J24" i="8"/>
  <c r="I2959" i="1" s="1"/>
  <c r="J23" i="8"/>
  <c r="I2958" i="1" s="1"/>
  <c r="J22" i="8"/>
  <c r="I2957" i="1" s="1"/>
  <c r="N9" i="8"/>
  <c r="M9" i="8"/>
  <c r="M16" i="8"/>
  <c r="D9" i="8"/>
  <c r="D16" i="8"/>
  <c r="H9" i="8"/>
  <c r="H16" i="8"/>
  <c r="H18" i="8" s="1"/>
  <c r="G9" i="8"/>
  <c r="G16" i="8"/>
  <c r="G18" i="8" s="1"/>
  <c r="F9" i="8"/>
  <c r="F16" i="8"/>
  <c r="F18" i="8" s="1"/>
  <c r="E9" i="8"/>
  <c r="E16" i="8"/>
  <c r="E18" i="8" s="1"/>
  <c r="J11" i="8"/>
  <c r="M485" i="7"/>
  <c r="L479" i="7"/>
  <c r="L487" i="7" s="1"/>
  <c r="L489" i="7" s="1"/>
  <c r="L485" i="7"/>
  <c r="K535" i="7"/>
  <c r="J2930" i="1" s="1"/>
  <c r="D535" i="7"/>
  <c r="K534" i="7"/>
  <c r="J2929" i="1" s="1"/>
  <c r="D534" i="7"/>
  <c r="K533" i="7"/>
  <c r="J2928" i="1" s="1"/>
  <c r="D533" i="7"/>
  <c r="K532" i="7"/>
  <c r="J2927" i="1" s="1"/>
  <c r="D532" i="7"/>
  <c r="M531" i="7"/>
  <c r="L2926" i="1" s="1"/>
  <c r="L345" i="1" s="1"/>
  <c r="K531" i="7"/>
  <c r="J2926" i="1" s="1"/>
  <c r="J345" i="1" s="1"/>
  <c r="D531" i="7"/>
  <c r="K521" i="7"/>
  <c r="J2916" i="1" s="1"/>
  <c r="D521" i="7"/>
  <c r="K520" i="7"/>
  <c r="J2915" i="1" s="1"/>
  <c r="D520" i="7"/>
  <c r="K519" i="7"/>
  <c r="J2914" i="1" s="1"/>
  <c r="D519" i="7"/>
  <c r="K513" i="7"/>
  <c r="J2908" i="1" s="1"/>
  <c r="D513" i="7"/>
  <c r="K512" i="7"/>
  <c r="J2907" i="1" s="1"/>
  <c r="D512" i="7"/>
  <c r="K511" i="7"/>
  <c r="J2906" i="1" s="1"/>
  <c r="D511" i="7"/>
  <c r="K510" i="7"/>
  <c r="J2905" i="1" s="1"/>
  <c r="D510" i="7"/>
  <c r="J510" i="7" s="1"/>
  <c r="I2905" i="1" s="1"/>
  <c r="K504" i="7"/>
  <c r="J2899" i="1" s="1"/>
  <c r="D504" i="7"/>
  <c r="J504" i="7" s="1"/>
  <c r="I2899" i="1" s="1"/>
  <c r="K503" i="7"/>
  <c r="J2898" i="1" s="1"/>
  <c r="D503" i="7"/>
  <c r="K502" i="7"/>
  <c r="J2897" i="1" s="1"/>
  <c r="J502" i="7"/>
  <c r="I2897" i="1" s="1"/>
  <c r="D502" i="7"/>
  <c r="K501" i="7"/>
  <c r="J2896" i="1" s="1"/>
  <c r="D501" i="7"/>
  <c r="K500" i="7"/>
  <c r="J2895" i="1" s="1"/>
  <c r="D500" i="7"/>
  <c r="K499" i="7"/>
  <c r="J2894" i="1" s="1"/>
  <c r="D499" i="7"/>
  <c r="K498" i="7"/>
  <c r="J2893" i="1" s="1"/>
  <c r="D498" i="7"/>
  <c r="K497" i="7"/>
  <c r="K506" i="7" s="1"/>
  <c r="D497" i="7"/>
  <c r="K496" i="7"/>
  <c r="J2891" i="1" s="1"/>
  <c r="D496" i="7"/>
  <c r="J496" i="7" s="1"/>
  <c r="I2891" i="1" s="1"/>
  <c r="K476" i="7"/>
  <c r="J2871" i="1" s="1"/>
  <c r="J62" i="1" s="1"/>
  <c r="D476" i="7"/>
  <c r="K402" i="7"/>
  <c r="K404" i="7" s="1"/>
  <c r="D402" i="7"/>
  <c r="D404" i="7" s="1"/>
  <c r="D406" i="7" s="1"/>
  <c r="M461" i="7"/>
  <c r="L2856" i="1" s="1"/>
  <c r="L461" i="7"/>
  <c r="K461" i="7"/>
  <c r="J2856" i="1" s="1"/>
  <c r="D461" i="7"/>
  <c r="D463" i="7" s="1"/>
  <c r="K455" i="7"/>
  <c r="J2850" i="1" s="1"/>
  <c r="J2852" i="1" s="1"/>
  <c r="D455" i="7"/>
  <c r="D457" i="7" s="1"/>
  <c r="D449" i="7"/>
  <c r="D451" i="7" s="1"/>
  <c r="K447" i="7"/>
  <c r="J2842" i="1" s="1"/>
  <c r="J2844" i="1" s="1"/>
  <c r="J2846" i="1" s="1"/>
  <c r="D447" i="7"/>
  <c r="K436" i="7"/>
  <c r="J2831" i="1" s="1"/>
  <c r="D436" i="7"/>
  <c r="K435" i="7"/>
  <c r="J2830" i="1" s="1"/>
  <c r="D435" i="7"/>
  <c r="K434" i="7"/>
  <c r="J2829" i="1" s="1"/>
  <c r="D434" i="7"/>
  <c r="D438" i="7" s="1"/>
  <c r="K428" i="7"/>
  <c r="J2823" i="1" s="1"/>
  <c r="D428" i="7"/>
  <c r="K427" i="7"/>
  <c r="J2822" i="1" s="1"/>
  <c r="D427" i="7"/>
  <c r="K426" i="7"/>
  <c r="J2821" i="1" s="1"/>
  <c r="D426" i="7"/>
  <c r="K425" i="7"/>
  <c r="J2820" i="1" s="1"/>
  <c r="D425" i="7"/>
  <c r="K419" i="7"/>
  <c r="J2814" i="1" s="1"/>
  <c r="J419" i="7"/>
  <c r="I2814" i="1" s="1"/>
  <c r="D419" i="7"/>
  <c r="K418" i="7"/>
  <c r="J2813" i="1" s="1"/>
  <c r="D418" i="7"/>
  <c r="K417" i="7"/>
  <c r="J2812" i="1" s="1"/>
  <c r="D417" i="7"/>
  <c r="K416" i="7"/>
  <c r="J2811" i="1" s="1"/>
  <c r="D416" i="7"/>
  <c r="K415" i="7"/>
  <c r="J2810" i="1" s="1"/>
  <c r="D415" i="7"/>
  <c r="K414" i="7"/>
  <c r="D414" i="7"/>
  <c r="K413" i="7"/>
  <c r="J2808" i="1" s="1"/>
  <c r="D413" i="7"/>
  <c r="D421" i="7" s="1"/>
  <c r="L394" i="7"/>
  <c r="M392" i="7"/>
  <c r="L2787" i="1" s="1"/>
  <c r="K392" i="7"/>
  <c r="J2787" i="1" s="1"/>
  <c r="J2789" i="1" s="1"/>
  <c r="D392" i="7"/>
  <c r="D394" i="7" s="1"/>
  <c r="K313" i="7"/>
  <c r="K315" i="7" s="1"/>
  <c r="D313" i="7"/>
  <c r="D315" i="7" s="1"/>
  <c r="K382" i="7"/>
  <c r="D382" i="7"/>
  <c r="K381" i="7"/>
  <c r="J2776" i="1" s="1"/>
  <c r="D381" i="7"/>
  <c r="J381" i="7" s="1"/>
  <c r="I2776" i="1" s="1"/>
  <c r="K380" i="7"/>
  <c r="J2775" i="1" s="1"/>
  <c r="D380" i="7"/>
  <c r="K379" i="7"/>
  <c r="J2774" i="1" s="1"/>
  <c r="J379" i="7"/>
  <c r="I2774" i="1" s="1"/>
  <c r="D379" i="7"/>
  <c r="K378" i="7"/>
  <c r="D378" i="7"/>
  <c r="K377" i="7"/>
  <c r="J2772" i="1" s="1"/>
  <c r="D377" i="7"/>
  <c r="K371" i="7"/>
  <c r="J2766" i="1" s="1"/>
  <c r="D371" i="7"/>
  <c r="K370" i="7"/>
  <c r="D370" i="7"/>
  <c r="K362" i="7"/>
  <c r="J2757" i="1" s="1"/>
  <c r="J2759" i="1" s="1"/>
  <c r="J2761" i="1" s="1"/>
  <c r="D362" i="7"/>
  <c r="D364" i="7" s="1"/>
  <c r="D366" i="7" s="1"/>
  <c r="K351" i="7"/>
  <c r="J2746" i="1" s="1"/>
  <c r="D351" i="7"/>
  <c r="K350" i="7"/>
  <c r="D350" i="7"/>
  <c r="K349" i="7"/>
  <c r="J2744" i="1" s="1"/>
  <c r="D349" i="7"/>
  <c r="K343" i="7"/>
  <c r="J2738" i="1" s="1"/>
  <c r="D343" i="7"/>
  <c r="K342" i="7"/>
  <c r="J2737" i="1" s="1"/>
  <c r="D342" i="7"/>
  <c r="K341" i="7"/>
  <c r="J2736" i="1" s="1"/>
  <c r="D341" i="7"/>
  <c r="K340" i="7"/>
  <c r="J2735" i="1" s="1"/>
  <c r="D340" i="7"/>
  <c r="K334" i="7"/>
  <c r="J2729" i="1" s="1"/>
  <c r="D334" i="7"/>
  <c r="K333" i="7"/>
  <c r="J2728" i="1" s="1"/>
  <c r="J220" i="1" s="1"/>
  <c r="D333" i="7"/>
  <c r="K332" i="7"/>
  <c r="J2727" i="1" s="1"/>
  <c r="D332" i="7"/>
  <c r="K331" i="7"/>
  <c r="J2726" i="1" s="1"/>
  <c r="D331" i="7"/>
  <c r="K330" i="7"/>
  <c r="J2725" i="1" s="1"/>
  <c r="D330" i="7"/>
  <c r="K329" i="7"/>
  <c r="J2724" i="1" s="1"/>
  <c r="D329" i="7"/>
  <c r="M328" i="7"/>
  <c r="L2723" i="1" s="1"/>
  <c r="L328" i="7"/>
  <c r="K2723" i="1" s="1"/>
  <c r="K328" i="7"/>
  <c r="J2723" i="1" s="1"/>
  <c r="D328" i="7"/>
  <c r="J328" i="7" s="1"/>
  <c r="I2723" i="1" s="1"/>
  <c r="L327" i="7"/>
  <c r="K327" i="7"/>
  <c r="J2722" i="1" s="1"/>
  <c r="D327" i="7"/>
  <c r="L326" i="7"/>
  <c r="K2721" i="1" s="1"/>
  <c r="K326" i="7"/>
  <c r="J2721" i="1" s="1"/>
  <c r="D326" i="7"/>
  <c r="L325" i="7"/>
  <c r="K325" i="7"/>
  <c r="J2720" i="1" s="1"/>
  <c r="D325" i="7"/>
  <c r="K324" i="7"/>
  <c r="J2719" i="1" s="1"/>
  <c r="D324" i="7"/>
  <c r="J309" i="7"/>
  <c r="J308" i="7"/>
  <c r="M302" i="7"/>
  <c r="L302" i="7"/>
  <c r="K302" i="7"/>
  <c r="D302" i="7"/>
  <c r="J299" i="7"/>
  <c r="J298" i="7"/>
  <c r="J297" i="7"/>
  <c r="J296" i="7"/>
  <c r="N294" i="7"/>
  <c r="N546" i="7" s="1"/>
  <c r="H294" i="7"/>
  <c r="H546" i="7" s="1"/>
  <c r="G294" i="7"/>
  <c r="G546" i="7" s="1"/>
  <c r="F294" i="7"/>
  <c r="F546" i="7" s="1"/>
  <c r="E294" i="7"/>
  <c r="E546" i="7" s="1"/>
  <c r="M292" i="7"/>
  <c r="L2687" i="1" s="1"/>
  <c r="K292" i="7"/>
  <c r="J2687" i="1" s="1"/>
  <c r="D292" i="7"/>
  <c r="C2687" i="1" s="1"/>
  <c r="M289" i="7"/>
  <c r="L2684" i="1" s="1"/>
  <c r="L289" i="7"/>
  <c r="K2684" i="1" s="1"/>
  <c r="K289" i="7"/>
  <c r="J2684" i="1" s="1"/>
  <c r="D289" i="7"/>
  <c r="C2684" i="1" s="1"/>
  <c r="J287" i="7"/>
  <c r="M197" i="7"/>
  <c r="M175" i="7"/>
  <c r="M177" i="7"/>
  <c r="L197" i="7"/>
  <c r="K175" i="7"/>
  <c r="K177" i="7" s="1"/>
  <c r="K191" i="7"/>
  <c r="K197" i="7"/>
  <c r="D175" i="7"/>
  <c r="D177" i="7" s="1"/>
  <c r="D185" i="7"/>
  <c r="D191" i="7"/>
  <c r="D199" i="7" s="1"/>
  <c r="D197" i="7"/>
  <c r="K279" i="7"/>
  <c r="J2674" i="1" s="1"/>
  <c r="D279" i="7"/>
  <c r="K278" i="7"/>
  <c r="J2673" i="1" s="1"/>
  <c r="D278" i="7"/>
  <c r="K277" i="7"/>
  <c r="J2672" i="1" s="1"/>
  <c r="D277" i="7"/>
  <c r="K276" i="7"/>
  <c r="J2671" i="1" s="1"/>
  <c r="D276" i="7"/>
  <c r="K275" i="7"/>
  <c r="J2670" i="1" s="1"/>
  <c r="D275" i="7"/>
  <c r="K269" i="7"/>
  <c r="J2664" i="1" s="1"/>
  <c r="D269" i="7"/>
  <c r="K268" i="7"/>
  <c r="J2663" i="1" s="1"/>
  <c r="D268" i="7"/>
  <c r="K267" i="7"/>
  <c r="J2662" i="1" s="1"/>
  <c r="D267" i="7"/>
  <c r="K266" i="7"/>
  <c r="J2661" i="1" s="1"/>
  <c r="D266" i="7"/>
  <c r="J264" i="7"/>
  <c r="K258" i="7"/>
  <c r="J2653" i="1" s="1"/>
  <c r="J332" i="1" s="1"/>
  <c r="D258" i="7"/>
  <c r="K257" i="7"/>
  <c r="J2652" i="1" s="1"/>
  <c r="D257" i="7"/>
  <c r="D260" i="7" s="1"/>
  <c r="K251" i="7"/>
  <c r="J2646" i="1" s="1"/>
  <c r="J2648" i="1" s="1"/>
  <c r="D251" i="7"/>
  <c r="D253" i="7" s="1"/>
  <c r="K245" i="7"/>
  <c r="J2640" i="1" s="1"/>
  <c r="J2642" i="1" s="1"/>
  <c r="D245" i="7"/>
  <c r="D247" i="7" s="1"/>
  <c r="K234" i="7"/>
  <c r="J2629" i="1" s="1"/>
  <c r="D234" i="7"/>
  <c r="K233" i="7"/>
  <c r="J2628" i="1" s="1"/>
  <c r="D233" i="7"/>
  <c r="K232" i="7"/>
  <c r="J2627" i="1" s="1"/>
  <c r="D232" i="7"/>
  <c r="D236" i="7" s="1"/>
  <c r="J230" i="7"/>
  <c r="K226" i="7"/>
  <c r="J2621" i="1" s="1"/>
  <c r="D226" i="7"/>
  <c r="K225" i="7"/>
  <c r="J2620" i="1" s="1"/>
  <c r="D225" i="7"/>
  <c r="K224" i="7"/>
  <c r="J2619" i="1" s="1"/>
  <c r="D224" i="7"/>
  <c r="K223" i="7"/>
  <c r="J2618" i="1" s="1"/>
  <c r="D223" i="7"/>
  <c r="J221" i="7"/>
  <c r="K217" i="7"/>
  <c r="J2612" i="1" s="1"/>
  <c r="D217" i="7"/>
  <c r="K216" i="7"/>
  <c r="J2611" i="1" s="1"/>
  <c r="D216" i="7"/>
  <c r="K215" i="7"/>
  <c r="J2610" i="1" s="1"/>
  <c r="D215" i="7"/>
  <c r="K214" i="7"/>
  <c r="J2609" i="1" s="1"/>
  <c r="D214" i="7"/>
  <c r="K213" i="7"/>
  <c r="J2608" i="1" s="1"/>
  <c r="D213" i="7"/>
  <c r="K212" i="7"/>
  <c r="J2607" i="1" s="1"/>
  <c r="D212" i="7"/>
  <c r="K211" i="7"/>
  <c r="J2606" i="1" s="1"/>
  <c r="D211" i="7"/>
  <c r="K210" i="7"/>
  <c r="J2605" i="1" s="1"/>
  <c r="D210" i="7"/>
  <c r="K209" i="7"/>
  <c r="J2604" i="1" s="1"/>
  <c r="D209" i="7"/>
  <c r="K208" i="7"/>
  <c r="J2603" i="1" s="1"/>
  <c r="D208" i="7"/>
  <c r="J206" i="7"/>
  <c r="J205" i="7"/>
  <c r="J204" i="7"/>
  <c r="J203" i="7"/>
  <c r="J197" i="7"/>
  <c r="J181" i="7"/>
  <c r="J180" i="7"/>
  <c r="J179" i="7"/>
  <c r="J175" i="7"/>
  <c r="H175" i="7"/>
  <c r="G175" i="7"/>
  <c r="F175" i="7"/>
  <c r="E175" i="7"/>
  <c r="J171" i="7"/>
  <c r="J170" i="7"/>
  <c r="J169" i="7"/>
  <c r="J168" i="7"/>
  <c r="H162" i="7"/>
  <c r="G162" i="7"/>
  <c r="F162" i="7"/>
  <c r="E162" i="7"/>
  <c r="K160" i="7"/>
  <c r="J2555" i="1" s="1"/>
  <c r="D160" i="7"/>
  <c r="K159" i="7"/>
  <c r="J2554" i="1" s="1"/>
  <c r="D159" i="7"/>
  <c r="D162" i="7" s="1"/>
  <c r="J157" i="7"/>
  <c r="H155" i="7"/>
  <c r="G155" i="7"/>
  <c r="F155" i="7"/>
  <c r="E155" i="7"/>
  <c r="K153" i="7"/>
  <c r="J2548" i="1" s="1"/>
  <c r="J2550" i="1" s="1"/>
  <c r="D153" i="7"/>
  <c r="D155" i="7" s="1"/>
  <c r="J151" i="7"/>
  <c r="H145" i="7"/>
  <c r="G145" i="7"/>
  <c r="F145" i="7"/>
  <c r="E145" i="7"/>
  <c r="K143" i="7"/>
  <c r="D143" i="7"/>
  <c r="K142" i="7"/>
  <c r="J2537" i="1" s="1"/>
  <c r="D142" i="7"/>
  <c r="D145" i="7" s="1"/>
  <c r="K141" i="7"/>
  <c r="D141" i="7"/>
  <c r="J139" i="7"/>
  <c r="H137" i="7"/>
  <c r="G137" i="7"/>
  <c r="F137" i="7"/>
  <c r="E137" i="7"/>
  <c r="K135" i="7"/>
  <c r="J2530" i="1" s="1"/>
  <c r="D135" i="7"/>
  <c r="K134" i="7"/>
  <c r="J2529" i="1" s="1"/>
  <c r="D134" i="7"/>
  <c r="K133" i="7"/>
  <c r="J2528" i="1" s="1"/>
  <c r="D133" i="7"/>
  <c r="K132" i="7"/>
  <c r="J2527" i="1" s="1"/>
  <c r="D132" i="7"/>
  <c r="J130" i="7"/>
  <c r="H128" i="7"/>
  <c r="H147" i="7" s="1"/>
  <c r="H149" i="7" s="1"/>
  <c r="H164" i="7" s="1"/>
  <c r="H166" i="7" s="1"/>
  <c r="G128" i="7"/>
  <c r="G147" i="7" s="1"/>
  <c r="G149" i="7" s="1"/>
  <c r="G164" i="7" s="1"/>
  <c r="G166" i="7" s="1"/>
  <c r="F128" i="7"/>
  <c r="F147" i="7" s="1"/>
  <c r="F149" i="7" s="1"/>
  <c r="E128" i="7"/>
  <c r="E147" i="7" s="1"/>
  <c r="E149" i="7" s="1"/>
  <c r="E164" i="7" s="1"/>
  <c r="E166" i="7" s="1"/>
  <c r="K126" i="7"/>
  <c r="D126" i="7"/>
  <c r="K125" i="7"/>
  <c r="J2520" i="1" s="1"/>
  <c r="D125" i="7"/>
  <c r="K124" i="7"/>
  <c r="D124" i="7"/>
  <c r="K123" i="7"/>
  <c r="D123" i="7"/>
  <c r="K122" i="7"/>
  <c r="D122" i="7"/>
  <c r="K121" i="7"/>
  <c r="D121" i="7"/>
  <c r="K120" i="7"/>
  <c r="D120" i="7"/>
  <c r="J118" i="7"/>
  <c r="J117" i="7"/>
  <c r="J116" i="7"/>
  <c r="J115" i="7"/>
  <c r="J114" i="7"/>
  <c r="N11" i="7"/>
  <c r="N13" i="7" s="1"/>
  <c r="L11" i="7"/>
  <c r="L13" i="7" s="1"/>
  <c r="H11" i="7"/>
  <c r="H13" i="7"/>
  <c r="H544" i="7" s="1"/>
  <c r="G11" i="7"/>
  <c r="G13" i="7" s="1"/>
  <c r="G544" i="7" s="1"/>
  <c r="F11" i="7"/>
  <c r="F13" i="7" s="1"/>
  <c r="E11" i="7"/>
  <c r="E13" i="7" s="1"/>
  <c r="E544" i="7" s="1"/>
  <c r="D11" i="7"/>
  <c r="D13" i="7" s="1"/>
  <c r="H108" i="7"/>
  <c r="G108" i="7"/>
  <c r="F108" i="7"/>
  <c r="E108" i="7"/>
  <c r="K106" i="7"/>
  <c r="D106" i="7"/>
  <c r="L105" i="7"/>
  <c r="K2500" i="1" s="1"/>
  <c r="K105" i="7"/>
  <c r="D105" i="7"/>
  <c r="K104" i="7"/>
  <c r="D104" i="7"/>
  <c r="K103" i="7"/>
  <c r="L103" i="7" s="1"/>
  <c r="K2498" i="1" s="1"/>
  <c r="D103" i="7"/>
  <c r="K102" i="7"/>
  <c r="D102" i="7"/>
  <c r="K101" i="7"/>
  <c r="D101" i="7"/>
  <c r="K100" i="7"/>
  <c r="D100" i="7"/>
  <c r="K99" i="7"/>
  <c r="L99" i="7" s="1"/>
  <c r="D99" i="7"/>
  <c r="J97" i="7"/>
  <c r="H95" i="7"/>
  <c r="G95" i="7"/>
  <c r="F95" i="7"/>
  <c r="E95" i="7"/>
  <c r="L93" i="7"/>
  <c r="K93" i="7"/>
  <c r="J2488" i="1" s="1"/>
  <c r="D93" i="7"/>
  <c r="K92" i="7"/>
  <c r="J2487" i="1" s="1"/>
  <c r="D92" i="7"/>
  <c r="J90" i="7"/>
  <c r="H88" i="7"/>
  <c r="G88" i="7"/>
  <c r="F88" i="7"/>
  <c r="E88" i="7"/>
  <c r="K86" i="7"/>
  <c r="J2481" i="1" s="1"/>
  <c r="D86" i="7"/>
  <c r="K85" i="7"/>
  <c r="J2480" i="1" s="1"/>
  <c r="D85" i="7"/>
  <c r="K84" i="7"/>
  <c r="J2479" i="1" s="1"/>
  <c r="D84" i="7"/>
  <c r="K83" i="7"/>
  <c r="J2478" i="1" s="1"/>
  <c r="D83" i="7"/>
  <c r="K82" i="7"/>
  <c r="J2477" i="1" s="1"/>
  <c r="D82" i="7"/>
  <c r="K81" i="7"/>
  <c r="J2476" i="1" s="1"/>
  <c r="J367" i="1" s="1"/>
  <c r="D81" i="7"/>
  <c r="C2476" i="1" s="1"/>
  <c r="C2483" i="1" s="1"/>
  <c r="K80" i="7"/>
  <c r="J2475" i="1" s="1"/>
  <c r="D80" i="7"/>
  <c r="K79" i="7"/>
  <c r="D79" i="7"/>
  <c r="K78" i="7"/>
  <c r="J2473" i="1" s="1"/>
  <c r="D78" i="7"/>
  <c r="J76" i="7"/>
  <c r="H72" i="7"/>
  <c r="H74" i="7" s="1"/>
  <c r="G72" i="7"/>
  <c r="G74" i="7" s="1"/>
  <c r="F72" i="7"/>
  <c r="F74" i="7" s="1"/>
  <c r="E72" i="7"/>
  <c r="E74" i="7" s="1"/>
  <c r="K70" i="7"/>
  <c r="J2465" i="1" s="1"/>
  <c r="J2467" i="1" s="1"/>
  <c r="J2469" i="1" s="1"/>
  <c r="D70" i="7"/>
  <c r="D72" i="7" s="1"/>
  <c r="D74" i="7" s="1"/>
  <c r="J68" i="7"/>
  <c r="H62" i="7"/>
  <c r="G62" i="7"/>
  <c r="F62" i="7"/>
  <c r="E62" i="7"/>
  <c r="K60" i="7"/>
  <c r="J2455" i="1" s="1"/>
  <c r="D60" i="7"/>
  <c r="K59" i="7"/>
  <c r="J2454" i="1" s="1"/>
  <c r="D59" i="7"/>
  <c r="K58" i="7"/>
  <c r="J2453" i="1" s="1"/>
  <c r="D58" i="7"/>
  <c r="J56" i="7"/>
  <c r="H54" i="7"/>
  <c r="G54" i="7"/>
  <c r="F54" i="7"/>
  <c r="E54" i="7"/>
  <c r="K52" i="7"/>
  <c r="J2447" i="1" s="1"/>
  <c r="D52" i="7"/>
  <c r="K51" i="7"/>
  <c r="J2446" i="1" s="1"/>
  <c r="D51" i="7"/>
  <c r="K50" i="7"/>
  <c r="J2445" i="1" s="1"/>
  <c r="D50" i="7"/>
  <c r="K49" i="7"/>
  <c r="J2444" i="1" s="1"/>
  <c r="D49" i="7"/>
  <c r="C2444" i="1" s="1"/>
  <c r="C2449" i="1" s="1"/>
  <c r="J47" i="7"/>
  <c r="H45" i="7"/>
  <c r="H64" i="7" s="1"/>
  <c r="G45" i="7"/>
  <c r="G64" i="7" s="1"/>
  <c r="F45" i="7"/>
  <c r="F64" i="7" s="1"/>
  <c r="E45" i="7"/>
  <c r="E64" i="7" s="1"/>
  <c r="K43" i="7"/>
  <c r="D43" i="7"/>
  <c r="K42" i="7"/>
  <c r="D42" i="7"/>
  <c r="K41" i="7"/>
  <c r="D41" i="7"/>
  <c r="K40" i="7"/>
  <c r="J2435" i="1" s="1"/>
  <c r="D40" i="7"/>
  <c r="K39" i="7"/>
  <c r="J2434" i="1" s="1"/>
  <c r="D39" i="7"/>
  <c r="K38" i="7"/>
  <c r="J2433" i="1" s="1"/>
  <c r="D38" i="7"/>
  <c r="J36" i="7"/>
  <c r="J34" i="7"/>
  <c r="F32" i="7"/>
  <c r="F66" i="7" s="1"/>
  <c r="F30" i="7"/>
  <c r="H28" i="7"/>
  <c r="H30" i="7" s="1"/>
  <c r="H32" i="7" s="1"/>
  <c r="H66" i="7" s="1"/>
  <c r="H110" i="7" s="1"/>
  <c r="H545" i="7" s="1"/>
  <c r="G28" i="7"/>
  <c r="G30" i="7" s="1"/>
  <c r="G32" i="7" s="1"/>
  <c r="G66" i="7" s="1"/>
  <c r="G110" i="7" s="1"/>
  <c r="G545" i="7" s="1"/>
  <c r="F28" i="7"/>
  <c r="E28" i="7"/>
  <c r="E30" i="7" s="1"/>
  <c r="E32" i="7" s="1"/>
  <c r="E66" i="7" s="1"/>
  <c r="E110" i="7" s="1"/>
  <c r="E545" i="7" s="1"/>
  <c r="K26" i="7"/>
  <c r="J2421" i="1" s="1"/>
  <c r="J199" i="1" s="1"/>
  <c r="D26" i="7"/>
  <c r="K25" i="7"/>
  <c r="J2420" i="1" s="1"/>
  <c r="J198" i="1" s="1"/>
  <c r="D25" i="7"/>
  <c r="K24" i="7"/>
  <c r="J2419" i="1" s="1"/>
  <c r="J197" i="1" s="1"/>
  <c r="D24" i="7"/>
  <c r="K23" i="7"/>
  <c r="J2418" i="1" s="1"/>
  <c r="J196" i="1" s="1"/>
  <c r="D23" i="7"/>
  <c r="K22" i="7"/>
  <c r="J2417" i="1" s="1"/>
  <c r="J195" i="1" s="1"/>
  <c r="D22" i="7"/>
  <c r="K21" i="7"/>
  <c r="J2416" i="1" s="1"/>
  <c r="J194" i="1" s="1"/>
  <c r="D21" i="7"/>
  <c r="J19" i="7"/>
  <c r="J18" i="7"/>
  <c r="J17" i="7"/>
  <c r="J16" i="7"/>
  <c r="J15" i="7"/>
  <c r="M484" i="6"/>
  <c r="L476" i="6"/>
  <c r="L484" i="6"/>
  <c r="L467" i="6"/>
  <c r="K476" i="6"/>
  <c r="K484" i="6"/>
  <c r="K467" i="6"/>
  <c r="K497" i="6"/>
  <c r="J497" i="6" s="1"/>
  <c r="K510" i="6"/>
  <c r="J510" i="6" s="1"/>
  <c r="D476" i="6"/>
  <c r="D484" i="6"/>
  <c r="D467" i="6"/>
  <c r="J467" i="6" s="1"/>
  <c r="D497" i="6"/>
  <c r="D510" i="6"/>
  <c r="H467" i="6"/>
  <c r="H476" i="6"/>
  <c r="H486" i="6" s="1"/>
  <c r="H488" i="6" s="1"/>
  <c r="H512" i="6" s="1"/>
  <c r="H514" i="6" s="1"/>
  <c r="H484" i="6"/>
  <c r="H497" i="6"/>
  <c r="H503" i="6"/>
  <c r="H510" i="6"/>
  <c r="G467" i="6"/>
  <c r="G486" i="6" s="1"/>
  <c r="G488" i="6" s="1"/>
  <c r="G512" i="6" s="1"/>
  <c r="G514" i="6" s="1"/>
  <c r="G476" i="6"/>
  <c r="G484" i="6"/>
  <c r="G497" i="6"/>
  <c r="G503" i="6"/>
  <c r="G510" i="6"/>
  <c r="F467" i="6"/>
  <c r="F476" i="6"/>
  <c r="F484" i="6"/>
  <c r="F486" i="6"/>
  <c r="F488" i="6" s="1"/>
  <c r="F512" i="6" s="1"/>
  <c r="F497" i="6"/>
  <c r="F503" i="6"/>
  <c r="F510" i="6"/>
  <c r="F514" i="6"/>
  <c r="E467" i="6"/>
  <c r="E476" i="6"/>
  <c r="E484" i="6"/>
  <c r="E486" i="6"/>
  <c r="E488" i="6" s="1"/>
  <c r="E512" i="6" s="1"/>
  <c r="E514" i="6" s="1"/>
  <c r="E497" i="6"/>
  <c r="E503" i="6"/>
  <c r="E510" i="6"/>
  <c r="J505" i="6"/>
  <c r="J499" i="6"/>
  <c r="J490" i="6"/>
  <c r="I488" i="6"/>
  <c r="J478" i="6"/>
  <c r="J469" i="6"/>
  <c r="J452" i="6"/>
  <c r="J451" i="6"/>
  <c r="J450" i="6"/>
  <c r="J449" i="6"/>
  <c r="J448" i="6"/>
  <c r="M407" i="6"/>
  <c r="L407" i="6"/>
  <c r="L389" i="6"/>
  <c r="L429" i="6"/>
  <c r="L435" i="6"/>
  <c r="K399" i="6"/>
  <c r="K407" i="6"/>
  <c r="K389" i="6"/>
  <c r="J389" i="6" s="1"/>
  <c r="K429" i="6"/>
  <c r="K435" i="6"/>
  <c r="K442" i="6"/>
  <c r="D399" i="6"/>
  <c r="D407" i="6"/>
  <c r="D389" i="6"/>
  <c r="D419" i="6"/>
  <c r="D421" i="6" s="1"/>
  <c r="J421" i="6" s="1"/>
  <c r="D429" i="6"/>
  <c r="D435" i="6"/>
  <c r="D442" i="6"/>
  <c r="H389" i="6"/>
  <c r="H409" i="6" s="1"/>
  <c r="H411" i="6" s="1"/>
  <c r="H444" i="6" s="1"/>
  <c r="H446" i="6" s="1"/>
  <c r="H399" i="6"/>
  <c r="H407" i="6"/>
  <c r="H419" i="6"/>
  <c r="H421" i="6" s="1"/>
  <c r="H429" i="6"/>
  <c r="H435" i="6"/>
  <c r="H442" i="6"/>
  <c r="G389" i="6"/>
  <c r="G399" i="6"/>
  <c r="G407" i="6"/>
  <c r="G419" i="6"/>
  <c r="G421" i="6"/>
  <c r="G429" i="6"/>
  <c r="G435" i="6"/>
  <c r="G442" i="6"/>
  <c r="F389" i="6"/>
  <c r="F409" i="6" s="1"/>
  <c r="F411" i="6" s="1"/>
  <c r="F399" i="6"/>
  <c r="F407" i="6"/>
  <c r="F419" i="6"/>
  <c r="F421" i="6" s="1"/>
  <c r="F429" i="6"/>
  <c r="F435" i="6"/>
  <c r="F442" i="6"/>
  <c r="E389" i="6"/>
  <c r="E409" i="6" s="1"/>
  <c r="E411" i="6" s="1"/>
  <c r="E444" i="6" s="1"/>
  <c r="E446" i="6" s="1"/>
  <c r="E399" i="6"/>
  <c r="E407" i="6"/>
  <c r="E419" i="6"/>
  <c r="E421" i="6" s="1"/>
  <c r="E429" i="6"/>
  <c r="E435" i="6"/>
  <c r="E442" i="6"/>
  <c r="J437" i="6"/>
  <c r="J431" i="6"/>
  <c r="J423" i="6"/>
  <c r="J415" i="6"/>
  <c r="J413" i="6"/>
  <c r="J401" i="6"/>
  <c r="J391" i="6"/>
  <c r="N368" i="6"/>
  <c r="M368" i="6"/>
  <c r="L368" i="6"/>
  <c r="K368" i="6"/>
  <c r="D368" i="6"/>
  <c r="H368" i="6"/>
  <c r="G368" i="6"/>
  <c r="F368" i="6"/>
  <c r="E368" i="6"/>
  <c r="J364" i="6"/>
  <c r="N302" i="6"/>
  <c r="K356" i="6"/>
  <c r="K358" i="6" s="1"/>
  <c r="M302" i="6"/>
  <c r="M310" i="6"/>
  <c r="L302" i="6"/>
  <c r="L310" i="6"/>
  <c r="K260" i="6"/>
  <c r="J260" i="6" s="1"/>
  <c r="K266" i="6"/>
  <c r="K302" i="6"/>
  <c r="K310" i="6"/>
  <c r="K292" i="6"/>
  <c r="K343" i="6"/>
  <c r="D266" i="6"/>
  <c r="D302" i="6"/>
  <c r="D310" i="6"/>
  <c r="D325" i="6"/>
  <c r="D332" i="6"/>
  <c r="D356" i="6"/>
  <c r="H260" i="6"/>
  <c r="H266" i="6"/>
  <c r="H270" i="6" s="1"/>
  <c r="H272" i="6" s="1"/>
  <c r="H292" i="6"/>
  <c r="H312" i="6" s="1"/>
  <c r="H314" i="6" s="1"/>
  <c r="H360" i="6" s="1"/>
  <c r="H302" i="6"/>
  <c r="H310" i="6"/>
  <c r="H325" i="6"/>
  <c r="H332" i="6"/>
  <c r="H334" i="6"/>
  <c r="H343" i="6"/>
  <c r="H349" i="6"/>
  <c r="H358" i="6"/>
  <c r="G260" i="6"/>
  <c r="G270" i="6" s="1"/>
  <c r="G272" i="6" s="1"/>
  <c r="G266" i="6"/>
  <c r="G292" i="6"/>
  <c r="G302" i="6"/>
  <c r="G312" i="6" s="1"/>
  <c r="G314" i="6" s="1"/>
  <c r="G360" i="6" s="1"/>
  <c r="G310" i="6"/>
  <c r="G325" i="6"/>
  <c r="G334" i="6" s="1"/>
  <c r="G332" i="6"/>
  <c r="G343" i="6"/>
  <c r="G349" i="6"/>
  <c r="G358" i="6"/>
  <c r="F266" i="6"/>
  <c r="F292" i="6"/>
  <c r="F312" i="6" s="1"/>
  <c r="F314" i="6" s="1"/>
  <c r="F360" i="6" s="1"/>
  <c r="F302" i="6"/>
  <c r="F310" i="6"/>
  <c r="F325" i="6"/>
  <c r="F334" i="6" s="1"/>
  <c r="F332" i="6"/>
  <c r="F343" i="6"/>
  <c r="F349" i="6"/>
  <c r="F358" i="6"/>
  <c r="E260" i="6"/>
  <c r="E266" i="6"/>
  <c r="E292" i="6"/>
  <c r="E302" i="6"/>
  <c r="E310" i="6"/>
  <c r="E312" i="6"/>
  <c r="E314" i="6" s="1"/>
  <c r="E360" i="6" s="1"/>
  <c r="E325" i="6"/>
  <c r="E332" i="6"/>
  <c r="E334" i="6"/>
  <c r="E343" i="6"/>
  <c r="E349" i="6"/>
  <c r="E358" i="6"/>
  <c r="J351" i="6"/>
  <c r="J345" i="6"/>
  <c r="J336" i="6"/>
  <c r="J327" i="6"/>
  <c r="J318" i="6"/>
  <c r="J316" i="6"/>
  <c r="J304" i="6"/>
  <c r="J294" i="6"/>
  <c r="J277" i="6"/>
  <c r="J276" i="6"/>
  <c r="J275" i="6"/>
  <c r="J274" i="6"/>
  <c r="J268" i="6"/>
  <c r="J262" i="6"/>
  <c r="N252" i="6"/>
  <c r="N519" i="6" s="1"/>
  <c r="L252" i="6"/>
  <c r="L519" i="6" s="1"/>
  <c r="K252" i="6"/>
  <c r="K519" i="6" s="1"/>
  <c r="D252" i="6"/>
  <c r="D519" i="6" s="1"/>
  <c r="H252" i="6"/>
  <c r="H519" i="6" s="1"/>
  <c r="G252" i="6"/>
  <c r="G519" i="6" s="1"/>
  <c r="F252" i="6"/>
  <c r="F519" i="6" s="1"/>
  <c r="E252" i="6"/>
  <c r="E519" i="6" s="1"/>
  <c r="J248" i="6"/>
  <c r="D179" i="6"/>
  <c r="D181" i="6" s="1"/>
  <c r="D209" i="6"/>
  <c r="D217" i="6"/>
  <c r="D200" i="6"/>
  <c r="D242" i="6"/>
  <c r="H200" i="6"/>
  <c r="H209" i="6"/>
  <c r="H217" i="6"/>
  <c r="H219" i="6"/>
  <c r="H221" i="6" s="1"/>
  <c r="H244" i="6" s="1"/>
  <c r="H228" i="6"/>
  <c r="H234" i="6"/>
  <c r="H242" i="6"/>
  <c r="G200" i="6"/>
  <c r="G209" i="6"/>
  <c r="G219" i="6" s="1"/>
  <c r="G221" i="6" s="1"/>
  <c r="G244" i="6" s="1"/>
  <c r="G217" i="6"/>
  <c r="G228" i="6"/>
  <c r="G234" i="6"/>
  <c r="G242" i="6"/>
  <c r="F179" i="6"/>
  <c r="F181" i="6" s="1"/>
  <c r="F200" i="6"/>
  <c r="F219" i="6" s="1"/>
  <c r="F221" i="6" s="1"/>
  <c r="F244" i="6" s="1"/>
  <c r="F209" i="6"/>
  <c r="F217" i="6"/>
  <c r="F228" i="6"/>
  <c r="F234" i="6"/>
  <c r="F242" i="6"/>
  <c r="E175" i="6"/>
  <c r="E179" i="6" s="1"/>
  <c r="E181" i="6" s="1"/>
  <c r="E200" i="6"/>
  <c r="E209" i="6"/>
  <c r="E219" i="6" s="1"/>
  <c r="E221" i="6" s="1"/>
  <c r="E244" i="6" s="1"/>
  <c r="E217" i="6"/>
  <c r="E228" i="6"/>
  <c r="E234" i="6"/>
  <c r="E242" i="6"/>
  <c r="N217" i="6"/>
  <c r="N228" i="6"/>
  <c r="N234" i="6"/>
  <c r="M217" i="6"/>
  <c r="M228" i="6"/>
  <c r="L217" i="6"/>
  <c r="L228" i="6"/>
  <c r="L242" i="6"/>
  <c r="K209" i="6"/>
  <c r="J209" i="6" s="1"/>
  <c r="K217" i="6"/>
  <c r="J217" i="6" s="1"/>
  <c r="K200" i="6"/>
  <c r="K228" i="6"/>
  <c r="K242" i="6"/>
  <c r="J236" i="6"/>
  <c r="J230" i="6"/>
  <c r="J223" i="6"/>
  <c r="J211" i="6"/>
  <c r="J202" i="6"/>
  <c r="J186" i="6"/>
  <c r="J185" i="6"/>
  <c r="J184" i="6"/>
  <c r="J183" i="6"/>
  <c r="J177" i="6"/>
  <c r="J171" i="6"/>
  <c r="J169" i="6"/>
  <c r="J168" i="6"/>
  <c r="N162" i="6"/>
  <c r="N164" i="6" s="1"/>
  <c r="N166" i="6" s="1"/>
  <c r="M162" i="6"/>
  <c r="M164" i="6" s="1"/>
  <c r="M166" i="6" s="1"/>
  <c r="L2048" i="1" s="1"/>
  <c r="L162" i="6"/>
  <c r="K2044" i="1" s="1"/>
  <c r="K162" i="6"/>
  <c r="K164" i="6" s="1"/>
  <c r="K166" i="6" s="1"/>
  <c r="H162" i="6"/>
  <c r="H164" i="6"/>
  <c r="H166" i="6" s="1"/>
  <c r="G162" i="6"/>
  <c r="G164" i="6"/>
  <c r="G166" i="6"/>
  <c r="F162" i="6"/>
  <c r="F164" i="6" s="1"/>
  <c r="F166" i="6" s="1"/>
  <c r="E162" i="6"/>
  <c r="E164" i="6" s="1"/>
  <c r="E166" i="6" s="1"/>
  <c r="J156" i="6"/>
  <c r="J154" i="6"/>
  <c r="J153" i="6"/>
  <c r="N34" i="6"/>
  <c r="N36" i="6" s="1"/>
  <c r="N25" i="6"/>
  <c r="N54" i="6"/>
  <c r="K19" i="6"/>
  <c r="K25" i="6"/>
  <c r="K34" i="6"/>
  <c r="K36" i="6" s="1"/>
  <c r="K48" i="6"/>
  <c r="K54" i="6"/>
  <c r="K73" i="6"/>
  <c r="K90" i="6"/>
  <c r="K99" i="6"/>
  <c r="K108" i="6"/>
  <c r="K147" i="6"/>
  <c r="D19" i="6"/>
  <c r="D25" i="6"/>
  <c r="D34" i="6"/>
  <c r="D36" i="6" s="1"/>
  <c r="D48" i="6"/>
  <c r="D99" i="6"/>
  <c r="J99" i="6" s="1"/>
  <c r="G19" i="6"/>
  <c r="G38" i="6" s="1"/>
  <c r="G25" i="6"/>
  <c r="G34" i="6"/>
  <c r="G36" i="6" s="1"/>
  <c r="G48" i="6"/>
  <c r="G54" i="6"/>
  <c r="G73" i="6"/>
  <c r="G75" i="6" s="1"/>
  <c r="G77" i="6" s="1"/>
  <c r="G112" i="6" s="1"/>
  <c r="G149" i="6" s="1"/>
  <c r="G90" i="6"/>
  <c r="G110" i="6" s="1"/>
  <c r="G99" i="6"/>
  <c r="G108" i="6"/>
  <c r="G121" i="6"/>
  <c r="G127" i="6"/>
  <c r="G133" i="6"/>
  <c r="G135" i="6"/>
  <c r="G147" i="6"/>
  <c r="H19" i="6"/>
  <c r="H25" i="6"/>
  <c r="H34" i="6"/>
  <c r="H36" i="6" s="1"/>
  <c r="H48" i="6"/>
  <c r="H54" i="6"/>
  <c r="H73" i="6"/>
  <c r="H75" i="6" s="1"/>
  <c r="H77" i="6" s="1"/>
  <c r="H90" i="6"/>
  <c r="H110" i="6" s="1"/>
  <c r="H99" i="6"/>
  <c r="H108" i="6"/>
  <c r="H121" i="6"/>
  <c r="H135" i="6" s="1"/>
  <c r="H127" i="6"/>
  <c r="H133" i="6"/>
  <c r="H147" i="6"/>
  <c r="F19" i="6"/>
  <c r="F25" i="6"/>
  <c r="F34" i="6"/>
  <c r="F36" i="6" s="1"/>
  <c r="F48" i="6"/>
  <c r="F56" i="6" s="1"/>
  <c r="F54" i="6"/>
  <c r="F73" i="6"/>
  <c r="F75" i="6"/>
  <c r="F77" i="6" s="1"/>
  <c r="F90" i="6"/>
  <c r="F99" i="6"/>
  <c r="F110" i="6" s="1"/>
  <c r="F108" i="6"/>
  <c r="F121" i="6"/>
  <c r="F135" i="6" s="1"/>
  <c r="F127" i="6"/>
  <c r="F133" i="6"/>
  <c r="F147" i="6"/>
  <c r="E19" i="6"/>
  <c r="E25" i="6"/>
  <c r="E34" i="6"/>
  <c r="E36" i="6"/>
  <c r="E48" i="6"/>
  <c r="E56" i="6" s="1"/>
  <c r="E54" i="6"/>
  <c r="E73" i="6"/>
  <c r="E75" i="6"/>
  <c r="E77" i="6" s="1"/>
  <c r="E112" i="6" s="1"/>
  <c r="E90" i="6"/>
  <c r="E99" i="6"/>
  <c r="E110" i="6" s="1"/>
  <c r="E108" i="6"/>
  <c r="E121" i="6"/>
  <c r="E135" i="6" s="1"/>
  <c r="E127" i="6"/>
  <c r="E133" i="6"/>
  <c r="E147" i="6"/>
  <c r="L99" i="6"/>
  <c r="L108" i="6"/>
  <c r="J137" i="6"/>
  <c r="J129" i="6"/>
  <c r="J123" i="6"/>
  <c r="J116" i="6"/>
  <c r="J114" i="6"/>
  <c r="J101" i="6"/>
  <c r="J92" i="6"/>
  <c r="J80" i="6"/>
  <c r="J79" i="6"/>
  <c r="J64" i="6"/>
  <c r="J63" i="6"/>
  <c r="J62" i="6"/>
  <c r="J61" i="6"/>
  <c r="J60" i="6"/>
  <c r="M48" i="6"/>
  <c r="M56" i="6" s="1"/>
  <c r="M54" i="6"/>
  <c r="L48" i="6"/>
  <c r="L54" i="6"/>
  <c r="J50" i="6"/>
  <c r="J44" i="6"/>
  <c r="J42" i="6"/>
  <c r="J40" i="6"/>
  <c r="I34" i="6"/>
  <c r="J29" i="6"/>
  <c r="J27" i="6"/>
  <c r="M25" i="6"/>
  <c r="L25" i="6"/>
  <c r="J21" i="6"/>
  <c r="H324" i="5"/>
  <c r="G324" i="5"/>
  <c r="F324" i="5"/>
  <c r="E324" i="5"/>
  <c r="K322" i="5"/>
  <c r="D322" i="5"/>
  <c r="J322" i="5" s="1"/>
  <c r="I1878" i="1" s="1"/>
  <c r="K321" i="5"/>
  <c r="J321" i="5" s="1"/>
  <c r="I1877" i="1" s="1"/>
  <c r="D321" i="5"/>
  <c r="K320" i="5"/>
  <c r="D320" i="5"/>
  <c r="D324" i="5" s="1"/>
  <c r="J318" i="5"/>
  <c r="F314" i="5"/>
  <c r="F316" i="5" s="1"/>
  <c r="E314" i="5"/>
  <c r="E316" i="5" s="1"/>
  <c r="H312" i="5"/>
  <c r="H314" i="5" s="1"/>
  <c r="H316" i="5" s="1"/>
  <c r="G312" i="5"/>
  <c r="G314" i="5" s="1"/>
  <c r="G316" i="5" s="1"/>
  <c r="F312" i="5"/>
  <c r="E312" i="5"/>
  <c r="K310" i="5"/>
  <c r="D310" i="5"/>
  <c r="J310" i="5" s="1"/>
  <c r="I1866" i="1" s="1"/>
  <c r="K309" i="5"/>
  <c r="J309" i="5" s="1"/>
  <c r="I1865" i="1" s="1"/>
  <c r="D309" i="5"/>
  <c r="K308" i="5"/>
  <c r="K312" i="5" s="1"/>
  <c r="K314" i="5" s="1"/>
  <c r="D308" i="5"/>
  <c r="J306" i="5"/>
  <c r="J304" i="5"/>
  <c r="H300" i="5"/>
  <c r="G300" i="5"/>
  <c r="F300" i="5"/>
  <c r="E300" i="5"/>
  <c r="D300" i="5"/>
  <c r="K298" i="5"/>
  <c r="K300" i="5" s="1"/>
  <c r="D298" i="5"/>
  <c r="J296" i="5"/>
  <c r="H294" i="5"/>
  <c r="H302" i="5" s="1"/>
  <c r="H326" i="5" s="1"/>
  <c r="H328" i="5" s="1"/>
  <c r="G294" i="5"/>
  <c r="G302" i="5" s="1"/>
  <c r="G326" i="5" s="1"/>
  <c r="G328" i="5" s="1"/>
  <c r="F294" i="5"/>
  <c r="F302" i="5" s="1"/>
  <c r="F326" i="5" s="1"/>
  <c r="F328" i="5" s="1"/>
  <c r="E294" i="5"/>
  <c r="E302" i="5" s="1"/>
  <c r="E326" i="5" s="1"/>
  <c r="E328" i="5" s="1"/>
  <c r="K292" i="5"/>
  <c r="K294" i="5" s="1"/>
  <c r="D292" i="5"/>
  <c r="D294" i="5" s="1"/>
  <c r="J290" i="5"/>
  <c r="J289" i="5"/>
  <c r="J288" i="5"/>
  <c r="J287" i="5"/>
  <c r="J285" i="5"/>
  <c r="H279" i="5"/>
  <c r="G279" i="5"/>
  <c r="F279" i="5"/>
  <c r="E279" i="5"/>
  <c r="K277" i="5"/>
  <c r="D277" i="5"/>
  <c r="K276" i="5"/>
  <c r="J276" i="5" s="1"/>
  <c r="I1832" i="1" s="1"/>
  <c r="D276" i="5"/>
  <c r="K275" i="5"/>
  <c r="J275" i="5" s="1"/>
  <c r="I1831" i="1" s="1"/>
  <c r="D275" i="5"/>
  <c r="J273" i="5"/>
  <c r="G269" i="5"/>
  <c r="G271" i="5" s="1"/>
  <c r="N267" i="5"/>
  <c r="L267" i="5"/>
  <c r="H267" i="5"/>
  <c r="G267" i="5"/>
  <c r="F267" i="5"/>
  <c r="F269" i="5" s="1"/>
  <c r="F271" i="5" s="1"/>
  <c r="E267" i="5"/>
  <c r="M265" i="5"/>
  <c r="L1821" i="1" s="1"/>
  <c r="L265" i="5"/>
  <c r="K1821" i="1" s="1"/>
  <c r="K265" i="5"/>
  <c r="J1821" i="1" s="1"/>
  <c r="D265" i="5"/>
  <c r="M264" i="5"/>
  <c r="L1820" i="1" s="1"/>
  <c r="L264" i="5"/>
  <c r="K1820" i="1" s="1"/>
  <c r="K264" i="5"/>
  <c r="J1820" i="1" s="1"/>
  <c r="J264" i="5"/>
  <c r="I1820" i="1" s="1"/>
  <c r="D264" i="5"/>
  <c r="M263" i="5"/>
  <c r="L1819" i="1" s="1"/>
  <c r="L263" i="5"/>
  <c r="K1819" i="1" s="1"/>
  <c r="K263" i="5"/>
  <c r="J1819" i="1" s="1"/>
  <c r="D263" i="5"/>
  <c r="J261" i="5"/>
  <c r="H259" i="5"/>
  <c r="H269" i="5" s="1"/>
  <c r="H271" i="5" s="1"/>
  <c r="G259" i="5"/>
  <c r="F259" i="5"/>
  <c r="E259" i="5"/>
  <c r="E269" i="5" s="1"/>
  <c r="E271" i="5" s="1"/>
  <c r="K257" i="5"/>
  <c r="J257" i="5" s="1"/>
  <c r="I1813" i="1" s="1"/>
  <c r="I278" i="1" s="1"/>
  <c r="D257" i="5"/>
  <c r="K256" i="5"/>
  <c r="D256" i="5"/>
  <c r="D259" i="5" s="1"/>
  <c r="K255" i="5"/>
  <c r="J255" i="5" s="1"/>
  <c r="I1811" i="1" s="1"/>
  <c r="I276" i="1" s="1"/>
  <c r="D255" i="5"/>
  <c r="J253" i="5"/>
  <c r="J251" i="5"/>
  <c r="H245" i="5"/>
  <c r="H247" i="5" s="1"/>
  <c r="H249" i="5" s="1"/>
  <c r="H281" i="5" s="1"/>
  <c r="H283" i="5" s="1"/>
  <c r="G245" i="5"/>
  <c r="G247" i="5" s="1"/>
  <c r="G249" i="5" s="1"/>
  <c r="G281" i="5" s="1"/>
  <c r="G283" i="5" s="1"/>
  <c r="F245" i="5"/>
  <c r="F247" i="5" s="1"/>
  <c r="F249" i="5" s="1"/>
  <c r="F281" i="5" s="1"/>
  <c r="F283" i="5" s="1"/>
  <c r="E245" i="5"/>
  <c r="E247" i="5" s="1"/>
  <c r="E249" i="5" s="1"/>
  <c r="E281" i="5" s="1"/>
  <c r="E283" i="5" s="1"/>
  <c r="K243" i="5"/>
  <c r="K245" i="5" s="1"/>
  <c r="D243" i="5"/>
  <c r="D245" i="5" s="1"/>
  <c r="D247" i="5" s="1"/>
  <c r="D249" i="5" s="1"/>
  <c r="J241" i="5"/>
  <c r="J239" i="5"/>
  <c r="J238" i="5"/>
  <c r="J237" i="5"/>
  <c r="J236" i="5"/>
  <c r="J235" i="5"/>
  <c r="H229" i="5"/>
  <c r="G229" i="5"/>
  <c r="F229" i="5"/>
  <c r="E229" i="5"/>
  <c r="K227" i="5"/>
  <c r="D227" i="5"/>
  <c r="J227" i="5" s="1"/>
  <c r="I1783" i="1" s="1"/>
  <c r="K226" i="5"/>
  <c r="J226" i="5" s="1"/>
  <c r="I1782" i="1" s="1"/>
  <c r="D226" i="5"/>
  <c r="M225" i="5"/>
  <c r="L1781" i="1" s="1"/>
  <c r="L225" i="5"/>
  <c r="K1781" i="1" s="1"/>
  <c r="K225" i="5"/>
  <c r="J1781" i="1" s="1"/>
  <c r="D225" i="5"/>
  <c r="M224" i="5"/>
  <c r="L1780" i="1" s="1"/>
  <c r="L224" i="5"/>
  <c r="K1780" i="1" s="1"/>
  <c r="K224" i="5"/>
  <c r="J1780" i="1" s="1"/>
  <c r="D224" i="5"/>
  <c r="J222" i="5"/>
  <c r="H218" i="5"/>
  <c r="H220" i="5" s="1"/>
  <c r="E218" i="5"/>
  <c r="E220" i="5" s="1"/>
  <c r="H216" i="5"/>
  <c r="G216" i="5"/>
  <c r="F216" i="5"/>
  <c r="E216" i="5"/>
  <c r="M214" i="5"/>
  <c r="L1770" i="1" s="1"/>
  <c r="L214" i="5"/>
  <c r="K1770" i="1" s="1"/>
  <c r="K214" i="5"/>
  <c r="J1770" i="1" s="1"/>
  <c r="D214" i="5"/>
  <c r="M213" i="5"/>
  <c r="L1769" i="1" s="1"/>
  <c r="L213" i="5"/>
  <c r="K1769" i="1" s="1"/>
  <c r="K213" i="5"/>
  <c r="J1769" i="1" s="1"/>
  <c r="D213" i="5"/>
  <c r="M212" i="5"/>
  <c r="L1768" i="1" s="1"/>
  <c r="L212" i="5"/>
  <c r="K1768" i="1" s="1"/>
  <c r="K212" i="5"/>
  <c r="J1768" i="1" s="1"/>
  <c r="D212" i="5"/>
  <c r="D216" i="5" s="1"/>
  <c r="J210" i="5"/>
  <c r="H208" i="5"/>
  <c r="G208" i="5"/>
  <c r="G218" i="5" s="1"/>
  <c r="G220" i="5" s="1"/>
  <c r="F208" i="5"/>
  <c r="F218" i="5" s="1"/>
  <c r="F220" i="5" s="1"/>
  <c r="E208" i="5"/>
  <c r="K206" i="5"/>
  <c r="D206" i="5"/>
  <c r="K205" i="5"/>
  <c r="J205" i="5" s="1"/>
  <c r="I1761" i="1" s="1"/>
  <c r="I261" i="1" s="1"/>
  <c r="D205" i="5"/>
  <c r="K204" i="5"/>
  <c r="D204" i="5"/>
  <c r="D208" i="5" s="1"/>
  <c r="J202" i="5"/>
  <c r="J200" i="5"/>
  <c r="G196" i="5"/>
  <c r="G198" i="5" s="1"/>
  <c r="F196" i="5"/>
  <c r="F198" i="5" s="1"/>
  <c r="K194" i="5"/>
  <c r="K196" i="5" s="1"/>
  <c r="H194" i="5"/>
  <c r="H196" i="5" s="1"/>
  <c r="H198" i="5" s="1"/>
  <c r="G194" i="5"/>
  <c r="F194" i="5"/>
  <c r="E194" i="5"/>
  <c r="E196" i="5" s="1"/>
  <c r="E198" i="5" s="1"/>
  <c r="E231" i="5" s="1"/>
  <c r="E233" i="5" s="1"/>
  <c r="D194" i="5"/>
  <c r="D196" i="5" s="1"/>
  <c r="D198" i="5" s="1"/>
  <c r="K192" i="5"/>
  <c r="J192" i="5" s="1"/>
  <c r="I1748" i="1" s="1"/>
  <c r="D192" i="5"/>
  <c r="J190" i="5"/>
  <c r="J188" i="5"/>
  <c r="J187" i="5"/>
  <c r="J186" i="5"/>
  <c r="J185" i="5"/>
  <c r="H179" i="5"/>
  <c r="G179" i="5"/>
  <c r="F179" i="5"/>
  <c r="E179" i="5"/>
  <c r="K177" i="5"/>
  <c r="J177" i="5" s="1"/>
  <c r="I1733" i="1" s="1"/>
  <c r="D177" i="5"/>
  <c r="K176" i="5"/>
  <c r="J176" i="5"/>
  <c r="I1732" i="1" s="1"/>
  <c r="D176" i="5"/>
  <c r="K175" i="5"/>
  <c r="D175" i="5"/>
  <c r="D179" i="5" s="1"/>
  <c r="K174" i="5"/>
  <c r="J1730" i="1" s="1"/>
  <c r="D174" i="5"/>
  <c r="J172" i="5"/>
  <c r="H166" i="5"/>
  <c r="H168" i="5" s="1"/>
  <c r="H170" i="5" s="1"/>
  <c r="G166" i="5"/>
  <c r="G168" i="5" s="1"/>
  <c r="G170" i="5" s="1"/>
  <c r="F166" i="5"/>
  <c r="E166" i="5"/>
  <c r="M164" i="5"/>
  <c r="L1720" i="1" s="1"/>
  <c r="L164" i="5"/>
  <c r="K1720" i="1" s="1"/>
  <c r="K164" i="5"/>
  <c r="J1720" i="1" s="1"/>
  <c r="D164" i="5"/>
  <c r="M163" i="5"/>
  <c r="L1719" i="1" s="1"/>
  <c r="L163" i="5"/>
  <c r="K1719" i="1" s="1"/>
  <c r="K163" i="5"/>
  <c r="J1719" i="1" s="1"/>
  <c r="D163" i="5"/>
  <c r="M162" i="5"/>
  <c r="L1718" i="1" s="1"/>
  <c r="L162" i="5"/>
  <c r="K1718" i="1" s="1"/>
  <c r="K162" i="5"/>
  <c r="J1718" i="1" s="1"/>
  <c r="D162" i="5"/>
  <c r="D166" i="5" s="1"/>
  <c r="J160" i="5"/>
  <c r="H158" i="5"/>
  <c r="G158" i="5"/>
  <c r="F158" i="5"/>
  <c r="F168" i="5" s="1"/>
  <c r="F170" i="5" s="1"/>
  <c r="E158" i="5"/>
  <c r="E168" i="5" s="1"/>
  <c r="E170" i="5" s="1"/>
  <c r="K156" i="5"/>
  <c r="D156" i="5"/>
  <c r="K155" i="5"/>
  <c r="J155" i="5" s="1"/>
  <c r="I1711" i="1" s="1"/>
  <c r="I253" i="1" s="1"/>
  <c r="D155" i="5"/>
  <c r="K154" i="5"/>
  <c r="D154" i="5"/>
  <c r="D158" i="5" s="1"/>
  <c r="D168" i="5" s="1"/>
  <c r="D170" i="5" s="1"/>
  <c r="J152" i="5"/>
  <c r="J150" i="5"/>
  <c r="H144" i="5"/>
  <c r="H146" i="5" s="1"/>
  <c r="H148" i="5" s="1"/>
  <c r="H181" i="5" s="1"/>
  <c r="H183" i="5" s="1"/>
  <c r="G144" i="5"/>
  <c r="G146" i="5" s="1"/>
  <c r="G148" i="5" s="1"/>
  <c r="F144" i="5"/>
  <c r="E144" i="5"/>
  <c r="K142" i="5"/>
  <c r="J142" i="5" s="1"/>
  <c r="I1698" i="1" s="1"/>
  <c r="D142" i="5"/>
  <c r="K141" i="5"/>
  <c r="D141" i="5"/>
  <c r="K140" i="5"/>
  <c r="J140" i="5" s="1"/>
  <c r="I1696" i="1" s="1"/>
  <c r="D140" i="5"/>
  <c r="K139" i="5"/>
  <c r="D139" i="5"/>
  <c r="D144" i="5" s="1"/>
  <c r="J137" i="5"/>
  <c r="H135" i="5"/>
  <c r="G135" i="5"/>
  <c r="F135" i="5"/>
  <c r="F146" i="5" s="1"/>
  <c r="F148" i="5" s="1"/>
  <c r="F181" i="5" s="1"/>
  <c r="F183" i="5" s="1"/>
  <c r="E135" i="5"/>
  <c r="E146" i="5" s="1"/>
  <c r="E148" i="5" s="1"/>
  <c r="E181" i="5" s="1"/>
  <c r="E183" i="5" s="1"/>
  <c r="K133" i="5"/>
  <c r="D133" i="5"/>
  <c r="J133" i="5" s="1"/>
  <c r="I1689" i="1" s="1"/>
  <c r="K132" i="5"/>
  <c r="J132" i="5" s="1"/>
  <c r="I1688" i="1" s="1"/>
  <c r="D132" i="5"/>
  <c r="K131" i="5"/>
  <c r="J131" i="5"/>
  <c r="I1687" i="1" s="1"/>
  <c r="D131" i="5"/>
  <c r="K130" i="5"/>
  <c r="D130" i="5"/>
  <c r="K129" i="5"/>
  <c r="J129" i="5" s="1"/>
  <c r="I1685" i="1" s="1"/>
  <c r="D129" i="5"/>
  <c r="K128" i="5"/>
  <c r="D128" i="5"/>
  <c r="J126" i="5"/>
  <c r="J125" i="5"/>
  <c r="J124" i="5"/>
  <c r="J123" i="5"/>
  <c r="J122" i="5"/>
  <c r="H116" i="5"/>
  <c r="G116" i="5"/>
  <c r="F116" i="5"/>
  <c r="E116" i="5"/>
  <c r="K114" i="5"/>
  <c r="K116" i="5" s="1"/>
  <c r="D114" i="5"/>
  <c r="D116" i="5" s="1"/>
  <c r="J112" i="5"/>
  <c r="H108" i="5"/>
  <c r="H110" i="5" s="1"/>
  <c r="H118" i="5" s="1"/>
  <c r="H120" i="5" s="1"/>
  <c r="G108" i="5"/>
  <c r="G110" i="5" s="1"/>
  <c r="G118" i="5" s="1"/>
  <c r="G120" i="5" s="1"/>
  <c r="F108" i="5"/>
  <c r="F110" i="5" s="1"/>
  <c r="F118" i="5" s="1"/>
  <c r="F120" i="5" s="1"/>
  <c r="E108" i="5"/>
  <c r="E110" i="5" s="1"/>
  <c r="E118" i="5" s="1"/>
  <c r="E120" i="5" s="1"/>
  <c r="K106" i="5"/>
  <c r="J106" i="5" s="1"/>
  <c r="I1662" i="1" s="1"/>
  <c r="D106" i="5"/>
  <c r="K105" i="5"/>
  <c r="J105" i="5"/>
  <c r="I1661" i="1" s="1"/>
  <c r="D105" i="5"/>
  <c r="K104" i="5"/>
  <c r="D104" i="5"/>
  <c r="J102" i="5"/>
  <c r="J101" i="5"/>
  <c r="J100" i="5"/>
  <c r="J99" i="5"/>
  <c r="J98" i="5"/>
  <c r="F62" i="5"/>
  <c r="F64" i="5" s="1"/>
  <c r="H92" i="5"/>
  <c r="G92" i="5"/>
  <c r="F92" i="5"/>
  <c r="E92" i="5"/>
  <c r="K90" i="5"/>
  <c r="J90" i="5" s="1"/>
  <c r="I1646" i="1" s="1"/>
  <c r="D90" i="5"/>
  <c r="K89" i="5"/>
  <c r="J89" i="5" s="1"/>
  <c r="I1645" i="1" s="1"/>
  <c r="D89" i="5"/>
  <c r="K88" i="5"/>
  <c r="D88" i="5"/>
  <c r="J88" i="5" s="1"/>
  <c r="I1644" i="1" s="1"/>
  <c r="K87" i="5"/>
  <c r="J87" i="5" s="1"/>
  <c r="I1643" i="1" s="1"/>
  <c r="D87" i="5"/>
  <c r="K86" i="5"/>
  <c r="D86" i="5"/>
  <c r="K85" i="5"/>
  <c r="J85" i="5" s="1"/>
  <c r="I1641" i="1" s="1"/>
  <c r="D85" i="5"/>
  <c r="K84" i="5"/>
  <c r="J84" i="5"/>
  <c r="I1640" i="1" s="1"/>
  <c r="D84" i="5"/>
  <c r="J82" i="5"/>
  <c r="H78" i="5"/>
  <c r="H80" i="5" s="1"/>
  <c r="G78" i="5"/>
  <c r="G80" i="5" s="1"/>
  <c r="F78" i="5"/>
  <c r="F80" i="5" s="1"/>
  <c r="E78" i="5"/>
  <c r="E80" i="5" s="1"/>
  <c r="K76" i="5"/>
  <c r="J76" i="5" s="1"/>
  <c r="I1632" i="1" s="1"/>
  <c r="D76" i="5"/>
  <c r="K75" i="5"/>
  <c r="D75" i="5"/>
  <c r="K74" i="5"/>
  <c r="J74" i="5" s="1"/>
  <c r="I1630" i="1" s="1"/>
  <c r="D74" i="5"/>
  <c r="K73" i="5"/>
  <c r="D73" i="5"/>
  <c r="K72" i="5"/>
  <c r="J72" i="5" s="1"/>
  <c r="I1628" i="1" s="1"/>
  <c r="D72" i="5"/>
  <c r="K71" i="5"/>
  <c r="J71" i="5" s="1"/>
  <c r="I1627" i="1" s="1"/>
  <c r="D71" i="5"/>
  <c r="K70" i="5"/>
  <c r="D70" i="5"/>
  <c r="D78" i="5" s="1"/>
  <c r="D80" i="5" s="1"/>
  <c r="J68" i="5"/>
  <c r="J66" i="5"/>
  <c r="H60" i="5"/>
  <c r="H62" i="5" s="1"/>
  <c r="H64" i="5" s="1"/>
  <c r="G60" i="5"/>
  <c r="G62" i="5" s="1"/>
  <c r="G64" i="5" s="1"/>
  <c r="F60" i="5"/>
  <c r="E60" i="5"/>
  <c r="E62" i="5" s="1"/>
  <c r="E64" i="5" s="1"/>
  <c r="M58" i="5"/>
  <c r="L1614" i="1" s="1"/>
  <c r="L58" i="5"/>
  <c r="K1614" i="1" s="1"/>
  <c r="K58" i="5"/>
  <c r="J1614" i="1" s="1"/>
  <c r="D58" i="5"/>
  <c r="J58" i="5" s="1"/>
  <c r="I1614" i="1" s="1"/>
  <c r="M57" i="5"/>
  <c r="L1613" i="1" s="1"/>
  <c r="L57" i="5"/>
  <c r="K1613" i="1" s="1"/>
  <c r="K57" i="5"/>
  <c r="J1613" i="1" s="1"/>
  <c r="D57" i="5"/>
  <c r="M56" i="5"/>
  <c r="L56" i="5"/>
  <c r="K56" i="5"/>
  <c r="D56" i="5"/>
  <c r="J54" i="5"/>
  <c r="K50" i="5"/>
  <c r="D50" i="5"/>
  <c r="K49" i="5"/>
  <c r="J49" i="5" s="1"/>
  <c r="I1605" i="1" s="1"/>
  <c r="I269" i="1" s="1"/>
  <c r="D49" i="5"/>
  <c r="K48" i="5"/>
  <c r="D48" i="5"/>
  <c r="H38" i="5"/>
  <c r="H40" i="5" s="1"/>
  <c r="H42" i="5" s="1"/>
  <c r="G38" i="5"/>
  <c r="F38" i="5"/>
  <c r="E38" i="5"/>
  <c r="E40" i="5" s="1"/>
  <c r="E42" i="5" s="1"/>
  <c r="E94" i="5" s="1"/>
  <c r="K36" i="5"/>
  <c r="D36" i="5"/>
  <c r="K35" i="5"/>
  <c r="D35" i="5"/>
  <c r="J35" i="5" s="1"/>
  <c r="I1591" i="1" s="1"/>
  <c r="K34" i="5"/>
  <c r="D34" i="5"/>
  <c r="H30" i="5"/>
  <c r="G30" i="5"/>
  <c r="F30" i="5"/>
  <c r="E30" i="5"/>
  <c r="K28" i="5"/>
  <c r="D28" i="5"/>
  <c r="K27" i="5"/>
  <c r="J27" i="5" s="1"/>
  <c r="I1583" i="1" s="1"/>
  <c r="D27" i="5"/>
  <c r="K26" i="5"/>
  <c r="J26" i="5" s="1"/>
  <c r="I1582" i="1" s="1"/>
  <c r="D26" i="5"/>
  <c r="K25" i="5"/>
  <c r="D25" i="5"/>
  <c r="D30" i="5" s="1"/>
  <c r="J23" i="5"/>
  <c r="H21" i="5"/>
  <c r="G21" i="5"/>
  <c r="G40" i="5" s="1"/>
  <c r="G42" i="5" s="1"/>
  <c r="F21" i="5"/>
  <c r="F40" i="5" s="1"/>
  <c r="F42" i="5" s="1"/>
  <c r="F94" i="5" s="1"/>
  <c r="E21" i="5"/>
  <c r="K19" i="5"/>
  <c r="D19" i="5"/>
  <c r="K18" i="5"/>
  <c r="J18" i="5" s="1"/>
  <c r="I1574" i="1" s="1"/>
  <c r="D18" i="5"/>
  <c r="K17" i="5"/>
  <c r="D17" i="5"/>
  <c r="K16" i="5"/>
  <c r="J16" i="5" s="1"/>
  <c r="I1572" i="1" s="1"/>
  <c r="D16" i="5"/>
  <c r="K15" i="5"/>
  <c r="D15" i="5"/>
  <c r="K14" i="5"/>
  <c r="J14" i="5" s="1"/>
  <c r="I1570" i="1" s="1"/>
  <c r="D14" i="5"/>
  <c r="K13" i="5"/>
  <c r="J13" i="5" s="1"/>
  <c r="I1569" i="1" s="1"/>
  <c r="D13" i="5"/>
  <c r="K12" i="5"/>
  <c r="D12" i="5"/>
  <c r="J12" i="5" s="1"/>
  <c r="I1568" i="1" s="1"/>
  <c r="K11" i="5"/>
  <c r="D11" i="5"/>
  <c r="K10" i="5"/>
  <c r="J10" i="5"/>
  <c r="I1566" i="1" s="1"/>
  <c r="D10" i="5"/>
  <c r="K9" i="5"/>
  <c r="D9" i="5"/>
  <c r="D363" i="4"/>
  <c r="K361" i="4"/>
  <c r="J361" i="4" s="1"/>
  <c r="I1551" i="1" s="1"/>
  <c r="D361" i="4"/>
  <c r="K360" i="4"/>
  <c r="D360" i="4"/>
  <c r="K354" i="4"/>
  <c r="D354" i="4"/>
  <c r="K353" i="4"/>
  <c r="J353" i="4" s="1"/>
  <c r="I1543" i="1" s="1"/>
  <c r="D353" i="4"/>
  <c r="K352" i="4"/>
  <c r="D352" i="4"/>
  <c r="K351" i="4"/>
  <c r="J351" i="4" s="1"/>
  <c r="I1541" i="1" s="1"/>
  <c r="I344" i="1" s="1"/>
  <c r="D351" i="4"/>
  <c r="D343" i="4"/>
  <c r="D347" i="4" s="1"/>
  <c r="K341" i="4"/>
  <c r="D341" i="4"/>
  <c r="K329" i="4"/>
  <c r="D329" i="4"/>
  <c r="K328" i="4"/>
  <c r="J328" i="4" s="1"/>
  <c r="I1518" i="1" s="1"/>
  <c r="D328" i="4"/>
  <c r="K327" i="4"/>
  <c r="D327" i="4"/>
  <c r="M321" i="4"/>
  <c r="L1511" i="1" s="1"/>
  <c r="K321" i="4"/>
  <c r="D321" i="4"/>
  <c r="K320" i="4"/>
  <c r="D320" i="4"/>
  <c r="K319" i="4"/>
  <c r="J319" i="4"/>
  <c r="I1509" i="1" s="1"/>
  <c r="D319" i="4"/>
  <c r="K318" i="4"/>
  <c r="D318" i="4"/>
  <c r="K317" i="4"/>
  <c r="J317" i="4" s="1"/>
  <c r="I1507" i="1" s="1"/>
  <c r="D317" i="4"/>
  <c r="K311" i="4"/>
  <c r="J311" i="4"/>
  <c r="I1501" i="1" s="1"/>
  <c r="D311" i="4"/>
  <c r="K310" i="4"/>
  <c r="D310" i="4"/>
  <c r="K309" i="4"/>
  <c r="J309" i="4" s="1"/>
  <c r="I1499" i="1" s="1"/>
  <c r="D309" i="4"/>
  <c r="K308" i="4"/>
  <c r="D308" i="4"/>
  <c r="K307" i="4"/>
  <c r="J307" i="4" s="1"/>
  <c r="I1497" i="1" s="1"/>
  <c r="D307" i="4"/>
  <c r="K306" i="4"/>
  <c r="D306" i="4"/>
  <c r="K305" i="4"/>
  <c r="J305" i="4" s="1"/>
  <c r="I1495" i="1" s="1"/>
  <c r="D305" i="4"/>
  <c r="K304" i="4"/>
  <c r="D304" i="4"/>
  <c r="K303" i="4"/>
  <c r="D303" i="4"/>
  <c r="J303" i="4" s="1"/>
  <c r="I1493" i="1" s="1"/>
  <c r="K302" i="4"/>
  <c r="D302" i="4"/>
  <c r="N293" i="4"/>
  <c r="M293" i="4"/>
  <c r="H293" i="4"/>
  <c r="G293" i="4"/>
  <c r="F293" i="4"/>
  <c r="E293" i="4"/>
  <c r="D293" i="4"/>
  <c r="L291" i="4"/>
  <c r="K1481" i="1" s="1"/>
  <c r="K1483" i="1" s="1"/>
  <c r="K291" i="4"/>
  <c r="K293" i="4" s="1"/>
  <c r="J293" i="4" s="1"/>
  <c r="K283" i="4"/>
  <c r="K281" i="4"/>
  <c r="D281" i="4"/>
  <c r="K280" i="4"/>
  <c r="D280" i="4"/>
  <c r="K272" i="4"/>
  <c r="K270" i="4"/>
  <c r="D270" i="4"/>
  <c r="K258" i="4"/>
  <c r="D258" i="4"/>
  <c r="J258" i="4" s="1"/>
  <c r="I1448" i="1" s="1"/>
  <c r="K257" i="4"/>
  <c r="D257" i="4"/>
  <c r="K256" i="4"/>
  <c r="K260" i="4" s="1"/>
  <c r="J256" i="4"/>
  <c r="I1446" i="1" s="1"/>
  <c r="D256" i="4"/>
  <c r="K250" i="4"/>
  <c r="D250" i="4"/>
  <c r="J250" i="4" s="1"/>
  <c r="I1440" i="1" s="1"/>
  <c r="K249" i="4"/>
  <c r="D249" i="4"/>
  <c r="K248" i="4"/>
  <c r="D248" i="4"/>
  <c r="K247" i="4"/>
  <c r="D247" i="4"/>
  <c r="K241" i="4"/>
  <c r="D241" i="4"/>
  <c r="J241" i="4" s="1"/>
  <c r="I1431" i="1" s="1"/>
  <c r="K240" i="4"/>
  <c r="J240" i="4" s="1"/>
  <c r="I1430" i="1" s="1"/>
  <c r="D240" i="4"/>
  <c r="K239" i="4"/>
  <c r="J239" i="4" s="1"/>
  <c r="I1429" i="1" s="1"/>
  <c r="D239" i="4"/>
  <c r="K238" i="4"/>
  <c r="J238" i="4" s="1"/>
  <c r="I1428" i="1" s="1"/>
  <c r="D238" i="4"/>
  <c r="K237" i="4"/>
  <c r="D237" i="4"/>
  <c r="K236" i="4"/>
  <c r="D236" i="4"/>
  <c r="K235" i="4"/>
  <c r="D235" i="4"/>
  <c r="K234" i="4"/>
  <c r="J234" i="4" s="1"/>
  <c r="I1424" i="1" s="1"/>
  <c r="D234" i="4"/>
  <c r="K233" i="4"/>
  <c r="D233" i="4"/>
  <c r="J233" i="4" s="1"/>
  <c r="I1423" i="1" s="1"/>
  <c r="N225" i="4"/>
  <c r="N371" i="4" s="1"/>
  <c r="M225" i="4"/>
  <c r="L225" i="4"/>
  <c r="K225" i="4"/>
  <c r="J225" i="4" s="1"/>
  <c r="J371" i="4" s="1"/>
  <c r="H225" i="4"/>
  <c r="H371" i="4" s="1"/>
  <c r="G225" i="4"/>
  <c r="G371" i="4" s="1"/>
  <c r="F225" i="4"/>
  <c r="E225" i="4"/>
  <c r="D225" i="4"/>
  <c r="D371" i="4" s="1"/>
  <c r="K223" i="4"/>
  <c r="J1413" i="1" s="1"/>
  <c r="J1415" i="1" s="1"/>
  <c r="G217" i="4"/>
  <c r="G370" i="4" s="1"/>
  <c r="H215" i="4"/>
  <c r="H217" i="4" s="1"/>
  <c r="G215" i="4"/>
  <c r="F215" i="4"/>
  <c r="F217" i="4" s="1"/>
  <c r="E215" i="4"/>
  <c r="E217" i="4" s="1"/>
  <c r="K213" i="4"/>
  <c r="J213" i="4" s="1"/>
  <c r="I1403" i="1" s="1"/>
  <c r="D213" i="4"/>
  <c r="K212" i="4"/>
  <c r="D212" i="4"/>
  <c r="K211" i="4"/>
  <c r="D211" i="4"/>
  <c r="K209" i="4"/>
  <c r="J1399" i="1" s="1"/>
  <c r="D209" i="4"/>
  <c r="D215" i="4" s="1"/>
  <c r="K199" i="4"/>
  <c r="J199" i="4" s="1"/>
  <c r="I1389" i="1" s="1"/>
  <c r="D199" i="4"/>
  <c r="K198" i="4"/>
  <c r="D198" i="4"/>
  <c r="K197" i="4"/>
  <c r="D197" i="4"/>
  <c r="K191" i="4"/>
  <c r="J191" i="4" s="1"/>
  <c r="I1381" i="1" s="1"/>
  <c r="D191" i="4"/>
  <c r="K190" i="4"/>
  <c r="J190" i="4"/>
  <c r="I1380" i="1" s="1"/>
  <c r="D190" i="4"/>
  <c r="K189" i="4"/>
  <c r="D189" i="4"/>
  <c r="D193" i="4" s="1"/>
  <c r="K188" i="4"/>
  <c r="D188" i="4"/>
  <c r="K182" i="4"/>
  <c r="J182" i="4"/>
  <c r="I1372" i="1" s="1"/>
  <c r="D182" i="4"/>
  <c r="K181" i="4"/>
  <c r="D181" i="4"/>
  <c r="K180" i="4"/>
  <c r="D180" i="4"/>
  <c r="K179" i="4"/>
  <c r="D179" i="4"/>
  <c r="K178" i="4"/>
  <c r="D178" i="4"/>
  <c r="K177" i="4"/>
  <c r="D177" i="4"/>
  <c r="J177" i="4" s="1"/>
  <c r="I1367" i="1" s="1"/>
  <c r="K176" i="4"/>
  <c r="J176" i="4" s="1"/>
  <c r="I1366" i="1" s="1"/>
  <c r="D176" i="4"/>
  <c r="K175" i="4"/>
  <c r="D175" i="4"/>
  <c r="J175" i="4" s="1"/>
  <c r="I1365" i="1" s="1"/>
  <c r="K162" i="4"/>
  <c r="J162" i="4" s="1"/>
  <c r="I1352" i="1" s="1"/>
  <c r="D162" i="4"/>
  <c r="K161" i="4"/>
  <c r="D161" i="4"/>
  <c r="D164" i="4" s="1"/>
  <c r="K153" i="4"/>
  <c r="J153" i="4" s="1"/>
  <c r="I1343" i="1" s="1"/>
  <c r="D153" i="4"/>
  <c r="D155" i="4" s="1"/>
  <c r="K147" i="4"/>
  <c r="D147" i="4"/>
  <c r="D149" i="4" s="1"/>
  <c r="K135" i="4"/>
  <c r="D135" i="4"/>
  <c r="K134" i="4"/>
  <c r="D134" i="4"/>
  <c r="K133" i="4"/>
  <c r="J133" i="4" s="1"/>
  <c r="I1323" i="1" s="1"/>
  <c r="D133" i="4"/>
  <c r="K127" i="4"/>
  <c r="D127" i="4"/>
  <c r="J127" i="4" s="1"/>
  <c r="I1317" i="1" s="1"/>
  <c r="K126" i="4"/>
  <c r="J126" i="4" s="1"/>
  <c r="I1316" i="1" s="1"/>
  <c r="D126" i="4"/>
  <c r="K125" i="4"/>
  <c r="J125" i="4" s="1"/>
  <c r="I1315" i="1" s="1"/>
  <c r="D125" i="4"/>
  <c r="K124" i="4"/>
  <c r="D124" i="4"/>
  <c r="D129" i="4" s="1"/>
  <c r="K118" i="4"/>
  <c r="D118" i="4"/>
  <c r="K117" i="4"/>
  <c r="D117" i="4"/>
  <c r="K116" i="4"/>
  <c r="J116" i="4" s="1"/>
  <c r="I1306" i="1" s="1"/>
  <c r="D116" i="4"/>
  <c r="K115" i="4"/>
  <c r="D115" i="4"/>
  <c r="K114" i="4"/>
  <c r="D114" i="4"/>
  <c r="J114" i="4" s="1"/>
  <c r="I1304" i="1" s="1"/>
  <c r="K113" i="4"/>
  <c r="J113" i="4" s="1"/>
  <c r="I1303" i="1" s="1"/>
  <c r="D113" i="4"/>
  <c r="K112" i="4"/>
  <c r="J112" i="4"/>
  <c r="I1302" i="1" s="1"/>
  <c r="D112" i="4"/>
  <c r="K111" i="4"/>
  <c r="D111" i="4"/>
  <c r="K110" i="4"/>
  <c r="D110" i="4"/>
  <c r="K96" i="4"/>
  <c r="D96" i="4"/>
  <c r="K95" i="4"/>
  <c r="J95" i="4" s="1"/>
  <c r="I1285" i="1" s="1"/>
  <c r="D95" i="4"/>
  <c r="K94" i="4"/>
  <c r="D94" i="4"/>
  <c r="J94" i="4" s="1"/>
  <c r="I1284" i="1" s="1"/>
  <c r="K93" i="4"/>
  <c r="D93" i="4"/>
  <c r="K91" i="4"/>
  <c r="J91" i="4"/>
  <c r="I1281" i="1" s="1"/>
  <c r="D91" i="4"/>
  <c r="K90" i="4"/>
  <c r="D90" i="4"/>
  <c r="K89" i="4"/>
  <c r="J89" i="4" s="1"/>
  <c r="I1279" i="1" s="1"/>
  <c r="D89" i="4"/>
  <c r="K88" i="4"/>
  <c r="D88" i="4"/>
  <c r="D98" i="4" s="1"/>
  <c r="H84" i="4"/>
  <c r="G84" i="4"/>
  <c r="F84" i="4"/>
  <c r="E84" i="4"/>
  <c r="K82" i="4"/>
  <c r="J82" i="4" s="1"/>
  <c r="I1272" i="1" s="1"/>
  <c r="D82" i="4"/>
  <c r="K81" i="4"/>
  <c r="D81" i="4"/>
  <c r="K80" i="4"/>
  <c r="J80" i="4" s="1"/>
  <c r="I1270" i="1" s="1"/>
  <c r="D80" i="4"/>
  <c r="K79" i="4"/>
  <c r="D79" i="4"/>
  <c r="K78" i="4"/>
  <c r="D78" i="4"/>
  <c r="J78" i="4" s="1"/>
  <c r="I1268" i="1" s="1"/>
  <c r="I355" i="1" s="1"/>
  <c r="K77" i="4"/>
  <c r="J77" i="4" s="1"/>
  <c r="I1267" i="1" s="1"/>
  <c r="D77" i="4"/>
  <c r="K76" i="4"/>
  <c r="J76" i="4"/>
  <c r="I1266" i="1" s="1"/>
  <c r="D76" i="4"/>
  <c r="K75" i="4"/>
  <c r="D75" i="4"/>
  <c r="K74" i="4"/>
  <c r="J74" i="4" s="1"/>
  <c r="I1264" i="1" s="1"/>
  <c r="D74" i="4"/>
  <c r="K62" i="4"/>
  <c r="D62" i="4"/>
  <c r="D64" i="4" s="1"/>
  <c r="D70" i="4" s="1"/>
  <c r="K51" i="4"/>
  <c r="D51" i="4"/>
  <c r="K50" i="4"/>
  <c r="D50" i="4"/>
  <c r="K49" i="4"/>
  <c r="J49" i="4" s="1"/>
  <c r="I1239" i="1" s="1"/>
  <c r="D49" i="4"/>
  <c r="D53" i="4" s="1"/>
  <c r="J47" i="4"/>
  <c r="K43" i="4"/>
  <c r="D43" i="4"/>
  <c r="K42" i="4"/>
  <c r="D42" i="4"/>
  <c r="K41" i="4"/>
  <c r="D41" i="4"/>
  <c r="K40" i="4"/>
  <c r="J40" i="4" s="1"/>
  <c r="I1230" i="1" s="1"/>
  <c r="D40" i="4"/>
  <c r="J38" i="4"/>
  <c r="K34" i="4"/>
  <c r="J34" i="4" s="1"/>
  <c r="I1224" i="1" s="1"/>
  <c r="D34" i="4"/>
  <c r="K33" i="4"/>
  <c r="D33" i="4"/>
  <c r="K32" i="4"/>
  <c r="J32" i="4" s="1"/>
  <c r="I1222" i="1" s="1"/>
  <c r="D32" i="4"/>
  <c r="K31" i="4"/>
  <c r="D31" i="4"/>
  <c r="K30" i="4"/>
  <c r="J30" i="4" s="1"/>
  <c r="I1220" i="1" s="1"/>
  <c r="D30" i="4"/>
  <c r="K29" i="4"/>
  <c r="J29" i="4"/>
  <c r="I1219" i="1" s="1"/>
  <c r="D29" i="4"/>
  <c r="K28" i="4"/>
  <c r="D28" i="4"/>
  <c r="J28" i="4" s="1"/>
  <c r="I1218" i="1" s="1"/>
  <c r="K27" i="4"/>
  <c r="J27" i="4" s="1"/>
  <c r="I1217" i="1" s="1"/>
  <c r="D27" i="4"/>
  <c r="K26" i="4"/>
  <c r="D26" i="4"/>
  <c r="D36" i="4" s="1"/>
  <c r="G16" i="4"/>
  <c r="K14" i="4"/>
  <c r="D14" i="4"/>
  <c r="K13" i="4"/>
  <c r="J13" i="4" s="1"/>
  <c r="I1203" i="1" s="1"/>
  <c r="I144" i="1" s="1"/>
  <c r="D13" i="4"/>
  <c r="K12" i="4"/>
  <c r="D12" i="4"/>
  <c r="K11" i="4"/>
  <c r="J11" i="4" s="1"/>
  <c r="I1201" i="1" s="1"/>
  <c r="I142" i="1" s="1"/>
  <c r="D11" i="4"/>
  <c r="K10" i="4"/>
  <c r="D10" i="4"/>
  <c r="K9" i="4"/>
  <c r="J9" i="4" s="1"/>
  <c r="I1199" i="1" s="1"/>
  <c r="I140" i="1" s="1"/>
  <c r="D9" i="4"/>
  <c r="J298" i="3"/>
  <c r="J296" i="3"/>
  <c r="J294" i="3"/>
  <c r="J292" i="3"/>
  <c r="I1184" i="1" s="1"/>
  <c r="K291" i="3"/>
  <c r="J1183" i="1" s="1"/>
  <c r="D291" i="3"/>
  <c r="K290" i="3"/>
  <c r="J290" i="3" s="1"/>
  <c r="I1182" i="1" s="1"/>
  <c r="D290" i="3"/>
  <c r="K289" i="3"/>
  <c r="D289" i="3"/>
  <c r="J288" i="3"/>
  <c r="J287" i="3"/>
  <c r="J286" i="3"/>
  <c r="J284" i="3"/>
  <c r="I1176" i="1" s="1"/>
  <c r="K283" i="3"/>
  <c r="D283" i="3"/>
  <c r="K282" i="3"/>
  <c r="J1174" i="1" s="1"/>
  <c r="D282" i="3"/>
  <c r="K281" i="3"/>
  <c r="D281" i="3"/>
  <c r="K280" i="3"/>
  <c r="D280" i="3"/>
  <c r="J279" i="3"/>
  <c r="J278" i="3"/>
  <c r="J277" i="3"/>
  <c r="J275" i="3"/>
  <c r="I1167" i="1" s="1"/>
  <c r="K274" i="3"/>
  <c r="J274" i="3" s="1"/>
  <c r="I1166" i="1" s="1"/>
  <c r="D274" i="3"/>
  <c r="K273" i="3"/>
  <c r="J273" i="3" s="1"/>
  <c r="I1165" i="1" s="1"/>
  <c r="D273" i="3"/>
  <c r="K272" i="3"/>
  <c r="D272" i="3"/>
  <c r="K271" i="3"/>
  <c r="J271" i="3" s="1"/>
  <c r="I1163" i="1" s="1"/>
  <c r="D271" i="3"/>
  <c r="K270" i="3"/>
  <c r="D270" i="3"/>
  <c r="K269" i="3"/>
  <c r="D269" i="3"/>
  <c r="J268" i="3"/>
  <c r="J267" i="3"/>
  <c r="J266" i="3"/>
  <c r="J265" i="3"/>
  <c r="J264" i="3"/>
  <c r="J263" i="3"/>
  <c r="J262" i="3"/>
  <c r="J260" i="3"/>
  <c r="H259" i="3"/>
  <c r="H261" i="3" s="1"/>
  <c r="G259" i="3"/>
  <c r="G261" i="3" s="1"/>
  <c r="F259" i="3"/>
  <c r="F261" i="3" s="1"/>
  <c r="E259" i="3"/>
  <c r="E261" i="3" s="1"/>
  <c r="J258" i="3"/>
  <c r="I1150" i="1" s="1"/>
  <c r="K257" i="3"/>
  <c r="J257" i="3" s="1"/>
  <c r="I1149" i="1" s="1"/>
  <c r="D257" i="3"/>
  <c r="K256" i="3"/>
  <c r="D256" i="3"/>
  <c r="C1148" i="1" s="1"/>
  <c r="K255" i="3"/>
  <c r="J1147" i="1" s="1"/>
  <c r="D255" i="3"/>
  <c r="C1147" i="1" s="1"/>
  <c r="K254" i="3"/>
  <c r="D254" i="3"/>
  <c r="J253" i="3"/>
  <c r="J252" i="3"/>
  <c r="J251" i="3"/>
  <c r="J249" i="3"/>
  <c r="I1141" i="1" s="1"/>
  <c r="K248" i="3"/>
  <c r="D248" i="3"/>
  <c r="C1140" i="1" s="1"/>
  <c r="K247" i="3"/>
  <c r="D247" i="3"/>
  <c r="C1139" i="1" s="1"/>
  <c r="J246" i="3"/>
  <c r="J245" i="3"/>
  <c r="J244" i="3"/>
  <c r="J242" i="3"/>
  <c r="J240" i="3"/>
  <c r="J238" i="3"/>
  <c r="I1130" i="1" s="1"/>
  <c r="K237" i="3"/>
  <c r="D237" i="3"/>
  <c r="J237" i="3" s="1"/>
  <c r="I1129" i="1" s="1"/>
  <c r="K236" i="3"/>
  <c r="D236" i="3"/>
  <c r="K235" i="3"/>
  <c r="J235" i="3"/>
  <c r="I1127" i="1" s="1"/>
  <c r="D235" i="3"/>
  <c r="J234" i="3"/>
  <c r="J233" i="3"/>
  <c r="J232" i="3"/>
  <c r="J230" i="3"/>
  <c r="I1122" i="1" s="1"/>
  <c r="K229" i="3"/>
  <c r="J1121" i="1" s="1"/>
  <c r="D229" i="3"/>
  <c r="K228" i="3"/>
  <c r="D228" i="3"/>
  <c r="K227" i="3"/>
  <c r="D227" i="3"/>
  <c r="K226" i="3"/>
  <c r="D226" i="3"/>
  <c r="J225" i="3"/>
  <c r="J224" i="3"/>
  <c r="J223" i="3"/>
  <c r="J221" i="3"/>
  <c r="I1113" i="1" s="1"/>
  <c r="K220" i="3"/>
  <c r="D220" i="3"/>
  <c r="J220" i="3" s="1"/>
  <c r="I1112" i="1" s="1"/>
  <c r="K219" i="3"/>
  <c r="J219" i="3" s="1"/>
  <c r="I1111" i="1" s="1"/>
  <c r="D219" i="3"/>
  <c r="K218" i="3"/>
  <c r="J218" i="3" s="1"/>
  <c r="I1110" i="1" s="1"/>
  <c r="D218" i="3"/>
  <c r="K217" i="3"/>
  <c r="D217" i="3"/>
  <c r="K216" i="3"/>
  <c r="J216" i="3" s="1"/>
  <c r="I1108" i="1" s="1"/>
  <c r="D216" i="3"/>
  <c r="K215" i="3"/>
  <c r="D215" i="3"/>
  <c r="K214" i="3"/>
  <c r="J214" i="3" s="1"/>
  <c r="I1106" i="1" s="1"/>
  <c r="D214" i="3"/>
  <c r="K213" i="3"/>
  <c r="D213" i="3"/>
  <c r="K212" i="3"/>
  <c r="J212" i="3" s="1"/>
  <c r="I1104" i="1" s="1"/>
  <c r="D212" i="3"/>
  <c r="J211" i="3"/>
  <c r="J210" i="3"/>
  <c r="J209" i="3"/>
  <c r="J208" i="3"/>
  <c r="J207" i="3"/>
  <c r="J206" i="3"/>
  <c r="J204" i="3"/>
  <c r="J202" i="3"/>
  <c r="J200" i="3"/>
  <c r="I1092" i="1" s="1"/>
  <c r="J194" i="3"/>
  <c r="J193" i="3"/>
  <c r="J192" i="3"/>
  <c r="J190" i="3"/>
  <c r="I1082" i="1" s="1"/>
  <c r="J188" i="3"/>
  <c r="J187" i="3"/>
  <c r="J186" i="3"/>
  <c r="J185" i="3"/>
  <c r="J184" i="3"/>
  <c r="J182" i="3"/>
  <c r="J180" i="3"/>
  <c r="I1072" i="1" s="1"/>
  <c r="K179" i="3"/>
  <c r="J1071" i="1" s="1"/>
  <c r="J1073" i="1" s="1"/>
  <c r="D179" i="3"/>
  <c r="D181" i="3" s="1"/>
  <c r="J178" i="3"/>
  <c r="J177" i="3"/>
  <c r="J176" i="3"/>
  <c r="J174" i="3"/>
  <c r="I1066" i="1" s="1"/>
  <c r="K173" i="3"/>
  <c r="D173" i="3"/>
  <c r="J173" i="3" s="1"/>
  <c r="I1065" i="1" s="1"/>
  <c r="K172" i="3"/>
  <c r="D172" i="3"/>
  <c r="K171" i="3"/>
  <c r="J171" i="3"/>
  <c r="I1063" i="1" s="1"/>
  <c r="D171" i="3"/>
  <c r="K169" i="3"/>
  <c r="D169" i="3"/>
  <c r="J168" i="3"/>
  <c r="J167" i="3"/>
  <c r="J164" i="3"/>
  <c r="J162" i="3"/>
  <c r="I1054" i="1" s="1"/>
  <c r="K161" i="3"/>
  <c r="J1053" i="1" s="1"/>
  <c r="D161" i="3"/>
  <c r="C1053" i="1" s="1"/>
  <c r="C1055" i="1" s="1"/>
  <c r="J159" i="3"/>
  <c r="N157" i="3"/>
  <c r="H157" i="3"/>
  <c r="G157" i="3"/>
  <c r="F157" i="3"/>
  <c r="E157" i="3"/>
  <c r="J155" i="3"/>
  <c r="I1047" i="1" s="1"/>
  <c r="K154" i="3"/>
  <c r="J1046" i="1" s="1"/>
  <c r="D154" i="3"/>
  <c r="C1046" i="1" s="1"/>
  <c r="K153" i="3"/>
  <c r="J1045" i="1" s="1"/>
  <c r="J153" i="3"/>
  <c r="I1045" i="1" s="1"/>
  <c r="D153" i="3"/>
  <c r="C1045" i="1" s="1"/>
  <c r="M152" i="3"/>
  <c r="L1044" i="1" s="1"/>
  <c r="L317" i="1" s="1"/>
  <c r="L152" i="3"/>
  <c r="K1044" i="1" s="1"/>
  <c r="K152" i="3"/>
  <c r="J1044" i="1" s="1"/>
  <c r="D152" i="3"/>
  <c r="C1044" i="1" s="1"/>
  <c r="K151" i="3"/>
  <c r="J1043" i="1" s="1"/>
  <c r="D151" i="3"/>
  <c r="C1043" i="1" s="1"/>
  <c r="K150" i="3"/>
  <c r="J1042" i="1" s="1"/>
  <c r="D150" i="3"/>
  <c r="C1042" i="1" s="1"/>
  <c r="M149" i="3"/>
  <c r="L149" i="3"/>
  <c r="K149" i="3"/>
  <c r="J1041" i="1" s="1"/>
  <c r="D149" i="3"/>
  <c r="C1041" i="1" s="1"/>
  <c r="J148" i="3"/>
  <c r="J147" i="3"/>
  <c r="J146" i="3"/>
  <c r="J144" i="3"/>
  <c r="I1036" i="1" s="1"/>
  <c r="K143" i="3"/>
  <c r="D143" i="3"/>
  <c r="D145" i="3" s="1"/>
  <c r="J142" i="3"/>
  <c r="J141" i="3"/>
  <c r="J140" i="3"/>
  <c r="I1032" i="1" s="1"/>
  <c r="J139" i="3"/>
  <c r="J138" i="3"/>
  <c r="J136" i="3"/>
  <c r="G135" i="3"/>
  <c r="G137" i="3" s="1"/>
  <c r="J134" i="3"/>
  <c r="H133" i="3"/>
  <c r="H135" i="3" s="1"/>
  <c r="H137" i="3" s="1"/>
  <c r="G133" i="3"/>
  <c r="F133" i="3"/>
  <c r="E133" i="3"/>
  <c r="J132" i="3"/>
  <c r="I1024" i="1" s="1"/>
  <c r="K131" i="3"/>
  <c r="J131" i="3" s="1"/>
  <c r="I1023" i="1" s="1"/>
  <c r="D131" i="3"/>
  <c r="K130" i="3"/>
  <c r="D130" i="3"/>
  <c r="K129" i="3"/>
  <c r="J129" i="3" s="1"/>
  <c r="I1021" i="1" s="1"/>
  <c r="D129" i="3"/>
  <c r="J128" i="3"/>
  <c r="I1020" i="1" s="1"/>
  <c r="J127" i="3"/>
  <c r="J126" i="3"/>
  <c r="H125" i="3"/>
  <c r="G125" i="3"/>
  <c r="F125" i="3"/>
  <c r="F135" i="3" s="1"/>
  <c r="F137" i="3" s="1"/>
  <c r="E125" i="3"/>
  <c r="E135" i="3" s="1"/>
  <c r="E137" i="3" s="1"/>
  <c r="J124" i="3"/>
  <c r="I1016" i="1" s="1"/>
  <c r="K123" i="3"/>
  <c r="D123" i="3"/>
  <c r="K122" i="3"/>
  <c r="J122" i="3" s="1"/>
  <c r="I1014" i="1" s="1"/>
  <c r="D122" i="3"/>
  <c r="K121" i="3"/>
  <c r="D121" i="3"/>
  <c r="K120" i="3"/>
  <c r="D120" i="3"/>
  <c r="J119" i="3"/>
  <c r="J118" i="3"/>
  <c r="I1010" i="1" s="1"/>
  <c r="J117" i="3"/>
  <c r="J115" i="3"/>
  <c r="I1007" i="1" s="1"/>
  <c r="K114" i="3"/>
  <c r="D114" i="3"/>
  <c r="K113" i="3"/>
  <c r="J113" i="3" s="1"/>
  <c r="I1005" i="1" s="1"/>
  <c r="D113" i="3"/>
  <c r="K112" i="3"/>
  <c r="D112" i="3"/>
  <c r="K111" i="3"/>
  <c r="D111" i="3"/>
  <c r="J111" i="3" s="1"/>
  <c r="I1003" i="1" s="1"/>
  <c r="K110" i="3"/>
  <c r="D110" i="3"/>
  <c r="K109" i="3"/>
  <c r="D109" i="3"/>
  <c r="J109" i="3" s="1"/>
  <c r="I1001" i="1" s="1"/>
  <c r="K108" i="3"/>
  <c r="D108" i="3"/>
  <c r="K107" i="3"/>
  <c r="D107" i="3"/>
  <c r="K106" i="3"/>
  <c r="D106" i="3"/>
  <c r="K89" i="3"/>
  <c r="K97" i="3"/>
  <c r="K99" i="3"/>
  <c r="D89" i="3"/>
  <c r="D99" i="3" s="1"/>
  <c r="D97" i="3"/>
  <c r="H89" i="3"/>
  <c r="H97" i="3"/>
  <c r="G89" i="3"/>
  <c r="G99" i="3" s="1"/>
  <c r="G301" i="3" s="1"/>
  <c r="G97" i="3"/>
  <c r="F89" i="3"/>
  <c r="F97" i="3"/>
  <c r="F99" i="3" s="1"/>
  <c r="F301" i="3" s="1"/>
  <c r="E89" i="3"/>
  <c r="E99" i="3" s="1"/>
  <c r="E301" i="3" s="1"/>
  <c r="E97" i="3"/>
  <c r="J94" i="3"/>
  <c r="J93" i="3"/>
  <c r="J92" i="3"/>
  <c r="J91" i="3"/>
  <c r="I983" i="1" s="1"/>
  <c r="J90" i="3"/>
  <c r="I89" i="3"/>
  <c r="J88" i="3"/>
  <c r="I980" i="1" s="1"/>
  <c r="J86" i="3"/>
  <c r="J85" i="3"/>
  <c r="J84" i="3"/>
  <c r="J83" i="3"/>
  <c r="J82" i="3"/>
  <c r="J81" i="3"/>
  <c r="J79" i="3"/>
  <c r="J77" i="3"/>
  <c r="I969" i="1" s="1"/>
  <c r="H76" i="3"/>
  <c r="G76" i="3"/>
  <c r="F76" i="3"/>
  <c r="E76" i="3"/>
  <c r="J75" i="3"/>
  <c r="I967" i="1" s="1"/>
  <c r="K74" i="3"/>
  <c r="J74" i="3" s="1"/>
  <c r="I966" i="1" s="1"/>
  <c r="D74" i="3"/>
  <c r="K73" i="3"/>
  <c r="D73" i="3"/>
  <c r="K72" i="3"/>
  <c r="J72" i="3" s="1"/>
  <c r="I964" i="1" s="1"/>
  <c r="D72" i="3"/>
  <c r="J71" i="3"/>
  <c r="J70" i="3"/>
  <c r="J69" i="3"/>
  <c r="H68" i="3"/>
  <c r="G68" i="3"/>
  <c r="F68" i="3"/>
  <c r="E68" i="3"/>
  <c r="J67" i="3"/>
  <c r="I959" i="1" s="1"/>
  <c r="K66" i="3"/>
  <c r="D66" i="3"/>
  <c r="K65" i="3"/>
  <c r="D65" i="3"/>
  <c r="K64" i="3"/>
  <c r="D64" i="3"/>
  <c r="K63" i="3"/>
  <c r="J955" i="1" s="1"/>
  <c r="J359" i="1" s="1"/>
  <c r="D63" i="3"/>
  <c r="M62" i="3"/>
  <c r="L954" i="1" s="1"/>
  <c r="L62" i="3"/>
  <c r="K954" i="1" s="1"/>
  <c r="K62" i="3"/>
  <c r="J954" i="1" s="1"/>
  <c r="D62" i="3"/>
  <c r="K61" i="3"/>
  <c r="D61" i="3"/>
  <c r="D68" i="3" s="1"/>
  <c r="J60" i="3"/>
  <c r="J59" i="3"/>
  <c r="J58" i="3"/>
  <c r="J56" i="3"/>
  <c r="I948" i="1" s="1"/>
  <c r="J54" i="3"/>
  <c r="H53" i="3"/>
  <c r="G53" i="3"/>
  <c r="F53" i="3"/>
  <c r="E53" i="3"/>
  <c r="J52" i="3"/>
  <c r="I944" i="1" s="1"/>
  <c r="K51" i="3"/>
  <c r="D51" i="3"/>
  <c r="K50" i="3"/>
  <c r="J50" i="3" s="1"/>
  <c r="I942" i="1" s="1"/>
  <c r="D50" i="3"/>
  <c r="K49" i="3"/>
  <c r="D49" i="3"/>
  <c r="J48" i="3"/>
  <c r="J47" i="3"/>
  <c r="J46" i="3"/>
  <c r="H45" i="3"/>
  <c r="G45" i="3"/>
  <c r="F45" i="3"/>
  <c r="E45" i="3"/>
  <c r="J44" i="3"/>
  <c r="I936" i="1" s="1"/>
  <c r="K43" i="3"/>
  <c r="D43" i="3"/>
  <c r="K42" i="3"/>
  <c r="J42" i="3"/>
  <c r="I934" i="1" s="1"/>
  <c r="D42" i="3"/>
  <c r="K41" i="3"/>
  <c r="D41" i="3"/>
  <c r="K40" i="3"/>
  <c r="D40" i="3"/>
  <c r="J39" i="3"/>
  <c r="J38" i="3"/>
  <c r="J37" i="3"/>
  <c r="H36" i="3"/>
  <c r="H55" i="3" s="1"/>
  <c r="G36" i="3"/>
  <c r="G55" i="3" s="1"/>
  <c r="F36" i="3"/>
  <c r="F55" i="3" s="1"/>
  <c r="E36" i="3"/>
  <c r="E55" i="3" s="1"/>
  <c r="J35" i="3"/>
  <c r="K34" i="3"/>
  <c r="D34" i="3"/>
  <c r="J34" i="3" s="1"/>
  <c r="I926" i="1" s="1"/>
  <c r="K33" i="3"/>
  <c r="D33" i="3"/>
  <c r="K32" i="3"/>
  <c r="D32" i="3"/>
  <c r="J32" i="3" s="1"/>
  <c r="I924" i="1" s="1"/>
  <c r="K31" i="3"/>
  <c r="D31" i="3"/>
  <c r="K30" i="3"/>
  <c r="D30" i="3"/>
  <c r="J30" i="3" s="1"/>
  <c r="I922" i="1" s="1"/>
  <c r="K29" i="3"/>
  <c r="D29" i="3"/>
  <c r="K28" i="3"/>
  <c r="D28" i="3"/>
  <c r="K27" i="3"/>
  <c r="D27" i="3"/>
  <c r="K26" i="3"/>
  <c r="D26" i="3"/>
  <c r="K25" i="3"/>
  <c r="K36" i="3" s="1"/>
  <c r="D25" i="3"/>
  <c r="J24" i="3"/>
  <c r="J23" i="3"/>
  <c r="J22" i="3"/>
  <c r="J21" i="3"/>
  <c r="H16" i="3"/>
  <c r="H18" i="3" s="1"/>
  <c r="H20" i="3" s="1"/>
  <c r="H57" i="3" s="1"/>
  <c r="H78" i="3" s="1"/>
  <c r="G16" i="3"/>
  <c r="G18" i="3" s="1"/>
  <c r="G20" i="3" s="1"/>
  <c r="G57" i="3" s="1"/>
  <c r="G78" i="3" s="1"/>
  <c r="F16" i="3"/>
  <c r="F18" i="3" s="1"/>
  <c r="F20" i="3" s="1"/>
  <c r="F57" i="3" s="1"/>
  <c r="F78" i="3" s="1"/>
  <c r="E16" i="3"/>
  <c r="E18" i="3" s="1"/>
  <c r="E20" i="3" s="1"/>
  <c r="E57" i="3" s="1"/>
  <c r="E78" i="3" s="1"/>
  <c r="J15" i="3"/>
  <c r="K14" i="3"/>
  <c r="J14" i="3" s="1"/>
  <c r="I906" i="1" s="1"/>
  <c r="I177" i="1" s="1"/>
  <c r="D14" i="3"/>
  <c r="K13" i="3"/>
  <c r="D13" i="3"/>
  <c r="K12" i="3"/>
  <c r="J12" i="3" s="1"/>
  <c r="I904" i="1" s="1"/>
  <c r="I175" i="1" s="1"/>
  <c r="D12" i="3"/>
  <c r="K11" i="3"/>
  <c r="D11" i="3"/>
  <c r="K10" i="3"/>
  <c r="D10" i="3"/>
  <c r="I385" i="2"/>
  <c r="I384" i="2"/>
  <c r="I383" i="2"/>
  <c r="K339" i="2"/>
  <c r="G339" i="2"/>
  <c r="H339" i="2"/>
  <c r="F339" i="2"/>
  <c r="E339" i="2"/>
  <c r="H278" i="2"/>
  <c r="H287" i="2"/>
  <c r="H295" i="2"/>
  <c r="H309" i="2"/>
  <c r="H311" i="2" s="1"/>
  <c r="H319" i="2"/>
  <c r="H327" i="2"/>
  <c r="G278" i="2"/>
  <c r="G287" i="2"/>
  <c r="G295" i="2"/>
  <c r="G309" i="2"/>
  <c r="G311" i="2" s="1"/>
  <c r="G319" i="2"/>
  <c r="G327" i="2"/>
  <c r="F278" i="2"/>
  <c r="F287" i="2"/>
  <c r="F295" i="2"/>
  <c r="F309" i="2"/>
  <c r="F311" i="2" s="1"/>
  <c r="F319" i="2"/>
  <c r="F327" i="2"/>
  <c r="E278" i="2"/>
  <c r="E287" i="2"/>
  <c r="E295" i="2"/>
  <c r="E309" i="2"/>
  <c r="E311" i="2" s="1"/>
  <c r="E319" i="2"/>
  <c r="E327" i="2"/>
  <c r="N259" i="2"/>
  <c r="M259" i="2"/>
  <c r="H259" i="2"/>
  <c r="G259" i="2"/>
  <c r="F259" i="2"/>
  <c r="E259" i="2"/>
  <c r="L162" i="2"/>
  <c r="L164" i="2" s="1"/>
  <c r="L166" i="2" s="1"/>
  <c r="H214" i="2"/>
  <c r="H230" i="2"/>
  <c r="H234" i="2"/>
  <c r="H239" i="2"/>
  <c r="H184" i="2"/>
  <c r="H193" i="2"/>
  <c r="H201" i="2"/>
  <c r="H249" i="2"/>
  <c r="G184" i="2"/>
  <c r="G193" i="2"/>
  <c r="G201" i="2"/>
  <c r="G214" i="2"/>
  <c r="G222" i="2"/>
  <c r="G242" i="2"/>
  <c r="G249" i="2"/>
  <c r="F162" i="2"/>
  <c r="F164" i="2" s="1"/>
  <c r="F166" i="2" s="1"/>
  <c r="F184" i="2"/>
  <c r="F193" i="2"/>
  <c r="F201" i="2"/>
  <c r="F214" i="2"/>
  <c r="F222" i="2"/>
  <c r="F242" i="2"/>
  <c r="F249" i="2"/>
  <c r="E184" i="2"/>
  <c r="E193" i="2"/>
  <c r="E201" i="2"/>
  <c r="E214" i="2"/>
  <c r="E222" i="2"/>
  <c r="E242" i="2"/>
  <c r="E249" i="2"/>
  <c r="I239" i="2"/>
  <c r="I234" i="2"/>
  <c r="I230" i="2"/>
  <c r="J195" i="2"/>
  <c r="I679" i="1" s="1"/>
  <c r="J186" i="2"/>
  <c r="I670" i="1" s="1"/>
  <c r="J171" i="2"/>
  <c r="I655" i="1" s="1"/>
  <c r="J170" i="2"/>
  <c r="I654" i="1" s="1"/>
  <c r="J169" i="2"/>
  <c r="I653" i="1" s="1"/>
  <c r="J168" i="2"/>
  <c r="I652" i="1" s="1"/>
  <c r="J158" i="2"/>
  <c r="I642" i="1" s="1"/>
  <c r="J156" i="2"/>
  <c r="I640" i="1" s="1"/>
  <c r="J154" i="2"/>
  <c r="I638" i="1" s="1"/>
  <c r="N152" i="2"/>
  <c r="M152" i="2"/>
  <c r="L152" i="2"/>
  <c r="H152" i="2"/>
  <c r="G152" i="2"/>
  <c r="F152" i="2"/>
  <c r="E152" i="2"/>
  <c r="J147" i="2"/>
  <c r="H9" i="2"/>
  <c r="H11" i="2" s="1"/>
  <c r="H13" i="2" s="1"/>
  <c r="H66" i="2"/>
  <c r="H26" i="2"/>
  <c r="H28" i="2" s="1"/>
  <c r="H30" i="2" s="1"/>
  <c r="H86" i="2"/>
  <c r="H95" i="2"/>
  <c r="H108" i="2"/>
  <c r="H119" i="2"/>
  <c r="H127" i="2"/>
  <c r="H141" i="2"/>
  <c r="G9" i="2"/>
  <c r="G11" i="2" s="1"/>
  <c r="G13" i="2" s="1"/>
  <c r="G26" i="2"/>
  <c r="G28" i="2" s="1"/>
  <c r="G30" i="2" s="1"/>
  <c r="G48" i="2"/>
  <c r="G57" i="2"/>
  <c r="G66" i="2"/>
  <c r="G78" i="2"/>
  <c r="G86" i="2"/>
  <c r="G111" i="2"/>
  <c r="G119" i="2"/>
  <c r="G127" i="2"/>
  <c r="G141" i="2"/>
  <c r="F9" i="2"/>
  <c r="F11" i="2" s="1"/>
  <c r="F13" i="2" s="1"/>
  <c r="F26" i="2"/>
  <c r="F28" i="2" s="1"/>
  <c r="F30" i="2" s="1"/>
  <c r="F48" i="2"/>
  <c r="F57" i="2"/>
  <c r="F66" i="2"/>
  <c r="F78" i="2"/>
  <c r="F86" i="2"/>
  <c r="F111" i="2"/>
  <c r="F119" i="2"/>
  <c r="F127" i="2"/>
  <c r="F141" i="2"/>
  <c r="E9" i="2"/>
  <c r="E11" i="2" s="1"/>
  <c r="E13" i="2" s="1"/>
  <c r="E26" i="2"/>
  <c r="E28" i="2" s="1"/>
  <c r="E30" i="2" s="1"/>
  <c r="E48" i="2"/>
  <c r="E57" i="2"/>
  <c r="E66" i="2"/>
  <c r="E78" i="2"/>
  <c r="E86" i="2"/>
  <c r="E111" i="2"/>
  <c r="E119" i="2"/>
  <c r="E127" i="2"/>
  <c r="E141" i="2"/>
  <c r="D9" i="2"/>
  <c r="D11" i="2" s="1"/>
  <c r="D13" i="2" s="1"/>
  <c r="J129" i="2"/>
  <c r="I613" i="1" s="1"/>
  <c r="J126" i="2"/>
  <c r="I610" i="1" s="1"/>
  <c r="J122" i="2"/>
  <c r="I606" i="1" s="1"/>
  <c r="J121" i="2"/>
  <c r="I605" i="1" s="1"/>
  <c r="J120" i="2"/>
  <c r="I604" i="1" s="1"/>
  <c r="J118" i="2"/>
  <c r="I602" i="1" s="1"/>
  <c r="J114" i="2"/>
  <c r="I598" i="1" s="1"/>
  <c r="J113" i="2"/>
  <c r="I597" i="1" s="1"/>
  <c r="J112" i="2"/>
  <c r="I596" i="1" s="1"/>
  <c r="I95" i="2"/>
  <c r="I108" i="2"/>
  <c r="J91" i="2"/>
  <c r="I575" i="1" s="1"/>
  <c r="J90" i="2"/>
  <c r="I574" i="1" s="1"/>
  <c r="J89" i="2"/>
  <c r="I573" i="1" s="1"/>
  <c r="J87" i="2"/>
  <c r="I571" i="1" s="1"/>
  <c r="J85" i="2"/>
  <c r="I569" i="1" s="1"/>
  <c r="J81" i="2"/>
  <c r="I565" i="1" s="1"/>
  <c r="J80" i="2"/>
  <c r="I564" i="1" s="1"/>
  <c r="J79" i="2"/>
  <c r="I563" i="1" s="1"/>
  <c r="J77" i="2"/>
  <c r="I561" i="1" s="1"/>
  <c r="J75" i="2"/>
  <c r="I559" i="1" s="1"/>
  <c r="J74" i="2"/>
  <c r="I558" i="1" s="1"/>
  <c r="J73" i="2"/>
  <c r="I557" i="1" s="1"/>
  <c r="J72" i="2"/>
  <c r="I556" i="1" s="1"/>
  <c r="J71" i="2"/>
  <c r="I555" i="1" s="1"/>
  <c r="J69" i="2"/>
  <c r="I553" i="1" s="1"/>
  <c r="J67" i="2"/>
  <c r="I551" i="1" s="1"/>
  <c r="J65" i="2"/>
  <c r="I549" i="1" s="1"/>
  <c r="I40" i="2"/>
  <c r="I35" i="2"/>
  <c r="I23" i="2"/>
  <c r="I9" i="2"/>
  <c r="I11" i="2" s="1"/>
  <c r="I13" i="2" s="1"/>
  <c r="I412" i="2" s="1"/>
  <c r="I3496" i="1"/>
  <c r="I3494" i="1"/>
  <c r="I3489" i="1"/>
  <c r="I3488" i="1"/>
  <c r="I3487" i="1"/>
  <c r="I3485" i="1"/>
  <c r="I3483" i="1"/>
  <c r="I3477" i="1"/>
  <c r="I3476" i="1"/>
  <c r="I3475" i="1"/>
  <c r="I3468" i="1"/>
  <c r="I3467" i="1"/>
  <c r="I3466" i="1"/>
  <c r="I3456" i="1"/>
  <c r="I3455" i="1"/>
  <c r="I3454" i="1"/>
  <c r="I3453" i="1"/>
  <c r="I3452" i="1"/>
  <c r="I3451" i="1"/>
  <c r="I3449" i="1"/>
  <c r="I3447" i="1"/>
  <c r="I3443" i="1"/>
  <c r="I3442" i="1"/>
  <c r="I3441" i="1"/>
  <c r="I3437" i="1"/>
  <c r="I3436" i="1"/>
  <c r="I3435" i="1"/>
  <c r="I3431" i="1"/>
  <c r="I3430" i="1"/>
  <c r="I3429" i="1"/>
  <c r="I3428" i="1"/>
  <c r="I3427" i="1"/>
  <c r="I3426" i="1"/>
  <c r="I3424" i="1"/>
  <c r="I3422" i="1"/>
  <c r="I3403" i="1"/>
  <c r="I3402" i="1"/>
  <c r="I3401" i="1"/>
  <c r="I3399" i="1"/>
  <c r="I3397" i="1"/>
  <c r="I3391" i="1"/>
  <c r="I3389" i="1"/>
  <c r="I3382" i="1"/>
  <c r="I3381" i="1"/>
  <c r="I3380" i="1"/>
  <c r="I3366" i="1"/>
  <c r="I3365" i="1"/>
  <c r="I3364" i="1"/>
  <c r="I3363" i="1"/>
  <c r="I3362" i="1"/>
  <c r="I3361" i="1"/>
  <c r="I3359" i="1"/>
  <c r="I3357" i="1"/>
  <c r="I3353" i="1"/>
  <c r="I3352" i="1"/>
  <c r="I3351" i="1"/>
  <c r="I3347" i="1"/>
  <c r="I3346" i="1"/>
  <c r="I3345" i="1"/>
  <c r="I3341" i="1"/>
  <c r="I3340" i="1"/>
  <c r="I3339" i="1"/>
  <c r="L3337" i="1"/>
  <c r="K3337" i="1"/>
  <c r="J3337" i="1"/>
  <c r="I3337" i="1"/>
  <c r="I3334" i="1"/>
  <c r="I3333" i="1"/>
  <c r="I3332" i="1"/>
  <c r="I3331" i="1"/>
  <c r="I3330" i="1"/>
  <c r="I3318" i="1"/>
  <c r="I3317" i="1"/>
  <c r="I3316" i="1"/>
  <c r="I3314" i="1"/>
  <c r="I3312" i="1"/>
  <c r="I3304" i="1"/>
  <c r="I3303" i="1"/>
  <c r="I3302" i="1"/>
  <c r="I3298" i="1"/>
  <c r="I3297" i="1"/>
  <c r="I3296" i="1"/>
  <c r="I3290" i="1"/>
  <c r="I3289" i="1"/>
  <c r="I3288" i="1"/>
  <c r="I3286" i="1"/>
  <c r="I3282" i="1"/>
  <c r="I3281" i="1"/>
  <c r="I3280" i="1"/>
  <c r="I3279" i="1"/>
  <c r="I3275" i="1"/>
  <c r="I3274" i="1"/>
  <c r="I3273" i="1"/>
  <c r="I3272" i="1"/>
  <c r="I3271" i="1"/>
  <c r="I3269" i="1"/>
  <c r="I3267" i="1"/>
  <c r="I3261" i="1"/>
  <c r="I3260" i="1"/>
  <c r="I3259" i="1"/>
  <c r="I3252" i="1"/>
  <c r="I3251" i="1"/>
  <c r="I3250" i="1"/>
  <c r="I3236" i="1"/>
  <c r="I3235" i="1"/>
  <c r="I3234" i="1"/>
  <c r="I3233" i="1"/>
  <c r="I3232" i="1"/>
  <c r="I3231" i="1"/>
  <c r="I3229" i="1"/>
  <c r="I3227" i="1"/>
  <c r="I3226" i="1"/>
  <c r="I3225" i="1"/>
  <c r="I3221" i="1"/>
  <c r="I3220" i="1"/>
  <c r="I3219" i="1"/>
  <c r="I3210" i="1"/>
  <c r="I3209" i="1"/>
  <c r="I3208" i="1"/>
  <c r="I3207" i="1"/>
  <c r="I3206" i="1"/>
  <c r="I3203" i="1"/>
  <c r="I3191" i="1"/>
  <c r="I3190" i="1"/>
  <c r="I3189" i="1"/>
  <c r="I3188" i="1"/>
  <c r="I3187" i="1"/>
  <c r="I3186" i="1"/>
  <c r="I3184" i="1"/>
  <c r="I3182" i="1"/>
  <c r="I3176" i="1"/>
  <c r="I3175" i="1"/>
  <c r="I3174" i="1"/>
  <c r="I3169" i="1"/>
  <c r="I3168" i="1"/>
  <c r="I3167" i="1"/>
  <c r="I3165" i="1"/>
  <c r="I3160" i="1"/>
  <c r="I3159" i="1"/>
  <c r="I3158" i="1"/>
  <c r="I3157" i="1"/>
  <c r="I3156" i="1"/>
  <c r="I3154" i="1"/>
  <c r="I3152" i="1"/>
  <c r="I3148" i="1"/>
  <c r="I3147" i="1"/>
  <c r="I3146" i="1"/>
  <c r="I3141" i="1"/>
  <c r="I3140" i="1"/>
  <c r="I3139" i="1"/>
  <c r="I3138" i="1"/>
  <c r="I3137" i="1"/>
  <c r="I3136" i="1"/>
  <c r="I3134" i="1"/>
  <c r="I3130" i="1"/>
  <c r="I3126" i="1"/>
  <c r="I3125" i="1"/>
  <c r="I3124" i="1"/>
  <c r="I3120" i="1"/>
  <c r="I3119" i="1"/>
  <c r="I3118" i="1"/>
  <c r="I3117" i="1"/>
  <c r="I3116" i="1"/>
  <c r="I3115" i="1"/>
  <c r="I3114" i="1"/>
  <c r="I3092" i="1"/>
  <c r="I3091" i="1"/>
  <c r="I3090" i="1"/>
  <c r="I3088" i="1"/>
  <c r="I3086" i="1"/>
  <c r="I3075" i="1"/>
  <c r="I3074" i="1"/>
  <c r="I3073" i="1"/>
  <c r="I3069" i="1"/>
  <c r="I3068" i="1"/>
  <c r="I3067" i="1"/>
  <c r="I3061" i="1"/>
  <c r="I3060" i="1"/>
  <c r="I3059" i="1"/>
  <c r="I3057" i="1"/>
  <c r="I3051" i="1"/>
  <c r="I3050" i="1"/>
  <c r="I3049" i="1"/>
  <c r="I3048" i="1"/>
  <c r="I3047" i="1"/>
  <c r="I3045" i="1"/>
  <c r="I3043" i="1"/>
  <c r="I3037" i="1"/>
  <c r="I3036" i="1"/>
  <c r="I3035" i="1"/>
  <c r="I3028" i="1"/>
  <c r="I3027" i="1"/>
  <c r="I3026" i="1"/>
  <c r="I3014" i="1"/>
  <c r="I3013" i="1"/>
  <c r="I3012" i="1"/>
  <c r="I3011" i="1"/>
  <c r="I3010" i="1"/>
  <c r="I3009" i="1"/>
  <c r="I3008" i="1"/>
  <c r="I3006" i="1"/>
  <c r="I3004" i="1"/>
  <c r="I3000" i="1"/>
  <c r="I2999" i="1"/>
  <c r="I2998" i="1"/>
  <c r="I2989" i="1"/>
  <c r="I2988" i="1"/>
  <c r="I2987" i="1"/>
  <c r="I2985" i="1"/>
  <c r="I2983" i="1"/>
  <c r="I2979" i="1"/>
  <c r="I2978" i="1"/>
  <c r="I2977" i="1"/>
  <c r="I2976" i="1"/>
  <c r="I2974" i="1"/>
  <c r="I2972" i="1"/>
  <c r="I2963" i="1"/>
  <c r="I2956" i="1"/>
  <c r="I2954" i="1"/>
  <c r="I2952" i="1"/>
  <c r="I2947" i="1"/>
  <c r="I2946" i="1"/>
  <c r="I2945" i="1"/>
  <c r="L2943" i="1"/>
  <c r="K2943" i="1"/>
  <c r="J2943" i="1"/>
  <c r="I2943" i="1"/>
  <c r="I2935" i="1"/>
  <c r="I2933" i="1"/>
  <c r="I2925" i="1"/>
  <c r="I2923" i="1"/>
  <c r="I2921" i="1"/>
  <c r="I2919" i="1"/>
  <c r="I2913" i="1"/>
  <c r="I2911" i="1"/>
  <c r="I2904" i="1"/>
  <c r="I2902" i="1"/>
  <c r="I2890" i="1"/>
  <c r="I2885" i="1"/>
  <c r="I2883" i="1"/>
  <c r="J2881" i="1"/>
  <c r="I2881" i="1"/>
  <c r="I2877" i="1"/>
  <c r="I2875" i="1"/>
  <c r="I2869" i="1"/>
  <c r="I2865" i="1"/>
  <c r="I2863" i="1"/>
  <c r="I2861" i="1"/>
  <c r="I2859" i="1"/>
  <c r="L2857" i="1"/>
  <c r="K2857" i="1"/>
  <c r="J2857" i="1"/>
  <c r="I2857" i="1"/>
  <c r="I2855" i="1"/>
  <c r="I2853" i="1"/>
  <c r="I2849" i="1"/>
  <c r="I2847" i="1"/>
  <c r="I2845" i="1"/>
  <c r="I2841" i="1"/>
  <c r="I2838" i="1"/>
  <c r="I2836" i="1"/>
  <c r="I2834" i="1"/>
  <c r="I2828" i="1"/>
  <c r="I2826" i="1"/>
  <c r="I2819" i="1"/>
  <c r="I2817" i="1"/>
  <c r="I2807" i="1"/>
  <c r="I2802" i="1"/>
  <c r="I2800" i="1"/>
  <c r="I2798" i="1"/>
  <c r="I2794" i="1"/>
  <c r="I2790" i="1"/>
  <c r="I2786" i="1"/>
  <c r="I2784" i="1"/>
  <c r="I2782" i="1"/>
  <c r="I2780" i="1"/>
  <c r="I2771" i="1"/>
  <c r="I2769" i="1"/>
  <c r="I2764" i="1"/>
  <c r="I2762" i="1"/>
  <c r="I2760" i="1"/>
  <c r="I2756" i="1"/>
  <c r="I2753" i="1"/>
  <c r="I2751" i="1"/>
  <c r="I2749" i="1"/>
  <c r="I2743" i="1"/>
  <c r="I2741" i="1"/>
  <c r="I2734" i="1"/>
  <c r="I2732" i="1"/>
  <c r="I2718" i="1"/>
  <c r="I2713" i="1"/>
  <c r="I2711" i="1"/>
  <c r="I2709" i="1"/>
  <c r="I2705" i="1"/>
  <c r="I2704" i="1"/>
  <c r="I2703" i="1"/>
  <c r="I2702" i="1"/>
  <c r="I2700" i="1"/>
  <c r="I2695" i="1"/>
  <c r="I2694" i="1"/>
  <c r="I2693" i="1"/>
  <c r="I2692" i="1"/>
  <c r="I2691" i="1"/>
  <c r="I2690" i="1"/>
  <c r="I2683" i="1"/>
  <c r="I2682" i="1"/>
  <c r="I2681" i="1"/>
  <c r="I2679" i="1"/>
  <c r="I2677" i="1"/>
  <c r="I2669" i="1"/>
  <c r="I2667" i="1"/>
  <c r="I2660" i="1"/>
  <c r="I2659" i="1"/>
  <c r="I2658" i="1"/>
  <c r="I2656" i="1"/>
  <c r="I2651" i="1"/>
  <c r="I2649" i="1"/>
  <c r="I2645" i="1"/>
  <c r="I2643" i="1"/>
  <c r="I2639" i="1"/>
  <c r="I2636" i="1"/>
  <c r="I2634" i="1"/>
  <c r="I2632" i="1"/>
  <c r="I2626" i="1"/>
  <c r="I2625" i="1"/>
  <c r="I2624" i="1"/>
  <c r="I2617" i="1"/>
  <c r="I2616" i="1"/>
  <c r="I2615" i="1"/>
  <c r="I2602" i="1"/>
  <c r="I2601" i="1"/>
  <c r="I2600" i="1"/>
  <c r="I2599" i="1"/>
  <c r="I2598" i="1"/>
  <c r="I2597" i="1"/>
  <c r="I2595" i="1"/>
  <c r="I2593" i="1"/>
  <c r="I2589" i="1"/>
  <c r="I2587" i="1"/>
  <c r="I2583" i="1"/>
  <c r="I2581" i="1"/>
  <c r="I2577" i="1"/>
  <c r="I2576" i="1"/>
  <c r="I2575" i="1"/>
  <c r="I2574" i="1"/>
  <c r="I2573" i="1"/>
  <c r="I2571" i="1"/>
  <c r="I2567" i="1"/>
  <c r="I2566" i="1"/>
  <c r="I2565" i="1"/>
  <c r="I2564" i="1"/>
  <c r="I2563" i="1"/>
  <c r="I2562" i="1"/>
  <c r="I2560" i="1"/>
  <c r="I2558" i="1"/>
  <c r="I2553" i="1"/>
  <c r="I2552" i="1"/>
  <c r="I2551" i="1"/>
  <c r="I2547" i="1"/>
  <c r="I2546" i="1"/>
  <c r="I2545" i="1"/>
  <c r="I2543" i="1"/>
  <c r="I2541" i="1"/>
  <c r="I2535" i="1"/>
  <c r="I2534" i="1"/>
  <c r="I2533" i="1"/>
  <c r="I2526" i="1"/>
  <c r="I2525" i="1"/>
  <c r="I2524" i="1"/>
  <c r="I2514" i="1"/>
  <c r="I2513" i="1"/>
  <c r="I2512" i="1"/>
  <c r="I2511" i="1"/>
  <c r="I2510" i="1"/>
  <c r="I2509" i="1"/>
  <c r="I2508" i="1"/>
  <c r="I2506" i="1"/>
  <c r="I2504" i="1"/>
  <c r="I2493" i="1"/>
  <c r="I2492" i="1"/>
  <c r="I2491" i="1"/>
  <c r="I2486" i="1"/>
  <c r="I2485" i="1"/>
  <c r="I2484" i="1"/>
  <c r="I2472" i="1"/>
  <c r="I2471" i="1"/>
  <c r="I2470" i="1"/>
  <c r="I2468" i="1"/>
  <c r="I2464" i="1"/>
  <c r="I2463" i="1"/>
  <c r="I2462" i="1"/>
  <c r="I2460" i="1"/>
  <c r="I2458" i="1"/>
  <c r="I2452" i="1"/>
  <c r="I2451" i="1"/>
  <c r="I2450" i="1"/>
  <c r="I2443" i="1"/>
  <c r="I2442" i="1"/>
  <c r="I2441" i="1"/>
  <c r="I2432" i="1"/>
  <c r="I2431" i="1"/>
  <c r="I2430" i="1"/>
  <c r="I2429" i="1"/>
  <c r="I2428" i="1"/>
  <c r="I2426" i="1"/>
  <c r="I2424" i="1"/>
  <c r="I2415" i="1"/>
  <c r="I2414" i="1"/>
  <c r="I2413" i="1"/>
  <c r="I2412" i="1"/>
  <c r="I2411" i="1"/>
  <c r="I2410" i="1"/>
  <c r="I2409" i="1"/>
  <c r="I2407" i="1"/>
  <c r="I2405" i="1"/>
  <c r="I2395" i="1"/>
  <c r="I2393" i="1"/>
  <c r="I2388" i="1"/>
  <c r="I2387" i="1"/>
  <c r="I2386" i="1"/>
  <c r="I2382" i="1"/>
  <c r="I2381" i="1"/>
  <c r="I2380" i="1"/>
  <c r="I2373" i="1"/>
  <c r="I2372" i="1"/>
  <c r="I2371" i="1"/>
  <c r="I2369" i="1"/>
  <c r="I2367" i="1"/>
  <c r="I2361" i="1"/>
  <c r="I2360" i="1"/>
  <c r="I2359" i="1"/>
  <c r="I2352" i="1"/>
  <c r="I2351" i="1"/>
  <c r="I2350" i="1"/>
  <c r="I2335" i="1"/>
  <c r="I2334" i="1"/>
  <c r="I2333" i="1"/>
  <c r="I2332" i="1"/>
  <c r="I2331" i="1"/>
  <c r="I2330" i="1"/>
  <c r="I2329" i="1"/>
  <c r="I2327" i="1"/>
  <c r="I2325" i="1"/>
  <c r="I2320" i="1"/>
  <c r="I2319" i="1"/>
  <c r="I2318" i="1"/>
  <c r="I2314" i="1"/>
  <c r="I2313" i="1"/>
  <c r="I2312" i="1"/>
  <c r="I2306" i="1"/>
  <c r="I2305" i="1"/>
  <c r="I2304" i="1"/>
  <c r="I2302" i="1"/>
  <c r="I2298" i="1"/>
  <c r="I2297" i="1"/>
  <c r="I2296" i="1"/>
  <c r="I2295" i="1"/>
  <c r="I2294" i="1"/>
  <c r="I2292" i="1"/>
  <c r="I2290" i="1"/>
  <c r="I2284" i="1"/>
  <c r="I2283" i="1"/>
  <c r="I2282" i="1"/>
  <c r="I2274" i="1"/>
  <c r="I2273" i="1"/>
  <c r="I2272" i="1"/>
  <c r="I2257" i="1"/>
  <c r="I2251" i="1"/>
  <c r="I2247" i="1"/>
  <c r="I2246" i="1"/>
  <c r="I2245" i="1"/>
  <c r="I2243" i="1"/>
  <c r="I2241" i="1"/>
  <c r="I2234" i="1"/>
  <c r="I2233" i="1"/>
  <c r="I2232" i="1"/>
  <c r="I2228" i="1"/>
  <c r="I2227" i="1"/>
  <c r="I2226" i="1"/>
  <c r="I2219" i="1"/>
  <c r="I2218" i="1"/>
  <c r="I2217" i="1"/>
  <c r="I2215" i="1"/>
  <c r="I2210" i="1"/>
  <c r="I2209" i="1"/>
  <c r="I2208" i="1"/>
  <c r="I2201" i="1"/>
  <c r="I2200" i="1"/>
  <c r="I2199" i="1"/>
  <c r="I2198" i="1"/>
  <c r="I2197" i="1"/>
  <c r="I2195" i="1"/>
  <c r="I2193" i="1"/>
  <c r="I2187" i="1"/>
  <c r="I2186" i="1"/>
  <c r="I2185" i="1"/>
  <c r="I2177" i="1"/>
  <c r="I2176" i="1"/>
  <c r="I2175" i="1"/>
  <c r="I2160" i="1"/>
  <c r="I2159" i="1"/>
  <c r="I2158" i="1"/>
  <c r="I2157" i="1"/>
  <c r="I2156" i="1"/>
  <c r="I2155" i="1"/>
  <c r="I2153" i="1"/>
  <c r="I2151" i="1"/>
  <c r="I2150" i="1"/>
  <c r="I2149" i="1"/>
  <c r="I2145" i="1"/>
  <c r="I2144" i="1"/>
  <c r="I2143" i="1"/>
  <c r="I2139" i="1"/>
  <c r="I2135" i="1"/>
  <c r="I2131" i="1"/>
  <c r="I2130" i="1"/>
  <c r="I2129" i="1"/>
  <c r="I2127" i="1"/>
  <c r="I2125" i="1"/>
  <c r="I2119" i="1"/>
  <c r="I2118" i="1"/>
  <c r="I2117" i="1"/>
  <c r="I2115" i="1"/>
  <c r="L2113" i="1"/>
  <c r="K2113" i="1"/>
  <c r="J2113" i="1"/>
  <c r="I2113" i="1"/>
  <c r="L2112" i="1"/>
  <c r="K2112" i="1"/>
  <c r="J2112" i="1"/>
  <c r="I2112" i="1"/>
  <c r="L2111" i="1"/>
  <c r="K2111" i="1"/>
  <c r="J2111" i="1"/>
  <c r="I2111" i="1"/>
  <c r="I2106" i="1"/>
  <c r="I2105" i="1"/>
  <c r="I2104" i="1"/>
  <c r="I2102" i="1"/>
  <c r="I2100" i="1"/>
  <c r="I2094" i="1"/>
  <c r="I2093" i="1"/>
  <c r="I2092" i="1"/>
  <c r="I2085" i="1"/>
  <c r="I2084" i="1"/>
  <c r="I2083" i="1"/>
  <c r="I2069" i="1"/>
  <c r="I2068" i="1"/>
  <c r="I2067" i="1"/>
  <c r="I2066" i="1"/>
  <c r="I2065" i="1"/>
  <c r="I2064" i="1"/>
  <c r="I2062" i="1"/>
  <c r="I2060" i="1"/>
  <c r="I2059" i="1"/>
  <c r="I2058" i="1"/>
  <c r="I2054" i="1"/>
  <c r="I2053" i="1"/>
  <c r="I2052" i="1"/>
  <c r="I2051" i="1"/>
  <c r="I2050" i="1"/>
  <c r="I2049" i="1"/>
  <c r="I2047" i="1"/>
  <c r="L2045" i="1"/>
  <c r="K2045" i="1"/>
  <c r="J2045" i="1"/>
  <c r="I2045" i="1"/>
  <c r="L2044" i="1"/>
  <c r="L2043" i="1"/>
  <c r="K2043" i="1"/>
  <c r="J2043" i="1"/>
  <c r="I2043" i="1"/>
  <c r="I2039" i="1"/>
  <c r="I2038" i="1"/>
  <c r="I2037" i="1"/>
  <c r="I2036" i="1"/>
  <c r="I2035" i="1"/>
  <c r="I2034" i="1"/>
  <c r="I2032" i="1"/>
  <c r="I2030" i="1"/>
  <c r="I2020" i="1"/>
  <c r="I2019" i="1"/>
  <c r="I2018" i="1"/>
  <c r="I2016" i="1"/>
  <c r="I2012" i="1"/>
  <c r="I2011" i="1"/>
  <c r="I2010" i="1"/>
  <c r="I2006" i="1"/>
  <c r="I2005" i="1"/>
  <c r="I2004" i="1"/>
  <c r="I2000" i="1"/>
  <c r="I1999" i="1"/>
  <c r="I1998" i="1"/>
  <c r="I1997" i="1"/>
  <c r="I1996" i="1"/>
  <c r="I1994" i="1"/>
  <c r="I1992" i="1"/>
  <c r="I1985" i="1"/>
  <c r="I1984" i="1"/>
  <c r="I1983" i="1"/>
  <c r="I1976" i="1"/>
  <c r="I1975" i="1"/>
  <c r="I1974" i="1"/>
  <c r="I1964" i="1"/>
  <c r="I1963" i="1"/>
  <c r="I1962" i="1"/>
  <c r="I1961" i="1"/>
  <c r="I1959" i="1"/>
  <c r="I1957" i="1"/>
  <c r="I1948" i="1"/>
  <c r="I1947" i="1"/>
  <c r="I1946" i="1"/>
  <c r="I1945" i="1"/>
  <c r="I1944" i="1"/>
  <c r="I1943" i="1"/>
  <c r="I1942" i="1"/>
  <c r="I1940" i="1"/>
  <c r="I1938" i="1"/>
  <c r="I1934" i="1"/>
  <c r="I1933" i="1"/>
  <c r="I1932" i="1"/>
  <c r="I1928" i="1"/>
  <c r="I1927" i="1"/>
  <c r="I1926" i="1"/>
  <c r="I1925" i="1"/>
  <c r="I1924" i="1"/>
  <c r="I1923" i="1"/>
  <c r="I1922" i="1"/>
  <c r="I1920" i="1"/>
  <c r="I1918" i="1"/>
  <c r="I1913" i="1"/>
  <c r="I1912" i="1"/>
  <c r="I1911" i="1"/>
  <c r="I1910" i="1"/>
  <c r="I1909" i="1"/>
  <c r="I1905" i="1"/>
  <c r="I1904" i="1"/>
  <c r="I1903" i="1"/>
  <c r="I1883" i="1"/>
  <c r="I1881" i="1"/>
  <c r="I1875" i="1"/>
  <c r="I1874" i="1"/>
  <c r="I1873" i="1"/>
  <c r="I1869" i="1"/>
  <c r="I1863" i="1"/>
  <c r="I1862" i="1"/>
  <c r="I1861" i="1"/>
  <c r="I1860" i="1"/>
  <c r="I1859" i="1"/>
  <c r="I1857" i="1"/>
  <c r="I1853" i="1"/>
  <c r="I1852" i="1"/>
  <c r="I1851" i="1"/>
  <c r="I1847" i="1"/>
  <c r="I1846" i="1"/>
  <c r="I1845" i="1"/>
  <c r="I1844" i="1"/>
  <c r="I1843" i="1"/>
  <c r="I1842" i="1"/>
  <c r="I1841" i="1"/>
  <c r="I1840" i="1"/>
  <c r="I1838" i="1"/>
  <c r="I1836" i="1"/>
  <c r="I1830" i="1"/>
  <c r="I1829" i="1"/>
  <c r="I1828" i="1"/>
  <c r="I1826" i="1"/>
  <c r="I1824" i="1"/>
  <c r="I1818" i="1"/>
  <c r="I1817" i="1"/>
  <c r="I1816" i="1"/>
  <c r="I1810" i="1"/>
  <c r="I1809" i="1"/>
  <c r="I1808" i="1"/>
  <c r="I1807" i="1"/>
  <c r="I1806" i="1"/>
  <c r="I1804" i="1"/>
  <c r="I1802" i="1"/>
  <c r="I1798" i="1"/>
  <c r="I1797" i="1"/>
  <c r="I1796" i="1"/>
  <c r="I1795" i="1"/>
  <c r="I1794" i="1"/>
  <c r="I1793" i="1"/>
  <c r="I1792" i="1"/>
  <c r="I1791" i="1"/>
  <c r="I1790" i="1"/>
  <c r="I1788" i="1"/>
  <c r="I1786" i="1"/>
  <c r="I1779" i="1"/>
  <c r="I1778" i="1"/>
  <c r="I1777" i="1"/>
  <c r="I1775" i="1"/>
  <c r="I1773" i="1"/>
  <c r="I1767" i="1"/>
  <c r="I1766" i="1"/>
  <c r="I1765" i="1"/>
  <c r="I1759" i="1"/>
  <c r="I1758" i="1"/>
  <c r="I1757" i="1"/>
  <c r="I1756" i="1"/>
  <c r="I1755" i="1"/>
  <c r="I1753" i="1"/>
  <c r="I1751" i="1"/>
  <c r="I1747" i="1"/>
  <c r="I1746" i="1"/>
  <c r="I1745" i="1"/>
  <c r="I1744" i="1"/>
  <c r="I1743" i="1"/>
  <c r="I1742" i="1"/>
  <c r="I1741" i="1"/>
  <c r="I1740" i="1"/>
  <c r="I1738" i="1"/>
  <c r="I1736" i="1"/>
  <c r="I1729" i="1"/>
  <c r="I1728" i="1"/>
  <c r="I1727" i="1"/>
  <c r="I1725" i="1"/>
  <c r="I1723" i="1"/>
  <c r="I1717" i="1"/>
  <c r="I1716" i="1"/>
  <c r="I1715" i="1"/>
  <c r="I1709" i="1"/>
  <c r="I1708" i="1"/>
  <c r="I1707" i="1"/>
  <c r="I1706" i="1"/>
  <c r="I1705" i="1"/>
  <c r="I1703" i="1"/>
  <c r="I1701" i="1"/>
  <c r="I1694" i="1"/>
  <c r="I1693" i="1"/>
  <c r="I1692" i="1"/>
  <c r="I1683" i="1"/>
  <c r="I1682" i="1"/>
  <c r="I1681" i="1"/>
  <c r="I1680" i="1"/>
  <c r="I1679" i="1"/>
  <c r="I1678" i="1"/>
  <c r="I1677" i="1"/>
  <c r="I1675" i="1"/>
  <c r="I1673" i="1"/>
  <c r="I1671" i="1"/>
  <c r="I1669" i="1"/>
  <c r="I1668" i="1"/>
  <c r="I1667" i="1"/>
  <c r="I1665" i="1"/>
  <c r="I1659" i="1"/>
  <c r="I1658" i="1"/>
  <c r="I1657" i="1"/>
  <c r="I1656" i="1"/>
  <c r="I1655" i="1"/>
  <c r="I1654" i="1"/>
  <c r="I1653" i="1"/>
  <c r="I1651" i="1"/>
  <c r="I1649" i="1"/>
  <c r="I1639" i="1"/>
  <c r="I1638" i="1"/>
  <c r="I1637" i="1"/>
  <c r="I1635" i="1"/>
  <c r="I1625" i="1"/>
  <c r="I1624" i="1"/>
  <c r="I1623" i="1"/>
  <c r="I1622" i="1"/>
  <c r="I1621" i="1"/>
  <c r="I1619" i="1"/>
  <c r="I1617" i="1"/>
  <c r="L1615" i="1"/>
  <c r="K1615" i="1"/>
  <c r="J1615" i="1"/>
  <c r="I1615" i="1"/>
  <c r="L1612" i="1"/>
  <c r="K1612" i="1"/>
  <c r="J1612" i="1"/>
  <c r="I1611" i="1"/>
  <c r="I1610" i="1"/>
  <c r="I1609" i="1"/>
  <c r="I1603" i="1"/>
  <c r="I1602" i="1"/>
  <c r="I1601" i="1"/>
  <c r="I1600" i="1"/>
  <c r="I1599" i="1"/>
  <c r="I1597" i="1"/>
  <c r="I1595" i="1"/>
  <c r="I1589" i="1"/>
  <c r="I1588" i="1"/>
  <c r="I1587" i="1"/>
  <c r="I1580" i="1"/>
  <c r="I1579" i="1"/>
  <c r="I1578" i="1"/>
  <c r="I1556" i="1"/>
  <c r="I1554" i="1"/>
  <c r="I1549" i="1"/>
  <c r="I1548" i="1"/>
  <c r="I1547" i="1"/>
  <c r="I1540" i="1"/>
  <c r="I1539" i="1"/>
  <c r="I1538" i="1"/>
  <c r="I1536" i="1"/>
  <c r="I1535" i="1"/>
  <c r="I1534" i="1"/>
  <c r="I1530" i="1"/>
  <c r="I1529" i="1"/>
  <c r="I1528" i="1"/>
  <c r="I1527" i="1"/>
  <c r="I1526" i="1"/>
  <c r="I1524" i="1"/>
  <c r="I1522" i="1"/>
  <c r="I1516" i="1"/>
  <c r="I1515" i="1"/>
  <c r="I1514" i="1"/>
  <c r="I1506" i="1"/>
  <c r="I1505" i="1"/>
  <c r="I1504" i="1"/>
  <c r="I1491" i="1"/>
  <c r="I1490" i="1"/>
  <c r="I1489" i="1"/>
  <c r="I1488" i="1"/>
  <c r="I1487" i="1"/>
  <c r="I1486" i="1"/>
  <c r="I1485" i="1"/>
  <c r="I1484" i="1"/>
  <c r="H1482" i="1"/>
  <c r="H1480" i="1"/>
  <c r="H1479" i="1"/>
  <c r="I1476" i="1"/>
  <c r="I1474" i="1"/>
  <c r="I1469" i="1"/>
  <c r="I1468" i="1"/>
  <c r="I1467" i="1"/>
  <c r="I1465" i="1"/>
  <c r="I1464" i="1"/>
  <c r="I1463" i="1"/>
  <c r="I1459" i="1"/>
  <c r="I1458" i="1"/>
  <c r="I1457" i="1"/>
  <c r="I1456" i="1"/>
  <c r="I1455" i="1"/>
  <c r="I1453" i="1"/>
  <c r="I1451" i="1"/>
  <c r="I1445" i="1"/>
  <c r="I1444" i="1"/>
  <c r="I1443" i="1"/>
  <c r="I1436" i="1"/>
  <c r="I1435" i="1"/>
  <c r="I1434" i="1"/>
  <c r="I1422" i="1"/>
  <c r="I1421" i="1"/>
  <c r="I1420" i="1"/>
  <c r="I1419" i="1"/>
  <c r="I1418" i="1"/>
  <c r="I1414" i="1"/>
  <c r="I1408" i="1"/>
  <c r="I1406" i="1"/>
  <c r="I1398" i="1"/>
  <c r="I1397" i="1"/>
  <c r="I1396" i="1"/>
  <c r="I1394" i="1"/>
  <c r="I1392" i="1"/>
  <c r="I1386" i="1"/>
  <c r="I1385" i="1"/>
  <c r="I1384" i="1"/>
  <c r="I1377" i="1"/>
  <c r="I1376" i="1"/>
  <c r="I1375" i="1"/>
  <c r="I1364" i="1"/>
  <c r="I1363" i="1"/>
  <c r="I1362" i="1"/>
  <c r="I1361" i="1"/>
  <c r="I1360" i="1"/>
  <c r="I1359" i="1"/>
  <c r="I1358" i="1"/>
  <c r="I1357" i="1"/>
  <c r="I1355" i="1"/>
  <c r="I1350" i="1"/>
  <c r="I1349" i="1"/>
  <c r="I1348" i="1"/>
  <c r="I1346" i="1"/>
  <c r="I1342" i="1"/>
  <c r="I1341" i="1"/>
  <c r="I1340" i="1"/>
  <c r="I1336" i="1"/>
  <c r="I1335" i="1"/>
  <c r="I1334" i="1"/>
  <c r="I1333" i="1"/>
  <c r="I1332" i="1"/>
  <c r="I1330" i="1"/>
  <c r="I1328" i="1"/>
  <c r="I1322" i="1"/>
  <c r="I1321" i="1"/>
  <c r="I1320" i="1"/>
  <c r="I1313" i="1"/>
  <c r="I1312" i="1"/>
  <c r="I1311" i="1"/>
  <c r="I1299" i="1"/>
  <c r="I1298" i="1"/>
  <c r="I1297" i="1"/>
  <c r="I1296" i="1"/>
  <c r="I1295" i="1"/>
  <c r="I1294" i="1"/>
  <c r="I1293" i="1"/>
  <c r="I1291" i="1"/>
  <c r="I1289" i="1"/>
  <c r="I1277" i="1"/>
  <c r="I1276" i="1"/>
  <c r="I1275" i="1"/>
  <c r="I1263" i="1"/>
  <c r="I1262" i="1"/>
  <c r="I1261" i="1"/>
  <c r="I1259" i="1"/>
  <c r="I1258" i="1"/>
  <c r="I1257" i="1"/>
  <c r="I1256" i="1"/>
  <c r="I1255" i="1"/>
  <c r="I1251" i="1"/>
  <c r="I1250" i="1"/>
  <c r="I1249" i="1"/>
  <c r="I1248" i="1"/>
  <c r="I1246" i="1"/>
  <c r="I1244" i="1"/>
  <c r="I1238" i="1"/>
  <c r="I1237" i="1"/>
  <c r="I1236" i="1"/>
  <c r="I1229" i="1"/>
  <c r="I1228" i="1"/>
  <c r="I1227" i="1"/>
  <c r="I1215" i="1"/>
  <c r="I1213" i="1"/>
  <c r="I1211" i="1"/>
  <c r="I1209" i="1"/>
  <c r="I1207" i="1"/>
  <c r="I1190" i="1"/>
  <c r="I1188" i="1"/>
  <c r="I1186" i="1"/>
  <c r="I1180" i="1"/>
  <c r="I1179" i="1"/>
  <c r="I1178" i="1"/>
  <c r="I1171" i="1"/>
  <c r="I1170" i="1"/>
  <c r="I1169" i="1"/>
  <c r="I1160" i="1"/>
  <c r="I1159" i="1"/>
  <c r="I1158" i="1"/>
  <c r="I1157" i="1"/>
  <c r="I1156" i="1"/>
  <c r="I1155" i="1"/>
  <c r="I1154" i="1"/>
  <c r="I1152" i="1"/>
  <c r="I1145" i="1"/>
  <c r="I1144" i="1"/>
  <c r="I1143" i="1"/>
  <c r="I1138" i="1"/>
  <c r="I1137" i="1"/>
  <c r="I1136" i="1"/>
  <c r="I1134" i="1"/>
  <c r="I1132" i="1"/>
  <c r="I1126" i="1"/>
  <c r="I1125" i="1"/>
  <c r="I1124" i="1"/>
  <c r="I1117" i="1"/>
  <c r="I1116" i="1"/>
  <c r="I1115" i="1"/>
  <c r="I1103" i="1"/>
  <c r="I1102" i="1"/>
  <c r="I1101" i="1"/>
  <c r="I1100" i="1"/>
  <c r="I1099" i="1"/>
  <c r="I1098" i="1"/>
  <c r="I1096" i="1"/>
  <c r="I1094" i="1"/>
  <c r="I1080" i="1"/>
  <c r="I1079" i="1"/>
  <c r="I1078" i="1"/>
  <c r="I1077" i="1"/>
  <c r="I1076" i="1"/>
  <c r="I1074" i="1"/>
  <c r="I1070" i="1"/>
  <c r="I1069" i="1"/>
  <c r="I1068" i="1"/>
  <c r="I1060" i="1"/>
  <c r="I1059" i="1"/>
  <c r="I1058" i="1"/>
  <c r="I1056" i="1"/>
  <c r="I1052" i="1"/>
  <c r="I1051" i="1"/>
  <c r="I1050" i="1"/>
  <c r="I1040" i="1"/>
  <c r="I1039" i="1"/>
  <c r="I1038" i="1"/>
  <c r="I1034" i="1"/>
  <c r="I1033" i="1"/>
  <c r="I1031" i="1"/>
  <c r="I1030" i="1"/>
  <c r="I1028" i="1"/>
  <c r="I1026" i="1"/>
  <c r="I1019" i="1"/>
  <c r="I1018" i="1"/>
  <c r="I1011" i="1"/>
  <c r="I1009" i="1"/>
  <c r="I997" i="1"/>
  <c r="I996" i="1"/>
  <c r="I995" i="1"/>
  <c r="I994" i="1"/>
  <c r="I993" i="1"/>
  <c r="I992" i="1"/>
  <c r="I990" i="1"/>
  <c r="I986" i="1"/>
  <c r="I985" i="1"/>
  <c r="I984" i="1"/>
  <c r="I982" i="1"/>
  <c r="I971" i="1"/>
  <c r="I946" i="1"/>
  <c r="I911" i="1"/>
  <c r="I909" i="1"/>
  <c r="I892" i="1"/>
  <c r="I890" i="1"/>
  <c r="I877" i="1"/>
  <c r="I876" i="1"/>
  <c r="I875" i="1"/>
  <c r="I866" i="1"/>
  <c r="I865" i="1"/>
  <c r="I864" i="1"/>
  <c r="I862" i="1"/>
  <c r="I860" i="1"/>
  <c r="I854" i="1"/>
  <c r="I853" i="1"/>
  <c r="I852" i="1"/>
  <c r="I845" i="1"/>
  <c r="I844" i="1"/>
  <c r="I843" i="1"/>
  <c r="I830" i="1"/>
  <c r="I829" i="1"/>
  <c r="I828" i="1"/>
  <c r="I827" i="1"/>
  <c r="I826" i="1"/>
  <c r="I825" i="1"/>
  <c r="I824" i="1"/>
  <c r="I818" i="1"/>
  <c r="I817" i="1"/>
  <c r="I816" i="1"/>
  <c r="I814" i="1"/>
  <c r="I812" i="1"/>
  <c r="I806" i="1"/>
  <c r="I805" i="1"/>
  <c r="I804" i="1"/>
  <c r="I798" i="1"/>
  <c r="I797" i="1"/>
  <c r="I796" i="1"/>
  <c r="I794" i="1"/>
  <c r="I788" i="1"/>
  <c r="I787" i="1"/>
  <c r="I786" i="1"/>
  <c r="I785" i="1"/>
  <c r="I784" i="1"/>
  <c r="I782" i="1"/>
  <c r="I780" i="1"/>
  <c r="I774" i="1"/>
  <c r="I773" i="1"/>
  <c r="I772" i="1"/>
  <c r="I765" i="1"/>
  <c r="I764" i="1"/>
  <c r="I763" i="1"/>
  <c r="I751" i="1"/>
  <c r="I750" i="1"/>
  <c r="I749" i="1"/>
  <c r="I748" i="1"/>
  <c r="I747" i="1"/>
  <c r="I746" i="1"/>
  <c r="I745" i="1"/>
  <c r="I744" i="1"/>
  <c r="I740" i="1"/>
  <c r="I739" i="1"/>
  <c r="I738" i="1"/>
  <c r="I736" i="1"/>
  <c r="I734" i="1"/>
  <c r="I729" i="1"/>
  <c r="I728" i="1"/>
  <c r="I727" i="1"/>
  <c r="I711" i="1"/>
  <c r="I710" i="1"/>
  <c r="I709" i="1"/>
  <c r="I707" i="1"/>
  <c r="I701" i="1"/>
  <c r="I700" i="1"/>
  <c r="I699" i="1"/>
  <c r="I694" i="1"/>
  <c r="I693" i="1"/>
  <c r="I692" i="1"/>
  <c r="I691" i="1"/>
  <c r="I690" i="1"/>
  <c r="I688" i="1"/>
  <c r="I686" i="1"/>
  <c r="I680" i="1"/>
  <c r="I678" i="1"/>
  <c r="I671" i="1"/>
  <c r="I669" i="1"/>
  <c r="I656" i="1"/>
  <c r="I651" i="1"/>
  <c r="I649" i="1"/>
  <c r="I647" i="1"/>
  <c r="I643" i="1"/>
  <c r="I641" i="1"/>
  <c r="I639" i="1"/>
  <c r="I637" i="1"/>
  <c r="I631" i="1"/>
  <c r="I630" i="1"/>
  <c r="N570" i="1"/>
  <c r="I628" i="1"/>
  <c r="O590" i="1"/>
  <c r="M570" i="1"/>
  <c r="I531" i="1"/>
  <c r="I540" i="1"/>
  <c r="I509" i="1"/>
  <c r="I594" i="1"/>
  <c r="I624" i="1"/>
  <c r="I626" i="1"/>
  <c r="I614" i="1"/>
  <c r="I612" i="1"/>
  <c r="G547" i="1"/>
  <c r="F547" i="1"/>
  <c r="E547" i="1"/>
  <c r="D547" i="1"/>
  <c r="I544" i="1"/>
  <c r="I543" i="1"/>
  <c r="I542" i="1"/>
  <c r="I535" i="1"/>
  <c r="I534" i="1"/>
  <c r="I533" i="1"/>
  <c r="I517" i="1"/>
  <c r="I516" i="1"/>
  <c r="I515" i="1"/>
  <c r="I513" i="1"/>
  <c r="I511" i="1"/>
  <c r="G503" i="1"/>
  <c r="F503" i="1"/>
  <c r="E503" i="1"/>
  <c r="D503" i="1"/>
  <c r="I502" i="1"/>
  <c r="I501" i="1"/>
  <c r="I500" i="1"/>
  <c r="I499" i="1"/>
  <c r="I497" i="1"/>
  <c r="I495" i="1"/>
  <c r="I493" i="1"/>
  <c r="N470" i="1"/>
  <c r="M470" i="1"/>
  <c r="M126" i="1"/>
  <c r="M128" i="1" s="1"/>
  <c r="M119" i="1"/>
  <c r="M118" i="1"/>
  <c r="M117" i="1"/>
  <c r="M116" i="1"/>
  <c r="M114" i="1"/>
  <c r="M99" i="1"/>
  <c r="G86" i="1"/>
  <c r="F86" i="1"/>
  <c r="E86" i="1"/>
  <c r="D86" i="1"/>
  <c r="M73" i="1"/>
  <c r="M77" i="1"/>
  <c r="M78" i="1"/>
  <c r="M57" i="1"/>
  <c r="M58" i="1"/>
  <c r="M59" i="1"/>
  <c r="M60" i="1"/>
  <c r="M25" i="1"/>
  <c r="G8" i="1"/>
  <c r="G9" i="1"/>
  <c r="F8" i="1"/>
  <c r="F9" i="1"/>
  <c r="E8" i="1"/>
  <c r="E9" i="1"/>
  <c r="D8" i="1"/>
  <c r="D9" i="1"/>
  <c r="H9" i="1"/>
  <c r="H8" i="1"/>
  <c r="H50" i="17"/>
  <c r="G50" i="17"/>
  <c r="F50" i="17"/>
  <c r="E50" i="17"/>
  <c r="D50" i="17"/>
  <c r="C130" i="17"/>
  <c r="I128" i="17"/>
  <c r="I130" i="17" s="1"/>
  <c r="H124" i="17"/>
  <c r="G124" i="17"/>
  <c r="F124" i="17"/>
  <c r="E124" i="17"/>
  <c r="D124" i="17"/>
  <c r="C124" i="17"/>
  <c r="I122" i="17"/>
  <c r="K121" i="17"/>
  <c r="L199" i="3" s="1"/>
  <c r="K1091" i="1" s="1"/>
  <c r="K119" i="1" s="1"/>
  <c r="L121" i="17"/>
  <c r="M199" i="3" s="1"/>
  <c r="L1091" i="1" s="1"/>
  <c r="L119" i="1" s="1"/>
  <c r="M121" i="17"/>
  <c r="N199" i="3" s="1"/>
  <c r="O1091" i="1" s="1"/>
  <c r="O119" i="1" s="1"/>
  <c r="I121" i="17"/>
  <c r="J199" i="3" s="1"/>
  <c r="I1091" i="1" s="1"/>
  <c r="I119" i="1" s="1"/>
  <c r="K120" i="17"/>
  <c r="L198" i="3" s="1"/>
  <c r="K1090" i="1" s="1"/>
  <c r="K118" i="1" s="1"/>
  <c r="L120" i="17"/>
  <c r="M198" i="3" s="1"/>
  <c r="L1090" i="1" s="1"/>
  <c r="L118" i="1" s="1"/>
  <c r="M120" i="17"/>
  <c r="N198" i="3" s="1"/>
  <c r="O1090" i="1" s="1"/>
  <c r="O118" i="1" s="1"/>
  <c r="I120" i="17"/>
  <c r="J198" i="3" s="1"/>
  <c r="I1090" i="1" s="1"/>
  <c r="I118" i="1" s="1"/>
  <c r="I119" i="17"/>
  <c r="J95" i="3" s="1"/>
  <c r="I987" i="1" s="1"/>
  <c r="K118" i="17"/>
  <c r="L196" i="3" s="1"/>
  <c r="K1088" i="1" s="1"/>
  <c r="K116" i="1" s="1"/>
  <c r="L118" i="17"/>
  <c r="M196" i="3" s="1"/>
  <c r="L1088" i="1" s="1"/>
  <c r="L116" i="1" s="1"/>
  <c r="I118" i="17"/>
  <c r="J196" i="3" s="1"/>
  <c r="I1088" i="1" s="1"/>
  <c r="I116" i="1" s="1"/>
  <c r="I117" i="17"/>
  <c r="I116" i="17"/>
  <c r="I124" i="17" s="1"/>
  <c r="I115" i="17"/>
  <c r="J195" i="3" s="1"/>
  <c r="I1087" i="1" s="1"/>
  <c r="I113" i="1" s="1"/>
  <c r="C111" i="17"/>
  <c r="I109" i="17"/>
  <c r="I111" i="17" s="1"/>
  <c r="K100" i="17"/>
  <c r="L100" i="17"/>
  <c r="M100" i="17"/>
  <c r="C105" i="17"/>
  <c r="I103" i="17"/>
  <c r="J160" i="2" s="1"/>
  <c r="I644" i="1" s="1"/>
  <c r="I101" i="1" s="1"/>
  <c r="I102" i="17"/>
  <c r="J189" i="3" s="1"/>
  <c r="I1081" i="1" s="1"/>
  <c r="I100" i="1" s="1"/>
  <c r="I101" i="17"/>
  <c r="J264" i="6" s="1"/>
  <c r="I2146" i="1" s="1"/>
  <c r="I99" i="1" s="1"/>
  <c r="I100" i="17"/>
  <c r="I99" i="17"/>
  <c r="L98" i="17"/>
  <c r="K98" i="17"/>
  <c r="I98" i="17"/>
  <c r="K94" i="17"/>
  <c r="J94" i="17"/>
  <c r="L86" i="17"/>
  <c r="K86" i="17"/>
  <c r="J86" i="17"/>
  <c r="I86" i="17"/>
  <c r="H86" i="17"/>
  <c r="G86" i="17"/>
  <c r="F86" i="17"/>
  <c r="E86" i="17"/>
  <c r="D86" i="17"/>
  <c r="C86" i="17"/>
  <c r="I84" i="17"/>
  <c r="J46" i="6" s="1"/>
  <c r="I1929" i="1" s="1"/>
  <c r="H80" i="17"/>
  <c r="G80" i="17"/>
  <c r="F80" i="17"/>
  <c r="E80" i="17"/>
  <c r="D80" i="17"/>
  <c r="C80" i="17"/>
  <c r="I78" i="17"/>
  <c r="J87" i="3" s="1"/>
  <c r="I979" i="1" s="1"/>
  <c r="I78" i="1" s="1"/>
  <c r="I77" i="17"/>
  <c r="J173" i="6" s="1"/>
  <c r="I2055" i="1" s="1"/>
  <c r="I77" i="1" s="1"/>
  <c r="K76" i="17"/>
  <c r="L76" i="17" s="1"/>
  <c r="M76" i="17" s="1"/>
  <c r="I76" i="17"/>
  <c r="K75" i="17"/>
  <c r="L75" i="17" s="1"/>
  <c r="M75" i="17" s="1"/>
  <c r="I75" i="17"/>
  <c r="I74" i="17"/>
  <c r="J483" i="7" s="1"/>
  <c r="I2878" i="1" s="1"/>
  <c r="I74" i="1" s="1"/>
  <c r="K73" i="17"/>
  <c r="L258" i="6" s="1"/>
  <c r="L73" i="17"/>
  <c r="M73" i="17"/>
  <c r="N258" i="6" s="1"/>
  <c r="I73" i="17"/>
  <c r="J258" i="6" s="1"/>
  <c r="I2140" i="1" s="1"/>
  <c r="I73" i="1" s="1"/>
  <c r="I72" i="17"/>
  <c r="J289" i="8" s="1"/>
  <c r="I3222" i="1" s="1"/>
  <c r="I72" i="1" s="1"/>
  <c r="H68" i="17"/>
  <c r="G68" i="17"/>
  <c r="F68" i="17"/>
  <c r="E68" i="17"/>
  <c r="D68" i="17"/>
  <c r="C68" i="17"/>
  <c r="L66" i="17"/>
  <c r="K66" i="17"/>
  <c r="J66" i="17"/>
  <c r="I66" i="17"/>
  <c r="L65" i="17"/>
  <c r="K65" i="17"/>
  <c r="J65" i="17"/>
  <c r="I65" i="17"/>
  <c r="L64" i="17"/>
  <c r="K64" i="17"/>
  <c r="J64" i="17"/>
  <c r="I64" i="17"/>
  <c r="I63" i="17"/>
  <c r="J62" i="17"/>
  <c r="K62" i="17" s="1"/>
  <c r="I62" i="17"/>
  <c r="I61" i="17"/>
  <c r="I60" i="17"/>
  <c r="J283" i="8" s="1"/>
  <c r="I3216" i="1" s="1"/>
  <c r="I60" i="1" s="1"/>
  <c r="I59" i="17"/>
  <c r="J282" i="8" s="1"/>
  <c r="I3215" i="1" s="1"/>
  <c r="I59" i="1" s="1"/>
  <c r="I58" i="17"/>
  <c r="J281" i="8" s="1"/>
  <c r="I3214" i="1" s="1"/>
  <c r="I58" i="1" s="1"/>
  <c r="I57" i="17"/>
  <c r="J280" i="8" s="1"/>
  <c r="I3213" i="1" s="1"/>
  <c r="I56" i="17"/>
  <c r="J279" i="8" s="1"/>
  <c r="I3212" i="1" s="1"/>
  <c r="I56" i="1" s="1"/>
  <c r="I55" i="17"/>
  <c r="J278" i="8" s="1"/>
  <c r="I3211" i="1" s="1"/>
  <c r="I55" i="1" s="1"/>
  <c r="I42" i="17"/>
  <c r="C38" i="17"/>
  <c r="C48" i="17" s="1"/>
  <c r="I36" i="17"/>
  <c r="J32" i="6" s="1"/>
  <c r="I1915" i="1" s="1"/>
  <c r="I36" i="1" s="1"/>
  <c r="I35" i="17"/>
  <c r="J188" i="8" s="1"/>
  <c r="I3121" i="1" s="1"/>
  <c r="I35" i="1" s="1"/>
  <c r="I34" i="17"/>
  <c r="J31" i="6" s="1"/>
  <c r="L33" i="17"/>
  <c r="I33" i="17"/>
  <c r="C28" i="17"/>
  <c r="I26" i="17"/>
  <c r="J23" i="6" s="1"/>
  <c r="I1906" i="1" s="1"/>
  <c r="I26" i="1" s="1"/>
  <c r="K25" i="17"/>
  <c r="L25" i="17" s="1"/>
  <c r="M25" i="17" s="1"/>
  <c r="I25" i="17"/>
  <c r="I24" i="17"/>
  <c r="I23" i="17"/>
  <c r="L22" i="17"/>
  <c r="K22" i="17"/>
  <c r="I22" i="17"/>
  <c r="C18" i="17"/>
  <c r="C50" i="17" s="1"/>
  <c r="I16" i="17"/>
  <c r="I15" i="17"/>
  <c r="I14" i="17"/>
  <c r="I13" i="17"/>
  <c r="I12" i="17"/>
  <c r="I11" i="17"/>
  <c r="I10" i="17"/>
  <c r="I9" i="17"/>
  <c r="K4" i="11"/>
  <c r="K5" i="11"/>
  <c r="K6" i="11"/>
  <c r="K7" i="11"/>
  <c r="K8" i="11"/>
  <c r="K9" i="11"/>
  <c r="K10" i="11"/>
  <c r="K11" i="11"/>
  <c r="K12" i="11"/>
  <c r="I4" i="11"/>
  <c r="I5" i="11"/>
  <c r="I6" i="11"/>
  <c r="I7" i="11"/>
  <c r="I8" i="11"/>
  <c r="I9" i="11"/>
  <c r="I10" i="11"/>
  <c r="I11" i="11"/>
  <c r="I12" i="11"/>
  <c r="G4" i="11"/>
  <c r="G5" i="11"/>
  <c r="G6" i="11"/>
  <c r="G7" i="11"/>
  <c r="G8" i="11"/>
  <c r="G9" i="11"/>
  <c r="G10" i="11"/>
  <c r="G11" i="11"/>
  <c r="G12" i="11"/>
  <c r="B5" i="11"/>
  <c r="B7" i="11"/>
  <c r="B8" i="11"/>
  <c r="B9" i="11"/>
  <c r="E11" i="11"/>
  <c r="E12" i="11"/>
  <c r="B9" i="9"/>
  <c r="J322" i="7"/>
  <c r="I2717" i="1"/>
  <c r="J321" i="7"/>
  <c r="I2716" i="1" s="1"/>
  <c r="J320" i="7"/>
  <c r="I2715" i="1"/>
  <c r="J319" i="7"/>
  <c r="I2714" i="1" s="1"/>
  <c r="J368" i="7"/>
  <c r="I2763" i="1"/>
  <c r="J375" i="7"/>
  <c r="I2770" i="1" s="1"/>
  <c r="J390" i="7"/>
  <c r="I2785" i="1"/>
  <c r="J396" i="7"/>
  <c r="I2791" i="1" s="1"/>
  <c r="J397" i="7"/>
  <c r="I2792" i="1"/>
  <c r="J398" i="7"/>
  <c r="I2793" i="1" s="1"/>
  <c r="J411" i="7"/>
  <c r="I2806" i="1"/>
  <c r="J410" i="7"/>
  <c r="I2805" i="1" s="1"/>
  <c r="J409" i="7"/>
  <c r="I2804" i="1"/>
  <c r="J408" i="7"/>
  <c r="I2803" i="1" s="1"/>
  <c r="J423" i="7"/>
  <c r="I2818" i="1"/>
  <c r="J432" i="7"/>
  <c r="I2827" i="1" s="1"/>
  <c r="J445" i="7"/>
  <c r="I2840" i="1"/>
  <c r="J444" i="7"/>
  <c r="I2839" i="1" s="1"/>
  <c r="J459" i="7"/>
  <c r="I2854" i="1"/>
  <c r="J453" i="7"/>
  <c r="I2848" i="1" s="1"/>
  <c r="J469" i="7"/>
  <c r="I2864" i="1"/>
  <c r="J471" i="7"/>
  <c r="I2866" i="1" s="1"/>
  <c r="J472" i="7"/>
  <c r="I2867" i="1"/>
  <c r="J473" i="7"/>
  <c r="I2868" i="1" s="1"/>
  <c r="J481" i="7"/>
  <c r="I2876" i="1"/>
  <c r="J491" i="7"/>
  <c r="I2886" i="1" s="1"/>
  <c r="J492" i="7"/>
  <c r="I2887" i="1"/>
  <c r="J493" i="7"/>
  <c r="I2888" i="1" s="1"/>
  <c r="J494" i="7"/>
  <c r="I2889" i="1"/>
  <c r="J529" i="7"/>
  <c r="I2924" i="1" s="1"/>
  <c r="L34" i="6"/>
  <c r="L36" i="6"/>
  <c r="M34" i="6"/>
  <c r="M36" i="6" s="1"/>
  <c r="J105" i="17"/>
  <c r="K115" i="17"/>
  <c r="L195" i="3" s="1"/>
  <c r="L115" i="17"/>
  <c r="K11" i="7"/>
  <c r="J11" i="7" s="1"/>
  <c r="K77" i="17"/>
  <c r="L173" i="6" s="1"/>
  <c r="K2055" i="1" s="1"/>
  <c r="L77" i="17"/>
  <c r="M173" i="6" s="1"/>
  <c r="L2055" i="1" s="1"/>
  <c r="K175" i="6"/>
  <c r="J175" i="6" s="1"/>
  <c r="J80" i="17"/>
  <c r="M492" i="1"/>
  <c r="M120" i="1" s="1"/>
  <c r="L9" i="2"/>
  <c r="L11" i="2" s="1"/>
  <c r="L13" i="2" s="1"/>
  <c r="J124" i="17"/>
  <c r="J254" i="6"/>
  <c r="I2136" i="1"/>
  <c r="J255" i="6"/>
  <c r="I2137" i="1"/>
  <c r="J256" i="6"/>
  <c r="I2138" i="1"/>
  <c r="C94" i="17"/>
  <c r="J360" i="7"/>
  <c r="I2755" i="1" s="1"/>
  <c r="J359" i="7"/>
  <c r="I2754" i="1"/>
  <c r="J347" i="7"/>
  <c r="I2742" i="1" s="1"/>
  <c r="J338" i="7"/>
  <c r="I2733" i="1"/>
  <c r="L266" i="6" l="1"/>
  <c r="G302" i="3"/>
  <c r="G80" i="3"/>
  <c r="H370" i="4"/>
  <c r="H219" i="4"/>
  <c r="H302" i="3"/>
  <c r="H80" i="3"/>
  <c r="E302" i="3"/>
  <c r="E80" i="3"/>
  <c r="L62" i="17"/>
  <c r="M62" i="17" s="1"/>
  <c r="K68" i="17"/>
  <c r="F302" i="3"/>
  <c r="F80" i="3"/>
  <c r="M175" i="6"/>
  <c r="M179" i="6" s="1"/>
  <c r="M181" i="6" s="1"/>
  <c r="K80" i="17"/>
  <c r="M195" i="3"/>
  <c r="M115" i="17"/>
  <c r="N195" i="3" s="1"/>
  <c r="O2140" i="1"/>
  <c r="N260" i="6"/>
  <c r="E149" i="6"/>
  <c r="E518" i="6" s="1"/>
  <c r="M259" i="8"/>
  <c r="J194" i="8"/>
  <c r="I3127" i="1" s="1"/>
  <c r="I46" i="17"/>
  <c r="I68" i="17"/>
  <c r="M183" i="7"/>
  <c r="L175" i="6"/>
  <c r="L179" i="6" s="1"/>
  <c r="L181" i="6" s="1"/>
  <c r="I18" i="17"/>
  <c r="M22" i="17"/>
  <c r="I80" i="17"/>
  <c r="I38" i="17"/>
  <c r="J9" i="7"/>
  <c r="I2404" i="1" s="1"/>
  <c r="I33" i="1" s="1"/>
  <c r="C132" i="17"/>
  <c r="J26" i="3"/>
  <c r="I918" i="1" s="1"/>
  <c r="J28" i="3"/>
  <c r="I920" i="1" s="1"/>
  <c r="J49" i="3"/>
  <c r="I941" i="1" s="1"/>
  <c r="H99" i="3"/>
  <c r="H301" i="3" s="1"/>
  <c r="J107" i="3"/>
  <c r="I999" i="1" s="1"/>
  <c r="J114" i="3"/>
  <c r="I1006" i="1" s="1"/>
  <c r="J121" i="3"/>
  <c r="I1013" i="1" s="1"/>
  <c r="J123" i="3"/>
  <c r="I1015" i="1" s="1"/>
  <c r="J130" i="3"/>
  <c r="I1022" i="1" s="1"/>
  <c r="D222" i="3"/>
  <c r="J213" i="3"/>
  <c r="I1105" i="1" s="1"/>
  <c r="J217" i="3"/>
  <c r="I1109" i="1" s="1"/>
  <c r="J272" i="3"/>
  <c r="I1164" i="1" s="1"/>
  <c r="J280" i="3"/>
  <c r="I1172" i="1" s="1"/>
  <c r="J26" i="4"/>
  <c r="I1216" i="1" s="1"/>
  <c r="J41" i="4"/>
  <c r="I1231" i="1" s="1"/>
  <c r="J43" i="4"/>
  <c r="I1233" i="1" s="1"/>
  <c r="J81" i="4"/>
  <c r="I1271" i="1" s="1"/>
  <c r="D120" i="4"/>
  <c r="J117" i="4"/>
  <c r="I1307" i="1" s="1"/>
  <c r="J124" i="4"/>
  <c r="I1314" i="1" s="1"/>
  <c r="J134" i="4"/>
  <c r="I1324" i="1" s="1"/>
  <c r="J161" i="4"/>
  <c r="I1351" i="1" s="1"/>
  <c r="J189" i="4"/>
  <c r="I1379" i="1" s="1"/>
  <c r="E370" i="4"/>
  <c r="E219" i="4"/>
  <c r="D272" i="4"/>
  <c r="D276" i="4" s="1"/>
  <c r="J270" i="4"/>
  <c r="I1460" i="1" s="1"/>
  <c r="F96" i="5"/>
  <c r="F231" i="5"/>
  <c r="F233" i="5" s="1"/>
  <c r="H112" i="6"/>
  <c r="H149" i="6" s="1"/>
  <c r="H518" i="6" s="1"/>
  <c r="F444" i="6"/>
  <c r="F446" i="6" s="1"/>
  <c r="I105" i="17"/>
  <c r="C134" i="17"/>
  <c r="J68" i="17"/>
  <c r="J132" i="17" s="1"/>
  <c r="J134" i="17" s="1"/>
  <c r="M98" i="17"/>
  <c r="N183" i="7" s="1"/>
  <c r="J10" i="3"/>
  <c r="I902" i="1" s="1"/>
  <c r="I173" i="1" s="1"/>
  <c r="K1087" i="1"/>
  <c r="K113" i="1" s="1"/>
  <c r="L201" i="3"/>
  <c r="I28" i="17"/>
  <c r="J259" i="8"/>
  <c r="I3192" i="1" s="1"/>
  <c r="I22" i="1" s="1"/>
  <c r="M258" i="6"/>
  <c r="M77" i="17"/>
  <c r="N173" i="6" s="1"/>
  <c r="L259" i="8"/>
  <c r="L261" i="8" s="1"/>
  <c r="K28" i="17"/>
  <c r="L38" i="17"/>
  <c r="M9" i="7"/>
  <c r="K2140" i="1"/>
  <c r="L260" i="6"/>
  <c r="L183" i="7"/>
  <c r="K105" i="17"/>
  <c r="M118" i="17"/>
  <c r="N196" i="3" s="1"/>
  <c r="O1088" i="1" s="1"/>
  <c r="O116" i="1" s="1"/>
  <c r="J64" i="3"/>
  <c r="I956" i="1" s="1"/>
  <c r="J66" i="3"/>
  <c r="I958" i="1" s="1"/>
  <c r="D125" i="3"/>
  <c r="J227" i="3"/>
  <c r="I1119" i="1" s="1"/>
  <c r="J247" i="3"/>
  <c r="I1139" i="1" s="1"/>
  <c r="D276" i="3"/>
  <c r="D16" i="4"/>
  <c r="D18" i="4" s="1"/>
  <c r="D20" i="4" s="1"/>
  <c r="J10" i="4"/>
  <c r="I1200" i="1" s="1"/>
  <c r="J14" i="4"/>
  <c r="I1204" i="1" s="1"/>
  <c r="I145" i="1" s="1"/>
  <c r="J31" i="4"/>
  <c r="I1221" i="1" s="1"/>
  <c r="D45" i="4"/>
  <c r="D55" i="4" s="1"/>
  <c r="D57" i="4" s="1"/>
  <c r="D100" i="4" s="1"/>
  <c r="J50" i="4"/>
  <c r="I1240" i="1" s="1"/>
  <c r="J90" i="4"/>
  <c r="I1280" i="1" s="1"/>
  <c r="I427" i="1" s="1"/>
  <c r="J93" i="4"/>
  <c r="I1283" i="1" s="1"/>
  <c r="J96" i="4"/>
  <c r="I1286" i="1" s="1"/>
  <c r="J118" i="4"/>
  <c r="I1308" i="1" s="1"/>
  <c r="D137" i="4"/>
  <c r="F370" i="4"/>
  <c r="F219" i="4"/>
  <c r="D283" i="4"/>
  <c r="J283" i="4" s="1"/>
  <c r="J281" i="4"/>
  <c r="I1471" i="1" s="1"/>
  <c r="G94" i="5"/>
  <c r="H94" i="5"/>
  <c r="G231" i="5"/>
  <c r="G233" i="5" s="1"/>
  <c r="I1914" i="1"/>
  <c r="J34" i="6"/>
  <c r="J40" i="3"/>
  <c r="I932" i="1" s="1"/>
  <c r="K45" i="3"/>
  <c r="J62" i="3"/>
  <c r="I954" i="1" s="1"/>
  <c r="J149" i="3"/>
  <c r="I1041" i="1" s="1"/>
  <c r="I316" i="1" s="1"/>
  <c r="D84" i="4"/>
  <c r="I84" i="4" s="1"/>
  <c r="J79" i="4"/>
  <c r="I1269" i="1" s="1"/>
  <c r="J110" i="4"/>
  <c r="I1300" i="1" s="1"/>
  <c r="J115" i="4"/>
  <c r="I1305" i="1" s="1"/>
  <c r="G219" i="4"/>
  <c r="E371" i="4"/>
  <c r="E331" i="5"/>
  <c r="E96" i="5"/>
  <c r="G181" i="5"/>
  <c r="G183" i="5" s="1"/>
  <c r="H231" i="5"/>
  <c r="H233" i="5" s="1"/>
  <c r="F112" i="6"/>
  <c r="F149" i="6" s="1"/>
  <c r="F518" i="6" s="1"/>
  <c r="D60" i="5"/>
  <c r="D218" i="5"/>
  <c r="D220" i="5" s="1"/>
  <c r="G362" i="6"/>
  <c r="F110" i="7"/>
  <c r="J248" i="4"/>
  <c r="I1438" i="1" s="1"/>
  <c r="J321" i="4"/>
  <c r="I1511" i="1" s="1"/>
  <c r="D21" i="5"/>
  <c r="J25" i="5"/>
  <c r="I1581" i="1" s="1"/>
  <c r="J56" i="5"/>
  <c r="I1612" i="1" s="1"/>
  <c r="M60" i="5"/>
  <c r="L1616" i="1" s="1"/>
  <c r="J70" i="5"/>
  <c r="I1626" i="1" s="1"/>
  <c r="J73" i="5"/>
  <c r="I1629" i="1" s="1"/>
  <c r="J86" i="5"/>
  <c r="I1642" i="1" s="1"/>
  <c r="I363" i="1" s="1"/>
  <c r="D135" i="5"/>
  <c r="D146" i="5" s="1"/>
  <c r="D148" i="5" s="1"/>
  <c r="D181" i="5" s="1"/>
  <c r="D183" i="5" s="1"/>
  <c r="J139" i="5"/>
  <c r="I1695" i="1" s="1"/>
  <c r="J154" i="5"/>
  <c r="I1710" i="1" s="1"/>
  <c r="I252" i="1" s="1"/>
  <c r="J204" i="5"/>
  <c r="I1760" i="1" s="1"/>
  <c r="I260" i="1" s="1"/>
  <c r="J212" i="5"/>
  <c r="I1768" i="1" s="1"/>
  <c r="D229" i="5"/>
  <c r="J256" i="5"/>
  <c r="I1812" i="1" s="1"/>
  <c r="I277" i="1" s="1"/>
  <c r="K259" i="5"/>
  <c r="J277" i="5"/>
  <c r="I1833" i="1" s="1"/>
  <c r="G56" i="6"/>
  <c r="G58" i="6" s="1"/>
  <c r="F246" i="6"/>
  <c r="H362" i="6"/>
  <c r="F568" i="8"/>
  <c r="F20" i="8"/>
  <c r="H20" i="8"/>
  <c r="K184" i="4"/>
  <c r="J179" i="4"/>
  <c r="I1369" i="1" s="1"/>
  <c r="J223" i="4"/>
  <c r="I1413" i="1" s="1"/>
  <c r="I1415" i="1" s="1"/>
  <c r="F371" i="4"/>
  <c r="J237" i="4"/>
  <c r="I1427" i="1" s="1"/>
  <c r="D252" i="4"/>
  <c r="J257" i="4"/>
  <c r="I1447" i="1" s="1"/>
  <c r="J280" i="4"/>
  <c r="I1470" i="1" s="1"/>
  <c r="D323" i="4"/>
  <c r="J318" i="4"/>
  <c r="I1508" i="1" s="1"/>
  <c r="D38" i="5"/>
  <c r="J48" i="5"/>
  <c r="L60" i="5"/>
  <c r="K1616" i="1" s="1"/>
  <c r="J75" i="5"/>
  <c r="I1631" i="1" s="1"/>
  <c r="D92" i="5"/>
  <c r="J104" i="5"/>
  <c r="I1660" i="1" s="1"/>
  <c r="D108" i="5"/>
  <c r="D110" i="5" s="1"/>
  <c r="D118" i="5" s="1"/>
  <c r="D120" i="5" s="1"/>
  <c r="J116" i="5"/>
  <c r="J128" i="5"/>
  <c r="I1684" i="1" s="1"/>
  <c r="J130" i="5"/>
  <c r="I1686" i="1" s="1"/>
  <c r="J141" i="5"/>
  <c r="I1697" i="1" s="1"/>
  <c r="J156" i="5"/>
  <c r="I1712" i="1" s="1"/>
  <c r="I254" i="1" s="1"/>
  <c r="J175" i="5"/>
  <c r="I1731" i="1" s="1"/>
  <c r="J206" i="5"/>
  <c r="I1762" i="1" s="1"/>
  <c r="I262" i="1" s="1"/>
  <c r="J214" i="5"/>
  <c r="I1770" i="1" s="1"/>
  <c r="J225" i="5"/>
  <c r="I1781" i="1" s="1"/>
  <c r="H56" i="6"/>
  <c r="G409" i="6"/>
  <c r="G411" i="6" s="1"/>
  <c r="G444" i="6" s="1"/>
  <c r="G446" i="6" s="1"/>
  <c r="J2437" i="1"/>
  <c r="L42" i="7"/>
  <c r="K2437" i="1" s="1"/>
  <c r="F164" i="7"/>
  <c r="F166" i="7" s="1"/>
  <c r="E250" i="8"/>
  <c r="M371" i="4"/>
  <c r="K313" i="4"/>
  <c r="J174" i="5"/>
  <c r="I1730" i="1" s="1"/>
  <c r="M216" i="5"/>
  <c r="D267" i="5"/>
  <c r="D269" i="5" s="1"/>
  <c r="D271" i="5" s="1"/>
  <c r="D281" i="5" s="1"/>
  <c r="D283" i="5" s="1"/>
  <c r="D279" i="5"/>
  <c r="D302" i="5"/>
  <c r="J300" i="5"/>
  <c r="D312" i="5"/>
  <c r="E246" i="6"/>
  <c r="E568" i="8"/>
  <c r="E20" i="8"/>
  <c r="G20" i="8"/>
  <c r="H153" i="8"/>
  <c r="H155" i="8" s="1"/>
  <c r="G250" i="8"/>
  <c r="G568" i="8" s="1"/>
  <c r="G380" i="8"/>
  <c r="J324" i="7"/>
  <c r="I2719" i="1" s="1"/>
  <c r="J329" i="7"/>
  <c r="I2724" i="1" s="1"/>
  <c r="J330" i="7"/>
  <c r="I2725" i="1" s="1"/>
  <c r="J331" i="7"/>
  <c r="I2726" i="1" s="1"/>
  <c r="J332" i="7"/>
  <c r="I2727" i="1" s="1"/>
  <c r="J333" i="7"/>
  <c r="I2728" i="1" s="1"/>
  <c r="I220" i="1" s="1"/>
  <c r="J334" i="7"/>
  <c r="I2729" i="1" s="1"/>
  <c r="J377" i="7"/>
  <c r="I2772" i="1" s="1"/>
  <c r="J417" i="7"/>
  <c r="I2812" i="1" s="1"/>
  <c r="J500" i="7"/>
  <c r="I2895" i="1" s="1"/>
  <c r="J532" i="8"/>
  <c r="K130" i="17"/>
  <c r="L311" i="7"/>
  <c r="G246" i="6"/>
  <c r="L203" i="3"/>
  <c r="L205" i="3" s="1"/>
  <c r="C1087" i="1"/>
  <c r="D201" i="3"/>
  <c r="N530" i="8"/>
  <c r="O3463" i="1" s="1"/>
  <c r="L3463" i="1"/>
  <c r="M441" i="8"/>
  <c r="K3374" i="1"/>
  <c r="M437" i="8"/>
  <c r="K3370" i="1"/>
  <c r="G252" i="8"/>
  <c r="L90" i="17"/>
  <c r="L78" i="17"/>
  <c r="L80" i="17" s="1"/>
  <c r="L87" i="3"/>
  <c r="H1081" i="1"/>
  <c r="H1083" i="1" s="1"/>
  <c r="I191" i="3"/>
  <c r="D1081" i="1"/>
  <c r="D1083" i="1" s="1"/>
  <c r="E191" i="3"/>
  <c r="M444" i="8"/>
  <c r="K3377" i="1"/>
  <c r="N524" i="8"/>
  <c r="O3457" i="1" s="1"/>
  <c r="L3457" i="1"/>
  <c r="J399" i="6"/>
  <c r="J100" i="7"/>
  <c r="I2495" i="1" s="1"/>
  <c r="J102" i="7"/>
  <c r="I2497" i="1" s="1"/>
  <c r="L251" i="7"/>
  <c r="K2646" i="1" s="1"/>
  <c r="K2648" i="1" s="1"/>
  <c r="N328" i="7"/>
  <c r="O2723" i="1" s="1"/>
  <c r="L329" i="7"/>
  <c r="L330" i="7"/>
  <c r="K2725" i="1" s="1"/>
  <c r="L331" i="7"/>
  <c r="L332" i="7"/>
  <c r="K2727" i="1" s="1"/>
  <c r="L333" i="7"/>
  <c r="L334" i="7"/>
  <c r="K2729" i="1" s="1"/>
  <c r="J413" i="7"/>
  <c r="I2808" i="1" s="1"/>
  <c r="E252" i="8"/>
  <c r="J446" i="8"/>
  <c r="L91" i="17"/>
  <c r="M117" i="17"/>
  <c r="N195" i="7" s="1"/>
  <c r="L128" i="17"/>
  <c r="M84" i="17"/>
  <c r="M2023" i="1"/>
  <c r="K203" i="3"/>
  <c r="E48" i="17"/>
  <c r="L78" i="7"/>
  <c r="K2473" i="1" s="1"/>
  <c r="G112" i="7"/>
  <c r="K253" i="7"/>
  <c r="J253" i="7" s="1"/>
  <c r="D336" i="7"/>
  <c r="J325" i="7"/>
  <c r="I2720" i="1" s="1"/>
  <c r="J326" i="7"/>
  <c r="I2721" i="1" s="1"/>
  <c r="D384" i="7"/>
  <c r="J415" i="7"/>
  <c r="I2810" i="1" s="1"/>
  <c r="J498" i="7"/>
  <c r="I2893" i="1" s="1"/>
  <c r="H252" i="8"/>
  <c r="L103" i="17"/>
  <c r="L105" i="17" s="1"/>
  <c r="M24" i="17"/>
  <c r="N173" i="7" s="1"/>
  <c r="N220" i="2"/>
  <c r="L23" i="17"/>
  <c r="L28" i="17" s="1"/>
  <c r="L116" i="17"/>
  <c r="L63" i="17"/>
  <c r="M74" i="17"/>
  <c r="H246" i="6"/>
  <c r="J354" i="2"/>
  <c r="I838" i="1" s="1"/>
  <c r="J201" i="3"/>
  <c r="F1081" i="1"/>
  <c r="F1083" i="1" s="1"/>
  <c r="G191" i="3"/>
  <c r="J386" i="6"/>
  <c r="I2268" i="1" s="1"/>
  <c r="L8" i="17"/>
  <c r="J2266" i="1"/>
  <c r="H569" i="8"/>
  <c r="N595" i="1"/>
  <c r="N372" i="1"/>
  <c r="K124" i="17"/>
  <c r="J306" i="6"/>
  <c r="I2188" i="1" s="1"/>
  <c r="J472" i="6"/>
  <c r="I2354" i="1" s="1"/>
  <c r="J458" i="6"/>
  <c r="I2340" i="1" s="1"/>
  <c r="K50" i="17"/>
  <c r="L8" i="6"/>
  <c r="J1980" i="1"/>
  <c r="J2172" i="1"/>
  <c r="K2108" i="1"/>
  <c r="L2377" i="1"/>
  <c r="G569" i="8"/>
  <c r="N465" i="1"/>
  <c r="J2260" i="1"/>
  <c r="J2259" i="1"/>
  <c r="L2108" i="1"/>
  <c r="K2231" i="1"/>
  <c r="K417" i="1"/>
  <c r="F569" i="8"/>
  <c r="M349" i="6"/>
  <c r="N131" i="6"/>
  <c r="N118" i="6"/>
  <c r="M121" i="6"/>
  <c r="M135" i="6" s="1"/>
  <c r="N241" i="1"/>
  <c r="N233" i="1"/>
  <c r="N232" i="1"/>
  <c r="N231" i="1"/>
  <c r="N217" i="1"/>
  <c r="N212" i="1"/>
  <c r="N211" i="1"/>
  <c r="E569" i="8"/>
  <c r="J183" i="7"/>
  <c r="I2578" i="1" s="1"/>
  <c r="I96" i="1" s="1"/>
  <c r="O1062" i="1"/>
  <c r="O343" i="1" s="1"/>
  <c r="M1062" i="1"/>
  <c r="M343" i="1" s="1"/>
  <c r="B8" i="9"/>
  <c r="G18" i="1"/>
  <c r="C1993" i="1"/>
  <c r="D157" i="4"/>
  <c r="D139" i="4"/>
  <c r="D141" i="4" s="1"/>
  <c r="D166" i="4" s="1"/>
  <c r="J1107" i="1"/>
  <c r="L215" i="3"/>
  <c r="L270" i="3"/>
  <c r="J1162" i="1"/>
  <c r="K276" i="3"/>
  <c r="J276" i="3" s="1"/>
  <c r="L12" i="4"/>
  <c r="J1202" i="1"/>
  <c r="J143" i="1" s="1"/>
  <c r="L33" i="4"/>
  <c r="J1223" i="1"/>
  <c r="L42" i="4"/>
  <c r="J1232" i="1"/>
  <c r="L51" i="4"/>
  <c r="J1241" i="1"/>
  <c r="L75" i="4"/>
  <c r="J1265" i="1"/>
  <c r="L88" i="4"/>
  <c r="J1278" i="1"/>
  <c r="K98" i="4"/>
  <c r="J98" i="4" s="1"/>
  <c r="L111" i="4"/>
  <c r="J1301" i="1"/>
  <c r="K120" i="4"/>
  <c r="L135" i="4"/>
  <c r="J1325" i="1"/>
  <c r="L178" i="4"/>
  <c r="J1368" i="1"/>
  <c r="L181" i="4"/>
  <c r="J1371" i="1"/>
  <c r="L188" i="4"/>
  <c r="J1378" i="1"/>
  <c r="L198" i="4"/>
  <c r="J1388" i="1"/>
  <c r="L212" i="4"/>
  <c r="J1402" i="1"/>
  <c r="J212" i="4"/>
  <c r="I1402" i="1" s="1"/>
  <c r="L235" i="4"/>
  <c r="J1425" i="1"/>
  <c r="J235" i="4"/>
  <c r="I1425" i="1" s="1"/>
  <c r="L249" i="4"/>
  <c r="J1439" i="1"/>
  <c r="J249" i="4"/>
  <c r="I1439" i="1" s="1"/>
  <c r="L310" i="4"/>
  <c r="J1500" i="1"/>
  <c r="J310" i="4"/>
  <c r="I1500" i="1" s="1"/>
  <c r="K247" i="5"/>
  <c r="J245" i="5"/>
  <c r="K316" i="5"/>
  <c r="D116" i="3"/>
  <c r="J143" i="3"/>
  <c r="I1035" i="1" s="1"/>
  <c r="J169" i="3"/>
  <c r="I1061" i="1" s="1"/>
  <c r="J1110" i="1"/>
  <c r="L218" i="3"/>
  <c r="L273" i="3"/>
  <c r="J1165" i="1"/>
  <c r="L28" i="4"/>
  <c r="J1218" i="1"/>
  <c r="L78" i="4"/>
  <c r="J1268" i="1"/>
  <c r="J355" i="1" s="1"/>
  <c r="L91" i="4"/>
  <c r="J1281" i="1"/>
  <c r="L114" i="4"/>
  <c r="J1304" i="1"/>
  <c r="L126" i="4"/>
  <c r="J1316" i="1"/>
  <c r="K164" i="4"/>
  <c r="J164" i="4" s="1"/>
  <c r="L191" i="4"/>
  <c r="J1381" i="1"/>
  <c r="K215" i="4"/>
  <c r="J215" i="4" s="1"/>
  <c r="D243" i="4"/>
  <c r="L329" i="4"/>
  <c r="J1519" i="1"/>
  <c r="K331" i="4"/>
  <c r="J329" i="4"/>
  <c r="I1519" i="1" s="1"/>
  <c r="D16" i="3"/>
  <c r="D18" i="3" s="1"/>
  <c r="D20" i="3" s="1"/>
  <c r="J13" i="3"/>
  <c r="I905" i="1" s="1"/>
  <c r="I176" i="1" s="1"/>
  <c r="J29" i="3"/>
  <c r="I921" i="1" s="1"/>
  <c r="D53" i="3"/>
  <c r="J106" i="3"/>
  <c r="I998" i="1" s="1"/>
  <c r="K1041" i="1"/>
  <c r="K316" i="1" s="1"/>
  <c r="J161" i="3"/>
  <c r="I1053" i="1" s="1"/>
  <c r="I333" i="1" s="1"/>
  <c r="J1105" i="1"/>
  <c r="L213" i="3"/>
  <c r="J282" i="3"/>
  <c r="I1174" i="1" s="1"/>
  <c r="L10" i="4"/>
  <c r="J1200" i="1"/>
  <c r="K16" i="4"/>
  <c r="L31" i="4"/>
  <c r="J1221" i="1"/>
  <c r="L40" i="4"/>
  <c r="J1230" i="1"/>
  <c r="L49" i="4"/>
  <c r="J1239" i="1"/>
  <c r="L81" i="4"/>
  <c r="J1271" i="1"/>
  <c r="L95" i="4"/>
  <c r="J1285" i="1"/>
  <c r="L117" i="4"/>
  <c r="J1307" i="1"/>
  <c r="L133" i="4"/>
  <c r="J1323" i="1"/>
  <c r="L153" i="4"/>
  <c r="J1343" i="1"/>
  <c r="J1345" i="1" s="1"/>
  <c r="L176" i="4"/>
  <c r="J1366" i="1"/>
  <c r="L236" i="4"/>
  <c r="J1426" i="1"/>
  <c r="J236" i="4"/>
  <c r="I1426" i="1" s="1"/>
  <c r="J1481" i="1"/>
  <c r="J1483" i="1" s="1"/>
  <c r="J291" i="4"/>
  <c r="I1481" i="1" s="1"/>
  <c r="I1483" i="1" s="1"/>
  <c r="L304" i="4"/>
  <c r="J1494" i="1"/>
  <c r="J304" i="4"/>
  <c r="I1494" i="1" s="1"/>
  <c r="D356" i="4"/>
  <c r="L354" i="4"/>
  <c r="J1544" i="1"/>
  <c r="J354" i="4"/>
  <c r="I1544" i="1" s="1"/>
  <c r="L17" i="5"/>
  <c r="J1573" i="1"/>
  <c r="J17" i="5"/>
  <c r="I1573" i="1" s="1"/>
  <c r="J36" i="5"/>
  <c r="I1592" i="1" s="1"/>
  <c r="D52" i="5"/>
  <c r="D62" i="5" s="1"/>
  <c r="D64" i="5" s="1"/>
  <c r="K302" i="5"/>
  <c r="J294" i="5"/>
  <c r="L1041" i="1"/>
  <c r="L316" i="1" s="1"/>
  <c r="J1108" i="1"/>
  <c r="L216" i="3"/>
  <c r="K222" i="3"/>
  <c r="J222" i="3" s="1"/>
  <c r="L271" i="3"/>
  <c r="J1163" i="1"/>
  <c r="L13" i="4"/>
  <c r="J1203" i="1"/>
  <c r="J144" i="1" s="1"/>
  <c r="L26" i="4"/>
  <c r="J1216" i="1"/>
  <c r="L34" i="4"/>
  <c r="J1224" i="1"/>
  <c r="L43" i="4"/>
  <c r="J1233" i="1"/>
  <c r="K53" i="4"/>
  <c r="J53" i="4" s="1"/>
  <c r="J62" i="4"/>
  <c r="I1252" i="1" s="1"/>
  <c r="L76" i="4"/>
  <c r="J1266" i="1"/>
  <c r="L89" i="4"/>
  <c r="J1279" i="1"/>
  <c r="L112" i="4"/>
  <c r="J1302" i="1"/>
  <c r="L124" i="4"/>
  <c r="J1314" i="1"/>
  <c r="K137" i="4"/>
  <c r="J137" i="4" s="1"/>
  <c r="J147" i="4"/>
  <c r="I1337" i="1" s="1"/>
  <c r="L161" i="4"/>
  <c r="J1351" i="1"/>
  <c r="L179" i="4"/>
  <c r="J1369" i="1"/>
  <c r="L182" i="4"/>
  <c r="J1372" i="1"/>
  <c r="K193" i="4"/>
  <c r="J193" i="4" s="1"/>
  <c r="L199" i="4"/>
  <c r="J1389" i="1"/>
  <c r="J209" i="4"/>
  <c r="I1399" i="1" s="1"/>
  <c r="L213" i="4"/>
  <c r="J1403" i="1"/>
  <c r="L239" i="4"/>
  <c r="J1429" i="1"/>
  <c r="D331" i="4"/>
  <c r="I1604" i="1"/>
  <c r="I268" i="1" s="1"/>
  <c r="K198" i="5"/>
  <c r="J196" i="5"/>
  <c r="J33" i="3"/>
  <c r="I925" i="1" s="1"/>
  <c r="J41" i="3"/>
  <c r="I933" i="1" s="1"/>
  <c r="J61" i="3"/>
  <c r="I953" i="1" s="1"/>
  <c r="D76" i="3"/>
  <c r="J110" i="3"/>
  <c r="I1002" i="1" s="1"/>
  <c r="K125" i="3"/>
  <c r="J125" i="3" s="1"/>
  <c r="L219" i="3"/>
  <c r="J1111" i="1"/>
  <c r="J269" i="3"/>
  <c r="I1161" i="1" s="1"/>
  <c r="L274" i="3"/>
  <c r="J1166" i="1"/>
  <c r="L29" i="4"/>
  <c r="J1219" i="1"/>
  <c r="L62" i="4"/>
  <c r="J1252" i="1"/>
  <c r="J1254" i="1" s="1"/>
  <c r="J1260" i="1" s="1"/>
  <c r="L79" i="4"/>
  <c r="J1269" i="1"/>
  <c r="L93" i="4"/>
  <c r="J1283" i="1"/>
  <c r="L115" i="4"/>
  <c r="J1305" i="1"/>
  <c r="L127" i="4"/>
  <c r="J1317" i="1"/>
  <c r="L147" i="4"/>
  <c r="J1337" i="1"/>
  <c r="J1339" i="1" s="1"/>
  <c r="D201" i="4"/>
  <c r="L247" i="4"/>
  <c r="J1437" i="1"/>
  <c r="J247" i="4"/>
  <c r="I1437" i="1" s="1"/>
  <c r="K252" i="4"/>
  <c r="J252" i="4" s="1"/>
  <c r="D313" i="4"/>
  <c r="D333" i="4" s="1"/>
  <c r="D335" i="4" s="1"/>
  <c r="D365" i="4" s="1"/>
  <c r="D367" i="4" s="1"/>
  <c r="L308" i="4"/>
  <c r="J1498" i="1"/>
  <c r="J308" i="4"/>
  <c r="I1498" i="1" s="1"/>
  <c r="J327" i="4"/>
  <c r="I1517" i="1" s="1"/>
  <c r="L11" i="5"/>
  <c r="J1567" i="1"/>
  <c r="J11" i="5"/>
  <c r="I1567" i="1" s="1"/>
  <c r="D45" i="3"/>
  <c r="J1106" i="1"/>
  <c r="L214" i="3"/>
  <c r="D239" i="3"/>
  <c r="J1161" i="1"/>
  <c r="L269" i="3"/>
  <c r="L11" i="4"/>
  <c r="J1201" i="1"/>
  <c r="J142" i="1" s="1"/>
  <c r="L32" i="4"/>
  <c r="J1222" i="1"/>
  <c r="L41" i="4"/>
  <c r="J1231" i="1"/>
  <c r="L50" i="4"/>
  <c r="J1240" i="1"/>
  <c r="L74" i="4"/>
  <c r="J1264" i="1"/>
  <c r="L82" i="4"/>
  <c r="J1272" i="1"/>
  <c r="K84" i="4"/>
  <c r="J84" i="4" s="1"/>
  <c r="J1286" i="1"/>
  <c r="L96" i="4"/>
  <c r="L110" i="4"/>
  <c r="J1300" i="1"/>
  <c r="L118" i="4"/>
  <c r="J1308" i="1"/>
  <c r="L134" i="4"/>
  <c r="J1324" i="1"/>
  <c r="K155" i="4"/>
  <c r="J155" i="4" s="1"/>
  <c r="D184" i="4"/>
  <c r="L180" i="4"/>
  <c r="J1370" i="1"/>
  <c r="J180" i="4"/>
  <c r="I1370" i="1" s="1"/>
  <c r="L197" i="4"/>
  <c r="J1387" i="1"/>
  <c r="J197" i="4"/>
  <c r="I1387" i="1" s="1"/>
  <c r="K201" i="4"/>
  <c r="J201" i="4" s="1"/>
  <c r="L237" i="4"/>
  <c r="J1427" i="1"/>
  <c r="D260" i="4"/>
  <c r="J260" i="4" s="1"/>
  <c r="J272" i="4"/>
  <c r="K276" i="4"/>
  <c r="J276" i="4" s="1"/>
  <c r="L302" i="4"/>
  <c r="J1492" i="1"/>
  <c r="J302" i="4"/>
  <c r="I1492" i="1" s="1"/>
  <c r="J1550" i="1"/>
  <c r="L360" i="4"/>
  <c r="J360" i="4"/>
  <c r="I1550" i="1" s="1"/>
  <c r="K363" i="4"/>
  <c r="J363" i="4" s="1"/>
  <c r="J34" i="5"/>
  <c r="I1590" i="1" s="1"/>
  <c r="I1594" i="1" s="1"/>
  <c r="D314" i="5"/>
  <c r="D316" i="5" s="1"/>
  <c r="D326" i="5" s="1"/>
  <c r="D328" i="5" s="1"/>
  <c r="J312" i="5"/>
  <c r="J1109" i="1"/>
  <c r="L217" i="3"/>
  <c r="L272" i="3"/>
  <c r="J1164" i="1"/>
  <c r="L14" i="4"/>
  <c r="J1204" i="1"/>
  <c r="J145" i="1" s="1"/>
  <c r="L27" i="4"/>
  <c r="J1217" i="1"/>
  <c r="K36" i="4"/>
  <c r="K45" i="4"/>
  <c r="J45" i="4" s="1"/>
  <c r="L77" i="4"/>
  <c r="J1267" i="1"/>
  <c r="J1280" i="1"/>
  <c r="J427" i="1" s="1"/>
  <c r="L90" i="4"/>
  <c r="L113" i="4"/>
  <c r="J1303" i="1"/>
  <c r="L125" i="4"/>
  <c r="J1315" i="1"/>
  <c r="L162" i="4"/>
  <c r="J1352" i="1"/>
  <c r="J1401" i="1"/>
  <c r="J211" i="4"/>
  <c r="I1401" i="1" s="1"/>
  <c r="I1405" i="1" s="1"/>
  <c r="K371" i="4"/>
  <c r="L234" i="4"/>
  <c r="J1424" i="1"/>
  <c r="K243" i="4"/>
  <c r="L320" i="4"/>
  <c r="J1510" i="1"/>
  <c r="J320" i="4"/>
  <c r="I1510" i="1" s="1"/>
  <c r="I1513" i="1" s="1"/>
  <c r="L341" i="4"/>
  <c r="J1531" i="1"/>
  <c r="J1533" i="1" s="1"/>
  <c r="J1537" i="1" s="1"/>
  <c r="J341" i="4"/>
  <c r="I1531" i="1" s="1"/>
  <c r="K343" i="4"/>
  <c r="L352" i="4"/>
  <c r="J1542" i="1"/>
  <c r="J358" i="1" s="1"/>
  <c r="J352" i="4"/>
  <c r="I1542" i="1" s="1"/>
  <c r="I358" i="1" s="1"/>
  <c r="L15" i="5"/>
  <c r="J1571" i="1"/>
  <c r="J15" i="5"/>
  <c r="I1571" i="1" s="1"/>
  <c r="L28" i="5"/>
  <c r="J1584" i="1"/>
  <c r="J28" i="5"/>
  <c r="I1584" i="1" s="1"/>
  <c r="D231" i="5"/>
  <c r="D233" i="5" s="1"/>
  <c r="K133" i="3"/>
  <c r="D36" i="3"/>
  <c r="D133" i="3"/>
  <c r="J151" i="3"/>
  <c r="I1043" i="1" s="1"/>
  <c r="J179" i="3"/>
  <c r="I1071" i="1" s="1"/>
  <c r="J1104" i="1"/>
  <c r="L212" i="3"/>
  <c r="J215" i="3"/>
  <c r="I1107" i="1" s="1"/>
  <c r="L220" i="3"/>
  <c r="J1112" i="1"/>
  <c r="J229" i="3"/>
  <c r="I1121" i="1" s="1"/>
  <c r="K250" i="3"/>
  <c r="J255" i="3"/>
  <c r="I1147" i="1" s="1"/>
  <c r="J270" i="3"/>
  <c r="I1162" i="1" s="1"/>
  <c r="D285" i="3"/>
  <c r="L9" i="4"/>
  <c r="J1199" i="1"/>
  <c r="J140" i="1" s="1"/>
  <c r="J12" i="4"/>
  <c r="I1202" i="1" s="1"/>
  <c r="I143" i="1" s="1"/>
  <c r="L30" i="4"/>
  <c r="J1220" i="1"/>
  <c r="J33" i="4"/>
  <c r="I1223" i="1" s="1"/>
  <c r="J42" i="4"/>
  <c r="I1232" i="1" s="1"/>
  <c r="J51" i="4"/>
  <c r="I1241" i="1" s="1"/>
  <c r="K64" i="4"/>
  <c r="J75" i="4"/>
  <c r="I1265" i="1" s="1"/>
  <c r="I1274" i="1" s="1"/>
  <c r="L80" i="4"/>
  <c r="J1270" i="1"/>
  <c r="J88" i="4"/>
  <c r="I1278" i="1" s="1"/>
  <c r="J1284" i="1"/>
  <c r="L94" i="4"/>
  <c r="J111" i="4"/>
  <c r="I1301" i="1" s="1"/>
  <c r="L116" i="4"/>
  <c r="J1306" i="1"/>
  <c r="J1310" i="1" s="1"/>
  <c r="K129" i="4"/>
  <c r="J129" i="4" s="1"/>
  <c r="J135" i="4"/>
  <c r="I1325" i="1" s="1"/>
  <c r="K149" i="4"/>
  <c r="L175" i="4"/>
  <c r="J1365" i="1"/>
  <c r="J178" i="4"/>
  <c r="I1368" i="1" s="1"/>
  <c r="J181" i="4"/>
  <c r="I1371" i="1" s="1"/>
  <c r="J188" i="4"/>
  <c r="I1378" i="1" s="1"/>
  <c r="I1383" i="1" s="1"/>
  <c r="J198" i="4"/>
  <c r="I1388" i="1" s="1"/>
  <c r="J306" i="4"/>
  <c r="I1496" i="1" s="1"/>
  <c r="L9" i="5"/>
  <c r="J1565" i="1"/>
  <c r="K21" i="5"/>
  <c r="J9" i="5"/>
  <c r="I1565" i="1" s="1"/>
  <c r="L19" i="5"/>
  <c r="J1575" i="1"/>
  <c r="J19" i="5"/>
  <c r="I1575" i="1" s="1"/>
  <c r="J50" i="5"/>
  <c r="I1606" i="1" s="1"/>
  <c r="I270" i="1" s="1"/>
  <c r="L258" i="4"/>
  <c r="J1448" i="1"/>
  <c r="L281" i="4"/>
  <c r="J1471" i="1"/>
  <c r="L307" i="4"/>
  <c r="J1497" i="1"/>
  <c r="L319" i="4"/>
  <c r="J1509" i="1"/>
  <c r="L328" i="4"/>
  <c r="J1518" i="1"/>
  <c r="L351" i="4"/>
  <c r="J1541" i="1"/>
  <c r="L14" i="5"/>
  <c r="J1570" i="1"/>
  <c r="L27" i="5"/>
  <c r="J1583" i="1"/>
  <c r="L35" i="5"/>
  <c r="J1591" i="1"/>
  <c r="L74" i="5"/>
  <c r="J1630" i="1"/>
  <c r="L84" i="5"/>
  <c r="J1640" i="1"/>
  <c r="L140" i="5"/>
  <c r="J1696" i="1"/>
  <c r="L154" i="5"/>
  <c r="J1710" i="1"/>
  <c r="J252" i="1" s="1"/>
  <c r="J162" i="5"/>
  <c r="I1718" i="1" s="1"/>
  <c r="K179" i="5"/>
  <c r="J179" i="5" s="1"/>
  <c r="J224" i="5"/>
  <c r="I1780" i="1" s="1"/>
  <c r="I1785" i="1" s="1"/>
  <c r="J265" i="5"/>
  <c r="I1821" i="1" s="1"/>
  <c r="L276" i="5"/>
  <c r="J1832" i="1"/>
  <c r="L298" i="5"/>
  <c r="L309" i="5"/>
  <c r="J1865" i="1"/>
  <c r="L322" i="5"/>
  <c r="J1878" i="1"/>
  <c r="J200" i="6"/>
  <c r="L356" i="6"/>
  <c r="M356" i="6" s="1"/>
  <c r="N356" i="6" s="1"/>
  <c r="K409" i="6"/>
  <c r="L50" i="5"/>
  <c r="J1606" i="1"/>
  <c r="J270" i="1" s="1"/>
  <c r="K60" i="5"/>
  <c r="L87" i="5"/>
  <c r="J1643" i="1"/>
  <c r="K92" i="5"/>
  <c r="J92" i="5" s="1"/>
  <c r="L130" i="5"/>
  <c r="J1686" i="1"/>
  <c r="K135" i="5"/>
  <c r="L177" i="5"/>
  <c r="J1733" i="1"/>
  <c r="L204" i="5"/>
  <c r="J1760" i="1"/>
  <c r="J260" i="1" s="1"/>
  <c r="L256" i="5"/>
  <c r="J1812" i="1"/>
  <c r="J277" i="1" s="1"/>
  <c r="K279" i="5"/>
  <c r="J279" i="5" s="1"/>
  <c r="D486" i="6"/>
  <c r="D488" i="6" s="1"/>
  <c r="D512" i="6" s="1"/>
  <c r="D514" i="6" s="1"/>
  <c r="J2436" i="1"/>
  <c r="L41" i="7"/>
  <c r="K2436" i="1" s="1"/>
  <c r="K2720" i="1"/>
  <c r="M325" i="7"/>
  <c r="K2722" i="1"/>
  <c r="M327" i="7"/>
  <c r="L177" i="4"/>
  <c r="J1367" i="1"/>
  <c r="L189" i="4"/>
  <c r="J1379" i="1"/>
  <c r="L240" i="4"/>
  <c r="J1430" i="1"/>
  <c r="L256" i="4"/>
  <c r="J1446" i="1"/>
  <c r="L305" i="4"/>
  <c r="J1495" i="1"/>
  <c r="L317" i="4"/>
  <c r="J1507" i="1"/>
  <c r="K323" i="4"/>
  <c r="J323" i="4" s="1"/>
  <c r="L361" i="4"/>
  <c r="J1551" i="1"/>
  <c r="L12" i="5"/>
  <c r="J1568" i="1"/>
  <c r="L25" i="5"/>
  <c r="J1581" i="1"/>
  <c r="K30" i="5"/>
  <c r="J30" i="5" s="1"/>
  <c r="K38" i="5"/>
  <c r="J38" i="5" s="1"/>
  <c r="J57" i="5"/>
  <c r="I1613" i="1" s="1"/>
  <c r="L72" i="5"/>
  <c r="J1628" i="1"/>
  <c r="L90" i="5"/>
  <c r="J1646" i="1"/>
  <c r="L105" i="5"/>
  <c r="J1661" i="1"/>
  <c r="L133" i="5"/>
  <c r="J1689" i="1"/>
  <c r="J164" i="5"/>
  <c r="I1720" i="1" s="1"/>
  <c r="J243" i="5"/>
  <c r="I1799" i="1" s="1"/>
  <c r="J259" i="5"/>
  <c r="K267" i="5"/>
  <c r="J267" i="5" s="1"/>
  <c r="L320" i="5"/>
  <c r="J1876" i="1"/>
  <c r="J320" i="5"/>
  <c r="I1876" i="1" s="1"/>
  <c r="J368" i="6"/>
  <c r="D409" i="6"/>
  <c r="D411" i="6" s="1"/>
  <c r="D444" i="6" s="1"/>
  <c r="D446" i="6" s="1"/>
  <c r="D506" i="7"/>
  <c r="L36" i="5"/>
  <c r="J1592" i="1"/>
  <c r="K52" i="5"/>
  <c r="L48" i="5"/>
  <c r="J1604" i="1"/>
  <c r="L75" i="5"/>
  <c r="J1631" i="1"/>
  <c r="L85" i="5"/>
  <c r="J1641" i="1"/>
  <c r="L128" i="5"/>
  <c r="J1684" i="1"/>
  <c r="L141" i="5"/>
  <c r="J1697" i="1"/>
  <c r="L155" i="5"/>
  <c r="J1711" i="1"/>
  <c r="J253" i="1" s="1"/>
  <c r="L175" i="5"/>
  <c r="J1731" i="1"/>
  <c r="L226" i="5"/>
  <c r="J1782" i="1"/>
  <c r="L243" i="5"/>
  <c r="J1799" i="1"/>
  <c r="J1801" i="1" s="1"/>
  <c r="J1803" i="1" s="1"/>
  <c r="J1805" i="1" s="1"/>
  <c r="L277" i="5"/>
  <c r="J1833" i="1"/>
  <c r="J2474" i="1"/>
  <c r="J79" i="7"/>
  <c r="I2474" i="1" s="1"/>
  <c r="K2488" i="1"/>
  <c r="M93" i="7"/>
  <c r="L2488" i="1" s="1"/>
  <c r="K2724" i="1"/>
  <c r="M329" i="7"/>
  <c r="J2809" i="1"/>
  <c r="J414" i="7"/>
  <c r="I2809" i="1" s="1"/>
  <c r="L414" i="7"/>
  <c r="K421" i="7"/>
  <c r="J421" i="7" s="1"/>
  <c r="J2892" i="1"/>
  <c r="J497" i="7"/>
  <c r="I2892" i="1" s="1"/>
  <c r="L497" i="7"/>
  <c r="L238" i="4"/>
  <c r="J1428" i="1"/>
  <c r="L250" i="4"/>
  <c r="J1440" i="1"/>
  <c r="L270" i="4"/>
  <c r="J1460" i="1"/>
  <c r="L293" i="4"/>
  <c r="L371" i="4" s="1"/>
  <c r="L303" i="4"/>
  <c r="J1493" i="1"/>
  <c r="L311" i="4"/>
  <c r="J1501" i="1"/>
  <c r="K356" i="4"/>
  <c r="J356" i="4" s="1"/>
  <c r="L10" i="5"/>
  <c r="J1566" i="1"/>
  <c r="L18" i="5"/>
  <c r="J1574" i="1"/>
  <c r="L70" i="5"/>
  <c r="J1626" i="1"/>
  <c r="L88" i="5"/>
  <c r="J1644" i="1"/>
  <c r="K108" i="5"/>
  <c r="L131" i="5"/>
  <c r="J1687" i="1"/>
  <c r="K166" i="5"/>
  <c r="J166" i="5" s="1"/>
  <c r="J194" i="5"/>
  <c r="L205" i="5"/>
  <c r="J1761" i="1"/>
  <c r="J261" i="1" s="1"/>
  <c r="L257" i="5"/>
  <c r="J1813" i="1"/>
  <c r="J278" i="1" s="1"/>
  <c r="M267" i="5"/>
  <c r="J292" i="5"/>
  <c r="I1848" i="1" s="1"/>
  <c r="J308" i="5"/>
  <c r="I1864" i="1" s="1"/>
  <c r="K2726" i="1"/>
  <c r="M331" i="7"/>
  <c r="J2773" i="1"/>
  <c r="L378" i="7"/>
  <c r="K384" i="7"/>
  <c r="J384" i="7" s="1"/>
  <c r="J378" i="7"/>
  <c r="I2773" i="1" s="1"/>
  <c r="L190" i="4"/>
  <c r="J1380" i="1"/>
  <c r="L233" i="4"/>
  <c r="J1423" i="1"/>
  <c r="L241" i="4"/>
  <c r="J1431" i="1"/>
  <c r="L257" i="4"/>
  <c r="J1447" i="1"/>
  <c r="L280" i="4"/>
  <c r="J1470" i="1"/>
  <c r="L306" i="4"/>
  <c r="J1496" i="1"/>
  <c r="L318" i="4"/>
  <c r="J1508" i="1"/>
  <c r="L327" i="4"/>
  <c r="J1517" i="1"/>
  <c r="L13" i="5"/>
  <c r="J1569" i="1"/>
  <c r="L26" i="5"/>
  <c r="J1582" i="1"/>
  <c r="L34" i="5"/>
  <c r="J1590" i="1"/>
  <c r="L73" i="5"/>
  <c r="J1629" i="1"/>
  <c r="K78" i="5"/>
  <c r="L106" i="5"/>
  <c r="J1662" i="1"/>
  <c r="L139" i="5"/>
  <c r="J1695" i="1"/>
  <c r="K144" i="5"/>
  <c r="J144" i="5" s="1"/>
  <c r="K158" i="5"/>
  <c r="J163" i="5"/>
  <c r="I1719" i="1" s="1"/>
  <c r="L166" i="5"/>
  <c r="K216" i="5"/>
  <c r="J216" i="5" s="1"/>
  <c r="K229" i="5"/>
  <c r="J229" i="5" s="1"/>
  <c r="L275" i="5"/>
  <c r="J1831" i="1"/>
  <c r="L292" i="5"/>
  <c r="J1848" i="1"/>
  <c r="J1850" i="1" s="1"/>
  <c r="L321" i="5"/>
  <c r="J1877" i="1"/>
  <c r="J19" i="6"/>
  <c r="K2728" i="1"/>
  <c r="K220" i="1" s="1"/>
  <c r="M333" i="7"/>
  <c r="L248" i="4"/>
  <c r="J1438" i="1"/>
  <c r="L309" i="4"/>
  <c r="J1499" i="1"/>
  <c r="L321" i="4"/>
  <c r="K1511" i="1" s="1"/>
  <c r="J1511" i="1"/>
  <c r="L353" i="4"/>
  <c r="J1543" i="1"/>
  <c r="L16" i="5"/>
  <c r="J1572" i="1"/>
  <c r="L49" i="5"/>
  <c r="J1605" i="1"/>
  <c r="J269" i="1" s="1"/>
  <c r="L76" i="5"/>
  <c r="J1632" i="1"/>
  <c r="L86" i="5"/>
  <c r="J1642" i="1"/>
  <c r="J114" i="5"/>
  <c r="I1670" i="1" s="1"/>
  <c r="I1672" i="1" s="1"/>
  <c r="L129" i="5"/>
  <c r="J1685" i="1"/>
  <c r="L142" i="5"/>
  <c r="J1698" i="1"/>
  <c r="L156" i="5"/>
  <c r="J1712" i="1"/>
  <c r="J254" i="1" s="1"/>
  <c r="M166" i="5"/>
  <c r="L176" i="5"/>
  <c r="J1732" i="1"/>
  <c r="L192" i="5"/>
  <c r="J1748" i="1"/>
  <c r="J1750" i="1" s="1"/>
  <c r="J1752" i="1" s="1"/>
  <c r="J1754" i="1" s="1"/>
  <c r="K208" i="5"/>
  <c r="J213" i="5"/>
  <c r="I1769" i="1" s="1"/>
  <c r="L216" i="5"/>
  <c r="L227" i="5"/>
  <c r="L229" i="5" s="1"/>
  <c r="J1783" i="1"/>
  <c r="L255" i="5"/>
  <c r="J1811" i="1"/>
  <c r="J263" i="5"/>
  <c r="I1819" i="1" s="1"/>
  <c r="K324" i="5"/>
  <c r="J324" i="5" s="1"/>
  <c r="J429" i="6"/>
  <c r="J2438" i="1"/>
  <c r="J2440" i="1" s="1"/>
  <c r="L43" i="7"/>
  <c r="K2438" i="1" s="1"/>
  <c r="J2777" i="1"/>
  <c r="J433" i="1" s="1"/>
  <c r="L382" i="7"/>
  <c r="J382" i="7"/>
  <c r="I2777" i="1" s="1"/>
  <c r="I433" i="1" s="1"/>
  <c r="J506" i="7"/>
  <c r="L71" i="5"/>
  <c r="J1627" i="1"/>
  <c r="L89" i="5"/>
  <c r="J1645" i="1"/>
  <c r="L104" i="5"/>
  <c r="J1660" i="1"/>
  <c r="L114" i="5"/>
  <c r="J1670" i="1"/>
  <c r="J1672" i="1" s="1"/>
  <c r="L132" i="5"/>
  <c r="J1688" i="1"/>
  <c r="L206" i="5"/>
  <c r="J1762" i="1"/>
  <c r="J262" i="1" s="1"/>
  <c r="J1854" i="1"/>
  <c r="J1856" i="1" s="1"/>
  <c r="J298" i="5"/>
  <c r="I1854" i="1" s="1"/>
  <c r="J191" i="7"/>
  <c r="K199" i="7"/>
  <c r="J199" i="7" s="1"/>
  <c r="K2856" i="1"/>
  <c r="L463" i="7"/>
  <c r="K2858" i="1" s="1"/>
  <c r="L381" i="7"/>
  <c r="L418" i="7"/>
  <c r="L501" i="7"/>
  <c r="L308" i="5"/>
  <c r="J1864" i="1"/>
  <c r="K110" i="6"/>
  <c r="J302" i="6"/>
  <c r="J435" i="6"/>
  <c r="J78" i="7"/>
  <c r="I2473" i="1" s="1"/>
  <c r="D128" i="7"/>
  <c r="D373" i="7"/>
  <c r="J315" i="7"/>
  <c r="M394" i="7"/>
  <c r="J503" i="7"/>
  <c r="I2898" i="1" s="1"/>
  <c r="D537" i="7"/>
  <c r="L413" i="7"/>
  <c r="L496" i="7"/>
  <c r="L504" i="7"/>
  <c r="D62" i="7"/>
  <c r="D201" i="7"/>
  <c r="L324" i="7"/>
  <c r="J327" i="7"/>
  <c r="I2722" i="1" s="1"/>
  <c r="J402" i="7"/>
  <c r="L379" i="7"/>
  <c r="L416" i="7"/>
  <c r="L499" i="7"/>
  <c r="J350" i="2"/>
  <c r="I834" i="1" s="1"/>
  <c r="M332" i="7"/>
  <c r="K336" i="7"/>
  <c r="J336" i="7" s="1"/>
  <c r="J418" i="7"/>
  <c r="I2813" i="1" s="1"/>
  <c r="J501" i="7"/>
  <c r="I2896" i="1" s="1"/>
  <c r="L419" i="7"/>
  <c r="L502" i="7"/>
  <c r="L377" i="7"/>
  <c r="J83" i="7"/>
  <c r="I2478" i="1" s="1"/>
  <c r="J106" i="7"/>
  <c r="I2501" i="1" s="1"/>
  <c r="D271" i="7"/>
  <c r="D281" i="7"/>
  <c r="J380" i="7"/>
  <c r="I2775" i="1" s="1"/>
  <c r="J416" i="7"/>
  <c r="I2811" i="1" s="1"/>
  <c r="I2816" i="1" s="1"/>
  <c r="J499" i="7"/>
  <c r="I2894" i="1" s="1"/>
  <c r="J520" i="7"/>
  <c r="I2915" i="1" s="1"/>
  <c r="J532" i="7"/>
  <c r="I2927" i="1" s="1"/>
  <c r="L380" i="7"/>
  <c r="L417" i="7"/>
  <c r="L500" i="7"/>
  <c r="D345" i="7"/>
  <c r="L503" i="7"/>
  <c r="L310" i="5"/>
  <c r="J1866" i="1"/>
  <c r="J356" i="6"/>
  <c r="D28" i="7"/>
  <c r="D30" i="7" s="1"/>
  <c r="D32" i="7" s="1"/>
  <c r="M326" i="7"/>
  <c r="M330" i="7"/>
  <c r="M334" i="7"/>
  <c r="L415" i="7"/>
  <c r="L498" i="7"/>
  <c r="J212" i="2"/>
  <c r="I696" i="1" s="1"/>
  <c r="K396" i="8"/>
  <c r="M108" i="6"/>
  <c r="J2356" i="1"/>
  <c r="J2267" i="1"/>
  <c r="J2339" i="1"/>
  <c r="K2346" i="1"/>
  <c r="K2342" i="1"/>
  <c r="K2263" i="1"/>
  <c r="L2260" i="1"/>
  <c r="N529" i="8"/>
  <c r="L3462" i="1"/>
  <c r="M465" i="6"/>
  <c r="K2347" i="1"/>
  <c r="N457" i="6"/>
  <c r="O2339" i="1" s="1"/>
  <c r="L2339" i="1"/>
  <c r="L2342" i="1"/>
  <c r="L3376" i="1"/>
  <c r="N443" i="8"/>
  <c r="O3376" i="1" s="1"/>
  <c r="J2269" i="1"/>
  <c r="J2344" i="1"/>
  <c r="J2343" i="1"/>
  <c r="J1968" i="1"/>
  <c r="J2261" i="1"/>
  <c r="J2338" i="1"/>
  <c r="M455" i="6"/>
  <c r="K2337" i="1"/>
  <c r="K2340" i="1"/>
  <c r="K2339" i="1"/>
  <c r="K2260" i="1"/>
  <c r="L2266" i="1"/>
  <c r="N440" i="8"/>
  <c r="O3373" i="1" s="1"/>
  <c r="L3373" i="1"/>
  <c r="J2278" i="1"/>
  <c r="M387" i="6"/>
  <c r="K2269" i="1"/>
  <c r="J2346" i="1"/>
  <c r="N462" i="6"/>
  <c r="O2344" i="1" s="1"/>
  <c r="L2344" i="1"/>
  <c r="J2264" i="1"/>
  <c r="J2341" i="1"/>
  <c r="J2340" i="1"/>
  <c r="J1967" i="1"/>
  <c r="N379" i="6"/>
  <c r="O2261" i="1" s="1"/>
  <c r="L2261" i="1"/>
  <c r="M456" i="6"/>
  <c r="K2338" i="1"/>
  <c r="J2336" i="1"/>
  <c r="K3255" i="1"/>
  <c r="K2343" i="1"/>
  <c r="K2261" i="1"/>
  <c r="N444" i="8"/>
  <c r="O3377" i="1" s="1"/>
  <c r="L3377" i="1"/>
  <c r="N464" i="6"/>
  <c r="O2346" i="1" s="1"/>
  <c r="L2346" i="1"/>
  <c r="M382" i="6"/>
  <c r="K2264" i="1"/>
  <c r="M459" i="6"/>
  <c r="K2341" i="1"/>
  <c r="K2336" i="1"/>
  <c r="L2267" i="1"/>
  <c r="N322" i="8"/>
  <c r="O3255" i="1" s="1"/>
  <c r="L3255" i="1"/>
  <c r="J1978" i="1"/>
  <c r="J2268" i="1"/>
  <c r="M383" i="6"/>
  <c r="K2265" i="1"/>
  <c r="J2263" i="1"/>
  <c r="K2267" i="1"/>
  <c r="K2344" i="1"/>
  <c r="K2258" i="1"/>
  <c r="L2343" i="1"/>
  <c r="L2340" i="1"/>
  <c r="M386" i="6"/>
  <c r="K2268" i="1"/>
  <c r="M380" i="6"/>
  <c r="K2262" i="1"/>
  <c r="M377" i="6"/>
  <c r="K2259" i="1"/>
  <c r="K2266" i="1"/>
  <c r="L2263" i="1"/>
  <c r="L2336" i="1"/>
  <c r="J464" i="6"/>
  <c r="I2346" i="1" s="1"/>
  <c r="J1971" i="1"/>
  <c r="J2171" i="1"/>
  <c r="M463" i="6"/>
  <c r="K2345" i="1"/>
  <c r="J2166" i="1"/>
  <c r="J2165" i="1"/>
  <c r="J2258" i="1"/>
  <c r="L2258" i="1"/>
  <c r="N435" i="8"/>
  <c r="L3368" i="1"/>
  <c r="L323" i="8"/>
  <c r="J2024" i="1"/>
  <c r="M143" i="6"/>
  <c r="N143" i="6" s="1"/>
  <c r="K2025" i="1"/>
  <c r="K2024" i="1"/>
  <c r="L2024" i="1"/>
  <c r="J2027" i="1"/>
  <c r="J2108" i="1"/>
  <c r="M425" i="6"/>
  <c r="K2307" i="1"/>
  <c r="L340" i="6"/>
  <c r="J2222" i="1"/>
  <c r="J189" i="7"/>
  <c r="I2584" i="1" s="1"/>
  <c r="I107" i="1" s="1"/>
  <c r="I109" i="1" s="1"/>
  <c r="J2949" i="1"/>
  <c r="J311" i="7"/>
  <c r="I2706" i="1" s="1"/>
  <c r="I126" i="1" s="1"/>
  <c r="I128" i="1" s="1"/>
  <c r="N349" i="6"/>
  <c r="J195" i="7"/>
  <c r="I2590" i="1" s="1"/>
  <c r="I115" i="1" s="1"/>
  <c r="D560" i="8"/>
  <c r="N239" i="1"/>
  <c r="N219" i="1"/>
  <c r="N210" i="1"/>
  <c r="N230" i="1"/>
  <c r="N224" i="1"/>
  <c r="N218" i="1"/>
  <c r="N215" i="1"/>
  <c r="N213" i="1"/>
  <c r="N242" i="1"/>
  <c r="N216" i="1"/>
  <c r="H2368" i="1"/>
  <c r="H2370" i="1" s="1"/>
  <c r="H2394" i="1" s="1"/>
  <c r="H2396" i="1" s="1"/>
  <c r="F2368" i="1"/>
  <c r="F2370" i="1" s="1"/>
  <c r="F2394" i="1" s="1"/>
  <c r="F2396" i="1" s="1"/>
  <c r="C3153" i="1"/>
  <c r="C3155" i="1" s="1"/>
  <c r="C3183" i="1" s="1"/>
  <c r="F3153" i="1"/>
  <c r="F3155" i="1" s="1"/>
  <c r="F3183" i="1" s="1"/>
  <c r="D2368" i="1"/>
  <c r="D2370" i="1" s="1"/>
  <c r="D2394" i="1" s="1"/>
  <c r="D2396" i="1" s="1"/>
  <c r="C1825" i="1"/>
  <c r="C1827" i="1" s="1"/>
  <c r="C1837" i="1" s="1"/>
  <c r="C1839" i="1" s="1"/>
  <c r="G1702" i="1"/>
  <c r="G1704" i="1" s="1"/>
  <c r="D2152" i="1"/>
  <c r="D2154" i="1" s="1"/>
  <c r="F2542" i="1"/>
  <c r="F2544" i="1" s="1"/>
  <c r="F2559" i="1" s="1"/>
  <c r="F2561" i="1" s="1"/>
  <c r="E2194" i="1"/>
  <c r="E2196" i="1" s="1"/>
  <c r="E2542" i="1"/>
  <c r="E2544" i="1" s="1"/>
  <c r="E2559" i="1" s="1"/>
  <c r="E2561" i="1" s="1"/>
  <c r="D18" i="1"/>
  <c r="F18" i="1"/>
  <c r="D1393" i="1"/>
  <c r="D1395" i="1" s="1"/>
  <c r="N2368" i="1"/>
  <c r="N2370" i="1" s="1"/>
  <c r="H1774" i="1"/>
  <c r="H1776" i="1" s="1"/>
  <c r="H1787" i="1" s="1"/>
  <c r="H1789" i="1" s="1"/>
  <c r="F1825" i="1"/>
  <c r="F1827" i="1" s="1"/>
  <c r="F1837" i="1" s="1"/>
  <c r="F1839" i="1" s="1"/>
  <c r="H1724" i="1"/>
  <c r="H1726" i="1" s="1"/>
  <c r="F1724" i="1"/>
  <c r="F1726" i="1" s="1"/>
  <c r="C18" i="1"/>
  <c r="C2152" i="1"/>
  <c r="C2154" i="1" s="1"/>
  <c r="N2750" i="1"/>
  <c r="N2752" i="1" s="1"/>
  <c r="N2781" i="1" s="1"/>
  <c r="C2459" i="1"/>
  <c r="C2461" i="1" s="1"/>
  <c r="F3131" i="1"/>
  <c r="F3133" i="1" s="1"/>
  <c r="F3135" i="1" s="1"/>
  <c r="H2542" i="1"/>
  <c r="H2544" i="1" s="1"/>
  <c r="H2559" i="1" s="1"/>
  <c r="H2561" i="1" s="1"/>
  <c r="H1133" i="1"/>
  <c r="H1135" i="1" s="1"/>
  <c r="M1245" i="1"/>
  <c r="M1247" i="1" s="1"/>
  <c r="M1290" i="1" s="1"/>
  <c r="M1292" i="1" s="1"/>
  <c r="G1347" i="1"/>
  <c r="M1774" i="1"/>
  <c r="M1776" i="1" s="1"/>
  <c r="M1787" i="1" s="1"/>
  <c r="M1789" i="1" s="1"/>
  <c r="G1825" i="1"/>
  <c r="G1827" i="1" s="1"/>
  <c r="G1837" i="1" s="1"/>
  <c r="G1839" i="1" s="1"/>
  <c r="M3398" i="1"/>
  <c r="M3400" i="1" s="1"/>
  <c r="M3423" i="1" s="1"/>
  <c r="B13" i="9"/>
  <c r="G687" i="1"/>
  <c r="G689" i="1" s="1"/>
  <c r="M2657" i="1"/>
  <c r="H2594" i="1"/>
  <c r="H2596" i="1" s="1"/>
  <c r="H2750" i="1"/>
  <c r="H2752" i="1" s="1"/>
  <c r="H2781" i="1" s="1"/>
  <c r="E2750" i="1"/>
  <c r="E2752" i="1" s="1"/>
  <c r="E2781" i="1" s="1"/>
  <c r="D1939" i="1"/>
  <c r="E1596" i="1"/>
  <c r="E1598" i="1" s="1"/>
  <c r="E1650" i="1" s="1"/>
  <c r="E1652" i="1" s="1"/>
  <c r="N1724" i="1"/>
  <c r="N1726" i="1" s="1"/>
  <c r="M1702" i="1"/>
  <c r="M1704" i="1" s="1"/>
  <c r="G1724" i="1"/>
  <c r="G1726" i="1" s="1"/>
  <c r="D1724" i="1"/>
  <c r="D1726" i="1" s="1"/>
  <c r="F1774" i="1"/>
  <c r="F1776" i="1" s="1"/>
  <c r="F1787" i="1" s="1"/>
  <c r="F1789" i="1" s="1"/>
  <c r="E1825" i="1"/>
  <c r="E1827" i="1" s="1"/>
  <c r="E1837" i="1" s="1"/>
  <c r="E1839" i="1" s="1"/>
  <c r="H2101" i="1"/>
  <c r="H2103" i="1" s="1"/>
  <c r="H2126" i="1" s="1"/>
  <c r="H2128" i="1" s="1"/>
  <c r="G3153" i="1"/>
  <c r="G3155" i="1" s="1"/>
  <c r="F708" i="1"/>
  <c r="E708" i="1"/>
  <c r="D708" i="1"/>
  <c r="F781" i="1"/>
  <c r="F783" i="1" s="1"/>
  <c r="F813" i="1" s="1"/>
  <c r="F815" i="1" s="1"/>
  <c r="C2986" i="1"/>
  <c r="C3005" i="1" s="1"/>
  <c r="C3007" i="1" s="1"/>
  <c r="M2986" i="1"/>
  <c r="M3005" i="1" s="1"/>
  <c r="M3007" i="1" s="1"/>
  <c r="G2986" i="1"/>
  <c r="G3005" i="1" s="1"/>
  <c r="G3007" i="1" s="1"/>
  <c r="E2986" i="1"/>
  <c r="E3005" i="1" s="1"/>
  <c r="E3007" i="1" s="1"/>
  <c r="E3044" i="1"/>
  <c r="E3046" i="1" s="1"/>
  <c r="E3087" i="1" s="1"/>
  <c r="E3089" i="1" s="1"/>
  <c r="E1347" i="1"/>
  <c r="F1393" i="1"/>
  <c r="F1395" i="1" s="1"/>
  <c r="H1674" i="1"/>
  <c r="H1676" i="1" s="1"/>
  <c r="F1674" i="1"/>
  <c r="F1676" i="1" s="1"/>
  <c r="D1674" i="1"/>
  <c r="D1676" i="1" s="1"/>
  <c r="H1702" i="1"/>
  <c r="H1704" i="1" s="1"/>
  <c r="E1702" i="1"/>
  <c r="E1704" i="1" s="1"/>
  <c r="G1858" i="1"/>
  <c r="G1882" i="1" s="1"/>
  <c r="G1884" i="1" s="1"/>
  <c r="C1347" i="1"/>
  <c r="H3153" i="1"/>
  <c r="H3155" i="1" s="1"/>
  <c r="H3183" i="1" s="1"/>
  <c r="H3398" i="1"/>
  <c r="H3400" i="1" s="1"/>
  <c r="H3423" i="1" s="1"/>
  <c r="G3398" i="1"/>
  <c r="G3400" i="1" s="1"/>
  <c r="G3423" i="1" s="1"/>
  <c r="F3398" i="1"/>
  <c r="F3400" i="1" s="1"/>
  <c r="F3423" i="1" s="1"/>
  <c r="E3398" i="1"/>
  <c r="E3400" i="1" s="1"/>
  <c r="E3423" i="1" s="1"/>
  <c r="D3398" i="1"/>
  <c r="D3400" i="1" s="1"/>
  <c r="D3423" i="1" s="1"/>
  <c r="G3484" i="1"/>
  <c r="G3486" i="1" s="1"/>
  <c r="G3495" i="1" s="1"/>
  <c r="N2633" i="1"/>
  <c r="N2635" i="1" s="1"/>
  <c r="E2657" i="1"/>
  <c r="E2594" i="1"/>
  <c r="E2596" i="1" s="1"/>
  <c r="F3044" i="1"/>
  <c r="F3046" i="1" s="1"/>
  <c r="F3087" i="1" s="1"/>
  <c r="F3089" i="1" s="1"/>
  <c r="F2017" i="1"/>
  <c r="H1347" i="1"/>
  <c r="G1329" i="1"/>
  <c r="G1331" i="1" s="1"/>
  <c r="M1825" i="1"/>
  <c r="M1827" i="1" s="1"/>
  <c r="M1837" i="1" s="1"/>
  <c r="M1839" i="1" s="1"/>
  <c r="C1393" i="1"/>
  <c r="C1395" i="1" s="1"/>
  <c r="G3131" i="1"/>
  <c r="G3133" i="1" s="1"/>
  <c r="G3135" i="1" s="1"/>
  <c r="M2542" i="1"/>
  <c r="M2544" i="1" s="1"/>
  <c r="M2559" i="1" s="1"/>
  <c r="M2561" i="1" s="1"/>
  <c r="G2542" i="1"/>
  <c r="G2544" i="1" s="1"/>
  <c r="G2559" i="1" s="1"/>
  <c r="G2561" i="1" s="1"/>
  <c r="G2594" i="1"/>
  <c r="G2596" i="1" s="1"/>
  <c r="F2594" i="1"/>
  <c r="F2596" i="1" s="1"/>
  <c r="N3044" i="1"/>
  <c r="N3046" i="1" s="1"/>
  <c r="N3087" i="1" s="1"/>
  <c r="N3089" i="1" s="1"/>
  <c r="F861" i="1"/>
  <c r="F863" i="1" s="1"/>
  <c r="M1329" i="1"/>
  <c r="M1331" i="1" s="1"/>
  <c r="N1393" i="1"/>
  <c r="N1395" i="1" s="1"/>
  <c r="E1452" i="1"/>
  <c r="E1454" i="1" s="1"/>
  <c r="E1475" i="1" s="1"/>
  <c r="E1477" i="1" s="1"/>
  <c r="F1523" i="1"/>
  <c r="F1525" i="1" s="1"/>
  <c r="F1555" i="1" s="1"/>
  <c r="F1557" i="1" s="1"/>
  <c r="M1858" i="1"/>
  <c r="M1882" i="1" s="1"/>
  <c r="M1884" i="1" s="1"/>
  <c r="E2152" i="1"/>
  <c r="E2154" i="1" s="1"/>
  <c r="E2291" i="1"/>
  <c r="E2293" i="1" s="1"/>
  <c r="M2368" i="1"/>
  <c r="M2370" i="1" s="1"/>
  <c r="M2394" i="1" s="1"/>
  <c r="M2396" i="1" s="1"/>
  <c r="C290" i="1"/>
  <c r="C292" i="1" s="1"/>
  <c r="B35" i="9" s="1"/>
  <c r="C1995" i="1"/>
  <c r="C1724" i="1"/>
  <c r="C1726" i="1" s="1"/>
  <c r="N3153" i="1"/>
  <c r="N3155" i="1" s="1"/>
  <c r="N3183" i="1" s="1"/>
  <c r="D3153" i="1"/>
  <c r="D3155" i="1" s="1"/>
  <c r="D3183" i="1" s="1"/>
  <c r="E781" i="1"/>
  <c r="E783" i="1" s="1"/>
  <c r="E813" i="1" s="1"/>
  <c r="E815" i="1" s="1"/>
  <c r="C3044" i="1"/>
  <c r="C3046" i="1" s="1"/>
  <c r="C3087" i="1" s="1"/>
  <c r="C3089" i="1" s="1"/>
  <c r="G1939" i="1"/>
  <c r="M947" i="1"/>
  <c r="M949" i="1" s="1"/>
  <c r="M970" i="1" s="1"/>
  <c r="M972" i="1" s="1"/>
  <c r="M1347" i="1"/>
  <c r="D1347" i="1"/>
  <c r="M1523" i="1"/>
  <c r="M1525" i="1" s="1"/>
  <c r="M1555" i="1" s="1"/>
  <c r="M1557" i="1" s="1"/>
  <c r="N1858" i="1"/>
  <c r="N1882" i="1" s="1"/>
  <c r="N1884" i="1" s="1"/>
  <c r="H1858" i="1"/>
  <c r="H1882" i="1" s="1"/>
  <c r="H1884" i="1" s="1"/>
  <c r="E28" i="1"/>
  <c r="N3484" i="1"/>
  <c r="N3486" i="1" s="1"/>
  <c r="N3495" i="1" s="1"/>
  <c r="G3044" i="1"/>
  <c r="G3046" i="1" s="1"/>
  <c r="G3087" i="1" s="1"/>
  <c r="G3089" i="1" s="1"/>
  <c r="G947" i="1"/>
  <c r="G949" i="1" s="1"/>
  <c r="G970" i="1" s="1"/>
  <c r="G972" i="1" s="1"/>
  <c r="G1245" i="1"/>
  <c r="G1247" i="1" s="1"/>
  <c r="G1290" i="1" s="1"/>
  <c r="G1292" i="1" s="1"/>
  <c r="E1329" i="1"/>
  <c r="E1331" i="1" s="1"/>
  <c r="F1596" i="1"/>
  <c r="F1598" i="1" s="1"/>
  <c r="F1650" i="1" s="1"/>
  <c r="F1652" i="1" s="1"/>
  <c r="M1674" i="1"/>
  <c r="M1676" i="1" s="1"/>
  <c r="M1724" i="1"/>
  <c r="M1726" i="1" s="1"/>
  <c r="D2101" i="1"/>
  <c r="D2103" i="1" s="1"/>
  <c r="D2126" i="1" s="1"/>
  <c r="D2128" i="1" s="1"/>
  <c r="N2194" i="1"/>
  <c r="N2196" i="1" s="1"/>
  <c r="M2152" i="1"/>
  <c r="M2154" i="1" s="1"/>
  <c r="E2920" i="1"/>
  <c r="E2922" i="1" s="1"/>
  <c r="E2934" i="1" s="1"/>
  <c r="E2936" i="1" s="1"/>
  <c r="C1027" i="1"/>
  <c r="C1029" i="1" s="1"/>
  <c r="M3153" i="1"/>
  <c r="M3155" i="1" s="1"/>
  <c r="M3183" i="1" s="1"/>
  <c r="G708" i="1"/>
  <c r="N781" i="1"/>
  <c r="N783" i="1" s="1"/>
  <c r="N813" i="1" s="1"/>
  <c r="N815" i="1" s="1"/>
  <c r="H3044" i="1"/>
  <c r="H3046" i="1" s="1"/>
  <c r="H3087" i="1" s="1"/>
  <c r="H3089" i="1" s="1"/>
  <c r="F1993" i="1"/>
  <c r="F1995" i="1" s="1"/>
  <c r="G861" i="1"/>
  <c r="G863" i="1" s="1"/>
  <c r="E947" i="1"/>
  <c r="E949" i="1" s="1"/>
  <c r="E970" i="1" s="1"/>
  <c r="E972" i="1" s="1"/>
  <c r="N1187" i="1"/>
  <c r="N1189" i="1" s="1"/>
  <c r="N1191" i="1" s="1"/>
  <c r="H1187" i="1"/>
  <c r="H1189" i="1" s="1"/>
  <c r="H1191" i="1" s="1"/>
  <c r="D1187" i="1"/>
  <c r="D1189" i="1" s="1"/>
  <c r="D1191" i="1" s="1"/>
  <c r="N1347" i="1"/>
  <c r="G1452" i="1"/>
  <c r="G1454" i="1" s="1"/>
  <c r="G1475" i="1" s="1"/>
  <c r="G1477" i="1" s="1"/>
  <c r="E1523" i="1"/>
  <c r="E1525" i="1" s="1"/>
  <c r="E1555" i="1" s="1"/>
  <c r="E1557" i="1" s="1"/>
  <c r="D1774" i="1"/>
  <c r="D1776" i="1" s="1"/>
  <c r="D1787" i="1" s="1"/>
  <c r="D1789" i="1" s="1"/>
  <c r="E1858" i="1"/>
  <c r="E1882" i="1" s="1"/>
  <c r="E1884" i="1" s="1"/>
  <c r="N2101" i="1"/>
  <c r="N2103" i="1" s="1"/>
  <c r="N2126" i="1" s="1"/>
  <c r="N2128" i="1" s="1"/>
  <c r="F2920" i="1"/>
  <c r="F2922" i="1" s="1"/>
  <c r="F2934" i="1" s="1"/>
  <c r="F2936" i="1" s="1"/>
  <c r="C1245" i="1"/>
  <c r="C1247" i="1" s="1"/>
  <c r="C1290" i="1" s="1"/>
  <c r="C1292" i="1" s="1"/>
  <c r="G3183" i="1"/>
  <c r="E3131" i="1"/>
  <c r="E3133" i="1" s="1"/>
  <c r="E3135" i="1" s="1"/>
  <c r="N3398" i="1"/>
  <c r="N3400" i="1" s="1"/>
  <c r="N3423" i="1" s="1"/>
  <c r="N2657" i="1"/>
  <c r="G2657" i="1"/>
  <c r="H2920" i="1"/>
  <c r="H2922" i="1" s="1"/>
  <c r="H2934" i="1" s="1"/>
  <c r="H2936" i="1" s="1"/>
  <c r="C1858" i="1"/>
  <c r="C1882" i="1" s="1"/>
  <c r="C1884" i="1" s="1"/>
  <c r="E18" i="1"/>
  <c r="H3131" i="1"/>
  <c r="H3133" i="1" s="1"/>
  <c r="H3135" i="1" s="1"/>
  <c r="D3131" i="1"/>
  <c r="D3133" i="1" s="1"/>
  <c r="D3135" i="1" s="1"/>
  <c r="H708" i="1"/>
  <c r="G781" i="1"/>
  <c r="G783" i="1" s="1"/>
  <c r="G813" i="1" s="1"/>
  <c r="G815" i="1" s="1"/>
  <c r="M3484" i="1"/>
  <c r="M3486" i="1" s="1"/>
  <c r="H3484" i="1"/>
  <c r="H3486" i="1" s="1"/>
  <c r="H3495" i="1" s="1"/>
  <c r="E3484" i="1"/>
  <c r="E3486" i="1" s="1"/>
  <c r="E3495" i="1" s="1"/>
  <c r="D2542" i="1"/>
  <c r="D2544" i="1" s="1"/>
  <c r="D2559" i="1" s="1"/>
  <c r="D2561" i="1" s="1"/>
  <c r="N2594" i="1"/>
  <c r="N2596" i="1" s="1"/>
  <c r="D2594" i="1"/>
  <c r="D2596" i="1" s="1"/>
  <c r="G2750" i="1"/>
  <c r="G2752" i="1" s="1"/>
  <c r="G2781" i="1" s="1"/>
  <c r="G2194" i="1"/>
  <c r="G2196" i="1" s="1"/>
  <c r="C1596" i="1"/>
  <c r="C1598" i="1" s="1"/>
  <c r="C1650" i="1" s="1"/>
  <c r="C1652" i="1" s="1"/>
  <c r="E3153" i="1"/>
  <c r="E3155" i="1" s="1"/>
  <c r="E3183" i="1" s="1"/>
  <c r="F687" i="1"/>
  <c r="F689" i="1" s="1"/>
  <c r="E687" i="1"/>
  <c r="E689" i="1" s="1"/>
  <c r="D687" i="1"/>
  <c r="D689" i="1" s="1"/>
  <c r="M781" i="1"/>
  <c r="M783" i="1" s="1"/>
  <c r="M813" i="1" s="1"/>
  <c r="M815" i="1" s="1"/>
  <c r="H781" i="1"/>
  <c r="H783" i="1" s="1"/>
  <c r="H813" i="1" s="1"/>
  <c r="H815" i="1" s="1"/>
  <c r="D781" i="1"/>
  <c r="D783" i="1" s="1"/>
  <c r="D813" i="1" s="1"/>
  <c r="D815" i="1" s="1"/>
  <c r="D3484" i="1"/>
  <c r="D3486" i="1" s="1"/>
  <c r="D3495" i="1" s="1"/>
  <c r="M2633" i="1"/>
  <c r="M2635" i="1" s="1"/>
  <c r="G2835" i="1"/>
  <c r="G2837" i="1" s="1"/>
  <c r="G2860" i="1" s="1"/>
  <c r="G2862" i="1" s="1"/>
  <c r="H687" i="1"/>
  <c r="H689" i="1" s="1"/>
  <c r="F3484" i="1"/>
  <c r="F3486" i="1" s="1"/>
  <c r="F3495" i="1" s="1"/>
  <c r="G2459" i="1"/>
  <c r="G2461" i="1" s="1"/>
  <c r="N2542" i="1"/>
  <c r="N2544" i="1" s="1"/>
  <c r="N2559" i="1" s="1"/>
  <c r="N2561" i="1" s="1"/>
  <c r="H2633" i="1"/>
  <c r="H2635" i="1" s="1"/>
  <c r="F2633" i="1"/>
  <c r="F2635" i="1" s="1"/>
  <c r="D2633" i="1"/>
  <c r="D2635" i="1" s="1"/>
  <c r="M2750" i="1"/>
  <c r="M2752" i="1" s="1"/>
  <c r="M2781" i="1" s="1"/>
  <c r="M2835" i="1"/>
  <c r="M2837" i="1" s="1"/>
  <c r="M2860" i="1" s="1"/>
  <c r="M2862" i="1" s="1"/>
  <c r="F2835" i="1"/>
  <c r="F2837" i="1" s="1"/>
  <c r="F2860" i="1" s="1"/>
  <c r="F2862" i="1" s="1"/>
  <c r="D2835" i="1"/>
  <c r="D2837" i="1" s="1"/>
  <c r="D2860" i="1" s="1"/>
  <c r="D2862" i="1" s="1"/>
  <c r="H1939" i="1"/>
  <c r="D1993" i="1"/>
  <c r="D1995" i="1" s="1"/>
  <c r="E861" i="1"/>
  <c r="E863" i="1" s="1"/>
  <c r="N947" i="1"/>
  <c r="N949" i="1" s="1"/>
  <c r="N970" i="1" s="1"/>
  <c r="N972" i="1" s="1"/>
  <c r="E1245" i="1"/>
  <c r="E1247" i="1" s="1"/>
  <c r="E1290" i="1" s="1"/>
  <c r="E1292" i="1" s="1"/>
  <c r="H1329" i="1"/>
  <c r="H1331" i="1" s="1"/>
  <c r="F1347" i="1"/>
  <c r="D1329" i="1"/>
  <c r="D1331" i="1" s="1"/>
  <c r="M1393" i="1"/>
  <c r="M1395" i="1" s="1"/>
  <c r="M1407" i="1" s="1"/>
  <c r="M1409" i="1" s="1"/>
  <c r="G1393" i="1"/>
  <c r="G1395" i="1" s="1"/>
  <c r="E1393" i="1"/>
  <c r="E1395" i="1" s="1"/>
  <c r="E1407" i="1" s="1"/>
  <c r="E1409" i="1" s="1"/>
  <c r="D1452" i="1"/>
  <c r="D1454" i="1" s="1"/>
  <c r="D1475" i="1" s="1"/>
  <c r="D1477" i="1" s="1"/>
  <c r="N1523" i="1"/>
  <c r="N1525" i="1" s="1"/>
  <c r="N1555" i="1" s="1"/>
  <c r="N1557" i="1" s="1"/>
  <c r="N1596" i="1"/>
  <c r="N1598" i="1" s="1"/>
  <c r="N1650" i="1" s="1"/>
  <c r="N1652" i="1" s="1"/>
  <c r="H1596" i="1"/>
  <c r="H1598" i="1" s="1"/>
  <c r="H1650" i="1" s="1"/>
  <c r="H1652" i="1" s="1"/>
  <c r="N1674" i="1"/>
  <c r="N1676" i="1" s="1"/>
  <c r="E1674" i="1"/>
  <c r="E1676" i="1" s="1"/>
  <c r="D1702" i="1"/>
  <c r="D1704" i="1" s="1"/>
  <c r="G1774" i="1"/>
  <c r="G1776" i="1" s="1"/>
  <c r="G1787" i="1" s="1"/>
  <c r="G1789" i="1" s="1"/>
  <c r="N1825" i="1"/>
  <c r="N1827" i="1" s="1"/>
  <c r="N1837" i="1" s="1"/>
  <c r="N1839" i="1" s="1"/>
  <c r="D1825" i="1"/>
  <c r="D1827" i="1" s="1"/>
  <c r="D1837" i="1" s="1"/>
  <c r="D1839" i="1" s="1"/>
  <c r="N2152" i="1"/>
  <c r="N2154" i="1" s="1"/>
  <c r="H2194" i="1"/>
  <c r="H2196" i="1" s="1"/>
  <c r="D2194" i="1"/>
  <c r="D2196" i="1" s="1"/>
  <c r="M2291" i="1"/>
  <c r="M2293" i="1" s="1"/>
  <c r="M2326" i="1" s="1"/>
  <c r="M2328" i="1" s="1"/>
  <c r="F2291" i="1"/>
  <c r="F2293" i="1" s="1"/>
  <c r="F2326" i="1" s="1"/>
  <c r="F2328" i="1" s="1"/>
  <c r="C2368" i="1"/>
  <c r="C2370" i="1" s="1"/>
  <c r="C2394" i="1" s="1"/>
  <c r="C2396" i="1" s="1"/>
  <c r="C2291" i="1"/>
  <c r="C2293" i="1" s="1"/>
  <c r="C2326" i="1" s="1"/>
  <c r="C2328" i="1" s="1"/>
  <c r="C1774" i="1"/>
  <c r="C1776" i="1" s="1"/>
  <c r="C1787" i="1" s="1"/>
  <c r="C1789" i="1" s="1"/>
  <c r="C1187" i="1"/>
  <c r="C1189" i="1" s="1"/>
  <c r="C1191" i="1" s="1"/>
  <c r="C708" i="1"/>
  <c r="M2594" i="1"/>
  <c r="M2596" i="1" s="1"/>
  <c r="H2657" i="1"/>
  <c r="F2657" i="1"/>
  <c r="D2657" i="1"/>
  <c r="D2750" i="1"/>
  <c r="D2752" i="1" s="1"/>
  <c r="D2781" i="1" s="1"/>
  <c r="D3044" i="1"/>
  <c r="D3046" i="1" s="1"/>
  <c r="D3087" i="1" s="1"/>
  <c r="D3089" i="1" s="1"/>
  <c r="F1939" i="1"/>
  <c r="D2017" i="1"/>
  <c r="H947" i="1"/>
  <c r="H949" i="1" s="1"/>
  <c r="H970" i="1" s="1"/>
  <c r="H972" i="1" s="1"/>
  <c r="F947" i="1"/>
  <c r="F949" i="1" s="1"/>
  <c r="F970" i="1" s="1"/>
  <c r="F972" i="1" s="1"/>
  <c r="D947" i="1"/>
  <c r="D949" i="1" s="1"/>
  <c r="D970" i="1" s="1"/>
  <c r="D972" i="1" s="1"/>
  <c r="E1133" i="1"/>
  <c r="E1135" i="1" s="1"/>
  <c r="D1133" i="1"/>
  <c r="D1135" i="1" s="1"/>
  <c r="H1245" i="1"/>
  <c r="H1247" i="1" s="1"/>
  <c r="H1290" i="1" s="1"/>
  <c r="H1292" i="1" s="1"/>
  <c r="F1245" i="1"/>
  <c r="F1247" i="1" s="1"/>
  <c r="F1290" i="1" s="1"/>
  <c r="F1292" i="1" s="1"/>
  <c r="N1329" i="1"/>
  <c r="N1331" i="1" s="1"/>
  <c r="N1452" i="1"/>
  <c r="N1454" i="1" s="1"/>
  <c r="N1475" i="1" s="1"/>
  <c r="N1477" i="1" s="1"/>
  <c r="F1452" i="1"/>
  <c r="F1454" i="1" s="1"/>
  <c r="F1475" i="1" s="1"/>
  <c r="F1477" i="1" s="1"/>
  <c r="D1596" i="1"/>
  <c r="D1598" i="1" s="1"/>
  <c r="D1650" i="1" s="1"/>
  <c r="D1652" i="1" s="1"/>
  <c r="N1702" i="1"/>
  <c r="N1704" i="1" s="1"/>
  <c r="F1702" i="1"/>
  <c r="F1704" i="1" s="1"/>
  <c r="E1724" i="1"/>
  <c r="E1726" i="1" s="1"/>
  <c r="E1737" i="1" s="1"/>
  <c r="E1739" i="1" s="1"/>
  <c r="N1774" i="1"/>
  <c r="N1776" i="1" s="1"/>
  <c r="N1787" i="1" s="1"/>
  <c r="N1789" i="1" s="1"/>
  <c r="E1774" i="1"/>
  <c r="E1776" i="1" s="1"/>
  <c r="E1787" i="1" s="1"/>
  <c r="E1789" i="1" s="1"/>
  <c r="H1825" i="1"/>
  <c r="H1827" i="1" s="1"/>
  <c r="H1837" i="1" s="1"/>
  <c r="H1839" i="1" s="1"/>
  <c r="D1858" i="1"/>
  <c r="D1882" i="1" s="1"/>
  <c r="D1884" i="1" s="1"/>
  <c r="G2101" i="1"/>
  <c r="G2103" i="1" s="1"/>
  <c r="G2126" i="1" s="1"/>
  <c r="G2128" i="1" s="1"/>
  <c r="F2152" i="1"/>
  <c r="F2154" i="1" s="1"/>
  <c r="D2920" i="1"/>
  <c r="D2922" i="1" s="1"/>
  <c r="D2934" i="1" s="1"/>
  <c r="D2936" i="1" s="1"/>
  <c r="G2291" i="1"/>
  <c r="G2293" i="1" s="1"/>
  <c r="G2326" i="1" s="1"/>
  <c r="G2328" i="1" s="1"/>
  <c r="E2368" i="1"/>
  <c r="E2370" i="1" s="1"/>
  <c r="E2394" i="1" s="1"/>
  <c r="E2396" i="1" s="1"/>
  <c r="C1523" i="1"/>
  <c r="C1525" i="1" s="1"/>
  <c r="C1555" i="1" s="1"/>
  <c r="C1557" i="1" s="1"/>
  <c r="C1452" i="1"/>
  <c r="C1454" i="1" s="1"/>
  <c r="C1475" i="1" s="1"/>
  <c r="C1477" i="1" s="1"/>
  <c r="G2633" i="1"/>
  <c r="G2635" i="1" s="1"/>
  <c r="E2633" i="1"/>
  <c r="E2635" i="1" s="1"/>
  <c r="F2750" i="1"/>
  <c r="F2752" i="1" s="1"/>
  <c r="F2781" i="1" s="1"/>
  <c r="N2835" i="1"/>
  <c r="N2837" i="1" s="1"/>
  <c r="N2860" i="1" s="1"/>
  <c r="N2862" i="1" s="1"/>
  <c r="H2835" i="1"/>
  <c r="H2837" i="1" s="1"/>
  <c r="H2860" i="1" s="1"/>
  <c r="H2862" i="1" s="1"/>
  <c r="E2835" i="1"/>
  <c r="E2837" i="1" s="1"/>
  <c r="E2860" i="1" s="1"/>
  <c r="E2862" i="1" s="1"/>
  <c r="M3044" i="1"/>
  <c r="M3046" i="1" s="1"/>
  <c r="M3087" i="1" s="1"/>
  <c r="M3089" i="1" s="1"/>
  <c r="H2017" i="1"/>
  <c r="E1939" i="1"/>
  <c r="D1027" i="1"/>
  <c r="D1029" i="1" s="1"/>
  <c r="D1245" i="1"/>
  <c r="D1247" i="1" s="1"/>
  <c r="D1290" i="1" s="1"/>
  <c r="D1292" i="1" s="1"/>
  <c r="F1329" i="1"/>
  <c r="F1331" i="1" s="1"/>
  <c r="H1393" i="1"/>
  <c r="H1395" i="1" s="1"/>
  <c r="H1452" i="1"/>
  <c r="H1454" i="1" s="1"/>
  <c r="H1475" i="1" s="1"/>
  <c r="H1477" i="1" s="1"/>
  <c r="G1523" i="1"/>
  <c r="G1525" i="1" s="1"/>
  <c r="G1555" i="1" s="1"/>
  <c r="G1557" i="1" s="1"/>
  <c r="D1523" i="1"/>
  <c r="D1525" i="1" s="1"/>
  <c r="D1555" i="1" s="1"/>
  <c r="D1557" i="1" s="1"/>
  <c r="M1596" i="1"/>
  <c r="M1598" i="1" s="1"/>
  <c r="M1650" i="1" s="1"/>
  <c r="M1652" i="1" s="1"/>
  <c r="G1596" i="1"/>
  <c r="G1598" i="1" s="1"/>
  <c r="G1650" i="1" s="1"/>
  <c r="G1652" i="1" s="1"/>
  <c r="H2152" i="1"/>
  <c r="H2154" i="1" s="1"/>
  <c r="G2152" i="1"/>
  <c r="G2154" i="1" s="1"/>
  <c r="F2194" i="1"/>
  <c r="F2196" i="1" s="1"/>
  <c r="H2291" i="1"/>
  <c r="H2293" i="1" s="1"/>
  <c r="H2326" i="1" s="1"/>
  <c r="H2328" i="1" s="1"/>
  <c r="D2291" i="1"/>
  <c r="D2293" i="1" s="1"/>
  <c r="D2326" i="1" s="1"/>
  <c r="D2328" i="1" s="1"/>
  <c r="C1702" i="1"/>
  <c r="C1704" i="1" s="1"/>
  <c r="C947" i="1"/>
  <c r="C949" i="1" s="1"/>
  <c r="C970" i="1" s="1"/>
  <c r="C972" i="1" s="1"/>
  <c r="O465" i="1"/>
  <c r="M465" i="1"/>
  <c r="M48" i="17"/>
  <c r="M196" i="8"/>
  <c r="L48" i="17"/>
  <c r="M198" i="8"/>
  <c r="M200" i="8" s="1"/>
  <c r="M202" i="8" s="1"/>
  <c r="O1081" i="1"/>
  <c r="M1081" i="1"/>
  <c r="M1083" i="1" s="1"/>
  <c r="J3145" i="1"/>
  <c r="J3153" i="1" s="1"/>
  <c r="J3155" i="1" s="1"/>
  <c r="M312" i="8"/>
  <c r="N312" i="8" s="1"/>
  <c r="O3245" i="1" s="1"/>
  <c r="K3245" i="1"/>
  <c r="M304" i="8"/>
  <c r="L3237" i="1" s="1"/>
  <c r="K3237" i="1"/>
  <c r="M314" i="8"/>
  <c r="N314" i="8" s="1"/>
  <c r="O3247" i="1" s="1"/>
  <c r="K3247" i="1"/>
  <c r="K3243" i="1"/>
  <c r="M310" i="8"/>
  <c r="N310" i="8" s="1"/>
  <c r="O3243" i="1" s="1"/>
  <c r="K3241" i="1"/>
  <c r="M308" i="8"/>
  <c r="N308" i="8" s="1"/>
  <c r="O3241" i="1" s="1"/>
  <c r="K3246" i="1"/>
  <c r="M313" i="8"/>
  <c r="K3242" i="1"/>
  <c r="M309" i="8"/>
  <c r="J104" i="8"/>
  <c r="I3039" i="1" s="1"/>
  <c r="J3246" i="1"/>
  <c r="J3019" i="1"/>
  <c r="J3017" i="1"/>
  <c r="J3016" i="1"/>
  <c r="J304" i="8"/>
  <c r="I3237" i="1" s="1"/>
  <c r="J2967" i="1"/>
  <c r="J186" i="1" s="1"/>
  <c r="J3039" i="1"/>
  <c r="J3405" i="1"/>
  <c r="K3240" i="1"/>
  <c r="M307" i="8"/>
  <c r="N311" i="8"/>
  <c r="O3244" i="1" s="1"/>
  <c r="L3244" i="1"/>
  <c r="L3239" i="1"/>
  <c r="N306" i="8"/>
  <c r="O3239" i="1" s="1"/>
  <c r="K3238" i="1"/>
  <c r="M305" i="8"/>
  <c r="N304" i="8"/>
  <c r="D316" i="8"/>
  <c r="L316" i="8"/>
  <c r="C3243" i="1"/>
  <c r="C3239" i="1"/>
  <c r="J60" i="8"/>
  <c r="I2995" i="1" s="1"/>
  <c r="J3029" i="1"/>
  <c r="K3244" i="1"/>
  <c r="J3064" i="1"/>
  <c r="J3062" i="1"/>
  <c r="J160" i="8"/>
  <c r="I3094" i="1" s="1"/>
  <c r="I462" i="1" s="1"/>
  <c r="K3081" i="1"/>
  <c r="K3418" i="1"/>
  <c r="C3242" i="1"/>
  <c r="J130" i="8"/>
  <c r="I3064" i="1" s="1"/>
  <c r="J3015" i="1"/>
  <c r="K2967" i="1"/>
  <c r="K186" i="1" s="1"/>
  <c r="J3291" i="1"/>
  <c r="J3070" i="1"/>
  <c r="J3072" i="1" s="1"/>
  <c r="M268" i="8"/>
  <c r="M270" i="8" s="1"/>
  <c r="I268" i="8"/>
  <c r="I270" i="8" s="1"/>
  <c r="I272" i="8" s="1"/>
  <c r="J417" i="8"/>
  <c r="J171" i="8"/>
  <c r="I3105" i="1" s="1"/>
  <c r="I476" i="1" s="1"/>
  <c r="J3418" i="1"/>
  <c r="J3417" i="1"/>
  <c r="K2949" i="1"/>
  <c r="K316" i="8"/>
  <c r="K405" i="8"/>
  <c r="C3241" i="1"/>
  <c r="J387" i="8"/>
  <c r="I3320" i="1" s="1"/>
  <c r="I456" i="1" s="1"/>
  <c r="J59" i="8"/>
  <c r="I2994" i="1" s="1"/>
  <c r="J472" i="8"/>
  <c r="I3405" i="1" s="1"/>
  <c r="J358" i="8"/>
  <c r="I3291" i="1" s="1"/>
  <c r="J307" i="8"/>
  <c r="I3240" i="1" s="1"/>
  <c r="J3471" i="1"/>
  <c r="J3240" i="1"/>
  <c r="K3239" i="1"/>
  <c r="K2964" i="1"/>
  <c r="K183" i="1" s="1"/>
  <c r="L3243" i="1"/>
  <c r="K212" i="8"/>
  <c r="F198" i="8"/>
  <c r="F200" i="8" s="1"/>
  <c r="F202" i="8" s="1"/>
  <c r="F252" i="8" s="1"/>
  <c r="H272" i="8"/>
  <c r="E268" i="8"/>
  <c r="E270" i="8" s="1"/>
  <c r="J3078" i="1"/>
  <c r="J3077" i="1"/>
  <c r="N569" i="8"/>
  <c r="M244" i="8"/>
  <c r="K3177" i="1"/>
  <c r="K16" i="8"/>
  <c r="D68" i="8"/>
  <c r="K99" i="8"/>
  <c r="D248" i="8"/>
  <c r="L368" i="8"/>
  <c r="J480" i="8"/>
  <c r="D463" i="8"/>
  <c r="L558" i="8"/>
  <c r="J557" i="8"/>
  <c r="I3490" i="1" s="1"/>
  <c r="J3262" i="1"/>
  <c r="J167" i="8"/>
  <c r="I3101" i="1" s="1"/>
  <c r="I472" i="1" s="1"/>
  <c r="J165" i="8"/>
  <c r="I3099" i="1" s="1"/>
  <c r="J163" i="8"/>
  <c r="I3097" i="1" s="1"/>
  <c r="J2948" i="1"/>
  <c r="J2951" i="1" s="1"/>
  <c r="J2953" i="1" s="1"/>
  <c r="J2955" i="1" s="1"/>
  <c r="J3177" i="1"/>
  <c r="K2948" i="1"/>
  <c r="K2951" i="1" s="1"/>
  <c r="K2953" i="1" s="1"/>
  <c r="K2955" i="1" s="1"/>
  <c r="L16" i="8"/>
  <c r="D240" i="8"/>
  <c r="K248" i="8"/>
  <c r="K368" i="8"/>
  <c r="L501" i="8"/>
  <c r="K560" i="8"/>
  <c r="J13" i="8"/>
  <c r="I2948" i="1" s="1"/>
  <c r="I2951" i="1" s="1"/>
  <c r="I2953" i="1" s="1"/>
  <c r="I2955" i="1" s="1"/>
  <c r="J484" i="8"/>
  <c r="I3417" i="1" s="1"/>
  <c r="D36" i="8"/>
  <c r="D38" i="8" s="1"/>
  <c r="D40" i="8" s="1"/>
  <c r="J94" i="8"/>
  <c r="I3029" i="1" s="1"/>
  <c r="J3030" i="1"/>
  <c r="K333" i="8"/>
  <c r="K3070" i="1"/>
  <c r="K3072" i="1" s="1"/>
  <c r="G268" i="8"/>
  <c r="G270" i="8" s="1"/>
  <c r="E272" i="8"/>
  <c r="J172" i="8"/>
  <c r="I3106" i="1" s="1"/>
  <c r="I477" i="1" s="1"/>
  <c r="J3083" i="1"/>
  <c r="J3081" i="1"/>
  <c r="N14" i="8"/>
  <c r="O2949" i="1" s="1"/>
  <c r="L132" i="8"/>
  <c r="L9" i="8"/>
  <c r="L47" i="8"/>
  <c r="L49" i="8" s="1"/>
  <c r="K240" i="8"/>
  <c r="H291" i="8"/>
  <c r="L291" i="8"/>
  <c r="K488" i="8"/>
  <c r="D541" i="8"/>
  <c r="J3105" i="1"/>
  <c r="J476" i="1" s="1"/>
  <c r="J3283" i="1"/>
  <c r="J3285" i="1" s="1"/>
  <c r="J352" i="8"/>
  <c r="J486" i="8"/>
  <c r="I3419" i="1" s="1"/>
  <c r="J57" i="8"/>
  <c r="I2992" i="1" s="1"/>
  <c r="J547" i="8"/>
  <c r="I3480" i="1" s="1"/>
  <c r="J330" i="8"/>
  <c r="I3263" i="1" s="1"/>
  <c r="J545" i="8"/>
  <c r="I3478" i="1" s="1"/>
  <c r="J97" i="8"/>
  <c r="I3032" i="1" s="1"/>
  <c r="J95" i="8"/>
  <c r="I3030" i="1" s="1"/>
  <c r="J3478" i="1"/>
  <c r="J3032" i="1"/>
  <c r="K2980" i="1"/>
  <c r="K2982" i="1" s="1"/>
  <c r="K2984" i="1" s="1"/>
  <c r="J3490" i="1"/>
  <c r="J3493" i="1" s="1"/>
  <c r="J3306" i="1"/>
  <c r="M190" i="1"/>
  <c r="N1405" i="1"/>
  <c r="J301" i="1"/>
  <c r="G2216" i="1"/>
  <c r="F2216" i="1"/>
  <c r="N190" i="1"/>
  <c r="M86" i="8"/>
  <c r="K3021" i="1"/>
  <c r="K3023" i="1"/>
  <c r="M88" i="8"/>
  <c r="N88" i="8" s="1"/>
  <c r="O3023" i="1" s="1"/>
  <c r="N32" i="8"/>
  <c r="O2967" i="1" s="1"/>
  <c r="O186" i="1" s="1"/>
  <c r="L2967" i="1"/>
  <c r="L186" i="1" s="1"/>
  <c r="M372" i="8"/>
  <c r="L3305" i="1" s="1"/>
  <c r="K3305" i="1"/>
  <c r="K3253" i="1"/>
  <c r="L325" i="8"/>
  <c r="M320" i="8"/>
  <c r="N320" i="8" s="1"/>
  <c r="L541" i="8"/>
  <c r="C3348" i="1"/>
  <c r="C3350" i="1" s="1"/>
  <c r="K62" i="8"/>
  <c r="M47" i="8"/>
  <c r="M49" i="8" s="1"/>
  <c r="D107" i="8"/>
  <c r="J107" i="8" s="1"/>
  <c r="K90" i="8"/>
  <c r="D220" i="8"/>
  <c r="D222" i="8" s="1"/>
  <c r="D362" i="8"/>
  <c r="D285" i="8"/>
  <c r="D295" i="8" s="1"/>
  <c r="L285" i="8"/>
  <c r="L295" i="8" s="1"/>
  <c r="D455" i="8"/>
  <c r="L474" i="8"/>
  <c r="K501" i="8"/>
  <c r="J501" i="8" s="1"/>
  <c r="K541" i="8"/>
  <c r="J541" i="8" s="1"/>
  <c r="J499" i="8"/>
  <c r="I3432" i="1" s="1"/>
  <c r="I64" i="1" s="1"/>
  <c r="J320" i="8"/>
  <c r="I3253" i="1" s="1"/>
  <c r="J45" i="8"/>
  <c r="I2980" i="1" s="1"/>
  <c r="I2982" i="1" s="1"/>
  <c r="I2984" i="1" s="1"/>
  <c r="J3470" i="1"/>
  <c r="J3253" i="1"/>
  <c r="J2992" i="1"/>
  <c r="J3063" i="1"/>
  <c r="L60" i="8"/>
  <c r="M60" i="8" s="1"/>
  <c r="K3299" i="1"/>
  <c r="K399" i="1" s="1"/>
  <c r="J3079" i="1"/>
  <c r="J3305" i="1"/>
  <c r="J245" i="8"/>
  <c r="I3178" i="1" s="1"/>
  <c r="I3181" i="1" s="1"/>
  <c r="K9" i="8"/>
  <c r="K18" i="8" s="1"/>
  <c r="K20" i="8" s="1"/>
  <c r="K47" i="8"/>
  <c r="K49" i="8" s="1"/>
  <c r="N47" i="8"/>
  <c r="N49" i="8" s="1"/>
  <c r="K132" i="8"/>
  <c r="J196" i="8"/>
  <c r="N190" i="8"/>
  <c r="N198" i="8" s="1"/>
  <c r="N200" i="8" s="1"/>
  <c r="N202" i="8" s="1"/>
  <c r="J285" i="8"/>
  <c r="J7" i="8"/>
  <c r="I2942" i="1" s="1"/>
  <c r="J538" i="8"/>
  <c r="I3471" i="1" s="1"/>
  <c r="M405" i="8"/>
  <c r="J3021" i="1"/>
  <c r="F268" i="8"/>
  <c r="F270" i="8" s="1"/>
  <c r="F272" i="8" s="1"/>
  <c r="K36" i="8"/>
  <c r="K38" i="8" s="1"/>
  <c r="K40" i="8" s="1"/>
  <c r="D90" i="8"/>
  <c r="D231" i="8"/>
  <c r="D233" i="8" s="1"/>
  <c r="G285" i="8"/>
  <c r="G295" i="8" s="1"/>
  <c r="K362" i="8"/>
  <c r="K325" i="8"/>
  <c r="K335" i="8" s="1"/>
  <c r="K337" i="8" s="1"/>
  <c r="M411" i="8"/>
  <c r="J3434" i="1"/>
  <c r="J386" i="8"/>
  <c r="I3319" i="1" s="1"/>
  <c r="I455" i="1" s="1"/>
  <c r="J3094" i="1"/>
  <c r="J3319" i="1"/>
  <c r="J455" i="1" s="1"/>
  <c r="J145" i="8"/>
  <c r="I3079" i="1" s="1"/>
  <c r="J55" i="8"/>
  <c r="I2990" i="1" s="1"/>
  <c r="J129" i="8"/>
  <c r="I3063" i="1" s="1"/>
  <c r="I3066" i="1" s="1"/>
  <c r="J88" i="8"/>
  <c r="I3023" i="1" s="1"/>
  <c r="J86" i="8"/>
  <c r="I3021" i="1" s="1"/>
  <c r="J3342" i="1"/>
  <c r="J76" i="1" s="1"/>
  <c r="J3023" i="1"/>
  <c r="M459" i="8"/>
  <c r="N459" i="8" s="1"/>
  <c r="O3392" i="1" s="1"/>
  <c r="J3292" i="1"/>
  <c r="J3404" i="1"/>
  <c r="M471" i="8"/>
  <c r="N471" i="8" s="1"/>
  <c r="O3404" i="1" s="1"/>
  <c r="N268" i="8"/>
  <c r="N270" i="8" s="1"/>
  <c r="J166" i="8"/>
  <c r="I3100" i="1" s="1"/>
  <c r="I469" i="1" s="1"/>
  <c r="J162" i="8"/>
  <c r="I3096" i="1" s="1"/>
  <c r="J3419" i="1"/>
  <c r="M3198" i="1"/>
  <c r="M43" i="1" s="1"/>
  <c r="M84" i="8"/>
  <c r="N84" i="8" s="1"/>
  <c r="O3019" i="1" s="1"/>
  <c r="K3019" i="1"/>
  <c r="M216" i="8"/>
  <c r="L3149" i="1" s="1"/>
  <c r="L3151" i="1" s="1"/>
  <c r="L218" i="8"/>
  <c r="L220" i="8" s="1"/>
  <c r="L222" i="8" s="1"/>
  <c r="K3149" i="1"/>
  <c r="K3151" i="1" s="1"/>
  <c r="L331" i="8"/>
  <c r="K3264" i="1" s="1"/>
  <c r="J3264" i="1"/>
  <c r="L103" i="8"/>
  <c r="L107" i="8" s="1"/>
  <c r="J3038" i="1"/>
  <c r="L451" i="8"/>
  <c r="J3384" i="1"/>
  <c r="L360" i="8"/>
  <c r="L362" i="8" s="1"/>
  <c r="J3293" i="1"/>
  <c r="J385" i="1" s="1"/>
  <c r="L237" i="8"/>
  <c r="J3170" i="1"/>
  <c r="J3222" i="1"/>
  <c r="J72" i="1" s="1"/>
  <c r="K291" i="8"/>
  <c r="C3491" i="1"/>
  <c r="C3493" i="1" s="1"/>
  <c r="J558" i="8"/>
  <c r="I3491" i="1" s="1"/>
  <c r="K515" i="8"/>
  <c r="K517" i="8" s="1"/>
  <c r="J513" i="8"/>
  <c r="J321" i="8"/>
  <c r="I3254" i="1" s="1"/>
  <c r="C3254" i="1"/>
  <c r="L546" i="8"/>
  <c r="K549" i="8"/>
  <c r="K551" i="8" s="1"/>
  <c r="D47" i="8"/>
  <c r="D49" i="8" s="1"/>
  <c r="D132" i="8"/>
  <c r="K109" i="8"/>
  <c r="K111" i="8" s="1"/>
  <c r="K218" i="8"/>
  <c r="J218" i="8" s="1"/>
  <c r="L507" i="8"/>
  <c r="L515" i="8" s="1"/>
  <c r="L517" i="8" s="1"/>
  <c r="C3309" i="1"/>
  <c r="C3255" i="1"/>
  <c r="D425" i="8"/>
  <c r="D427" i="8" s="1"/>
  <c r="J216" i="8"/>
  <c r="I3149" i="1" s="1"/>
  <c r="I3151" i="1" s="1"/>
  <c r="J536" i="8"/>
  <c r="I3469" i="1" s="1"/>
  <c r="L3432" i="1"/>
  <c r="L64" i="1" s="1"/>
  <c r="M501" i="8"/>
  <c r="L3023" i="1"/>
  <c r="L547" i="8"/>
  <c r="M547" i="8" s="1"/>
  <c r="M323" i="8"/>
  <c r="K3256" i="1"/>
  <c r="M321" i="8"/>
  <c r="L85" i="8"/>
  <c r="K3064" i="1"/>
  <c r="J3001" i="1"/>
  <c r="J3003" i="1" s="1"/>
  <c r="L66" i="8"/>
  <c r="L68" i="8" s="1"/>
  <c r="J478" i="8"/>
  <c r="I3411" i="1" s="1"/>
  <c r="I3413" i="1" s="1"/>
  <c r="L146" i="8"/>
  <c r="M146" i="8" s="1"/>
  <c r="J146" i="8"/>
  <c r="I3080" i="1" s="1"/>
  <c r="J3080" i="1"/>
  <c r="L374" i="8"/>
  <c r="L378" i="8" s="1"/>
  <c r="J374" i="8"/>
  <c r="I3307" i="1" s="1"/>
  <c r="K378" i="8"/>
  <c r="M373" i="8"/>
  <c r="K3306" i="1"/>
  <c r="E3211" i="1"/>
  <c r="E55" i="1" s="1"/>
  <c r="E68" i="1" s="1"/>
  <c r="F285" i="8"/>
  <c r="F295" i="8" s="1"/>
  <c r="F297" i="8" s="1"/>
  <c r="F382" i="8" s="1"/>
  <c r="J471" i="8"/>
  <c r="I3404" i="1" s="1"/>
  <c r="D474" i="8"/>
  <c r="J474" i="8" s="1"/>
  <c r="J451" i="8"/>
  <c r="I3384" i="1" s="1"/>
  <c r="L3438" i="1"/>
  <c r="L75" i="1" s="1"/>
  <c r="M507" i="8"/>
  <c r="K3039" i="1"/>
  <c r="L330" i="8"/>
  <c r="K3263" i="1" s="1"/>
  <c r="J3263" i="1"/>
  <c r="L96" i="8"/>
  <c r="L99" i="8" s="1"/>
  <c r="J96" i="8"/>
  <c r="I3031" i="1" s="1"/>
  <c r="L33" i="8"/>
  <c r="J2968" i="1"/>
  <c r="J187" i="1" s="1"/>
  <c r="L58" i="8"/>
  <c r="J2993" i="1"/>
  <c r="J58" i="8"/>
  <c r="I2993" i="1" s="1"/>
  <c r="J161" i="8"/>
  <c r="I3095" i="1" s="1"/>
  <c r="N372" i="8"/>
  <c r="O3305" i="1" s="1"/>
  <c r="G3211" i="1"/>
  <c r="G55" i="1" s="1"/>
  <c r="G68" i="1" s="1"/>
  <c r="H285" i="8"/>
  <c r="J240" i="8"/>
  <c r="C3253" i="1"/>
  <c r="J248" i="8"/>
  <c r="E295" i="8"/>
  <c r="E297" i="8" s="1"/>
  <c r="E382" i="8" s="1"/>
  <c r="D325" i="8"/>
  <c r="K455" i="8"/>
  <c r="D549" i="8"/>
  <c r="D551" i="8" s="1"/>
  <c r="D553" i="8" s="1"/>
  <c r="C3293" i="1"/>
  <c r="J329" i="8"/>
  <c r="I3262" i="1" s="1"/>
  <c r="D333" i="8"/>
  <c r="J333" i="8" s="1"/>
  <c r="K3342" i="1"/>
  <c r="K76" i="1" s="1"/>
  <c r="L411" i="8"/>
  <c r="J3386" i="1"/>
  <c r="J3255" i="1"/>
  <c r="J3469" i="1"/>
  <c r="L461" i="8"/>
  <c r="J3394" i="1"/>
  <c r="K463" i="8"/>
  <c r="J463" i="8" s="1"/>
  <c r="L452" i="8"/>
  <c r="M452" i="8" s="1"/>
  <c r="L3385" i="1" s="1"/>
  <c r="K3015" i="1"/>
  <c r="M80" i="8"/>
  <c r="L30" i="8"/>
  <c r="M30" i="8" s="1"/>
  <c r="J30" i="8"/>
  <c r="I2965" i="1" s="1"/>
  <c r="I184" i="1" s="1"/>
  <c r="J2965" i="1"/>
  <c r="J184" i="1" s="1"/>
  <c r="M359" i="8"/>
  <c r="N130" i="8"/>
  <c r="O3064" i="1" s="1"/>
  <c r="M57" i="8"/>
  <c r="K2992" i="1"/>
  <c r="M358" i="8"/>
  <c r="K3291" i="1"/>
  <c r="N136" i="8"/>
  <c r="L3070" i="1"/>
  <c r="L3072" i="1" s="1"/>
  <c r="J3076" i="1"/>
  <c r="K3308" i="1"/>
  <c r="M3127" i="1"/>
  <c r="M42" i="1" s="1"/>
  <c r="O3127" i="1"/>
  <c r="O42" i="1" s="1"/>
  <c r="K354" i="8"/>
  <c r="K122" i="8"/>
  <c r="J3308" i="1"/>
  <c r="L148" i="8"/>
  <c r="M148" i="8" s="1"/>
  <c r="D515" i="8"/>
  <c r="D517" i="8" s="1"/>
  <c r="J142" i="8"/>
  <c r="I3076" i="1" s="1"/>
  <c r="I3085" i="1" s="1"/>
  <c r="J31" i="8"/>
  <c r="I2966" i="1" s="1"/>
  <c r="I185" i="1" s="1"/>
  <c r="J461" i="8"/>
  <c r="I3394" i="1" s="1"/>
  <c r="I3396" i="1" s="1"/>
  <c r="J103" i="8"/>
  <c r="I3038" i="1" s="1"/>
  <c r="I3042" i="1" s="1"/>
  <c r="J452" i="8"/>
  <c r="I3385" i="1" s="1"/>
  <c r="M149" i="8"/>
  <c r="L3083" i="1" s="1"/>
  <c r="M484" i="8"/>
  <c r="N484" i="8" s="1"/>
  <c r="J56" i="8"/>
  <c r="I2991" i="1" s="1"/>
  <c r="J33" i="8"/>
  <c r="I2968" i="1" s="1"/>
  <c r="I187" i="1" s="1"/>
  <c r="J331" i="8"/>
  <c r="I3264" i="1" s="1"/>
  <c r="J546" i="8"/>
  <c r="I3479" i="1" s="1"/>
  <c r="J453" i="8"/>
  <c r="I3386" i="1" s="1"/>
  <c r="J85" i="8"/>
  <c r="I3020" i="1" s="1"/>
  <c r="J84" i="8"/>
  <c r="I3019" i="1" s="1"/>
  <c r="J81" i="8"/>
  <c r="I3016" i="1" s="1"/>
  <c r="J209" i="8"/>
  <c r="I3142" i="1" s="1"/>
  <c r="I3145" i="1" s="1"/>
  <c r="D18" i="8"/>
  <c r="J47" i="8"/>
  <c r="D151" i="8"/>
  <c r="J151" i="8" s="1"/>
  <c r="J99" i="8"/>
  <c r="J190" i="8"/>
  <c r="C3131" i="1"/>
  <c r="C3133" i="1" s="1"/>
  <c r="C3135" i="1" s="1"/>
  <c r="J359" i="8"/>
  <c r="I3292" i="1" s="1"/>
  <c r="C3292" i="1"/>
  <c r="K425" i="8"/>
  <c r="J411" i="8"/>
  <c r="J136" i="8"/>
  <c r="I3070" i="1" s="1"/>
  <c r="I3072" i="1" s="1"/>
  <c r="D138" i="8"/>
  <c r="J138" i="8" s="1"/>
  <c r="M18" i="8"/>
  <c r="M20" i="8" s="1"/>
  <c r="D62" i="8"/>
  <c r="J62" i="8" s="1"/>
  <c r="J68" i="8"/>
  <c r="K220" i="8"/>
  <c r="J212" i="8"/>
  <c r="D405" i="8"/>
  <c r="D488" i="8"/>
  <c r="L425" i="8"/>
  <c r="L427" i="8" s="1"/>
  <c r="D396" i="8"/>
  <c r="J396" i="8" s="1"/>
  <c r="C3319" i="1"/>
  <c r="C455" i="1" s="1"/>
  <c r="J350" i="8"/>
  <c r="I3283" i="1" s="1"/>
  <c r="I331" i="1" s="1"/>
  <c r="C3283" i="1"/>
  <c r="C3285" i="1" s="1"/>
  <c r="C3287" i="1" s="1"/>
  <c r="C3308" i="1"/>
  <c r="J375" i="8"/>
  <c r="I3308" i="1" s="1"/>
  <c r="C3299" i="1"/>
  <c r="C3301" i="1" s="1"/>
  <c r="D368" i="8"/>
  <c r="J368" i="8" s="1"/>
  <c r="J366" i="8"/>
  <c r="I3299" i="1" s="1"/>
  <c r="I399" i="1" s="1"/>
  <c r="I401" i="1" s="1"/>
  <c r="J16" i="8"/>
  <c r="D378" i="8"/>
  <c r="D465" i="8"/>
  <c r="D467" i="8" s="1"/>
  <c r="C3305" i="1"/>
  <c r="C3342" i="1"/>
  <c r="C3344" i="1" s="1"/>
  <c r="C3358" i="1" s="1"/>
  <c r="C3360" i="1" s="1"/>
  <c r="J409" i="8"/>
  <c r="I3342" i="1" s="1"/>
  <c r="I3344" i="1" s="1"/>
  <c r="J343" i="8"/>
  <c r="I3276" i="1" s="1"/>
  <c r="I303" i="1" s="1"/>
  <c r="D345" i="8"/>
  <c r="J373" i="8"/>
  <c r="I3306" i="1" s="1"/>
  <c r="C3306" i="1"/>
  <c r="N547" i="8"/>
  <c r="O3480" i="1" s="1"/>
  <c r="L3480" i="1"/>
  <c r="M103" i="8"/>
  <c r="K3038" i="1"/>
  <c r="M453" i="8"/>
  <c r="K3386" i="1"/>
  <c r="M95" i="8"/>
  <c r="K3030" i="1"/>
  <c r="M87" i="8"/>
  <c r="K3022" i="1"/>
  <c r="M82" i="8"/>
  <c r="K3017" i="1"/>
  <c r="M81" i="8"/>
  <c r="K3016" i="1"/>
  <c r="M31" i="8"/>
  <c r="K2966" i="1"/>
  <c r="K185" i="1" s="1"/>
  <c r="M546" i="8"/>
  <c r="K3479" i="1"/>
  <c r="N323" i="8"/>
  <c r="L3256" i="1"/>
  <c r="K3031" i="1"/>
  <c r="M536" i="8"/>
  <c r="K3469" i="1"/>
  <c r="L3021" i="1"/>
  <c r="N86" i="8"/>
  <c r="O3021" i="1" s="1"/>
  <c r="K2965" i="1"/>
  <c r="K184" i="1" s="1"/>
  <c r="M105" i="8"/>
  <c r="K3040" i="1"/>
  <c r="M460" i="8"/>
  <c r="K3393" i="1"/>
  <c r="N545" i="8"/>
  <c r="L3478" i="1"/>
  <c r="M97" i="8"/>
  <c r="K3032" i="1"/>
  <c r="M537" i="8"/>
  <c r="K3470" i="1"/>
  <c r="N450" i="8"/>
  <c r="L3383" i="1"/>
  <c r="M34" i="8"/>
  <c r="K2969" i="1"/>
  <c r="K188" i="1" s="1"/>
  <c r="N29" i="8"/>
  <c r="L2964" i="1"/>
  <c r="L183" i="1" s="1"/>
  <c r="K2994" i="1"/>
  <c r="M59" i="8"/>
  <c r="M472" i="8"/>
  <c r="K3405" i="1"/>
  <c r="K3407" i="1" s="1"/>
  <c r="N13" i="8"/>
  <c r="L2948" i="1"/>
  <c r="L2951" i="1" s="1"/>
  <c r="L2953" i="1" s="1"/>
  <c r="L2955" i="1" s="1"/>
  <c r="M329" i="8"/>
  <c r="K3262" i="1"/>
  <c r="M539" i="8"/>
  <c r="K3472" i="1"/>
  <c r="M538" i="8"/>
  <c r="K3471" i="1"/>
  <c r="M94" i="8"/>
  <c r="K3029" i="1"/>
  <c r="K3018" i="1"/>
  <c r="M83" i="8"/>
  <c r="M210" i="8"/>
  <c r="K3143" i="1"/>
  <c r="K3145" i="1" s="1"/>
  <c r="N485" i="8"/>
  <c r="O3418" i="1" s="1"/>
  <c r="L3418" i="1"/>
  <c r="M261" i="8"/>
  <c r="M272" i="8" s="1"/>
  <c r="L3192" i="1"/>
  <c r="L22" i="1" s="1"/>
  <c r="M145" i="8"/>
  <c r="K3079" i="1"/>
  <c r="M246" i="8"/>
  <c r="K3179" i="1"/>
  <c r="L3417" i="1"/>
  <c r="L419" i="1" s="1"/>
  <c r="K3077" i="1"/>
  <c r="M143" i="8"/>
  <c r="L2991" i="1"/>
  <c r="K3490" i="1"/>
  <c r="M557" i="8"/>
  <c r="K3063" i="1"/>
  <c r="M129" i="8"/>
  <c r="K261" i="8"/>
  <c r="K272" i="8" s="1"/>
  <c r="G272" i="8"/>
  <c r="L180" i="8"/>
  <c r="L569" i="8" s="1"/>
  <c r="N119" i="8"/>
  <c r="O3053" i="1" s="1"/>
  <c r="J3307" i="1"/>
  <c r="J3179" i="1"/>
  <c r="M486" i="8"/>
  <c r="K3419" i="1"/>
  <c r="M144" i="8"/>
  <c r="K3078" i="1"/>
  <c r="N244" i="8"/>
  <c r="L3177" i="1"/>
  <c r="D268" i="8"/>
  <c r="D270" i="8" s="1"/>
  <c r="D272" i="8" s="1"/>
  <c r="C3198" i="1"/>
  <c r="C43" i="1" s="1"/>
  <c r="O3199" i="1"/>
  <c r="O44" i="1" s="1"/>
  <c r="M3199" i="1"/>
  <c r="M44" i="1" s="1"/>
  <c r="J3040" i="1"/>
  <c r="J3479" i="1"/>
  <c r="J3482" i="1" s="1"/>
  <c r="J3022" i="1"/>
  <c r="K3480" i="1"/>
  <c r="K3478" i="1"/>
  <c r="K3383" i="1"/>
  <c r="L2980" i="1"/>
  <c r="L2982" i="1" s="1"/>
  <c r="L2984" i="1" s="1"/>
  <c r="J2994" i="1"/>
  <c r="J3171" i="1"/>
  <c r="L3404" i="1"/>
  <c r="M238" i="8"/>
  <c r="M66" i="8"/>
  <c r="K3001" i="1"/>
  <c r="K3003" i="1" s="1"/>
  <c r="M180" i="8"/>
  <c r="M569" i="8" s="1"/>
  <c r="J159" i="8"/>
  <c r="K180" i="8"/>
  <c r="K569" i="8" s="1"/>
  <c r="L122" i="8"/>
  <c r="L124" i="8" s="1"/>
  <c r="M120" i="8"/>
  <c r="M122" i="8" s="1"/>
  <c r="M124" i="8" s="1"/>
  <c r="K231" i="8"/>
  <c r="L228" i="8"/>
  <c r="L3081" i="1"/>
  <c r="M376" i="8"/>
  <c r="K3309" i="1"/>
  <c r="N375" i="8"/>
  <c r="O3308" i="1" s="1"/>
  <c r="J3393" i="1"/>
  <c r="L3039" i="1"/>
  <c r="L3392" i="1"/>
  <c r="M128" i="8"/>
  <c r="K3062" i="1"/>
  <c r="K357" i="1" s="1"/>
  <c r="L268" i="8"/>
  <c r="L270" i="8" s="1"/>
  <c r="L272" i="8" s="1"/>
  <c r="L297" i="8" s="1"/>
  <c r="J164" i="8"/>
  <c r="I3098" i="1" s="1"/>
  <c r="D180" i="8"/>
  <c r="K3082" i="1"/>
  <c r="M374" i="8"/>
  <c r="L245" i="8"/>
  <c r="J3178" i="1"/>
  <c r="M142" i="8"/>
  <c r="J268" i="8"/>
  <c r="J270" i="8" s="1"/>
  <c r="I3198" i="1"/>
  <c r="I43" i="1" s="1"/>
  <c r="J3299" i="1"/>
  <c r="J399" i="1" s="1"/>
  <c r="J401" i="1" s="1"/>
  <c r="C9" i="9" s="1"/>
  <c r="K3192" i="1"/>
  <c r="K3194" i="1" s="1"/>
  <c r="I3194" i="1"/>
  <c r="L350" i="8"/>
  <c r="L3299" i="1"/>
  <c r="L399" i="1" s="1"/>
  <c r="C337" i="1"/>
  <c r="B36" i="9" s="1"/>
  <c r="H2216" i="1"/>
  <c r="E2216" i="1"/>
  <c r="G2880" i="1"/>
  <c r="L310" i="1"/>
  <c r="D2216" i="1"/>
  <c r="N3356" i="1"/>
  <c r="K2880" i="1"/>
  <c r="F387" i="1"/>
  <c r="F445" i="1" s="1"/>
  <c r="F447" i="1" s="1"/>
  <c r="N3440" i="1"/>
  <c r="N3448" i="1" s="1"/>
  <c r="N3450" i="1" s="1"/>
  <c r="F1405" i="1"/>
  <c r="J332" i="6"/>
  <c r="D334" i="6"/>
  <c r="J36" i="6"/>
  <c r="J2276" i="1"/>
  <c r="J2087" i="1"/>
  <c r="J2163" i="1"/>
  <c r="J1966" i="1"/>
  <c r="K2080" i="1"/>
  <c r="K2163" i="1"/>
  <c r="L2171" i="1"/>
  <c r="L2166" i="1"/>
  <c r="N104" i="6"/>
  <c r="M207" i="6"/>
  <c r="N66" i="6"/>
  <c r="J2223" i="1"/>
  <c r="K2375" i="1"/>
  <c r="K353" i="1" s="1"/>
  <c r="L2223" i="1"/>
  <c r="L2046" i="1"/>
  <c r="D147" i="6"/>
  <c r="J147" i="6" s="1"/>
  <c r="L164" i="6"/>
  <c r="L166" i="6" s="1"/>
  <c r="K2048" i="1" s="1"/>
  <c r="D219" i="6"/>
  <c r="D221" i="6" s="1"/>
  <c r="J310" i="6"/>
  <c r="K270" i="6"/>
  <c r="J484" i="6"/>
  <c r="L486" i="6"/>
  <c r="L488" i="6" s="1"/>
  <c r="J405" i="6"/>
  <c r="I2287" i="1" s="1"/>
  <c r="I2289" i="1" s="1"/>
  <c r="J482" i="6"/>
  <c r="I2364" i="1" s="1"/>
  <c r="J2287" i="1"/>
  <c r="J2097" i="1"/>
  <c r="J2286" i="1"/>
  <c r="J2096" i="1"/>
  <c r="J2285" i="1"/>
  <c r="J2095" i="1"/>
  <c r="J2089" i="1"/>
  <c r="J2080" i="1"/>
  <c r="K2362" i="1"/>
  <c r="K2180" i="1"/>
  <c r="K2276" i="1"/>
  <c r="K1966" i="1"/>
  <c r="L2188" i="1"/>
  <c r="L1971" i="1"/>
  <c r="J2315" i="1"/>
  <c r="J2317" i="1" s="1"/>
  <c r="C1939" i="1"/>
  <c r="E38" i="6"/>
  <c r="D38" i="6"/>
  <c r="J250" i="6"/>
  <c r="I2132" i="1" s="1"/>
  <c r="I452" i="1" s="1"/>
  <c r="J2354" i="1"/>
  <c r="J2179" i="1"/>
  <c r="J2072" i="1"/>
  <c r="K1988" i="1"/>
  <c r="K2286" i="1"/>
  <c r="K1986" i="1"/>
  <c r="L2364" i="1"/>
  <c r="L2096" i="1"/>
  <c r="L2278" i="1"/>
  <c r="L2074" i="1"/>
  <c r="L2072" i="1"/>
  <c r="J2025" i="1"/>
  <c r="L2375" i="1"/>
  <c r="L353" i="1" s="1"/>
  <c r="L2025" i="1"/>
  <c r="L349" i="6"/>
  <c r="H38" i="6"/>
  <c r="J48" i="6"/>
  <c r="E270" i="6"/>
  <c r="E272" i="6" s="1"/>
  <c r="E362" i="6" s="1"/>
  <c r="J266" i="6"/>
  <c r="J481" i="6"/>
  <c r="I2363" i="1" s="1"/>
  <c r="I2366" i="1" s="1"/>
  <c r="J2190" i="1"/>
  <c r="J1989" i="1"/>
  <c r="J2363" i="1"/>
  <c r="J2189" i="1"/>
  <c r="J1987" i="1"/>
  <c r="J2362" i="1"/>
  <c r="J2188" i="1"/>
  <c r="J1986" i="1"/>
  <c r="J2075" i="1"/>
  <c r="K2190" i="1"/>
  <c r="K2077" i="1"/>
  <c r="K2071" i="1"/>
  <c r="L1989" i="1"/>
  <c r="M472" i="6"/>
  <c r="M476" i="6" s="1"/>
  <c r="J2309" i="1"/>
  <c r="J2311" i="1" s="1"/>
  <c r="K349" i="6"/>
  <c r="C2194" i="1"/>
  <c r="C2196" i="1" s="1"/>
  <c r="C2101" i="1"/>
  <c r="C2103" i="1" s="1"/>
  <c r="C2126" i="1" s="1"/>
  <c r="C2128" i="1" s="1"/>
  <c r="C2017" i="1"/>
  <c r="M3299" i="1"/>
  <c r="M399" i="1" s="1"/>
  <c r="M401" i="1" s="1"/>
  <c r="N368" i="8"/>
  <c r="O3299" i="1"/>
  <c r="O399" i="1" s="1"/>
  <c r="O401" i="1" s="1"/>
  <c r="F39" i="9" s="1"/>
  <c r="I8" i="24" s="1"/>
  <c r="M289" i="8"/>
  <c r="M283" i="8"/>
  <c r="L3216" i="1" s="1"/>
  <c r="L60" i="1" s="1"/>
  <c r="N279" i="8"/>
  <c r="O3212" i="1" s="1"/>
  <c r="O56" i="1" s="1"/>
  <c r="L68" i="17"/>
  <c r="L3211" i="1"/>
  <c r="L55" i="1" s="1"/>
  <c r="F2986" i="1"/>
  <c r="F3005" i="1" s="1"/>
  <c r="F3007" i="1" s="1"/>
  <c r="D2459" i="1"/>
  <c r="D2461" i="1" s="1"/>
  <c r="H1993" i="1"/>
  <c r="H1995" i="1" s="1"/>
  <c r="M1133" i="1"/>
  <c r="M1135" i="1" s="1"/>
  <c r="E1187" i="1"/>
  <c r="E1189" i="1" s="1"/>
  <c r="E1191" i="1" s="1"/>
  <c r="N2986" i="1"/>
  <c r="N3005" i="1" s="1"/>
  <c r="N3007" i="1" s="1"/>
  <c r="E2459" i="1"/>
  <c r="E2461" i="1" s="1"/>
  <c r="C2750" i="1"/>
  <c r="C2752" i="1" s="1"/>
  <c r="C2781" i="1" s="1"/>
  <c r="H2986" i="1"/>
  <c r="H3005" i="1" s="1"/>
  <c r="H3007" i="1" s="1"/>
  <c r="D2986" i="1"/>
  <c r="D3005" i="1" s="1"/>
  <c r="D3007" i="1" s="1"/>
  <c r="G2017" i="1"/>
  <c r="E2017" i="1"/>
  <c r="H861" i="1"/>
  <c r="H863" i="1" s="1"/>
  <c r="D861" i="1"/>
  <c r="D863" i="1" s="1"/>
  <c r="M1027" i="1"/>
  <c r="M1029" i="1" s="1"/>
  <c r="F1187" i="1"/>
  <c r="F1189" i="1" s="1"/>
  <c r="F1191" i="1" s="1"/>
  <c r="N1245" i="1"/>
  <c r="N1247" i="1" s="1"/>
  <c r="N1290" i="1" s="1"/>
  <c r="N1292" i="1" s="1"/>
  <c r="F2459" i="1"/>
  <c r="F2461" i="1" s="1"/>
  <c r="C2594" i="1"/>
  <c r="C2596" i="1" s="1"/>
  <c r="G1187" i="1"/>
  <c r="G1189" i="1" s="1"/>
  <c r="G1191" i="1" s="1"/>
  <c r="G1027" i="1"/>
  <c r="G1029" i="1" s="1"/>
  <c r="E1027" i="1"/>
  <c r="E1029" i="1" s="1"/>
  <c r="M1452" i="1"/>
  <c r="M1454" i="1" s="1"/>
  <c r="M1475" i="1" s="1"/>
  <c r="M1477" i="1" s="1"/>
  <c r="H1523" i="1"/>
  <c r="H1525" i="1" s="1"/>
  <c r="H1555" i="1" s="1"/>
  <c r="H1557" i="1" s="1"/>
  <c r="G1674" i="1"/>
  <c r="G1676" i="1" s="1"/>
  <c r="G1993" i="1"/>
  <c r="G1995" i="1" s="1"/>
  <c r="E1993" i="1"/>
  <c r="E1995" i="1" s="1"/>
  <c r="M201" i="1"/>
  <c r="M147" i="1"/>
  <c r="H1027" i="1"/>
  <c r="H1029" i="1" s="1"/>
  <c r="F1133" i="1"/>
  <c r="F1135" i="1" s="1"/>
  <c r="C203" i="1"/>
  <c r="C205" i="1" s="1"/>
  <c r="M2101" i="1"/>
  <c r="M2103" i="1" s="1"/>
  <c r="M2126" i="1" s="1"/>
  <c r="M2128" i="1" s="1"/>
  <c r="E2101" i="1"/>
  <c r="E2103" i="1" s="1"/>
  <c r="E2126" i="1" s="1"/>
  <c r="E2128" i="1" s="1"/>
  <c r="G2920" i="1"/>
  <c r="G2922" i="1" s="1"/>
  <c r="G2934" i="1" s="1"/>
  <c r="G2936" i="1" s="1"/>
  <c r="E2326" i="1"/>
  <c r="E2328" i="1" s="1"/>
  <c r="N2394" i="1"/>
  <c r="N2396" i="1" s="1"/>
  <c r="C1674" i="1"/>
  <c r="C1676" i="1" s="1"/>
  <c r="C1329" i="1"/>
  <c r="C1331" i="1" s="1"/>
  <c r="F2101" i="1"/>
  <c r="F2103" i="1" s="1"/>
  <c r="F2126" i="1" s="1"/>
  <c r="F2128" i="1" s="1"/>
  <c r="M2194" i="1"/>
  <c r="M2196" i="1" s="1"/>
  <c r="N2291" i="1"/>
  <c r="N2293" i="1" s="1"/>
  <c r="N2326" i="1" s="1"/>
  <c r="N2328" i="1" s="1"/>
  <c r="G2368" i="1"/>
  <c r="G2370" i="1" s="1"/>
  <c r="G2394" i="1" s="1"/>
  <c r="G2396" i="1" s="1"/>
  <c r="F1858" i="1"/>
  <c r="F1882" i="1" s="1"/>
  <c r="F1884" i="1" s="1"/>
  <c r="M2216" i="1"/>
  <c r="C2216" i="1"/>
  <c r="N2216" i="1"/>
  <c r="N2920" i="1"/>
  <c r="N2922" i="1" s="1"/>
  <c r="N2934" i="1" s="1"/>
  <c r="N2936" i="1" s="1"/>
  <c r="N3218" i="1"/>
  <c r="J3413" i="1"/>
  <c r="F2483" i="1"/>
  <c r="N68" i="1"/>
  <c r="L2110" i="1"/>
  <c r="F68" i="1"/>
  <c r="L270" i="6"/>
  <c r="L272" i="6" s="1"/>
  <c r="J386" i="2"/>
  <c r="I870" i="1" s="1"/>
  <c r="J352" i="2"/>
  <c r="I836" i="1" s="1"/>
  <c r="J365" i="2"/>
  <c r="I849" i="1" s="1"/>
  <c r="J356" i="2"/>
  <c r="I840" i="1" s="1"/>
  <c r="J348" i="2"/>
  <c r="I832" i="1" s="1"/>
  <c r="G88" i="2"/>
  <c r="I93" i="2"/>
  <c r="E224" i="2"/>
  <c r="F224" i="2"/>
  <c r="G224" i="2"/>
  <c r="J385" i="2"/>
  <c r="I869" i="1" s="1"/>
  <c r="I366" i="1" s="1"/>
  <c r="I24" i="2"/>
  <c r="H203" i="2"/>
  <c r="H205" i="2" s="1"/>
  <c r="H297" i="2"/>
  <c r="H299" i="2" s="1"/>
  <c r="H329" i="2" s="1"/>
  <c r="H331" i="2" s="1"/>
  <c r="J40" i="2"/>
  <c r="I524" i="1" s="1"/>
  <c r="F88" i="2"/>
  <c r="F297" i="2"/>
  <c r="F299" i="2" s="1"/>
  <c r="F329" i="2" s="1"/>
  <c r="F331" i="2" s="1"/>
  <c r="D358" i="2"/>
  <c r="C572" i="1"/>
  <c r="H53" i="2"/>
  <c r="F414" i="2"/>
  <c r="I387" i="2"/>
  <c r="D390" i="2"/>
  <c r="H377" i="2"/>
  <c r="H379" i="2" s="1"/>
  <c r="G377" i="2"/>
  <c r="G379" i="2" s="1"/>
  <c r="E377" i="2"/>
  <c r="E379" i="2" s="1"/>
  <c r="N403" i="2"/>
  <c r="O887" i="1" s="1"/>
  <c r="O889" i="1" s="1"/>
  <c r="I36" i="2"/>
  <c r="I109" i="2"/>
  <c r="J324" i="2"/>
  <c r="I808" i="1" s="1"/>
  <c r="J139" i="2"/>
  <c r="I623" i="1" s="1"/>
  <c r="J135" i="2"/>
  <c r="I619" i="1" s="1"/>
  <c r="J116" i="2"/>
  <c r="I600" i="1" s="1"/>
  <c r="J315" i="2"/>
  <c r="I799" i="1" s="1"/>
  <c r="I349" i="1" s="1"/>
  <c r="J98" i="2"/>
  <c r="I582" i="1" s="1"/>
  <c r="J82" i="2"/>
  <c r="I566" i="1" s="1"/>
  <c r="J282" i="2"/>
  <c r="I766" i="1" s="1"/>
  <c r="J179" i="2"/>
  <c r="I663" i="1" s="1"/>
  <c r="J175" i="2"/>
  <c r="I659" i="1" s="1"/>
  <c r="J41" i="2"/>
  <c r="I525" i="1" s="1"/>
  <c r="J37" i="2"/>
  <c r="I521" i="1" s="1"/>
  <c r="J353" i="2"/>
  <c r="I837" i="1" s="1"/>
  <c r="J349" i="2"/>
  <c r="I833" i="1" s="1"/>
  <c r="G414" i="2"/>
  <c r="E203" i="2"/>
  <c r="E205" i="2" s="1"/>
  <c r="F203" i="2"/>
  <c r="F205" i="2" s="1"/>
  <c r="F251" i="2" s="1"/>
  <c r="F253" i="2" s="1"/>
  <c r="G203" i="2"/>
  <c r="G205" i="2" s="1"/>
  <c r="J133" i="2"/>
  <c r="I617" i="1" s="1"/>
  <c r="L350" i="2"/>
  <c r="M350" i="2" s="1"/>
  <c r="N350" i="2" s="1"/>
  <c r="H414" i="2"/>
  <c r="L354" i="2"/>
  <c r="E297" i="2"/>
  <c r="E299" i="2" s="1"/>
  <c r="E329" i="2" s="1"/>
  <c r="E331" i="2" s="1"/>
  <c r="E88" i="2"/>
  <c r="J232" i="2"/>
  <c r="I716" i="1" s="1"/>
  <c r="I407" i="2"/>
  <c r="G407" i="2"/>
  <c r="G409" i="2" s="1"/>
  <c r="E407" i="2"/>
  <c r="E409" i="2" s="1"/>
  <c r="J872" i="1"/>
  <c r="L386" i="2"/>
  <c r="M386" i="2" s="1"/>
  <c r="N386" i="2" s="1"/>
  <c r="K872" i="1"/>
  <c r="M388" i="2"/>
  <c r="M384" i="2"/>
  <c r="K868" i="1"/>
  <c r="L351" i="2"/>
  <c r="J835" i="1"/>
  <c r="J351" i="2"/>
  <c r="I835" i="1" s="1"/>
  <c r="L387" i="2"/>
  <c r="J387" i="2"/>
  <c r="I871" i="1" s="1"/>
  <c r="I371" i="1" s="1"/>
  <c r="J383" i="2"/>
  <c r="I867" i="1" s="1"/>
  <c r="K390" i="2"/>
  <c r="L383" i="2"/>
  <c r="L834" i="1"/>
  <c r="J871" i="1"/>
  <c r="J371" i="1" s="1"/>
  <c r="L355" i="2"/>
  <c r="J839" i="1"/>
  <c r="J355" i="2"/>
  <c r="I839" i="1" s="1"/>
  <c r="L347" i="2"/>
  <c r="K358" i="2"/>
  <c r="J347" i="2"/>
  <c r="I831" i="1" s="1"/>
  <c r="H390" i="2"/>
  <c r="H407" i="2" s="1"/>
  <c r="H409" i="2" s="1"/>
  <c r="O834" i="1"/>
  <c r="M834" i="1"/>
  <c r="E414" i="2"/>
  <c r="E68" i="2"/>
  <c r="E70" i="2" s="1"/>
  <c r="F68" i="2"/>
  <c r="F70" i="2" s="1"/>
  <c r="G68" i="2"/>
  <c r="G70" i="2" s="1"/>
  <c r="G143" i="2" s="1"/>
  <c r="G297" i="2"/>
  <c r="G299" i="2" s="1"/>
  <c r="G329" i="2" s="1"/>
  <c r="G331" i="2" s="1"/>
  <c r="I409" i="2"/>
  <c r="I413" i="2"/>
  <c r="F377" i="2"/>
  <c r="F379" i="2" s="1"/>
  <c r="F407" i="2" s="1"/>
  <c r="F409" i="2" s="1"/>
  <c r="N405" i="2"/>
  <c r="O441" i="1"/>
  <c r="O443" i="1" s="1"/>
  <c r="F44" i="9" s="1"/>
  <c r="M887" i="1"/>
  <c r="M441" i="1" s="1"/>
  <c r="M443" i="1" s="1"/>
  <c r="K834" i="1"/>
  <c r="K838" i="1"/>
  <c r="M354" i="2"/>
  <c r="J867" i="1"/>
  <c r="M702" i="1"/>
  <c r="M325" i="1" s="1"/>
  <c r="O702" i="1"/>
  <c r="O325" i="1" s="1"/>
  <c r="L870" i="1"/>
  <c r="O695" i="1"/>
  <c r="L349" i="2"/>
  <c r="L353" i="2"/>
  <c r="H88" i="2"/>
  <c r="J388" i="2"/>
  <c r="I872" i="1" s="1"/>
  <c r="J384" i="2"/>
  <c r="I868" i="1" s="1"/>
  <c r="L348" i="2"/>
  <c r="L352" i="2"/>
  <c r="L356" i="2"/>
  <c r="J868" i="1"/>
  <c r="H107" i="2"/>
  <c r="J275" i="2"/>
  <c r="I759" i="1" s="1"/>
  <c r="I233" i="2"/>
  <c r="I46" i="2"/>
  <c r="H38" i="2"/>
  <c r="J137" i="2"/>
  <c r="I621" i="1" s="1"/>
  <c r="K152" i="2"/>
  <c r="J150" i="2"/>
  <c r="I634" i="1" s="1"/>
  <c r="I636" i="1" s="1"/>
  <c r="H55" i="2"/>
  <c r="J177" i="2"/>
  <c r="I661" i="1" s="1"/>
  <c r="J247" i="2"/>
  <c r="I731" i="1" s="1"/>
  <c r="J239" i="2"/>
  <c r="I723" i="1" s="1"/>
  <c r="J271" i="2"/>
  <c r="I755" i="1" s="1"/>
  <c r="J190" i="2"/>
  <c r="I674" i="1" s="1"/>
  <c r="J181" i="2"/>
  <c r="I665" i="1" s="1"/>
  <c r="J173" i="2"/>
  <c r="I657" i="1" s="1"/>
  <c r="J494" i="1"/>
  <c r="J496" i="1" s="1"/>
  <c r="J498" i="1" s="1"/>
  <c r="I37" i="2"/>
  <c r="J63" i="2"/>
  <c r="I547" i="1" s="1"/>
  <c r="J132" i="2"/>
  <c r="I616" i="1" s="1"/>
  <c r="I228" i="2"/>
  <c r="J228" i="2"/>
  <c r="I712" i="1" s="1"/>
  <c r="D214" i="2"/>
  <c r="C687" i="1"/>
  <c r="C689" i="1" s="1"/>
  <c r="J93" i="2"/>
  <c r="I577" i="1" s="1"/>
  <c r="I351" i="1" s="1"/>
  <c r="H45" i="2"/>
  <c r="J276" i="2"/>
  <c r="I760" i="1" s="1"/>
  <c r="J272" i="2"/>
  <c r="I756" i="1" s="1"/>
  <c r="J182" i="2"/>
  <c r="I666" i="1" s="1"/>
  <c r="J178" i="2"/>
  <c r="I662" i="1" s="1"/>
  <c r="J174" i="2"/>
  <c r="I658" i="1" s="1"/>
  <c r="J53" i="2"/>
  <c r="I537" i="1" s="1"/>
  <c r="I541" i="1" s="1"/>
  <c r="J44" i="2"/>
  <c r="I528" i="1" s="1"/>
  <c r="J36" i="2"/>
  <c r="I520" i="1" s="1"/>
  <c r="J23" i="2"/>
  <c r="I507" i="1" s="1"/>
  <c r="I166" i="1" s="1"/>
  <c r="J19" i="2"/>
  <c r="I503" i="1" s="1"/>
  <c r="I162" i="1" s="1"/>
  <c r="J362" i="2"/>
  <c r="I846" i="1" s="1"/>
  <c r="I232" i="2"/>
  <c r="J237" i="2"/>
  <c r="I721" i="1" s="1"/>
  <c r="D249" i="2"/>
  <c r="J306" i="2"/>
  <c r="I790" i="1" s="1"/>
  <c r="J397" i="2"/>
  <c r="I881" i="1" s="1"/>
  <c r="L177" i="2"/>
  <c r="M177" i="2" s="1"/>
  <c r="J35" i="2"/>
  <c r="I519" i="1" s="1"/>
  <c r="I39" i="2"/>
  <c r="I43" i="2"/>
  <c r="I52" i="2"/>
  <c r="D152" i="2"/>
  <c r="I229" i="2"/>
  <c r="H238" i="2"/>
  <c r="J755" i="1"/>
  <c r="J714" i="1"/>
  <c r="J723" i="1"/>
  <c r="J22" i="2"/>
  <c r="I506" i="1" s="1"/>
  <c r="I165" i="1" s="1"/>
  <c r="J39" i="2"/>
  <c r="I523" i="1" s="1"/>
  <c r="J43" i="2"/>
  <c r="I527" i="1" s="1"/>
  <c r="D339" i="2"/>
  <c r="I339" i="2" s="1"/>
  <c r="I414" i="2" s="1"/>
  <c r="J218" i="2"/>
  <c r="I702" i="1" s="1"/>
  <c r="I325" i="1" s="1"/>
  <c r="J138" i="2"/>
  <c r="I622" i="1" s="1"/>
  <c r="J134" i="2"/>
  <c r="I618" i="1" s="1"/>
  <c r="J124" i="2"/>
  <c r="I608" i="1" s="1"/>
  <c r="D119" i="2"/>
  <c r="D78" i="2"/>
  <c r="D295" i="2"/>
  <c r="J325" i="2"/>
  <c r="I809" i="1" s="1"/>
  <c r="K249" i="2"/>
  <c r="J136" i="2"/>
  <c r="I620" i="1" s="1"/>
  <c r="J316" i="2"/>
  <c r="I800" i="1" s="1"/>
  <c r="J107" i="2"/>
  <c r="I583" i="1" s="1"/>
  <c r="J94" i="2"/>
  <c r="I578" i="1" s="1"/>
  <c r="J83" i="2"/>
  <c r="I567" i="1" s="1"/>
  <c r="J292" i="2"/>
  <c r="I776" i="1" s="1"/>
  <c r="J64" i="2"/>
  <c r="I548" i="1" s="1"/>
  <c r="J46" i="2"/>
  <c r="I530" i="1" s="1"/>
  <c r="J42" i="2"/>
  <c r="I526" i="1" s="1"/>
  <c r="J38" i="2"/>
  <c r="I522" i="1" s="1"/>
  <c r="J34" i="2"/>
  <c r="I518" i="1" s="1"/>
  <c r="J21" i="2"/>
  <c r="I505" i="1" s="1"/>
  <c r="I164" i="1" s="1"/>
  <c r="J372" i="2"/>
  <c r="I856" i="1" s="1"/>
  <c r="M9" i="2"/>
  <c r="M11" i="2" s="1"/>
  <c r="M13" i="2" s="1"/>
  <c r="I22" i="2"/>
  <c r="I218" i="2"/>
  <c r="L259" i="2"/>
  <c r="K399" i="2"/>
  <c r="J373" i="2"/>
  <c r="I857" i="1" s="1"/>
  <c r="J364" i="2"/>
  <c r="I848" i="1" s="1"/>
  <c r="N611" i="1"/>
  <c r="H37" i="2"/>
  <c r="I240" i="2"/>
  <c r="H231" i="2"/>
  <c r="H242" i="2" s="1"/>
  <c r="H220" i="2"/>
  <c r="J238" i="2"/>
  <c r="I722" i="1" s="1"/>
  <c r="J229" i="2"/>
  <c r="I713" i="1" s="1"/>
  <c r="I342" i="1" s="1"/>
  <c r="D127" i="2"/>
  <c r="B41" i="9" s="1"/>
  <c r="K278" i="2"/>
  <c r="J188" i="2"/>
  <c r="I672" i="1" s="1"/>
  <c r="J45" i="2"/>
  <c r="I529" i="1" s="1"/>
  <c r="I223" i="1" s="1"/>
  <c r="J24" i="2"/>
  <c r="I508" i="1" s="1"/>
  <c r="I167" i="1" s="1"/>
  <c r="J20" i="2"/>
  <c r="I504" i="1" s="1"/>
  <c r="I163" i="1" s="1"/>
  <c r="M179" i="2"/>
  <c r="L663" i="1" s="1"/>
  <c r="M230" i="2"/>
  <c r="N230" i="2" s="1"/>
  <c r="M714" i="1" s="1"/>
  <c r="L132" i="2"/>
  <c r="K616" i="1" s="1"/>
  <c r="I41" i="2"/>
  <c r="I92" i="2"/>
  <c r="H54" i="2"/>
  <c r="H41" i="2"/>
  <c r="I236" i="2"/>
  <c r="D242" i="2"/>
  <c r="I242" i="2" s="1"/>
  <c r="J109" i="2"/>
  <c r="I593" i="1" s="1"/>
  <c r="I383" i="1" s="1"/>
  <c r="J96" i="2"/>
  <c r="I580" i="1" s="1"/>
  <c r="J285" i="2"/>
  <c r="I769" i="1" s="1"/>
  <c r="N889" i="1"/>
  <c r="L228" i="2"/>
  <c r="L270" i="2"/>
  <c r="J758" i="1"/>
  <c r="J615" i="1"/>
  <c r="I20" i="2"/>
  <c r="J92" i="2"/>
  <c r="I576" i="1" s="1"/>
  <c r="I350" i="1" s="1"/>
  <c r="J115" i="2"/>
  <c r="I599" i="1" s="1"/>
  <c r="I391" i="1" s="1"/>
  <c r="K162" i="2"/>
  <c r="J233" i="2"/>
  <c r="I717" i="1" s="1"/>
  <c r="D141" i="2"/>
  <c r="D319" i="2"/>
  <c r="J274" i="2"/>
  <c r="I758" i="1" s="1"/>
  <c r="J270" i="2"/>
  <c r="I754" i="1" s="1"/>
  <c r="J189" i="2"/>
  <c r="I673" i="1" s="1"/>
  <c r="K141" i="2"/>
  <c r="J123" i="2"/>
  <c r="I607" i="1" s="1"/>
  <c r="J108" i="2"/>
  <c r="I592" i="1" s="1"/>
  <c r="I382" i="1" s="1"/>
  <c r="J95" i="2"/>
  <c r="I579" i="1" s="1"/>
  <c r="I360" i="1" s="1"/>
  <c r="J219" i="2"/>
  <c r="I703" i="1" s="1"/>
  <c r="I326" i="1" s="1"/>
  <c r="J84" i="2"/>
  <c r="I568" i="1" s="1"/>
  <c r="J293" i="2"/>
  <c r="I777" i="1" s="1"/>
  <c r="J284" i="2"/>
  <c r="I768" i="1" s="1"/>
  <c r="L233" i="2"/>
  <c r="M233" i="2" s="1"/>
  <c r="N233" i="2" s="1"/>
  <c r="O717" i="1" s="1"/>
  <c r="L275" i="2"/>
  <c r="M275" i="2" s="1"/>
  <c r="L759" i="1" s="1"/>
  <c r="C861" i="1"/>
  <c r="C863" i="1" s="1"/>
  <c r="M240" i="2"/>
  <c r="K724" i="1"/>
  <c r="D48" i="2"/>
  <c r="I48" i="2" s="1"/>
  <c r="J236" i="2"/>
  <c r="I720" i="1" s="1"/>
  <c r="L236" i="2"/>
  <c r="J753" i="1"/>
  <c r="L269" i="2"/>
  <c r="J269" i="2"/>
  <c r="I753" i="1" s="1"/>
  <c r="I34" i="2"/>
  <c r="I42" i="2"/>
  <c r="H219" i="2"/>
  <c r="I219" i="2"/>
  <c r="D278" i="2"/>
  <c r="M239" i="2"/>
  <c r="K723" i="1"/>
  <c r="O494" i="1"/>
  <c r="O496" i="1" s="1"/>
  <c r="O498" i="1" s="1"/>
  <c r="J7" i="2"/>
  <c r="J131" i="2"/>
  <c r="I615" i="1" s="1"/>
  <c r="H34" i="2"/>
  <c r="G412" i="2"/>
  <c r="J246" i="2"/>
  <c r="I730" i="1" s="1"/>
  <c r="J230" i="2"/>
  <c r="I714" i="1" s="1"/>
  <c r="J220" i="2"/>
  <c r="I704" i="1" s="1"/>
  <c r="I327" i="1" s="1"/>
  <c r="D111" i="2"/>
  <c r="H94" i="2"/>
  <c r="D222" i="2"/>
  <c r="D224" i="2" s="1"/>
  <c r="J620" i="1"/>
  <c r="L136" i="2"/>
  <c r="M271" i="2"/>
  <c r="K755" i="1"/>
  <c r="L176" i="2"/>
  <c r="J718" i="1"/>
  <c r="J720" i="1"/>
  <c r="J724" i="1"/>
  <c r="J240" i="2"/>
  <c r="I724" i="1" s="1"/>
  <c r="L231" i="2"/>
  <c r="J715" i="1"/>
  <c r="J231" i="2"/>
  <c r="I715" i="1" s="1"/>
  <c r="L76" i="2"/>
  <c r="L78" i="2" s="1"/>
  <c r="J76" i="2"/>
  <c r="I560" i="1" s="1"/>
  <c r="I562" i="1" s="1"/>
  <c r="J757" i="1"/>
  <c r="L273" i="2"/>
  <c r="J273" i="2"/>
  <c r="I757" i="1" s="1"/>
  <c r="J664" i="1"/>
  <c r="L180" i="2"/>
  <c r="J741" i="1"/>
  <c r="J743" i="1" s="1"/>
  <c r="K259" i="2"/>
  <c r="J259" i="2" s="1"/>
  <c r="N179" i="2"/>
  <c r="D201" i="2"/>
  <c r="J617" i="1"/>
  <c r="L133" i="2"/>
  <c r="K718" i="1"/>
  <c r="M234" i="2"/>
  <c r="J307" i="2"/>
  <c r="I791" i="1" s="1"/>
  <c r="L276" i="2"/>
  <c r="J760" i="1"/>
  <c r="L272" i="2"/>
  <c r="J756" i="1"/>
  <c r="L268" i="2"/>
  <c r="J752" i="1"/>
  <c r="K184" i="2"/>
  <c r="J659" i="1"/>
  <c r="L175" i="2"/>
  <c r="J396" i="2"/>
  <c r="I880" i="1" s="1"/>
  <c r="N9" i="2"/>
  <c r="N11" i="2" s="1"/>
  <c r="N13" i="2" s="1"/>
  <c r="K9" i="2"/>
  <c r="K11" i="2" s="1"/>
  <c r="K13" i="2" s="1"/>
  <c r="I21" i="2"/>
  <c r="I76" i="2"/>
  <c r="J234" i="2"/>
  <c r="I718" i="1" s="1"/>
  <c r="J180" i="2"/>
  <c r="I664" i="1" s="1"/>
  <c r="J176" i="2"/>
  <c r="I660" i="1" s="1"/>
  <c r="J268" i="2"/>
  <c r="I752" i="1" s="1"/>
  <c r="H98" i="2"/>
  <c r="I98" i="2"/>
  <c r="I111" i="2" s="1"/>
  <c r="D309" i="2"/>
  <c r="D311" i="2" s="1"/>
  <c r="D184" i="2"/>
  <c r="D66" i="2"/>
  <c r="K758" i="1"/>
  <c r="M274" i="2"/>
  <c r="J560" i="1"/>
  <c r="J562" i="1" s="1"/>
  <c r="L137" i="2"/>
  <c r="K621" i="1" s="1"/>
  <c r="J663" i="1"/>
  <c r="D327" i="2"/>
  <c r="J117" i="2"/>
  <c r="I601" i="1" s="1"/>
  <c r="J317" i="2"/>
  <c r="I801" i="1" s="1"/>
  <c r="J623" i="1"/>
  <c r="L139" i="2"/>
  <c r="J619" i="1"/>
  <c r="L135" i="2"/>
  <c r="J666" i="1"/>
  <c r="L182" i="2"/>
  <c r="J662" i="1"/>
  <c r="L178" i="2"/>
  <c r="J658" i="1"/>
  <c r="L174" i="2"/>
  <c r="D399" i="2"/>
  <c r="L229" i="2"/>
  <c r="J722" i="1"/>
  <c r="D86" i="2"/>
  <c r="D287" i="2"/>
  <c r="L138" i="2"/>
  <c r="J622" i="1"/>
  <c r="J618" i="1"/>
  <c r="L134" i="2"/>
  <c r="K242" i="2"/>
  <c r="M131" i="2"/>
  <c r="L173" i="2"/>
  <c r="L181" i="2"/>
  <c r="L232" i="2"/>
  <c r="L237" i="2"/>
  <c r="M238" i="2"/>
  <c r="M719" i="1"/>
  <c r="M365" i="1" s="1"/>
  <c r="O719" i="1"/>
  <c r="O365" i="1" s="1"/>
  <c r="C781" i="1"/>
  <c r="C783" i="1" s="1"/>
  <c r="C813" i="1" s="1"/>
  <c r="C815" i="1" s="1"/>
  <c r="I1750" i="1"/>
  <c r="I1752" i="1" s="1"/>
  <c r="I1754" i="1" s="1"/>
  <c r="K97" i="1"/>
  <c r="J1235" i="1"/>
  <c r="L494" i="1"/>
  <c r="L496" i="1" s="1"/>
  <c r="L498" i="1" s="1"/>
  <c r="F28" i="1"/>
  <c r="L3129" i="1"/>
  <c r="F2699" i="1"/>
  <c r="F2701" i="1" s="1"/>
  <c r="F2712" i="1" s="1"/>
  <c r="G889" i="1"/>
  <c r="I2301" i="1"/>
  <c r="I2303" i="1" s="1"/>
  <c r="D28" i="1"/>
  <c r="N2699" i="1"/>
  <c r="N2701" i="1" s="1"/>
  <c r="N2712" i="1" s="1"/>
  <c r="O470" i="1"/>
  <c r="M264" i="1"/>
  <c r="J2570" i="1"/>
  <c r="J2572" i="1" s="1"/>
  <c r="L453" i="1"/>
  <c r="F889" i="1"/>
  <c r="N201" i="1"/>
  <c r="N677" i="1"/>
  <c r="M75" i="1"/>
  <c r="M3129" i="1"/>
  <c r="M3131" i="1" s="1"/>
  <c r="M3133" i="1" s="1"/>
  <c r="M3135" i="1" s="1"/>
  <c r="I3129" i="1"/>
  <c r="N454" i="1"/>
  <c r="O3356" i="1"/>
  <c r="K471" i="1"/>
  <c r="H2880" i="1"/>
  <c r="O1937" i="1"/>
  <c r="J1908" i="1"/>
  <c r="G1405" i="1"/>
  <c r="L1772" i="1"/>
  <c r="J1772" i="1"/>
  <c r="J2406" i="1"/>
  <c r="J2408" i="1" s="1"/>
  <c r="N562" i="1"/>
  <c r="N572" i="1" s="1"/>
  <c r="J2825" i="1"/>
  <c r="J356" i="1"/>
  <c r="K3123" i="1"/>
  <c r="N462" i="1"/>
  <c r="J3278" i="1"/>
  <c r="E2699" i="1"/>
  <c r="E2701" i="1" s="1"/>
  <c r="E2712" i="1" s="1"/>
  <c r="D2880" i="1"/>
  <c r="L1917" i="1"/>
  <c r="L1919" i="1" s="1"/>
  <c r="J1931" i="1"/>
  <c r="I12" i="1"/>
  <c r="I18" i="1" s="1"/>
  <c r="L889" i="1"/>
  <c r="J311" i="1"/>
  <c r="N272" i="1"/>
  <c r="J646" i="1"/>
  <c r="J648" i="1" s="1"/>
  <c r="J650" i="1" s="1"/>
  <c r="C462" i="1"/>
  <c r="I284" i="1"/>
  <c r="L3465" i="1"/>
  <c r="M26" i="1"/>
  <c r="E241" i="1"/>
  <c r="L3123" i="1"/>
  <c r="O3440" i="1"/>
  <c r="L2880" i="1"/>
  <c r="J1917" i="1"/>
  <c r="J1919" i="1" s="1"/>
  <c r="N280" i="1"/>
  <c r="N28" i="1"/>
  <c r="K114" i="1"/>
  <c r="K2797" i="1"/>
  <c r="K2799" i="1" s="1"/>
  <c r="K2801" i="1" s="1"/>
  <c r="K406" i="7"/>
  <c r="J404" i="7"/>
  <c r="K13" i="7"/>
  <c r="D45" i="7"/>
  <c r="L39" i="7"/>
  <c r="K2434" i="1" s="1"/>
  <c r="L58" i="7"/>
  <c r="K2453" i="1" s="1"/>
  <c r="L59" i="7"/>
  <c r="K2454" i="1" s="1"/>
  <c r="L60" i="7"/>
  <c r="K2455" i="1" s="1"/>
  <c r="J85" i="7"/>
  <c r="I2480" i="1" s="1"/>
  <c r="L86" i="7"/>
  <c r="K2481" i="1" s="1"/>
  <c r="J93" i="7"/>
  <c r="I2488" i="1" s="1"/>
  <c r="J134" i="7"/>
  <c r="I2529" i="1" s="1"/>
  <c r="J135" i="7"/>
  <c r="I2530" i="1" s="1"/>
  <c r="J153" i="7"/>
  <c r="I2548" i="1" s="1"/>
  <c r="I2550" i="1" s="1"/>
  <c r="D219" i="7"/>
  <c r="L209" i="7"/>
  <c r="J211" i="7"/>
  <c r="I2606" i="1" s="1"/>
  <c r="J212" i="7"/>
  <c r="I2607" i="1" s="1"/>
  <c r="J213" i="7"/>
  <c r="I2608" i="1" s="1"/>
  <c r="J214" i="7"/>
  <c r="I2609" i="1" s="1"/>
  <c r="J215" i="7"/>
  <c r="I2610" i="1" s="1"/>
  <c r="J216" i="7"/>
  <c r="I2611" i="1" s="1"/>
  <c r="J217" i="7"/>
  <c r="I2612" i="1" s="1"/>
  <c r="D228" i="7"/>
  <c r="L232" i="7"/>
  <c r="K2627" i="1" s="1"/>
  <c r="L233" i="7"/>
  <c r="K2628" i="1" s="1"/>
  <c r="L234" i="7"/>
  <c r="K2629" i="1" s="1"/>
  <c r="L245" i="7"/>
  <c r="J251" i="7"/>
  <c r="I2646" i="1" s="1"/>
  <c r="I2648" i="1" s="1"/>
  <c r="L253" i="7"/>
  <c r="L257" i="7"/>
  <c r="K2652" i="1" s="1"/>
  <c r="L258" i="7"/>
  <c r="K2653" i="1" s="1"/>
  <c r="K332" i="1" s="1"/>
  <c r="K185" i="7"/>
  <c r="J185" i="7" s="1"/>
  <c r="L175" i="7"/>
  <c r="L177" i="7" s="1"/>
  <c r="J292" i="7"/>
  <c r="I2687" i="1" s="1"/>
  <c r="D304" i="7"/>
  <c r="D306" i="7" s="1"/>
  <c r="D317" i="7" s="1"/>
  <c r="J342" i="7"/>
  <c r="I2737" i="1" s="1"/>
  <c r="L343" i="7"/>
  <c r="K2738" i="1" s="1"/>
  <c r="K364" i="7"/>
  <c r="J371" i="7"/>
  <c r="I2766" i="1" s="1"/>
  <c r="J426" i="7"/>
  <c r="I2821" i="1" s="1"/>
  <c r="J434" i="7"/>
  <c r="I2829" i="1" s="1"/>
  <c r="K449" i="7"/>
  <c r="K451" i="7" s="1"/>
  <c r="J512" i="7"/>
  <c r="I2907" i="1" s="1"/>
  <c r="D523" i="7"/>
  <c r="J534" i="7"/>
  <c r="I2929" i="1" s="1"/>
  <c r="D485" i="7"/>
  <c r="J485" i="7" s="1"/>
  <c r="C2542" i="1"/>
  <c r="C2544" i="1" s="1"/>
  <c r="C2559" i="1" s="1"/>
  <c r="C2561" i="1" s="1"/>
  <c r="C2633" i="1"/>
  <c r="C2635" i="1" s="1"/>
  <c r="C2835" i="1"/>
  <c r="C2837" i="1" s="1"/>
  <c r="C2860" i="1" s="1"/>
  <c r="C2862" i="1" s="1"/>
  <c r="J400" i="7"/>
  <c r="I2795" i="1" s="1"/>
  <c r="I114" i="1" s="1"/>
  <c r="J2878" i="1"/>
  <c r="J74" i="1" s="1"/>
  <c r="J41" i="7"/>
  <c r="I2436" i="1" s="1"/>
  <c r="J42" i="7"/>
  <c r="I2437" i="1" s="1"/>
  <c r="J43" i="7"/>
  <c r="I2438" i="1" s="1"/>
  <c r="D108" i="7"/>
  <c r="D137" i="7"/>
  <c r="D147" i="7" s="1"/>
  <c r="D149" i="7" s="1"/>
  <c r="D164" i="7" s="1"/>
  <c r="D166" i="7" s="1"/>
  <c r="J2614" i="1"/>
  <c r="K247" i="7"/>
  <c r="J247" i="7" s="1"/>
  <c r="J349" i="7"/>
  <c r="I2744" i="1" s="1"/>
  <c r="J362" i="7"/>
  <c r="I2757" i="1" s="1"/>
  <c r="I2759" i="1" s="1"/>
  <c r="I2761" i="1" s="1"/>
  <c r="D430" i="7"/>
  <c r="D440" i="7" s="1"/>
  <c r="D442" i="7" s="1"/>
  <c r="D465" i="7" s="1"/>
  <c r="J428" i="7"/>
  <c r="I2823" i="1" s="1"/>
  <c r="J436" i="7"/>
  <c r="I2831" i="1" s="1"/>
  <c r="J447" i="7"/>
  <c r="I2842" i="1" s="1"/>
  <c r="I2844" i="1" s="1"/>
  <c r="I2846" i="1" s="1"/>
  <c r="L402" i="7"/>
  <c r="L404" i="7" s="1"/>
  <c r="L406" i="7" s="1"/>
  <c r="D479" i="7"/>
  <c r="D487" i="7" s="1"/>
  <c r="D489" i="7" s="1"/>
  <c r="E454" i="1"/>
  <c r="C2657" i="1"/>
  <c r="C2920" i="1"/>
  <c r="C2922" i="1" s="1"/>
  <c r="C2934" i="1" s="1"/>
  <c r="C2936" i="1" s="1"/>
  <c r="J39" i="7"/>
  <c r="I2434" i="1" s="1"/>
  <c r="J40" i="7"/>
  <c r="I2435" i="1" s="1"/>
  <c r="J59" i="7"/>
  <c r="I2454" i="1" s="1"/>
  <c r="J60" i="7"/>
  <c r="I2455" i="1" s="1"/>
  <c r="D88" i="7"/>
  <c r="J104" i="7"/>
  <c r="I2499" i="1" s="1"/>
  <c r="J132" i="7"/>
  <c r="I2527" i="1" s="1"/>
  <c r="L133" i="7"/>
  <c r="M133" i="7" s="1"/>
  <c r="L134" i="7"/>
  <c r="K2529" i="1" s="1"/>
  <c r="L135" i="7"/>
  <c r="K2530" i="1" s="1"/>
  <c r="J209" i="7"/>
  <c r="I2604" i="1" s="1"/>
  <c r="L211" i="7"/>
  <c r="K2606" i="1" s="1"/>
  <c r="L212" i="7"/>
  <c r="K2607" i="1" s="1"/>
  <c r="L213" i="7"/>
  <c r="K2608" i="1" s="1"/>
  <c r="L214" i="7"/>
  <c r="K2609" i="1" s="1"/>
  <c r="L215" i="7"/>
  <c r="K2610" i="1" s="1"/>
  <c r="L216" i="7"/>
  <c r="K2611" i="1" s="1"/>
  <c r="L217" i="7"/>
  <c r="K2612" i="1" s="1"/>
  <c r="J232" i="7"/>
  <c r="I2627" i="1" s="1"/>
  <c r="J233" i="7"/>
  <c r="I2628" i="1" s="1"/>
  <c r="J234" i="7"/>
  <c r="I2629" i="1" s="1"/>
  <c r="J245" i="7"/>
  <c r="I2640" i="1" s="1"/>
  <c r="J257" i="7"/>
  <c r="I2652" i="1" s="1"/>
  <c r="J258" i="7"/>
  <c r="I2653" i="1" s="1"/>
  <c r="I332" i="1" s="1"/>
  <c r="J313" i="7"/>
  <c r="J351" i="7"/>
  <c r="I2746" i="1" s="1"/>
  <c r="D515" i="7"/>
  <c r="J2578" i="1"/>
  <c r="J2580" i="1" s="1"/>
  <c r="F544" i="7"/>
  <c r="F112" i="7"/>
  <c r="K2494" i="1"/>
  <c r="M99" i="7"/>
  <c r="L38" i="7"/>
  <c r="L40" i="7"/>
  <c r="D54" i="7"/>
  <c r="J58" i="7"/>
  <c r="I2453" i="1" s="1"/>
  <c r="K72" i="7"/>
  <c r="M86" i="7"/>
  <c r="K88" i="7"/>
  <c r="J88" i="7" s="1"/>
  <c r="L92" i="7"/>
  <c r="N93" i="7"/>
  <c r="O2488" i="1" s="1"/>
  <c r="J2495" i="1"/>
  <c r="L100" i="7"/>
  <c r="J2496" i="1"/>
  <c r="J101" i="7"/>
  <c r="I2496" i="1" s="1"/>
  <c r="M105" i="7"/>
  <c r="J2515" i="1"/>
  <c r="L120" i="7"/>
  <c r="J120" i="7"/>
  <c r="I2515" i="1" s="1"/>
  <c r="K128" i="7"/>
  <c r="J2519" i="1"/>
  <c r="L124" i="7"/>
  <c r="J124" i="7"/>
  <c r="I2519" i="1" s="1"/>
  <c r="K2528" i="1"/>
  <c r="J13" i="7"/>
  <c r="L21" i="7"/>
  <c r="J22" i="7"/>
  <c r="I2417" i="1" s="1"/>
  <c r="I195" i="1" s="1"/>
  <c r="L23" i="7"/>
  <c r="J24" i="7"/>
  <c r="I2419" i="1" s="1"/>
  <c r="I197" i="1" s="1"/>
  <c r="L25" i="7"/>
  <c r="J26" i="7"/>
  <c r="I2421" i="1" s="1"/>
  <c r="I199" i="1" s="1"/>
  <c r="M42" i="7"/>
  <c r="J49" i="7"/>
  <c r="I2444" i="1" s="1"/>
  <c r="L50" i="7"/>
  <c r="J51" i="7"/>
  <c r="I2446" i="1" s="1"/>
  <c r="L52" i="7"/>
  <c r="M59" i="7"/>
  <c r="J70" i="7"/>
  <c r="I2465" i="1" s="1"/>
  <c r="I2467" i="1" s="1"/>
  <c r="I2469" i="1" s="1"/>
  <c r="J80" i="7"/>
  <c r="I2475" i="1" s="1"/>
  <c r="L81" i="7"/>
  <c r="J82" i="7"/>
  <c r="I2477" i="1" s="1"/>
  <c r="L83" i="7"/>
  <c r="J84" i="7"/>
  <c r="I2479" i="1" s="1"/>
  <c r="L85" i="7"/>
  <c r="J86" i="7"/>
  <c r="I2481" i="1" s="1"/>
  <c r="D95" i="7"/>
  <c r="L101" i="7"/>
  <c r="J2497" i="1"/>
  <c r="L102" i="7"/>
  <c r="J2498" i="1"/>
  <c r="J103" i="7"/>
  <c r="I2498" i="1" s="1"/>
  <c r="H112" i="7"/>
  <c r="J2518" i="1"/>
  <c r="J123" i="7"/>
  <c r="I2518" i="1" s="1"/>
  <c r="L123" i="7"/>
  <c r="J38" i="7"/>
  <c r="I2433" i="1" s="1"/>
  <c r="K54" i="7"/>
  <c r="J54" i="7" s="1"/>
  <c r="J92" i="7"/>
  <c r="I2487" i="1" s="1"/>
  <c r="K95" i="7"/>
  <c r="J95" i="7" s="1"/>
  <c r="J2499" i="1"/>
  <c r="J431" i="1" s="1"/>
  <c r="L104" i="7"/>
  <c r="J2500" i="1"/>
  <c r="J105" i="7"/>
  <c r="I2500" i="1" s="1"/>
  <c r="E112" i="7"/>
  <c r="J2517" i="1"/>
  <c r="L122" i="7"/>
  <c r="J122" i="7"/>
  <c r="I2517" i="1" s="1"/>
  <c r="J2521" i="1"/>
  <c r="L126" i="7"/>
  <c r="J126" i="7"/>
  <c r="I2521" i="1" s="1"/>
  <c r="J2536" i="1"/>
  <c r="L141" i="7"/>
  <c r="J141" i="7"/>
  <c r="I2536" i="1" s="1"/>
  <c r="K145" i="7"/>
  <c r="J145" i="7" s="1"/>
  <c r="D262" i="7"/>
  <c r="J177" i="7"/>
  <c r="J21" i="7"/>
  <c r="I2416" i="1" s="1"/>
  <c r="I194" i="1" s="1"/>
  <c r="L22" i="7"/>
  <c r="J23" i="7"/>
  <c r="I2418" i="1" s="1"/>
  <c r="L24" i="7"/>
  <c r="J25" i="7"/>
  <c r="I2420" i="1" s="1"/>
  <c r="I198" i="1" s="1"/>
  <c r="L26" i="7"/>
  <c r="K28" i="7"/>
  <c r="M39" i="7"/>
  <c r="M41" i="7"/>
  <c r="M43" i="7"/>
  <c r="K45" i="7"/>
  <c r="L49" i="7"/>
  <c r="J50" i="7"/>
  <c r="I2445" i="1" s="1"/>
  <c r="L51" i="7"/>
  <c r="J52" i="7"/>
  <c r="I2447" i="1" s="1"/>
  <c r="M60" i="7"/>
  <c r="K62" i="7"/>
  <c r="J62" i="7" s="1"/>
  <c r="L70" i="7"/>
  <c r="M78" i="7"/>
  <c r="L80" i="7"/>
  <c r="J81" i="7"/>
  <c r="I2476" i="1" s="1"/>
  <c r="I367" i="1" s="1"/>
  <c r="L82" i="7"/>
  <c r="L84" i="7"/>
  <c r="J2494" i="1"/>
  <c r="J99" i="7"/>
  <c r="I2494" i="1" s="1"/>
  <c r="M103" i="7"/>
  <c r="J2501" i="1"/>
  <c r="L106" i="7"/>
  <c r="K108" i="7"/>
  <c r="J2516" i="1"/>
  <c r="J121" i="7"/>
  <c r="I2516" i="1" s="1"/>
  <c r="L121" i="7"/>
  <c r="J2538" i="1"/>
  <c r="L143" i="7"/>
  <c r="J143" i="7"/>
  <c r="I2538" i="1" s="1"/>
  <c r="L132" i="7"/>
  <c r="J133" i="7"/>
  <c r="I2528" i="1" s="1"/>
  <c r="L153" i="7"/>
  <c r="K162" i="7"/>
  <c r="J162" i="7" s="1"/>
  <c r="M214" i="7"/>
  <c r="M216" i="7"/>
  <c r="J223" i="7"/>
  <c r="I2618" i="1" s="1"/>
  <c r="L224" i="7"/>
  <c r="J225" i="7"/>
  <c r="I2620" i="1" s="1"/>
  <c r="L226" i="7"/>
  <c r="J2655" i="1"/>
  <c r="J2657" i="1" s="1"/>
  <c r="M258" i="7"/>
  <c r="K260" i="7"/>
  <c r="J260" i="7" s="1"/>
  <c r="J266" i="7"/>
  <c r="I2661" i="1" s="1"/>
  <c r="L267" i="7"/>
  <c r="J268" i="7"/>
  <c r="I2663" i="1" s="1"/>
  <c r="L269" i="7"/>
  <c r="L275" i="7"/>
  <c r="J276" i="7"/>
  <c r="I2671" i="1" s="1"/>
  <c r="L277" i="7"/>
  <c r="J278" i="7"/>
  <c r="I2673" i="1" s="1"/>
  <c r="I434" i="1" s="1"/>
  <c r="L279" i="7"/>
  <c r="J289" i="7"/>
  <c r="I2684" i="1" s="1"/>
  <c r="D294" i="7"/>
  <c r="D546" i="7" s="1"/>
  <c r="M294" i="7"/>
  <c r="M546" i="7" s="1"/>
  <c r="J2697" i="1"/>
  <c r="J2699" i="1" s="1"/>
  <c r="J2701" i="1" s="1"/>
  <c r="J2712" i="1" s="1"/>
  <c r="K304" i="7"/>
  <c r="L340" i="7"/>
  <c r="J341" i="7"/>
  <c r="I2736" i="1" s="1"/>
  <c r="L342" i="7"/>
  <c r="J343" i="7"/>
  <c r="I2738" i="1" s="1"/>
  <c r="L125" i="7"/>
  <c r="M134" i="7"/>
  <c r="L142" i="7"/>
  <c r="K155" i="7"/>
  <c r="J155" i="7" s="1"/>
  <c r="L159" i="7"/>
  <c r="J160" i="7"/>
  <c r="I2555" i="1" s="1"/>
  <c r="J208" i="7"/>
  <c r="I2603" i="1" s="1"/>
  <c r="J210" i="7"/>
  <c r="I2605" i="1" s="1"/>
  <c r="K228" i="7"/>
  <c r="J228" i="7" s="1"/>
  <c r="L260" i="7"/>
  <c r="K271" i="7"/>
  <c r="J271" i="7" s="1"/>
  <c r="K281" i="7"/>
  <c r="J281" i="7" s="1"/>
  <c r="K2697" i="1"/>
  <c r="L304" i="7"/>
  <c r="L306" i="7" s="1"/>
  <c r="J451" i="7"/>
  <c r="D467" i="7"/>
  <c r="M211" i="7"/>
  <c r="M213" i="7"/>
  <c r="K219" i="7"/>
  <c r="L223" i="7"/>
  <c r="J224" i="7"/>
  <c r="I2619" i="1" s="1"/>
  <c r="L225" i="7"/>
  <c r="J226" i="7"/>
  <c r="I2621" i="1" s="1"/>
  <c r="M232" i="7"/>
  <c r="M234" i="7"/>
  <c r="K236" i="7"/>
  <c r="J236" i="7" s="1"/>
  <c r="M245" i="7"/>
  <c r="M251" i="7"/>
  <c r="M257" i="7"/>
  <c r="L266" i="7"/>
  <c r="J267" i="7"/>
  <c r="I2662" i="1" s="1"/>
  <c r="L268" i="7"/>
  <c r="J269" i="7"/>
  <c r="I2664" i="1" s="1"/>
  <c r="J275" i="7"/>
  <c r="I2670" i="1" s="1"/>
  <c r="L276" i="7"/>
  <c r="J277" i="7"/>
  <c r="I2672" i="1" s="1"/>
  <c r="L278" i="7"/>
  <c r="J279" i="7"/>
  <c r="I2674" i="1" s="1"/>
  <c r="K294" i="7"/>
  <c r="L2697" i="1"/>
  <c r="L25" i="1" s="1"/>
  <c r="J340" i="7"/>
  <c r="I2735" i="1" s="1"/>
  <c r="L341" i="7"/>
  <c r="J2745" i="1"/>
  <c r="J2748" i="1" s="1"/>
  <c r="J350" i="7"/>
  <c r="I2745" i="1" s="1"/>
  <c r="L350" i="7"/>
  <c r="D353" i="7"/>
  <c r="D355" i="7" s="1"/>
  <c r="D357" i="7" s="1"/>
  <c r="D386" i="7" s="1"/>
  <c r="J2765" i="1"/>
  <c r="J2768" i="1" s="1"/>
  <c r="L370" i="7"/>
  <c r="J370" i="7"/>
  <c r="I2765" i="1" s="1"/>
  <c r="K373" i="7"/>
  <c r="J373" i="7" s="1"/>
  <c r="J125" i="7"/>
  <c r="I2520" i="1" s="1"/>
  <c r="K137" i="7"/>
  <c r="J137" i="7" s="1"/>
  <c r="J142" i="7"/>
  <c r="I2537" i="1" s="1"/>
  <c r="J159" i="7"/>
  <c r="I2554" i="1" s="1"/>
  <c r="L160" i="7"/>
  <c r="L208" i="7"/>
  <c r="L210" i="7"/>
  <c r="L236" i="7"/>
  <c r="L294" i="7"/>
  <c r="L546" i="7" s="1"/>
  <c r="J302" i="7"/>
  <c r="I2697" i="1" s="1"/>
  <c r="I25" i="1" s="1"/>
  <c r="K345" i="7"/>
  <c r="K353" i="7"/>
  <c r="J353" i="7" s="1"/>
  <c r="K366" i="7"/>
  <c r="J366" i="7" s="1"/>
  <c r="J364" i="7"/>
  <c r="J406" i="7"/>
  <c r="J392" i="7"/>
  <c r="I2787" i="1" s="1"/>
  <c r="I463" i="1" s="1"/>
  <c r="J425" i="7"/>
  <c r="I2820" i="1" s="1"/>
  <c r="J449" i="7"/>
  <c r="J461" i="7"/>
  <c r="I2856" i="1" s="1"/>
  <c r="M463" i="7"/>
  <c r="L2858" i="1" s="1"/>
  <c r="J476" i="7"/>
  <c r="I2871" i="1" s="1"/>
  <c r="I62" i="1" s="1"/>
  <c r="J511" i="7"/>
  <c r="I2906" i="1" s="1"/>
  <c r="J519" i="7"/>
  <c r="I2914" i="1" s="1"/>
  <c r="L428" i="7"/>
  <c r="L455" i="7"/>
  <c r="L513" i="7"/>
  <c r="L533" i="7"/>
  <c r="K394" i="7"/>
  <c r="J394" i="7" s="1"/>
  <c r="K430" i="7"/>
  <c r="K438" i="7"/>
  <c r="J438" i="7" s="1"/>
  <c r="J533" i="7"/>
  <c r="I2928" i="1" s="1"/>
  <c r="I356" i="1" s="1"/>
  <c r="K479" i="7"/>
  <c r="L349" i="7"/>
  <c r="L371" i="7"/>
  <c r="L427" i="7"/>
  <c r="L436" i="7"/>
  <c r="L447" i="7"/>
  <c r="L512" i="7"/>
  <c r="L521" i="7"/>
  <c r="L532" i="7"/>
  <c r="J427" i="7"/>
  <c r="I2822" i="1" s="1"/>
  <c r="J435" i="7"/>
  <c r="I2830" i="1" s="1"/>
  <c r="J455" i="7"/>
  <c r="I2850" i="1" s="1"/>
  <c r="I2852" i="1" s="1"/>
  <c r="K457" i="7"/>
  <c r="J457" i="7" s="1"/>
  <c r="K463" i="7"/>
  <c r="J513" i="7"/>
  <c r="I2908" i="1" s="1"/>
  <c r="K515" i="7"/>
  <c r="J521" i="7"/>
  <c r="I2916" i="1" s="1"/>
  <c r="K523" i="7"/>
  <c r="J531" i="7"/>
  <c r="I2926" i="1" s="1"/>
  <c r="I345" i="1" s="1"/>
  <c r="L426" i="7"/>
  <c r="L435" i="7"/>
  <c r="L511" i="7"/>
  <c r="L520" i="7"/>
  <c r="L535" i="7"/>
  <c r="J535" i="7"/>
  <c r="I2930" i="1" s="1"/>
  <c r="K537" i="7"/>
  <c r="J537" i="7" s="1"/>
  <c r="L351" i="7"/>
  <c r="L362" i="7"/>
  <c r="L425" i="7"/>
  <c r="L434" i="7"/>
  <c r="L510" i="7"/>
  <c r="L519" i="7"/>
  <c r="L534" i="7"/>
  <c r="J477" i="7"/>
  <c r="I2872" i="1" s="1"/>
  <c r="I63" i="1" s="1"/>
  <c r="J301" i="7"/>
  <c r="I2696" i="1" s="1"/>
  <c r="I23" i="1" s="1"/>
  <c r="J2870" i="1"/>
  <c r="J61" i="1" s="1"/>
  <c r="J68" i="1" s="1"/>
  <c r="C28" i="1"/>
  <c r="J173" i="7"/>
  <c r="I2568" i="1" s="1"/>
  <c r="I24" i="1" s="1"/>
  <c r="O2146" i="1"/>
  <c r="O99" i="1" s="1"/>
  <c r="N266" i="6"/>
  <c r="N270" i="6" s="1"/>
  <c r="N272" i="6" s="1"/>
  <c r="M264" i="6"/>
  <c r="K646" i="1"/>
  <c r="K648" i="1" s="1"/>
  <c r="K650" i="1" s="1"/>
  <c r="N3301" i="1"/>
  <c r="N3224" i="1"/>
  <c r="N2406" i="1"/>
  <c r="N2408" i="1" s="1"/>
  <c r="O1908" i="1"/>
  <c r="L1937" i="1"/>
  <c r="E889" i="1"/>
  <c r="K1772" i="1"/>
  <c r="C367" i="1"/>
  <c r="C3266" i="1"/>
  <c r="O3278" i="1"/>
  <c r="N3278" i="1"/>
  <c r="H3218" i="1"/>
  <c r="H3228" i="1" s="1"/>
  <c r="F3218" i="1"/>
  <c r="F3228" i="1" s="1"/>
  <c r="K3440" i="1"/>
  <c r="K3448" i="1" s="1"/>
  <c r="K3450" i="1" s="1"/>
  <c r="O2406" i="1"/>
  <c r="O2408" i="1" s="1"/>
  <c r="O310" i="1"/>
  <c r="N333" i="1"/>
  <c r="N1982" i="1"/>
  <c r="J2457" i="1"/>
  <c r="J3379" i="1"/>
  <c r="J3465" i="1"/>
  <c r="J1785" i="1"/>
  <c r="I3164" i="1"/>
  <c r="I3166" i="1" s="1"/>
  <c r="L636" i="1"/>
  <c r="C3218" i="1"/>
  <c r="C3228" i="1" s="1"/>
  <c r="L3344" i="1"/>
  <c r="K3434" i="1"/>
  <c r="K301" i="1"/>
  <c r="I2317" i="1"/>
  <c r="J2490" i="1"/>
  <c r="J2124" i="1"/>
  <c r="J1553" i="1"/>
  <c r="D241" i="1"/>
  <c r="K3356" i="1"/>
  <c r="J318" i="1"/>
  <c r="O2231" i="1"/>
  <c r="K3329" i="1"/>
  <c r="O3123" i="1"/>
  <c r="N3344" i="1"/>
  <c r="J3440" i="1"/>
  <c r="J3448" i="1" s="1"/>
  <c r="J3450" i="1" s="1"/>
  <c r="G2483" i="1"/>
  <c r="E2483" i="1"/>
  <c r="N411" i="1"/>
  <c r="N413" i="1" s="1"/>
  <c r="N429" i="1"/>
  <c r="N550" i="1"/>
  <c r="N851" i="1"/>
  <c r="I1553" i="1"/>
  <c r="J1450" i="1"/>
  <c r="J1594" i="1"/>
  <c r="J2449" i="1"/>
  <c r="J1513" i="1"/>
  <c r="J2623" i="1"/>
  <c r="J2740" i="1"/>
  <c r="J1442" i="1"/>
  <c r="J361" i="1"/>
  <c r="F241" i="1"/>
  <c r="I299" i="1"/>
  <c r="K3278" i="1"/>
  <c r="K2406" i="1"/>
  <c r="K2408" i="1" s="1"/>
  <c r="I3003" i="1"/>
  <c r="N698" i="1"/>
  <c r="N726" i="1"/>
  <c r="N685" i="1"/>
  <c r="N541" i="1"/>
  <c r="J2833" i="1"/>
  <c r="J2532" i="1"/>
  <c r="J1274" i="1"/>
  <c r="J384" i="1"/>
  <c r="O366" i="1"/>
  <c r="M869" i="1"/>
  <c r="M366" i="1" s="1"/>
  <c r="L2204" i="1"/>
  <c r="L301" i="1" s="1"/>
  <c r="K120" i="1"/>
  <c r="K494" i="1"/>
  <c r="K496" i="1" s="1"/>
  <c r="K498" i="1" s="1"/>
  <c r="O2301" i="1"/>
  <c r="O2303" i="1" s="1"/>
  <c r="O297" i="1"/>
  <c r="K3224" i="1"/>
  <c r="E3329" i="1"/>
  <c r="O3344" i="1"/>
  <c r="L3356" i="1"/>
  <c r="J3356" i="1"/>
  <c r="I3440" i="1"/>
  <c r="J453" i="1"/>
  <c r="J2797" i="1"/>
  <c r="J2799" i="1" s="1"/>
  <c r="J2801" i="1" s="1"/>
  <c r="L1908" i="1"/>
  <c r="J889" i="1"/>
  <c r="J1462" i="1"/>
  <c r="J1466" i="1" s="1"/>
  <c r="J312" i="1"/>
  <c r="J2631" i="1"/>
  <c r="O2110" i="1"/>
  <c r="I441" i="1"/>
  <c r="I443" i="1" s="1"/>
  <c r="I889" i="1"/>
  <c r="K3201" i="1"/>
  <c r="J2779" i="1"/>
  <c r="K441" i="1"/>
  <c r="K889" i="1"/>
  <c r="K22" i="1"/>
  <c r="G23" i="1"/>
  <c r="G28" i="1" s="1"/>
  <c r="G2699" i="1"/>
  <c r="G2701" i="1" s="1"/>
  <c r="G2712" i="1" s="1"/>
  <c r="L2003" i="1"/>
  <c r="G43" i="1"/>
  <c r="G42" i="1"/>
  <c r="G3201" i="1"/>
  <c r="G3205" i="1" s="1"/>
  <c r="O3329" i="1"/>
  <c r="H23" i="1"/>
  <c r="H2699" i="1"/>
  <c r="H2701" i="1" s="1"/>
  <c r="H2712" i="1" s="1"/>
  <c r="O636" i="1"/>
  <c r="N706" i="1"/>
  <c r="E462" i="1"/>
  <c r="G33" i="1"/>
  <c r="G38" i="1" s="1"/>
  <c r="G48" i="1" s="1"/>
  <c r="M2406" i="1"/>
  <c r="M2408" i="1" s="1"/>
  <c r="D2483" i="1"/>
  <c r="J466" i="1"/>
  <c r="N1931" i="1"/>
  <c r="I1801" i="1"/>
  <c r="I1803" i="1" s="1"/>
  <c r="I1805" i="1" s="1"/>
  <c r="L84" i="1"/>
  <c r="L86" i="1" s="1"/>
  <c r="L1931" i="1"/>
  <c r="N532" i="1"/>
  <c r="N603" i="1"/>
  <c r="H462" i="1"/>
  <c r="D462" i="1"/>
  <c r="K3218" i="1"/>
  <c r="N3329" i="1"/>
  <c r="M3356" i="1"/>
  <c r="J2423" i="1"/>
  <c r="J2425" i="1" s="1"/>
  <c r="J2427" i="1" s="1"/>
  <c r="N625" i="1"/>
  <c r="K3379" i="1"/>
  <c r="I2592" i="1"/>
  <c r="M12" i="1"/>
  <c r="I1931" i="1"/>
  <c r="I1908" i="1"/>
  <c r="L1722" i="1"/>
  <c r="J2918" i="1"/>
  <c r="J1327" i="1"/>
  <c r="J2557" i="1"/>
  <c r="K46" i="1"/>
  <c r="L470" i="1"/>
  <c r="K1722" i="1"/>
  <c r="J1243" i="1"/>
  <c r="J1586" i="1"/>
  <c r="J2666" i="1"/>
  <c r="J1473" i="1"/>
  <c r="J1354" i="1"/>
  <c r="K2110" i="1"/>
  <c r="E452" i="1"/>
  <c r="N310" i="1"/>
  <c r="N320" i="1" s="1"/>
  <c r="N2009" i="1"/>
  <c r="J268" i="1"/>
  <c r="J1608" i="1"/>
  <c r="J2483" i="1"/>
  <c r="J1835" i="1"/>
  <c r="K61" i="1"/>
  <c r="K68" i="1" s="1"/>
  <c r="K2874" i="1"/>
  <c r="H452" i="1"/>
  <c r="H1483" i="1"/>
  <c r="F74" i="1"/>
  <c r="F80" i="1" s="1"/>
  <c r="F2880" i="1"/>
  <c r="H352" i="1"/>
  <c r="H1405" i="1"/>
  <c r="D352" i="1"/>
  <c r="D387" i="1" s="1"/>
  <c r="D1405" i="1"/>
  <c r="M462" i="1"/>
  <c r="D3287" i="1"/>
  <c r="O456" i="1"/>
  <c r="J452" i="1"/>
  <c r="D2699" i="1"/>
  <c r="D2701" i="1" s="1"/>
  <c r="D2712" i="1" s="1"/>
  <c r="N2880" i="1"/>
  <c r="M38" i="1"/>
  <c r="M272" i="1"/>
  <c r="M310" i="1"/>
  <c r="M2009" i="1"/>
  <c r="N842" i="1"/>
  <c r="K3465" i="1"/>
  <c r="J1722" i="1"/>
  <c r="J434" i="1"/>
  <c r="J2676" i="1"/>
  <c r="N46" i="1"/>
  <c r="L24" i="1"/>
  <c r="L2570" i="1"/>
  <c r="L2572" i="1" s="1"/>
  <c r="E74" i="1"/>
  <c r="E80" i="1" s="1"/>
  <c r="E2880" i="1"/>
  <c r="H1415" i="1"/>
  <c r="C3113" i="1"/>
  <c r="L3278" i="1"/>
  <c r="M3329" i="1"/>
  <c r="I84" i="1"/>
  <c r="I86" i="1" s="1"/>
  <c r="N494" i="1"/>
  <c r="N496" i="1" s="1"/>
  <c r="N498" i="1" s="1"/>
  <c r="N3129" i="1"/>
  <c r="N3131" i="1" s="1"/>
  <c r="N3133" i="1" s="1"/>
  <c r="N3135" i="1" s="1"/>
  <c r="F3287" i="1"/>
  <c r="J463" i="1"/>
  <c r="C2699" i="1"/>
  <c r="C2701" i="1" s="1"/>
  <c r="C2712" i="1" s="1"/>
  <c r="M280" i="1"/>
  <c r="I3379" i="1"/>
  <c r="N288" i="1"/>
  <c r="N256" i="1"/>
  <c r="I1226" i="1"/>
  <c r="K73" i="1"/>
  <c r="K2142" i="1"/>
  <c r="K84" i="1"/>
  <c r="K86" i="1" s="1"/>
  <c r="K1931" i="1"/>
  <c r="K1939" i="1" s="1"/>
  <c r="H441" i="1"/>
  <c r="H443" i="1" s="1"/>
  <c r="H445" i="1" s="1"/>
  <c r="H447" i="1" s="1"/>
  <c r="H889" i="1"/>
  <c r="D441" i="1"/>
  <c r="D443" i="1" s="1"/>
  <c r="D889" i="1"/>
  <c r="M76" i="1"/>
  <c r="I1025" i="1"/>
  <c r="I646" i="1"/>
  <c r="I648" i="1" s="1"/>
  <c r="I650" i="1" s="1"/>
  <c r="N455" i="1"/>
  <c r="N3285" i="1"/>
  <c r="J3218" i="1"/>
  <c r="H3287" i="1"/>
  <c r="J2932" i="1"/>
  <c r="M288" i="1"/>
  <c r="M256" i="1"/>
  <c r="I1254" i="1"/>
  <c r="I1260" i="1" s="1"/>
  <c r="J107" i="1"/>
  <c r="J109" i="1" s="1"/>
  <c r="J2586" i="1"/>
  <c r="J357" i="1"/>
  <c r="J1735" i="1"/>
  <c r="L366" i="1"/>
  <c r="C454" i="1"/>
  <c r="I264" i="1"/>
  <c r="N264" i="1"/>
  <c r="N147" i="1"/>
  <c r="J1226" i="1"/>
  <c r="J1868" i="1"/>
  <c r="J1870" i="1" s="1"/>
  <c r="J1872" i="1" s="1"/>
  <c r="J344" i="1"/>
  <c r="J1546" i="1"/>
  <c r="J1288" i="1"/>
  <c r="K24" i="1"/>
  <c r="K2570" i="1"/>
  <c r="K2572" i="1" s="1"/>
  <c r="N2459" i="1"/>
  <c r="N2461" i="1" s="1"/>
  <c r="N2505" i="1" s="1"/>
  <c r="H2459" i="1"/>
  <c r="H2461" i="1" s="1"/>
  <c r="H2505" i="1" s="1"/>
  <c r="H2507" i="1" s="1"/>
  <c r="O2689" i="1"/>
  <c r="K470" i="1"/>
  <c r="I2880" i="1"/>
  <c r="K3056" i="1"/>
  <c r="K3058" i="1" s="1"/>
  <c r="K310" i="1"/>
  <c r="I2003" i="1"/>
  <c r="J1700" i="1"/>
  <c r="J2731" i="1"/>
  <c r="I3173" i="1"/>
  <c r="I2731" i="1"/>
  <c r="N883" i="1"/>
  <c r="N423" i="1"/>
  <c r="N341" i="1"/>
  <c r="G387" i="1"/>
  <c r="G445" i="1" s="1"/>
  <c r="G447" i="1" s="1"/>
  <c r="K1823" i="1"/>
  <c r="J12" i="1"/>
  <c r="J2110" i="1"/>
  <c r="C68" i="1"/>
  <c r="C130" i="1" s="1"/>
  <c r="D452" i="1"/>
  <c r="C3448" i="1"/>
  <c r="C3450" i="1" s="1"/>
  <c r="I1310" i="1"/>
  <c r="L1823" i="1"/>
  <c r="I1856" i="1"/>
  <c r="M452" i="1"/>
  <c r="J2048" i="1"/>
  <c r="I324" i="1"/>
  <c r="I2015" i="1"/>
  <c r="K411" i="6"/>
  <c r="J409" i="6"/>
  <c r="J2044" i="1"/>
  <c r="L56" i="6"/>
  <c r="F38" i="6"/>
  <c r="F58" i="6" s="1"/>
  <c r="D133" i="6"/>
  <c r="K56" i="6"/>
  <c r="K219" i="6"/>
  <c r="J52" i="6"/>
  <c r="I1935" i="1" s="1"/>
  <c r="D54" i="6"/>
  <c r="J82" i="6"/>
  <c r="I1965" i="1" s="1"/>
  <c r="I1973" i="1" s="1"/>
  <c r="D90" i="6"/>
  <c r="J355" i="6"/>
  <c r="I2237" i="1" s="1"/>
  <c r="I2240" i="1" s="1"/>
  <c r="D358" i="6"/>
  <c r="J358" i="6" s="1"/>
  <c r="J324" i="1"/>
  <c r="J2015" i="1"/>
  <c r="K179" i="6"/>
  <c r="G241" i="1"/>
  <c r="J2046" i="1"/>
  <c r="M97" i="1"/>
  <c r="K2046" i="1"/>
  <c r="J25" i="6"/>
  <c r="D121" i="6"/>
  <c r="D73" i="6"/>
  <c r="D75" i="6" s="1"/>
  <c r="D77" i="6" s="1"/>
  <c r="K38" i="6"/>
  <c r="J242" i="6"/>
  <c r="J419" i="6"/>
  <c r="J442" i="6"/>
  <c r="K486" i="6"/>
  <c r="J476" i="6"/>
  <c r="J234" i="6"/>
  <c r="I2116" i="1" s="1"/>
  <c r="J2116" i="1"/>
  <c r="E58" i="6"/>
  <c r="H58" i="6"/>
  <c r="K272" i="6"/>
  <c r="J407" i="6"/>
  <c r="I2029" i="1"/>
  <c r="J158" i="6"/>
  <c r="I2040" i="1" s="1"/>
  <c r="D162" i="6"/>
  <c r="J104" i="6"/>
  <c r="I1987" i="1" s="1"/>
  <c r="I1991" i="1" s="1"/>
  <c r="D108" i="6"/>
  <c r="J108" i="6" s="1"/>
  <c r="O10" i="1"/>
  <c r="O34" i="1"/>
  <c r="O38" i="1" s="1"/>
  <c r="O1917" i="1"/>
  <c r="O1919" i="1" s="1"/>
  <c r="L206" i="6"/>
  <c r="J2088" i="1"/>
  <c r="J206" i="6"/>
  <c r="I2088" i="1" s="1"/>
  <c r="I2091" i="1" s="1"/>
  <c r="N95" i="6"/>
  <c r="L1978" i="1"/>
  <c r="M99" i="6"/>
  <c r="L197" i="6"/>
  <c r="J2079" i="1"/>
  <c r="K75" i="6"/>
  <c r="J73" i="6"/>
  <c r="K312" i="6"/>
  <c r="J125" i="6"/>
  <c r="I2007" i="1" s="1"/>
  <c r="D127" i="6"/>
  <c r="J127" i="6" s="1"/>
  <c r="N97" i="1"/>
  <c r="N1937" i="1"/>
  <c r="J226" i="6"/>
  <c r="I2108" i="1" s="1"/>
  <c r="I2110" i="1" s="1"/>
  <c r="D228" i="6"/>
  <c r="J228" i="6" s="1"/>
  <c r="L2132" i="1"/>
  <c r="L2134" i="1" s="1"/>
  <c r="M252" i="6"/>
  <c r="M519" i="6" s="1"/>
  <c r="D270" i="6"/>
  <c r="D272" i="6" s="1"/>
  <c r="F270" i="6"/>
  <c r="F272" i="6" s="1"/>
  <c r="F362" i="6" s="1"/>
  <c r="J340" i="6"/>
  <c r="I2222" i="1" s="1"/>
  <c r="I2225" i="1" s="1"/>
  <c r="D343" i="6"/>
  <c r="J343" i="6" s="1"/>
  <c r="D292" i="6"/>
  <c r="D312" i="6" s="1"/>
  <c r="D314" i="6" s="1"/>
  <c r="K2250" i="1"/>
  <c r="K453" i="1"/>
  <c r="J366" i="6"/>
  <c r="I2248" i="1" s="1"/>
  <c r="I453" i="1" s="1"/>
  <c r="L286" i="6"/>
  <c r="J2168" i="1"/>
  <c r="L194" i="6"/>
  <c r="J2076" i="1"/>
  <c r="L279" i="6"/>
  <c r="J2161" i="1"/>
  <c r="L67" i="6"/>
  <c r="J1950" i="1"/>
  <c r="J152" i="1" s="1"/>
  <c r="N472" i="6"/>
  <c r="O2354" i="1" s="1"/>
  <c r="L2354" i="1"/>
  <c r="L508" i="6"/>
  <c r="J2390" i="1"/>
  <c r="J2392" i="1" s="1"/>
  <c r="J508" i="6"/>
  <c r="I2390" i="1" s="1"/>
  <c r="I2392" i="1" s="1"/>
  <c r="M354" i="6"/>
  <c r="K2236" i="1"/>
  <c r="J252" i="6"/>
  <c r="J519" i="6" s="1"/>
  <c r="F1917" i="1"/>
  <c r="F1919" i="1" s="1"/>
  <c r="F1921" i="1" s="1"/>
  <c r="J71" i="6"/>
  <c r="I1954" i="1" s="1"/>
  <c r="I156" i="1" s="1"/>
  <c r="J67" i="6"/>
  <c r="I1950" i="1" s="1"/>
  <c r="I152" i="1" s="1"/>
  <c r="N12" i="1"/>
  <c r="J194" i="6"/>
  <c r="I2076" i="1" s="1"/>
  <c r="I2082" i="1" s="1"/>
  <c r="J286" i="6"/>
  <c r="I2168" i="1" s="1"/>
  <c r="K2301" i="1"/>
  <c r="K2303" i="1" s="1"/>
  <c r="J2142" i="1"/>
  <c r="J2152" i="1" s="1"/>
  <c r="J2154" i="1" s="1"/>
  <c r="J73" i="1"/>
  <c r="N473" i="6"/>
  <c r="O2355" i="1" s="1"/>
  <c r="L2355" i="1"/>
  <c r="N96" i="6"/>
  <c r="L1979" i="1"/>
  <c r="L393" i="6"/>
  <c r="J2275" i="1"/>
  <c r="L196" i="6"/>
  <c r="J2078" i="1"/>
  <c r="N195" i="6"/>
  <c r="O2077" i="1" s="1"/>
  <c r="L2077" i="1"/>
  <c r="N282" i="6"/>
  <c r="O2164" i="1" s="1"/>
  <c r="L2164" i="1"/>
  <c r="L395" i="6"/>
  <c r="J2277" i="1"/>
  <c r="J395" i="6"/>
  <c r="I2277" i="1" s="1"/>
  <c r="I2281" i="1" s="1"/>
  <c r="L86" i="6"/>
  <c r="J1969" i="1"/>
  <c r="L191" i="6"/>
  <c r="J2073" i="1"/>
  <c r="L188" i="6"/>
  <c r="J2070" i="1"/>
  <c r="L69" i="6"/>
  <c r="J1952" i="1"/>
  <c r="J154" i="1" s="1"/>
  <c r="N103" i="6"/>
  <c r="L1986" i="1"/>
  <c r="L139" i="6"/>
  <c r="J2021" i="1"/>
  <c r="I1982" i="1"/>
  <c r="N2029" i="1"/>
  <c r="J279" i="6"/>
  <c r="I2161" i="1" s="1"/>
  <c r="N308" i="6"/>
  <c r="L2190" i="1"/>
  <c r="N404" i="6"/>
  <c r="L2286" i="1"/>
  <c r="N480" i="6"/>
  <c r="L2362" i="1"/>
  <c r="L204" i="6"/>
  <c r="J2086" i="1"/>
  <c r="N193" i="6"/>
  <c r="O2075" i="1" s="1"/>
  <c r="L2075" i="1"/>
  <c r="N83" i="6"/>
  <c r="L1966" i="1"/>
  <c r="N280" i="6"/>
  <c r="O2162" i="1" s="1"/>
  <c r="L2162" i="1"/>
  <c r="N82" i="6"/>
  <c r="L1965" i="1"/>
  <c r="I2385" i="1"/>
  <c r="O2099" i="1"/>
  <c r="J2355" i="1"/>
  <c r="J2180" i="1"/>
  <c r="J1979" i="1"/>
  <c r="J2353" i="1"/>
  <c r="J2178" i="1"/>
  <c r="J1977" i="1"/>
  <c r="J2170" i="1"/>
  <c r="J1970" i="1"/>
  <c r="J2169" i="1"/>
  <c r="J2077" i="1"/>
  <c r="J2167" i="1"/>
  <c r="N85" i="6"/>
  <c r="L1968" i="1"/>
  <c r="J2164" i="1"/>
  <c r="L2163" i="1"/>
  <c r="N281" i="6"/>
  <c r="O2163" i="1" s="1"/>
  <c r="J2162" i="1"/>
  <c r="J2071" i="1"/>
  <c r="J1965" i="1"/>
  <c r="J1953" i="1"/>
  <c r="J155" i="1" s="1"/>
  <c r="J1951" i="1"/>
  <c r="J153" i="1" s="1"/>
  <c r="J1949" i="1"/>
  <c r="J151" i="1" s="1"/>
  <c r="K2097" i="1"/>
  <c r="K2189" i="1"/>
  <c r="K2285" i="1"/>
  <c r="K2181" i="1"/>
  <c r="K2179" i="1"/>
  <c r="K2178" i="1"/>
  <c r="K1971" i="1"/>
  <c r="K2171" i="1"/>
  <c r="K2170" i="1"/>
  <c r="K2166" i="1"/>
  <c r="K2165" i="1"/>
  <c r="K2072" i="1"/>
  <c r="K1951" i="1"/>
  <c r="K153" i="1" s="1"/>
  <c r="L2287" i="1"/>
  <c r="L2363" i="1"/>
  <c r="L2095" i="1"/>
  <c r="L2356" i="1"/>
  <c r="L1980" i="1"/>
  <c r="L2180" i="1"/>
  <c r="L2276" i="1"/>
  <c r="L2178" i="1"/>
  <c r="N94" i="6"/>
  <c r="N288" i="6"/>
  <c r="O2170" i="1" s="1"/>
  <c r="N84" i="6"/>
  <c r="N70" i="6"/>
  <c r="L492" i="6"/>
  <c r="J2374" i="1"/>
  <c r="L339" i="6"/>
  <c r="J2221" i="1"/>
  <c r="M433" i="6"/>
  <c r="K2315" i="1"/>
  <c r="K2317" i="1" s="1"/>
  <c r="J1988" i="1"/>
  <c r="J2364" i="1"/>
  <c r="O2184" i="1"/>
  <c r="N87" i="6"/>
  <c r="L1970" i="1"/>
  <c r="N287" i="6"/>
  <c r="O2169" i="1" s="1"/>
  <c r="L2169" i="1"/>
  <c r="N285" i="6"/>
  <c r="O2167" i="1" s="1"/>
  <c r="L2167" i="1"/>
  <c r="L2071" i="1"/>
  <c r="N189" i="6"/>
  <c r="O2071" i="1" s="1"/>
  <c r="N68" i="6"/>
  <c r="L1951" i="1"/>
  <c r="L153" i="1" s="1"/>
  <c r="K2364" i="1"/>
  <c r="K1989" i="1"/>
  <c r="K2096" i="1"/>
  <c r="K2188" i="1"/>
  <c r="K2278" i="1"/>
  <c r="K2355" i="1"/>
  <c r="K1979" i="1"/>
  <c r="K2087" i="1"/>
  <c r="K2075" i="1"/>
  <c r="K2074" i="1"/>
  <c r="K2164" i="1"/>
  <c r="K2162" i="1"/>
  <c r="K1965" i="1"/>
  <c r="K1953" i="1"/>
  <c r="K155" i="1" s="1"/>
  <c r="L1988" i="1"/>
  <c r="L2179" i="1"/>
  <c r="N205" i="6"/>
  <c r="O2087" i="1" s="1"/>
  <c r="N471" i="6"/>
  <c r="M290" i="6"/>
  <c r="L144" i="6"/>
  <c r="J2026" i="1"/>
  <c r="L501" i="6"/>
  <c r="K503" i="6"/>
  <c r="J2383" i="1"/>
  <c r="J2385" i="1" s="1"/>
  <c r="K2287" i="1"/>
  <c r="K2363" i="1"/>
  <c r="K1987" i="1"/>
  <c r="K2095" i="1"/>
  <c r="K2356" i="1"/>
  <c r="K1980" i="1"/>
  <c r="K1978" i="1"/>
  <c r="K2353" i="1"/>
  <c r="K1977" i="1"/>
  <c r="K1970" i="1"/>
  <c r="K2169" i="1"/>
  <c r="K2167" i="1"/>
  <c r="K1968" i="1"/>
  <c r="K1967" i="1"/>
  <c r="K1949" i="1"/>
  <c r="L2097" i="1"/>
  <c r="L2189" i="1"/>
  <c r="L2285" i="1"/>
  <c r="L2181" i="1"/>
  <c r="L2080" i="1"/>
  <c r="L2165" i="1"/>
  <c r="M427" i="6"/>
  <c r="K2309" i="1"/>
  <c r="K325" i="6"/>
  <c r="M440" i="6"/>
  <c r="K2322" i="1"/>
  <c r="K2121" i="1"/>
  <c r="M239" i="6"/>
  <c r="L2220" i="1"/>
  <c r="L348" i="1" s="1"/>
  <c r="K135" i="6"/>
  <c r="J2237" i="1"/>
  <c r="J2240" i="1" s="1"/>
  <c r="L355" i="6"/>
  <c r="L2389" i="1"/>
  <c r="N507" i="6"/>
  <c r="J2220" i="1"/>
  <c r="J348" i="1" s="1"/>
  <c r="K2122" i="1"/>
  <c r="M240" i="6"/>
  <c r="J2321" i="1"/>
  <c r="J2324" i="1" s="1"/>
  <c r="L439" i="6"/>
  <c r="K297" i="1"/>
  <c r="J35" i="1"/>
  <c r="J38" i="1" s="1"/>
  <c r="J3123" i="1"/>
  <c r="J3131" i="1" s="1"/>
  <c r="J3133" i="1" s="1"/>
  <c r="J3135" i="1" s="1"/>
  <c r="K200" i="8"/>
  <c r="J198" i="8"/>
  <c r="M109" i="17"/>
  <c r="L111" i="17"/>
  <c r="M189" i="7"/>
  <c r="K111" i="17"/>
  <c r="K132" i="17" s="1"/>
  <c r="K134" i="17" s="1"/>
  <c r="L189" i="7"/>
  <c r="L95" i="3"/>
  <c r="L119" i="17"/>
  <c r="N34" i="1"/>
  <c r="N38" i="1" s="1"/>
  <c r="N1917" i="1"/>
  <c r="N1919" i="1" s="1"/>
  <c r="N510" i="1"/>
  <c r="N512" i="1" s="1"/>
  <c r="N514" i="1" s="1"/>
  <c r="N646" i="1"/>
  <c r="N648" i="1" s="1"/>
  <c r="N650" i="1" s="1"/>
  <c r="G454" i="1"/>
  <c r="E33" i="1"/>
  <c r="E38" i="1" s="1"/>
  <c r="E48" i="1" s="1"/>
  <c r="N1908" i="1"/>
  <c r="L2015" i="1"/>
  <c r="I256" i="1"/>
  <c r="N324" i="1"/>
  <c r="N2015" i="1"/>
  <c r="N1991" i="1"/>
  <c r="N1973" i="1"/>
  <c r="I1206" i="1"/>
  <c r="I1208" i="1" s="1"/>
  <c r="I1210" i="1" s="1"/>
  <c r="I141" i="1"/>
  <c r="I147" i="1" s="1"/>
  <c r="I1503" i="1"/>
  <c r="I1664" i="1"/>
  <c r="I1666" i="1" s="1"/>
  <c r="I1674" i="1" s="1"/>
  <c r="I1676" i="1" s="1"/>
  <c r="K26" i="1"/>
  <c r="K1908" i="1"/>
  <c r="O73" i="1"/>
  <c r="O2142" i="1"/>
  <c r="J276" i="1"/>
  <c r="J1815" i="1"/>
  <c r="O353" i="1"/>
  <c r="H43" i="1"/>
  <c r="H42" i="1"/>
  <c r="L2789" i="1"/>
  <c r="L463" i="1"/>
  <c r="N366" i="1"/>
  <c r="N874" i="1"/>
  <c r="E1415" i="1"/>
  <c r="G462" i="1"/>
  <c r="G3329" i="1"/>
  <c r="J2689" i="1"/>
  <c r="J454" i="1"/>
  <c r="N1956" i="1"/>
  <c r="N1958" i="1" s="1"/>
  <c r="N1960" i="1" s="1"/>
  <c r="K2009" i="1"/>
  <c r="C33" i="1"/>
  <c r="E1142" i="1"/>
  <c r="L77" i="1"/>
  <c r="L2057" i="1"/>
  <c r="L2061" i="1" s="1"/>
  <c r="L2063" i="1" s="1"/>
  <c r="L10" i="1"/>
  <c r="N3201" i="1"/>
  <c r="N3205" i="1" s="1"/>
  <c r="H3201" i="1"/>
  <c r="H3205" i="1" s="1"/>
  <c r="J141" i="1"/>
  <c r="I2406" i="1"/>
  <c r="I2408" i="1" s="1"/>
  <c r="K3129" i="1"/>
  <c r="J3164" i="1"/>
  <c r="J3166" i="1" s="1"/>
  <c r="I3123" i="1"/>
  <c r="N1415" i="1"/>
  <c r="M3278" i="1"/>
  <c r="H3268" i="1"/>
  <c r="H3270" i="1" s="1"/>
  <c r="D3268" i="1"/>
  <c r="D3270" i="1" s="1"/>
  <c r="I3465" i="1"/>
  <c r="I405" i="1"/>
  <c r="I407" i="1" s="1"/>
  <c r="I1345" i="1"/>
  <c r="I302" i="1"/>
  <c r="J9" i="1"/>
  <c r="J1902" i="1"/>
  <c r="O25" i="1"/>
  <c r="K34" i="1"/>
  <c r="K38" i="1" s="1"/>
  <c r="K1917" i="1"/>
  <c r="K1919" i="1" s="1"/>
  <c r="J2910" i="1"/>
  <c r="J1383" i="1"/>
  <c r="J1374" i="1"/>
  <c r="J2816" i="1"/>
  <c r="J2901" i="1"/>
  <c r="J2349" i="1"/>
  <c r="L3329" i="1"/>
  <c r="L2689" i="1"/>
  <c r="I2708" i="1"/>
  <c r="I2710" i="1" s="1"/>
  <c r="J313" i="1"/>
  <c r="E445" i="1"/>
  <c r="E447" i="1" s="1"/>
  <c r="I1339" i="1"/>
  <c r="I1521" i="1"/>
  <c r="I1764" i="1"/>
  <c r="J99" i="1"/>
  <c r="D44" i="1"/>
  <c r="D42" i="1"/>
  <c r="C2689" i="1"/>
  <c r="I280" i="1"/>
  <c r="N364" i="1"/>
  <c r="J1168" i="1"/>
  <c r="I1450" i="1"/>
  <c r="I1546" i="1"/>
  <c r="I1850" i="1"/>
  <c r="J1764" i="1"/>
  <c r="J417" i="1"/>
  <c r="J419" i="1" s="1"/>
  <c r="C12" i="9" s="1"/>
  <c r="J2231" i="1"/>
  <c r="L2231" i="1"/>
  <c r="E43" i="1"/>
  <c r="E42" i="1"/>
  <c r="E3201" i="1"/>
  <c r="E3205" i="1" s="1"/>
  <c r="J1405" i="1"/>
  <c r="J2271" i="1"/>
  <c r="I1835" i="1"/>
  <c r="I1823" i="1"/>
  <c r="J2057" i="1"/>
  <c r="J2061" i="1" s="1"/>
  <c r="J2063" i="1" s="1"/>
  <c r="I2057" i="1"/>
  <c r="I2061" i="1" s="1"/>
  <c r="I2063" i="1" s="1"/>
  <c r="L12" i="1"/>
  <c r="O12" i="1"/>
  <c r="G14" i="11"/>
  <c r="H14" i="11" s="1"/>
  <c r="I14" i="11"/>
  <c r="J12" i="11" s="1"/>
  <c r="D1917" i="1"/>
  <c r="D1919" i="1" s="1"/>
  <c r="D1921" i="1" s="1"/>
  <c r="D34" i="1"/>
  <c r="J3056" i="1"/>
  <c r="J3058" i="1" s="1"/>
  <c r="J310" i="1"/>
  <c r="J2009" i="1"/>
  <c r="I1533" i="1"/>
  <c r="I1537" i="1" s="1"/>
  <c r="I311" i="1"/>
  <c r="J115" i="1"/>
  <c r="J2592" i="1"/>
  <c r="J97" i="1"/>
  <c r="J1937" i="1"/>
  <c r="L465" i="1"/>
  <c r="C44" i="1"/>
  <c r="D55" i="1"/>
  <c r="D3218" i="1"/>
  <c r="D3228" i="1" s="1"/>
  <c r="C1917" i="1"/>
  <c r="C1919" i="1" s="1"/>
  <c r="C1921" i="1" s="1"/>
  <c r="C34" i="1"/>
  <c r="G3287" i="1"/>
  <c r="I3356" i="1"/>
  <c r="I3056" i="1"/>
  <c r="I3058" i="1" s="1"/>
  <c r="I2779" i="1"/>
  <c r="J2301" i="1"/>
  <c r="J2303" i="1" s="1"/>
  <c r="I2271" i="1"/>
  <c r="C3379" i="1"/>
  <c r="C3398" i="1" s="1"/>
  <c r="C3400" i="1" s="1"/>
  <c r="C3423" i="1" s="1"/>
  <c r="L469" i="1"/>
  <c r="L471" i="1"/>
  <c r="J2003" i="1"/>
  <c r="I1902" i="1"/>
  <c r="G1917" i="1"/>
  <c r="G1919" i="1" s="1"/>
  <c r="G1921" i="1" s="1"/>
  <c r="I2207" i="1"/>
  <c r="O2250" i="1"/>
  <c r="O453" i="1"/>
  <c r="F462" i="1"/>
  <c r="I1917" i="1"/>
  <c r="I1919" i="1" s="1"/>
  <c r="I34" i="1"/>
  <c r="I38" i="1" s="1"/>
  <c r="K324" i="1"/>
  <c r="K2015" i="1"/>
  <c r="N668" i="1"/>
  <c r="N9" i="1"/>
  <c r="N1902" i="1"/>
  <c r="D3329" i="1"/>
  <c r="J465" i="1"/>
  <c r="H1917" i="1"/>
  <c r="H1919" i="1" s="1"/>
  <c r="H1921" i="1" s="1"/>
  <c r="M179" i="1"/>
  <c r="I2214" i="1"/>
  <c r="I2379" i="1"/>
  <c r="K77" i="1"/>
  <c r="K2057" i="1"/>
  <c r="K2061" i="1" s="1"/>
  <c r="K2063" i="1" s="1"/>
  <c r="J363" i="1"/>
  <c r="K636" i="1"/>
  <c r="M454" i="1"/>
  <c r="N3113" i="1"/>
  <c r="L3113" i="1"/>
  <c r="E3113" i="1"/>
  <c r="N3268" i="1"/>
  <c r="N3270" i="1" s="1"/>
  <c r="I3224" i="1"/>
  <c r="I3329" i="1"/>
  <c r="I2586" i="1"/>
  <c r="E1917" i="1"/>
  <c r="E1919" i="1" s="1"/>
  <c r="E1921" i="1" s="1"/>
  <c r="I286" i="1"/>
  <c r="I318" i="1"/>
  <c r="N100" i="1"/>
  <c r="N1083" i="1"/>
  <c r="I1648" i="1"/>
  <c r="I1714" i="1"/>
  <c r="I2311" i="1"/>
  <c r="J636" i="1"/>
  <c r="O3113" i="1"/>
  <c r="M3113" i="1"/>
  <c r="K3113" i="1"/>
  <c r="I3218" i="1"/>
  <c r="F3268" i="1"/>
  <c r="F3270" i="1" s="1"/>
  <c r="I2580" i="1"/>
  <c r="O462" i="1"/>
  <c r="O2009" i="1"/>
  <c r="L2009" i="1"/>
  <c r="J331" i="1"/>
  <c r="I301" i="1"/>
  <c r="I348" i="1"/>
  <c r="N80" i="1"/>
  <c r="I2324" i="1"/>
  <c r="C1093" i="1"/>
  <c r="I1288" i="1"/>
  <c r="I1243" i="1"/>
  <c r="I1235" i="1"/>
  <c r="I1327" i="1"/>
  <c r="I2142" i="1"/>
  <c r="L2301" i="1"/>
  <c r="L2303" i="1" s="1"/>
  <c r="I214" i="1"/>
  <c r="N424" i="1"/>
  <c r="N90" i="1"/>
  <c r="N92" i="1" s="1"/>
  <c r="I1093" i="1"/>
  <c r="N1151" i="1"/>
  <c r="I1462" i="1"/>
  <c r="I1466" i="1" s="1"/>
  <c r="I1442" i="1"/>
  <c r="I2184" i="1"/>
  <c r="I2148" i="1"/>
  <c r="D1095" i="1"/>
  <c r="D1097" i="1" s="1"/>
  <c r="I1354" i="1"/>
  <c r="I1868" i="1"/>
  <c r="I1870" i="1" s="1"/>
  <c r="I1872" i="1" s="1"/>
  <c r="I2231" i="1"/>
  <c r="I2192" i="1"/>
  <c r="K90" i="1"/>
  <c r="K92" i="1" s="1"/>
  <c r="D43" i="1"/>
  <c r="D3201" i="1"/>
  <c r="D3205" i="1" s="1"/>
  <c r="C889" i="1"/>
  <c r="C441" i="1"/>
  <c r="C443" i="1" s="1"/>
  <c r="J22" i="1"/>
  <c r="J3194" i="1"/>
  <c r="J1391" i="1"/>
  <c r="N452" i="1"/>
  <c r="J1823" i="1"/>
  <c r="O452" i="1"/>
  <c r="K12" i="1"/>
  <c r="J214" i="1"/>
  <c r="K419" i="1"/>
  <c r="C2505" i="1"/>
  <c r="C2507" i="1" s="1"/>
  <c r="J36" i="3"/>
  <c r="D135" i="3"/>
  <c r="D137" i="3" s="1"/>
  <c r="J45" i="3"/>
  <c r="J99" i="3"/>
  <c r="J903" i="1"/>
  <c r="J174" i="1" s="1"/>
  <c r="L11" i="3"/>
  <c r="J919" i="1"/>
  <c r="L27" i="3"/>
  <c r="J943" i="1"/>
  <c r="L51" i="3"/>
  <c r="J957" i="1"/>
  <c r="L65" i="3"/>
  <c r="J1000" i="1"/>
  <c r="L108" i="3"/>
  <c r="D157" i="3"/>
  <c r="M157" i="3"/>
  <c r="L256" i="3"/>
  <c r="J256" i="3"/>
  <c r="I1148" i="1" s="1"/>
  <c r="J1148" i="1"/>
  <c r="J902" i="1"/>
  <c r="L10" i="3"/>
  <c r="L14" i="3"/>
  <c r="J906" i="1"/>
  <c r="J177" i="1" s="1"/>
  <c r="K16" i="3"/>
  <c r="J25" i="3"/>
  <c r="I917" i="1" s="1"/>
  <c r="J918" i="1"/>
  <c r="L26" i="3"/>
  <c r="J922" i="1"/>
  <c r="L30" i="3"/>
  <c r="J926" i="1"/>
  <c r="L34" i="3"/>
  <c r="J934" i="1"/>
  <c r="L42" i="3"/>
  <c r="J942" i="1"/>
  <c r="L50" i="3"/>
  <c r="J63" i="3"/>
  <c r="I955" i="1" s="1"/>
  <c r="I359" i="1" s="1"/>
  <c r="J956" i="1"/>
  <c r="L64" i="3"/>
  <c r="L72" i="3"/>
  <c r="J964" i="1"/>
  <c r="J999" i="1"/>
  <c r="L107" i="3"/>
  <c r="J1003" i="1"/>
  <c r="L111" i="3"/>
  <c r="J1015" i="1"/>
  <c r="L123" i="3"/>
  <c r="J1023" i="1"/>
  <c r="L131" i="3"/>
  <c r="L143" i="3"/>
  <c r="J1035" i="1"/>
  <c r="J1037" i="1" s="1"/>
  <c r="K145" i="3"/>
  <c r="J152" i="3"/>
  <c r="I1044" i="1" s="1"/>
  <c r="J154" i="3"/>
  <c r="I1046" i="1" s="1"/>
  <c r="J1055" i="1"/>
  <c r="J333" i="1"/>
  <c r="K163" i="3"/>
  <c r="J1120" i="1"/>
  <c r="L228" i="3"/>
  <c r="J228" i="3"/>
  <c r="I1120" i="1" s="1"/>
  <c r="D250" i="3"/>
  <c r="J250" i="3" s="1"/>
  <c r="J965" i="1"/>
  <c r="L73" i="3"/>
  <c r="C1061" i="1"/>
  <c r="C1067" i="1" s="1"/>
  <c r="D175" i="3"/>
  <c r="J905" i="1"/>
  <c r="J176" i="1" s="1"/>
  <c r="L13" i="3"/>
  <c r="J917" i="1"/>
  <c r="L25" i="3"/>
  <c r="L29" i="3"/>
  <c r="J921" i="1"/>
  <c r="J925" i="1"/>
  <c r="L33" i="3"/>
  <c r="J933" i="1"/>
  <c r="L41" i="3"/>
  <c r="J941" i="1"/>
  <c r="L49" i="3"/>
  <c r="L61" i="3"/>
  <c r="J953" i="1"/>
  <c r="J89" i="3"/>
  <c r="J998" i="1"/>
  <c r="L106" i="3"/>
  <c r="J1002" i="1"/>
  <c r="L110" i="3"/>
  <c r="J1006" i="1"/>
  <c r="L114" i="3"/>
  <c r="K116" i="3"/>
  <c r="J1014" i="1"/>
  <c r="L122" i="3"/>
  <c r="J1022" i="1"/>
  <c r="L130" i="3"/>
  <c r="K157" i="3"/>
  <c r="J1061" i="1"/>
  <c r="K175" i="3"/>
  <c r="J1128" i="1"/>
  <c r="L236" i="3"/>
  <c r="J236" i="3"/>
  <c r="I1128" i="1" s="1"/>
  <c r="I1131" i="1" s="1"/>
  <c r="C1146" i="1"/>
  <c r="C1151" i="1" s="1"/>
  <c r="D259" i="3"/>
  <c r="J1173" i="1"/>
  <c r="L281" i="3"/>
  <c r="J281" i="3"/>
  <c r="I1173" i="1" s="1"/>
  <c r="K285" i="3"/>
  <c r="D293" i="3"/>
  <c r="D295" i="3" s="1"/>
  <c r="D297" i="3" s="1"/>
  <c r="D299" i="3" s="1"/>
  <c r="J923" i="1"/>
  <c r="L31" i="3"/>
  <c r="L43" i="3"/>
  <c r="J935" i="1"/>
  <c r="K53" i="3"/>
  <c r="J53" i="3" s="1"/>
  <c r="J1004" i="1"/>
  <c r="L112" i="3"/>
  <c r="J1012" i="1"/>
  <c r="L120" i="3"/>
  <c r="J1118" i="1"/>
  <c r="L226" i="3"/>
  <c r="K231" i="3"/>
  <c r="J226" i="3"/>
  <c r="I1118" i="1" s="1"/>
  <c r="J11" i="3"/>
  <c r="I903" i="1" s="1"/>
  <c r="I174" i="1" s="1"/>
  <c r="J904" i="1"/>
  <c r="J175" i="1" s="1"/>
  <c r="L12" i="3"/>
  <c r="J27" i="3"/>
  <c r="I919" i="1" s="1"/>
  <c r="J920" i="1"/>
  <c r="L28" i="3"/>
  <c r="J31" i="3"/>
  <c r="I923" i="1" s="1"/>
  <c r="J924" i="1"/>
  <c r="L32" i="3"/>
  <c r="J932" i="1"/>
  <c r="L40" i="3"/>
  <c r="J43" i="3"/>
  <c r="I935" i="1" s="1"/>
  <c r="I937" i="1" s="1"/>
  <c r="J51" i="3"/>
  <c r="I943" i="1" s="1"/>
  <c r="I945" i="1" s="1"/>
  <c r="J65" i="3"/>
  <c r="I957" i="1" s="1"/>
  <c r="J958" i="1"/>
  <c r="L66" i="3"/>
  <c r="K68" i="3"/>
  <c r="J68" i="3" s="1"/>
  <c r="J73" i="3"/>
  <c r="I965" i="1" s="1"/>
  <c r="I968" i="1" s="1"/>
  <c r="J966" i="1"/>
  <c r="L74" i="3"/>
  <c r="K76" i="3"/>
  <c r="J76" i="3" s="1"/>
  <c r="J108" i="3"/>
  <c r="I1000" i="1" s="1"/>
  <c r="J1001" i="1"/>
  <c r="L109" i="3"/>
  <c r="J112" i="3"/>
  <c r="I1004" i="1" s="1"/>
  <c r="J1005" i="1"/>
  <c r="L113" i="3"/>
  <c r="J120" i="3"/>
  <c r="I1012" i="1" s="1"/>
  <c r="I1017" i="1" s="1"/>
  <c r="J1013" i="1"/>
  <c r="L121" i="3"/>
  <c r="J1021" i="1"/>
  <c r="L129" i="3"/>
  <c r="J1049" i="1"/>
  <c r="J316" i="1"/>
  <c r="J150" i="3"/>
  <c r="I1042" i="1" s="1"/>
  <c r="L157" i="3"/>
  <c r="D163" i="3"/>
  <c r="J1064" i="1"/>
  <c r="J369" i="1" s="1"/>
  <c r="J172" i="3"/>
  <c r="I1064" i="1" s="1"/>
  <c r="I369" i="1" s="1"/>
  <c r="D231" i="3"/>
  <c r="D241" i="3" s="1"/>
  <c r="D243" i="3" s="1"/>
  <c r="D261" i="3" s="1"/>
  <c r="J1140" i="1"/>
  <c r="L248" i="3"/>
  <c r="J248" i="3"/>
  <c r="I1140" i="1" s="1"/>
  <c r="I1142" i="1" s="1"/>
  <c r="J1146" i="1"/>
  <c r="L254" i="3"/>
  <c r="K259" i="3"/>
  <c r="J254" i="3"/>
  <c r="I1146" i="1" s="1"/>
  <c r="J1175" i="1"/>
  <c r="L283" i="3"/>
  <c r="J283" i="3"/>
  <c r="I1175" i="1" s="1"/>
  <c r="J1181" i="1"/>
  <c r="L289" i="3"/>
  <c r="J289" i="3"/>
  <c r="I1181" i="1" s="1"/>
  <c r="K293" i="3"/>
  <c r="C1081" i="1"/>
  <c r="C1083" i="1" s="1"/>
  <c r="D191" i="3"/>
  <c r="D203" i="3" s="1"/>
  <c r="D205" i="3" s="1"/>
  <c r="D301" i="3" s="1"/>
  <c r="J1065" i="1"/>
  <c r="L173" i="3"/>
  <c r="J1119" i="1"/>
  <c r="L227" i="3"/>
  <c r="J1127" i="1"/>
  <c r="L235" i="3"/>
  <c r="J1139" i="1"/>
  <c r="L247" i="3"/>
  <c r="J1172" i="1"/>
  <c r="L280" i="3"/>
  <c r="J291" i="3"/>
  <c r="I1183" i="1" s="1"/>
  <c r="I981" i="1"/>
  <c r="K205" i="3"/>
  <c r="K301" i="3" s="1"/>
  <c r="I989" i="1"/>
  <c r="I991" i="1" s="1"/>
  <c r="L282" i="3"/>
  <c r="L255" i="3"/>
  <c r="J100" i="1"/>
  <c r="J1083" i="1"/>
  <c r="J1063" i="1"/>
  <c r="L171" i="3"/>
  <c r="K181" i="3"/>
  <c r="J181" i="3" s="1"/>
  <c r="J1129" i="1"/>
  <c r="L237" i="3"/>
  <c r="K239" i="3"/>
  <c r="J239" i="3" s="1"/>
  <c r="J1149" i="1"/>
  <c r="L257" i="3"/>
  <c r="J1182" i="1"/>
  <c r="L290" i="3"/>
  <c r="J191" i="3"/>
  <c r="L229" i="3"/>
  <c r="L291" i="3"/>
  <c r="L179" i="3"/>
  <c r="G1142" i="1"/>
  <c r="D1142" i="1"/>
  <c r="I1055" i="1"/>
  <c r="F1095" i="1"/>
  <c r="F1097" i="1" s="1"/>
  <c r="G1151" i="1"/>
  <c r="F1151" i="1"/>
  <c r="I117" i="1"/>
  <c r="F1027" i="1"/>
  <c r="F1029" i="1" s="1"/>
  <c r="L1049" i="1"/>
  <c r="K317" i="1"/>
  <c r="H1057" i="1"/>
  <c r="F1057" i="1"/>
  <c r="D1057" i="1"/>
  <c r="I1168" i="1"/>
  <c r="J78" i="1"/>
  <c r="J981" i="1"/>
  <c r="J1114" i="1"/>
  <c r="N1027" i="1"/>
  <c r="N1029" i="1" s="1"/>
  <c r="I1073" i="1"/>
  <c r="N1093" i="1"/>
  <c r="N113" i="1"/>
  <c r="N122" i="1" s="1"/>
  <c r="K1093" i="1"/>
  <c r="E1095" i="1"/>
  <c r="E1097" i="1" s="1"/>
  <c r="J117" i="1"/>
  <c r="J989" i="1"/>
  <c r="J991" i="1" s="1"/>
  <c r="C1133" i="1"/>
  <c r="C1135" i="1" s="1"/>
  <c r="N179" i="1"/>
  <c r="G1095" i="1"/>
  <c r="G1097" i="1" s="1"/>
  <c r="N1133" i="1"/>
  <c r="N1135" i="1" s="1"/>
  <c r="H1151" i="1"/>
  <c r="G1133" i="1"/>
  <c r="G1135" i="1" s="1"/>
  <c r="K1055" i="1"/>
  <c r="K333" i="1"/>
  <c r="J317" i="1"/>
  <c r="C1142" i="1"/>
  <c r="N368" i="1"/>
  <c r="J1093" i="1"/>
  <c r="I1114" i="1"/>
  <c r="F1142" i="1"/>
  <c r="E1151" i="1"/>
  <c r="D1151" i="1"/>
  <c r="I1037" i="1"/>
  <c r="G1057" i="1"/>
  <c r="E1057" i="1"/>
  <c r="N425" i="1"/>
  <c r="I1083" i="1"/>
  <c r="H1142" i="1"/>
  <c r="N1057" i="1"/>
  <c r="O317" i="1"/>
  <c r="O1064" i="1"/>
  <c r="O369" i="1" s="1"/>
  <c r="M316" i="1"/>
  <c r="O1049" i="1"/>
  <c r="K1049" i="1"/>
  <c r="N169" i="3"/>
  <c r="O1053" i="1"/>
  <c r="N163" i="3"/>
  <c r="M1053" i="1"/>
  <c r="M163" i="3"/>
  <c r="L333" i="1"/>
  <c r="K462" i="1"/>
  <c r="M494" i="1"/>
  <c r="M496" i="1" s="1"/>
  <c r="M498" i="1" s="1"/>
  <c r="H3113" i="1"/>
  <c r="H454" i="1"/>
  <c r="D3113" i="1"/>
  <c r="D454" i="1"/>
  <c r="I57" i="1"/>
  <c r="F454" i="1"/>
  <c r="F3113" i="1"/>
  <c r="E3268" i="1"/>
  <c r="E3270" i="1" s="1"/>
  <c r="H3329" i="1"/>
  <c r="H456" i="1"/>
  <c r="G3113" i="1"/>
  <c r="G3268" i="1"/>
  <c r="G3270" i="1" s="1"/>
  <c r="E3287" i="1"/>
  <c r="F3329" i="1"/>
  <c r="F456" i="1"/>
  <c r="L454" i="1"/>
  <c r="K454" i="1"/>
  <c r="J823" i="1"/>
  <c r="H33" i="1"/>
  <c r="H38" i="1" s="1"/>
  <c r="H48" i="1" s="1"/>
  <c r="F33" i="1"/>
  <c r="F38" i="1" s="1"/>
  <c r="F48" i="1" s="1"/>
  <c r="D33" i="1"/>
  <c r="K2689" i="1"/>
  <c r="L462" i="1"/>
  <c r="K463" i="1"/>
  <c r="N158" i="1"/>
  <c r="H1095" i="1"/>
  <c r="H1097" i="1" s="1"/>
  <c r="O463" i="1"/>
  <c r="M1917" i="1"/>
  <c r="M1919" i="1" s="1"/>
  <c r="J1521" i="1"/>
  <c r="J285" i="1"/>
  <c r="N298" i="1"/>
  <c r="N306" i="1" s="1"/>
  <c r="N859" i="1"/>
  <c r="I1319" i="1"/>
  <c r="I1391" i="1"/>
  <c r="I1433" i="1"/>
  <c r="I1634" i="1"/>
  <c r="I1636" i="1" s="1"/>
  <c r="I1577" i="1"/>
  <c r="I2099" i="1"/>
  <c r="N395" i="1"/>
  <c r="I1473" i="1"/>
  <c r="K99" i="1"/>
  <c r="K2148" i="1"/>
  <c r="I1374" i="1"/>
  <c r="J1634" i="1"/>
  <c r="J1636" i="1" s="1"/>
  <c r="I2349" i="1"/>
  <c r="I1608" i="1"/>
  <c r="I1586" i="1"/>
  <c r="I1691" i="1"/>
  <c r="I2124" i="1"/>
  <c r="J90" i="1"/>
  <c r="J92" i="1" s="1"/>
  <c r="J43" i="1"/>
  <c r="J3201" i="1"/>
  <c r="L43" i="1"/>
  <c r="L46" i="1" s="1"/>
  <c r="L3201" i="1"/>
  <c r="I1735" i="1"/>
  <c r="I1722" i="1"/>
  <c r="I1700" i="1"/>
  <c r="I1880" i="1"/>
  <c r="J2207" i="1"/>
  <c r="J2216" i="1" s="1"/>
  <c r="I2901" i="1"/>
  <c r="I1772" i="1"/>
  <c r="I1815" i="1"/>
  <c r="I2358" i="1"/>
  <c r="J284" i="1"/>
  <c r="J201" i="1"/>
  <c r="J42" i="1"/>
  <c r="K465" i="1"/>
  <c r="F43" i="1"/>
  <c r="F42" i="1"/>
  <c r="F3201" i="1"/>
  <c r="F3205" i="1" s="1"/>
  <c r="C3465" i="1"/>
  <c r="C3484" i="1" s="1"/>
  <c r="C3486" i="1" s="1"/>
  <c r="C1049" i="1"/>
  <c r="C1057" i="1" s="1"/>
  <c r="C352" i="1"/>
  <c r="C1405" i="1"/>
  <c r="F452" i="1"/>
  <c r="G452" i="1"/>
  <c r="F412" i="2"/>
  <c r="L412" i="2"/>
  <c r="J695" i="1"/>
  <c r="K214" i="2"/>
  <c r="J546" i="1"/>
  <c r="L62" i="2"/>
  <c r="K66" i="2"/>
  <c r="M337" i="2"/>
  <c r="M339" i="2" s="1"/>
  <c r="M414" i="2" s="1"/>
  <c r="D412" i="2"/>
  <c r="J339" i="2"/>
  <c r="J197" i="2"/>
  <c r="I681" i="1" s="1"/>
  <c r="J291" i="2"/>
  <c r="I775" i="1" s="1"/>
  <c r="D57" i="2"/>
  <c r="C503" i="1"/>
  <c r="D26" i="2"/>
  <c r="D28" i="2" s="1"/>
  <c r="J799" i="1"/>
  <c r="K319" i="2"/>
  <c r="L219" i="2"/>
  <c r="J703" i="1"/>
  <c r="J326" i="1" s="1"/>
  <c r="L394" i="2"/>
  <c r="J878" i="1"/>
  <c r="J394" i="2"/>
  <c r="D367" i="2"/>
  <c r="J363" i="2"/>
  <c r="I847" i="1" s="1"/>
  <c r="H412" i="2"/>
  <c r="J592" i="1"/>
  <c r="J382" i="1" s="1"/>
  <c r="E412" i="2"/>
  <c r="J211" i="2"/>
  <c r="I695" i="1" s="1"/>
  <c r="I823" i="1"/>
  <c r="J599" i="1"/>
  <c r="L115" i="2"/>
  <c r="K119" i="2"/>
  <c r="L83" i="2"/>
  <c r="J567" i="1"/>
  <c r="J768" i="1"/>
  <c r="L284" i="2"/>
  <c r="J675" i="1"/>
  <c r="L191" i="2"/>
  <c r="J191" i="2"/>
  <c r="I675" i="1" s="1"/>
  <c r="L46" i="2"/>
  <c r="J530" i="1"/>
  <c r="J526" i="1"/>
  <c r="L42" i="2"/>
  <c r="L38" i="2"/>
  <c r="J522" i="1"/>
  <c r="L34" i="2"/>
  <c r="J518" i="1"/>
  <c r="K48" i="2"/>
  <c r="J371" i="2"/>
  <c r="I855" i="1" s="1"/>
  <c r="D375" i="2"/>
  <c r="J857" i="1"/>
  <c r="L373" i="2"/>
  <c r="L323" i="2"/>
  <c r="J807" i="1"/>
  <c r="J323" i="2"/>
  <c r="I807" i="1" s="1"/>
  <c r="K327" i="2"/>
  <c r="J327" i="2" s="1"/>
  <c r="J579" i="1"/>
  <c r="J360" i="1" s="1"/>
  <c r="L95" i="2"/>
  <c r="J257" i="2"/>
  <c r="I741" i="1" s="1"/>
  <c r="I743" i="1" s="1"/>
  <c r="D193" i="2"/>
  <c r="J607" i="1"/>
  <c r="L123" i="2"/>
  <c r="K127" i="2"/>
  <c r="K111" i="2"/>
  <c r="L305" i="2"/>
  <c r="J789" i="1"/>
  <c r="J305" i="2"/>
  <c r="I789" i="1" s="1"/>
  <c r="K309" i="2"/>
  <c r="J776" i="1"/>
  <c r="L292" i="2"/>
  <c r="L199" i="2"/>
  <c r="J683" i="1"/>
  <c r="J199" i="2"/>
  <c r="I683" i="1" s="1"/>
  <c r="J538" i="1"/>
  <c r="L54" i="2"/>
  <c r="J508" i="1"/>
  <c r="J167" i="1" s="1"/>
  <c r="L24" i="2"/>
  <c r="K508" i="1" s="1"/>
  <c r="K167" i="1" s="1"/>
  <c r="J504" i="1"/>
  <c r="J163" i="1" s="1"/>
  <c r="L20" i="2"/>
  <c r="L107" i="2"/>
  <c r="J583" i="1"/>
  <c r="J578" i="1"/>
  <c r="J354" i="1" s="1"/>
  <c r="L94" i="2"/>
  <c r="J566" i="1"/>
  <c r="J775" i="1"/>
  <c r="L291" i="2"/>
  <c r="J767" i="1"/>
  <c r="L283" i="2"/>
  <c r="J682" i="1"/>
  <c r="L198" i="2"/>
  <c r="J674" i="1"/>
  <c r="L190" i="2"/>
  <c r="J545" i="1"/>
  <c r="L61" i="2"/>
  <c r="J537" i="1"/>
  <c r="L53" i="2"/>
  <c r="L45" i="2"/>
  <c r="J529" i="1"/>
  <c r="J525" i="1"/>
  <c r="L41" i="2"/>
  <c r="J521" i="1"/>
  <c r="L37" i="2"/>
  <c r="L23" i="2"/>
  <c r="J507" i="1"/>
  <c r="J166" i="1" s="1"/>
  <c r="J503" i="1"/>
  <c r="L19" i="2"/>
  <c r="J879" i="1"/>
  <c r="L395" i="2"/>
  <c r="J856" i="1"/>
  <c r="L372" i="2"/>
  <c r="J848" i="1"/>
  <c r="L364" i="2"/>
  <c r="J283" i="2"/>
  <c r="I767" i="1" s="1"/>
  <c r="C550" i="1"/>
  <c r="C552" i="1" s="1"/>
  <c r="C241" i="1"/>
  <c r="C244" i="1" s="1"/>
  <c r="C246" i="1" s="1"/>
  <c r="L325" i="2"/>
  <c r="J809" i="1"/>
  <c r="L247" i="2"/>
  <c r="J731" i="1"/>
  <c r="J601" i="1"/>
  <c r="J393" i="1" s="1"/>
  <c r="L317" i="2"/>
  <c r="J801" i="1"/>
  <c r="J582" i="1"/>
  <c r="L98" i="2"/>
  <c r="J577" i="1"/>
  <c r="J351" i="1" s="1"/>
  <c r="L93" i="2"/>
  <c r="J791" i="1"/>
  <c r="K222" i="2"/>
  <c r="K86" i="2"/>
  <c r="K78" i="2"/>
  <c r="K295" i="2"/>
  <c r="K287" i="2"/>
  <c r="J766" i="1"/>
  <c r="L282" i="2"/>
  <c r="J681" i="1"/>
  <c r="L197" i="2"/>
  <c r="L189" i="2"/>
  <c r="J673" i="1"/>
  <c r="J548" i="1"/>
  <c r="L64" i="2"/>
  <c r="K57" i="2"/>
  <c r="J536" i="1"/>
  <c r="L52" i="2"/>
  <c r="J528" i="1"/>
  <c r="L44" i="2"/>
  <c r="J524" i="1"/>
  <c r="L40" i="2"/>
  <c r="J520" i="1"/>
  <c r="L36" i="2"/>
  <c r="J506" i="1"/>
  <c r="J165" i="1" s="1"/>
  <c r="L22" i="2"/>
  <c r="L819" i="1"/>
  <c r="L339" i="2"/>
  <c r="K819" i="1"/>
  <c r="J880" i="1"/>
  <c r="L396" i="2"/>
  <c r="J855" i="1"/>
  <c r="L371" i="2"/>
  <c r="J847" i="1"/>
  <c r="L363" i="2"/>
  <c r="J198" i="2"/>
  <c r="I682" i="1" s="1"/>
  <c r="J808" i="1"/>
  <c r="L324" i="2"/>
  <c r="L246" i="2"/>
  <c r="J730" i="1"/>
  <c r="J608" i="1"/>
  <c r="L124" i="2"/>
  <c r="L116" i="2"/>
  <c r="J600" i="1"/>
  <c r="J800" i="1"/>
  <c r="L316" i="2"/>
  <c r="J593" i="1"/>
  <c r="J383" i="1" s="1"/>
  <c r="L109" i="2"/>
  <c r="J580" i="1"/>
  <c r="L96" i="2"/>
  <c r="J576" i="1"/>
  <c r="L92" i="2"/>
  <c r="J790" i="1"/>
  <c r="L212" i="2"/>
  <c r="J696" i="1"/>
  <c r="L84" i="2"/>
  <c r="J568" i="1"/>
  <c r="J777" i="1"/>
  <c r="L293" i="2"/>
  <c r="J769" i="1"/>
  <c r="L285" i="2"/>
  <c r="K201" i="2"/>
  <c r="J201" i="2" s="1"/>
  <c r="K193" i="2"/>
  <c r="L188" i="2"/>
  <c r="J672" i="1"/>
  <c r="J547" i="1"/>
  <c r="L63" i="2"/>
  <c r="J539" i="1"/>
  <c r="L55" i="2"/>
  <c r="L43" i="2"/>
  <c r="J527" i="1"/>
  <c r="J523" i="1"/>
  <c r="L39" i="2"/>
  <c r="J519" i="1"/>
  <c r="L35" i="2"/>
  <c r="K26" i="2"/>
  <c r="K28" i="2" s="1"/>
  <c r="J505" i="1"/>
  <c r="J164" i="1" s="1"/>
  <c r="L21" i="2"/>
  <c r="J395" i="2"/>
  <c r="I879" i="1" s="1"/>
  <c r="K375" i="2"/>
  <c r="K367" i="2"/>
  <c r="N169" i="1"/>
  <c r="J846" i="1"/>
  <c r="L362" i="2"/>
  <c r="N347" i="1"/>
  <c r="L365" i="2"/>
  <c r="J849" i="1"/>
  <c r="J362" i="1"/>
  <c r="C452" i="1"/>
  <c r="K100" i="1"/>
  <c r="K1083" i="1"/>
  <c r="O1083" i="1"/>
  <c r="O100" i="1"/>
  <c r="L1083" i="1"/>
  <c r="L100" i="1"/>
  <c r="M100" i="1"/>
  <c r="N191" i="3"/>
  <c r="J10" i="11"/>
  <c r="J5" i="11"/>
  <c r="H4" i="11"/>
  <c r="H6" i="11"/>
  <c r="H7" i="11"/>
  <c r="H8" i="11"/>
  <c r="H10" i="11"/>
  <c r="H11" i="11"/>
  <c r="H12" i="11"/>
  <c r="J4" i="11"/>
  <c r="K14" i="11"/>
  <c r="L11" i="11" s="1"/>
  <c r="J8" i="24"/>
  <c r="G517" i="6" l="1"/>
  <c r="G151" i="6"/>
  <c r="N133" i="6"/>
  <c r="O2013" i="1"/>
  <c r="M2013" i="1"/>
  <c r="N483" i="7"/>
  <c r="O2878" i="1"/>
  <c r="N46" i="6"/>
  <c r="M86" i="17"/>
  <c r="M415" i="8"/>
  <c r="M90" i="17"/>
  <c r="L94" i="17"/>
  <c r="K2706" i="1"/>
  <c r="L313" i="7"/>
  <c r="L315" i="7" s="1"/>
  <c r="G518" i="6"/>
  <c r="G331" i="5"/>
  <c r="G96" i="5"/>
  <c r="K2578" i="1"/>
  <c r="K2580" i="1" s="1"/>
  <c r="K96" i="1" s="1"/>
  <c r="L185" i="7"/>
  <c r="M1087" i="1"/>
  <c r="O1087" i="1"/>
  <c r="N201" i="3"/>
  <c r="K465" i="8"/>
  <c r="I3258" i="1"/>
  <c r="J1319" i="1"/>
  <c r="M8" i="6"/>
  <c r="M8" i="17"/>
  <c r="L18" i="17"/>
  <c r="L50" i="17" s="1"/>
  <c r="M477" i="7"/>
  <c r="M63" i="17"/>
  <c r="N477" i="7" s="1"/>
  <c r="O2568" i="1"/>
  <c r="N175" i="7"/>
  <c r="N177" i="7" s="1"/>
  <c r="L130" i="17"/>
  <c r="M311" i="7"/>
  <c r="M128" i="17"/>
  <c r="N441" i="8"/>
  <c r="O3374" i="1" s="1"/>
  <c r="L3374" i="1"/>
  <c r="L2140" i="1"/>
  <c r="M260" i="6"/>
  <c r="C136" i="17"/>
  <c r="C137" i="17" s="1"/>
  <c r="N259" i="8"/>
  <c r="L2578" i="1"/>
  <c r="L2580" i="1" s="1"/>
  <c r="L96" i="1" s="1"/>
  <c r="M185" i="7"/>
  <c r="L1087" i="1"/>
  <c r="M201" i="3"/>
  <c r="M203" i="3" s="1"/>
  <c r="M205" i="3" s="1"/>
  <c r="J293" i="3"/>
  <c r="D165" i="3"/>
  <c r="M215" i="7"/>
  <c r="M233" i="7"/>
  <c r="J1691" i="1"/>
  <c r="I285" i="1"/>
  <c r="J1433" i="1"/>
  <c r="J1648" i="1"/>
  <c r="J1880" i="1"/>
  <c r="J1577" i="1"/>
  <c r="J133" i="3"/>
  <c r="M400" i="7"/>
  <c r="M116" i="17"/>
  <c r="N400" i="7" s="1"/>
  <c r="M160" i="2"/>
  <c r="M103" i="17"/>
  <c r="O2590" i="1"/>
  <c r="O2592" i="1" s="1"/>
  <c r="O115" i="1" s="1"/>
  <c r="N197" i="7"/>
  <c r="K979" i="1"/>
  <c r="L89" i="3"/>
  <c r="H568" i="8"/>
  <c r="F545" i="7"/>
  <c r="I48" i="17"/>
  <c r="I50" i="17"/>
  <c r="N203" i="3"/>
  <c r="N205" i="3" s="1"/>
  <c r="L317" i="7"/>
  <c r="D250" i="8"/>
  <c r="D252" i="8" s="1"/>
  <c r="J488" i="8"/>
  <c r="J316" i="8"/>
  <c r="L3245" i="1"/>
  <c r="J560" i="8"/>
  <c r="K2271" i="1"/>
  <c r="K2349" i="1"/>
  <c r="J1664" i="1"/>
  <c r="J1666" i="1" s="1"/>
  <c r="J1503" i="1"/>
  <c r="M2001" i="1"/>
  <c r="N121" i="6"/>
  <c r="N135" i="6" s="1"/>
  <c r="O2001" i="1"/>
  <c r="K1891" i="1"/>
  <c r="L19" i="6"/>
  <c r="L38" i="6" s="1"/>
  <c r="L58" i="6" s="1"/>
  <c r="L517" i="6" s="1"/>
  <c r="M301" i="7"/>
  <c r="M23" i="17"/>
  <c r="N301" i="7" s="1"/>
  <c r="M511" i="8"/>
  <c r="M91" i="17"/>
  <c r="N511" i="8" s="1"/>
  <c r="M87" i="3"/>
  <c r="M78" i="17"/>
  <c r="N87" i="3" s="1"/>
  <c r="N437" i="8"/>
  <c r="O3370" i="1" s="1"/>
  <c r="L3370" i="1"/>
  <c r="L3379" i="1" s="1"/>
  <c r="M446" i="8"/>
  <c r="D40" i="5"/>
  <c r="D42" i="5" s="1"/>
  <c r="D94" i="5" s="1"/>
  <c r="H331" i="5"/>
  <c r="H96" i="5"/>
  <c r="L2404" i="1"/>
  <c r="M11" i="7"/>
  <c r="M13" i="7" s="1"/>
  <c r="O2055" i="1"/>
  <c r="N175" i="6"/>
  <c r="N179" i="6" s="1"/>
  <c r="N181" i="6" s="1"/>
  <c r="O2578" i="1"/>
  <c r="O2580" i="1" s="1"/>
  <c r="O96" i="1" s="1"/>
  <c r="N185" i="7"/>
  <c r="F331" i="5"/>
  <c r="J1347" i="1"/>
  <c r="I272" i="1"/>
  <c r="J1858" i="1"/>
  <c r="J320" i="1"/>
  <c r="J280" i="1"/>
  <c r="J256" i="1"/>
  <c r="D1737" i="1"/>
  <c r="D1739" i="1" s="1"/>
  <c r="C1737" i="1"/>
  <c r="C1739" i="1" s="1"/>
  <c r="I179" i="1"/>
  <c r="J272" i="1"/>
  <c r="J264" i="1"/>
  <c r="J1674" i="1"/>
  <c r="J1676" i="1" s="1"/>
  <c r="K2898" i="1"/>
  <c r="M503" i="7"/>
  <c r="K2814" i="1"/>
  <c r="M419" i="7"/>
  <c r="K2808" i="1"/>
  <c r="L421" i="7"/>
  <c r="M413" i="7"/>
  <c r="M89" i="5"/>
  <c r="K1645" i="1"/>
  <c r="M86" i="5"/>
  <c r="K1642" i="1"/>
  <c r="K363" i="1" s="1"/>
  <c r="M306" i="4"/>
  <c r="K1496" i="1"/>
  <c r="M70" i="5"/>
  <c r="L78" i="5"/>
  <c r="L80" i="5" s="1"/>
  <c r="K1626" i="1"/>
  <c r="L2724" i="1"/>
  <c r="N329" i="7"/>
  <c r="O2724" i="1" s="1"/>
  <c r="M155" i="5"/>
  <c r="K1711" i="1"/>
  <c r="K253" i="1" s="1"/>
  <c r="M361" i="4"/>
  <c r="K1551" i="1"/>
  <c r="M307" i="4"/>
  <c r="K1497" i="1"/>
  <c r="M179" i="4"/>
  <c r="K1369" i="1"/>
  <c r="L62" i="7"/>
  <c r="D544" i="7"/>
  <c r="N149" i="8"/>
  <c r="O3083" i="1" s="1"/>
  <c r="E12" i="9"/>
  <c r="E42" i="9"/>
  <c r="G7" i="24" s="1"/>
  <c r="L2347" i="1"/>
  <c r="N465" i="6"/>
  <c r="O2347" i="1" s="1"/>
  <c r="L2725" i="1"/>
  <c r="N330" i="7"/>
  <c r="O2725" i="1" s="1"/>
  <c r="K2895" i="1"/>
  <c r="M500" i="7"/>
  <c r="K1688" i="1"/>
  <c r="M132" i="5"/>
  <c r="M71" i="5"/>
  <c r="K1627" i="1"/>
  <c r="K218" i="5"/>
  <c r="J208" i="5"/>
  <c r="M76" i="5"/>
  <c r="K1632" i="1"/>
  <c r="K80" i="5"/>
  <c r="J80" i="5" s="1"/>
  <c r="J78" i="5"/>
  <c r="M13" i="5"/>
  <c r="K1569" i="1"/>
  <c r="K214" i="1" s="1"/>
  <c r="M280" i="4"/>
  <c r="K1470" i="1"/>
  <c r="L283" i="4"/>
  <c r="M190" i="4"/>
  <c r="K1380" i="1"/>
  <c r="K1574" i="1"/>
  <c r="M18" i="5"/>
  <c r="M141" i="5"/>
  <c r="K1697" i="1"/>
  <c r="L52" i="5"/>
  <c r="L62" i="5" s="1"/>
  <c r="L64" i="5" s="1"/>
  <c r="M48" i="5"/>
  <c r="K1604" i="1"/>
  <c r="J1616" i="1"/>
  <c r="J60" i="5"/>
  <c r="I1616" i="1" s="1"/>
  <c r="M74" i="5"/>
  <c r="K1630" i="1"/>
  <c r="M351" i="4"/>
  <c r="K1541" i="1"/>
  <c r="L356" i="4"/>
  <c r="M281" i="4"/>
  <c r="K1471" i="1"/>
  <c r="K1104" i="1"/>
  <c r="M212" i="3"/>
  <c r="L222" i="3"/>
  <c r="K1510" i="1"/>
  <c r="M320" i="4"/>
  <c r="M74" i="4"/>
  <c r="K1264" i="1"/>
  <c r="L84" i="4"/>
  <c r="M11" i="4"/>
  <c r="K1201" i="1"/>
  <c r="K142" i="1" s="1"/>
  <c r="M161" i="4"/>
  <c r="K1351" i="1"/>
  <c r="L164" i="4"/>
  <c r="M89" i="4"/>
  <c r="K1279" i="1"/>
  <c r="K1224" i="1"/>
  <c r="M34" i="4"/>
  <c r="K1108" i="1"/>
  <c r="M216" i="3"/>
  <c r="M176" i="4"/>
  <c r="K1366" i="1"/>
  <c r="K1285" i="1"/>
  <c r="M95" i="4"/>
  <c r="M31" i="4"/>
  <c r="K1221" i="1"/>
  <c r="M78" i="4"/>
  <c r="K1268" i="1"/>
  <c r="K355" i="1" s="1"/>
  <c r="M310" i="4"/>
  <c r="K1500" i="1"/>
  <c r="J1714" i="1"/>
  <c r="J1724" i="1" s="1"/>
  <c r="J1726" i="1" s="1"/>
  <c r="J455" i="8"/>
  <c r="C3295" i="1"/>
  <c r="J132" i="8"/>
  <c r="O3368" i="1"/>
  <c r="O3379" i="1" s="1"/>
  <c r="N446" i="8"/>
  <c r="N380" i="6"/>
  <c r="O2262" i="1" s="1"/>
  <c r="L2262" i="1"/>
  <c r="L2721" i="1"/>
  <c r="N326" i="7"/>
  <c r="O2721" i="1" s="1"/>
  <c r="K2812" i="1"/>
  <c r="M417" i="7"/>
  <c r="K2719" i="1"/>
  <c r="K2731" i="1" s="1"/>
  <c r="M324" i="7"/>
  <c r="L336" i="7"/>
  <c r="M142" i="5"/>
  <c r="K1698" i="1"/>
  <c r="M321" i="5"/>
  <c r="K1877" i="1"/>
  <c r="K1687" i="1"/>
  <c r="M131" i="5"/>
  <c r="K62" i="5"/>
  <c r="M320" i="5"/>
  <c r="K1876" i="1"/>
  <c r="L324" i="5"/>
  <c r="M105" i="5"/>
  <c r="K1661" i="1"/>
  <c r="K1507" i="1"/>
  <c r="M317" i="4"/>
  <c r="L323" i="4"/>
  <c r="M189" i="4"/>
  <c r="K1379" i="1"/>
  <c r="M177" i="5"/>
  <c r="K1733" i="1"/>
  <c r="K1865" i="1"/>
  <c r="M309" i="5"/>
  <c r="J21" i="5"/>
  <c r="K40" i="5"/>
  <c r="M94" i="4"/>
  <c r="K1284" i="1"/>
  <c r="M352" i="4"/>
  <c r="K1542" i="1"/>
  <c r="K358" i="1" s="1"/>
  <c r="M162" i="4"/>
  <c r="K1352" i="1"/>
  <c r="M77" i="4"/>
  <c r="K1267" i="1"/>
  <c r="K1164" i="1"/>
  <c r="M272" i="3"/>
  <c r="K1550" i="1"/>
  <c r="K1553" i="1" s="1"/>
  <c r="M360" i="4"/>
  <c r="L363" i="4"/>
  <c r="M180" i="4"/>
  <c r="K1370" i="1"/>
  <c r="M110" i="4"/>
  <c r="K1300" i="1"/>
  <c r="L120" i="4"/>
  <c r="K1161" i="1"/>
  <c r="M269" i="3"/>
  <c r="L276" i="3"/>
  <c r="M11" i="5"/>
  <c r="K1567" i="1"/>
  <c r="M115" i="4"/>
  <c r="K1305" i="1"/>
  <c r="M29" i="4"/>
  <c r="K1219" i="1"/>
  <c r="J52" i="5"/>
  <c r="M199" i="4"/>
  <c r="K1389" i="1"/>
  <c r="M304" i="4"/>
  <c r="K1494" i="1"/>
  <c r="K18" i="4"/>
  <c r="J16" i="4"/>
  <c r="J331" i="4"/>
  <c r="M212" i="4"/>
  <c r="K1402" i="1"/>
  <c r="L215" i="4"/>
  <c r="M178" i="4"/>
  <c r="K1368" i="1"/>
  <c r="K1278" i="1"/>
  <c r="M88" i="4"/>
  <c r="L98" i="4"/>
  <c r="M33" i="4"/>
  <c r="K1223" i="1"/>
  <c r="M213" i="4"/>
  <c r="K1403" i="1"/>
  <c r="D360" i="6"/>
  <c r="D64" i="7"/>
  <c r="D66" i="7" s="1"/>
  <c r="J390" i="2"/>
  <c r="K3307" i="1"/>
  <c r="M96" i="8"/>
  <c r="N387" i="6"/>
  <c r="O2269" i="1" s="1"/>
  <c r="L2269" i="1"/>
  <c r="O3462" i="1"/>
  <c r="O3465" i="1" s="1"/>
  <c r="N532" i="8"/>
  <c r="K2775" i="1"/>
  <c r="M380" i="7"/>
  <c r="L2727" i="1"/>
  <c r="N332" i="7"/>
  <c r="O2727" i="1" s="1"/>
  <c r="K1864" i="1"/>
  <c r="M308" i="5"/>
  <c r="L312" i="5"/>
  <c r="L314" i="5" s="1"/>
  <c r="L316" i="5" s="1"/>
  <c r="M114" i="5"/>
  <c r="K1670" i="1"/>
  <c r="K1672" i="1" s="1"/>
  <c r="L116" i="5"/>
  <c r="K1748" i="1"/>
  <c r="K1750" i="1" s="1"/>
  <c r="K1752" i="1" s="1"/>
  <c r="K1754" i="1" s="1"/>
  <c r="M192" i="5"/>
  <c r="L194" i="5"/>
  <c r="L196" i="5" s="1"/>
  <c r="L198" i="5" s="1"/>
  <c r="K1605" i="1"/>
  <c r="K269" i="1" s="1"/>
  <c r="M49" i="5"/>
  <c r="M309" i="4"/>
  <c r="K1499" i="1"/>
  <c r="K168" i="5"/>
  <c r="J158" i="5"/>
  <c r="M73" i="5"/>
  <c r="K1629" i="1"/>
  <c r="K1517" i="1"/>
  <c r="M327" i="4"/>
  <c r="L331" i="4"/>
  <c r="M257" i="4"/>
  <c r="K1447" i="1"/>
  <c r="K110" i="5"/>
  <c r="J108" i="5"/>
  <c r="M10" i="5"/>
  <c r="K1566" i="1"/>
  <c r="L272" i="4"/>
  <c r="L276" i="4" s="1"/>
  <c r="M270" i="4"/>
  <c r="K1460" i="1"/>
  <c r="M226" i="5"/>
  <c r="K1782" i="1"/>
  <c r="M128" i="5"/>
  <c r="K1684" i="1"/>
  <c r="L135" i="5"/>
  <c r="M25" i="5"/>
  <c r="K1581" i="1"/>
  <c r="L30" i="5"/>
  <c r="K146" i="5"/>
  <c r="J135" i="5"/>
  <c r="K1606" i="1"/>
  <c r="K270" i="1" s="1"/>
  <c r="M50" i="5"/>
  <c r="K1854" i="1"/>
  <c r="K1856" i="1" s="1"/>
  <c r="L300" i="5"/>
  <c r="M298" i="5"/>
  <c r="K1710" i="1"/>
  <c r="M154" i="5"/>
  <c r="L158" i="5"/>
  <c r="L168" i="5" s="1"/>
  <c r="L170" i="5" s="1"/>
  <c r="K1591" i="1"/>
  <c r="M35" i="5"/>
  <c r="M328" i="4"/>
  <c r="K1518" i="1"/>
  <c r="M258" i="4"/>
  <c r="K1448" i="1"/>
  <c r="M175" i="4"/>
  <c r="K1365" i="1"/>
  <c r="L184" i="4"/>
  <c r="K1584" i="1"/>
  <c r="M28" i="5"/>
  <c r="K347" i="4"/>
  <c r="J347" i="4" s="1"/>
  <c r="J343" i="4"/>
  <c r="K262" i="4"/>
  <c r="J243" i="4"/>
  <c r="K1109" i="1"/>
  <c r="M217" i="3"/>
  <c r="M237" i="4"/>
  <c r="K1427" i="1"/>
  <c r="D203" i="4"/>
  <c r="D205" i="4" s="1"/>
  <c r="D217" i="4" s="1"/>
  <c r="D219" i="4" s="1"/>
  <c r="K1286" i="1"/>
  <c r="M96" i="4"/>
  <c r="M50" i="4"/>
  <c r="K1240" i="1"/>
  <c r="M247" i="4"/>
  <c r="K1437" i="1"/>
  <c r="L252" i="4"/>
  <c r="M76" i="4"/>
  <c r="K1266" i="1"/>
  <c r="M26" i="4"/>
  <c r="K1216" i="1"/>
  <c r="L36" i="4"/>
  <c r="M17" i="5"/>
  <c r="K1573" i="1"/>
  <c r="M153" i="4"/>
  <c r="L155" i="4"/>
  <c r="K1343" i="1"/>
  <c r="M81" i="4"/>
  <c r="K1271" i="1"/>
  <c r="M126" i="4"/>
  <c r="K1316" i="1"/>
  <c r="M28" i="4"/>
  <c r="K1218" i="1"/>
  <c r="J314" i="5"/>
  <c r="K333" i="4"/>
  <c r="K1111" i="1"/>
  <c r="M219" i="3"/>
  <c r="J1206" i="1"/>
  <c r="J1208" i="1" s="1"/>
  <c r="J1210" i="1" s="1"/>
  <c r="J426" i="1"/>
  <c r="N386" i="6"/>
  <c r="O2268" i="1" s="1"/>
  <c r="L2268" i="1"/>
  <c r="N383" i="6"/>
  <c r="O2265" i="1" s="1"/>
  <c r="L2265" i="1"/>
  <c r="L2341" i="1"/>
  <c r="N459" i="6"/>
  <c r="O2341" i="1" s="1"/>
  <c r="N455" i="6"/>
  <c r="L2337" i="1"/>
  <c r="M467" i="6"/>
  <c r="M486" i="6" s="1"/>
  <c r="M488" i="6" s="1"/>
  <c r="K2896" i="1"/>
  <c r="M501" i="7"/>
  <c r="K2777" i="1"/>
  <c r="K433" i="1" s="1"/>
  <c r="M382" i="7"/>
  <c r="M255" i="5"/>
  <c r="K1811" i="1"/>
  <c r="L259" i="5"/>
  <c r="L269" i="5" s="1"/>
  <c r="L271" i="5" s="1"/>
  <c r="M129" i="5"/>
  <c r="K1685" i="1"/>
  <c r="M292" i="5"/>
  <c r="K1848" i="1"/>
  <c r="K1850" i="1" s="1"/>
  <c r="L294" i="5"/>
  <c r="L302" i="5" s="1"/>
  <c r="L326" i="5" s="1"/>
  <c r="L328" i="5" s="1"/>
  <c r="K2773" i="1"/>
  <c r="M378" i="7"/>
  <c r="M257" i="5"/>
  <c r="K1813" i="1"/>
  <c r="K278" i="1" s="1"/>
  <c r="K2809" i="1"/>
  <c r="M414" i="7"/>
  <c r="M36" i="5"/>
  <c r="K1592" i="1"/>
  <c r="M90" i="5"/>
  <c r="K1646" i="1"/>
  <c r="M305" i="4"/>
  <c r="K1495" i="1"/>
  <c r="M177" i="4"/>
  <c r="K1367" i="1"/>
  <c r="M9" i="5"/>
  <c r="K1565" i="1"/>
  <c r="L21" i="5"/>
  <c r="J149" i="4"/>
  <c r="K157" i="4"/>
  <c r="J157" i="4" s="1"/>
  <c r="M125" i="4"/>
  <c r="K1315" i="1"/>
  <c r="K55" i="4"/>
  <c r="J36" i="4"/>
  <c r="K1283" i="1"/>
  <c r="M93" i="4"/>
  <c r="K1166" i="1"/>
  <c r="M274" i="3"/>
  <c r="M10" i="4"/>
  <c r="K1200" i="1"/>
  <c r="K141" i="1" s="1"/>
  <c r="M329" i="4"/>
  <c r="K1519" i="1"/>
  <c r="J316" i="5"/>
  <c r="K1439" i="1"/>
  <c r="M249" i="4"/>
  <c r="M198" i="4"/>
  <c r="K1388" i="1"/>
  <c r="M135" i="4"/>
  <c r="K1325" i="1"/>
  <c r="M75" i="4"/>
  <c r="K1265" i="1"/>
  <c r="M12" i="4"/>
  <c r="K1202" i="1"/>
  <c r="K143" i="1" s="1"/>
  <c r="J313" i="4"/>
  <c r="J1618" i="1"/>
  <c r="J1620" i="1" s="1"/>
  <c r="J286" i="1"/>
  <c r="J288" i="1" s="1"/>
  <c r="I1618" i="1"/>
  <c r="I1620" i="1" s="1"/>
  <c r="D12" i="9"/>
  <c r="D42" i="9"/>
  <c r="E7" i="24" s="1"/>
  <c r="J147" i="1"/>
  <c r="K2311" i="1"/>
  <c r="M217" i="7"/>
  <c r="M212" i="7"/>
  <c r="L2607" i="1" s="1"/>
  <c r="M135" i="7"/>
  <c r="L3241" i="1"/>
  <c r="L3247" i="1"/>
  <c r="M316" i="8"/>
  <c r="K2772" i="1"/>
  <c r="M377" i="7"/>
  <c r="L384" i="7"/>
  <c r="K2894" i="1"/>
  <c r="M499" i="7"/>
  <c r="K2899" i="1"/>
  <c r="M504" i="7"/>
  <c r="K2813" i="1"/>
  <c r="M418" i="7"/>
  <c r="K1660" i="1"/>
  <c r="M104" i="5"/>
  <c r="L108" i="5"/>
  <c r="L110" i="5" s="1"/>
  <c r="L118" i="5" s="1"/>
  <c r="L120" i="5" s="1"/>
  <c r="M176" i="5"/>
  <c r="K1732" i="1"/>
  <c r="M16" i="5"/>
  <c r="K1572" i="1"/>
  <c r="M248" i="4"/>
  <c r="K1438" i="1"/>
  <c r="M34" i="5"/>
  <c r="K1590" i="1"/>
  <c r="K1594" i="1" s="1"/>
  <c r="L38" i="5"/>
  <c r="M318" i="4"/>
  <c r="K1508" i="1"/>
  <c r="M241" i="4"/>
  <c r="K1431" i="1"/>
  <c r="M88" i="5"/>
  <c r="K1644" i="1"/>
  <c r="M250" i="4"/>
  <c r="K1440" i="1"/>
  <c r="M175" i="5"/>
  <c r="K1731" i="1"/>
  <c r="L179" i="5"/>
  <c r="M85" i="5"/>
  <c r="K1641" i="1"/>
  <c r="M12" i="5"/>
  <c r="K1568" i="1"/>
  <c r="L2722" i="1"/>
  <c r="N327" i="7"/>
  <c r="O2722" i="1" s="1"/>
  <c r="M130" i="5"/>
  <c r="K1686" i="1"/>
  <c r="M276" i="5"/>
  <c r="K1832" i="1"/>
  <c r="M140" i="5"/>
  <c r="K1696" i="1"/>
  <c r="K1583" i="1"/>
  <c r="M27" i="5"/>
  <c r="M319" i="4"/>
  <c r="K1509" i="1"/>
  <c r="M30" i="4"/>
  <c r="K1220" i="1"/>
  <c r="M234" i="4"/>
  <c r="K1424" i="1"/>
  <c r="M41" i="4"/>
  <c r="K1231" i="1"/>
  <c r="K1106" i="1"/>
  <c r="M214" i="3"/>
  <c r="M239" i="4"/>
  <c r="K1429" i="1"/>
  <c r="M182" i="4"/>
  <c r="K1372" i="1"/>
  <c r="M124" i="4"/>
  <c r="K1314" i="1"/>
  <c r="L129" i="4"/>
  <c r="M13" i="4"/>
  <c r="K1203" i="1"/>
  <c r="K144" i="1" s="1"/>
  <c r="K1323" i="1"/>
  <c r="M133" i="4"/>
  <c r="L137" i="4"/>
  <c r="K1239" i="1"/>
  <c r="M49" i="4"/>
  <c r="L53" i="4"/>
  <c r="D262" i="4"/>
  <c r="D264" i="4" s="1"/>
  <c r="D285" i="4" s="1"/>
  <c r="D287" i="4" s="1"/>
  <c r="M114" i="4"/>
  <c r="K1304" i="1"/>
  <c r="K1165" i="1"/>
  <c r="M273" i="3"/>
  <c r="J120" i="4"/>
  <c r="K139" i="4"/>
  <c r="J184" i="4"/>
  <c r="K2810" i="1"/>
  <c r="M415" i="7"/>
  <c r="J175" i="3"/>
  <c r="M58" i="7"/>
  <c r="K201" i="7"/>
  <c r="J201" i="7" s="1"/>
  <c r="D525" i="7"/>
  <c r="D527" i="7" s="1"/>
  <c r="D539" i="7" s="1"/>
  <c r="D541" i="7" s="1"/>
  <c r="M340" i="6"/>
  <c r="K2222" i="1"/>
  <c r="O2025" i="1"/>
  <c r="M2025" i="1"/>
  <c r="N382" i="6"/>
  <c r="O2264" i="1" s="1"/>
  <c r="L2264" i="1"/>
  <c r="K2893" i="1"/>
  <c r="M498" i="7"/>
  <c r="K1866" i="1"/>
  <c r="M310" i="5"/>
  <c r="K2897" i="1"/>
  <c r="M502" i="7"/>
  <c r="K2811" i="1"/>
  <c r="M416" i="7"/>
  <c r="K2891" i="1"/>
  <c r="L506" i="7"/>
  <c r="M496" i="7"/>
  <c r="K2776" i="1"/>
  <c r="M381" i="7"/>
  <c r="M227" i="5"/>
  <c r="K1783" i="1"/>
  <c r="L2728" i="1"/>
  <c r="L220" i="1" s="1"/>
  <c r="N333" i="7"/>
  <c r="O2728" i="1" s="1"/>
  <c r="O220" i="1" s="1"/>
  <c r="M275" i="5"/>
  <c r="K1831" i="1"/>
  <c r="L279" i="5"/>
  <c r="M139" i="5"/>
  <c r="K1695" i="1"/>
  <c r="L144" i="5"/>
  <c r="L2726" i="1"/>
  <c r="N331" i="7"/>
  <c r="O2726" i="1" s="1"/>
  <c r="K1761" i="1"/>
  <c r="K261" i="1" s="1"/>
  <c r="M205" i="5"/>
  <c r="M311" i="4"/>
  <c r="K1501" i="1"/>
  <c r="K1833" i="1"/>
  <c r="M277" i="5"/>
  <c r="M72" i="5"/>
  <c r="K1628" i="1"/>
  <c r="M256" i="4"/>
  <c r="K1446" i="1"/>
  <c r="L260" i="4"/>
  <c r="K1812" i="1"/>
  <c r="K277" i="1" s="1"/>
  <c r="M256" i="5"/>
  <c r="M80" i="4"/>
  <c r="K1270" i="1"/>
  <c r="D55" i="3"/>
  <c r="D57" i="3" s="1"/>
  <c r="D78" i="3" s="1"/>
  <c r="M15" i="5"/>
  <c r="K1571" i="1"/>
  <c r="L343" i="4"/>
  <c r="L347" i="4" s="1"/>
  <c r="M341" i="4"/>
  <c r="K1531" i="1"/>
  <c r="M113" i="4"/>
  <c r="K1303" i="1"/>
  <c r="M27" i="4"/>
  <c r="K1217" i="1"/>
  <c r="K1492" i="1"/>
  <c r="M302" i="4"/>
  <c r="L313" i="4"/>
  <c r="L333" i="4" s="1"/>
  <c r="L335" i="4" s="1"/>
  <c r="M134" i="4"/>
  <c r="K1324" i="1"/>
  <c r="M308" i="4"/>
  <c r="K1498" i="1"/>
  <c r="M147" i="4"/>
  <c r="L149" i="4"/>
  <c r="L157" i="4" s="1"/>
  <c r="K1337" i="1"/>
  <c r="K1339" i="1" s="1"/>
  <c r="M79" i="4"/>
  <c r="K1269" i="1"/>
  <c r="K269" i="5"/>
  <c r="K326" i="5"/>
  <c r="K328" i="5" s="1"/>
  <c r="J302" i="5"/>
  <c r="J326" i="5" s="1"/>
  <c r="J328" i="5" s="1"/>
  <c r="M354" i="4"/>
  <c r="K1544" i="1"/>
  <c r="K1105" i="1"/>
  <c r="M213" i="3"/>
  <c r="K1110" i="1"/>
  <c r="M218" i="3"/>
  <c r="K249" i="5"/>
  <c r="J247" i="5"/>
  <c r="M188" i="4"/>
  <c r="K1378" i="1"/>
  <c r="L193" i="4"/>
  <c r="K1241" i="1"/>
  <c r="M51" i="4"/>
  <c r="K203" i="4"/>
  <c r="M43" i="4"/>
  <c r="K1233" i="1"/>
  <c r="K1163" i="1"/>
  <c r="M271" i="3"/>
  <c r="M236" i="4"/>
  <c r="K1426" i="1"/>
  <c r="M117" i="4"/>
  <c r="K1307" i="1"/>
  <c r="M40" i="4"/>
  <c r="K1230" i="1"/>
  <c r="L45" i="4"/>
  <c r="K1281" i="1"/>
  <c r="M91" i="4"/>
  <c r="M235" i="4"/>
  <c r="K1425" i="1"/>
  <c r="M111" i="4"/>
  <c r="K1301" i="1"/>
  <c r="K1162" i="1"/>
  <c r="M270" i="3"/>
  <c r="K2774" i="1"/>
  <c r="M379" i="7"/>
  <c r="K1762" i="1"/>
  <c r="K262" i="1" s="1"/>
  <c r="M206" i="5"/>
  <c r="M353" i="4"/>
  <c r="K1543" i="1"/>
  <c r="M26" i="5"/>
  <c r="K1582" i="1"/>
  <c r="M233" i="4"/>
  <c r="K1423" i="1"/>
  <c r="L243" i="4"/>
  <c r="L262" i="4" s="1"/>
  <c r="L264" i="4" s="1"/>
  <c r="L285" i="4" s="1"/>
  <c r="L287" i="4" s="1"/>
  <c r="M238" i="4"/>
  <c r="K1428" i="1"/>
  <c r="M75" i="5"/>
  <c r="K1631" i="1"/>
  <c r="L2720" i="1"/>
  <c r="N325" i="7"/>
  <c r="O2720" i="1" s="1"/>
  <c r="M84" i="5"/>
  <c r="K1640" i="1"/>
  <c r="L92" i="5"/>
  <c r="M14" i="5"/>
  <c r="K1570" i="1"/>
  <c r="K1112" i="1"/>
  <c r="M220" i="3"/>
  <c r="D331" i="5"/>
  <c r="D96" i="5"/>
  <c r="M90" i="4"/>
  <c r="K1280" i="1"/>
  <c r="K427" i="1" s="1"/>
  <c r="M197" i="4"/>
  <c r="K1387" i="1"/>
  <c r="L201" i="4"/>
  <c r="M82" i="4"/>
  <c r="K1272" i="1"/>
  <c r="M32" i="4"/>
  <c r="K1222" i="1"/>
  <c r="M112" i="4"/>
  <c r="K1302" i="1"/>
  <c r="J302" i="1"/>
  <c r="J523" i="7"/>
  <c r="M343" i="7"/>
  <c r="D388" i="7"/>
  <c r="I361" i="1"/>
  <c r="J108" i="7"/>
  <c r="K870" i="1"/>
  <c r="M331" i="8"/>
  <c r="J405" i="8"/>
  <c r="D562" i="8"/>
  <c r="K2995" i="1"/>
  <c r="K401" i="1"/>
  <c r="D39" i="9"/>
  <c r="E8" i="24" s="1"/>
  <c r="N425" i="6"/>
  <c r="O2307" i="1" s="1"/>
  <c r="L2307" i="1"/>
  <c r="L2345" i="1"/>
  <c r="N463" i="6"/>
  <c r="O2345" i="1" s="1"/>
  <c r="N377" i="6"/>
  <c r="L2259" i="1"/>
  <c r="M389" i="6"/>
  <c r="N456" i="6"/>
  <c r="O2338" i="1" s="1"/>
  <c r="L2338" i="1"/>
  <c r="L2729" i="1"/>
  <c r="N334" i="7"/>
  <c r="O2729" i="1" s="1"/>
  <c r="K1712" i="1"/>
  <c r="K254" i="1" s="1"/>
  <c r="M156" i="5"/>
  <c r="M106" i="5"/>
  <c r="K1662" i="1"/>
  <c r="K286" i="1" s="1"/>
  <c r="M303" i="4"/>
  <c r="K1493" i="1"/>
  <c r="K2892" i="1"/>
  <c r="M497" i="7"/>
  <c r="K1799" i="1"/>
  <c r="K1801" i="1" s="1"/>
  <c r="K1803" i="1" s="1"/>
  <c r="K1805" i="1" s="1"/>
  <c r="M243" i="5"/>
  <c r="L245" i="5"/>
  <c r="L247" i="5" s="1"/>
  <c r="L249" i="5" s="1"/>
  <c r="M133" i="5"/>
  <c r="K1689" i="1"/>
  <c r="M240" i="4"/>
  <c r="K1430" i="1"/>
  <c r="M204" i="5"/>
  <c r="K1760" i="1"/>
  <c r="L208" i="5"/>
  <c r="L218" i="5" s="1"/>
  <c r="L220" i="5" s="1"/>
  <c r="M87" i="5"/>
  <c r="K1643" i="1"/>
  <c r="M322" i="5"/>
  <c r="K1878" i="1"/>
  <c r="M19" i="5"/>
  <c r="K1575" i="1"/>
  <c r="K1306" i="1"/>
  <c r="M116" i="4"/>
  <c r="J64" i="4"/>
  <c r="K70" i="4"/>
  <c r="J70" i="4" s="1"/>
  <c r="M9" i="4"/>
  <c r="K1199" i="1"/>
  <c r="L16" i="4"/>
  <c r="L18" i="4" s="1"/>
  <c r="L20" i="4" s="1"/>
  <c r="M14" i="4"/>
  <c r="K1204" i="1"/>
  <c r="K145" i="1" s="1"/>
  <c r="M118" i="4"/>
  <c r="K1308" i="1"/>
  <c r="M127" i="4"/>
  <c r="K1317" i="1"/>
  <c r="M62" i="4"/>
  <c r="L64" i="4"/>
  <c r="L70" i="4" s="1"/>
  <c r="K1252" i="1"/>
  <c r="J198" i="5"/>
  <c r="M191" i="4"/>
  <c r="K1381" i="1"/>
  <c r="M181" i="4"/>
  <c r="K1371" i="1"/>
  <c r="K1232" i="1"/>
  <c r="M42" i="4"/>
  <c r="K1107" i="1"/>
  <c r="M215" i="3"/>
  <c r="D102" i="4"/>
  <c r="N244" i="1"/>
  <c r="K3258" i="1"/>
  <c r="J3181" i="1"/>
  <c r="G2242" i="1"/>
  <c r="G2244" i="1" s="1"/>
  <c r="G735" i="1"/>
  <c r="G737" i="1" s="1"/>
  <c r="G1737" i="1"/>
  <c r="G1739" i="1" s="1"/>
  <c r="H1941" i="1"/>
  <c r="F2783" i="1"/>
  <c r="N1737" i="1"/>
  <c r="N1739" i="1" s="1"/>
  <c r="C1407" i="1"/>
  <c r="C1409" i="1" s="1"/>
  <c r="H1075" i="1"/>
  <c r="E891" i="1"/>
  <c r="E893" i="1" s="1"/>
  <c r="C2031" i="1"/>
  <c r="D1941" i="1"/>
  <c r="G1356" i="1"/>
  <c r="F3185" i="1"/>
  <c r="F891" i="1"/>
  <c r="F893" i="1" s="1"/>
  <c r="F735" i="1"/>
  <c r="F737" i="1" s="1"/>
  <c r="H2678" i="1"/>
  <c r="H2680" i="1" s="1"/>
  <c r="G1941" i="1"/>
  <c r="G1407" i="1"/>
  <c r="G1409" i="1" s="1"/>
  <c r="D2678" i="1"/>
  <c r="D2680" i="1" s="1"/>
  <c r="C735" i="1"/>
  <c r="C737" i="1" s="1"/>
  <c r="E3185" i="1"/>
  <c r="M1737" i="1"/>
  <c r="M1739" i="1" s="1"/>
  <c r="E2242" i="1"/>
  <c r="E2244" i="1" s="1"/>
  <c r="E1356" i="1"/>
  <c r="C248" i="1"/>
  <c r="B4" i="9" s="1"/>
  <c r="E1941" i="1"/>
  <c r="D1407" i="1"/>
  <c r="D1409" i="1" s="1"/>
  <c r="H1737" i="1"/>
  <c r="H1739" i="1" s="1"/>
  <c r="H735" i="1"/>
  <c r="H737" i="1" s="1"/>
  <c r="E2678" i="1"/>
  <c r="E2680" i="1" s="1"/>
  <c r="D1356" i="1"/>
  <c r="H2031" i="1"/>
  <c r="F1737" i="1"/>
  <c r="F1739" i="1" s="1"/>
  <c r="B5" i="9"/>
  <c r="N2242" i="1"/>
  <c r="N2244" i="1" s="1"/>
  <c r="F1407" i="1"/>
  <c r="F1409" i="1" s="1"/>
  <c r="F1356" i="1"/>
  <c r="N3185" i="1"/>
  <c r="M3185" i="1"/>
  <c r="E2031" i="1"/>
  <c r="C3185" i="1"/>
  <c r="N1407" i="1"/>
  <c r="N1409" i="1" s="1"/>
  <c r="D735" i="1"/>
  <c r="D737" i="1" s="1"/>
  <c r="C1941" i="1"/>
  <c r="G2031" i="1"/>
  <c r="N1356" i="1"/>
  <c r="M2678" i="1"/>
  <c r="M2680" i="1" s="1"/>
  <c r="H3185" i="1"/>
  <c r="N2678" i="1"/>
  <c r="N2680" i="1" s="1"/>
  <c r="E735" i="1"/>
  <c r="E737" i="1" s="1"/>
  <c r="G2678" i="1"/>
  <c r="G2680" i="1" s="1"/>
  <c r="H1356" i="1"/>
  <c r="E1075" i="1"/>
  <c r="N2783" i="1"/>
  <c r="D3185" i="1"/>
  <c r="H2242" i="1"/>
  <c r="H2244" i="1" s="1"/>
  <c r="G3185" i="1"/>
  <c r="F1941" i="1"/>
  <c r="H891" i="1"/>
  <c r="H893" i="1" s="1"/>
  <c r="H2783" i="1"/>
  <c r="C2678" i="1"/>
  <c r="C2680" i="1" s="1"/>
  <c r="E2783" i="1"/>
  <c r="C2242" i="1"/>
  <c r="C2244" i="1" s="1"/>
  <c r="D1075" i="1"/>
  <c r="H1407" i="1"/>
  <c r="H1409" i="1" s="1"/>
  <c r="J3287" i="1"/>
  <c r="C1356" i="1"/>
  <c r="F2031" i="1"/>
  <c r="G1075" i="1"/>
  <c r="G891" i="1"/>
  <c r="G893" i="1" s="1"/>
  <c r="M1356" i="1"/>
  <c r="M2242" i="1"/>
  <c r="M2244" i="1" s="1"/>
  <c r="F2678" i="1"/>
  <c r="F2680" i="1" s="1"/>
  <c r="D2242" i="1"/>
  <c r="D2244" i="1" s="1"/>
  <c r="N1939" i="1"/>
  <c r="G2783" i="1"/>
  <c r="D2783" i="1"/>
  <c r="D2031" i="1"/>
  <c r="F2242" i="1"/>
  <c r="F2244" i="1" s="1"/>
  <c r="C3258" i="1"/>
  <c r="I3421" i="1"/>
  <c r="I3249" i="1"/>
  <c r="J3034" i="1"/>
  <c r="J3249" i="1"/>
  <c r="I3407" i="1"/>
  <c r="C3249" i="1"/>
  <c r="K3153" i="1"/>
  <c r="K3155" i="1" s="1"/>
  <c r="I3482" i="1"/>
  <c r="J3066" i="1"/>
  <c r="J299" i="1"/>
  <c r="I384" i="1"/>
  <c r="I466" i="1"/>
  <c r="K3421" i="1"/>
  <c r="I3295" i="1"/>
  <c r="K3249" i="1"/>
  <c r="I1858" i="1"/>
  <c r="I1882" i="1" s="1"/>
  <c r="I1884" i="1" s="1"/>
  <c r="N335" i="1"/>
  <c r="N337" i="1" s="1"/>
  <c r="I313" i="1"/>
  <c r="N3358" i="1"/>
  <c r="N3360" i="1" s="1"/>
  <c r="N3425" i="1" s="1"/>
  <c r="J3421" i="1"/>
  <c r="I2503" i="1"/>
  <c r="J2289" i="1"/>
  <c r="J3407" i="1"/>
  <c r="G2505" i="1"/>
  <c r="G2507" i="1" s="1"/>
  <c r="D569" i="8"/>
  <c r="L3246" i="1"/>
  <c r="N313" i="8"/>
  <c r="O3246" i="1" s="1"/>
  <c r="N309" i="8"/>
  <c r="O3242" i="1" s="1"/>
  <c r="L3242" i="1"/>
  <c r="I3266" i="1"/>
  <c r="M3237" i="1"/>
  <c r="M3249" i="1" s="1"/>
  <c r="O3237" i="1"/>
  <c r="L3240" i="1"/>
  <c r="N307" i="8"/>
  <c r="O3240" i="1" s="1"/>
  <c r="L18" i="8"/>
  <c r="L20" i="8" s="1"/>
  <c r="J3042" i="1"/>
  <c r="L3238" i="1"/>
  <c r="L3249" i="1" s="1"/>
  <c r="N305" i="8"/>
  <c r="O3238" i="1" s="1"/>
  <c r="D297" i="8"/>
  <c r="D567" i="8" s="1"/>
  <c r="G297" i="8"/>
  <c r="G382" i="8" s="1"/>
  <c r="L3019" i="1"/>
  <c r="D490" i="8"/>
  <c r="D492" i="8" s="1"/>
  <c r="J9" i="8"/>
  <c r="J3085" i="1"/>
  <c r="J3258" i="1"/>
  <c r="H295" i="8"/>
  <c r="H297" i="8" s="1"/>
  <c r="H382" i="8" s="1"/>
  <c r="K3491" i="1"/>
  <c r="K3493" i="1" s="1"/>
  <c r="M558" i="8"/>
  <c r="L3194" i="1"/>
  <c r="L3205" i="1" s="1"/>
  <c r="J18" i="8"/>
  <c r="J2997" i="1"/>
  <c r="I3034" i="1"/>
  <c r="D51" i="8"/>
  <c r="D70" i="8" s="1"/>
  <c r="D72" i="8" s="1"/>
  <c r="I3493" i="1"/>
  <c r="J3266" i="1"/>
  <c r="J3113" i="1"/>
  <c r="D109" i="8"/>
  <c r="D111" i="8" s="1"/>
  <c r="J111" i="8" s="1"/>
  <c r="L401" i="1"/>
  <c r="L3440" i="1"/>
  <c r="K3385" i="1"/>
  <c r="J378" i="8"/>
  <c r="J38" i="8"/>
  <c r="L560" i="8"/>
  <c r="J222" i="1"/>
  <c r="I158" i="1"/>
  <c r="J3388" i="1"/>
  <c r="J462" i="1"/>
  <c r="M3301" i="1"/>
  <c r="I417" i="1"/>
  <c r="I419" i="1" s="1"/>
  <c r="J96" i="1"/>
  <c r="J103" i="1" s="1"/>
  <c r="J2874" i="1"/>
  <c r="G3218" i="1"/>
  <c r="G3228" i="1" s="1"/>
  <c r="G3230" i="1" s="1"/>
  <c r="B6" i="9"/>
  <c r="G26" i="9" s="1"/>
  <c r="C3201" i="1"/>
  <c r="C3205" i="1" s="1"/>
  <c r="C3230" i="1" s="1"/>
  <c r="O2148" i="1"/>
  <c r="O2152" i="1" s="1"/>
  <c r="O2154" i="1" s="1"/>
  <c r="I3301" i="1"/>
  <c r="O3129" i="1"/>
  <c r="O3131" i="1" s="1"/>
  <c r="O3133" i="1" s="1"/>
  <c r="O3135" i="1" s="1"/>
  <c r="I2833" i="1"/>
  <c r="L3434" i="1"/>
  <c r="J3396" i="1"/>
  <c r="J3173" i="1"/>
  <c r="O46" i="1"/>
  <c r="O48" i="1" s="1"/>
  <c r="F29" i="9" s="1"/>
  <c r="F5" i="10" s="1"/>
  <c r="K3474" i="1"/>
  <c r="K3042" i="1"/>
  <c r="J190" i="1"/>
  <c r="I3311" i="1"/>
  <c r="J3025" i="1"/>
  <c r="J241" i="1"/>
  <c r="J3329" i="1"/>
  <c r="I76" i="1"/>
  <c r="I80" i="1" s="1"/>
  <c r="I222" i="1"/>
  <c r="J1702" i="1"/>
  <c r="J1704" i="1" s="1"/>
  <c r="C3329" i="1"/>
  <c r="K384" i="1"/>
  <c r="J1921" i="1"/>
  <c r="I3434" i="1"/>
  <c r="I3131" i="1"/>
  <c r="I3133" i="1" s="1"/>
  <c r="I3135" i="1" s="1"/>
  <c r="K3066" i="1"/>
  <c r="E2505" i="1"/>
  <c r="E2507" i="1" s="1"/>
  <c r="I2134" i="1"/>
  <c r="N3228" i="1"/>
  <c r="N3230" i="1" s="1"/>
  <c r="J3224" i="1"/>
  <c r="J3228" i="1" s="1"/>
  <c r="M46" i="1"/>
  <c r="M48" i="1" s="1"/>
  <c r="I3025" i="1"/>
  <c r="I190" i="1"/>
  <c r="J3474" i="1"/>
  <c r="J3484" i="1" s="1"/>
  <c r="J3486" i="1" s="1"/>
  <c r="J3495" i="1" s="1"/>
  <c r="J3497" i="1" s="1"/>
  <c r="J3295" i="1"/>
  <c r="I3474" i="1"/>
  <c r="M3201" i="1"/>
  <c r="M3205" i="1" s="1"/>
  <c r="K3301" i="1"/>
  <c r="K3034" i="1"/>
  <c r="K3266" i="1"/>
  <c r="I3388" i="1"/>
  <c r="I3398" i="1" s="1"/>
  <c r="I3400" i="1" s="1"/>
  <c r="I426" i="1"/>
  <c r="K3311" i="1"/>
  <c r="J1939" i="1"/>
  <c r="I2918" i="1"/>
  <c r="I2740" i="1"/>
  <c r="J2540" i="1"/>
  <c r="J2192" i="1"/>
  <c r="D9" i="9"/>
  <c r="J392" i="1"/>
  <c r="C39" i="9"/>
  <c r="J2971" i="1"/>
  <c r="J2973" i="1" s="1"/>
  <c r="J2975" i="1" s="1"/>
  <c r="J2986" i="1" s="1"/>
  <c r="J3301" i="1"/>
  <c r="K3482" i="1"/>
  <c r="I465" i="1"/>
  <c r="I2997" i="1"/>
  <c r="N60" i="8"/>
  <c r="O2995" i="1" s="1"/>
  <c r="L2995" i="1"/>
  <c r="I42" i="1"/>
  <c r="I46" i="1" s="1"/>
  <c r="I48" i="1" s="1"/>
  <c r="I2971" i="1"/>
  <c r="I2973" i="1" s="1"/>
  <c r="I2975" i="1" s="1"/>
  <c r="I2986" i="1" s="1"/>
  <c r="I354" i="1"/>
  <c r="K3080" i="1"/>
  <c r="K3085" i="1" s="1"/>
  <c r="L3253" i="1"/>
  <c r="N452" i="8"/>
  <c r="O3385" i="1" s="1"/>
  <c r="K380" i="8"/>
  <c r="L36" i="8"/>
  <c r="L38" i="8" s="1"/>
  <c r="L40" i="8" s="1"/>
  <c r="L51" i="8" s="1"/>
  <c r="J362" i="8"/>
  <c r="I3201" i="1"/>
  <c r="I3205" i="1" s="1"/>
  <c r="O3201" i="1"/>
  <c r="J3311" i="1"/>
  <c r="E3218" i="1"/>
  <c r="E3228" i="1" s="1"/>
  <c r="E3230" i="1" s="1"/>
  <c r="J36" i="8"/>
  <c r="J90" i="8"/>
  <c r="O3253" i="1"/>
  <c r="M3253" i="1"/>
  <c r="M3258" i="1" s="1"/>
  <c r="I3285" i="1"/>
  <c r="J3344" i="1"/>
  <c r="J3358" i="1" s="1"/>
  <c r="J3360" i="1" s="1"/>
  <c r="I3278" i="1"/>
  <c r="L567" i="8"/>
  <c r="J515" i="8"/>
  <c r="N148" i="8"/>
  <c r="O3082" i="1" s="1"/>
  <c r="L3082" i="1"/>
  <c r="N358" i="8"/>
  <c r="L3291" i="1"/>
  <c r="L3292" i="1"/>
  <c r="N359" i="8"/>
  <c r="O3292" i="1" s="1"/>
  <c r="N80" i="8"/>
  <c r="O3015" i="1" s="1"/>
  <c r="L3015" i="1"/>
  <c r="D335" i="8"/>
  <c r="J325" i="8"/>
  <c r="M85" i="8"/>
  <c r="K3020" i="1"/>
  <c r="K3025" i="1" s="1"/>
  <c r="M360" i="8"/>
  <c r="K3293" i="1"/>
  <c r="L90" i="8"/>
  <c r="L109" i="8" s="1"/>
  <c r="L111" i="8" s="1"/>
  <c r="C3311" i="1"/>
  <c r="O3070" i="1"/>
  <c r="O3072" i="1" s="1"/>
  <c r="N138" i="8"/>
  <c r="K3394" i="1"/>
  <c r="K3396" i="1" s="1"/>
  <c r="M461" i="8"/>
  <c r="M463" i="8" s="1"/>
  <c r="L463" i="8"/>
  <c r="M33" i="8"/>
  <c r="M36" i="8" s="1"/>
  <c r="M38" i="8" s="1"/>
  <c r="M40" i="8" s="1"/>
  <c r="M51" i="8" s="1"/>
  <c r="K2968" i="1"/>
  <c r="M330" i="8"/>
  <c r="L333" i="8"/>
  <c r="L335" i="8" s="1"/>
  <c r="L337" i="8" s="1"/>
  <c r="L151" i="8"/>
  <c r="N321" i="8"/>
  <c r="O3254" i="1" s="1"/>
  <c r="L3254" i="1"/>
  <c r="M325" i="8"/>
  <c r="K426" i="1"/>
  <c r="K124" i="8"/>
  <c r="J122" i="8"/>
  <c r="N57" i="8"/>
  <c r="O2992" i="1" s="1"/>
  <c r="L2992" i="1"/>
  <c r="K3344" i="1"/>
  <c r="K3358" i="1" s="1"/>
  <c r="K3360" i="1" s="1"/>
  <c r="J549" i="8"/>
  <c r="M237" i="8"/>
  <c r="M240" i="8" s="1"/>
  <c r="K3170" i="1"/>
  <c r="K3173" i="1" s="1"/>
  <c r="L240" i="8"/>
  <c r="M451" i="8"/>
  <c r="K3384" i="1"/>
  <c r="L455" i="8"/>
  <c r="N216" i="8"/>
  <c r="M218" i="8"/>
  <c r="D564" i="8"/>
  <c r="M58" i="8"/>
  <c r="L62" i="8"/>
  <c r="K2993" i="1"/>
  <c r="K2997" i="1" s="1"/>
  <c r="L3306" i="1"/>
  <c r="N373" i="8"/>
  <c r="O3306" i="1" s="1"/>
  <c r="L549" i="8"/>
  <c r="L551" i="8" s="1"/>
  <c r="L553" i="8" s="1"/>
  <c r="J517" i="8"/>
  <c r="K295" i="8"/>
  <c r="J295" i="8" s="1"/>
  <c r="J291" i="8"/>
  <c r="J49" i="8"/>
  <c r="L3076" i="1"/>
  <c r="N142" i="8"/>
  <c r="M151" i="8"/>
  <c r="C42" i="1"/>
  <c r="C46" i="1" s="1"/>
  <c r="J261" i="8"/>
  <c r="J272" i="8" s="1"/>
  <c r="M350" i="8"/>
  <c r="L352" i="8"/>
  <c r="L354" i="8" s="1"/>
  <c r="K3283" i="1"/>
  <c r="L3080" i="1"/>
  <c r="N146" i="8"/>
  <c r="O3080" i="1" s="1"/>
  <c r="N144" i="8"/>
  <c r="O3078" i="1" s="1"/>
  <c r="L3078" i="1"/>
  <c r="L3063" i="1"/>
  <c r="N129" i="8"/>
  <c r="O3063" i="1" s="1"/>
  <c r="N145" i="8"/>
  <c r="O3079" i="1" s="1"/>
  <c r="L3079" i="1"/>
  <c r="N59" i="8"/>
  <c r="L2994" i="1"/>
  <c r="M62" i="8"/>
  <c r="L3031" i="1"/>
  <c r="N96" i="8"/>
  <c r="O3031" i="1" s="1"/>
  <c r="N546" i="8"/>
  <c r="O3479" i="1" s="1"/>
  <c r="L3479" i="1"/>
  <c r="L3482" i="1" s="1"/>
  <c r="M549" i="8"/>
  <c r="L3016" i="1"/>
  <c r="N81" i="8"/>
  <c r="M90" i="8"/>
  <c r="L3030" i="1"/>
  <c r="N95" i="8"/>
  <c r="O3030" i="1" s="1"/>
  <c r="N453" i="8"/>
  <c r="O3386" i="1" s="1"/>
  <c r="L3386" i="1"/>
  <c r="M455" i="8"/>
  <c r="K51" i="8"/>
  <c r="J40" i="8"/>
  <c r="N376" i="8"/>
  <c r="O3309" i="1" s="1"/>
  <c r="L3309" i="1"/>
  <c r="N120" i="8"/>
  <c r="O3054" i="1" s="1"/>
  <c r="O3056" i="1" s="1"/>
  <c r="O3058" i="1" s="1"/>
  <c r="L3054" i="1"/>
  <c r="O3417" i="1"/>
  <c r="L3472" i="1"/>
  <c r="N539" i="8"/>
  <c r="O3472" i="1" s="1"/>
  <c r="N472" i="8"/>
  <c r="L3405" i="1"/>
  <c r="L3407" i="1" s="1"/>
  <c r="M474" i="8"/>
  <c r="O3383" i="1"/>
  <c r="N460" i="8"/>
  <c r="L3393" i="1"/>
  <c r="D354" i="8"/>
  <c r="J345" i="8"/>
  <c r="K222" i="8"/>
  <c r="J220" i="8"/>
  <c r="K427" i="8"/>
  <c r="J425" i="8"/>
  <c r="K3205" i="1"/>
  <c r="L3301" i="1"/>
  <c r="M245" i="8"/>
  <c r="K3178" i="1"/>
  <c r="K3181" i="1" s="1"/>
  <c r="L248" i="8"/>
  <c r="L231" i="8"/>
  <c r="L233" i="8" s="1"/>
  <c r="M228" i="8"/>
  <c r="K3161" i="1"/>
  <c r="L3001" i="1"/>
  <c r="L3003" i="1" s="1"/>
  <c r="N66" i="8"/>
  <c r="M68" i="8"/>
  <c r="N143" i="8"/>
  <c r="O3077" i="1" s="1"/>
  <c r="L3077" i="1"/>
  <c r="L3143" i="1"/>
  <c r="L3145" i="1" s="1"/>
  <c r="L3153" i="1" s="1"/>
  <c r="L3155" i="1" s="1"/>
  <c r="N210" i="8"/>
  <c r="M212" i="8"/>
  <c r="L3029" i="1"/>
  <c r="N94" i="8"/>
  <c r="M99" i="8"/>
  <c r="L3471" i="1"/>
  <c r="N538" i="8"/>
  <c r="O3471" i="1" s="1"/>
  <c r="N329" i="8"/>
  <c r="L3262" i="1"/>
  <c r="O2948" i="1"/>
  <c r="O2951" i="1" s="1"/>
  <c r="O2953" i="1" s="1"/>
  <c r="O2955" i="1" s="1"/>
  <c r="N16" i="8"/>
  <c r="N18" i="8" s="1"/>
  <c r="N20" i="8" s="1"/>
  <c r="N34" i="8"/>
  <c r="O2969" i="1" s="1"/>
  <c r="O188" i="1" s="1"/>
  <c r="L2969" i="1"/>
  <c r="L188" i="1" s="1"/>
  <c r="L3470" i="1"/>
  <c r="N537" i="8"/>
  <c r="O3470" i="1" s="1"/>
  <c r="O3478" i="1"/>
  <c r="N105" i="8"/>
  <c r="O3040" i="1" s="1"/>
  <c r="L3040" i="1"/>
  <c r="K553" i="8"/>
  <c r="J551" i="8"/>
  <c r="D20" i="8"/>
  <c r="J20" i="8" s="1"/>
  <c r="L3307" i="1"/>
  <c r="N374" i="8"/>
  <c r="M378" i="8"/>
  <c r="O2964" i="1"/>
  <c r="L3032" i="1"/>
  <c r="N97" i="8"/>
  <c r="O3032" i="1" s="1"/>
  <c r="L3062" i="1"/>
  <c r="N128" i="8"/>
  <c r="M132" i="8"/>
  <c r="K233" i="8"/>
  <c r="J233" i="8" s="1"/>
  <c r="J231" i="8"/>
  <c r="J180" i="8"/>
  <c r="J569" i="8" s="1"/>
  <c r="I3093" i="1"/>
  <c r="I3113" i="1" s="1"/>
  <c r="L3171" i="1"/>
  <c r="N238" i="8"/>
  <c r="O3171" i="1" s="1"/>
  <c r="O3177" i="1"/>
  <c r="L3419" i="1"/>
  <c r="L3421" i="1" s="1"/>
  <c r="N486" i="8"/>
  <c r="O3419" i="1" s="1"/>
  <c r="M488" i="8"/>
  <c r="L3490" i="1"/>
  <c r="N557" i="8"/>
  <c r="M560" i="8"/>
  <c r="L3179" i="1"/>
  <c r="N246" i="8"/>
  <c r="O3179" i="1" s="1"/>
  <c r="L3018" i="1"/>
  <c r="N83" i="8"/>
  <c r="O3018" i="1" s="1"/>
  <c r="N30" i="8"/>
  <c r="O2965" i="1" s="1"/>
  <c r="O184" i="1" s="1"/>
  <c r="L2965" i="1"/>
  <c r="N536" i="8"/>
  <c r="L3469" i="1"/>
  <c r="M541" i="8"/>
  <c r="O3256" i="1"/>
  <c r="N331" i="8"/>
  <c r="O3264" i="1" s="1"/>
  <c r="N31" i="8"/>
  <c r="O2966" i="1" s="1"/>
  <c r="O185" i="1" s="1"/>
  <c r="L2966" i="1"/>
  <c r="L185" i="1" s="1"/>
  <c r="N82" i="8"/>
  <c r="O3017" i="1" s="1"/>
  <c r="L3017" i="1"/>
  <c r="N87" i="8"/>
  <c r="O3022" i="1" s="1"/>
  <c r="L3022" i="1"/>
  <c r="N103" i="8"/>
  <c r="L3038" i="1"/>
  <c r="M107" i="8"/>
  <c r="K467" i="8"/>
  <c r="J465" i="8"/>
  <c r="I2250" i="1"/>
  <c r="H3313" i="1"/>
  <c r="J1991" i="1"/>
  <c r="J2091" i="1"/>
  <c r="I2174" i="1"/>
  <c r="I2194" i="1" s="1"/>
  <c r="I2196" i="1" s="1"/>
  <c r="I2910" i="1"/>
  <c r="I2655" i="1"/>
  <c r="L3131" i="1"/>
  <c r="L3133" i="1" s="1"/>
  <c r="L3135" i="1" s="1"/>
  <c r="J2366" i="1"/>
  <c r="J2099" i="1"/>
  <c r="N3497" i="1"/>
  <c r="I1329" i="1"/>
  <c r="I1331" i="1" s="1"/>
  <c r="J1774" i="1"/>
  <c r="J1776" i="1" s="1"/>
  <c r="J1787" i="1" s="1"/>
  <c r="J1789" i="1" s="1"/>
  <c r="J2281" i="1"/>
  <c r="I2797" i="1"/>
  <c r="I2799" i="1" s="1"/>
  <c r="I2801" i="1" s="1"/>
  <c r="K3228" i="1"/>
  <c r="C3495" i="1"/>
  <c r="C3497" i="1" s="1"/>
  <c r="K2358" i="1"/>
  <c r="L1939" i="1"/>
  <c r="F2505" i="1"/>
  <c r="F2507" i="1" s="1"/>
  <c r="J1523" i="1"/>
  <c r="J1525" i="1" s="1"/>
  <c r="J1555" i="1" s="1"/>
  <c r="J1557" i="1" s="1"/>
  <c r="N1153" i="1"/>
  <c r="I1347" i="1"/>
  <c r="I2768" i="1"/>
  <c r="I435" i="1"/>
  <c r="I2532" i="1"/>
  <c r="I3153" i="1"/>
  <c r="I3155" i="1" s="1"/>
  <c r="I3183" i="1" s="1"/>
  <c r="N48" i="1"/>
  <c r="F3313" i="1"/>
  <c r="D2505" i="1"/>
  <c r="D2507" i="1" s="1"/>
  <c r="O3301" i="1"/>
  <c r="O1949" i="1"/>
  <c r="O151" i="1" s="1"/>
  <c r="M1949" i="1"/>
  <c r="M151" i="1" s="1"/>
  <c r="C42" i="9"/>
  <c r="J349" i="6"/>
  <c r="N207" i="6"/>
  <c r="O2089" i="1" s="1"/>
  <c r="L2089" i="1"/>
  <c r="O1987" i="1"/>
  <c r="M1987" i="1"/>
  <c r="L3222" i="1"/>
  <c r="M291" i="8"/>
  <c r="N289" i="8"/>
  <c r="M80" i="17"/>
  <c r="M285" i="8"/>
  <c r="L3218" i="1"/>
  <c r="N278" i="8"/>
  <c r="M68" i="17"/>
  <c r="D891" i="1"/>
  <c r="D893" i="1" s="1"/>
  <c r="J2633" i="1"/>
  <c r="J2635" i="1" s="1"/>
  <c r="J2678" i="1" s="1"/>
  <c r="K103" i="1"/>
  <c r="I960" i="1"/>
  <c r="K2017" i="1"/>
  <c r="J2880" i="1"/>
  <c r="I341" i="1"/>
  <c r="J221" i="1"/>
  <c r="I851" i="1"/>
  <c r="N1075" i="1"/>
  <c r="F1075" i="1"/>
  <c r="I2789" i="1"/>
  <c r="I2570" i="1"/>
  <c r="I2572" i="1" s="1"/>
  <c r="C2783" i="1"/>
  <c r="I28" i="1"/>
  <c r="I611" i="1"/>
  <c r="D68" i="1"/>
  <c r="I2932" i="1"/>
  <c r="I2689" i="1"/>
  <c r="K2631" i="1"/>
  <c r="J428" i="1"/>
  <c r="J430" i="1"/>
  <c r="I219" i="1"/>
  <c r="I432" i="1"/>
  <c r="N18" i="1"/>
  <c r="N50" i="1" s="1"/>
  <c r="J2082" i="1"/>
  <c r="J435" i="1"/>
  <c r="I213" i="1"/>
  <c r="J381" i="1"/>
  <c r="I431" i="1"/>
  <c r="N1993" i="1"/>
  <c r="N1995" i="1" s="1"/>
  <c r="I2631" i="1"/>
  <c r="I428" i="1"/>
  <c r="I393" i="1"/>
  <c r="I429" i="1"/>
  <c r="H57" i="2"/>
  <c r="I217" i="1"/>
  <c r="F143" i="2"/>
  <c r="F145" i="2" s="1"/>
  <c r="J842" i="1"/>
  <c r="E251" i="2"/>
  <c r="E253" i="2" s="1"/>
  <c r="I224" i="2"/>
  <c r="J86" i="2"/>
  <c r="G251" i="2"/>
  <c r="G253" i="2" s="1"/>
  <c r="E143" i="2"/>
  <c r="E413" i="2" s="1"/>
  <c r="I842" i="1"/>
  <c r="M889" i="1"/>
  <c r="I874" i="1"/>
  <c r="J358" i="2"/>
  <c r="J141" i="2"/>
  <c r="I381" i="1"/>
  <c r="J874" i="1"/>
  <c r="M351" i="2"/>
  <c r="K835" i="1"/>
  <c r="I26" i="2"/>
  <c r="H48" i="2"/>
  <c r="H68" i="2" s="1"/>
  <c r="H70" i="2" s="1"/>
  <c r="M356" i="2"/>
  <c r="K840" i="1"/>
  <c r="K833" i="1"/>
  <c r="M349" i="2"/>
  <c r="M383" i="2"/>
  <c r="K867" i="1"/>
  <c r="L390" i="2"/>
  <c r="M387" i="2"/>
  <c r="K871" i="1"/>
  <c r="K371" i="1" s="1"/>
  <c r="E145" i="2"/>
  <c r="C891" i="1"/>
  <c r="C893" i="1" s="1"/>
  <c r="I362" i="1"/>
  <c r="M132" i="2"/>
  <c r="K836" i="1"/>
  <c r="M352" i="2"/>
  <c r="G413" i="2"/>
  <c r="B4" i="11"/>
  <c r="K839" i="1"/>
  <c r="M355" i="2"/>
  <c r="N384" i="2"/>
  <c r="L868" i="1"/>
  <c r="K837" i="1"/>
  <c r="M353" i="2"/>
  <c r="O870" i="1"/>
  <c r="M870" i="1"/>
  <c r="L838" i="1"/>
  <c r="N354" i="2"/>
  <c r="O838" i="1" s="1"/>
  <c r="I364" i="1"/>
  <c r="K832" i="1"/>
  <c r="M348" i="2"/>
  <c r="F413" i="2"/>
  <c r="K831" i="1"/>
  <c r="M347" i="2"/>
  <c r="L358" i="2"/>
  <c r="L872" i="1"/>
  <c r="N388" i="2"/>
  <c r="G145" i="2"/>
  <c r="N552" i="1"/>
  <c r="N554" i="1" s="1"/>
  <c r="N627" i="1" s="1"/>
  <c r="N629" i="1" s="1"/>
  <c r="I668" i="1"/>
  <c r="I550" i="1"/>
  <c r="K414" i="2"/>
  <c r="I595" i="1"/>
  <c r="K661" i="1"/>
  <c r="I733" i="1"/>
  <c r="J330" i="1"/>
  <c r="J57" i="2"/>
  <c r="J111" i="2"/>
  <c r="J119" i="2"/>
  <c r="I241" i="1"/>
  <c r="I430" i="1"/>
  <c r="I224" i="1"/>
  <c r="L714" i="1"/>
  <c r="I215" i="1"/>
  <c r="J347" i="1"/>
  <c r="J152" i="2"/>
  <c r="J414" i="2" s="1"/>
  <c r="I532" i="1"/>
  <c r="J249" i="2"/>
  <c r="J222" i="2"/>
  <c r="D414" i="2"/>
  <c r="D68" i="2"/>
  <c r="I211" i="1"/>
  <c r="I411" i="1"/>
  <c r="I413" i="1" s="1"/>
  <c r="I221" i="1"/>
  <c r="J242" i="2"/>
  <c r="I803" i="1"/>
  <c r="J668" i="1"/>
  <c r="J625" i="1"/>
  <c r="N275" i="2"/>
  <c r="O759" i="1" s="1"/>
  <c r="J726" i="1"/>
  <c r="H111" i="2"/>
  <c r="I625" i="1"/>
  <c r="I169" i="1"/>
  <c r="I570" i="1"/>
  <c r="I572" i="1" s="1"/>
  <c r="J295" i="2"/>
  <c r="I779" i="1"/>
  <c r="N861" i="1"/>
  <c r="N863" i="1" s="1"/>
  <c r="N891" i="1" s="1"/>
  <c r="N893" i="1" s="1"/>
  <c r="I304" i="1"/>
  <c r="D297" i="2"/>
  <c r="D299" i="2" s="1"/>
  <c r="D329" i="2" s="1"/>
  <c r="D331" i="2" s="1"/>
  <c r="I347" i="1"/>
  <c r="K759" i="1"/>
  <c r="J278" i="2"/>
  <c r="J66" i="2"/>
  <c r="O714" i="1"/>
  <c r="J762" i="1"/>
  <c r="L414" i="2"/>
  <c r="D203" i="2"/>
  <c r="D205" i="2" s="1"/>
  <c r="D251" i="2" s="1"/>
  <c r="D253" i="2" s="1"/>
  <c r="I762" i="1"/>
  <c r="M76" i="2"/>
  <c r="L560" i="1" s="1"/>
  <c r="J304" i="1"/>
  <c r="I329" i="1"/>
  <c r="I726" i="1"/>
  <c r="I603" i="1"/>
  <c r="D88" i="2"/>
  <c r="K560" i="1"/>
  <c r="I859" i="1"/>
  <c r="N708" i="1"/>
  <c r="I330" i="1"/>
  <c r="H222" i="2"/>
  <c r="H224" i="2" s="1"/>
  <c r="H251" i="2" s="1"/>
  <c r="H253" i="2" s="1"/>
  <c r="I771" i="1"/>
  <c r="J319" i="2"/>
  <c r="J364" i="1"/>
  <c r="J26" i="2"/>
  <c r="K754" i="1"/>
  <c r="M270" i="2"/>
  <c r="J375" i="2"/>
  <c r="I706" i="1"/>
  <c r="J470" i="1"/>
  <c r="I510" i="1"/>
  <c r="I512" i="1" s="1"/>
  <c r="I514" i="1" s="1"/>
  <c r="K717" i="1"/>
  <c r="M228" i="2"/>
  <c r="K712" i="1"/>
  <c r="D445" i="1"/>
  <c r="D447" i="1" s="1"/>
  <c r="L717" i="1"/>
  <c r="K164" i="2"/>
  <c r="J162" i="2"/>
  <c r="K721" i="1"/>
  <c r="M237" i="2"/>
  <c r="L615" i="1"/>
  <c r="N131" i="2"/>
  <c r="M174" i="2"/>
  <c r="K658" i="1"/>
  <c r="M182" i="2"/>
  <c r="K666" i="1"/>
  <c r="M139" i="2"/>
  <c r="K623" i="1"/>
  <c r="L616" i="1"/>
  <c r="N132" i="2"/>
  <c r="K659" i="1"/>
  <c r="M175" i="2"/>
  <c r="K752" i="1"/>
  <c r="M268" i="2"/>
  <c r="L278" i="2"/>
  <c r="K760" i="1"/>
  <c r="M276" i="2"/>
  <c r="M133" i="2"/>
  <c r="K617" i="1"/>
  <c r="M231" i="2"/>
  <c r="K715" i="1"/>
  <c r="K347" i="1" s="1"/>
  <c r="M136" i="2"/>
  <c r="K620" i="1"/>
  <c r="K430" i="1" s="1"/>
  <c r="L723" i="1"/>
  <c r="N239" i="2"/>
  <c r="O723" i="1" s="1"/>
  <c r="M236" i="2"/>
  <c r="K720" i="1"/>
  <c r="M232" i="2"/>
  <c r="K716" i="1"/>
  <c r="M138" i="2"/>
  <c r="K622" i="1"/>
  <c r="K660" i="1"/>
  <c r="M176" i="2"/>
  <c r="J9" i="2"/>
  <c r="J11" i="2" s="1"/>
  <c r="J13" i="2" s="1"/>
  <c r="I492" i="1"/>
  <c r="N240" i="2"/>
  <c r="O724" i="1" s="1"/>
  <c r="L724" i="1"/>
  <c r="M181" i="2"/>
  <c r="K665" i="1"/>
  <c r="K618" i="1"/>
  <c r="M134" i="2"/>
  <c r="L141" i="2"/>
  <c r="K713" i="1"/>
  <c r="M229" i="2"/>
  <c r="L242" i="2"/>
  <c r="K662" i="1"/>
  <c r="M178" i="2"/>
  <c r="K619" i="1"/>
  <c r="M135" i="2"/>
  <c r="L661" i="1"/>
  <c r="N177" i="2"/>
  <c r="N274" i="2"/>
  <c r="O758" i="1" s="1"/>
  <c r="L758" i="1"/>
  <c r="J184" i="2"/>
  <c r="M272" i="2"/>
  <c r="K756" i="1"/>
  <c r="N234" i="2"/>
  <c r="O718" i="1" s="1"/>
  <c r="L718" i="1"/>
  <c r="M273" i="2"/>
  <c r="K757" i="1"/>
  <c r="K753" i="1"/>
  <c r="M269" i="2"/>
  <c r="L722" i="1"/>
  <c r="N238" i="2"/>
  <c r="O722" i="1" s="1"/>
  <c r="K657" i="1"/>
  <c r="M173" i="2"/>
  <c r="L184" i="2"/>
  <c r="M137" i="2"/>
  <c r="O663" i="1"/>
  <c r="M663" i="1"/>
  <c r="K664" i="1"/>
  <c r="M180" i="2"/>
  <c r="N271" i="2"/>
  <c r="O755" i="1" s="1"/>
  <c r="L755" i="1"/>
  <c r="I242" i="1"/>
  <c r="D38" i="1"/>
  <c r="D48" i="1" s="1"/>
  <c r="J18" i="1"/>
  <c r="J2459" i="1"/>
  <c r="J2461" i="1" s="1"/>
  <c r="I288" i="1"/>
  <c r="I290" i="1" s="1"/>
  <c r="I292" i="1" s="1"/>
  <c r="J1452" i="1"/>
  <c r="J1454" i="1" s="1"/>
  <c r="J1475" i="1" s="1"/>
  <c r="J1477" i="1" s="1"/>
  <c r="I2642" i="1"/>
  <c r="K48" i="1"/>
  <c r="D29" i="9" s="1"/>
  <c r="D5" i="10" s="1"/>
  <c r="I2483" i="1"/>
  <c r="N2017" i="1"/>
  <c r="L2192" i="1"/>
  <c r="N103" i="1"/>
  <c r="N130" i="1" s="1"/>
  <c r="J1329" i="1"/>
  <c r="J1331" i="1" s="1"/>
  <c r="J1356" i="1" s="1"/>
  <c r="I2676" i="1"/>
  <c r="I2748" i="1"/>
  <c r="I1095" i="1"/>
  <c r="I1097" i="1" s="1"/>
  <c r="M485" i="1"/>
  <c r="J2835" i="1"/>
  <c r="J2837" i="1" s="1"/>
  <c r="I2557" i="1"/>
  <c r="I2614" i="1"/>
  <c r="I2523" i="1"/>
  <c r="I2490" i="1"/>
  <c r="I2457" i="1"/>
  <c r="I2440" i="1"/>
  <c r="K2457" i="1"/>
  <c r="E1153" i="1"/>
  <c r="C1095" i="1"/>
  <c r="C1097" i="1" s="1"/>
  <c r="I2699" i="1"/>
  <c r="I2701" i="1" s="1"/>
  <c r="I2712" i="1" s="1"/>
  <c r="I1956" i="1"/>
  <c r="I1958" i="1" s="1"/>
  <c r="I1960" i="1" s="1"/>
  <c r="I1724" i="1"/>
  <c r="I1726" i="1" s="1"/>
  <c r="I1452" i="1"/>
  <c r="I1454" i="1" s="1"/>
  <c r="I1475" i="1" s="1"/>
  <c r="I1477" i="1" s="1"/>
  <c r="N437" i="1"/>
  <c r="N1921" i="1"/>
  <c r="D3313" i="1"/>
  <c r="J2750" i="1"/>
  <c r="J2752" i="1" s="1"/>
  <c r="J2781" i="1" s="1"/>
  <c r="J2783" i="1" s="1"/>
  <c r="J1245" i="1"/>
  <c r="K2655" i="1"/>
  <c r="J211" i="1"/>
  <c r="J368" i="1"/>
  <c r="K3131" i="1"/>
  <c r="K3133" i="1" s="1"/>
  <c r="K3135" i="1" s="1"/>
  <c r="N387" i="1"/>
  <c r="I1151" i="1"/>
  <c r="C38" i="1"/>
  <c r="J432" i="1"/>
  <c r="I2216" i="1"/>
  <c r="J158" i="1"/>
  <c r="J2184" i="1"/>
  <c r="J2358" i="1"/>
  <c r="J80" i="1"/>
  <c r="J2174" i="1"/>
  <c r="J1596" i="1"/>
  <c r="J1598" i="1" s="1"/>
  <c r="N3287" i="1"/>
  <c r="N3313" i="1" s="1"/>
  <c r="I368" i="1"/>
  <c r="I2449" i="1"/>
  <c r="I201" i="1"/>
  <c r="J2594" i="1"/>
  <c r="J2596" i="1" s="1"/>
  <c r="I2825" i="1"/>
  <c r="K262" i="7"/>
  <c r="J262" i="7" s="1"/>
  <c r="I2540" i="1"/>
  <c r="J2523" i="1"/>
  <c r="L108" i="7"/>
  <c r="K2640" i="1"/>
  <c r="K2642" i="1" s="1"/>
  <c r="L247" i="7"/>
  <c r="L262" i="7" s="1"/>
  <c r="K2604" i="1"/>
  <c r="M209" i="7"/>
  <c r="I2623" i="1"/>
  <c r="J2503" i="1"/>
  <c r="D110" i="7"/>
  <c r="D238" i="7"/>
  <c r="D240" i="7" s="1"/>
  <c r="D112" i="7"/>
  <c r="I2874" i="1"/>
  <c r="I2666" i="1"/>
  <c r="N2507" i="1"/>
  <c r="J25" i="1"/>
  <c r="J28" i="1" s="1"/>
  <c r="K2829" i="1"/>
  <c r="M434" i="7"/>
  <c r="L438" i="7"/>
  <c r="K2915" i="1"/>
  <c r="M520" i="7"/>
  <c r="K2916" i="1"/>
  <c r="M521" i="7"/>
  <c r="K2822" i="1"/>
  <c r="M427" i="7"/>
  <c r="K2928" i="1"/>
  <c r="M533" i="7"/>
  <c r="K355" i="7"/>
  <c r="J345" i="7"/>
  <c r="K2555" i="1"/>
  <c r="M160" i="7"/>
  <c r="K2663" i="1"/>
  <c r="M268" i="7"/>
  <c r="L2646" i="1"/>
  <c r="N251" i="7"/>
  <c r="M253" i="7"/>
  <c r="L2627" i="1"/>
  <c r="N232" i="7"/>
  <c r="M236" i="7"/>
  <c r="K2618" i="1"/>
  <c r="M223" i="7"/>
  <c r="L228" i="7"/>
  <c r="L2608" i="1"/>
  <c r="N213" i="7"/>
  <c r="O2608" i="1" s="1"/>
  <c r="K2537" i="1"/>
  <c r="M142" i="7"/>
  <c r="K2664" i="1"/>
  <c r="M269" i="7"/>
  <c r="K2621" i="1"/>
  <c r="M226" i="7"/>
  <c r="L2611" i="1"/>
  <c r="N216" i="7"/>
  <c r="O2611" i="1" s="1"/>
  <c r="K2548" i="1"/>
  <c r="K2550" i="1" s="1"/>
  <c r="M153" i="7"/>
  <c r="L155" i="7"/>
  <c r="K2475" i="1"/>
  <c r="M80" i="7"/>
  <c r="L2455" i="1"/>
  <c r="N60" i="7"/>
  <c r="O2455" i="1" s="1"/>
  <c r="L2436" i="1"/>
  <c r="N41" i="7"/>
  <c r="O2436" i="1" s="1"/>
  <c r="K2536" i="1"/>
  <c r="L145" i="7"/>
  <c r="M141" i="7"/>
  <c r="K2499" i="1"/>
  <c r="K431" i="1" s="1"/>
  <c r="M104" i="7"/>
  <c r="K2518" i="1"/>
  <c r="M123" i="7"/>
  <c r="K2496" i="1"/>
  <c r="M101" i="7"/>
  <c r="K2480" i="1"/>
  <c r="M85" i="7"/>
  <c r="K2476" i="1"/>
  <c r="K367" i="1" s="1"/>
  <c r="M81" i="7"/>
  <c r="K2447" i="1"/>
  <c r="M52" i="7"/>
  <c r="L2437" i="1"/>
  <c r="N42" i="7"/>
  <c r="O2437" i="1" s="1"/>
  <c r="K2418" i="1"/>
  <c r="K196" i="1" s="1"/>
  <c r="M23" i="7"/>
  <c r="I392" i="1"/>
  <c r="J128" i="7"/>
  <c r="K147" i="7"/>
  <c r="L2500" i="1"/>
  <c r="N105" i="7"/>
  <c r="O2500" i="1" s="1"/>
  <c r="L2481" i="1"/>
  <c r="N86" i="7"/>
  <c r="O2481" i="1" s="1"/>
  <c r="O384" i="1" s="1"/>
  <c r="K2905" i="1"/>
  <c r="M510" i="7"/>
  <c r="L515" i="7"/>
  <c r="K2930" i="1"/>
  <c r="M535" i="7"/>
  <c r="K2821" i="1"/>
  <c r="M426" i="7"/>
  <c r="K2927" i="1"/>
  <c r="M532" i="7"/>
  <c r="L537" i="7"/>
  <c r="K2831" i="1"/>
  <c r="M436" i="7"/>
  <c r="K487" i="7"/>
  <c r="J479" i="7"/>
  <c r="K2823" i="1"/>
  <c r="M428" i="7"/>
  <c r="K2673" i="1"/>
  <c r="K434" i="1" s="1"/>
  <c r="M278" i="7"/>
  <c r="L2673" i="1" s="1"/>
  <c r="L434" i="1" s="1"/>
  <c r="L2652" i="1"/>
  <c r="N257" i="7"/>
  <c r="M260" i="7"/>
  <c r="L2629" i="1"/>
  <c r="N234" i="7"/>
  <c r="O2629" i="1" s="1"/>
  <c r="L2610" i="1"/>
  <c r="N215" i="7"/>
  <c r="O2610" i="1" s="1"/>
  <c r="K2737" i="1"/>
  <c r="M342" i="7"/>
  <c r="K2674" i="1"/>
  <c r="M279" i="7"/>
  <c r="K2516" i="1"/>
  <c r="M121" i="7"/>
  <c r="K2501" i="1"/>
  <c r="M106" i="7"/>
  <c r="L2438" i="1"/>
  <c r="N43" i="7"/>
  <c r="O2438" i="1" s="1"/>
  <c r="K2417" i="1"/>
  <c r="K195" i="1" s="1"/>
  <c r="M22" i="7"/>
  <c r="J429" i="1"/>
  <c r="I2423" i="1"/>
  <c r="I2425" i="1" s="1"/>
  <c r="I2427" i="1" s="1"/>
  <c r="K2929" i="1"/>
  <c r="M534" i="7"/>
  <c r="K2820" i="1"/>
  <c r="M425" i="7"/>
  <c r="L430" i="7"/>
  <c r="L440" i="7" s="1"/>
  <c r="L442" i="7" s="1"/>
  <c r="K2906" i="1"/>
  <c r="M511" i="7"/>
  <c r="J2858" i="1"/>
  <c r="J463" i="7"/>
  <c r="I2858" i="1" s="1"/>
  <c r="K2907" i="1"/>
  <c r="M512" i="7"/>
  <c r="K2766" i="1"/>
  <c r="M371" i="7"/>
  <c r="K2908" i="1"/>
  <c r="M513" i="7"/>
  <c r="L2738" i="1"/>
  <c r="N343" i="7"/>
  <c r="O2738" i="1" s="1"/>
  <c r="K2605" i="1"/>
  <c r="M210" i="7"/>
  <c r="K2736" i="1"/>
  <c r="M341" i="7"/>
  <c r="K546" i="7"/>
  <c r="J294" i="7"/>
  <c r="J546" i="7" s="1"/>
  <c r="K2671" i="1"/>
  <c r="M276" i="7"/>
  <c r="L2640" i="1"/>
  <c r="L2642" i="1" s="1"/>
  <c r="N245" i="7"/>
  <c r="M247" i="7"/>
  <c r="J219" i="7"/>
  <c r="K238" i="7"/>
  <c r="L2606" i="1"/>
  <c r="N211" i="7"/>
  <c r="O2606" i="1" s="1"/>
  <c r="L2529" i="1"/>
  <c r="N134" i="7"/>
  <c r="O2529" i="1" s="1"/>
  <c r="K2735" i="1"/>
  <c r="M340" i="7"/>
  <c r="L345" i="7"/>
  <c r="K2672" i="1"/>
  <c r="M277" i="7"/>
  <c r="L2653" i="1"/>
  <c r="L332" i="1" s="1"/>
  <c r="N258" i="7"/>
  <c r="O2653" i="1" s="1"/>
  <c r="O332" i="1" s="1"/>
  <c r="L2609" i="1"/>
  <c r="N214" i="7"/>
  <c r="O2609" i="1" s="1"/>
  <c r="K2538" i="1"/>
  <c r="M143" i="7"/>
  <c r="L2498" i="1"/>
  <c r="N103" i="7"/>
  <c r="O2498" i="1" s="1"/>
  <c r="K2479" i="1"/>
  <c r="M84" i="7"/>
  <c r="L2473" i="1"/>
  <c r="N78" i="7"/>
  <c r="L2453" i="1"/>
  <c r="M62" i="7"/>
  <c r="N58" i="7"/>
  <c r="K2444" i="1"/>
  <c r="L54" i="7"/>
  <c r="M49" i="7"/>
  <c r="L2434" i="1"/>
  <c r="N39" i="7"/>
  <c r="O2434" i="1" s="1"/>
  <c r="K2419" i="1"/>
  <c r="K197" i="1" s="1"/>
  <c r="M24" i="7"/>
  <c r="J72" i="7"/>
  <c r="K74" i="7"/>
  <c r="J74" i="7" s="1"/>
  <c r="K2435" i="1"/>
  <c r="M40" i="7"/>
  <c r="L2494" i="1"/>
  <c r="N99" i="7"/>
  <c r="K2746" i="1"/>
  <c r="M351" i="7"/>
  <c r="K525" i="7"/>
  <c r="J515" i="7"/>
  <c r="K2603" i="1"/>
  <c r="L219" i="7"/>
  <c r="L238" i="7" s="1"/>
  <c r="M208" i="7"/>
  <c r="K2765" i="1"/>
  <c r="K2768" i="1" s="1"/>
  <c r="M370" i="7"/>
  <c r="L373" i="7"/>
  <c r="K2670" i="1"/>
  <c r="L281" i="7"/>
  <c r="M275" i="7"/>
  <c r="L2628" i="1"/>
  <c r="N233" i="7"/>
  <c r="O2628" i="1" s="1"/>
  <c r="K2446" i="1"/>
  <c r="M51" i="7"/>
  <c r="K2421" i="1"/>
  <c r="K199" i="1" s="1"/>
  <c r="M26" i="7"/>
  <c r="L2421" i="1" s="1"/>
  <c r="L199" i="1" s="1"/>
  <c r="K2521" i="1"/>
  <c r="M126" i="7"/>
  <c r="L2454" i="1"/>
  <c r="N59" i="7"/>
  <c r="O2454" i="1" s="1"/>
  <c r="L2528" i="1"/>
  <c r="N133" i="7"/>
  <c r="O2528" i="1" s="1"/>
  <c r="K2495" i="1"/>
  <c r="M100" i="7"/>
  <c r="C485" i="1"/>
  <c r="B48" i="9" s="1"/>
  <c r="B12" i="10" s="1"/>
  <c r="I68" i="1"/>
  <c r="K2914" i="1"/>
  <c r="L523" i="7"/>
  <c r="M519" i="7"/>
  <c r="K2757" i="1"/>
  <c r="K2759" i="1" s="1"/>
  <c r="K2761" i="1" s="1"/>
  <c r="M362" i="7"/>
  <c r="L364" i="7"/>
  <c r="L366" i="7" s="1"/>
  <c r="K2830" i="1"/>
  <c r="M435" i="7"/>
  <c r="K2842" i="1"/>
  <c r="K2844" i="1" s="1"/>
  <c r="K2846" i="1" s="1"/>
  <c r="L449" i="7"/>
  <c r="L451" i="7" s="1"/>
  <c r="M447" i="7"/>
  <c r="K2744" i="1"/>
  <c r="M349" i="7"/>
  <c r="L353" i="7"/>
  <c r="K440" i="7"/>
  <c r="J430" i="7"/>
  <c r="K2850" i="1"/>
  <c r="K2852" i="1" s="1"/>
  <c r="M455" i="7"/>
  <c r="L457" i="7"/>
  <c r="K2745" i="1"/>
  <c r="M350" i="7"/>
  <c r="K2661" i="1"/>
  <c r="M266" i="7"/>
  <c r="L271" i="7"/>
  <c r="K2620" i="1"/>
  <c r="M225" i="7"/>
  <c r="L2612" i="1"/>
  <c r="N217" i="7"/>
  <c r="O2612" i="1" s="1"/>
  <c r="K25" i="1"/>
  <c r="K28" i="1" s="1"/>
  <c r="K2699" i="1"/>
  <c r="K2701" i="1" s="1"/>
  <c r="K2554" i="1"/>
  <c r="M159" i="7"/>
  <c r="L162" i="7"/>
  <c r="K2520" i="1"/>
  <c r="M125" i="7"/>
  <c r="K306" i="7"/>
  <c r="J304" i="7"/>
  <c r="K2662" i="1"/>
  <c r="K361" i="1" s="1"/>
  <c r="M267" i="7"/>
  <c r="K2619" i="1"/>
  <c r="M224" i="7"/>
  <c r="K2527" i="1"/>
  <c r="K2532" i="1" s="1"/>
  <c r="M132" i="7"/>
  <c r="L137" i="7"/>
  <c r="K2477" i="1"/>
  <c r="M82" i="7"/>
  <c r="K2465" i="1"/>
  <c r="K2467" i="1" s="1"/>
  <c r="K2469" i="1" s="1"/>
  <c r="L72" i="7"/>
  <c r="L74" i="7" s="1"/>
  <c r="M70" i="7"/>
  <c r="J45" i="7"/>
  <c r="K64" i="7"/>
  <c r="J64" i="7" s="1"/>
  <c r="J28" i="7"/>
  <c r="K30" i="7"/>
  <c r="K2517" i="1"/>
  <c r="M122" i="7"/>
  <c r="L2530" i="1"/>
  <c r="N135" i="7"/>
  <c r="O2530" i="1" s="1"/>
  <c r="K2497" i="1"/>
  <c r="M102" i="7"/>
  <c r="L88" i="7"/>
  <c r="K2478" i="1"/>
  <c r="M83" i="7"/>
  <c r="K2445" i="1"/>
  <c r="M50" i="7"/>
  <c r="K2420" i="1"/>
  <c r="K198" i="1" s="1"/>
  <c r="M25" i="7"/>
  <c r="K2416" i="1"/>
  <c r="M21" i="7"/>
  <c r="L28" i="7"/>
  <c r="L30" i="7" s="1"/>
  <c r="L32" i="7" s="1"/>
  <c r="K2519" i="1"/>
  <c r="M124" i="7"/>
  <c r="K2515" i="1"/>
  <c r="L128" i="7"/>
  <c r="M120" i="7"/>
  <c r="K2487" i="1"/>
  <c r="K2490" i="1" s="1"/>
  <c r="L95" i="7"/>
  <c r="M92" i="7"/>
  <c r="K2433" i="1"/>
  <c r="M38" i="7"/>
  <c r="L45" i="7"/>
  <c r="H5" i="11"/>
  <c r="M266" i="6"/>
  <c r="M270" i="6" s="1"/>
  <c r="M272" i="6" s="1"/>
  <c r="L2146" i="1"/>
  <c r="F3230" i="1"/>
  <c r="J217" i="1"/>
  <c r="C387" i="1"/>
  <c r="B37" i="9" s="1"/>
  <c r="I232" i="1"/>
  <c r="I216" i="1"/>
  <c r="J2225" i="1"/>
  <c r="I1523" i="1"/>
  <c r="I1525" i="1" s="1"/>
  <c r="I1555" i="1" s="1"/>
  <c r="I1557" i="1" s="1"/>
  <c r="K1095" i="1"/>
  <c r="K1097" i="1" s="1"/>
  <c r="K2152" i="1"/>
  <c r="K2154" i="1" s="1"/>
  <c r="N1095" i="1"/>
  <c r="N1097" i="1" s="1"/>
  <c r="I2101" i="1"/>
  <c r="I2103" i="1" s="1"/>
  <c r="I2126" i="1" s="1"/>
  <c r="I2128" i="1" s="1"/>
  <c r="J3205" i="1"/>
  <c r="M320" i="1"/>
  <c r="I210" i="1"/>
  <c r="J1393" i="1"/>
  <c r="J1395" i="1" s="1"/>
  <c r="J1407" i="1" s="1"/>
  <c r="J1409" i="1" s="1"/>
  <c r="L2017" i="1"/>
  <c r="N687" i="1"/>
  <c r="N689" i="1" s="1"/>
  <c r="J405" i="1"/>
  <c r="J407" i="1" s="1"/>
  <c r="C10" i="9" s="1"/>
  <c r="I3228" i="1"/>
  <c r="K1991" i="1"/>
  <c r="K2184" i="1"/>
  <c r="K2366" i="1"/>
  <c r="K443" i="1"/>
  <c r="D44" i="9" s="1"/>
  <c r="I1993" i="1"/>
  <c r="I1008" i="1"/>
  <c r="I1027" i="1" s="1"/>
  <c r="I1029" i="1" s="1"/>
  <c r="M290" i="1"/>
  <c r="M292" i="1" s="1"/>
  <c r="N290" i="1"/>
  <c r="N292" i="1" s="1"/>
  <c r="H1153" i="1"/>
  <c r="J1882" i="1"/>
  <c r="J1884" i="1" s="1"/>
  <c r="J1973" i="1"/>
  <c r="G1153" i="1"/>
  <c r="I2152" i="1"/>
  <c r="I2154" i="1" s="1"/>
  <c r="I2291" i="1"/>
  <c r="I2293" i="1" s="1"/>
  <c r="I2326" i="1" s="1"/>
  <c r="I2328" i="1" s="1"/>
  <c r="O2389" i="1"/>
  <c r="K2124" i="1"/>
  <c r="K334" i="6"/>
  <c r="J334" i="6" s="1"/>
  <c r="J325" i="6"/>
  <c r="M144" i="6"/>
  <c r="K2026" i="1"/>
  <c r="J346" i="1"/>
  <c r="J2379" i="1"/>
  <c r="K2289" i="1"/>
  <c r="O2362" i="1"/>
  <c r="O2366" i="1" s="1"/>
  <c r="N484" i="6"/>
  <c r="O2190" i="1"/>
  <c r="O2192" i="1" s="1"/>
  <c r="N310" i="6"/>
  <c r="L1991" i="1"/>
  <c r="M395" i="6"/>
  <c r="K2277" i="1"/>
  <c r="M196" i="6"/>
  <c r="K2078" i="1"/>
  <c r="O1979" i="1"/>
  <c r="M1979" i="1"/>
  <c r="M279" i="6"/>
  <c r="K2161" i="1"/>
  <c r="L292" i="6"/>
  <c r="L312" i="6" s="1"/>
  <c r="L314" i="6" s="1"/>
  <c r="M286" i="6"/>
  <c r="K2168" i="1"/>
  <c r="D362" i="6"/>
  <c r="I2009" i="1"/>
  <c r="I2017" i="1" s="1"/>
  <c r="I310" i="1"/>
  <c r="K77" i="6"/>
  <c r="J75" i="6"/>
  <c r="M197" i="6"/>
  <c r="K2079" i="1"/>
  <c r="K488" i="6"/>
  <c r="J486" i="6"/>
  <c r="K58" i="6"/>
  <c r="J38" i="6"/>
  <c r="D56" i="6"/>
  <c r="D58" i="6" s="1"/>
  <c r="J54" i="6"/>
  <c r="I133" i="6"/>
  <c r="J133" i="6"/>
  <c r="N240" i="6"/>
  <c r="O2122" i="1" s="1"/>
  <c r="L2122" i="1"/>
  <c r="K151" i="1"/>
  <c r="C40" i="9"/>
  <c r="J503" i="6"/>
  <c r="N290" i="6"/>
  <c r="O2172" i="1" s="1"/>
  <c r="L2172" i="1"/>
  <c r="O1951" i="1"/>
  <c r="O153" i="1" s="1"/>
  <c r="M1951" i="1"/>
  <c r="M153" i="1" s="1"/>
  <c r="O1970" i="1"/>
  <c r="M1970" i="1"/>
  <c r="N433" i="6"/>
  <c r="L2315" i="1"/>
  <c r="L2317" i="1" s="1"/>
  <c r="M435" i="6"/>
  <c r="M492" i="6"/>
  <c r="K2374" i="1"/>
  <c r="L497" i="6"/>
  <c r="O1977" i="1"/>
  <c r="N99" i="6"/>
  <c r="M1977" i="1"/>
  <c r="L2289" i="1"/>
  <c r="K2192" i="1"/>
  <c r="O1968" i="1"/>
  <c r="M1968" i="1"/>
  <c r="O1986" i="1"/>
  <c r="N108" i="6"/>
  <c r="M1986" i="1"/>
  <c r="M1991" i="1" s="1"/>
  <c r="M188" i="6"/>
  <c r="K2070" i="1"/>
  <c r="L200" i="6"/>
  <c r="M86" i="6"/>
  <c r="K1969" i="1"/>
  <c r="K1973" i="1" s="1"/>
  <c r="L90" i="6"/>
  <c r="L110" i="6" s="1"/>
  <c r="J1956" i="1"/>
  <c r="J1958" i="1" s="1"/>
  <c r="J1960" i="1" s="1"/>
  <c r="J292" i="6"/>
  <c r="J162" i="6"/>
  <c r="I2044" i="1" s="1"/>
  <c r="D164" i="6"/>
  <c r="K181" i="6"/>
  <c r="J179" i="6"/>
  <c r="I1937" i="1"/>
  <c r="I1939" i="1" s="1"/>
  <c r="I97" i="1"/>
  <c r="I103" i="1" s="1"/>
  <c r="F517" i="6"/>
  <c r="F151" i="6"/>
  <c r="K444" i="6"/>
  <c r="J411" i="6"/>
  <c r="D244" i="6"/>
  <c r="D246" i="6" s="1"/>
  <c r="K2237" i="1"/>
  <c r="K2240" i="1" s="1"/>
  <c r="M355" i="6"/>
  <c r="L358" i="6"/>
  <c r="N440" i="6"/>
  <c r="O2322" i="1" s="1"/>
  <c r="L2322" i="1"/>
  <c r="N427" i="6"/>
  <c r="L2309" i="1"/>
  <c r="L2311" i="1" s="1"/>
  <c r="M429" i="6"/>
  <c r="L503" i="6"/>
  <c r="M501" i="6"/>
  <c r="K2383" i="1"/>
  <c r="O2353" i="1"/>
  <c r="O2358" i="1" s="1"/>
  <c r="N476" i="6"/>
  <c r="O1953" i="1"/>
  <c r="O155" i="1" s="1"/>
  <c r="M1953" i="1"/>
  <c r="M155" i="1" s="1"/>
  <c r="L2184" i="1"/>
  <c r="K2099" i="1"/>
  <c r="O1965" i="1"/>
  <c r="M1965" i="1"/>
  <c r="O1966" i="1"/>
  <c r="M1966" i="1"/>
  <c r="M204" i="6"/>
  <c r="K2086" i="1"/>
  <c r="L209" i="6"/>
  <c r="O2286" i="1"/>
  <c r="O2289" i="1" s="1"/>
  <c r="N407" i="6"/>
  <c r="J2029" i="1"/>
  <c r="M393" i="6"/>
  <c r="L399" i="6"/>
  <c r="L409" i="6" s="1"/>
  <c r="L411" i="6" s="1"/>
  <c r="K2275" i="1"/>
  <c r="M508" i="6"/>
  <c r="K2390" i="1"/>
  <c r="K2392" i="1" s="1"/>
  <c r="L510" i="6"/>
  <c r="M67" i="6"/>
  <c r="K1950" i="1"/>
  <c r="K152" i="1" s="1"/>
  <c r="L73" i="6"/>
  <c r="L75" i="6" s="1"/>
  <c r="L77" i="6" s="1"/>
  <c r="M194" i="6"/>
  <c r="K2076" i="1"/>
  <c r="K314" i="6"/>
  <c r="J312" i="6"/>
  <c r="L1982" i="1"/>
  <c r="M206" i="6"/>
  <c r="K2088" i="1"/>
  <c r="J272" i="6"/>
  <c r="H517" i="6"/>
  <c r="H151" i="6"/>
  <c r="D110" i="6"/>
  <c r="J110" i="6" s="1"/>
  <c r="J90" i="6"/>
  <c r="J219" i="6"/>
  <c r="K221" i="6"/>
  <c r="K2321" i="1"/>
  <c r="K2324" i="1" s="1"/>
  <c r="M439" i="6"/>
  <c r="L442" i="6"/>
  <c r="L2121" i="1"/>
  <c r="N239" i="6"/>
  <c r="M242" i="6"/>
  <c r="M320" i="6"/>
  <c r="L325" i="6"/>
  <c r="L334" i="6" s="1"/>
  <c r="K2202" i="1"/>
  <c r="K2207" i="1" s="1"/>
  <c r="K2216" i="1" s="1"/>
  <c r="K1982" i="1"/>
  <c r="M339" i="6"/>
  <c r="K2221" i="1"/>
  <c r="K2225" i="1" s="1"/>
  <c r="L343" i="6"/>
  <c r="O1967" i="1"/>
  <c r="M1967" i="1"/>
  <c r="L2099" i="1"/>
  <c r="J1982" i="1"/>
  <c r="L2366" i="1"/>
  <c r="M139" i="6"/>
  <c r="K2021" i="1"/>
  <c r="L147" i="6"/>
  <c r="M69" i="6"/>
  <c r="K1952" i="1"/>
  <c r="K154" i="1" s="1"/>
  <c r="M191" i="6"/>
  <c r="K2073" i="1"/>
  <c r="N354" i="6"/>
  <c r="L2236" i="1"/>
  <c r="L2358" i="1"/>
  <c r="O1978" i="1"/>
  <c r="M1978" i="1"/>
  <c r="J270" i="6"/>
  <c r="E517" i="6"/>
  <c r="E151" i="6"/>
  <c r="J121" i="6"/>
  <c r="D135" i="6"/>
  <c r="J135" i="6" s="1"/>
  <c r="J200" i="8"/>
  <c r="K202" i="8"/>
  <c r="N189" i="7"/>
  <c r="M111" i="17"/>
  <c r="M191" i="7"/>
  <c r="L2584" i="1"/>
  <c r="L2586" i="1" s="1"/>
  <c r="K2584" i="1"/>
  <c r="K2586" i="1" s="1"/>
  <c r="L191" i="7"/>
  <c r="L124" i="17"/>
  <c r="L132" i="17" s="1"/>
  <c r="L134" i="17" s="1"/>
  <c r="M95" i="3"/>
  <c r="M119" i="17"/>
  <c r="J122" i="1"/>
  <c r="K987" i="1"/>
  <c r="L97" i="3"/>
  <c r="L99" i="3" s="1"/>
  <c r="L301" i="3" s="1"/>
  <c r="I1825" i="1"/>
  <c r="I1827" i="1" s="1"/>
  <c r="I1837" i="1" s="1"/>
  <c r="I1839" i="1" s="1"/>
  <c r="J1825" i="1"/>
  <c r="J1827" i="1" s="1"/>
  <c r="J1837" i="1" s="1"/>
  <c r="J1839" i="1" s="1"/>
  <c r="I1245" i="1"/>
  <c r="I1247" i="1" s="1"/>
  <c r="I1290" i="1" s="1"/>
  <c r="I1292" i="1" s="1"/>
  <c r="C3425" i="1"/>
  <c r="H3230" i="1"/>
  <c r="J46" i="1"/>
  <c r="I1177" i="1"/>
  <c r="J2920" i="1"/>
  <c r="J2922" i="1" s="1"/>
  <c r="J2934" i="1" s="1"/>
  <c r="J2936" i="1" s="1"/>
  <c r="J859" i="1"/>
  <c r="J706" i="1"/>
  <c r="J223" i="1"/>
  <c r="I239" i="1"/>
  <c r="C1075" i="1"/>
  <c r="I1774" i="1"/>
  <c r="I1776" i="1" s="1"/>
  <c r="I1787" i="1" s="1"/>
  <c r="I1789" i="1" s="1"/>
  <c r="G3313" i="1"/>
  <c r="I908" i="1"/>
  <c r="I910" i="1" s="1"/>
  <c r="I912" i="1" s="1"/>
  <c r="I1185" i="1"/>
  <c r="J1142" i="1"/>
  <c r="J1185" i="1"/>
  <c r="I1049" i="1"/>
  <c r="I1057" i="1" s="1"/>
  <c r="I218" i="1"/>
  <c r="J6" i="11"/>
  <c r="J7" i="11"/>
  <c r="J14" i="11"/>
  <c r="H9" i="11"/>
  <c r="J11" i="11"/>
  <c r="J9" i="11"/>
  <c r="J8" i="11"/>
  <c r="J677" i="1"/>
  <c r="I240" i="1"/>
  <c r="I1393" i="1"/>
  <c r="I1395" i="1" s="1"/>
  <c r="I1407" i="1" s="1"/>
  <c r="I1409" i="1" s="1"/>
  <c r="F1153" i="1"/>
  <c r="J219" i="1"/>
  <c r="C1153" i="1"/>
  <c r="J1095" i="1"/>
  <c r="J1097" i="1" s="1"/>
  <c r="J1177" i="1"/>
  <c r="J423" i="1"/>
  <c r="I928" i="1"/>
  <c r="I947" i="1" s="1"/>
  <c r="J960" i="1"/>
  <c r="N485" i="1"/>
  <c r="D3230" i="1"/>
  <c r="N203" i="1"/>
  <c r="N205" i="1" s="1"/>
  <c r="I425" i="1"/>
  <c r="J685" i="1"/>
  <c r="J218" i="1"/>
  <c r="J411" i="1"/>
  <c r="J413" i="1" s="1"/>
  <c r="C11" i="9" s="1"/>
  <c r="J224" i="1"/>
  <c r="D1153" i="1"/>
  <c r="I372" i="1"/>
  <c r="J968" i="1"/>
  <c r="J937" i="1"/>
  <c r="J1057" i="1"/>
  <c r="J928" i="1"/>
  <c r="I2594" i="1"/>
  <c r="I1921" i="1"/>
  <c r="J2017" i="1"/>
  <c r="M237" i="3"/>
  <c r="K1129" i="1"/>
  <c r="K1174" i="1"/>
  <c r="M282" i="3"/>
  <c r="K1139" i="1"/>
  <c r="M247" i="3"/>
  <c r="L250" i="3"/>
  <c r="K1119" i="1"/>
  <c r="M227" i="3"/>
  <c r="K1181" i="1"/>
  <c r="M289" i="3"/>
  <c r="L293" i="3"/>
  <c r="K1021" i="1"/>
  <c r="M129" i="3"/>
  <c r="L133" i="3"/>
  <c r="K1001" i="1"/>
  <c r="M109" i="3"/>
  <c r="K966" i="1"/>
  <c r="M74" i="3"/>
  <c r="K958" i="1"/>
  <c r="K381" i="1" s="1"/>
  <c r="M66" i="3"/>
  <c r="K1118" i="1"/>
  <c r="M226" i="3"/>
  <c r="L231" i="3"/>
  <c r="K1004" i="1"/>
  <c r="M112" i="3"/>
  <c r="K295" i="3"/>
  <c r="J285" i="3"/>
  <c r="K1022" i="1"/>
  <c r="M130" i="3"/>
  <c r="K135" i="3"/>
  <c r="J116" i="3"/>
  <c r="K933" i="1"/>
  <c r="M41" i="3"/>
  <c r="K905" i="1"/>
  <c r="K176" i="1" s="1"/>
  <c r="M13" i="3"/>
  <c r="J145" i="3"/>
  <c r="K165" i="3"/>
  <c r="J165" i="3" s="1"/>
  <c r="K964" i="1"/>
  <c r="M72" i="3"/>
  <c r="L76" i="3"/>
  <c r="K942" i="1"/>
  <c r="M50" i="3"/>
  <c r="K926" i="1"/>
  <c r="M34" i="3"/>
  <c r="K918" i="1"/>
  <c r="M26" i="3"/>
  <c r="K957" i="1"/>
  <c r="M65" i="3"/>
  <c r="K919" i="1"/>
  <c r="M27" i="3"/>
  <c r="J341" i="1"/>
  <c r="J216" i="1"/>
  <c r="J212" i="1"/>
  <c r="I230" i="1"/>
  <c r="J213" i="1"/>
  <c r="I1067" i="1"/>
  <c r="J1151" i="1"/>
  <c r="K1183" i="1"/>
  <c r="M291" i="3"/>
  <c r="J205" i="3"/>
  <c r="M280" i="3"/>
  <c r="L285" i="3"/>
  <c r="K1172" i="1"/>
  <c r="K1127" i="1"/>
  <c r="M235" i="3"/>
  <c r="L239" i="3"/>
  <c r="K1065" i="1"/>
  <c r="M173" i="3"/>
  <c r="J259" i="3"/>
  <c r="K1140" i="1"/>
  <c r="M248" i="3"/>
  <c r="M121" i="3"/>
  <c r="K1013" i="1"/>
  <c r="K920" i="1"/>
  <c r="M28" i="3"/>
  <c r="I1123" i="1"/>
  <c r="I1133" i="1" s="1"/>
  <c r="I1135" i="1" s="1"/>
  <c r="K1012" i="1"/>
  <c r="M120" i="3"/>
  <c r="L125" i="3"/>
  <c r="K1173" i="1"/>
  <c r="M281" i="3"/>
  <c r="J1067" i="1"/>
  <c r="K1014" i="1"/>
  <c r="M122" i="3"/>
  <c r="J1008" i="1"/>
  <c r="K941" i="1"/>
  <c r="M49" i="3"/>
  <c r="L53" i="3"/>
  <c r="K925" i="1"/>
  <c r="M33" i="3"/>
  <c r="L36" i="3"/>
  <c r="K917" i="1"/>
  <c r="M25" i="3"/>
  <c r="M143" i="3"/>
  <c r="K1035" i="1"/>
  <c r="L145" i="3"/>
  <c r="L165" i="3" s="1"/>
  <c r="K934" i="1"/>
  <c r="M42" i="3"/>
  <c r="K922" i="1"/>
  <c r="M30" i="3"/>
  <c r="K902" i="1"/>
  <c r="M10" i="3"/>
  <c r="L16" i="3"/>
  <c r="L18" i="3" s="1"/>
  <c r="L20" i="3" s="1"/>
  <c r="K1000" i="1"/>
  <c r="M108" i="3"/>
  <c r="K943" i="1"/>
  <c r="M51" i="3"/>
  <c r="K903" i="1"/>
  <c r="K174" i="1" s="1"/>
  <c r="M11" i="3"/>
  <c r="K935" i="1"/>
  <c r="M43" i="3"/>
  <c r="J215" i="1"/>
  <c r="I212" i="1"/>
  <c r="M179" i="3"/>
  <c r="K1071" i="1"/>
  <c r="K1073" i="1" s="1"/>
  <c r="L181" i="3"/>
  <c r="K1149" i="1"/>
  <c r="M257" i="3"/>
  <c r="J203" i="3"/>
  <c r="K1005" i="1"/>
  <c r="M113" i="3"/>
  <c r="K932" i="1"/>
  <c r="M40" i="3"/>
  <c r="L45" i="3"/>
  <c r="K904" i="1"/>
  <c r="K175" i="1" s="1"/>
  <c r="M12" i="3"/>
  <c r="J1123" i="1"/>
  <c r="K923" i="1"/>
  <c r="M31" i="3"/>
  <c r="J1025" i="1"/>
  <c r="K1006" i="1"/>
  <c r="M114" i="3"/>
  <c r="K998" i="1"/>
  <c r="M106" i="3"/>
  <c r="L116" i="3"/>
  <c r="K953" i="1"/>
  <c r="M61" i="3"/>
  <c r="L68" i="3"/>
  <c r="M29" i="3"/>
  <c r="K921" i="1"/>
  <c r="K965" i="1"/>
  <c r="M73" i="3"/>
  <c r="K1120" i="1"/>
  <c r="M228" i="3"/>
  <c r="K1015" i="1"/>
  <c r="M123" i="3"/>
  <c r="K999" i="1"/>
  <c r="M107" i="3"/>
  <c r="K956" i="1"/>
  <c r="M64" i="3"/>
  <c r="K906" i="1"/>
  <c r="K177" i="1" s="1"/>
  <c r="M14" i="3"/>
  <c r="D183" i="3"/>
  <c r="I233" i="1"/>
  <c r="M229" i="3"/>
  <c r="K1121" i="1"/>
  <c r="K1182" i="1"/>
  <c r="M290" i="3"/>
  <c r="K1063" i="1"/>
  <c r="L175" i="3"/>
  <c r="M171" i="3"/>
  <c r="K1147" i="1"/>
  <c r="M255" i="3"/>
  <c r="J1131" i="1"/>
  <c r="K1175" i="1"/>
  <c r="M283" i="3"/>
  <c r="K1146" i="1"/>
  <c r="M254" i="3"/>
  <c r="L259" i="3"/>
  <c r="K924" i="1"/>
  <c r="M32" i="3"/>
  <c r="K241" i="3"/>
  <c r="J231" i="3"/>
  <c r="J1017" i="1"/>
  <c r="K1128" i="1"/>
  <c r="M236" i="3"/>
  <c r="J157" i="3"/>
  <c r="K1002" i="1"/>
  <c r="M110" i="3"/>
  <c r="J945" i="1"/>
  <c r="J163" i="3"/>
  <c r="I317" i="1"/>
  <c r="K1023" i="1"/>
  <c r="M131" i="3"/>
  <c r="K1003" i="1"/>
  <c r="M111" i="3"/>
  <c r="K18" i="3"/>
  <c r="J16" i="3"/>
  <c r="J173" i="1"/>
  <c r="J179" i="1" s="1"/>
  <c r="J908" i="1"/>
  <c r="J910" i="1" s="1"/>
  <c r="J912" i="1" s="1"/>
  <c r="K1148" i="1"/>
  <c r="M256" i="3"/>
  <c r="J301" i="3"/>
  <c r="K55" i="3"/>
  <c r="M1061" i="1"/>
  <c r="O1061" i="1"/>
  <c r="M333" i="1"/>
  <c r="M1055" i="1"/>
  <c r="M1057" i="1" s="1"/>
  <c r="O1055" i="1"/>
  <c r="O333" i="1"/>
  <c r="N226" i="1"/>
  <c r="I1702" i="1"/>
  <c r="I1704" i="1" s="1"/>
  <c r="E3313" i="1"/>
  <c r="J851" i="1"/>
  <c r="I2368" i="1"/>
  <c r="I2370" i="1" s="1"/>
  <c r="I2394" i="1" s="1"/>
  <c r="I2396" i="1" s="1"/>
  <c r="I1596" i="1"/>
  <c r="I1598" i="1" s="1"/>
  <c r="N235" i="1"/>
  <c r="J367" i="2"/>
  <c r="K377" i="2"/>
  <c r="K523" i="1"/>
  <c r="M39" i="2"/>
  <c r="K539" i="1"/>
  <c r="M55" i="2"/>
  <c r="K769" i="1"/>
  <c r="M285" i="2"/>
  <c r="N76" i="2"/>
  <c r="K576" i="1"/>
  <c r="M92" i="2"/>
  <c r="L111" i="2"/>
  <c r="K593" i="1"/>
  <c r="K383" i="1" s="1"/>
  <c r="M109" i="2"/>
  <c r="J424" i="1"/>
  <c r="J733" i="1"/>
  <c r="K548" i="1"/>
  <c r="M64" i="2"/>
  <c r="M197" i="2"/>
  <c r="K681" i="1"/>
  <c r="L201" i="2"/>
  <c r="J287" i="2"/>
  <c r="K297" i="2"/>
  <c r="M317" i="2"/>
  <c r="K801" i="1"/>
  <c r="K731" i="1"/>
  <c r="M247" i="2"/>
  <c r="K856" i="1"/>
  <c r="M372" i="2"/>
  <c r="K503" i="1"/>
  <c r="M19" i="2"/>
  <c r="L26" i="2"/>
  <c r="L28" i="2" s="1"/>
  <c r="L30" i="2" s="1"/>
  <c r="M37" i="2"/>
  <c r="K521" i="1"/>
  <c r="K545" i="1"/>
  <c r="M61" i="2"/>
  <c r="L66" i="2"/>
  <c r="K682" i="1"/>
  <c r="M198" i="2"/>
  <c r="K775" i="1"/>
  <c r="M291" i="2"/>
  <c r="L295" i="2"/>
  <c r="K583" i="1"/>
  <c r="M107" i="2"/>
  <c r="J232" i="1"/>
  <c r="K776" i="1"/>
  <c r="M292" i="2"/>
  <c r="J328" i="1"/>
  <c r="J793" i="1"/>
  <c r="J795" i="1" s="1"/>
  <c r="K607" i="1"/>
  <c r="M123" i="2"/>
  <c r="L127" i="2"/>
  <c r="I423" i="1"/>
  <c r="I811" i="1"/>
  <c r="K857" i="1"/>
  <c r="M373" i="2"/>
  <c r="K68" i="2"/>
  <c r="J48" i="2"/>
  <c r="M38" i="2"/>
  <c r="K522" i="1"/>
  <c r="K215" i="1" s="1"/>
  <c r="K530" i="1"/>
  <c r="M46" i="2"/>
  <c r="K768" i="1"/>
  <c r="M284" i="2"/>
  <c r="I231" i="1"/>
  <c r="I878" i="1"/>
  <c r="J399" i="2"/>
  <c r="M315" i="2"/>
  <c r="K799" i="1"/>
  <c r="L319" i="2"/>
  <c r="K546" i="1"/>
  <c r="M62" i="2"/>
  <c r="L546" i="1" s="1"/>
  <c r="K849" i="1"/>
  <c r="M365" i="2"/>
  <c r="K30" i="2"/>
  <c r="J28" i="2"/>
  <c r="J233" i="1"/>
  <c r="K672" i="1"/>
  <c r="M188" i="2"/>
  <c r="L193" i="2"/>
  <c r="K562" i="1"/>
  <c r="L214" i="2"/>
  <c r="M212" i="2"/>
  <c r="K696" i="1"/>
  <c r="J350" i="1"/>
  <c r="J595" i="1"/>
  <c r="M116" i="2"/>
  <c r="K600" i="1"/>
  <c r="K730" i="1"/>
  <c r="M246" i="2"/>
  <c r="L249" i="2"/>
  <c r="K855" i="1"/>
  <c r="M371" i="2"/>
  <c r="L375" i="2"/>
  <c r="K452" i="1"/>
  <c r="K485" i="1" s="1"/>
  <c r="K823" i="1"/>
  <c r="K506" i="1"/>
  <c r="K165" i="1" s="1"/>
  <c r="M22" i="2"/>
  <c r="K524" i="1"/>
  <c r="M40" i="2"/>
  <c r="K536" i="1"/>
  <c r="M52" i="2"/>
  <c r="L57" i="2"/>
  <c r="J242" i="1"/>
  <c r="M98" i="2"/>
  <c r="K582" i="1"/>
  <c r="K601" i="1"/>
  <c r="K393" i="1" s="1"/>
  <c r="M117" i="2"/>
  <c r="J162" i="1"/>
  <c r="J169" i="1" s="1"/>
  <c r="J510" i="1"/>
  <c r="J512" i="1" s="1"/>
  <c r="J514" i="1" s="1"/>
  <c r="K529" i="1"/>
  <c r="M45" i="2"/>
  <c r="J239" i="1"/>
  <c r="J550" i="1"/>
  <c r="J779" i="1"/>
  <c r="K578" i="1"/>
  <c r="K354" i="1" s="1"/>
  <c r="M94" i="2"/>
  <c r="M305" i="2"/>
  <c r="L309" i="2"/>
  <c r="L311" i="2" s="1"/>
  <c r="K789" i="1"/>
  <c r="J611" i="1"/>
  <c r="K579" i="1"/>
  <c r="K360" i="1" s="1"/>
  <c r="M95" i="2"/>
  <c r="J811" i="1"/>
  <c r="J210" i="1"/>
  <c r="J532" i="1"/>
  <c r="M42" i="2"/>
  <c r="K526" i="1"/>
  <c r="K599" i="1"/>
  <c r="M115" i="2"/>
  <c r="L119" i="2"/>
  <c r="K592" i="1"/>
  <c r="K382" i="1" s="1"/>
  <c r="M108" i="2"/>
  <c r="J883" i="1"/>
  <c r="M219" i="2"/>
  <c r="L222" i="2"/>
  <c r="K703" i="1"/>
  <c r="D30" i="2"/>
  <c r="I28" i="2"/>
  <c r="J240" i="1"/>
  <c r="K846" i="1"/>
  <c r="M362" i="2"/>
  <c r="L367" i="2"/>
  <c r="K519" i="1"/>
  <c r="M35" i="2"/>
  <c r="K547" i="1"/>
  <c r="K241" i="1" s="1"/>
  <c r="M63" i="2"/>
  <c r="J193" i="2"/>
  <c r="K203" i="2"/>
  <c r="K777" i="1"/>
  <c r="M293" i="2"/>
  <c r="K580" i="1"/>
  <c r="M96" i="2"/>
  <c r="M316" i="2"/>
  <c r="K800" i="1"/>
  <c r="K608" i="1"/>
  <c r="M124" i="2"/>
  <c r="K808" i="1"/>
  <c r="M324" i="2"/>
  <c r="J230" i="1"/>
  <c r="J541" i="1"/>
  <c r="K766" i="1"/>
  <c r="M282" i="2"/>
  <c r="L287" i="2"/>
  <c r="K88" i="2"/>
  <c r="J78" i="2"/>
  <c r="M307" i="2"/>
  <c r="K791" i="1"/>
  <c r="J372" i="1"/>
  <c r="M325" i="2"/>
  <c r="K809" i="1"/>
  <c r="K848" i="1"/>
  <c r="M364" i="2"/>
  <c r="K879" i="1"/>
  <c r="M395" i="2"/>
  <c r="K525" i="1"/>
  <c r="M41" i="2"/>
  <c r="K537" i="1"/>
  <c r="M53" i="2"/>
  <c r="K674" i="1"/>
  <c r="M190" i="2"/>
  <c r="K767" i="1"/>
  <c r="M283" i="2"/>
  <c r="K566" i="1"/>
  <c r="M82" i="2"/>
  <c r="L86" i="2"/>
  <c r="L88" i="2" s="1"/>
  <c r="J309" i="2"/>
  <c r="K311" i="2"/>
  <c r="J311" i="2" s="1"/>
  <c r="M323" i="2"/>
  <c r="K807" i="1"/>
  <c r="L327" i="2"/>
  <c r="M34" i="2"/>
  <c r="K518" i="1"/>
  <c r="L48" i="2"/>
  <c r="M191" i="2"/>
  <c r="K675" i="1"/>
  <c r="J391" i="1"/>
  <c r="J603" i="1"/>
  <c r="I298" i="1"/>
  <c r="I312" i="1"/>
  <c r="I698" i="1"/>
  <c r="M394" i="2"/>
  <c r="K878" i="1"/>
  <c r="L399" i="2"/>
  <c r="C510" i="1"/>
  <c r="C512" i="1" s="1"/>
  <c r="C514" i="1" s="1"/>
  <c r="C554" i="1" s="1"/>
  <c r="L821" i="1"/>
  <c r="L464" i="1" s="1"/>
  <c r="N337" i="2"/>
  <c r="K224" i="2"/>
  <c r="J224" i="2" s="1"/>
  <c r="J214" i="2"/>
  <c r="I677" i="1"/>
  <c r="K505" i="1"/>
  <c r="K164" i="1" s="1"/>
  <c r="M21" i="2"/>
  <c r="K527" i="1"/>
  <c r="M43" i="2"/>
  <c r="K568" i="1"/>
  <c r="M84" i="2"/>
  <c r="M306" i="2"/>
  <c r="K790" i="1"/>
  <c r="K847" i="1"/>
  <c r="M363" i="2"/>
  <c r="M396" i="2"/>
  <c r="K880" i="1"/>
  <c r="L452" i="1"/>
  <c r="M36" i="2"/>
  <c r="K520" i="1"/>
  <c r="M44" i="2"/>
  <c r="K528" i="1"/>
  <c r="K222" i="1" s="1"/>
  <c r="M189" i="2"/>
  <c r="K673" i="1"/>
  <c r="J771" i="1"/>
  <c r="K577" i="1"/>
  <c r="K351" i="1" s="1"/>
  <c r="M93" i="2"/>
  <c r="J425" i="1"/>
  <c r="M23" i="2"/>
  <c r="K507" i="1"/>
  <c r="K166" i="1" s="1"/>
  <c r="J231" i="1"/>
  <c r="J329" i="1"/>
  <c r="J570" i="1"/>
  <c r="J572" i="1" s="1"/>
  <c r="K504" i="1"/>
  <c r="K163" i="1" s="1"/>
  <c r="M20" i="2"/>
  <c r="K538" i="1"/>
  <c r="M54" i="2"/>
  <c r="K683" i="1"/>
  <c r="M199" i="2"/>
  <c r="I328" i="1"/>
  <c r="I793" i="1"/>
  <c r="I795" i="1" s="1"/>
  <c r="C41" i="9"/>
  <c r="J127" i="2"/>
  <c r="M83" i="2"/>
  <c r="K567" i="1"/>
  <c r="D377" i="2"/>
  <c r="D379" i="2" s="1"/>
  <c r="D407" i="2" s="1"/>
  <c r="D409" i="2" s="1"/>
  <c r="J349" i="1"/>
  <c r="J803" i="1"/>
  <c r="I685" i="1"/>
  <c r="J298" i="1"/>
  <c r="J698" i="1"/>
  <c r="I470" i="1"/>
  <c r="L12" i="11"/>
  <c r="L10" i="11"/>
  <c r="L9" i="11"/>
  <c r="L8" i="11"/>
  <c r="L6" i="11"/>
  <c r="L5" i="11"/>
  <c r="L4" i="11"/>
  <c r="L14" i="11"/>
  <c r="L7" i="11"/>
  <c r="F7" i="24"/>
  <c r="F8" i="24"/>
  <c r="H7" i="24"/>
  <c r="K1648" i="1" l="1"/>
  <c r="K1235" i="1"/>
  <c r="K2901" i="1"/>
  <c r="K1442" i="1"/>
  <c r="K1868" i="1"/>
  <c r="K1870" i="1" s="1"/>
  <c r="K1872" i="1" s="1"/>
  <c r="K1405" i="1"/>
  <c r="K285" i="1"/>
  <c r="K1354" i="1"/>
  <c r="L33" i="1"/>
  <c r="L38" i="1" s="1"/>
  <c r="L48" i="1" s="1"/>
  <c r="E29" i="9" s="1"/>
  <c r="E5" i="10" s="1"/>
  <c r="L2406" i="1"/>
  <c r="L2408" i="1" s="1"/>
  <c r="L979" i="1"/>
  <c r="M89" i="3"/>
  <c r="L2696" i="1"/>
  <c r="M304" i="7"/>
  <c r="M306" i="7" s="1"/>
  <c r="K78" i="1"/>
  <c r="K80" i="1" s="1"/>
  <c r="K981" i="1"/>
  <c r="M162" i="2"/>
  <c r="M164" i="2" s="1"/>
  <c r="M166" i="2" s="1"/>
  <c r="M412" i="2" s="1"/>
  <c r="L644" i="1"/>
  <c r="L3348" i="1"/>
  <c r="M417" i="8"/>
  <c r="M425" i="8" s="1"/>
  <c r="M427" i="8" s="1"/>
  <c r="M2878" i="1"/>
  <c r="N485" i="7"/>
  <c r="O3444" i="1"/>
  <c r="O3446" i="1" s="1"/>
  <c r="O3448" i="1" s="1"/>
  <c r="O3450" i="1" s="1"/>
  <c r="M3444" i="1"/>
  <c r="M3446" i="1" s="1"/>
  <c r="M3448" i="1" s="1"/>
  <c r="M3450" i="1" s="1"/>
  <c r="N513" i="8"/>
  <c r="N515" i="8" s="1"/>
  <c r="N517" i="8" s="1"/>
  <c r="M301" i="1"/>
  <c r="M2003" i="1"/>
  <c r="M2017" i="1" s="1"/>
  <c r="O2795" i="1"/>
  <c r="N402" i="7"/>
  <c r="N404" i="7" s="1"/>
  <c r="N406" i="7" s="1"/>
  <c r="M28" i="17"/>
  <c r="N311" i="7"/>
  <c r="M130" i="17"/>
  <c r="O24" i="1"/>
  <c r="O2570" i="1"/>
  <c r="O2572" i="1" s="1"/>
  <c r="N8" i="6"/>
  <c r="M18" i="17"/>
  <c r="M50" i="17" s="1"/>
  <c r="O113" i="1"/>
  <c r="O1093" i="1"/>
  <c r="O1095" i="1" s="1"/>
  <c r="O1097" i="1" s="1"/>
  <c r="K2708" i="1"/>
  <c r="K2710" i="1" s="1"/>
  <c r="K2712" i="1" s="1"/>
  <c r="K126" i="1"/>
  <c r="K128" i="1" s="1"/>
  <c r="M324" i="1"/>
  <c r="M2015" i="1"/>
  <c r="L55" i="3"/>
  <c r="M333" i="8"/>
  <c r="M335" i="8" s="1"/>
  <c r="M337" i="8" s="1"/>
  <c r="L55" i="4"/>
  <c r="L57" i="4" s="1"/>
  <c r="O77" i="1"/>
  <c r="O2057" i="1"/>
  <c r="O2061" i="1" s="1"/>
  <c r="O2063" i="1" s="1"/>
  <c r="L3444" i="1"/>
  <c r="L3446" i="1" s="1"/>
  <c r="L3448" i="1" s="1"/>
  <c r="L3450" i="1" s="1"/>
  <c r="M513" i="8"/>
  <c r="M515" i="8" s="1"/>
  <c r="M517" i="8" s="1"/>
  <c r="K8" i="1"/>
  <c r="K18" i="1" s="1"/>
  <c r="K50" i="1" s="1"/>
  <c r="K1902" i="1"/>
  <c r="K1921" i="1" s="1"/>
  <c r="K1941" i="1" s="1"/>
  <c r="L2795" i="1"/>
  <c r="M402" i="7"/>
  <c r="M404" i="7" s="1"/>
  <c r="M406" i="7" s="1"/>
  <c r="L113" i="1"/>
  <c r="L1093" i="1"/>
  <c r="L1095" i="1" s="1"/>
  <c r="L1097" i="1" s="1"/>
  <c r="N261" i="8"/>
  <c r="N272" i="8" s="1"/>
  <c r="O3192" i="1"/>
  <c r="L73" i="1"/>
  <c r="L2142" i="1"/>
  <c r="L2706" i="1"/>
  <c r="M313" i="7"/>
  <c r="M315" i="7" s="1"/>
  <c r="O2872" i="1"/>
  <c r="N479" i="7"/>
  <c r="N487" i="7" s="1"/>
  <c r="N489" i="7" s="1"/>
  <c r="L1891" i="1"/>
  <c r="M19" i="6"/>
  <c r="M38" i="6" s="1"/>
  <c r="M58" i="6" s="1"/>
  <c r="M1093" i="1"/>
  <c r="M1095" i="1" s="1"/>
  <c r="M1097" i="1" s="1"/>
  <c r="M113" i="1"/>
  <c r="M122" i="1" s="1"/>
  <c r="O1929" i="1"/>
  <c r="M1929" i="1"/>
  <c r="N48" i="6"/>
  <c r="N56" i="6" s="1"/>
  <c r="O324" i="1"/>
  <c r="O2015" i="1"/>
  <c r="M517" i="6"/>
  <c r="O979" i="1"/>
  <c r="N89" i="3"/>
  <c r="M2696" i="1"/>
  <c r="N304" i="7"/>
  <c r="N306" i="7" s="1"/>
  <c r="O2696" i="1"/>
  <c r="O2003" i="1"/>
  <c r="O2017" i="1" s="1"/>
  <c r="O301" i="1"/>
  <c r="N160" i="2"/>
  <c r="M105" i="17"/>
  <c r="L2872" i="1"/>
  <c r="M479" i="7"/>
  <c r="M487" i="7" s="1"/>
  <c r="M489" i="7" s="1"/>
  <c r="N415" i="8"/>
  <c r="M94" i="17"/>
  <c r="O74" i="1"/>
  <c r="O2880" i="1"/>
  <c r="J1247" i="1"/>
  <c r="J1290" i="1" s="1"/>
  <c r="J1292" i="1" s="1"/>
  <c r="J290" i="1"/>
  <c r="J292" i="1" s="1"/>
  <c r="I1650" i="1"/>
  <c r="I1652" i="1" s="1"/>
  <c r="I3044" i="1"/>
  <c r="I3046" i="1" s="1"/>
  <c r="I3087" i="1" s="1"/>
  <c r="I3089" i="1" s="1"/>
  <c r="I3005" i="1"/>
  <c r="I3007" i="1" s="1"/>
  <c r="I3484" i="1"/>
  <c r="I3486" i="1" s="1"/>
  <c r="I3495" i="1" s="1"/>
  <c r="K1858" i="1"/>
  <c r="G2033" i="1"/>
  <c r="L1712" i="1"/>
  <c r="L254" i="1" s="1"/>
  <c r="N156" i="5"/>
  <c r="O1712" i="1" s="1"/>
  <c r="O254" i="1" s="1"/>
  <c r="N27" i="4"/>
  <c r="O1217" i="1" s="1"/>
  <c r="L1217" i="1"/>
  <c r="N10" i="4"/>
  <c r="O1200" i="1" s="1"/>
  <c r="O141" i="1" s="1"/>
  <c r="L1200" i="1"/>
  <c r="L141" i="1" s="1"/>
  <c r="N237" i="4"/>
  <c r="O1427" i="1" s="1"/>
  <c r="L1427" i="1"/>
  <c r="N35" i="5"/>
  <c r="O1591" i="1" s="1"/>
  <c r="L1591" i="1"/>
  <c r="N50" i="5"/>
  <c r="O1606" i="1" s="1"/>
  <c r="O270" i="1" s="1"/>
  <c r="L1606" i="1"/>
  <c r="L270" i="1" s="1"/>
  <c r="N10" i="5"/>
  <c r="O1566" i="1" s="1"/>
  <c r="L1566" i="1"/>
  <c r="L1389" i="1"/>
  <c r="N199" i="4"/>
  <c r="O1389" i="1" s="1"/>
  <c r="N162" i="4"/>
  <c r="O1352" i="1" s="1"/>
  <c r="L1352" i="1"/>
  <c r="L2808" i="1"/>
  <c r="N413" i="7"/>
  <c r="M421" i="7"/>
  <c r="K217" i="1"/>
  <c r="K260" i="1"/>
  <c r="K264" i="1" s="1"/>
  <c r="K1764" i="1"/>
  <c r="K1774" i="1" s="1"/>
  <c r="K1776" i="1" s="1"/>
  <c r="K1391" i="1"/>
  <c r="N75" i="5"/>
  <c r="O1631" i="1" s="1"/>
  <c r="L1631" i="1"/>
  <c r="N40" i="4"/>
  <c r="L1230" i="1"/>
  <c r="M45" i="4"/>
  <c r="N43" i="4"/>
  <c r="O1233" i="1" s="1"/>
  <c r="L1233" i="1"/>
  <c r="J249" i="5"/>
  <c r="N308" i="4"/>
  <c r="O1498" i="1" s="1"/>
  <c r="L1498" i="1"/>
  <c r="N72" i="5"/>
  <c r="O1628" i="1" s="1"/>
  <c r="L1628" i="1"/>
  <c r="L2811" i="1"/>
  <c r="N416" i="7"/>
  <c r="O2811" i="1" s="1"/>
  <c r="L1323" i="1"/>
  <c r="N133" i="4"/>
  <c r="M137" i="4"/>
  <c r="L1372" i="1"/>
  <c r="N182" i="4"/>
  <c r="O1372" i="1" s="1"/>
  <c r="N234" i="4"/>
  <c r="O1424" i="1" s="1"/>
  <c r="L1424" i="1"/>
  <c r="L1696" i="1"/>
  <c r="O1696" i="1" s="1"/>
  <c r="N140" i="5"/>
  <c r="N12" i="5"/>
  <c r="O1568" i="1" s="1"/>
  <c r="L1568" i="1"/>
  <c r="N34" i="5"/>
  <c r="L1590" i="1"/>
  <c r="M38" i="5"/>
  <c r="L1660" i="1"/>
  <c r="N104" i="5"/>
  <c r="M108" i="5"/>
  <c r="M110" i="5" s="1"/>
  <c r="M118" i="5" s="1"/>
  <c r="M120" i="5" s="1"/>
  <c r="L1388" i="1"/>
  <c r="N198" i="4"/>
  <c r="O1388" i="1" s="1"/>
  <c r="L1166" i="1"/>
  <c r="N274" i="3"/>
  <c r="O1166" i="1" s="1"/>
  <c r="N305" i="4"/>
  <c r="O1495" i="1" s="1"/>
  <c r="L1495" i="1"/>
  <c r="N257" i="5"/>
  <c r="O1813" i="1" s="1"/>
  <c r="O278" i="1" s="1"/>
  <c r="L1813" i="1"/>
  <c r="L278" i="1" s="1"/>
  <c r="L2349" i="1"/>
  <c r="L2368" i="1" s="1"/>
  <c r="L2370" i="1" s="1"/>
  <c r="N17" i="5"/>
  <c r="O1573" i="1" s="1"/>
  <c r="L1573" i="1"/>
  <c r="N247" i="4"/>
  <c r="L1437" i="1"/>
  <c r="M252" i="4"/>
  <c r="L1109" i="1"/>
  <c r="N217" i="3"/>
  <c r="O1109" i="1" s="1"/>
  <c r="L203" i="4"/>
  <c r="L205" i="4" s="1"/>
  <c r="L217" i="4" s="1"/>
  <c r="L219" i="4" s="1"/>
  <c r="N128" i="5"/>
  <c r="L1684" i="1"/>
  <c r="M135" i="5"/>
  <c r="N73" i="5"/>
  <c r="O1629" i="1" s="1"/>
  <c r="L1629" i="1"/>
  <c r="N192" i="5"/>
  <c r="L1748" i="1"/>
  <c r="L1750" i="1" s="1"/>
  <c r="L1752" i="1" s="1"/>
  <c r="L1754" i="1" s="1"/>
  <c r="M194" i="5"/>
  <c r="M196" i="5" s="1"/>
  <c r="M198" i="5" s="1"/>
  <c r="L1223" i="1"/>
  <c r="N33" i="4"/>
  <c r="O1223" i="1" s="1"/>
  <c r="N212" i="4"/>
  <c r="O1402" i="1" s="1"/>
  <c r="L1402" i="1"/>
  <c r="M215" i="4"/>
  <c r="L1161" i="1"/>
  <c r="M276" i="3"/>
  <c r="N269" i="3"/>
  <c r="L1550" i="1"/>
  <c r="N360" i="4"/>
  <c r="M363" i="4"/>
  <c r="L1661" i="1"/>
  <c r="N105" i="5"/>
  <c r="O1661" i="1" s="1"/>
  <c r="N321" i="5"/>
  <c r="O1877" i="1" s="1"/>
  <c r="L1877" i="1"/>
  <c r="L1285" i="1"/>
  <c r="N95" i="4"/>
  <c r="O1285" i="1" s="1"/>
  <c r="K1274" i="1"/>
  <c r="N281" i="4"/>
  <c r="O1471" i="1" s="1"/>
  <c r="L1471" i="1"/>
  <c r="K268" i="1"/>
  <c r="K272" i="1" s="1"/>
  <c r="K1608" i="1"/>
  <c r="K1618" i="1" s="1"/>
  <c r="K1620" i="1" s="1"/>
  <c r="L1380" i="1"/>
  <c r="N190" i="4"/>
  <c r="O1380" i="1" s="1"/>
  <c r="L2895" i="1"/>
  <c r="N500" i="7"/>
  <c r="O2895" i="1" s="1"/>
  <c r="M78" i="5"/>
  <c r="M80" i="5" s="1"/>
  <c r="N70" i="5"/>
  <c r="L1626" i="1"/>
  <c r="N118" i="4"/>
  <c r="O1308" i="1" s="1"/>
  <c r="L1308" i="1"/>
  <c r="D80" i="3"/>
  <c r="D302" i="3"/>
  <c r="L1165" i="1"/>
  <c r="N273" i="3"/>
  <c r="O1165" i="1" s="1"/>
  <c r="N250" i="4"/>
  <c r="O1440" i="1" s="1"/>
  <c r="L1440" i="1"/>
  <c r="K1691" i="1"/>
  <c r="L231" i="5"/>
  <c r="L233" i="5" s="1"/>
  <c r="N31" i="4"/>
  <c r="O1221" i="1" s="1"/>
  <c r="L1221" i="1"/>
  <c r="L1232" i="1"/>
  <c r="N42" i="4"/>
  <c r="O1232" i="1" s="1"/>
  <c r="K1254" i="1"/>
  <c r="K1260" i="1" s="1"/>
  <c r="K302" i="1"/>
  <c r="N14" i="4"/>
  <c r="O1204" i="1" s="1"/>
  <c r="O145" i="1" s="1"/>
  <c r="L1204" i="1"/>
  <c r="L145" i="1" s="1"/>
  <c r="N204" i="5"/>
  <c r="L1760" i="1"/>
  <c r="M208" i="5"/>
  <c r="M218" i="5" s="1"/>
  <c r="M220" i="5" s="1"/>
  <c r="L2892" i="1"/>
  <c r="N497" i="7"/>
  <c r="O2892" i="1" s="1"/>
  <c r="N197" i="4"/>
  <c r="L1387" i="1"/>
  <c r="L1391" i="1" s="1"/>
  <c r="M201" i="4"/>
  <c r="N14" i="5"/>
  <c r="O1570" i="1" s="1"/>
  <c r="L1570" i="1"/>
  <c r="N353" i="4"/>
  <c r="O1543" i="1" s="1"/>
  <c r="L1543" i="1"/>
  <c r="N111" i="4"/>
  <c r="O1301" i="1" s="1"/>
  <c r="L1301" i="1"/>
  <c r="K205" i="4"/>
  <c r="J203" i="4"/>
  <c r="L1110" i="1"/>
  <c r="N218" i="3"/>
  <c r="O1110" i="1" s="1"/>
  <c r="K271" i="5"/>
  <c r="J271" i="5" s="1"/>
  <c r="J269" i="5"/>
  <c r="N113" i="4"/>
  <c r="O1303" i="1" s="1"/>
  <c r="L1303" i="1"/>
  <c r="N80" i="4"/>
  <c r="O1270" i="1" s="1"/>
  <c r="L1270" i="1"/>
  <c r="N277" i="5"/>
  <c r="O1833" i="1" s="1"/>
  <c r="L1833" i="1"/>
  <c r="K1327" i="1"/>
  <c r="N88" i="5"/>
  <c r="O1644" i="1" s="1"/>
  <c r="L1644" i="1"/>
  <c r="K284" i="1"/>
  <c r="K288" i="1" s="1"/>
  <c r="K1664" i="1"/>
  <c r="K1666" i="1" s="1"/>
  <c r="K1674" i="1" s="1"/>
  <c r="K1676" i="1" s="1"/>
  <c r="L2772" i="1"/>
  <c r="N377" i="7"/>
  <c r="M384" i="7"/>
  <c r="N249" i="4"/>
  <c r="O1439" i="1" s="1"/>
  <c r="L1439" i="1"/>
  <c r="L2773" i="1"/>
  <c r="N378" i="7"/>
  <c r="O2773" i="1" s="1"/>
  <c r="K276" i="1"/>
  <c r="K280" i="1" s="1"/>
  <c r="K1815" i="1"/>
  <c r="K1825" i="1" s="1"/>
  <c r="K1827" i="1" s="1"/>
  <c r="O2337" i="1"/>
  <c r="O2349" i="1" s="1"/>
  <c r="O2368" i="1" s="1"/>
  <c r="O2370" i="1" s="1"/>
  <c r="N467" i="6"/>
  <c r="N486" i="6" s="1"/>
  <c r="N488" i="6" s="1"/>
  <c r="N126" i="4"/>
  <c r="O1316" i="1" s="1"/>
  <c r="L1316" i="1"/>
  <c r="L100" i="4"/>
  <c r="K1374" i="1"/>
  <c r="K1785" i="1"/>
  <c r="J110" i="5"/>
  <c r="K118" i="5"/>
  <c r="K1168" i="1"/>
  <c r="N352" i="4"/>
  <c r="O1542" i="1" s="1"/>
  <c r="O358" i="1" s="1"/>
  <c r="L1542" i="1"/>
  <c r="L358" i="1" s="1"/>
  <c r="L1733" i="1"/>
  <c r="N177" i="5"/>
  <c r="O1733" i="1" s="1"/>
  <c r="L1279" i="1"/>
  <c r="N89" i="4"/>
  <c r="O1279" i="1" s="1"/>
  <c r="N74" i="4"/>
  <c r="L1264" i="1"/>
  <c r="M84" i="4"/>
  <c r="M52" i="5"/>
  <c r="M62" i="5" s="1"/>
  <c r="M64" i="5" s="1"/>
  <c r="N48" i="5"/>
  <c r="L1604" i="1"/>
  <c r="N76" i="5"/>
  <c r="O1632" i="1" s="1"/>
  <c r="L1632" i="1"/>
  <c r="L1551" i="1"/>
  <c r="N361" i="4"/>
  <c r="O1551" i="1" s="1"/>
  <c r="K2816" i="1"/>
  <c r="L1107" i="1"/>
  <c r="N215" i="3"/>
  <c r="O1107" i="1" s="1"/>
  <c r="N243" i="5"/>
  <c r="L1799" i="1"/>
  <c r="L1801" i="1" s="1"/>
  <c r="L1803" i="1" s="1"/>
  <c r="L1805" i="1" s="1"/>
  <c r="M245" i="5"/>
  <c r="M247" i="5" s="1"/>
  <c r="M249" i="5" s="1"/>
  <c r="N129" i="5"/>
  <c r="O1685" i="1" s="1"/>
  <c r="L1685" i="1"/>
  <c r="K372" i="1"/>
  <c r="K213" i="1"/>
  <c r="J55" i="3"/>
  <c r="N212" i="7"/>
  <c r="O2607" i="1" s="1"/>
  <c r="N19" i="5"/>
  <c r="O1575" i="1" s="1"/>
  <c r="L1575" i="1"/>
  <c r="N112" i="4"/>
  <c r="O1302" i="1" s="1"/>
  <c r="L1302" i="1"/>
  <c r="N238" i="4"/>
  <c r="O1428" i="1" s="1"/>
  <c r="L1428" i="1"/>
  <c r="L1762" i="1"/>
  <c r="L262" i="1" s="1"/>
  <c r="N206" i="5"/>
  <c r="O1762" i="1" s="1"/>
  <c r="O262" i="1" s="1"/>
  <c r="L1307" i="1"/>
  <c r="N117" i="4"/>
  <c r="O1307" i="1" s="1"/>
  <c r="L1241" i="1"/>
  <c r="N51" i="4"/>
  <c r="O1241" i="1" s="1"/>
  <c r="N134" i="4"/>
  <c r="O1324" i="1" s="1"/>
  <c r="L1324" i="1"/>
  <c r="K1533" i="1"/>
  <c r="K1537" i="1" s="1"/>
  <c r="K311" i="1"/>
  <c r="L1812" i="1"/>
  <c r="L277" i="1" s="1"/>
  <c r="N256" i="5"/>
  <c r="O1812" i="1" s="1"/>
  <c r="O277" i="1" s="1"/>
  <c r="K1700" i="1"/>
  <c r="N227" i="5"/>
  <c r="O1783" i="1" s="1"/>
  <c r="L1783" i="1"/>
  <c r="L2897" i="1"/>
  <c r="N502" i="7"/>
  <c r="O2897" i="1" s="1"/>
  <c r="L2810" i="1"/>
  <c r="N415" i="7"/>
  <c r="O2810" i="1" s="1"/>
  <c r="N114" i="4"/>
  <c r="O1304" i="1" s="1"/>
  <c r="L1304" i="1"/>
  <c r="N239" i="4"/>
  <c r="O1429" i="1" s="1"/>
  <c r="L1429" i="1"/>
  <c r="N30" i="4"/>
  <c r="O1220" i="1" s="1"/>
  <c r="L1220" i="1"/>
  <c r="N276" i="5"/>
  <c r="O1832" i="1" s="1"/>
  <c r="L1832" i="1"/>
  <c r="N85" i="5"/>
  <c r="O1641" i="1" s="1"/>
  <c r="L1641" i="1"/>
  <c r="N248" i="4"/>
  <c r="O1438" i="1" s="1"/>
  <c r="L1438" i="1"/>
  <c r="L2813" i="1"/>
  <c r="N418" i="7"/>
  <c r="O2813" i="1" s="1"/>
  <c r="K2779" i="1"/>
  <c r="N12" i="4"/>
  <c r="O1202" i="1" s="1"/>
  <c r="O143" i="1" s="1"/>
  <c r="L1202" i="1"/>
  <c r="L143" i="1" s="1"/>
  <c r="N93" i="4"/>
  <c r="O1283" i="1" s="1"/>
  <c r="L1283" i="1"/>
  <c r="L40" i="5"/>
  <c r="L42" i="5" s="1"/>
  <c r="L94" i="5" s="1"/>
  <c r="N90" i="5"/>
  <c r="O1646" i="1" s="1"/>
  <c r="L1646" i="1"/>
  <c r="L1811" i="1"/>
  <c r="N255" i="5"/>
  <c r="M259" i="5"/>
  <c r="M269" i="5" s="1"/>
  <c r="M271" i="5" s="1"/>
  <c r="L1111" i="1"/>
  <c r="N219" i="3"/>
  <c r="O1111" i="1" s="1"/>
  <c r="K1226" i="1"/>
  <c r="N50" i="4"/>
  <c r="O1240" i="1" s="1"/>
  <c r="L1240" i="1"/>
  <c r="N175" i="4"/>
  <c r="L1365" i="1"/>
  <c r="M184" i="4"/>
  <c r="N154" i="5"/>
  <c r="L1710" i="1"/>
  <c r="M158" i="5"/>
  <c r="M168" i="5" s="1"/>
  <c r="M170" i="5" s="1"/>
  <c r="K148" i="5"/>
  <c r="J146" i="5"/>
  <c r="N226" i="5"/>
  <c r="L1782" i="1"/>
  <c r="M229" i="5"/>
  <c r="K170" i="5"/>
  <c r="J170" i="5" s="1"/>
  <c r="J168" i="5"/>
  <c r="L2775" i="1"/>
  <c r="N380" i="7"/>
  <c r="O2775" i="1" s="1"/>
  <c r="L1278" i="1"/>
  <c r="N88" i="4"/>
  <c r="M98" i="4"/>
  <c r="N29" i="4"/>
  <c r="O1219" i="1" s="1"/>
  <c r="L1219" i="1"/>
  <c r="L139" i="4"/>
  <c r="L141" i="4" s="1"/>
  <c r="L166" i="4" s="1"/>
  <c r="L1164" i="1"/>
  <c r="N272" i="3"/>
  <c r="O1164" i="1" s="1"/>
  <c r="K1880" i="1"/>
  <c r="L1698" i="1"/>
  <c r="N142" i="5"/>
  <c r="O1698" i="1" s="1"/>
  <c r="L1510" i="1"/>
  <c r="N320" i="4"/>
  <c r="O1510" i="1" s="1"/>
  <c r="K1546" i="1"/>
  <c r="K344" i="1"/>
  <c r="K1473" i="1"/>
  <c r="N306" i="4"/>
  <c r="O1496" i="1" s="1"/>
  <c r="L1496" i="1"/>
  <c r="L2814" i="1"/>
  <c r="N419" i="7"/>
  <c r="O2814" i="1" s="1"/>
  <c r="O2259" i="1"/>
  <c r="O2271" i="1" s="1"/>
  <c r="N389" i="6"/>
  <c r="L1315" i="1"/>
  <c r="N125" i="4"/>
  <c r="O1315" i="1" s="1"/>
  <c r="J1650" i="1"/>
  <c r="J1652" i="1" s="1"/>
  <c r="N62" i="4"/>
  <c r="M64" i="4"/>
  <c r="M70" i="4" s="1"/>
  <c r="L1252" i="1"/>
  <c r="K140" i="1"/>
  <c r="K147" i="1" s="1"/>
  <c r="K1206" i="1"/>
  <c r="K1208" i="1" s="1"/>
  <c r="K1210" i="1" s="1"/>
  <c r="N240" i="4"/>
  <c r="O1430" i="1" s="1"/>
  <c r="L1430" i="1"/>
  <c r="N90" i="4"/>
  <c r="O1280" i="1" s="1"/>
  <c r="O427" i="1" s="1"/>
  <c r="L1280" i="1"/>
  <c r="L427" i="1" s="1"/>
  <c r="N235" i="4"/>
  <c r="O1425" i="1" s="1"/>
  <c r="L1425" i="1"/>
  <c r="L1105" i="1"/>
  <c r="N213" i="3"/>
  <c r="O1105" i="1" s="1"/>
  <c r="N79" i="4"/>
  <c r="O1269" i="1" s="1"/>
  <c r="L1269" i="1"/>
  <c r="L365" i="4"/>
  <c r="L367" i="4" s="1"/>
  <c r="M343" i="4"/>
  <c r="M347" i="4" s="1"/>
  <c r="N341" i="4"/>
  <c r="L1531" i="1"/>
  <c r="L1695" i="1"/>
  <c r="M144" i="5"/>
  <c r="N139" i="5"/>
  <c r="L2776" i="1"/>
  <c r="N381" i="7"/>
  <c r="O2776" i="1" s="1"/>
  <c r="N13" i="4"/>
  <c r="O1203" i="1" s="1"/>
  <c r="O144" i="1" s="1"/>
  <c r="L1203" i="1"/>
  <c r="L144" i="1" s="1"/>
  <c r="L1106" i="1"/>
  <c r="N214" i="3"/>
  <c r="O1106" i="1" s="1"/>
  <c r="L1431" i="1"/>
  <c r="N241" i="4"/>
  <c r="O1431" i="1" s="1"/>
  <c r="K1577" i="1"/>
  <c r="L2777" i="1"/>
  <c r="L433" i="1" s="1"/>
  <c r="N382" i="7"/>
  <c r="O2777" i="1" s="1"/>
  <c r="O433" i="1" s="1"/>
  <c r="N81" i="4"/>
  <c r="O1271" i="1" s="1"/>
  <c r="L1271" i="1"/>
  <c r="N26" i="4"/>
  <c r="L1216" i="1"/>
  <c r="M36" i="4"/>
  <c r="L1286" i="1"/>
  <c r="N96" i="4"/>
  <c r="O1286" i="1" s="1"/>
  <c r="J262" i="4"/>
  <c r="K264" i="4"/>
  <c r="K252" i="1"/>
  <c r="K256" i="1" s="1"/>
  <c r="K1714" i="1"/>
  <c r="K1724" i="1" s="1"/>
  <c r="K1726" i="1" s="1"/>
  <c r="K312" i="1"/>
  <c r="K1462" i="1"/>
  <c r="K1466" i="1" s="1"/>
  <c r="L1447" i="1"/>
  <c r="N257" i="4"/>
  <c r="O1447" i="1" s="1"/>
  <c r="K1288" i="1"/>
  <c r="J18" i="4"/>
  <c r="K20" i="4"/>
  <c r="J20" i="4" s="1"/>
  <c r="K1310" i="1"/>
  <c r="L1284" i="1"/>
  <c r="N94" i="4"/>
  <c r="O1284" i="1" s="1"/>
  <c r="N189" i="4"/>
  <c r="O1379" i="1" s="1"/>
  <c r="L1379" i="1"/>
  <c r="N320" i="5"/>
  <c r="L1876" i="1"/>
  <c r="M324" i="5"/>
  <c r="N310" i="4"/>
  <c r="O1500" i="1" s="1"/>
  <c r="L1500" i="1"/>
  <c r="N176" i="4"/>
  <c r="O1366" i="1" s="1"/>
  <c r="L1366" i="1"/>
  <c r="N351" i="4"/>
  <c r="L1541" i="1"/>
  <c r="M356" i="4"/>
  <c r="N280" i="4"/>
  <c r="L1470" i="1"/>
  <c r="L1473" i="1" s="1"/>
  <c r="M283" i="4"/>
  <c r="K220" i="5"/>
  <c r="J218" i="5"/>
  <c r="L1711" i="1"/>
  <c r="L253" i="1" s="1"/>
  <c r="N155" i="5"/>
  <c r="O1711" i="1" s="1"/>
  <c r="O253" i="1" s="1"/>
  <c r="N26" i="5"/>
  <c r="O1582" i="1" s="1"/>
  <c r="L1582" i="1"/>
  <c r="N28" i="4"/>
  <c r="O1218" i="1" s="1"/>
  <c r="L1218" i="1"/>
  <c r="J56" i="6"/>
  <c r="I2920" i="1"/>
  <c r="I2922" i="1" s="1"/>
  <c r="I2934" i="1" s="1"/>
  <c r="I2936" i="1" s="1"/>
  <c r="E9" i="9"/>
  <c r="E39" i="9"/>
  <c r="G8" i="24" s="1"/>
  <c r="B6" i="11"/>
  <c r="N181" i="4"/>
  <c r="O1371" i="1" s="1"/>
  <c r="L1371" i="1"/>
  <c r="L1199" i="1"/>
  <c r="N9" i="4"/>
  <c r="M16" i="4"/>
  <c r="M18" i="4" s="1"/>
  <c r="M20" i="4" s="1"/>
  <c r="N322" i="5"/>
  <c r="O1878" i="1" s="1"/>
  <c r="L1878" i="1"/>
  <c r="N303" i="4"/>
  <c r="O1493" i="1" s="1"/>
  <c r="L1493" i="1"/>
  <c r="N32" i="4"/>
  <c r="O1222" i="1" s="1"/>
  <c r="L1222" i="1"/>
  <c r="N84" i="5"/>
  <c r="L1640" i="1"/>
  <c r="M92" i="5"/>
  <c r="K1433" i="1"/>
  <c r="L2774" i="1"/>
  <c r="N379" i="7"/>
  <c r="O2774" i="1" s="1"/>
  <c r="L1281" i="1"/>
  <c r="N91" i="4"/>
  <c r="O1281" i="1" s="1"/>
  <c r="N236" i="4"/>
  <c r="O1426" i="1" s="1"/>
  <c r="L1426" i="1"/>
  <c r="N302" i="4"/>
  <c r="L1492" i="1"/>
  <c r="M313" i="4"/>
  <c r="N311" i="4"/>
  <c r="O1501" i="1" s="1"/>
  <c r="L1501" i="1"/>
  <c r="L1866" i="1"/>
  <c r="N310" i="5"/>
  <c r="O1866" i="1" s="1"/>
  <c r="N319" i="4"/>
  <c r="O1509" i="1" s="1"/>
  <c r="L1509" i="1"/>
  <c r="N130" i="5"/>
  <c r="O1686" i="1" s="1"/>
  <c r="L1686" i="1"/>
  <c r="K1735" i="1"/>
  <c r="N16" i="5"/>
  <c r="O1572" i="1" s="1"/>
  <c r="L1572" i="1"/>
  <c r="N504" i="7"/>
  <c r="L2899" i="1"/>
  <c r="N75" i="4"/>
  <c r="O1265" i="1" s="1"/>
  <c r="L1265" i="1"/>
  <c r="N9" i="5"/>
  <c r="L1565" i="1"/>
  <c r="M21" i="5"/>
  <c r="L1592" i="1"/>
  <c r="N36" i="5"/>
  <c r="O1592" i="1" s="1"/>
  <c r="K335" i="4"/>
  <c r="J333" i="4"/>
  <c r="K1345" i="1"/>
  <c r="K1347" i="1" s="1"/>
  <c r="K318" i="1"/>
  <c r="N258" i="4"/>
  <c r="O1448" i="1" s="1"/>
  <c r="L1448" i="1"/>
  <c r="L1854" i="1"/>
  <c r="L1856" i="1" s="1"/>
  <c r="M300" i="5"/>
  <c r="N298" i="5"/>
  <c r="K1586" i="1"/>
  <c r="M272" i="4"/>
  <c r="M276" i="4" s="1"/>
  <c r="N270" i="4"/>
  <c r="L1460" i="1"/>
  <c r="L1499" i="1"/>
  <c r="N309" i="4"/>
  <c r="O1499" i="1" s="1"/>
  <c r="N114" i="5"/>
  <c r="L1670" i="1"/>
  <c r="L1672" i="1" s="1"/>
  <c r="M116" i="5"/>
  <c r="N115" i="4"/>
  <c r="O1305" i="1" s="1"/>
  <c r="L1305" i="1"/>
  <c r="N110" i="4"/>
  <c r="L1300" i="1"/>
  <c r="M120" i="4"/>
  <c r="K42" i="5"/>
  <c r="J40" i="5"/>
  <c r="J62" i="5"/>
  <c r="K64" i="5"/>
  <c r="J64" i="5" s="1"/>
  <c r="L2719" i="1"/>
  <c r="L2731" i="1" s="1"/>
  <c r="M336" i="7"/>
  <c r="N324" i="7"/>
  <c r="L1108" i="1"/>
  <c r="N216" i="3"/>
  <c r="O1108" i="1" s="1"/>
  <c r="L1351" i="1"/>
  <c r="L1354" i="1" s="1"/>
  <c r="N161" i="4"/>
  <c r="M164" i="4"/>
  <c r="L1697" i="1"/>
  <c r="N141" i="5"/>
  <c r="O1697" i="1" s="1"/>
  <c r="N86" i="5"/>
  <c r="O1642" i="1" s="1"/>
  <c r="O363" i="1" s="1"/>
  <c r="L1642" i="1"/>
  <c r="L363" i="1" s="1"/>
  <c r="L2898" i="1"/>
  <c r="N503" i="7"/>
  <c r="O2898" i="1" s="1"/>
  <c r="N307" i="4"/>
  <c r="O1497" i="1" s="1"/>
  <c r="L1497" i="1"/>
  <c r="L135" i="3"/>
  <c r="L137" i="3" s="1"/>
  <c r="L183" i="3" s="1"/>
  <c r="L57" i="3"/>
  <c r="L78" i="3" s="1"/>
  <c r="L80" i="3" s="1"/>
  <c r="L3264" i="1"/>
  <c r="L1317" i="1"/>
  <c r="N127" i="4"/>
  <c r="O1317" i="1" s="1"/>
  <c r="N133" i="5"/>
  <c r="O1689" i="1" s="1"/>
  <c r="L1689" i="1"/>
  <c r="N233" i="4"/>
  <c r="L1423" i="1"/>
  <c r="M243" i="4"/>
  <c r="L1163" i="1"/>
  <c r="N271" i="3"/>
  <c r="O1163" i="1" s="1"/>
  <c r="K1383" i="1"/>
  <c r="K1503" i="1"/>
  <c r="K1450" i="1"/>
  <c r="L1761" i="1"/>
  <c r="L261" i="1" s="1"/>
  <c r="N205" i="5"/>
  <c r="O1761" i="1" s="1"/>
  <c r="O261" i="1" s="1"/>
  <c r="K1835" i="1"/>
  <c r="L2891" i="1"/>
  <c r="N496" i="7"/>
  <c r="M506" i="7"/>
  <c r="N340" i="6"/>
  <c r="O2222" i="1" s="1"/>
  <c r="L2222" i="1"/>
  <c r="J139" i="4"/>
  <c r="K141" i="4"/>
  <c r="L1239" i="1"/>
  <c r="N49" i="4"/>
  <c r="M53" i="4"/>
  <c r="K1319" i="1"/>
  <c r="L1583" i="1"/>
  <c r="N27" i="5"/>
  <c r="O1583" i="1" s="1"/>
  <c r="N175" i="5"/>
  <c r="L1731" i="1"/>
  <c r="M179" i="5"/>
  <c r="L1508" i="1"/>
  <c r="N318" i="4"/>
  <c r="O1508" i="1" s="1"/>
  <c r="L1519" i="1"/>
  <c r="N329" i="4"/>
  <c r="O1519" i="1" s="1"/>
  <c r="J55" i="4"/>
  <c r="L2809" i="1"/>
  <c r="N414" i="7"/>
  <c r="O2809" i="1" s="1"/>
  <c r="N292" i="5"/>
  <c r="L1848" i="1"/>
  <c r="L1850" i="1" s="1"/>
  <c r="M294" i="5"/>
  <c r="M302" i="5" s="1"/>
  <c r="L2896" i="1"/>
  <c r="N501" i="7"/>
  <c r="O2896" i="1" s="1"/>
  <c r="N76" i="4"/>
  <c r="O1266" i="1" s="1"/>
  <c r="L1266" i="1"/>
  <c r="N25" i="5"/>
  <c r="L1581" i="1"/>
  <c r="M30" i="5"/>
  <c r="N327" i="4"/>
  <c r="L1517" i="1"/>
  <c r="M331" i="4"/>
  <c r="L1605" i="1"/>
  <c r="L269" i="1" s="1"/>
  <c r="N49" i="5"/>
  <c r="O1605" i="1" s="1"/>
  <c r="O269" i="1" s="1"/>
  <c r="N178" i="4"/>
  <c r="O1368" i="1" s="1"/>
  <c r="L1368" i="1"/>
  <c r="N304" i="4"/>
  <c r="O1494" i="1" s="1"/>
  <c r="L1494" i="1"/>
  <c r="N77" i="4"/>
  <c r="O1267" i="1" s="1"/>
  <c r="L1267" i="1"/>
  <c r="N317" i="4"/>
  <c r="L1507" i="1"/>
  <c r="L1513" i="1" s="1"/>
  <c r="M323" i="4"/>
  <c r="L1687" i="1"/>
  <c r="N131" i="5"/>
  <c r="O1687" i="1" s="1"/>
  <c r="N78" i="4"/>
  <c r="O1268" i="1" s="1"/>
  <c r="O355" i="1" s="1"/>
  <c r="L1268" i="1"/>
  <c r="L355" i="1" s="1"/>
  <c r="L1104" i="1"/>
  <c r="N212" i="3"/>
  <c r="M222" i="3"/>
  <c r="N74" i="5"/>
  <c r="O1630" i="1" s="1"/>
  <c r="L1630" i="1"/>
  <c r="L1574" i="1"/>
  <c r="N18" i="5"/>
  <c r="O1574" i="1" s="1"/>
  <c r="N13" i="5"/>
  <c r="O1569" i="1" s="1"/>
  <c r="O214" i="1" s="1"/>
  <c r="L1569" i="1"/>
  <c r="L214" i="1" s="1"/>
  <c r="N71" i="5"/>
  <c r="O1627" i="1" s="1"/>
  <c r="L1627" i="1"/>
  <c r="N179" i="4"/>
  <c r="O1369" i="1" s="1"/>
  <c r="L1369" i="1"/>
  <c r="N116" i="4"/>
  <c r="O1306" i="1" s="1"/>
  <c r="L1306" i="1"/>
  <c r="B34" i="9"/>
  <c r="K219" i="1"/>
  <c r="K221" i="1"/>
  <c r="L295" i="3"/>
  <c r="L297" i="3" s="1"/>
  <c r="L299" i="3" s="1"/>
  <c r="L112" i="6"/>
  <c r="N549" i="8"/>
  <c r="M220" i="8"/>
  <c r="M222" i="8" s="1"/>
  <c r="L380" i="8"/>
  <c r="L382" i="8" s="1"/>
  <c r="J3183" i="1"/>
  <c r="J3185" i="1" s="1"/>
  <c r="D370" i="4"/>
  <c r="L1381" i="1"/>
  <c r="N191" i="4"/>
  <c r="O1381" i="1" s="1"/>
  <c r="N87" i="5"/>
  <c r="O1643" i="1" s="1"/>
  <c r="L1643" i="1"/>
  <c r="L281" i="5"/>
  <c r="L283" i="5" s="1"/>
  <c r="N106" i="5"/>
  <c r="O1662" i="1" s="1"/>
  <c r="O286" i="1" s="1"/>
  <c r="L1662" i="1"/>
  <c r="L2271" i="1"/>
  <c r="N82" i="4"/>
  <c r="O1272" i="1" s="1"/>
  <c r="L1272" i="1"/>
  <c r="L1112" i="1"/>
  <c r="N220" i="3"/>
  <c r="O1112" i="1" s="1"/>
  <c r="L1162" i="1"/>
  <c r="N270" i="3"/>
  <c r="O1162" i="1" s="1"/>
  <c r="N188" i="4"/>
  <c r="L1378" i="1"/>
  <c r="L1383" i="1" s="1"/>
  <c r="M193" i="4"/>
  <c r="N354" i="4"/>
  <c r="O1544" i="1" s="1"/>
  <c r="L1544" i="1"/>
  <c r="N147" i="4"/>
  <c r="M149" i="4"/>
  <c r="L1337" i="1"/>
  <c r="L1339" i="1" s="1"/>
  <c r="N15" i="5"/>
  <c r="O1571" i="1" s="1"/>
  <c r="L1571" i="1"/>
  <c r="L1446" i="1"/>
  <c r="L1450" i="1" s="1"/>
  <c r="N256" i="4"/>
  <c r="M260" i="4"/>
  <c r="N275" i="5"/>
  <c r="L1831" i="1"/>
  <c r="L1835" i="1" s="1"/>
  <c r="M279" i="5"/>
  <c r="L2893" i="1"/>
  <c r="N498" i="7"/>
  <c r="O2893" i="1" s="1"/>
  <c r="K1243" i="1"/>
  <c r="L1314" i="1"/>
  <c r="N124" i="4"/>
  <c r="M129" i="4"/>
  <c r="L1231" i="1"/>
  <c r="N41" i="4"/>
  <c r="O1231" i="1" s="1"/>
  <c r="N176" i="5"/>
  <c r="O1732" i="1" s="1"/>
  <c r="L1732" i="1"/>
  <c r="L2894" i="1"/>
  <c r="N499" i="7"/>
  <c r="O2894" i="1" s="1"/>
  <c r="N135" i="4"/>
  <c r="O1325" i="1" s="1"/>
  <c r="L1325" i="1"/>
  <c r="N177" i="4"/>
  <c r="O1367" i="1" s="1"/>
  <c r="L1367" i="1"/>
  <c r="N153" i="4"/>
  <c r="M155" i="4"/>
  <c r="L1343" i="1"/>
  <c r="N28" i="5"/>
  <c r="O1584" i="1" s="1"/>
  <c r="L1584" i="1"/>
  <c r="N328" i="4"/>
  <c r="O1518" i="1" s="1"/>
  <c r="L1518" i="1"/>
  <c r="L146" i="5"/>
  <c r="L148" i="5" s="1"/>
  <c r="L181" i="5" s="1"/>
  <c r="L183" i="5" s="1"/>
  <c r="K1521" i="1"/>
  <c r="N308" i="5"/>
  <c r="L1864" i="1"/>
  <c r="M312" i="5"/>
  <c r="M314" i="5" s="1"/>
  <c r="M316" i="5" s="1"/>
  <c r="N213" i="4"/>
  <c r="O1403" i="1" s="1"/>
  <c r="L1403" i="1"/>
  <c r="N11" i="5"/>
  <c r="O1567" i="1" s="1"/>
  <c r="L1567" i="1"/>
  <c r="N180" i="4"/>
  <c r="O1370" i="1" s="1"/>
  <c r="L1370" i="1"/>
  <c r="N309" i="5"/>
  <c r="O1865" i="1" s="1"/>
  <c r="L1865" i="1"/>
  <c r="K1513" i="1"/>
  <c r="L2812" i="1"/>
  <c r="N417" i="7"/>
  <c r="O2812" i="1" s="1"/>
  <c r="L1224" i="1"/>
  <c r="N34" i="4"/>
  <c r="O1224" i="1" s="1"/>
  <c r="N11" i="4"/>
  <c r="O1201" i="1" s="1"/>
  <c r="O142" i="1" s="1"/>
  <c r="L1201" i="1"/>
  <c r="L142" i="1" s="1"/>
  <c r="K1114" i="1"/>
  <c r="N132" i="5"/>
  <c r="O1688" i="1" s="1"/>
  <c r="L1688" i="1"/>
  <c r="K1634" i="1"/>
  <c r="K1636" i="1" s="1"/>
  <c r="N89" i="5"/>
  <c r="O1645" i="1" s="1"/>
  <c r="L1645" i="1"/>
  <c r="K232" i="1"/>
  <c r="K231" i="1"/>
  <c r="K230" i="1"/>
  <c r="K242" i="1"/>
  <c r="K233" i="1"/>
  <c r="K428" i="1"/>
  <c r="K432" i="1"/>
  <c r="K240" i="1"/>
  <c r="K239" i="1"/>
  <c r="H2033" i="1"/>
  <c r="N246" i="1"/>
  <c r="N248" i="1" s="1"/>
  <c r="N445" i="1" s="1"/>
  <c r="C2033" i="1"/>
  <c r="D2033" i="1"/>
  <c r="N1941" i="1"/>
  <c r="I2750" i="1"/>
  <c r="I2752" i="1" s="1"/>
  <c r="I2781" i="1" s="1"/>
  <c r="I2783" i="1" s="1"/>
  <c r="C3268" i="1"/>
  <c r="C3270" i="1" s="1"/>
  <c r="C3313" i="1" s="1"/>
  <c r="E2033" i="1"/>
  <c r="I1153" i="1"/>
  <c r="I3268" i="1"/>
  <c r="I3270" i="1" s="1"/>
  <c r="I2542" i="1"/>
  <c r="I2544" i="1" s="1"/>
  <c r="I2559" i="1" s="1"/>
  <c r="I2561" i="1" s="1"/>
  <c r="F2033" i="1"/>
  <c r="I1995" i="1"/>
  <c r="I2031" i="1" s="1"/>
  <c r="I395" i="1"/>
  <c r="J2291" i="1"/>
  <c r="J2293" i="1" s="1"/>
  <c r="J2326" i="1" s="1"/>
  <c r="J2328" i="1" s="1"/>
  <c r="I1356" i="1"/>
  <c r="J2101" i="1"/>
  <c r="J2103" i="1" s="1"/>
  <c r="J2126" i="1" s="1"/>
  <c r="J2128" i="1" s="1"/>
  <c r="K3484" i="1"/>
  <c r="K3486" i="1" s="1"/>
  <c r="K3495" i="1" s="1"/>
  <c r="K3497" i="1" s="1"/>
  <c r="J3398" i="1"/>
  <c r="J3400" i="1" s="1"/>
  <c r="J3423" i="1" s="1"/>
  <c r="I3423" i="1"/>
  <c r="K3230" i="1"/>
  <c r="I2596" i="1"/>
  <c r="G3315" i="1"/>
  <c r="I3185" i="1"/>
  <c r="J3005" i="1"/>
  <c r="J3007" i="1" s="1"/>
  <c r="K3268" i="1"/>
  <c r="K3270" i="1" s="1"/>
  <c r="I1737" i="1"/>
  <c r="I1739" i="1" s="1"/>
  <c r="J485" i="1"/>
  <c r="C48" i="9" s="1"/>
  <c r="J3044" i="1"/>
  <c r="J3046" i="1" s="1"/>
  <c r="J3087" i="1" s="1"/>
  <c r="J3089" i="1" s="1"/>
  <c r="I949" i="1"/>
  <c r="I970" i="1" s="1"/>
  <c r="I972" i="1" s="1"/>
  <c r="I2835" i="1"/>
  <c r="I2837" i="1" s="1"/>
  <c r="I2860" i="1" s="1"/>
  <c r="I2862" i="1" s="1"/>
  <c r="J3268" i="1"/>
  <c r="J3270" i="1" s="1"/>
  <c r="J3313" i="1" s="1"/>
  <c r="J1737" i="1"/>
  <c r="J1739" i="1" s="1"/>
  <c r="F3315" i="1"/>
  <c r="J2368" i="1"/>
  <c r="J2370" i="1" s="1"/>
  <c r="J2394" i="1" s="1"/>
  <c r="J2396" i="1" s="1"/>
  <c r="J708" i="1"/>
  <c r="K3044" i="1"/>
  <c r="K3046" i="1" s="1"/>
  <c r="K3087" i="1" s="1"/>
  <c r="K3089" i="1" s="1"/>
  <c r="J1941" i="1"/>
  <c r="N316" i="8"/>
  <c r="O3249" i="1"/>
  <c r="J3230" i="1"/>
  <c r="N325" i="8"/>
  <c r="L465" i="8"/>
  <c r="L467" i="8" s="1"/>
  <c r="L490" i="8" s="1"/>
  <c r="L492" i="8" s="1"/>
  <c r="M70" i="8"/>
  <c r="M72" i="8" s="1"/>
  <c r="J395" i="1"/>
  <c r="C38" i="9" s="1"/>
  <c r="L384" i="1"/>
  <c r="K3388" i="1"/>
  <c r="K3398" i="1" s="1"/>
  <c r="K3400" i="1" s="1"/>
  <c r="K3423" i="1" s="1"/>
  <c r="K3425" i="1" s="1"/>
  <c r="J109" i="8"/>
  <c r="N558" i="8"/>
  <c r="O3491" i="1" s="1"/>
  <c r="L3491" i="1"/>
  <c r="L3493" i="1" s="1"/>
  <c r="H3315" i="1"/>
  <c r="D153" i="8"/>
  <c r="D155" i="8" s="1"/>
  <c r="L562" i="8"/>
  <c r="L564" i="8" s="1"/>
  <c r="L70" i="8"/>
  <c r="L72" i="8" s="1"/>
  <c r="I3287" i="1"/>
  <c r="J2194" i="1"/>
  <c r="J2196" i="1" s="1"/>
  <c r="J2242" i="1" s="1"/>
  <c r="J2244" i="1" s="1"/>
  <c r="I3230" i="1"/>
  <c r="N3315" i="1"/>
  <c r="I454" i="1"/>
  <c r="I485" i="1" s="1"/>
  <c r="L3042" i="1"/>
  <c r="I1941" i="1"/>
  <c r="O1991" i="1"/>
  <c r="O3482" i="1"/>
  <c r="I306" i="1"/>
  <c r="K2368" i="1"/>
  <c r="K2370" i="1" s="1"/>
  <c r="I2657" i="1"/>
  <c r="L3258" i="1"/>
  <c r="J2542" i="1"/>
  <c r="J2544" i="1" s="1"/>
  <c r="J2559" i="1" s="1"/>
  <c r="J2561" i="1" s="1"/>
  <c r="O3258" i="1"/>
  <c r="L3474" i="1"/>
  <c r="L3484" i="1" s="1"/>
  <c r="L3486" i="1" s="1"/>
  <c r="N122" i="8"/>
  <c r="N124" i="8" s="1"/>
  <c r="L250" i="8"/>
  <c r="L252" i="8" s="1"/>
  <c r="L153" i="8"/>
  <c r="L155" i="8" s="1"/>
  <c r="L426" i="1"/>
  <c r="N330" i="8"/>
  <c r="O3263" i="1" s="1"/>
  <c r="L3263" i="1"/>
  <c r="N461" i="8"/>
  <c r="O3394" i="1" s="1"/>
  <c r="L3394" i="1"/>
  <c r="L3396" i="1" s="1"/>
  <c r="N360" i="8"/>
  <c r="O3293" i="1" s="1"/>
  <c r="O385" i="1" s="1"/>
  <c r="L3293" i="1"/>
  <c r="L385" i="1" s="1"/>
  <c r="D337" i="8"/>
  <c r="J337" i="8" s="1"/>
  <c r="J335" i="8"/>
  <c r="N58" i="8"/>
  <c r="O2993" i="1" s="1"/>
  <c r="L2993" i="1"/>
  <c r="L2997" i="1" s="1"/>
  <c r="N237" i="8"/>
  <c r="O3170" i="1" s="1"/>
  <c r="O3173" i="1" s="1"/>
  <c r="L3170" i="1"/>
  <c r="L3173" i="1" s="1"/>
  <c r="K297" i="8"/>
  <c r="K187" i="1"/>
  <c r="K190" i="1" s="1"/>
  <c r="K2971" i="1"/>
  <c r="K2973" i="1" s="1"/>
  <c r="K2975" i="1" s="1"/>
  <c r="K2986" i="1" s="1"/>
  <c r="K3005" i="1" s="1"/>
  <c r="K3007" i="1" s="1"/>
  <c r="L3266" i="1"/>
  <c r="L3384" i="1"/>
  <c r="L3388" i="1" s="1"/>
  <c r="N451" i="8"/>
  <c r="O3384" i="1" s="1"/>
  <c r="N33" i="8"/>
  <c r="O2968" i="1" s="1"/>
  <c r="O187" i="1" s="1"/>
  <c r="L2968" i="1"/>
  <c r="L187" i="1" s="1"/>
  <c r="N85" i="8"/>
  <c r="O3020" i="1" s="1"/>
  <c r="L3020" i="1"/>
  <c r="L3025" i="1" s="1"/>
  <c r="M362" i="8"/>
  <c r="O3149" i="1"/>
  <c r="O3151" i="1" s="1"/>
  <c r="N218" i="8"/>
  <c r="K153" i="8"/>
  <c r="J124" i="8"/>
  <c r="K385" i="1"/>
  <c r="K3295" i="1"/>
  <c r="O3291" i="1"/>
  <c r="M3291" i="1"/>
  <c r="M3295" i="1" s="1"/>
  <c r="N362" i="8"/>
  <c r="J467" i="8"/>
  <c r="K490" i="8"/>
  <c r="J490" i="8" s="1"/>
  <c r="O3469" i="1"/>
  <c r="O3474" i="1" s="1"/>
  <c r="N541" i="8"/>
  <c r="N551" i="8" s="1"/>
  <c r="N553" i="8" s="1"/>
  <c r="O3062" i="1"/>
  <c r="N132" i="8"/>
  <c r="O3307" i="1"/>
  <c r="O3311" i="1" s="1"/>
  <c r="N378" i="8"/>
  <c r="J553" i="8"/>
  <c r="K562" i="8"/>
  <c r="O3143" i="1"/>
  <c r="O3145" i="1" s="1"/>
  <c r="N212" i="8"/>
  <c r="K3164" i="1"/>
  <c r="K3166" i="1" s="1"/>
  <c r="K3183" i="1" s="1"/>
  <c r="K3185" i="1" s="1"/>
  <c r="K313" i="1"/>
  <c r="O3393" i="1"/>
  <c r="N488" i="8"/>
  <c r="J51" i="8"/>
  <c r="K70" i="8"/>
  <c r="O3016" i="1"/>
  <c r="K3285" i="1"/>
  <c r="K3287" i="1" s="1"/>
  <c r="K331" i="1"/>
  <c r="L3085" i="1"/>
  <c r="O3490" i="1"/>
  <c r="M3490" i="1"/>
  <c r="M3493" i="1" s="1"/>
  <c r="M3495" i="1" s="1"/>
  <c r="M3497" i="1" s="1"/>
  <c r="L357" i="1"/>
  <c r="L3066" i="1"/>
  <c r="L3311" i="1"/>
  <c r="O3262" i="1"/>
  <c r="M3262" i="1"/>
  <c r="M3266" i="1" s="1"/>
  <c r="M3268" i="1" s="1"/>
  <c r="M3270" i="1" s="1"/>
  <c r="O3029" i="1"/>
  <c r="O3034" i="1" s="1"/>
  <c r="N99" i="8"/>
  <c r="M231" i="8"/>
  <c r="M233" i="8" s="1"/>
  <c r="N228" i="8"/>
  <c r="L3161" i="1"/>
  <c r="L3164" i="1" s="1"/>
  <c r="L3166" i="1" s="1"/>
  <c r="N245" i="8"/>
  <c r="L3178" i="1"/>
  <c r="L3181" i="1" s="1"/>
  <c r="M248" i="8"/>
  <c r="K492" i="8"/>
  <c r="J492" i="8" s="1"/>
  <c r="J427" i="8"/>
  <c r="J354" i="8"/>
  <c r="N455" i="8"/>
  <c r="O3405" i="1"/>
  <c r="O3407" i="1" s="1"/>
  <c r="N474" i="8"/>
  <c r="O3421" i="1"/>
  <c r="O419" i="1"/>
  <c r="F42" i="9" s="1"/>
  <c r="I7" i="24" s="1"/>
  <c r="M551" i="8"/>
  <c r="M553" i="8" s="1"/>
  <c r="M562" i="8" s="1"/>
  <c r="M564" i="8" s="1"/>
  <c r="L184" i="1"/>
  <c r="O183" i="1"/>
  <c r="L3034" i="1"/>
  <c r="O3001" i="1"/>
  <c r="O3003" i="1" s="1"/>
  <c r="N68" i="8"/>
  <c r="O3388" i="1"/>
  <c r="L3056" i="1"/>
  <c r="L3058" i="1" s="1"/>
  <c r="M465" i="8"/>
  <c r="M467" i="8" s="1"/>
  <c r="M490" i="8" s="1"/>
  <c r="M492" i="8" s="1"/>
  <c r="M352" i="8"/>
  <c r="M354" i="8" s="1"/>
  <c r="M380" i="8" s="1"/>
  <c r="N350" i="8"/>
  <c r="L3283" i="1"/>
  <c r="L3285" i="1" s="1"/>
  <c r="L3287" i="1" s="1"/>
  <c r="O3038" i="1"/>
  <c r="O3042" i="1" s="1"/>
  <c r="N107" i="8"/>
  <c r="M250" i="8"/>
  <c r="M252" i="8" s="1"/>
  <c r="K250" i="8"/>
  <c r="J250" i="8" s="1"/>
  <c r="J222" i="8"/>
  <c r="M109" i="8"/>
  <c r="M111" i="8" s="1"/>
  <c r="M153" i="8" s="1"/>
  <c r="M155" i="8" s="1"/>
  <c r="O2994" i="1"/>
  <c r="O3076" i="1"/>
  <c r="O3085" i="1" s="1"/>
  <c r="N151" i="8"/>
  <c r="J2505" i="1"/>
  <c r="J2507" i="1" s="1"/>
  <c r="J1187" i="1"/>
  <c r="J1189" i="1" s="1"/>
  <c r="J1191" i="1" s="1"/>
  <c r="I2459" i="1"/>
  <c r="I2461" i="1" s="1"/>
  <c r="I2505" i="1" s="1"/>
  <c r="I2507" i="1" s="1"/>
  <c r="K2557" i="1"/>
  <c r="J2680" i="1"/>
  <c r="L219" i="6"/>
  <c r="L221" i="6" s="1"/>
  <c r="L244" i="6" s="1"/>
  <c r="L246" i="6" s="1"/>
  <c r="L2124" i="1"/>
  <c r="D112" i="6"/>
  <c r="D149" i="6" s="1"/>
  <c r="D518" i="6" s="1"/>
  <c r="L444" i="6"/>
  <c r="L446" i="6" s="1"/>
  <c r="N291" i="8"/>
  <c r="O3222" i="1"/>
  <c r="M3222" i="1"/>
  <c r="M295" i="8"/>
  <c r="M297" i="8" s="1"/>
  <c r="L72" i="1"/>
  <c r="L3224" i="1"/>
  <c r="L3228" i="1" s="1"/>
  <c r="L3230" i="1" s="1"/>
  <c r="M3211" i="1"/>
  <c r="O3211" i="1"/>
  <c r="N285" i="8"/>
  <c r="N295" i="8" s="1"/>
  <c r="N297" i="8" s="1"/>
  <c r="D3315" i="1"/>
  <c r="E3315" i="1"/>
  <c r="K2614" i="1"/>
  <c r="J2860" i="1"/>
  <c r="J2862" i="1" s="1"/>
  <c r="I2242" i="1"/>
  <c r="I2244" i="1" s="1"/>
  <c r="N2031" i="1"/>
  <c r="I2633" i="1"/>
  <c r="I2635" i="1" s="1"/>
  <c r="I203" i="1"/>
  <c r="I205" i="1" s="1"/>
  <c r="I861" i="1"/>
  <c r="I863" i="1" s="1"/>
  <c r="K2523" i="1"/>
  <c r="K2657" i="1"/>
  <c r="K304" i="1"/>
  <c r="J861" i="1"/>
  <c r="J863" i="1" s="1"/>
  <c r="J891" i="1" s="1"/>
  <c r="J893" i="1" s="1"/>
  <c r="I781" i="1"/>
  <c r="I783" i="1" s="1"/>
  <c r="I813" i="1" s="1"/>
  <c r="I815" i="1" s="1"/>
  <c r="I552" i="1"/>
  <c r="I554" i="1" s="1"/>
  <c r="I627" i="1" s="1"/>
  <c r="K842" i="1"/>
  <c r="L837" i="1"/>
  <c r="N353" i="2"/>
  <c r="O837" i="1" s="1"/>
  <c r="L839" i="1"/>
  <c r="N355" i="2"/>
  <c r="O839" i="1" s="1"/>
  <c r="L836" i="1"/>
  <c r="N352" i="2"/>
  <c r="O836" i="1" s="1"/>
  <c r="N348" i="2"/>
  <c r="L832" i="1"/>
  <c r="K874" i="1"/>
  <c r="N347" i="2"/>
  <c r="M358" i="2"/>
  <c r="L831" i="1"/>
  <c r="N383" i="2"/>
  <c r="L867" i="1"/>
  <c r="M390" i="2"/>
  <c r="L840" i="1"/>
  <c r="N356" i="2"/>
  <c r="O840" i="1" s="1"/>
  <c r="L835" i="1"/>
  <c r="N351" i="2"/>
  <c r="O835" i="1" s="1"/>
  <c r="O872" i="1"/>
  <c r="M872" i="1"/>
  <c r="O868" i="1"/>
  <c r="M868" i="1"/>
  <c r="L871" i="1"/>
  <c r="L371" i="1" s="1"/>
  <c r="N387" i="2"/>
  <c r="N349" i="2"/>
  <c r="L833" i="1"/>
  <c r="K364" i="1"/>
  <c r="N735" i="1"/>
  <c r="N737" i="1" s="1"/>
  <c r="H143" i="2"/>
  <c r="J68" i="2"/>
  <c r="M78" i="2"/>
  <c r="L377" i="2"/>
  <c r="L379" i="2" s="1"/>
  <c r="I387" i="1"/>
  <c r="I335" i="1"/>
  <c r="L297" i="2"/>
  <c r="L299" i="2" s="1"/>
  <c r="L329" i="2" s="1"/>
  <c r="L331" i="2" s="1"/>
  <c r="K429" i="1"/>
  <c r="J306" i="1"/>
  <c r="K435" i="1"/>
  <c r="I708" i="1"/>
  <c r="L203" i="2"/>
  <c r="L205" i="2" s="1"/>
  <c r="M141" i="2"/>
  <c r="K166" i="2"/>
  <c r="J164" i="2"/>
  <c r="L754" i="1"/>
  <c r="N270" i="2"/>
  <c r="O754" i="1" s="1"/>
  <c r="L68" i="2"/>
  <c r="K668" i="1"/>
  <c r="N228" i="2"/>
  <c r="L712" i="1"/>
  <c r="N137" i="2"/>
  <c r="L621" i="1"/>
  <c r="L619" i="1"/>
  <c r="N135" i="2"/>
  <c r="N134" i="2"/>
  <c r="L618" i="1"/>
  <c r="N176" i="2"/>
  <c r="L660" i="1"/>
  <c r="L760" i="1"/>
  <c r="N276" i="2"/>
  <c r="O760" i="1" s="1"/>
  <c r="K762" i="1"/>
  <c r="J130" i="1"/>
  <c r="N229" i="2"/>
  <c r="L713" i="1"/>
  <c r="M242" i="2"/>
  <c r="L716" i="1"/>
  <c r="N232" i="2"/>
  <c r="O716" i="1" s="1"/>
  <c r="L715" i="1"/>
  <c r="L347" i="1" s="1"/>
  <c r="N231" i="2"/>
  <c r="L659" i="1"/>
  <c r="N175" i="2"/>
  <c r="L623" i="1"/>
  <c r="N139" i="2"/>
  <c r="L658" i="1"/>
  <c r="N174" i="2"/>
  <c r="N237" i="2"/>
  <c r="O721" i="1" s="1"/>
  <c r="L721" i="1"/>
  <c r="N173" i="2"/>
  <c r="L657" i="1"/>
  <c r="M184" i="2"/>
  <c r="L757" i="1"/>
  <c r="N273" i="2"/>
  <c r="O757" i="1" s="1"/>
  <c r="L756" i="1"/>
  <c r="N272" i="2"/>
  <c r="O756" i="1" s="1"/>
  <c r="M661" i="1"/>
  <c r="O661" i="1"/>
  <c r="L662" i="1"/>
  <c r="N178" i="2"/>
  <c r="K342" i="1"/>
  <c r="K726" i="1"/>
  <c r="I120" i="1"/>
  <c r="I122" i="1" s="1"/>
  <c r="I494" i="1"/>
  <c r="I496" i="1" s="1"/>
  <c r="I498" i="1" s="1"/>
  <c r="K625" i="1"/>
  <c r="O615" i="1"/>
  <c r="M615" i="1"/>
  <c r="N180" i="2"/>
  <c r="L664" i="1"/>
  <c r="N269" i="2"/>
  <c r="O753" i="1" s="1"/>
  <c r="L753" i="1"/>
  <c r="L665" i="1"/>
  <c r="N181" i="2"/>
  <c r="L622" i="1"/>
  <c r="N138" i="2"/>
  <c r="N236" i="2"/>
  <c r="O720" i="1" s="1"/>
  <c r="L720" i="1"/>
  <c r="N136" i="2"/>
  <c r="L620" i="1"/>
  <c r="L617" i="1"/>
  <c r="N133" i="2"/>
  <c r="L752" i="1"/>
  <c r="M278" i="2"/>
  <c r="N268" i="2"/>
  <c r="O616" i="1"/>
  <c r="M616" i="1"/>
  <c r="L666" i="1"/>
  <c r="N182" i="2"/>
  <c r="C50" i="1"/>
  <c r="C132" i="1" s="1"/>
  <c r="B21" i="9" s="1"/>
  <c r="K2918" i="1"/>
  <c r="D6" i="11"/>
  <c r="D6" i="18"/>
  <c r="K2440" i="1"/>
  <c r="J50" i="1"/>
  <c r="K2825" i="1"/>
  <c r="K2029" i="1"/>
  <c r="L2457" i="1"/>
  <c r="K2540" i="1"/>
  <c r="L2631" i="1"/>
  <c r="K2833" i="1"/>
  <c r="K2740" i="1"/>
  <c r="L2604" i="1"/>
  <c r="N209" i="7"/>
  <c r="O2604" i="1" s="1"/>
  <c r="D283" i="7"/>
  <c r="D285" i="7" s="1"/>
  <c r="L355" i="7"/>
  <c r="L357" i="7" s="1"/>
  <c r="L386" i="7" s="1"/>
  <c r="L388" i="7" s="1"/>
  <c r="L2519" i="1"/>
  <c r="N124" i="7"/>
  <c r="O2519" i="1" s="1"/>
  <c r="L2497" i="1"/>
  <c r="N102" i="7"/>
  <c r="O2497" i="1" s="1"/>
  <c r="L2517" i="1"/>
  <c r="N122" i="7"/>
  <c r="O2517" i="1" s="1"/>
  <c r="L2527" i="1"/>
  <c r="L2532" i="1" s="1"/>
  <c r="M137" i="7"/>
  <c r="N132" i="7"/>
  <c r="L2670" i="1"/>
  <c r="M281" i="7"/>
  <c r="N275" i="7"/>
  <c r="L2479" i="1"/>
  <c r="N84" i="7"/>
  <c r="O2479" i="1" s="1"/>
  <c r="L2538" i="1"/>
  <c r="N143" i="7"/>
  <c r="O2538" i="1" s="1"/>
  <c r="L2907" i="1"/>
  <c r="N512" i="7"/>
  <c r="O2907" i="1" s="1"/>
  <c r="L2906" i="1"/>
  <c r="N511" i="7"/>
  <c r="O2906" i="1" s="1"/>
  <c r="L2417" i="1"/>
  <c r="L195" i="1" s="1"/>
  <c r="N22" i="7"/>
  <c r="O2417" i="1" s="1"/>
  <c r="O195" i="1" s="1"/>
  <c r="L2905" i="1"/>
  <c r="N510" i="7"/>
  <c r="M515" i="7"/>
  <c r="L2475" i="1"/>
  <c r="N80" i="7"/>
  <c r="O2475" i="1" s="1"/>
  <c r="L2618" i="1"/>
  <c r="M228" i="7"/>
  <c r="N223" i="7"/>
  <c r="L2663" i="1"/>
  <c r="N268" i="7"/>
  <c r="O2663" i="1" s="1"/>
  <c r="L2822" i="1"/>
  <c r="N427" i="7"/>
  <c r="O2822" i="1" s="1"/>
  <c r="L2915" i="1"/>
  <c r="N520" i="7"/>
  <c r="O2915" i="1" s="1"/>
  <c r="K212" i="1"/>
  <c r="L2515" i="1"/>
  <c r="N120" i="7"/>
  <c r="M128" i="7"/>
  <c r="L2420" i="1"/>
  <c r="L198" i="1" s="1"/>
  <c r="N25" i="7"/>
  <c r="O2420" i="1" s="1"/>
  <c r="O198" i="1" s="1"/>
  <c r="L2478" i="1"/>
  <c r="N83" i="7"/>
  <c r="O2478" i="1" s="1"/>
  <c r="L2477" i="1"/>
  <c r="N82" i="7"/>
  <c r="O2477" i="1" s="1"/>
  <c r="K317" i="7"/>
  <c r="J306" i="7"/>
  <c r="L2554" i="1"/>
  <c r="N159" i="7"/>
  <c r="M162" i="7"/>
  <c r="K2748" i="1"/>
  <c r="L2830" i="1"/>
  <c r="N435" i="7"/>
  <c r="O2830" i="1" s="1"/>
  <c r="L2495" i="1"/>
  <c r="N100" i="7"/>
  <c r="O2495" i="1" s="1"/>
  <c r="L2435" i="1"/>
  <c r="N40" i="7"/>
  <c r="O2435" i="1" s="1"/>
  <c r="K2449" i="1"/>
  <c r="O2473" i="1"/>
  <c r="L2735" i="1"/>
  <c r="N340" i="7"/>
  <c r="M345" i="7"/>
  <c r="L2671" i="1"/>
  <c r="N276" i="7"/>
  <c r="O2671" i="1" s="1"/>
  <c r="L2736" i="1"/>
  <c r="N341" i="7"/>
  <c r="O2736" i="1" s="1"/>
  <c r="L2929" i="1"/>
  <c r="N534" i="7"/>
  <c r="O2929" i="1" s="1"/>
  <c r="O2652" i="1"/>
  <c r="O2655" i="1" s="1"/>
  <c r="N260" i="7"/>
  <c r="K489" i="7"/>
  <c r="J487" i="7"/>
  <c r="L2927" i="1"/>
  <c r="N532" i="7"/>
  <c r="M537" i="7"/>
  <c r="L2930" i="1"/>
  <c r="N535" i="7"/>
  <c r="O2930" i="1" s="1"/>
  <c r="K2910" i="1"/>
  <c r="L2418" i="1"/>
  <c r="L196" i="1" s="1"/>
  <c r="N23" i="7"/>
  <c r="O2418" i="1" s="1"/>
  <c r="O196" i="1" s="1"/>
  <c r="L2447" i="1"/>
  <c r="N52" i="7"/>
  <c r="O2447" i="1" s="1"/>
  <c r="L2480" i="1"/>
  <c r="N85" i="7"/>
  <c r="O2480" i="1" s="1"/>
  <c r="L2518" i="1"/>
  <c r="N123" i="7"/>
  <c r="O2518" i="1" s="1"/>
  <c r="L2536" i="1"/>
  <c r="N141" i="7"/>
  <c r="M145" i="7"/>
  <c r="K2483" i="1"/>
  <c r="K362" i="1"/>
  <c r="L2664" i="1"/>
  <c r="N269" i="7"/>
  <c r="O2664" i="1" s="1"/>
  <c r="K2623" i="1"/>
  <c r="K357" i="7"/>
  <c r="J355" i="7"/>
  <c r="L2446" i="1"/>
  <c r="N51" i="7"/>
  <c r="O2446" i="1" s="1"/>
  <c r="K283" i="7"/>
  <c r="J238" i="7"/>
  <c r="K240" i="7"/>
  <c r="J240" i="7" s="1"/>
  <c r="L2908" i="1"/>
  <c r="N513" i="7"/>
  <c r="O2908" i="1" s="1"/>
  <c r="L2501" i="1"/>
  <c r="N106" i="7"/>
  <c r="O2501" i="1" s="1"/>
  <c r="B17" i="9"/>
  <c r="L2487" i="1"/>
  <c r="L2490" i="1" s="1"/>
  <c r="M95" i="7"/>
  <c r="N92" i="7"/>
  <c r="L147" i="7"/>
  <c r="L149" i="7" s="1"/>
  <c r="L164" i="7" s="1"/>
  <c r="L166" i="7" s="1"/>
  <c r="K32" i="7"/>
  <c r="J30" i="7"/>
  <c r="L2465" i="1"/>
  <c r="L2467" i="1" s="1"/>
  <c r="L2469" i="1" s="1"/>
  <c r="M72" i="7"/>
  <c r="M74" i="7" s="1"/>
  <c r="N70" i="7"/>
  <c r="L2662" i="1"/>
  <c r="L361" i="1" s="1"/>
  <c r="N267" i="7"/>
  <c r="O2662" i="1" s="1"/>
  <c r="O361" i="1" s="1"/>
  <c r="L2520" i="1"/>
  <c r="N125" i="7"/>
  <c r="O2520" i="1" s="1"/>
  <c r="L2661" i="1"/>
  <c r="M271" i="7"/>
  <c r="N266" i="7"/>
  <c r="K442" i="7"/>
  <c r="J440" i="7"/>
  <c r="L2842" i="1"/>
  <c r="L2844" i="1" s="1"/>
  <c r="L2846" i="1" s="1"/>
  <c r="N447" i="7"/>
  <c r="M449" i="7"/>
  <c r="M451" i="7" s="1"/>
  <c r="L2914" i="1"/>
  <c r="M523" i="7"/>
  <c r="N519" i="7"/>
  <c r="K2503" i="1"/>
  <c r="K2676" i="1"/>
  <c r="L2603" i="1"/>
  <c r="N208" i="7"/>
  <c r="M219" i="7"/>
  <c r="M238" i="7" s="1"/>
  <c r="K527" i="7"/>
  <c r="J525" i="7"/>
  <c r="M108" i="7"/>
  <c r="O2453" i="1"/>
  <c r="O2457" i="1" s="1"/>
  <c r="N62" i="7"/>
  <c r="M88" i="7"/>
  <c r="L2672" i="1"/>
  <c r="N277" i="7"/>
  <c r="O2672" i="1" s="1"/>
  <c r="M262" i="7"/>
  <c r="L2766" i="1"/>
  <c r="N371" i="7"/>
  <c r="O2766" i="1" s="1"/>
  <c r="L465" i="7"/>
  <c r="L467" i="7" s="1"/>
  <c r="L2516" i="1"/>
  <c r="N121" i="7"/>
  <c r="O2516" i="1" s="1"/>
  <c r="L2737" i="1"/>
  <c r="N342" i="7"/>
  <c r="O2737" i="1" s="1"/>
  <c r="L2655" i="1"/>
  <c r="L2823" i="1"/>
  <c r="N428" i="7"/>
  <c r="O2823" i="1" s="1"/>
  <c r="L2831" i="1"/>
  <c r="N436" i="7"/>
  <c r="O2831" i="1" s="1"/>
  <c r="K2932" i="1"/>
  <c r="K356" i="1"/>
  <c r="J147" i="7"/>
  <c r="K149" i="7"/>
  <c r="O2646" i="1"/>
  <c r="N253" i="7"/>
  <c r="L2555" i="1"/>
  <c r="N160" i="7"/>
  <c r="O2555" i="1" s="1"/>
  <c r="L2928" i="1"/>
  <c r="N533" i="7"/>
  <c r="O2928" i="1" s="1"/>
  <c r="L2916" i="1"/>
  <c r="N521" i="7"/>
  <c r="O2916" i="1" s="1"/>
  <c r="L2433" i="1"/>
  <c r="N38" i="7"/>
  <c r="M45" i="7"/>
  <c r="K194" i="1"/>
  <c r="K201" i="1" s="1"/>
  <c r="K2423" i="1"/>
  <c r="K2425" i="1" s="1"/>
  <c r="K2427" i="1" s="1"/>
  <c r="L2619" i="1"/>
  <c r="N224" i="7"/>
  <c r="O2619" i="1" s="1"/>
  <c r="L2745" i="1"/>
  <c r="N350" i="7"/>
  <c r="O2745" i="1" s="1"/>
  <c r="L2744" i="1"/>
  <c r="N349" i="7"/>
  <c r="M353" i="7"/>
  <c r="N362" i="7"/>
  <c r="L2757" i="1"/>
  <c r="L2759" i="1" s="1"/>
  <c r="L2761" i="1" s="1"/>
  <c r="M364" i="7"/>
  <c r="M366" i="7" s="1"/>
  <c r="L2521" i="1"/>
  <c r="N126" i="7"/>
  <c r="O2521" i="1" s="1"/>
  <c r="L2765" i="1"/>
  <c r="M373" i="7"/>
  <c r="N370" i="7"/>
  <c r="L2674" i="1"/>
  <c r="N279" i="7"/>
  <c r="O2674" i="1" s="1"/>
  <c r="K392" i="1"/>
  <c r="L64" i="7"/>
  <c r="L66" i="7" s="1"/>
  <c r="L110" i="7" s="1"/>
  <c r="L2416" i="1"/>
  <c r="N21" i="7"/>
  <c r="M28" i="7"/>
  <c r="M30" i="7" s="1"/>
  <c r="M32" i="7" s="1"/>
  <c r="L2445" i="1"/>
  <c r="N50" i="7"/>
  <c r="O2445" i="1" s="1"/>
  <c r="L2620" i="1"/>
  <c r="N225" i="7"/>
  <c r="O2620" i="1" s="1"/>
  <c r="K2666" i="1"/>
  <c r="L2850" i="1"/>
  <c r="L2852" i="1" s="1"/>
  <c r="N455" i="7"/>
  <c r="M457" i="7"/>
  <c r="L240" i="7"/>
  <c r="L283" i="7"/>
  <c r="L2746" i="1"/>
  <c r="N351" i="7"/>
  <c r="O2746" i="1" s="1"/>
  <c r="O2494" i="1"/>
  <c r="L2419" i="1"/>
  <c r="L197" i="1" s="1"/>
  <c r="N24" i="7"/>
  <c r="O2419" i="1" s="1"/>
  <c r="O197" i="1" s="1"/>
  <c r="L2444" i="1"/>
  <c r="N49" i="7"/>
  <c r="M54" i="7"/>
  <c r="O2640" i="1"/>
  <c r="O2642" i="1" s="1"/>
  <c r="N247" i="7"/>
  <c r="L2605" i="1"/>
  <c r="N210" i="7"/>
  <c r="O2605" i="1" s="1"/>
  <c r="L2820" i="1"/>
  <c r="M430" i="7"/>
  <c r="N425" i="7"/>
  <c r="N278" i="7"/>
  <c r="O2673" i="1" s="1"/>
  <c r="O434" i="1" s="1"/>
  <c r="L2821" i="1"/>
  <c r="N426" i="7"/>
  <c r="O2821" i="1" s="1"/>
  <c r="L525" i="7"/>
  <c r="L527" i="7" s="1"/>
  <c r="L539" i="7" s="1"/>
  <c r="L541" i="7" s="1"/>
  <c r="L2476" i="1"/>
  <c r="L367" i="1" s="1"/>
  <c r="N81" i="7"/>
  <c r="O2476" i="1" s="1"/>
  <c r="O367" i="1" s="1"/>
  <c r="L2496" i="1"/>
  <c r="N101" i="7"/>
  <c r="O2496" i="1" s="1"/>
  <c r="L2499" i="1"/>
  <c r="N104" i="7"/>
  <c r="O2499" i="1" s="1"/>
  <c r="L2548" i="1"/>
  <c r="L2550" i="1" s="1"/>
  <c r="M155" i="7"/>
  <c r="N153" i="7"/>
  <c r="L2621" i="1"/>
  <c r="N226" i="7"/>
  <c r="O2621" i="1" s="1"/>
  <c r="L2537" i="1"/>
  <c r="N142" i="7"/>
  <c r="O2537" i="1" s="1"/>
  <c r="O2627" i="1"/>
  <c r="O2631" i="1" s="1"/>
  <c r="N236" i="7"/>
  <c r="L2648" i="1"/>
  <c r="L2829" i="1"/>
  <c r="N434" i="7"/>
  <c r="M438" i="7"/>
  <c r="L2148" i="1"/>
  <c r="L2152" i="1" s="1"/>
  <c r="L2154" i="1" s="1"/>
  <c r="L99" i="1"/>
  <c r="B7" i="9"/>
  <c r="B15" i="9" s="1"/>
  <c r="C445" i="1"/>
  <c r="L823" i="1"/>
  <c r="J1993" i="1"/>
  <c r="J1995" i="1" s="1"/>
  <c r="J2031" i="1" s="1"/>
  <c r="K2281" i="1"/>
  <c r="K2291" i="1" s="1"/>
  <c r="K2293" i="1" s="1"/>
  <c r="K2326" i="1" s="1"/>
  <c r="K2328" i="1" s="1"/>
  <c r="I1187" i="1"/>
  <c r="I1189" i="1" s="1"/>
  <c r="I1191" i="1" s="1"/>
  <c r="I1075" i="1"/>
  <c r="I226" i="1"/>
  <c r="N132" i="1"/>
  <c r="I235" i="1"/>
  <c r="B46" i="9"/>
  <c r="B10" i="10" s="1"/>
  <c r="B14" i="10" s="1"/>
  <c r="J781" i="1"/>
  <c r="J783" i="1" s="1"/>
  <c r="J813" i="1" s="1"/>
  <c r="J815" i="1" s="1"/>
  <c r="J947" i="1"/>
  <c r="J949" i="1" s="1"/>
  <c r="J970" i="1" s="1"/>
  <c r="K2091" i="1"/>
  <c r="O2236" i="1"/>
  <c r="N69" i="6"/>
  <c r="L1952" i="1"/>
  <c r="L154" i="1" s="1"/>
  <c r="K1993" i="1"/>
  <c r="N320" i="6"/>
  <c r="M325" i="6"/>
  <c r="M334" i="6" s="1"/>
  <c r="L2202" i="1"/>
  <c r="L2207" i="1" s="1"/>
  <c r="L2216" i="1" s="1"/>
  <c r="L2076" i="1"/>
  <c r="N194" i="6"/>
  <c r="O2076" i="1" s="1"/>
  <c r="N204" i="6"/>
  <c r="L2086" i="1"/>
  <c r="M209" i="6"/>
  <c r="K2385" i="1"/>
  <c r="K405" i="1"/>
  <c r="K407" i="1" s="1"/>
  <c r="D166" i="6"/>
  <c r="J166" i="6" s="1"/>
  <c r="I2048" i="1" s="1"/>
  <c r="J164" i="6"/>
  <c r="I2046" i="1" s="1"/>
  <c r="K2082" i="1"/>
  <c r="O1982" i="1"/>
  <c r="K158" i="1"/>
  <c r="L2168" i="1"/>
  <c r="N286" i="6"/>
  <c r="O2168" i="1" s="1"/>
  <c r="N439" i="6"/>
  <c r="L2321" i="1"/>
  <c r="L2324" i="1" s="1"/>
  <c r="M442" i="6"/>
  <c r="K244" i="6"/>
  <c r="J244" i="6" s="1"/>
  <c r="J221" i="6"/>
  <c r="L149" i="6"/>
  <c r="L2383" i="1"/>
  <c r="N501" i="6"/>
  <c r="M503" i="6"/>
  <c r="O2309" i="1"/>
  <c r="O2311" i="1" s="1"/>
  <c r="N429" i="6"/>
  <c r="L2237" i="1"/>
  <c r="L2240" i="1" s="1"/>
  <c r="N355" i="6"/>
  <c r="O2237" i="1" s="1"/>
  <c r="J444" i="6"/>
  <c r="K446" i="6"/>
  <c r="J446" i="6" s="1"/>
  <c r="L2070" i="1"/>
  <c r="N188" i="6"/>
  <c r="M200" i="6"/>
  <c r="M219" i="6" s="1"/>
  <c r="M221" i="6" s="1"/>
  <c r="M244" i="6" s="1"/>
  <c r="M246" i="6" s="1"/>
  <c r="L512" i="6"/>
  <c r="L514" i="6" s="1"/>
  <c r="K517" i="6"/>
  <c r="J58" i="6"/>
  <c r="N197" i="6"/>
  <c r="O2079" i="1" s="1"/>
  <c r="L2079" i="1"/>
  <c r="L360" i="6"/>
  <c r="L362" i="6" s="1"/>
  <c r="N395" i="6"/>
  <c r="O2277" i="1" s="1"/>
  <c r="L2277" i="1"/>
  <c r="I244" i="1"/>
  <c r="M358" i="6"/>
  <c r="N191" i="6"/>
  <c r="O2073" i="1" s="1"/>
  <c r="L2073" i="1"/>
  <c r="O2121" i="1"/>
  <c r="O2124" i="1" s="1"/>
  <c r="N242" i="6"/>
  <c r="J314" i="6"/>
  <c r="K360" i="6"/>
  <c r="N508" i="6"/>
  <c r="L2390" i="1"/>
  <c r="L2392" i="1" s="1"/>
  <c r="M510" i="6"/>
  <c r="N393" i="6"/>
  <c r="L2275" i="1"/>
  <c r="M399" i="6"/>
  <c r="M409" i="6" s="1"/>
  <c r="M411" i="6" s="1"/>
  <c r="M444" i="6" s="1"/>
  <c r="M446" i="6" s="1"/>
  <c r="N86" i="6"/>
  <c r="L1969" i="1"/>
  <c r="L1973" i="1" s="1"/>
  <c r="L1993" i="1" s="1"/>
  <c r="M90" i="6"/>
  <c r="M110" i="6" s="1"/>
  <c r="M1982" i="1"/>
  <c r="K346" i="1"/>
  <c r="K2379" i="1"/>
  <c r="O2315" i="1"/>
  <c r="O2317" i="1" s="1"/>
  <c r="N435" i="6"/>
  <c r="K2174" i="1"/>
  <c r="K2194" i="1" s="1"/>
  <c r="K2196" i="1" s="1"/>
  <c r="K2242" i="1" s="1"/>
  <c r="K2244" i="1" s="1"/>
  <c r="N139" i="6"/>
  <c r="L2021" i="1"/>
  <c r="M147" i="6"/>
  <c r="N339" i="6"/>
  <c r="L2221" i="1"/>
  <c r="L2225" i="1" s="1"/>
  <c r="M343" i="6"/>
  <c r="L2088" i="1"/>
  <c r="N206" i="6"/>
  <c r="O2088" i="1" s="1"/>
  <c r="L1950" i="1"/>
  <c r="N67" i="6"/>
  <c r="M73" i="6"/>
  <c r="M75" i="6" s="1"/>
  <c r="M77" i="6" s="1"/>
  <c r="J181" i="6"/>
  <c r="K246" i="6"/>
  <c r="J246" i="6" s="1"/>
  <c r="N492" i="6"/>
  <c r="L2374" i="1"/>
  <c r="M497" i="6"/>
  <c r="K1956" i="1"/>
  <c r="K1958" i="1" s="1"/>
  <c r="K1960" i="1" s="1"/>
  <c r="D517" i="6"/>
  <c r="D151" i="6"/>
  <c r="I151" i="6" s="1"/>
  <c r="K512" i="6"/>
  <c r="J488" i="6"/>
  <c r="K112" i="6"/>
  <c r="J77" i="6"/>
  <c r="N279" i="6"/>
  <c r="L2161" i="1"/>
  <c r="M292" i="6"/>
  <c r="M312" i="6" s="1"/>
  <c r="M314" i="6" s="1"/>
  <c r="L2078" i="1"/>
  <c r="N196" i="6"/>
  <c r="O2078" i="1" s="1"/>
  <c r="N144" i="6"/>
  <c r="L2026" i="1"/>
  <c r="J202" i="8"/>
  <c r="K252" i="8"/>
  <c r="J252" i="8" s="1"/>
  <c r="K567" i="8"/>
  <c r="L107" i="1"/>
  <c r="L109" i="1" s="1"/>
  <c r="L2594" i="1"/>
  <c r="L2596" i="1" s="1"/>
  <c r="M201" i="7"/>
  <c r="M199" i="7"/>
  <c r="L201" i="7"/>
  <c r="L199" i="7"/>
  <c r="K107" i="1"/>
  <c r="K109" i="1" s="1"/>
  <c r="K2594" i="1"/>
  <c r="K2596" i="1" s="1"/>
  <c r="N191" i="7"/>
  <c r="O2584" i="1"/>
  <c r="O2586" i="1" s="1"/>
  <c r="N95" i="3"/>
  <c r="M124" i="17"/>
  <c r="M132" i="17" s="1"/>
  <c r="M134" i="17" s="1"/>
  <c r="K117" i="1"/>
  <c r="K122" i="1" s="1"/>
  <c r="K989" i="1"/>
  <c r="K991" i="1" s="1"/>
  <c r="L987" i="1"/>
  <c r="M97" i="3"/>
  <c r="M99" i="3" s="1"/>
  <c r="M301" i="3" s="1"/>
  <c r="K223" i="1"/>
  <c r="K937" i="1"/>
  <c r="C12" i="10"/>
  <c r="J1133" i="1"/>
  <c r="J1135" i="1" s="1"/>
  <c r="J1153" i="1" s="1"/>
  <c r="K1177" i="1"/>
  <c r="I50" i="1"/>
  <c r="K411" i="1"/>
  <c r="K413" i="1" s="1"/>
  <c r="J687" i="1"/>
  <c r="J689" i="1" s="1"/>
  <c r="K859" i="1"/>
  <c r="C48" i="1"/>
  <c r="B29" i="9" s="1"/>
  <c r="B5" i="10" s="1"/>
  <c r="L1003" i="1"/>
  <c r="N111" i="3"/>
  <c r="O1003" i="1" s="1"/>
  <c r="L1175" i="1"/>
  <c r="N283" i="3"/>
  <c r="O1175" i="1" s="1"/>
  <c r="L932" i="1"/>
  <c r="N40" i="3"/>
  <c r="M45" i="3"/>
  <c r="L935" i="1"/>
  <c r="N43" i="3"/>
  <c r="O935" i="1" s="1"/>
  <c r="L943" i="1"/>
  <c r="N51" i="3"/>
  <c r="O943" i="1" s="1"/>
  <c r="L941" i="1"/>
  <c r="N49" i="3"/>
  <c r="M53" i="3"/>
  <c r="L920" i="1"/>
  <c r="N28" i="3"/>
  <c r="O920" i="1" s="1"/>
  <c r="L1140" i="1"/>
  <c r="N248" i="3"/>
  <c r="O1140" i="1" s="1"/>
  <c r="L1183" i="1"/>
  <c r="N291" i="3"/>
  <c r="O1183" i="1" s="1"/>
  <c r="L957" i="1"/>
  <c r="N65" i="3"/>
  <c r="O957" i="1" s="1"/>
  <c r="L958" i="1"/>
  <c r="N66" i="3"/>
  <c r="O958" i="1" s="1"/>
  <c r="L1001" i="1"/>
  <c r="N109" i="3"/>
  <c r="O1001" i="1" s="1"/>
  <c r="L1119" i="1"/>
  <c r="N227" i="3"/>
  <c r="O1119" i="1" s="1"/>
  <c r="J226" i="1"/>
  <c r="L1063" i="1"/>
  <c r="N171" i="3"/>
  <c r="M175" i="3"/>
  <c r="L956" i="1"/>
  <c r="N64" i="3"/>
  <c r="O956" i="1" s="1"/>
  <c r="L965" i="1"/>
  <c r="N73" i="3"/>
  <c r="O965" i="1" s="1"/>
  <c r="L1071" i="1"/>
  <c r="L1073" i="1" s="1"/>
  <c r="N179" i="3"/>
  <c r="M181" i="3"/>
  <c r="L902" i="1"/>
  <c r="N10" i="3"/>
  <c r="M16" i="3"/>
  <c r="M18" i="3" s="1"/>
  <c r="M20" i="3" s="1"/>
  <c r="N143" i="3"/>
  <c r="L1035" i="1"/>
  <c r="M145" i="3"/>
  <c r="M165" i="3" s="1"/>
  <c r="K945" i="1"/>
  <c r="L1012" i="1"/>
  <c r="M125" i="3"/>
  <c r="N120" i="3"/>
  <c r="K1142" i="1"/>
  <c r="L964" i="1"/>
  <c r="N72" i="3"/>
  <c r="M76" i="3"/>
  <c r="L1174" i="1"/>
  <c r="N282" i="3"/>
  <c r="O1174" i="1" s="1"/>
  <c r="I320" i="1"/>
  <c r="K218" i="1"/>
  <c r="K368" i="1"/>
  <c r="K211" i="1"/>
  <c r="J203" i="1"/>
  <c r="J205" i="1" s="1"/>
  <c r="L1148" i="1"/>
  <c r="N256" i="3"/>
  <c r="L1023" i="1"/>
  <c r="N131" i="3"/>
  <c r="O1023" i="1" s="1"/>
  <c r="L1128" i="1"/>
  <c r="N236" i="3"/>
  <c r="O1128" i="1" s="1"/>
  <c r="K243" i="3"/>
  <c r="K261" i="3" s="1"/>
  <c r="J241" i="3"/>
  <c r="L1146" i="1"/>
  <c r="N254" i="3"/>
  <c r="M259" i="3"/>
  <c r="L953" i="1"/>
  <c r="N61" i="3"/>
  <c r="M68" i="3"/>
  <c r="K1008" i="1"/>
  <c r="L923" i="1"/>
  <c r="N31" i="3"/>
  <c r="O923" i="1" s="1"/>
  <c r="L1005" i="1"/>
  <c r="N113" i="3"/>
  <c r="O1005" i="1" s="1"/>
  <c r="L903" i="1"/>
  <c r="L174" i="1" s="1"/>
  <c r="N11" i="3"/>
  <c r="O903" i="1" s="1"/>
  <c r="O174" i="1" s="1"/>
  <c r="L1000" i="1"/>
  <c r="N108" i="3"/>
  <c r="O1000" i="1" s="1"/>
  <c r="K173" i="1"/>
  <c r="K179" i="1" s="1"/>
  <c r="K908" i="1"/>
  <c r="K910" i="1" s="1"/>
  <c r="K912" i="1" s="1"/>
  <c r="L917" i="1"/>
  <c r="M36" i="3"/>
  <c r="M55" i="3" s="1"/>
  <c r="N25" i="3"/>
  <c r="J1027" i="1"/>
  <c r="J1029" i="1" s="1"/>
  <c r="J1075" i="1" s="1"/>
  <c r="L1173" i="1"/>
  <c r="N281" i="3"/>
  <c r="O1173" i="1" s="1"/>
  <c r="K1017" i="1"/>
  <c r="N235" i="3"/>
  <c r="M239" i="3"/>
  <c r="L1127" i="1"/>
  <c r="L1172" i="1"/>
  <c r="N280" i="3"/>
  <c r="M285" i="3"/>
  <c r="L919" i="1"/>
  <c r="N27" i="3"/>
  <c r="O919" i="1" s="1"/>
  <c r="L918" i="1"/>
  <c r="N26" i="3"/>
  <c r="O918" i="1" s="1"/>
  <c r="L942" i="1"/>
  <c r="N50" i="3"/>
  <c r="O942" i="1" s="1"/>
  <c r="K968" i="1"/>
  <c r="J135" i="3"/>
  <c r="K137" i="3"/>
  <c r="K297" i="3"/>
  <c r="J295" i="3"/>
  <c r="L1118" i="1"/>
  <c r="N226" i="3"/>
  <c r="M231" i="3"/>
  <c r="L966" i="1"/>
  <c r="N74" i="3"/>
  <c r="O966" i="1" s="1"/>
  <c r="L1181" i="1"/>
  <c r="N289" i="3"/>
  <c r="M293" i="3"/>
  <c r="L1182" i="1"/>
  <c r="N290" i="3"/>
  <c r="L921" i="1"/>
  <c r="N29" i="3"/>
  <c r="O921" i="1" s="1"/>
  <c r="K1037" i="1"/>
  <c r="K1057" i="1" s="1"/>
  <c r="K299" i="1"/>
  <c r="L926" i="1"/>
  <c r="N34" i="3"/>
  <c r="O926" i="1" s="1"/>
  <c r="L1129" i="1"/>
  <c r="N237" i="3"/>
  <c r="O1129" i="1" s="1"/>
  <c r="L1015" i="1"/>
  <c r="N123" i="3"/>
  <c r="O1015" i="1" s="1"/>
  <c r="L998" i="1"/>
  <c r="N106" i="3"/>
  <c r="M116" i="3"/>
  <c r="L904" i="1"/>
  <c r="L175" i="1" s="1"/>
  <c r="N12" i="3"/>
  <c r="O904" i="1" s="1"/>
  <c r="O175" i="1" s="1"/>
  <c r="L1149" i="1"/>
  <c r="N257" i="3"/>
  <c r="L934" i="1"/>
  <c r="N42" i="3"/>
  <c r="O934" i="1" s="1"/>
  <c r="L925" i="1"/>
  <c r="N33" i="3"/>
  <c r="O925" i="1" s="1"/>
  <c r="N13" i="3"/>
  <c r="O905" i="1" s="1"/>
  <c r="O176" i="1" s="1"/>
  <c r="L905" i="1"/>
  <c r="L176" i="1" s="1"/>
  <c r="L241" i="3"/>
  <c r="L243" i="3" s="1"/>
  <c r="L261" i="3" s="1"/>
  <c r="J387" i="1"/>
  <c r="C37" i="9" s="1"/>
  <c r="K224" i="1"/>
  <c r="K216" i="1"/>
  <c r="K20" i="3"/>
  <c r="J18" i="3"/>
  <c r="K1025" i="1"/>
  <c r="L1002" i="1"/>
  <c r="N110" i="3"/>
  <c r="O1002" i="1" s="1"/>
  <c r="L924" i="1"/>
  <c r="N32" i="3"/>
  <c r="O924" i="1" s="1"/>
  <c r="K1151" i="1"/>
  <c r="L1147" i="1"/>
  <c r="N255" i="3"/>
  <c r="K1067" i="1"/>
  <c r="L1121" i="1"/>
  <c r="N229" i="3"/>
  <c r="O1121" i="1" s="1"/>
  <c r="L906" i="1"/>
  <c r="L177" i="1" s="1"/>
  <c r="N14" i="3"/>
  <c r="O906" i="1" s="1"/>
  <c r="O177" i="1" s="1"/>
  <c r="L999" i="1"/>
  <c r="N107" i="3"/>
  <c r="O999" i="1" s="1"/>
  <c r="L1120" i="1"/>
  <c r="N228" i="3"/>
  <c r="O1120" i="1" s="1"/>
  <c r="K960" i="1"/>
  <c r="K341" i="1"/>
  <c r="L1006" i="1"/>
  <c r="N114" i="3"/>
  <c r="O1006" i="1" s="1"/>
  <c r="L922" i="1"/>
  <c r="N30" i="3"/>
  <c r="O922" i="1" s="1"/>
  <c r="K928" i="1"/>
  <c r="L1014" i="1"/>
  <c r="N122" i="3"/>
  <c r="O1014" i="1" s="1"/>
  <c r="L1013" i="1"/>
  <c r="N121" i="3"/>
  <c r="O1013" i="1" s="1"/>
  <c r="L1065" i="1"/>
  <c r="N173" i="3"/>
  <c r="O1065" i="1" s="1"/>
  <c r="K1131" i="1"/>
  <c r="L933" i="1"/>
  <c r="N41" i="3"/>
  <c r="O933" i="1" s="1"/>
  <c r="L1022" i="1"/>
  <c r="N130" i="3"/>
  <c r="O1022" i="1" s="1"/>
  <c r="L1004" i="1"/>
  <c r="N112" i="3"/>
  <c r="O1004" i="1" s="1"/>
  <c r="K1123" i="1"/>
  <c r="L1021" i="1"/>
  <c r="N129" i="3"/>
  <c r="M133" i="3"/>
  <c r="K1185" i="1"/>
  <c r="L1139" i="1"/>
  <c r="N247" i="3"/>
  <c r="M250" i="3"/>
  <c r="M1067" i="1"/>
  <c r="M1075" i="1" s="1"/>
  <c r="C35" i="9"/>
  <c r="C5" i="9"/>
  <c r="K883" i="1"/>
  <c r="I687" i="1"/>
  <c r="I689" i="1" s="1"/>
  <c r="J437" i="1"/>
  <c r="C13" i="9" s="1"/>
  <c r="C627" i="1"/>
  <c r="C629" i="1" s="1"/>
  <c r="N83" i="2"/>
  <c r="O567" i="1" s="1"/>
  <c r="L567" i="1"/>
  <c r="L847" i="1"/>
  <c r="N363" i="2"/>
  <c r="N306" i="2"/>
  <c r="O790" i="1" s="1"/>
  <c r="L790" i="1"/>
  <c r="J235" i="1"/>
  <c r="N94" i="2"/>
  <c r="O578" i="1" s="1"/>
  <c r="O354" i="1" s="1"/>
  <c r="L578" i="1"/>
  <c r="L354" i="1" s="1"/>
  <c r="J244" i="1"/>
  <c r="L536" i="1"/>
  <c r="N52" i="2"/>
  <c r="M57" i="2"/>
  <c r="L506" i="1"/>
  <c r="L165" i="1" s="1"/>
  <c r="N22" i="2"/>
  <c r="L730" i="1"/>
  <c r="N246" i="2"/>
  <c r="M249" i="2"/>
  <c r="L224" i="2"/>
  <c r="L672" i="1"/>
  <c r="N188" i="2"/>
  <c r="M193" i="2"/>
  <c r="K70" i="2"/>
  <c r="J30" i="2"/>
  <c r="K349" i="1"/>
  <c r="K803" i="1"/>
  <c r="N284" i="2"/>
  <c r="O768" i="1" s="1"/>
  <c r="L768" i="1"/>
  <c r="L857" i="1"/>
  <c r="N373" i="2"/>
  <c r="J335" i="1"/>
  <c r="L583" i="1"/>
  <c r="N107" i="2"/>
  <c r="K779" i="1"/>
  <c r="L545" i="1"/>
  <c r="M66" i="2"/>
  <c r="N61" i="2"/>
  <c r="L70" i="2"/>
  <c r="L143" i="2" s="1"/>
  <c r="N317" i="2"/>
  <c r="O801" i="1" s="1"/>
  <c r="L801" i="1"/>
  <c r="K685" i="1"/>
  <c r="L304" i="1"/>
  <c r="L562" i="1"/>
  <c r="L539" i="1"/>
  <c r="N55" i="2"/>
  <c r="K379" i="2"/>
  <c r="J377" i="2"/>
  <c r="L675" i="1"/>
  <c r="N191" i="2"/>
  <c r="K329" i="1"/>
  <c r="K570" i="1"/>
  <c r="K572" i="1" s="1"/>
  <c r="L538" i="1"/>
  <c r="N54" i="2"/>
  <c r="L507" i="1"/>
  <c r="L166" i="1" s="1"/>
  <c r="N23" i="2"/>
  <c r="L528" i="1"/>
  <c r="N44" i="2"/>
  <c r="L485" i="1"/>
  <c r="L568" i="1"/>
  <c r="N84" i="2"/>
  <c r="O568" i="1" s="1"/>
  <c r="L505" i="1"/>
  <c r="L164" i="1" s="1"/>
  <c r="N21" i="2"/>
  <c r="N394" i="2"/>
  <c r="L878" i="1"/>
  <c r="M399" i="2"/>
  <c r="K423" i="1"/>
  <c r="K811" i="1"/>
  <c r="L767" i="1"/>
  <c r="N283" i="2"/>
  <c r="O767" i="1" s="1"/>
  <c r="L537" i="1"/>
  <c r="N53" i="2"/>
  <c r="N395" i="2"/>
  <c r="L879" i="1"/>
  <c r="N307" i="2"/>
  <c r="O791" i="1" s="1"/>
  <c r="L791" i="1"/>
  <c r="L766" i="1"/>
  <c r="N282" i="2"/>
  <c r="M287" i="2"/>
  <c r="N324" i="2"/>
  <c r="O808" i="1" s="1"/>
  <c r="L808" i="1"/>
  <c r="L777" i="1"/>
  <c r="N293" i="2"/>
  <c r="O777" i="1" s="1"/>
  <c r="N63" i="2"/>
  <c r="L547" i="1"/>
  <c r="L241" i="1" s="1"/>
  <c r="L407" i="2"/>
  <c r="L409" i="2" s="1"/>
  <c r="M222" i="2"/>
  <c r="N219" i="2"/>
  <c r="L703" i="1"/>
  <c r="L526" i="1"/>
  <c r="L219" i="1" s="1"/>
  <c r="N42" i="2"/>
  <c r="L579" i="1"/>
  <c r="L360" i="1" s="1"/>
  <c r="N95" i="2"/>
  <c r="O579" i="1" s="1"/>
  <c r="O360" i="1" s="1"/>
  <c r="K328" i="1"/>
  <c r="K793" i="1"/>
  <c r="K795" i="1" s="1"/>
  <c r="L529" i="1"/>
  <c r="N45" i="2"/>
  <c r="L582" i="1"/>
  <c r="L372" i="1" s="1"/>
  <c r="N98" i="2"/>
  <c r="O582" i="1" s="1"/>
  <c r="K541" i="1"/>
  <c r="L855" i="1"/>
  <c r="N371" i="2"/>
  <c r="M375" i="2"/>
  <c r="K733" i="1"/>
  <c r="K424" i="1"/>
  <c r="K677" i="1"/>
  <c r="N62" i="2"/>
  <c r="L799" i="1"/>
  <c r="N315" i="2"/>
  <c r="M319" i="2"/>
  <c r="N38" i="2"/>
  <c r="L522" i="1"/>
  <c r="L607" i="1"/>
  <c r="N123" i="2"/>
  <c r="M127" i="2"/>
  <c r="E41" i="9" s="1"/>
  <c r="G14" i="24" s="1"/>
  <c r="L776" i="1"/>
  <c r="N292" i="2"/>
  <c r="O776" i="1" s="1"/>
  <c r="L682" i="1"/>
  <c r="N198" i="2"/>
  <c r="K550" i="1"/>
  <c r="L503" i="1"/>
  <c r="N19" i="2"/>
  <c r="M26" i="2"/>
  <c r="M28" i="2" s="1"/>
  <c r="M30" i="2" s="1"/>
  <c r="N247" i="2"/>
  <c r="O731" i="1" s="1"/>
  <c r="L731" i="1"/>
  <c r="K299" i="2"/>
  <c r="J297" i="2"/>
  <c r="L681" i="1"/>
  <c r="N197" i="2"/>
  <c r="M201" i="2"/>
  <c r="L576" i="1"/>
  <c r="N92" i="2"/>
  <c r="M111" i="2"/>
  <c r="M560" i="1"/>
  <c r="O560" i="1"/>
  <c r="N78" i="2"/>
  <c r="H413" i="2"/>
  <c r="H145" i="2"/>
  <c r="K330" i="1"/>
  <c r="K210" i="1"/>
  <c r="K532" i="1"/>
  <c r="N323" i="2"/>
  <c r="L807" i="1"/>
  <c r="M327" i="2"/>
  <c r="N325" i="2"/>
  <c r="O809" i="1" s="1"/>
  <c r="L809" i="1"/>
  <c r="K771" i="1"/>
  <c r="N316" i="2"/>
  <c r="O800" i="1" s="1"/>
  <c r="L800" i="1"/>
  <c r="L846" i="1"/>
  <c r="N362" i="2"/>
  <c r="M367" i="2"/>
  <c r="D70" i="2"/>
  <c r="D143" i="2" s="1"/>
  <c r="I30" i="2"/>
  <c r="L599" i="1"/>
  <c r="N115" i="2"/>
  <c r="M119" i="2"/>
  <c r="J552" i="1"/>
  <c r="J554" i="1" s="1"/>
  <c r="J627" i="1" s="1"/>
  <c r="L601" i="1"/>
  <c r="L393" i="1" s="1"/>
  <c r="N117" i="2"/>
  <c r="N40" i="2"/>
  <c r="L524" i="1"/>
  <c r="L217" i="1" s="1"/>
  <c r="K698" i="1"/>
  <c r="K298" i="1"/>
  <c r="L530" i="1"/>
  <c r="L224" i="1" s="1"/>
  <c r="N46" i="2"/>
  <c r="K611" i="1"/>
  <c r="K162" i="1"/>
  <c r="K169" i="1" s="1"/>
  <c r="K510" i="1"/>
  <c r="K512" i="1" s="1"/>
  <c r="K514" i="1" s="1"/>
  <c r="K425" i="1"/>
  <c r="N64" i="2"/>
  <c r="L548" i="1"/>
  <c r="L593" i="1"/>
  <c r="L383" i="1" s="1"/>
  <c r="N109" i="2"/>
  <c r="O593" i="1" s="1"/>
  <c r="O383" i="1" s="1"/>
  <c r="K350" i="1"/>
  <c r="K595" i="1"/>
  <c r="N285" i="2"/>
  <c r="O769" i="1" s="1"/>
  <c r="L769" i="1"/>
  <c r="L523" i="1"/>
  <c r="N39" i="2"/>
  <c r="L683" i="1"/>
  <c r="N199" i="2"/>
  <c r="L504" i="1"/>
  <c r="L163" i="1" s="1"/>
  <c r="N20" i="2"/>
  <c r="L577" i="1"/>
  <c r="L351" i="1" s="1"/>
  <c r="N93" i="2"/>
  <c r="O577" i="1" s="1"/>
  <c r="O351" i="1" s="1"/>
  <c r="L673" i="1"/>
  <c r="N189" i="2"/>
  <c r="L520" i="1"/>
  <c r="N36" i="2"/>
  <c r="L880" i="1"/>
  <c r="N396" i="2"/>
  <c r="L527" i="1"/>
  <c r="L221" i="1" s="1"/>
  <c r="N43" i="2"/>
  <c r="N339" i="2"/>
  <c r="N414" i="2" s="1"/>
  <c r="O821" i="1"/>
  <c r="O464" i="1" s="1"/>
  <c r="L518" i="1"/>
  <c r="N34" i="2"/>
  <c r="M48" i="2"/>
  <c r="N82" i="2"/>
  <c r="L566" i="1"/>
  <c r="M86" i="2"/>
  <c r="L674" i="1"/>
  <c r="N190" i="2"/>
  <c r="L525" i="1"/>
  <c r="N41" i="2"/>
  <c r="N364" i="2"/>
  <c r="L848" i="1"/>
  <c r="C36" i="9"/>
  <c r="J88" i="2"/>
  <c r="L608" i="1"/>
  <c r="N124" i="2"/>
  <c r="L580" i="1"/>
  <c r="N96" i="2"/>
  <c r="O580" i="1" s="1"/>
  <c r="J203" i="2"/>
  <c r="K205" i="2"/>
  <c r="L519" i="1"/>
  <c r="N35" i="2"/>
  <c r="K851" i="1"/>
  <c r="K326" i="1"/>
  <c r="K706" i="1"/>
  <c r="L592" i="1"/>
  <c r="L382" i="1" s="1"/>
  <c r="N108" i="2"/>
  <c r="O592" i="1" s="1"/>
  <c r="O382" i="1" s="1"/>
  <c r="K391" i="1"/>
  <c r="K603" i="1"/>
  <c r="N305" i="2"/>
  <c r="M309" i="2"/>
  <c r="M311" i="2" s="1"/>
  <c r="L789" i="1"/>
  <c r="D48" i="9"/>
  <c r="D17" i="9"/>
  <c r="L600" i="1"/>
  <c r="N116" i="2"/>
  <c r="M214" i="2"/>
  <c r="N212" i="2"/>
  <c r="L696" i="1"/>
  <c r="L251" i="2"/>
  <c r="L253" i="2" s="1"/>
  <c r="L849" i="1"/>
  <c r="N365" i="2"/>
  <c r="I883" i="1"/>
  <c r="I424" i="1"/>
  <c r="I437" i="1" s="1"/>
  <c r="L775" i="1"/>
  <c r="N291" i="2"/>
  <c r="M295" i="2"/>
  <c r="L521" i="1"/>
  <c r="N37" i="2"/>
  <c r="N372" i="2"/>
  <c r="L856" i="1"/>
  <c r="H14" i="24"/>
  <c r="H8" i="24"/>
  <c r="J7" i="24"/>
  <c r="M157" i="4" l="1"/>
  <c r="L1288" i="1"/>
  <c r="N417" i="8"/>
  <c r="N425" i="8" s="1"/>
  <c r="N427" i="8" s="1"/>
  <c r="M3348" i="1"/>
  <c r="O3348" i="1"/>
  <c r="O644" i="1"/>
  <c r="M644" i="1"/>
  <c r="N162" i="2"/>
  <c r="N164" i="2" s="1"/>
  <c r="N166" i="2" s="1"/>
  <c r="N412" i="2" s="1"/>
  <c r="M1931" i="1"/>
  <c r="M1939" i="1" s="1"/>
  <c r="M84" i="1"/>
  <c r="M86" i="1" s="1"/>
  <c r="O22" i="1"/>
  <c r="O28" i="1" s="1"/>
  <c r="O3194" i="1"/>
  <c r="O3205" i="1" s="1"/>
  <c r="L3350" i="1"/>
  <c r="L3358" i="1" s="1"/>
  <c r="L3360" i="1" s="1"/>
  <c r="L90" i="1"/>
  <c r="L92" i="1" s="1"/>
  <c r="L78" i="1"/>
  <c r="L80" i="1" s="1"/>
  <c r="L981" i="1"/>
  <c r="M295" i="3"/>
  <c r="M297" i="3" s="1"/>
  <c r="M299" i="3" s="1"/>
  <c r="M23" i="1"/>
  <c r="M28" i="1" s="1"/>
  <c r="M2699" i="1"/>
  <c r="M2701" i="1" s="1"/>
  <c r="M2712" i="1" s="1"/>
  <c r="M2783" i="1" s="1"/>
  <c r="O84" i="1"/>
  <c r="O86" i="1" s="1"/>
  <c r="O1931" i="1"/>
  <c r="O1939" i="1" s="1"/>
  <c r="L8" i="1"/>
  <c r="L18" i="1" s="1"/>
  <c r="L1902" i="1"/>
  <c r="L1921" i="1" s="1"/>
  <c r="L1941" i="1" s="1"/>
  <c r="L126" i="1"/>
  <c r="L128" i="1" s="1"/>
  <c r="L2708" i="1"/>
  <c r="L2710" i="1" s="1"/>
  <c r="L114" i="1"/>
  <c r="L2797" i="1"/>
  <c r="L2799" i="1" s="1"/>
  <c r="L2801" i="1" s="1"/>
  <c r="O114" i="1"/>
  <c r="O2797" i="1"/>
  <c r="O2799" i="1" s="1"/>
  <c r="O2801" i="1" s="1"/>
  <c r="L101" i="1"/>
  <c r="L646" i="1"/>
  <c r="L648" i="1" s="1"/>
  <c r="L650" i="1" s="1"/>
  <c r="M317" i="7"/>
  <c r="L103" i="1"/>
  <c r="L302" i="3"/>
  <c r="F5" i="18" s="1"/>
  <c r="M333" i="4"/>
  <c r="M335" i="4" s="1"/>
  <c r="M365" i="4" s="1"/>
  <c r="M367" i="4" s="1"/>
  <c r="N144" i="5"/>
  <c r="O1695" i="1"/>
  <c r="L63" i="1"/>
  <c r="L68" i="1" s="1"/>
  <c r="L2874" i="1"/>
  <c r="O1891" i="1"/>
  <c r="M1891" i="1"/>
  <c r="N19" i="6"/>
  <c r="N38" i="6" s="1"/>
  <c r="N58" i="6" s="1"/>
  <c r="N517" i="6" s="1"/>
  <c r="O2706" i="1"/>
  <c r="N313" i="7"/>
  <c r="N315" i="7" s="1"/>
  <c r="N317" i="7" s="1"/>
  <c r="M2880" i="1"/>
  <c r="M74" i="1"/>
  <c r="L23" i="1"/>
  <c r="L28" i="1" s="1"/>
  <c r="L2699" i="1"/>
  <c r="L2701" i="1" s="1"/>
  <c r="L2712" i="1" s="1"/>
  <c r="M139" i="4"/>
  <c r="M141" i="4" s="1"/>
  <c r="L1634" i="1"/>
  <c r="L1636" i="1" s="1"/>
  <c r="O285" i="1"/>
  <c r="O23" i="1"/>
  <c r="O2699" i="1"/>
  <c r="O2701" i="1" s="1"/>
  <c r="O78" i="1"/>
  <c r="O981" i="1"/>
  <c r="O63" i="1"/>
  <c r="O2874" i="1"/>
  <c r="K1882" i="1"/>
  <c r="K1884" i="1" s="1"/>
  <c r="D12" i="10"/>
  <c r="E20" i="24"/>
  <c r="L1858" i="1"/>
  <c r="N2033" i="1"/>
  <c r="K320" i="1"/>
  <c r="K1787" i="1"/>
  <c r="K1789" i="1" s="1"/>
  <c r="O2891" i="1"/>
  <c r="N506" i="7"/>
  <c r="L140" i="1"/>
  <c r="L1206" i="1"/>
  <c r="L1208" i="1" s="1"/>
  <c r="L1210" i="1" s="1"/>
  <c r="J220" i="5"/>
  <c r="J231" i="5" s="1"/>
  <c r="J233" i="5" s="1"/>
  <c r="K231" i="5"/>
  <c r="K233" i="5" s="1"/>
  <c r="M55" i="4"/>
  <c r="M57" i="4" s="1"/>
  <c r="M100" i="4" s="1"/>
  <c r="N52" i="5"/>
  <c r="N62" i="5" s="1"/>
  <c r="N64" i="5" s="1"/>
  <c r="O1604" i="1"/>
  <c r="L222" i="1"/>
  <c r="N333" i="8"/>
  <c r="N335" i="8" s="1"/>
  <c r="N337" i="8" s="1"/>
  <c r="N463" i="8"/>
  <c r="O1831" i="1"/>
  <c r="O1835" i="1" s="1"/>
  <c r="N279" i="5"/>
  <c r="N149" i="4"/>
  <c r="O1337" i="1"/>
  <c r="O1339" i="1" s="1"/>
  <c r="L1586" i="1"/>
  <c r="O1848" i="1"/>
  <c r="O1850" i="1" s="1"/>
  <c r="N294" i="5"/>
  <c r="O1239" i="1"/>
  <c r="O1243" i="1" s="1"/>
  <c r="N53" i="4"/>
  <c r="L2901" i="1"/>
  <c r="O2719" i="1"/>
  <c r="O2731" i="1" s="1"/>
  <c r="N336" i="7"/>
  <c r="L1310" i="1"/>
  <c r="M40" i="5"/>
  <c r="M42" i="5" s="1"/>
  <c r="M94" i="5" s="1"/>
  <c r="L1226" i="1"/>
  <c r="K181" i="5"/>
  <c r="J148" i="5"/>
  <c r="N78" i="5"/>
  <c r="N80" i="5" s="1"/>
  <c r="O1626" i="1"/>
  <c r="O1634" i="1" s="1"/>
  <c r="O1636" i="1" s="1"/>
  <c r="L285" i="1"/>
  <c r="L1405" i="1"/>
  <c r="L1664" i="1"/>
  <c r="L1666" i="1" s="1"/>
  <c r="L1674" i="1" s="1"/>
  <c r="L1676" i="1" s="1"/>
  <c r="L284" i="1"/>
  <c r="M166" i="4"/>
  <c r="L370" i="4"/>
  <c r="F6" i="18" s="1"/>
  <c r="L102" i="4"/>
  <c r="O1660" i="1"/>
  <c r="N108" i="5"/>
  <c r="N110" i="5" s="1"/>
  <c r="N118" i="5" s="1"/>
  <c r="N120" i="5" s="1"/>
  <c r="L211" i="1"/>
  <c r="L215" i="1"/>
  <c r="L430" i="1"/>
  <c r="O1314" i="1"/>
  <c r="O1319" i="1" s="1"/>
  <c r="N129" i="4"/>
  <c r="O1581" i="1"/>
  <c r="O1586" i="1" s="1"/>
  <c r="N30" i="5"/>
  <c r="L1243" i="1"/>
  <c r="M262" i="4"/>
  <c r="M264" i="4" s="1"/>
  <c r="M285" i="4" s="1"/>
  <c r="M287" i="4" s="1"/>
  <c r="O1300" i="1"/>
  <c r="O1310" i="1" s="1"/>
  <c r="N120" i="4"/>
  <c r="L1462" i="1"/>
  <c r="L1466" i="1" s="1"/>
  <c r="L312" i="1"/>
  <c r="L1577" i="1"/>
  <c r="K1329" i="1"/>
  <c r="K1331" i="1" s="1"/>
  <c r="K1356" i="1" s="1"/>
  <c r="O1216" i="1"/>
  <c r="O1226" i="1" s="1"/>
  <c r="N36" i="4"/>
  <c r="O1700" i="1"/>
  <c r="L1700" i="1"/>
  <c r="K1245" i="1"/>
  <c r="K1247" i="1" s="1"/>
  <c r="K1290" i="1" s="1"/>
  <c r="L331" i="5"/>
  <c r="F7" i="18" s="1"/>
  <c r="L96" i="5"/>
  <c r="O1405" i="1"/>
  <c r="N215" i="4"/>
  <c r="M146" i="5"/>
  <c r="M148" i="5" s="1"/>
  <c r="M181" i="5" s="1"/>
  <c r="M183" i="5" s="1"/>
  <c r="L1442" i="1"/>
  <c r="L147" i="1"/>
  <c r="L1319" i="1"/>
  <c r="O1446" i="1"/>
  <c r="O1450" i="1" s="1"/>
  <c r="N260" i="4"/>
  <c r="L1735" i="1"/>
  <c r="K166" i="4"/>
  <c r="J141" i="4"/>
  <c r="J166" i="4" s="1"/>
  <c r="L1433" i="1"/>
  <c r="L1452" i="1" s="1"/>
  <c r="L1454" i="1" s="1"/>
  <c r="N272" i="4"/>
  <c r="N276" i="4" s="1"/>
  <c r="O1460" i="1"/>
  <c r="O1565" i="1"/>
  <c r="O1577" i="1" s="1"/>
  <c r="N21" i="5"/>
  <c r="O1470" i="1"/>
  <c r="O1473" i="1" s="1"/>
  <c r="N283" i="4"/>
  <c r="L1533" i="1"/>
  <c r="L1537" i="1" s="1"/>
  <c r="L311" i="1"/>
  <c r="L252" i="1"/>
  <c r="L1714" i="1"/>
  <c r="L1724" i="1" s="1"/>
  <c r="L1726" i="1" s="1"/>
  <c r="L1274" i="1"/>
  <c r="L260" i="1"/>
  <c r="L264" i="1" s="1"/>
  <c r="L1764" i="1"/>
  <c r="L1774" i="1" s="1"/>
  <c r="L1776" i="1" s="1"/>
  <c r="O1550" i="1"/>
  <c r="O1553" i="1" s="1"/>
  <c r="N363" i="4"/>
  <c r="L1691" i="1"/>
  <c r="O1437" i="1"/>
  <c r="O1442" i="1" s="1"/>
  <c r="N252" i="4"/>
  <c r="L1594" i="1"/>
  <c r="L1235" i="1"/>
  <c r="M1182" i="1"/>
  <c r="M1185" i="1" s="1"/>
  <c r="M1187" i="1" s="1"/>
  <c r="M1189" i="1" s="1"/>
  <c r="M1191" i="1" s="1"/>
  <c r="O1182" i="1"/>
  <c r="N62" i="8"/>
  <c r="N36" i="8"/>
  <c r="N38" i="8" s="1"/>
  <c r="N40" i="8" s="1"/>
  <c r="N51" i="8" s="1"/>
  <c r="L1868" i="1"/>
  <c r="L1870" i="1" s="1"/>
  <c r="L1872" i="1" s="1"/>
  <c r="L1345" i="1"/>
  <c r="L1347" i="1" s="1"/>
  <c r="L318" i="1"/>
  <c r="O1104" i="1"/>
  <c r="O1114" i="1" s="1"/>
  <c r="N222" i="3"/>
  <c r="O1507" i="1"/>
  <c r="O1513" i="1" s="1"/>
  <c r="N323" i="4"/>
  <c r="K57" i="4"/>
  <c r="O1731" i="1"/>
  <c r="O1735" i="1" s="1"/>
  <c r="N179" i="5"/>
  <c r="O1423" i="1"/>
  <c r="O1433" i="1" s="1"/>
  <c r="N243" i="4"/>
  <c r="L1503" i="1"/>
  <c r="K1452" i="1"/>
  <c r="K1454" i="1" s="1"/>
  <c r="K1475" i="1" s="1"/>
  <c r="K1477" i="1" s="1"/>
  <c r="L1880" i="1"/>
  <c r="K285" i="4"/>
  <c r="J264" i="4"/>
  <c r="N343" i="4"/>
  <c r="N347" i="4" s="1"/>
  <c r="O1531" i="1"/>
  <c r="L1254" i="1"/>
  <c r="L1260" i="1" s="1"/>
  <c r="L302" i="1"/>
  <c r="O1710" i="1"/>
  <c r="N158" i="5"/>
  <c r="N168" i="5" s="1"/>
  <c r="N170" i="5" s="1"/>
  <c r="O1264" i="1"/>
  <c r="O1274" i="1" s="1"/>
  <c r="N84" i="4"/>
  <c r="K120" i="5"/>
  <c r="J120" i="5" s="1"/>
  <c r="J118" i="5"/>
  <c r="O2772" i="1"/>
  <c r="O2779" i="1" s="1"/>
  <c r="N384" i="7"/>
  <c r="O1760" i="1"/>
  <c r="N208" i="5"/>
  <c r="N218" i="5" s="1"/>
  <c r="N220" i="5" s="1"/>
  <c r="L1553" i="1"/>
  <c r="O1684" i="1"/>
  <c r="O1691" i="1" s="1"/>
  <c r="N135" i="5"/>
  <c r="N146" i="5" s="1"/>
  <c r="N148" i="5" s="1"/>
  <c r="O1590" i="1"/>
  <c r="O1594" i="1" s="1"/>
  <c r="N38" i="5"/>
  <c r="O1230" i="1"/>
  <c r="O1235" i="1" s="1"/>
  <c r="N45" i="4"/>
  <c r="O2808" i="1"/>
  <c r="O2816" i="1" s="1"/>
  <c r="N421" i="7"/>
  <c r="L218" i="1"/>
  <c r="N220" i="8"/>
  <c r="N222" i="8" s="1"/>
  <c r="O1864" i="1"/>
  <c r="O1868" i="1" s="1"/>
  <c r="O1870" i="1" s="1"/>
  <c r="O1872" i="1" s="1"/>
  <c r="N312" i="5"/>
  <c r="N314" i="5" s="1"/>
  <c r="N316" i="5" s="1"/>
  <c r="L1114" i="1"/>
  <c r="O1351" i="1"/>
  <c r="O1354" i="1" s="1"/>
  <c r="N164" i="4"/>
  <c r="O1492" i="1"/>
  <c r="O1503" i="1" s="1"/>
  <c r="N313" i="4"/>
  <c r="L1546" i="1"/>
  <c r="L344" i="1"/>
  <c r="O1876" i="1"/>
  <c r="O1880" i="1" s="1"/>
  <c r="N324" i="5"/>
  <c r="M203" i="4"/>
  <c r="M205" i="4" s="1"/>
  <c r="M217" i="4" s="1"/>
  <c r="M219" i="4" s="1"/>
  <c r="M281" i="5"/>
  <c r="M283" i="5" s="1"/>
  <c r="K1837" i="1"/>
  <c r="K1839" i="1" s="1"/>
  <c r="L2779" i="1"/>
  <c r="O1161" i="1"/>
  <c r="O1168" i="1" s="1"/>
  <c r="N276" i="3"/>
  <c r="M231" i="5"/>
  <c r="M233" i="5" s="1"/>
  <c r="L2816" i="1"/>
  <c r="D11" i="9"/>
  <c r="D41" i="9"/>
  <c r="E14" i="24" s="1"/>
  <c r="N262" i="7"/>
  <c r="N155" i="4"/>
  <c r="O1343" i="1"/>
  <c r="O1378" i="1"/>
  <c r="O1383" i="1" s="1"/>
  <c r="N193" i="4"/>
  <c r="L286" i="1"/>
  <c r="L1521" i="1"/>
  <c r="K1523" i="1"/>
  <c r="K1525" i="1" s="1"/>
  <c r="K1555" i="1" s="1"/>
  <c r="K1557" i="1" s="1"/>
  <c r="O1854" i="1"/>
  <c r="O1856" i="1" s="1"/>
  <c r="N300" i="5"/>
  <c r="K365" i="4"/>
  <c r="J335" i="4"/>
  <c r="L1648" i="1"/>
  <c r="O1541" i="1"/>
  <c r="N356" i="4"/>
  <c r="N64" i="4"/>
  <c r="N70" i="4" s="1"/>
  <c r="O1252" i="1"/>
  <c r="L1785" i="1"/>
  <c r="L1374" i="1"/>
  <c r="L1393" i="1" s="1"/>
  <c r="L1395" i="1" s="1"/>
  <c r="O1811" i="1"/>
  <c r="N259" i="5"/>
  <c r="N269" i="5" s="1"/>
  <c r="N271" i="5" s="1"/>
  <c r="J205" i="4"/>
  <c r="K217" i="4"/>
  <c r="K1702" i="1"/>
  <c r="K1704" i="1" s="1"/>
  <c r="K1737" i="1" s="1"/>
  <c r="K1739" i="1" s="1"/>
  <c r="O1323" i="1"/>
  <c r="O1327" i="1" s="1"/>
  <c r="N137" i="4"/>
  <c r="J281" i="5"/>
  <c r="J283" i="5" s="1"/>
  <c r="L210" i="1"/>
  <c r="L212" i="1"/>
  <c r="L213" i="1"/>
  <c r="L216" i="1"/>
  <c r="O546" i="1"/>
  <c r="M546" i="1"/>
  <c r="M512" i="6"/>
  <c r="M514" i="6" s="1"/>
  <c r="D10" i="9"/>
  <c r="D40" i="9"/>
  <c r="E12" i="24" s="1"/>
  <c r="N560" i="8"/>
  <c r="O1517" i="1"/>
  <c r="O1521" i="1" s="1"/>
  <c r="N331" i="4"/>
  <c r="M326" i="5"/>
  <c r="M328" i="5" s="1"/>
  <c r="K94" i="5"/>
  <c r="J42" i="5"/>
  <c r="O1670" i="1"/>
  <c r="O1672" i="1" s="1"/>
  <c r="N116" i="5"/>
  <c r="M2899" i="1"/>
  <c r="M2901" i="1" s="1"/>
  <c r="M2920" i="1" s="1"/>
  <c r="M2922" i="1" s="1"/>
  <c r="M2934" i="1" s="1"/>
  <c r="M2936" i="1" s="1"/>
  <c r="O2899" i="1"/>
  <c r="O1640" i="1"/>
  <c r="O1648" i="1" s="1"/>
  <c r="N92" i="5"/>
  <c r="O1199" i="1"/>
  <c r="N16" i="4"/>
  <c r="N18" i="4" s="1"/>
  <c r="N20" i="4" s="1"/>
  <c r="K1596" i="1"/>
  <c r="K1598" i="1" s="1"/>
  <c r="K1650" i="1" s="1"/>
  <c r="K1652" i="1" s="1"/>
  <c r="O1278" i="1"/>
  <c r="O1288" i="1" s="1"/>
  <c r="N98" i="4"/>
  <c r="O1782" i="1"/>
  <c r="O1785" i="1" s="1"/>
  <c r="N229" i="5"/>
  <c r="O1365" i="1"/>
  <c r="O1374" i="1" s="1"/>
  <c r="N184" i="4"/>
  <c r="L1815" i="1"/>
  <c r="L1825" i="1" s="1"/>
  <c r="L1827" i="1" s="1"/>
  <c r="L1837" i="1" s="1"/>
  <c r="L1839" i="1" s="1"/>
  <c r="L276" i="1"/>
  <c r="L280" i="1" s="1"/>
  <c r="O1799" i="1"/>
  <c r="O1801" i="1" s="1"/>
  <c r="O1803" i="1" s="1"/>
  <c r="O1805" i="1" s="1"/>
  <c r="N245" i="5"/>
  <c r="N247" i="5" s="1"/>
  <c r="N249" i="5" s="1"/>
  <c r="L1608" i="1"/>
  <c r="L1618" i="1" s="1"/>
  <c r="L1620" i="1" s="1"/>
  <c r="L268" i="1"/>
  <c r="L272" i="1" s="1"/>
  <c r="K1393" i="1"/>
  <c r="K1395" i="1" s="1"/>
  <c r="K1407" i="1" s="1"/>
  <c r="K1409" i="1" s="1"/>
  <c r="K290" i="1"/>
  <c r="K292" i="1" s="1"/>
  <c r="O1387" i="1"/>
  <c r="O1391" i="1" s="1"/>
  <c r="N201" i="4"/>
  <c r="L1168" i="1"/>
  <c r="O1748" i="1"/>
  <c r="O1750" i="1" s="1"/>
  <c r="O1752" i="1" s="1"/>
  <c r="O1754" i="1" s="1"/>
  <c r="N194" i="5"/>
  <c r="N196" i="5" s="1"/>
  <c r="N198" i="5" s="1"/>
  <c r="L1327" i="1"/>
  <c r="K281" i="5"/>
  <c r="K283" i="5" s="1"/>
  <c r="L256" i="1"/>
  <c r="L232" i="1"/>
  <c r="L233" i="1"/>
  <c r="L432" i="1"/>
  <c r="L242" i="1"/>
  <c r="L223" i="1"/>
  <c r="L239" i="1"/>
  <c r="L230" i="1"/>
  <c r="L231" i="1"/>
  <c r="L428" i="1"/>
  <c r="L431" i="1"/>
  <c r="L240" i="1"/>
  <c r="J337" i="1"/>
  <c r="C6" i="9" s="1"/>
  <c r="D7" i="18"/>
  <c r="D7" i="11"/>
  <c r="K395" i="1"/>
  <c r="I2678" i="1"/>
  <c r="I2680" i="1" s="1"/>
  <c r="O3153" i="1"/>
  <c r="O3155" i="1" s="1"/>
  <c r="B10" i="11"/>
  <c r="B14" i="11" s="1"/>
  <c r="F10" i="11" s="1"/>
  <c r="C3315" i="1"/>
  <c r="I3313" i="1"/>
  <c r="I3315" i="1" s="1"/>
  <c r="J3315" i="1"/>
  <c r="C8" i="9"/>
  <c r="I2033" i="1"/>
  <c r="C17" i="9"/>
  <c r="D10" i="11"/>
  <c r="K2542" i="1"/>
  <c r="K2544" i="1" s="1"/>
  <c r="K2559" i="1" s="1"/>
  <c r="K2561" i="1" s="1"/>
  <c r="J735" i="1"/>
  <c r="J737" i="1" s="1"/>
  <c r="J3425" i="1"/>
  <c r="D9" i="11"/>
  <c r="D10" i="18"/>
  <c r="O2997" i="1"/>
  <c r="O3295" i="1"/>
  <c r="O3266" i="1"/>
  <c r="O3268" i="1" s="1"/>
  <c r="O3270" i="1" s="1"/>
  <c r="O3484" i="1"/>
  <c r="O3486" i="1" s="1"/>
  <c r="L3268" i="1"/>
  <c r="L3270" i="1" s="1"/>
  <c r="I891" i="1"/>
  <c r="I893" i="1" s="1"/>
  <c r="O190" i="1"/>
  <c r="D9" i="18"/>
  <c r="O3493" i="1"/>
  <c r="L3495" i="1"/>
  <c r="L3497" i="1" s="1"/>
  <c r="K2459" i="1"/>
  <c r="K2461" i="1" s="1"/>
  <c r="K2505" i="1" s="1"/>
  <c r="K2507" i="1" s="1"/>
  <c r="L2971" i="1"/>
  <c r="L2973" i="1" s="1"/>
  <c r="L2975" i="1" s="1"/>
  <c r="L2986" i="1" s="1"/>
  <c r="L3005" i="1" s="1"/>
  <c r="L3007" i="1" s="1"/>
  <c r="L190" i="1"/>
  <c r="L3398" i="1"/>
  <c r="L3400" i="1" s="1"/>
  <c r="L3423" i="1" s="1"/>
  <c r="L3425" i="1" s="1"/>
  <c r="K2750" i="1"/>
  <c r="K2752" i="1" s="1"/>
  <c r="K2781" i="1" s="1"/>
  <c r="K2783" i="1" s="1"/>
  <c r="O2971" i="1"/>
  <c r="O2973" i="1" s="1"/>
  <c r="O2975" i="1" s="1"/>
  <c r="O2986" i="1" s="1"/>
  <c r="L2833" i="1"/>
  <c r="O3025" i="1"/>
  <c r="O3044" i="1" s="1"/>
  <c r="O3046" i="1" s="1"/>
  <c r="O3396" i="1"/>
  <c r="O3398" i="1" s="1"/>
  <c r="O3400" i="1" s="1"/>
  <c r="O3423" i="1" s="1"/>
  <c r="B30" i="9"/>
  <c r="B32" i="9" s="1"/>
  <c r="N240" i="8"/>
  <c r="D380" i="8"/>
  <c r="D568" i="8" s="1"/>
  <c r="K3313" i="1"/>
  <c r="C447" i="1"/>
  <c r="L568" i="8"/>
  <c r="F10" i="18" s="1"/>
  <c r="N90" i="8"/>
  <c r="N109" i="8" s="1"/>
  <c r="N111" i="8" s="1"/>
  <c r="N153" i="8" s="1"/>
  <c r="N155" i="8" s="1"/>
  <c r="L3295" i="1"/>
  <c r="M568" i="8"/>
  <c r="I10" i="18" s="1"/>
  <c r="J153" i="8"/>
  <c r="K155" i="8"/>
  <c r="J155" i="8" s="1"/>
  <c r="L3044" i="1"/>
  <c r="L3046" i="1" s="1"/>
  <c r="L3087" i="1" s="1"/>
  <c r="L3089" i="1" s="1"/>
  <c r="N562" i="8"/>
  <c r="N564" i="8" s="1"/>
  <c r="L3183" i="1"/>
  <c r="L3185" i="1" s="1"/>
  <c r="J567" i="8"/>
  <c r="K382" i="8"/>
  <c r="J297" i="8"/>
  <c r="N352" i="8"/>
  <c r="N354" i="8" s="1"/>
  <c r="N380" i="8" s="1"/>
  <c r="M3283" i="1"/>
  <c r="O3283" i="1"/>
  <c r="N231" i="8"/>
  <c r="N233" i="8" s="1"/>
  <c r="O3161" i="1"/>
  <c r="O3164" i="1" s="1"/>
  <c r="O3166" i="1" s="1"/>
  <c r="K564" i="8"/>
  <c r="J564" i="8" s="1"/>
  <c r="J562" i="8"/>
  <c r="O3178" i="1"/>
  <c r="O3181" i="1" s="1"/>
  <c r="N248" i="8"/>
  <c r="N465" i="8"/>
  <c r="N467" i="8" s="1"/>
  <c r="N490" i="8" s="1"/>
  <c r="N492" i="8" s="1"/>
  <c r="J70" i="8"/>
  <c r="C10" i="11"/>
  <c r="K72" i="8"/>
  <c r="J72" i="8" s="1"/>
  <c r="K568" i="8"/>
  <c r="C10" i="18" s="1"/>
  <c r="L313" i="1"/>
  <c r="L331" i="1"/>
  <c r="O426" i="1"/>
  <c r="O357" i="1"/>
  <c r="O3066" i="1"/>
  <c r="K2835" i="1"/>
  <c r="K2837" i="1" s="1"/>
  <c r="K2860" i="1" s="1"/>
  <c r="K2862" i="1" s="1"/>
  <c r="K2633" i="1"/>
  <c r="K2635" i="1" s="1"/>
  <c r="K2678" i="1" s="1"/>
  <c r="I735" i="1"/>
  <c r="I737" i="1" s="1"/>
  <c r="L381" i="1"/>
  <c r="M72" i="1"/>
  <c r="M80" i="1" s="1"/>
  <c r="M3224" i="1"/>
  <c r="M382" i="8"/>
  <c r="M567" i="8"/>
  <c r="O72" i="1"/>
  <c r="O80" i="1" s="1"/>
  <c r="O3224" i="1"/>
  <c r="N567" i="8"/>
  <c r="O55" i="1"/>
  <c r="O68" i="1" s="1"/>
  <c r="O3218" i="1"/>
  <c r="M55" i="1"/>
  <c r="M68" i="1" s="1"/>
  <c r="M3218" i="1"/>
  <c r="K2920" i="1"/>
  <c r="K2922" i="1" s="1"/>
  <c r="K2934" i="1" s="1"/>
  <c r="K2936" i="1" s="1"/>
  <c r="M224" i="2"/>
  <c r="I337" i="1"/>
  <c r="M871" i="1"/>
  <c r="M371" i="1" s="1"/>
  <c r="O871" i="1"/>
  <c r="O371" i="1" s="1"/>
  <c r="O867" i="1"/>
  <c r="M867" i="1"/>
  <c r="N390" i="2"/>
  <c r="L842" i="1"/>
  <c r="M833" i="1"/>
  <c r="O833" i="1"/>
  <c r="L874" i="1"/>
  <c r="O831" i="1"/>
  <c r="M831" i="1"/>
  <c r="N358" i="2"/>
  <c r="M832" i="1"/>
  <c r="O832" i="1"/>
  <c r="L364" i="1"/>
  <c r="M88" i="2"/>
  <c r="K861" i="1"/>
  <c r="K863" i="1" s="1"/>
  <c r="K891" i="1" s="1"/>
  <c r="K893" i="1" s="1"/>
  <c r="O362" i="1"/>
  <c r="M377" i="2"/>
  <c r="M379" i="2" s="1"/>
  <c r="M407" i="2" s="1"/>
  <c r="M409" i="2" s="1"/>
  <c r="I629" i="1"/>
  <c r="J166" i="2"/>
  <c r="J412" i="2" s="1"/>
  <c r="K412" i="2"/>
  <c r="B19" i="9"/>
  <c r="B23" i="9" s="1"/>
  <c r="L362" i="1"/>
  <c r="J132" i="1"/>
  <c r="C21" i="9" s="1"/>
  <c r="L625" i="1"/>
  <c r="M712" i="1"/>
  <c r="O712" i="1"/>
  <c r="O666" i="1"/>
  <c r="M666" i="1"/>
  <c r="M617" i="1"/>
  <c r="O617" i="1"/>
  <c r="O665" i="1"/>
  <c r="M665" i="1"/>
  <c r="N141" i="2"/>
  <c r="O662" i="1"/>
  <c r="M662" i="1"/>
  <c r="L342" i="1"/>
  <c r="L726" i="1"/>
  <c r="O660" i="1"/>
  <c r="M660" i="1"/>
  <c r="O752" i="1"/>
  <c r="O762" i="1" s="1"/>
  <c r="N278" i="2"/>
  <c r="O664" i="1"/>
  <c r="M664" i="1"/>
  <c r="L668" i="1"/>
  <c r="O658" i="1"/>
  <c r="M658" i="1"/>
  <c r="O659" i="1"/>
  <c r="M659" i="1"/>
  <c r="O713" i="1"/>
  <c r="M713" i="1"/>
  <c r="N242" i="2"/>
  <c r="O622" i="1"/>
  <c r="O432" i="1" s="1"/>
  <c r="M622" i="1"/>
  <c r="M432" i="1" s="1"/>
  <c r="M657" i="1"/>
  <c r="O657" i="1"/>
  <c r="N184" i="2"/>
  <c r="O618" i="1"/>
  <c r="O428" i="1" s="1"/>
  <c r="M618" i="1"/>
  <c r="M428" i="1" s="1"/>
  <c r="O621" i="1"/>
  <c r="O431" i="1" s="1"/>
  <c r="M621" i="1"/>
  <c r="M431" i="1" s="1"/>
  <c r="L762" i="1"/>
  <c r="O620" i="1"/>
  <c r="O430" i="1" s="1"/>
  <c r="M620" i="1"/>
  <c r="M430" i="1" s="1"/>
  <c r="O623" i="1"/>
  <c r="O435" i="1" s="1"/>
  <c r="M623" i="1"/>
  <c r="M435" i="1" s="1"/>
  <c r="O715" i="1"/>
  <c r="O347" i="1" s="1"/>
  <c r="M715" i="1"/>
  <c r="M347" i="1" s="1"/>
  <c r="O619" i="1"/>
  <c r="M619" i="1"/>
  <c r="C7" i="9"/>
  <c r="L2174" i="1"/>
  <c r="L2194" i="1" s="1"/>
  <c r="L2196" i="1" s="1"/>
  <c r="L2242" i="1" s="1"/>
  <c r="L2244" i="1" s="1"/>
  <c r="K2394" i="1"/>
  <c r="K2396" i="1" s="1"/>
  <c r="L2657" i="1"/>
  <c r="L2768" i="1"/>
  <c r="L2666" i="1"/>
  <c r="O381" i="1"/>
  <c r="L2440" i="1"/>
  <c r="L2614" i="1"/>
  <c r="J246" i="1"/>
  <c r="J248" i="1" s="1"/>
  <c r="C4" i="9" s="1"/>
  <c r="L2483" i="1"/>
  <c r="D545" i="7"/>
  <c r="L545" i="7"/>
  <c r="F9" i="18" s="1"/>
  <c r="L112" i="7"/>
  <c r="J149" i="7"/>
  <c r="K164" i="7"/>
  <c r="O2914" i="1"/>
  <c r="O2918" i="1" s="1"/>
  <c r="N523" i="7"/>
  <c r="O2735" i="1"/>
  <c r="O2740" i="1" s="1"/>
  <c r="N345" i="7"/>
  <c r="O2670" i="1"/>
  <c r="O2676" i="1" s="1"/>
  <c r="N281" i="7"/>
  <c r="O2829" i="1"/>
  <c r="O2833" i="1" s="1"/>
  <c r="N438" i="7"/>
  <c r="N430" i="7"/>
  <c r="O2820" i="1"/>
  <c r="O2825" i="1" s="1"/>
  <c r="O2850" i="1"/>
  <c r="O2852" i="1" s="1"/>
  <c r="N457" i="7"/>
  <c r="O2416" i="1"/>
  <c r="N28" i="7"/>
  <c r="N30" i="7" s="1"/>
  <c r="N32" i="7" s="1"/>
  <c r="O2744" i="1"/>
  <c r="O2748" i="1" s="1"/>
  <c r="N353" i="7"/>
  <c r="M64" i="7"/>
  <c r="M66" i="7" s="1"/>
  <c r="M110" i="7" s="1"/>
  <c r="J527" i="7"/>
  <c r="K539" i="7"/>
  <c r="J539" i="7" s="1"/>
  <c r="L435" i="1"/>
  <c r="O2536" i="1"/>
  <c r="O2540" i="1" s="1"/>
  <c r="N145" i="7"/>
  <c r="L2740" i="1"/>
  <c r="O2554" i="1"/>
  <c r="O2557" i="1" s="1"/>
  <c r="N162" i="7"/>
  <c r="L2523" i="1"/>
  <c r="M525" i="7"/>
  <c r="M527" i="7" s="1"/>
  <c r="M539" i="7" s="1"/>
  <c r="M541" i="7" s="1"/>
  <c r="O2765" i="1"/>
  <c r="O2768" i="1" s="1"/>
  <c r="N373" i="7"/>
  <c r="O2661" i="1"/>
  <c r="O2666" i="1" s="1"/>
  <c r="N271" i="7"/>
  <c r="L356" i="1"/>
  <c r="L2932" i="1"/>
  <c r="J317" i="7"/>
  <c r="K544" i="7"/>
  <c r="O2515" i="1"/>
  <c r="O2523" i="1" s="1"/>
  <c r="N128" i="7"/>
  <c r="L392" i="1"/>
  <c r="M440" i="7"/>
  <c r="M442" i="7" s="1"/>
  <c r="M465" i="7" s="1"/>
  <c r="M467" i="7" s="1"/>
  <c r="O2444" i="1"/>
  <c r="O2449" i="1" s="1"/>
  <c r="M2444" i="1"/>
  <c r="M2449" i="1" s="1"/>
  <c r="M2459" i="1" s="1"/>
  <c r="M2461" i="1" s="1"/>
  <c r="M2505" i="1" s="1"/>
  <c r="M2507" i="1" s="1"/>
  <c r="N54" i="7"/>
  <c r="N108" i="7"/>
  <c r="L194" i="1"/>
  <c r="L201" i="1" s="1"/>
  <c r="L2423" i="1"/>
  <c r="L2425" i="1" s="1"/>
  <c r="L2427" i="1" s="1"/>
  <c r="L2748" i="1"/>
  <c r="O2433" i="1"/>
  <c r="O2440" i="1" s="1"/>
  <c r="N45" i="7"/>
  <c r="M283" i="7"/>
  <c r="M240" i="7"/>
  <c r="L2918" i="1"/>
  <c r="O2487" i="1"/>
  <c r="O2490" i="1" s="1"/>
  <c r="N95" i="7"/>
  <c r="J283" i="7"/>
  <c r="K285" i="7"/>
  <c r="J285" i="7" s="1"/>
  <c r="J357" i="7"/>
  <c r="K386" i="7"/>
  <c r="J386" i="7" s="1"/>
  <c r="L2540" i="1"/>
  <c r="K541" i="7"/>
  <c r="J541" i="7" s="1"/>
  <c r="J489" i="7"/>
  <c r="N88" i="7"/>
  <c r="L2557" i="1"/>
  <c r="L2623" i="1"/>
  <c r="O2905" i="1"/>
  <c r="O2910" i="1" s="1"/>
  <c r="N515" i="7"/>
  <c r="L2676" i="1"/>
  <c r="O2842" i="1"/>
  <c r="O2844" i="1" s="1"/>
  <c r="O2846" i="1" s="1"/>
  <c r="N449" i="7"/>
  <c r="N451" i="7" s="1"/>
  <c r="O2618" i="1"/>
  <c r="O2623" i="1" s="1"/>
  <c r="N228" i="7"/>
  <c r="O2548" i="1"/>
  <c r="O2550" i="1" s="1"/>
  <c r="N155" i="7"/>
  <c r="L2825" i="1"/>
  <c r="L2449" i="1"/>
  <c r="O2503" i="1"/>
  <c r="O2757" i="1"/>
  <c r="O2759" i="1" s="1"/>
  <c r="O2761" i="1" s="1"/>
  <c r="N364" i="7"/>
  <c r="N366" i="7" s="1"/>
  <c r="O2648" i="1"/>
  <c r="O2657" i="1" s="1"/>
  <c r="O2603" i="1"/>
  <c r="O2614" i="1" s="1"/>
  <c r="N219" i="7"/>
  <c r="K465" i="7"/>
  <c r="J442" i="7"/>
  <c r="O2465" i="1"/>
  <c r="O2467" i="1" s="1"/>
  <c r="O2469" i="1" s="1"/>
  <c r="N72" i="7"/>
  <c r="N74" i="7" s="1"/>
  <c r="K66" i="7"/>
  <c r="J32" i="7"/>
  <c r="O2927" i="1"/>
  <c r="N537" i="7"/>
  <c r="M355" i="7"/>
  <c r="M357" i="7" s="1"/>
  <c r="M386" i="7" s="1"/>
  <c r="M388" i="7" s="1"/>
  <c r="O2483" i="1"/>
  <c r="M147" i="7"/>
  <c r="M149" i="7" s="1"/>
  <c r="M164" i="7" s="1"/>
  <c r="M166" i="7" s="1"/>
  <c r="L2910" i="1"/>
  <c r="L2503" i="1"/>
  <c r="O2527" i="1"/>
  <c r="O2532" i="1" s="1"/>
  <c r="N137" i="7"/>
  <c r="D8" i="11"/>
  <c r="J2033" i="1"/>
  <c r="D8" i="18"/>
  <c r="K781" i="1"/>
  <c r="K783" i="1" s="1"/>
  <c r="K813" i="1" s="1"/>
  <c r="K815" i="1" s="1"/>
  <c r="K552" i="1"/>
  <c r="K554" i="1" s="1"/>
  <c r="K627" i="1" s="1"/>
  <c r="B50" i="9"/>
  <c r="L1142" i="1"/>
  <c r="K2101" i="1"/>
  <c r="K2103" i="1" s="1"/>
  <c r="K2126" i="1" s="1"/>
  <c r="K2128" i="1" s="1"/>
  <c r="N447" i="1"/>
  <c r="L2281" i="1"/>
  <c r="L2291" i="1" s="1"/>
  <c r="L2293" i="1" s="1"/>
  <c r="L2326" i="1" s="1"/>
  <c r="L2328" i="1" s="1"/>
  <c r="I246" i="1"/>
  <c r="I248" i="1" s="1"/>
  <c r="K130" i="1"/>
  <c r="K132" i="1" s="1"/>
  <c r="D30" i="9" s="1"/>
  <c r="L2029" i="1"/>
  <c r="K1187" i="1"/>
  <c r="K1189" i="1" s="1"/>
  <c r="K1191" i="1" s="1"/>
  <c r="O2026" i="1"/>
  <c r="M2026" i="1"/>
  <c r="O1950" i="1"/>
  <c r="N73" i="6"/>
  <c r="N75" i="6" s="1"/>
  <c r="N77" i="6" s="1"/>
  <c r="M1950" i="1"/>
  <c r="L2385" i="1"/>
  <c r="L405" i="1"/>
  <c r="L407" i="1" s="1"/>
  <c r="N325" i="6"/>
  <c r="N334" i="6" s="1"/>
  <c r="O2202" i="1"/>
  <c r="O2207" i="1" s="1"/>
  <c r="O2216" i="1" s="1"/>
  <c r="N358" i="6"/>
  <c r="O2161" i="1"/>
  <c r="O2174" i="1" s="1"/>
  <c r="O2194" i="1" s="1"/>
  <c r="O2196" i="1" s="1"/>
  <c r="N292" i="6"/>
  <c r="N312" i="6" s="1"/>
  <c r="N314" i="6" s="1"/>
  <c r="J512" i="6"/>
  <c r="K514" i="6"/>
  <c r="J514" i="6" s="1"/>
  <c r="L152" i="1"/>
  <c r="L158" i="1" s="1"/>
  <c r="L1956" i="1"/>
  <c r="L1958" i="1" s="1"/>
  <c r="L1960" i="1" s="1"/>
  <c r="L1995" i="1" s="1"/>
  <c r="O2390" i="1"/>
  <c r="O2392" i="1" s="1"/>
  <c r="N510" i="6"/>
  <c r="K1995" i="1"/>
  <c r="K2031" i="1" s="1"/>
  <c r="O2240" i="1"/>
  <c r="L346" i="1"/>
  <c r="L2379" i="1"/>
  <c r="O2021" i="1"/>
  <c r="N147" i="6"/>
  <c r="M2021" i="1"/>
  <c r="O1969" i="1"/>
  <c r="O1973" i="1" s="1"/>
  <c r="O1993" i="1" s="1"/>
  <c r="M1969" i="1"/>
  <c r="M1973" i="1" s="1"/>
  <c r="M1993" i="1" s="1"/>
  <c r="N90" i="6"/>
  <c r="N110" i="6" s="1"/>
  <c r="O2275" i="1"/>
  <c r="O2281" i="1" s="1"/>
  <c r="O2291" i="1" s="1"/>
  <c r="O2293" i="1" s="1"/>
  <c r="N399" i="6"/>
  <c r="N409" i="6" s="1"/>
  <c r="N411" i="6" s="1"/>
  <c r="J360" i="6"/>
  <c r="K362" i="6"/>
  <c r="J362" i="6" s="1"/>
  <c r="J517" i="6"/>
  <c r="O2070" i="1"/>
  <c r="O2082" i="1" s="1"/>
  <c r="N200" i="6"/>
  <c r="L518" i="6"/>
  <c r="F8" i="18" s="1"/>
  <c r="L151" i="6"/>
  <c r="L2091" i="1"/>
  <c r="M360" i="6"/>
  <c r="M362" i="6" s="1"/>
  <c r="K149" i="6"/>
  <c r="J112" i="6"/>
  <c r="O2374" i="1"/>
  <c r="N497" i="6"/>
  <c r="M112" i="6"/>
  <c r="M149" i="6" s="1"/>
  <c r="O2221" i="1"/>
  <c r="O2225" i="1" s="1"/>
  <c r="N343" i="6"/>
  <c r="L2082" i="1"/>
  <c r="N503" i="6"/>
  <c r="O2383" i="1"/>
  <c r="O2321" i="1"/>
  <c r="O2324" i="1" s="1"/>
  <c r="N442" i="6"/>
  <c r="O2086" i="1"/>
  <c r="O2091" i="1" s="1"/>
  <c r="N209" i="6"/>
  <c r="O1952" i="1"/>
  <c r="O154" i="1" s="1"/>
  <c r="M1952" i="1"/>
  <c r="M154" i="1" s="1"/>
  <c r="M544" i="7"/>
  <c r="M285" i="7"/>
  <c r="O2594" i="1"/>
  <c r="O2596" i="1" s="1"/>
  <c r="O107" i="1"/>
  <c r="O109" i="1" s="1"/>
  <c r="N199" i="7"/>
  <c r="N201" i="7"/>
  <c r="L544" i="7"/>
  <c r="L285" i="7"/>
  <c r="L989" i="1"/>
  <c r="L991" i="1" s="1"/>
  <c r="L117" i="1"/>
  <c r="L122" i="1" s="1"/>
  <c r="O987" i="1"/>
  <c r="N97" i="3"/>
  <c r="N99" i="3" s="1"/>
  <c r="N301" i="3" s="1"/>
  <c r="J972" i="1"/>
  <c r="D5" i="18"/>
  <c r="K203" i="1"/>
  <c r="K205" i="1" s="1"/>
  <c r="L1185" i="1"/>
  <c r="C28324" i="1"/>
  <c r="C28325" i="1" s="1"/>
  <c r="K947" i="1"/>
  <c r="K949" i="1" s="1"/>
  <c r="K970" i="1" s="1"/>
  <c r="K972" i="1" s="1"/>
  <c r="L411" i="1"/>
  <c r="L413" i="1" s="1"/>
  <c r="E11" i="9" s="1"/>
  <c r="C43" i="9"/>
  <c r="O998" i="1"/>
  <c r="O1008" i="1" s="1"/>
  <c r="N116" i="3"/>
  <c r="O1118" i="1"/>
  <c r="O1123" i="1" s="1"/>
  <c r="N231" i="3"/>
  <c r="K183" i="3"/>
  <c r="J183" i="3" s="1"/>
  <c r="J137" i="3"/>
  <c r="K1027" i="1"/>
  <c r="K1029" i="1" s="1"/>
  <c r="K1075" i="1" s="1"/>
  <c r="J243" i="3"/>
  <c r="J261" i="3" s="1"/>
  <c r="O1012" i="1"/>
  <c r="O1017" i="1" s="1"/>
  <c r="N125" i="3"/>
  <c r="O902" i="1"/>
  <c r="N16" i="3"/>
  <c r="N18" i="3" s="1"/>
  <c r="N20" i="3" s="1"/>
  <c r="L429" i="1"/>
  <c r="K306" i="1"/>
  <c r="O1139" i="1"/>
  <c r="O1142" i="1" s="1"/>
  <c r="M1139" i="1"/>
  <c r="N250" i="3"/>
  <c r="O1021" i="1"/>
  <c r="O1025" i="1" s="1"/>
  <c r="N133" i="3"/>
  <c r="O1147" i="1"/>
  <c r="M1147" i="1"/>
  <c r="L1008" i="1"/>
  <c r="L1131" i="1"/>
  <c r="L1123" i="1"/>
  <c r="L928" i="1"/>
  <c r="O1146" i="1"/>
  <c r="M1146" i="1"/>
  <c r="N259" i="3"/>
  <c r="O1148" i="1"/>
  <c r="M1148" i="1"/>
  <c r="O964" i="1"/>
  <c r="O968" i="1" s="1"/>
  <c r="N76" i="3"/>
  <c r="L299" i="1"/>
  <c r="L1037" i="1"/>
  <c r="L1057" i="1" s="1"/>
  <c r="L908" i="1"/>
  <c r="L910" i="1" s="1"/>
  <c r="L912" i="1" s="1"/>
  <c r="L173" i="1"/>
  <c r="L179" i="1" s="1"/>
  <c r="O932" i="1"/>
  <c r="O937" i="1" s="1"/>
  <c r="N45" i="3"/>
  <c r="L1025" i="1"/>
  <c r="K1133" i="1"/>
  <c r="K1135" i="1" s="1"/>
  <c r="K1153" i="1" s="1"/>
  <c r="K57" i="3"/>
  <c r="J20" i="3"/>
  <c r="O1172" i="1"/>
  <c r="O1177" i="1" s="1"/>
  <c r="N285" i="3"/>
  <c r="O1127" i="1"/>
  <c r="O1131" i="1" s="1"/>
  <c r="N239" i="3"/>
  <c r="O953" i="1"/>
  <c r="N68" i="3"/>
  <c r="L1151" i="1"/>
  <c r="L968" i="1"/>
  <c r="O1035" i="1"/>
  <c r="N145" i="3"/>
  <c r="N165" i="3" s="1"/>
  <c r="O1063" i="1"/>
  <c r="O1067" i="1" s="1"/>
  <c r="N175" i="3"/>
  <c r="O941" i="1"/>
  <c r="O945" i="1" s="1"/>
  <c r="N53" i="3"/>
  <c r="L937" i="1"/>
  <c r="K226" i="1"/>
  <c r="M135" i="3"/>
  <c r="M137" i="3" s="1"/>
  <c r="M183" i="3" s="1"/>
  <c r="L1017" i="1"/>
  <c r="O1181" i="1"/>
  <c r="O1185" i="1" s="1"/>
  <c r="N293" i="3"/>
  <c r="M241" i="3"/>
  <c r="M243" i="3" s="1"/>
  <c r="M261" i="3" s="1"/>
  <c r="K299" i="3"/>
  <c r="J299" i="3" s="1"/>
  <c r="J297" i="3"/>
  <c r="L1177" i="1"/>
  <c r="O917" i="1"/>
  <c r="O928" i="1" s="1"/>
  <c r="N36" i="3"/>
  <c r="N55" i="3" s="1"/>
  <c r="L960" i="1"/>
  <c r="L341" i="1"/>
  <c r="M57" i="3"/>
  <c r="M78" i="3" s="1"/>
  <c r="M80" i="3" s="1"/>
  <c r="O1071" i="1"/>
  <c r="O1073" i="1" s="1"/>
  <c r="N181" i="3"/>
  <c r="L1067" i="1"/>
  <c r="L945" i="1"/>
  <c r="L677" i="1"/>
  <c r="K335" i="1"/>
  <c r="K687" i="1"/>
  <c r="K689" i="1" s="1"/>
  <c r="O527" i="1"/>
  <c r="O221" i="1" s="1"/>
  <c r="M527" i="1"/>
  <c r="M221" i="1" s="1"/>
  <c r="O520" i="1"/>
  <c r="O212" i="1" s="1"/>
  <c r="M520" i="1"/>
  <c r="O683" i="1"/>
  <c r="M683" i="1"/>
  <c r="K708" i="1"/>
  <c r="L391" i="1"/>
  <c r="L603" i="1"/>
  <c r="O846" i="1"/>
  <c r="M846" i="1"/>
  <c r="N367" i="2"/>
  <c r="O681" i="1"/>
  <c r="M681" i="1"/>
  <c r="N201" i="2"/>
  <c r="L425" i="1"/>
  <c r="L162" i="1"/>
  <c r="L169" i="1" s="1"/>
  <c r="L510" i="1"/>
  <c r="L512" i="1" s="1"/>
  <c r="L514" i="1" s="1"/>
  <c r="O607" i="1"/>
  <c r="M607" i="1"/>
  <c r="N127" i="2"/>
  <c r="F41" i="9" s="1"/>
  <c r="I14" i="24" s="1"/>
  <c r="O766" i="1"/>
  <c r="O771" i="1" s="1"/>
  <c r="N287" i="2"/>
  <c r="O528" i="1"/>
  <c r="O222" i="1" s="1"/>
  <c r="M528" i="1"/>
  <c r="M222" i="1" s="1"/>
  <c r="O675" i="1"/>
  <c r="M675" i="1"/>
  <c r="J379" i="2"/>
  <c r="J407" i="2" s="1"/>
  <c r="J409" i="2" s="1"/>
  <c r="K407" i="2"/>
  <c r="K409" i="2" s="1"/>
  <c r="L413" i="2"/>
  <c r="F4" i="18" s="1"/>
  <c r="L145" i="2"/>
  <c r="O857" i="1"/>
  <c r="M857" i="1"/>
  <c r="M203" i="2"/>
  <c r="M205" i="2" s="1"/>
  <c r="O847" i="1"/>
  <c r="M847" i="1"/>
  <c r="O856" i="1"/>
  <c r="M856" i="1"/>
  <c r="O519" i="1"/>
  <c r="M519" i="1"/>
  <c r="M211" i="1" s="1"/>
  <c r="O525" i="1"/>
  <c r="O218" i="1" s="1"/>
  <c r="M525" i="1"/>
  <c r="M218" i="1" s="1"/>
  <c r="O518" i="1"/>
  <c r="M518" i="1"/>
  <c r="N48" i="2"/>
  <c r="O600" i="1"/>
  <c r="M600" i="1"/>
  <c r="M392" i="1" s="1"/>
  <c r="L328" i="1"/>
  <c r="L793" i="1"/>
  <c r="L795" i="1" s="1"/>
  <c r="L368" i="1"/>
  <c r="L329" i="1"/>
  <c r="L570" i="1"/>
  <c r="L572" i="1" s="1"/>
  <c r="L532" i="1"/>
  <c r="O530" i="1"/>
  <c r="O224" i="1" s="1"/>
  <c r="M530" i="1"/>
  <c r="M224" i="1" s="1"/>
  <c r="J629" i="1"/>
  <c r="L851" i="1"/>
  <c r="O576" i="1"/>
  <c r="N111" i="2"/>
  <c r="L685" i="1"/>
  <c r="L611" i="1"/>
  <c r="O799" i="1"/>
  <c r="N319" i="2"/>
  <c r="K235" i="1"/>
  <c r="O529" i="1"/>
  <c r="O223" i="1" s="1"/>
  <c r="M529" i="1"/>
  <c r="M223" i="1" s="1"/>
  <c r="L326" i="1"/>
  <c r="L706" i="1"/>
  <c r="L771" i="1"/>
  <c r="O879" i="1"/>
  <c r="M879" i="1"/>
  <c r="L883" i="1"/>
  <c r="O507" i="1"/>
  <c r="O166" i="1" s="1"/>
  <c r="M507" i="1"/>
  <c r="M166" i="1" s="1"/>
  <c r="O539" i="1"/>
  <c r="M539" i="1"/>
  <c r="O545" i="1"/>
  <c r="M545" i="1"/>
  <c r="N66" i="2"/>
  <c r="O583" i="1"/>
  <c r="O372" i="1" s="1"/>
  <c r="M583" i="1"/>
  <c r="M372" i="1" s="1"/>
  <c r="K387" i="1"/>
  <c r="D37" i="9" s="1"/>
  <c r="E15" i="24" s="1"/>
  <c r="O672" i="1"/>
  <c r="M672" i="1"/>
  <c r="N193" i="2"/>
  <c r="O730" i="1"/>
  <c r="N249" i="2"/>
  <c r="L698" i="1"/>
  <c r="L298" i="1"/>
  <c r="O608" i="1"/>
  <c r="M608" i="1"/>
  <c r="O566" i="1"/>
  <c r="N86" i="2"/>
  <c r="N88" i="2" s="1"/>
  <c r="O880" i="1"/>
  <c r="M880" i="1"/>
  <c r="O504" i="1"/>
  <c r="O163" i="1" s="1"/>
  <c r="M504" i="1"/>
  <c r="M163" i="1" s="1"/>
  <c r="O524" i="1"/>
  <c r="M524" i="1"/>
  <c r="M217" i="1" s="1"/>
  <c r="O304" i="1"/>
  <c r="O562" i="1"/>
  <c r="O855" i="1"/>
  <c r="N375" i="2"/>
  <c r="M855" i="1"/>
  <c r="N222" i="2"/>
  <c r="M703" i="1"/>
  <c r="O703" i="1"/>
  <c r="O547" i="1"/>
  <c r="O241" i="1" s="1"/>
  <c r="M547" i="1"/>
  <c r="M241" i="1" s="1"/>
  <c r="O537" i="1"/>
  <c r="M537" i="1"/>
  <c r="O878" i="1"/>
  <c r="M878" i="1"/>
  <c r="N399" i="2"/>
  <c r="L424" i="1"/>
  <c r="L733" i="1"/>
  <c r="O536" i="1"/>
  <c r="M536" i="1"/>
  <c r="N57" i="2"/>
  <c r="O775" i="1"/>
  <c r="O779" i="1" s="1"/>
  <c r="N295" i="2"/>
  <c r="J205" i="2"/>
  <c r="K251" i="2"/>
  <c r="O674" i="1"/>
  <c r="M674" i="1"/>
  <c r="O485" i="1"/>
  <c r="F48" i="9" s="1"/>
  <c r="O823" i="1"/>
  <c r="O673" i="1"/>
  <c r="M673" i="1"/>
  <c r="O523" i="1"/>
  <c r="O216" i="1" s="1"/>
  <c r="M523" i="1"/>
  <c r="M216" i="1" s="1"/>
  <c r="D413" i="2"/>
  <c r="D145" i="2"/>
  <c r="L423" i="1"/>
  <c r="L811" i="1"/>
  <c r="L350" i="1"/>
  <c r="L595" i="1"/>
  <c r="K244" i="1"/>
  <c r="L349" i="1"/>
  <c r="L803" i="1"/>
  <c r="L330" i="1"/>
  <c r="O521" i="1"/>
  <c r="O213" i="1" s="1"/>
  <c r="M521" i="1"/>
  <c r="M213" i="1" s="1"/>
  <c r="L779" i="1"/>
  <c r="O849" i="1"/>
  <c r="M849" i="1"/>
  <c r="M696" i="1"/>
  <c r="O696" i="1"/>
  <c r="N214" i="2"/>
  <c r="N309" i="2"/>
  <c r="N311" i="2" s="1"/>
  <c r="O789" i="1"/>
  <c r="O848" i="1"/>
  <c r="M848" i="1"/>
  <c r="M68" i="2"/>
  <c r="M70" i="2" s="1"/>
  <c r="M143" i="2" s="1"/>
  <c r="O548" i="1"/>
  <c r="M548" i="1"/>
  <c r="O601" i="1"/>
  <c r="O393" i="1" s="1"/>
  <c r="M601" i="1"/>
  <c r="M393" i="1" s="1"/>
  <c r="O599" i="1"/>
  <c r="M599" i="1"/>
  <c r="N119" i="2"/>
  <c r="O807" i="1"/>
  <c r="N327" i="2"/>
  <c r="M304" i="1"/>
  <c r="M562" i="1"/>
  <c r="M572" i="1" s="1"/>
  <c r="K329" i="2"/>
  <c r="J299" i="2"/>
  <c r="O503" i="1"/>
  <c r="M503" i="1"/>
  <c r="N26" i="2"/>
  <c r="N28" i="2" s="1"/>
  <c r="N30" i="2" s="1"/>
  <c r="O682" i="1"/>
  <c r="M682" i="1"/>
  <c r="O522" i="1"/>
  <c r="O215" i="1" s="1"/>
  <c r="M522" i="1"/>
  <c r="M215" i="1" s="1"/>
  <c r="L859" i="1"/>
  <c r="O526" i="1"/>
  <c r="O219" i="1" s="1"/>
  <c r="M526" i="1"/>
  <c r="M297" i="2"/>
  <c r="M299" i="2" s="1"/>
  <c r="M329" i="2" s="1"/>
  <c r="M331" i="2" s="1"/>
  <c r="K437" i="1"/>
  <c r="D43" i="9" s="1"/>
  <c r="E10" i="24" s="1"/>
  <c r="O505" i="1"/>
  <c r="O164" i="1" s="1"/>
  <c r="M505" i="1"/>
  <c r="M164" i="1" s="1"/>
  <c r="E48" i="9"/>
  <c r="E12" i="10" s="1"/>
  <c r="G20" i="24" s="1"/>
  <c r="E17" i="9"/>
  <c r="O538" i="1"/>
  <c r="M538" i="1"/>
  <c r="M232" i="1" s="1"/>
  <c r="L550" i="1"/>
  <c r="J70" i="2"/>
  <c r="K143" i="2"/>
  <c r="O506" i="1"/>
  <c r="O165" i="1" s="1"/>
  <c r="M506" i="1"/>
  <c r="M165" i="1" s="1"/>
  <c r="L541" i="1"/>
  <c r="F14" i="24"/>
  <c r="J14" i="24"/>
  <c r="H20" i="24"/>
  <c r="F10" i="24"/>
  <c r="F20" i="24"/>
  <c r="F12" i="24"/>
  <c r="F15" i="24"/>
  <c r="N40" i="5" l="1"/>
  <c r="N42" i="5" s="1"/>
  <c r="N94" i="5" s="1"/>
  <c r="M3350" i="1"/>
  <c r="M3358" i="1" s="1"/>
  <c r="M3360" i="1" s="1"/>
  <c r="M3425" i="1" s="1"/>
  <c r="M90" i="1"/>
  <c r="M92" i="1" s="1"/>
  <c r="M240" i="1"/>
  <c r="M242" i="1"/>
  <c r="M210" i="1"/>
  <c r="L130" i="1"/>
  <c r="J380" i="8"/>
  <c r="J568" i="8" s="1"/>
  <c r="N70" i="8"/>
  <c r="N72" i="8" s="1"/>
  <c r="O2901" i="1"/>
  <c r="M8" i="1"/>
  <c r="M18" i="1" s="1"/>
  <c r="M50" i="1" s="1"/>
  <c r="M1902" i="1"/>
  <c r="M1921" i="1" s="1"/>
  <c r="M1941" i="1" s="1"/>
  <c r="L50" i="1"/>
  <c r="M646" i="1"/>
  <c r="M648" i="1" s="1"/>
  <c r="M650" i="1" s="1"/>
  <c r="M101" i="1"/>
  <c r="M103" i="1" s="1"/>
  <c r="M130" i="1" s="1"/>
  <c r="M132" i="1" s="1"/>
  <c r="O240" i="1"/>
  <c r="O242" i="1"/>
  <c r="M429" i="1"/>
  <c r="O211" i="1"/>
  <c r="O8" i="1"/>
  <c r="O18" i="1" s="1"/>
  <c r="O50" i="1" s="1"/>
  <c r="O1902" i="1"/>
  <c r="O1921" i="1" s="1"/>
  <c r="O1941" i="1" s="1"/>
  <c r="O101" i="1"/>
  <c r="O103" i="1" s="1"/>
  <c r="O646" i="1"/>
  <c r="O648" i="1" s="1"/>
  <c r="O650" i="1" s="1"/>
  <c r="O217" i="1"/>
  <c r="O392" i="1"/>
  <c r="M251" i="2"/>
  <c r="M253" i="2" s="1"/>
  <c r="N525" i="7"/>
  <c r="N527" i="7" s="1"/>
  <c r="N440" i="7"/>
  <c r="N442" i="7" s="1"/>
  <c r="N203" i="4"/>
  <c r="N205" i="4" s="1"/>
  <c r="N217" i="4" s="1"/>
  <c r="N219" i="4" s="1"/>
  <c r="O126" i="1"/>
  <c r="O128" i="1" s="1"/>
  <c r="O2708" i="1"/>
  <c r="O2710" i="1" s="1"/>
  <c r="O2712" i="1" s="1"/>
  <c r="O3350" i="1"/>
  <c r="O3358" i="1" s="1"/>
  <c r="O3360" i="1" s="1"/>
  <c r="O3425" i="1" s="1"/>
  <c r="O90" i="1"/>
  <c r="O92" i="1" s="1"/>
  <c r="F12" i="10"/>
  <c r="I20" i="24"/>
  <c r="L2835" i="1"/>
  <c r="L2837" i="1" s="1"/>
  <c r="L2860" i="1" s="1"/>
  <c r="L2862" i="1" s="1"/>
  <c r="L1475" i="1"/>
  <c r="L1477" i="1" s="1"/>
  <c r="L1407" i="1"/>
  <c r="L1409" i="1" s="1"/>
  <c r="L1702" i="1"/>
  <c r="L1704" i="1" s="1"/>
  <c r="L1737" i="1" s="1"/>
  <c r="L1739" i="1" s="1"/>
  <c r="L1596" i="1"/>
  <c r="L1598" i="1" s="1"/>
  <c r="L1650" i="1" s="1"/>
  <c r="L1652" i="1" s="1"/>
  <c r="O1452" i="1"/>
  <c r="O1454" i="1" s="1"/>
  <c r="G7" i="18"/>
  <c r="H7" i="18" s="1"/>
  <c r="E10" i="11"/>
  <c r="L1882" i="1"/>
  <c r="L1884" i="1" s="1"/>
  <c r="O1393" i="1"/>
  <c r="O1395" i="1" s="1"/>
  <c r="O1407" i="1" s="1"/>
  <c r="O1409" i="1" s="1"/>
  <c r="O1329" i="1"/>
  <c r="O1331" i="1" s="1"/>
  <c r="O1858" i="1"/>
  <c r="O1882" i="1" s="1"/>
  <c r="O1884" i="1" s="1"/>
  <c r="M212" i="1"/>
  <c r="D8" i="9"/>
  <c r="D38" i="9"/>
  <c r="E13" i="24" s="1"/>
  <c r="D35" i="9"/>
  <c r="E16" i="24" s="1"/>
  <c r="D5" i="9"/>
  <c r="K367" i="4"/>
  <c r="J367" i="4" s="1"/>
  <c r="J365" i="4"/>
  <c r="O1345" i="1"/>
  <c r="O1347" i="1" s="1"/>
  <c r="O318" i="1"/>
  <c r="N262" i="4"/>
  <c r="N264" i="4" s="1"/>
  <c r="N285" i="4" s="1"/>
  <c r="N287" i="4" s="1"/>
  <c r="L1787" i="1"/>
  <c r="L1789" i="1" s="1"/>
  <c r="O1664" i="1"/>
  <c r="O1666" i="1" s="1"/>
  <c r="O1674" i="1" s="1"/>
  <c r="O1676" i="1" s="1"/>
  <c r="O284" i="1"/>
  <c r="O288" i="1" s="1"/>
  <c r="N157" i="4"/>
  <c r="M370" i="4"/>
  <c r="I6" i="18" s="1"/>
  <c r="M102" i="4"/>
  <c r="O140" i="1"/>
  <c r="O147" i="1" s="1"/>
  <c r="O1206" i="1"/>
  <c r="O1208" i="1" s="1"/>
  <c r="O1210" i="1" s="1"/>
  <c r="O1533" i="1"/>
  <c r="O1537" i="1" s="1"/>
  <c r="O311" i="1"/>
  <c r="N96" i="5"/>
  <c r="L320" i="1"/>
  <c r="O1254" i="1"/>
  <c r="O1260" i="1" s="1"/>
  <c r="O302" i="1"/>
  <c r="N333" i="4"/>
  <c r="N335" i="4" s="1"/>
  <c r="N365" i="4" s="1"/>
  <c r="N367" i="4" s="1"/>
  <c r="N181" i="5"/>
  <c r="N183" i="5" s="1"/>
  <c r="O1596" i="1"/>
  <c r="O1598" i="1" s="1"/>
  <c r="N238" i="7"/>
  <c r="N231" i="5"/>
  <c r="N233" i="5" s="1"/>
  <c r="O1523" i="1"/>
  <c r="O1525" i="1" s="1"/>
  <c r="O1702" i="1"/>
  <c r="O1704" i="1" s="1"/>
  <c r="O1462" i="1"/>
  <c r="O1466" i="1" s="1"/>
  <c r="O312" i="1"/>
  <c r="K1292" i="1"/>
  <c r="G6" i="18"/>
  <c r="H6" i="18" s="1"/>
  <c r="J181" i="5"/>
  <c r="K183" i="5"/>
  <c r="J183" i="5" s="1"/>
  <c r="K331" i="5"/>
  <c r="C7" i="18" s="1"/>
  <c r="E7" i="18" s="1"/>
  <c r="K96" i="5"/>
  <c r="J96" i="5" s="1"/>
  <c r="J94" i="5"/>
  <c r="J331" i="5" s="1"/>
  <c r="C7" i="11"/>
  <c r="E7" i="11" s="1"/>
  <c r="M219" i="1"/>
  <c r="N64" i="7"/>
  <c r="N281" i="5"/>
  <c r="N283" i="5" s="1"/>
  <c r="J217" i="4"/>
  <c r="K219" i="4"/>
  <c r="J219" i="4" s="1"/>
  <c r="J285" i="4"/>
  <c r="K287" i="4"/>
  <c r="J287" i="4" s="1"/>
  <c r="K100" i="4"/>
  <c r="J57" i="4"/>
  <c r="N139" i="4"/>
  <c r="N141" i="4" s="1"/>
  <c r="L288" i="1"/>
  <c r="L290" i="1" s="1"/>
  <c r="L292" i="1" s="1"/>
  <c r="L1245" i="1"/>
  <c r="L1247" i="1" s="1"/>
  <c r="L1290" i="1" s="1"/>
  <c r="N302" i="5"/>
  <c r="N326" i="5" s="1"/>
  <c r="N328" i="5" s="1"/>
  <c r="O344" i="1"/>
  <c r="O1546" i="1"/>
  <c r="M331" i="5"/>
  <c r="I7" i="18" s="1"/>
  <c r="M96" i="5"/>
  <c r="O260" i="1"/>
  <c r="O264" i="1" s="1"/>
  <c r="O1764" i="1"/>
  <c r="O1774" i="1" s="1"/>
  <c r="O1776" i="1" s="1"/>
  <c r="O1787" i="1" s="1"/>
  <c r="O1789" i="1" s="1"/>
  <c r="O252" i="1"/>
  <c r="O256" i="1" s="1"/>
  <c r="O1714" i="1"/>
  <c r="O1724" i="1" s="1"/>
  <c r="O1726" i="1" s="1"/>
  <c r="N55" i="4"/>
  <c r="N57" i="4" s="1"/>
  <c r="N100" i="4" s="1"/>
  <c r="L1329" i="1"/>
  <c r="L1331" i="1" s="1"/>
  <c r="L1356" i="1" s="1"/>
  <c r="O268" i="1"/>
  <c r="O272" i="1" s="1"/>
  <c r="O1608" i="1"/>
  <c r="O1618" i="1" s="1"/>
  <c r="O1620" i="1" s="1"/>
  <c r="M230" i="1"/>
  <c r="N224" i="2"/>
  <c r="M302" i="3"/>
  <c r="I5" i="18" s="1"/>
  <c r="E10" i="9"/>
  <c r="E40" i="9"/>
  <c r="G12" i="24" s="1"/>
  <c r="D382" i="8"/>
  <c r="J382" i="8" s="1"/>
  <c r="O276" i="1"/>
  <c r="O280" i="1" s="1"/>
  <c r="O1815" i="1"/>
  <c r="O1825" i="1" s="1"/>
  <c r="O1827" i="1" s="1"/>
  <c r="O1837" i="1" s="1"/>
  <c r="O1839" i="1" s="1"/>
  <c r="L1523" i="1"/>
  <c r="L1525" i="1" s="1"/>
  <c r="L1555" i="1" s="1"/>
  <c r="L1557" i="1" s="1"/>
  <c r="O1245" i="1"/>
  <c r="L244" i="1"/>
  <c r="O232" i="1"/>
  <c r="O230" i="1"/>
  <c r="O233" i="1"/>
  <c r="O210" i="1"/>
  <c r="M231" i="1"/>
  <c r="O239" i="1"/>
  <c r="O244" i="1" s="1"/>
  <c r="M239" i="1"/>
  <c r="O231" i="1"/>
  <c r="M233" i="1"/>
  <c r="K246" i="1"/>
  <c r="K248" i="1" s="1"/>
  <c r="L2394" i="1"/>
  <c r="L2396" i="1" s="1"/>
  <c r="F8" i="11"/>
  <c r="F11" i="11"/>
  <c r="F5" i="11"/>
  <c r="F4" i="11"/>
  <c r="F12" i="11"/>
  <c r="F14" i="11"/>
  <c r="F6" i="11"/>
  <c r="F7" i="11"/>
  <c r="F9" i="11"/>
  <c r="C15" i="9"/>
  <c r="C19" i="9" s="1"/>
  <c r="C23" i="9" s="1"/>
  <c r="L306" i="1"/>
  <c r="C30" i="9"/>
  <c r="C6" i="10" s="1"/>
  <c r="C8" i="10" s="1"/>
  <c r="D4" i="11"/>
  <c r="D4" i="18"/>
  <c r="D12" i="18" s="1"/>
  <c r="O3005" i="1"/>
  <c r="O3007" i="1" s="1"/>
  <c r="L1187" i="1"/>
  <c r="L1189" i="1" s="1"/>
  <c r="L1191" i="1" s="1"/>
  <c r="E10" i="18"/>
  <c r="O3495" i="1"/>
  <c r="O3497" i="1" s="1"/>
  <c r="L2633" i="1"/>
  <c r="L2635" i="1" s="1"/>
  <c r="L2678" i="1" s="1"/>
  <c r="L2680" i="1" s="1"/>
  <c r="L3313" i="1"/>
  <c r="L3315" i="1" s="1"/>
  <c r="O429" i="1"/>
  <c r="B6" i="10"/>
  <c r="B8" i="10" s="1"/>
  <c r="B16" i="10" s="1"/>
  <c r="N250" i="8"/>
  <c r="N252" i="8" s="1"/>
  <c r="L395" i="1"/>
  <c r="E38" i="9" s="1"/>
  <c r="G13" i="24" s="1"/>
  <c r="O330" i="1"/>
  <c r="I445" i="1"/>
  <c r="O3183" i="1"/>
  <c r="O3185" i="1" s="1"/>
  <c r="L203" i="1"/>
  <c r="L205" i="1" s="1"/>
  <c r="K3315" i="1"/>
  <c r="G10" i="18"/>
  <c r="H10" i="18" s="1"/>
  <c r="O313" i="1"/>
  <c r="M3228" i="1"/>
  <c r="M3230" i="1" s="1"/>
  <c r="O3228" i="1"/>
  <c r="O3230" i="1" s="1"/>
  <c r="N568" i="8"/>
  <c r="L10" i="18" s="1"/>
  <c r="N10" i="18" s="1"/>
  <c r="Q10" i="18" s="1"/>
  <c r="N382" i="8"/>
  <c r="O3087" i="1"/>
  <c r="O3089" i="1" s="1"/>
  <c r="O3285" i="1"/>
  <c r="O3287" i="1" s="1"/>
  <c r="O3313" i="1" s="1"/>
  <c r="O331" i="1"/>
  <c r="M331" i="1"/>
  <c r="M3285" i="1"/>
  <c r="M3287" i="1" s="1"/>
  <c r="M3313" i="1" s="1"/>
  <c r="O2920" i="1"/>
  <c r="O2922" i="1" s="1"/>
  <c r="O2459" i="1"/>
  <c r="L2459" i="1"/>
  <c r="L2461" i="1" s="1"/>
  <c r="L2505" i="1" s="1"/>
  <c r="L2507" i="1" s="1"/>
  <c r="L2920" i="1"/>
  <c r="L2922" i="1" s="1"/>
  <c r="L2934" i="1" s="1"/>
  <c r="L2936" i="1" s="1"/>
  <c r="J445" i="1"/>
  <c r="J447" i="1" s="1"/>
  <c r="C34" i="9"/>
  <c r="C46" i="9" s="1"/>
  <c r="M842" i="1"/>
  <c r="M874" i="1"/>
  <c r="M364" i="1"/>
  <c r="O874" i="1"/>
  <c r="O364" i="1"/>
  <c r="O842" i="1"/>
  <c r="M625" i="1"/>
  <c r="O625" i="1"/>
  <c r="O668" i="1"/>
  <c r="M668" i="1"/>
  <c r="M342" i="1"/>
  <c r="M726" i="1"/>
  <c r="N203" i="2"/>
  <c r="N205" i="2" s="1"/>
  <c r="N251" i="2" s="1"/>
  <c r="N253" i="2" s="1"/>
  <c r="O342" i="1"/>
  <c r="O726" i="1"/>
  <c r="B52" i="9"/>
  <c r="O2101" i="1"/>
  <c r="O2103" i="1" s="1"/>
  <c r="O2126" i="1" s="1"/>
  <c r="O2128" i="1" s="1"/>
  <c r="L2542" i="1"/>
  <c r="L2544" i="1" s="1"/>
  <c r="L2559" i="1" s="1"/>
  <c r="L2561" i="1" s="1"/>
  <c r="O2835" i="1"/>
  <c r="O2837" i="1" s="1"/>
  <c r="O2860" i="1" s="1"/>
  <c r="O2862" i="1" s="1"/>
  <c r="O2029" i="1"/>
  <c r="N147" i="7"/>
  <c r="N149" i="7" s="1"/>
  <c r="N164" i="7" s="1"/>
  <c r="N166" i="7" s="1"/>
  <c r="K388" i="7"/>
  <c r="J388" i="7" s="1"/>
  <c r="N66" i="7"/>
  <c r="N110" i="7" s="1"/>
  <c r="D21" i="9"/>
  <c r="O2750" i="1"/>
  <c r="O2752" i="1" s="1"/>
  <c r="O2781" i="1" s="1"/>
  <c r="G9" i="18"/>
  <c r="H9" i="18" s="1"/>
  <c r="K2680" i="1"/>
  <c r="O2633" i="1"/>
  <c r="O2635" i="1" s="1"/>
  <c r="O2678" i="1" s="1"/>
  <c r="O2680" i="1" s="1"/>
  <c r="O2542" i="1"/>
  <c r="O2544" i="1" s="1"/>
  <c r="O2559" i="1" s="1"/>
  <c r="O2561" i="1" s="1"/>
  <c r="O194" i="1"/>
  <c r="O201" i="1" s="1"/>
  <c r="O2423" i="1"/>
  <c r="O2425" i="1" s="1"/>
  <c r="O2427" i="1" s="1"/>
  <c r="N465" i="7"/>
  <c r="N467" i="7" s="1"/>
  <c r="N283" i="7"/>
  <c r="N285" i="7" s="1"/>
  <c r="N240" i="7"/>
  <c r="M545" i="7"/>
  <c r="I9" i="18" s="1"/>
  <c r="M112" i="7"/>
  <c r="O2932" i="1"/>
  <c r="O356" i="1"/>
  <c r="K110" i="7"/>
  <c r="J66" i="7"/>
  <c r="J110" i="7" s="1"/>
  <c r="J465" i="7"/>
  <c r="K467" i="7"/>
  <c r="J467" i="7" s="1"/>
  <c r="N539" i="7"/>
  <c r="N541" i="7" s="1"/>
  <c r="J544" i="7"/>
  <c r="L2750" i="1"/>
  <c r="L2752" i="1" s="1"/>
  <c r="L2781" i="1" s="1"/>
  <c r="L2783" i="1" s="1"/>
  <c r="N355" i="7"/>
  <c r="N357" i="7" s="1"/>
  <c r="N386" i="7" s="1"/>
  <c r="N388" i="7" s="1"/>
  <c r="J164" i="7"/>
  <c r="K166" i="7"/>
  <c r="J166" i="7" s="1"/>
  <c r="L687" i="1"/>
  <c r="L689" i="1" s="1"/>
  <c r="O425" i="1"/>
  <c r="K337" i="1"/>
  <c r="D36" i="9" s="1"/>
  <c r="E9" i="24" s="1"/>
  <c r="F12" i="18"/>
  <c r="L2031" i="1"/>
  <c r="K735" i="1"/>
  <c r="K737" i="1" s="1"/>
  <c r="O368" i="1"/>
  <c r="O1187" i="1"/>
  <c r="O1189" i="1" s="1"/>
  <c r="O1191" i="1" s="1"/>
  <c r="G5" i="18"/>
  <c r="H5" i="18" s="1"/>
  <c r="L2101" i="1"/>
  <c r="L2103" i="1" s="1"/>
  <c r="L2126" i="1" s="1"/>
  <c r="L2128" i="1" s="1"/>
  <c r="K629" i="1"/>
  <c r="M151" i="6"/>
  <c r="M518" i="6"/>
  <c r="I8" i="18" s="1"/>
  <c r="K518" i="6"/>
  <c r="C8" i="18" s="1"/>
  <c r="C8" i="11"/>
  <c r="E8" i="11" s="1"/>
  <c r="J149" i="6"/>
  <c r="J518" i="6" s="1"/>
  <c r="K151" i="6"/>
  <c r="J151" i="6" s="1"/>
  <c r="N112" i="6"/>
  <c r="N149" i="6" s="1"/>
  <c r="N512" i="6"/>
  <c r="N514" i="6" s="1"/>
  <c r="N219" i="6"/>
  <c r="N221" i="6" s="1"/>
  <c r="N244" i="6" s="1"/>
  <c r="N246" i="6" s="1"/>
  <c r="O152" i="1"/>
  <c r="O158" i="1" s="1"/>
  <c r="O1956" i="1"/>
  <c r="O1958" i="1" s="1"/>
  <c r="O1960" i="1" s="1"/>
  <c r="O1995" i="1" s="1"/>
  <c r="O405" i="1"/>
  <c r="O407" i="1" s="1"/>
  <c r="F40" i="9" s="1"/>
  <c r="I12" i="24" s="1"/>
  <c r="O2385" i="1"/>
  <c r="O346" i="1"/>
  <c r="O2379" i="1"/>
  <c r="N444" i="6"/>
  <c r="N446" i="6" s="1"/>
  <c r="O2242" i="1"/>
  <c r="O2244" i="1" s="1"/>
  <c r="O2326" i="1"/>
  <c r="O2328" i="1" s="1"/>
  <c r="M2029" i="1"/>
  <c r="M341" i="1"/>
  <c r="G8" i="18"/>
  <c r="H8" i="18" s="1"/>
  <c r="K2033" i="1"/>
  <c r="N360" i="6"/>
  <c r="N362" i="6" s="1"/>
  <c r="M152" i="1"/>
  <c r="M158" i="1" s="1"/>
  <c r="M1956" i="1"/>
  <c r="M1958" i="1" s="1"/>
  <c r="M1960" i="1" s="1"/>
  <c r="M1995" i="1" s="1"/>
  <c r="N544" i="7"/>
  <c r="O117" i="1"/>
  <c r="O122" i="1" s="1"/>
  <c r="O130" i="1" s="1"/>
  <c r="O132" i="1" s="1"/>
  <c r="F30" i="9" s="1"/>
  <c r="O989" i="1"/>
  <c r="O991" i="1" s="1"/>
  <c r="L226" i="1"/>
  <c r="M411" i="1"/>
  <c r="M413" i="1" s="1"/>
  <c r="M425" i="1"/>
  <c r="L1133" i="1"/>
  <c r="L1135" i="1" s="1"/>
  <c r="L1153" i="1" s="1"/>
  <c r="D32" i="9"/>
  <c r="K136" i="17" s="1"/>
  <c r="K137" i="17" s="1"/>
  <c r="D6" i="10"/>
  <c r="D8" i="10" s="1"/>
  <c r="O411" i="1"/>
  <c r="O413" i="1" s="1"/>
  <c r="O883" i="1"/>
  <c r="M859" i="1"/>
  <c r="M1151" i="1"/>
  <c r="M423" i="1"/>
  <c r="M1142" i="1"/>
  <c r="M368" i="1"/>
  <c r="N57" i="3"/>
  <c r="N78" i="3" s="1"/>
  <c r="N80" i="3" s="1"/>
  <c r="N135" i="3"/>
  <c r="N137" i="3" s="1"/>
  <c r="N183" i="3" s="1"/>
  <c r="K78" i="3"/>
  <c r="K302" i="3" s="1"/>
  <c r="C5" i="18" s="1"/>
  <c r="E5" i="18" s="1"/>
  <c r="J57" i="3"/>
  <c r="O1151" i="1"/>
  <c r="O173" i="1"/>
  <c r="O179" i="1" s="1"/>
  <c r="O908" i="1"/>
  <c r="O910" i="1" s="1"/>
  <c r="O912" i="1" s="1"/>
  <c r="N241" i="3"/>
  <c r="N243" i="3" s="1"/>
  <c r="N261" i="3" s="1"/>
  <c r="O1027" i="1"/>
  <c r="O1029" i="1" s="1"/>
  <c r="O947" i="1"/>
  <c r="O1037" i="1"/>
  <c r="O1057" i="1" s="1"/>
  <c r="O299" i="1"/>
  <c r="O960" i="1"/>
  <c r="O341" i="1"/>
  <c r="N295" i="3"/>
  <c r="N297" i="3" s="1"/>
  <c r="N299" i="3" s="1"/>
  <c r="L947" i="1"/>
  <c r="L949" i="1" s="1"/>
  <c r="L970" i="1" s="1"/>
  <c r="L972" i="1" s="1"/>
  <c r="L1027" i="1"/>
  <c r="L1029" i="1" s="1"/>
  <c r="L1075" i="1" s="1"/>
  <c r="O1133" i="1"/>
  <c r="O1135" i="1" s="1"/>
  <c r="L437" i="1"/>
  <c r="E43" i="9" s="1"/>
  <c r="G10" i="24" s="1"/>
  <c r="O859" i="1"/>
  <c r="L708" i="1"/>
  <c r="M145" i="2"/>
  <c r="L235" i="1"/>
  <c r="M162" i="1"/>
  <c r="M169" i="1" s="1"/>
  <c r="M510" i="1"/>
  <c r="M512" i="1" s="1"/>
  <c r="M514" i="1" s="1"/>
  <c r="O541" i="1"/>
  <c r="O326" i="1"/>
  <c r="O706" i="1"/>
  <c r="O677" i="1"/>
  <c r="L861" i="1"/>
  <c r="L863" i="1" s="1"/>
  <c r="L891" i="1" s="1"/>
  <c r="L893" i="1" s="1"/>
  <c r="M532" i="1"/>
  <c r="O611" i="1"/>
  <c r="O162" i="1"/>
  <c r="O169" i="1" s="1"/>
  <c r="O510" i="1"/>
  <c r="O512" i="1" s="1"/>
  <c r="O514" i="1" s="1"/>
  <c r="M391" i="1"/>
  <c r="M395" i="1" s="1"/>
  <c r="M603" i="1"/>
  <c r="L387" i="1"/>
  <c r="E37" i="9" s="1"/>
  <c r="G15" i="24" s="1"/>
  <c r="J251" i="2"/>
  <c r="K253" i="2"/>
  <c r="J253" i="2" s="1"/>
  <c r="M326" i="1"/>
  <c r="M706" i="1"/>
  <c r="O329" i="1"/>
  <c r="O570" i="1"/>
  <c r="O572" i="1" s="1"/>
  <c r="O733" i="1"/>
  <c r="O424" i="1"/>
  <c r="D7" i="9"/>
  <c r="M550" i="1"/>
  <c r="L335" i="1"/>
  <c r="O350" i="1"/>
  <c r="O595" i="1"/>
  <c r="L552" i="1"/>
  <c r="L554" i="1" s="1"/>
  <c r="L627" i="1" s="1"/>
  <c r="O532" i="1"/>
  <c r="M685" i="1"/>
  <c r="N377" i="2"/>
  <c r="N379" i="2" s="1"/>
  <c r="N407" i="2" s="1"/>
  <c r="N409" i="2" s="1"/>
  <c r="D13" i="9"/>
  <c r="O391" i="1"/>
  <c r="O395" i="1" s="1"/>
  <c r="F38" i="9" s="1"/>
  <c r="I13" i="24" s="1"/>
  <c r="O603" i="1"/>
  <c r="O698" i="1"/>
  <c r="O298" i="1"/>
  <c r="M424" i="1"/>
  <c r="M883" i="1"/>
  <c r="M595" i="1"/>
  <c r="O550" i="1"/>
  <c r="N297" i="2"/>
  <c r="N299" i="2" s="1"/>
  <c r="N329" i="2" s="1"/>
  <c r="N331" i="2" s="1"/>
  <c r="O685" i="1"/>
  <c r="M851" i="1"/>
  <c r="K413" i="2"/>
  <c r="C4" i="18" s="1"/>
  <c r="J143" i="2"/>
  <c r="C4" i="11"/>
  <c r="K145" i="2"/>
  <c r="J145" i="2" s="1"/>
  <c r="K331" i="2"/>
  <c r="J331" i="2" s="1"/>
  <c r="J329" i="2"/>
  <c r="O423" i="1"/>
  <c r="O811" i="1"/>
  <c r="O328" i="1"/>
  <c r="O793" i="1"/>
  <c r="O795" i="1" s="1"/>
  <c r="M698" i="1"/>
  <c r="M298" i="1"/>
  <c r="M306" i="1" s="1"/>
  <c r="M541" i="1"/>
  <c r="M677" i="1"/>
  <c r="L781" i="1"/>
  <c r="L783" i="1" s="1"/>
  <c r="L813" i="1" s="1"/>
  <c r="L815" i="1" s="1"/>
  <c r="O349" i="1"/>
  <c r="O803" i="1"/>
  <c r="N68" i="2"/>
  <c r="N70" i="2" s="1"/>
  <c r="N143" i="2" s="1"/>
  <c r="O781" i="1"/>
  <c r="O783" i="1" s="1"/>
  <c r="M611" i="1"/>
  <c r="O851" i="1"/>
  <c r="J20" i="24"/>
  <c r="J12" i="24"/>
  <c r="F16" i="24"/>
  <c r="J13" i="24"/>
  <c r="H15" i="24"/>
  <c r="F13" i="24"/>
  <c r="F9" i="24"/>
  <c r="H13" i="24"/>
  <c r="H10" i="24"/>
  <c r="H12" i="24"/>
  <c r="F36" i="9" l="1"/>
  <c r="I9" i="24" s="1"/>
  <c r="L132" i="1"/>
  <c r="M413" i="2"/>
  <c r="I4" i="18" s="1"/>
  <c r="O2783" i="1"/>
  <c r="M244" i="1"/>
  <c r="O1247" i="1"/>
  <c r="O1290" i="1" s="1"/>
  <c r="O1292" i="1" s="1"/>
  <c r="C15" i="11"/>
  <c r="D15" i="11" s="1"/>
  <c r="O1475" i="1"/>
  <c r="O1477" i="1" s="1"/>
  <c r="O320" i="1"/>
  <c r="J7" i="18"/>
  <c r="K7" i="18" s="1"/>
  <c r="O1356" i="1"/>
  <c r="O1650" i="1"/>
  <c r="O1652" i="1" s="1"/>
  <c r="L1292" i="1"/>
  <c r="J6" i="18"/>
  <c r="K6" i="18" s="1"/>
  <c r="O1737" i="1"/>
  <c r="O1739" i="1" s="1"/>
  <c r="O290" i="1"/>
  <c r="O292" i="1" s="1"/>
  <c r="F35" i="9" s="1"/>
  <c r="I16" i="24" s="1"/>
  <c r="E35" i="9"/>
  <c r="G16" i="24" s="1"/>
  <c r="E5" i="9"/>
  <c r="O1555" i="1"/>
  <c r="O1557" i="1" s="1"/>
  <c r="N166" i="4"/>
  <c r="N370" i="4" s="1"/>
  <c r="L6" i="18" s="1"/>
  <c r="N6" i="18" s="1"/>
  <c r="Q6" i="18" s="1"/>
  <c r="N102" i="4"/>
  <c r="N331" i="5"/>
  <c r="L7" i="18" s="1"/>
  <c r="N7" i="18" s="1"/>
  <c r="Q7" i="18" s="1"/>
  <c r="K370" i="4"/>
  <c r="C6" i="18" s="1"/>
  <c r="E6" i="18" s="1"/>
  <c r="K102" i="4"/>
  <c r="J102" i="4" s="1"/>
  <c r="C6" i="11"/>
  <c r="E6" i="11" s="1"/>
  <c r="J100" i="4"/>
  <c r="J370" i="4" s="1"/>
  <c r="N302" i="3"/>
  <c r="L5" i="18" s="1"/>
  <c r="D4" i="9"/>
  <c r="D34" i="9"/>
  <c r="E11" i="24" s="1"/>
  <c r="D6" i="9"/>
  <c r="L246" i="1"/>
  <c r="L248" i="1" s="1"/>
  <c r="E34" i="9" s="1"/>
  <c r="G11" i="24" s="1"/>
  <c r="C32" i="9"/>
  <c r="J136" i="17" s="1"/>
  <c r="J137" i="17" s="1"/>
  <c r="L337" i="1"/>
  <c r="J10" i="18"/>
  <c r="K10" i="18" s="1"/>
  <c r="E4" i="18"/>
  <c r="E8" i="9"/>
  <c r="O3315" i="1"/>
  <c r="O2934" i="1"/>
  <c r="O2936" i="1" s="1"/>
  <c r="O2461" i="1"/>
  <c r="O2505" i="1" s="1"/>
  <c r="O2507" i="1" s="1"/>
  <c r="M3315" i="1"/>
  <c r="M335" i="1"/>
  <c r="M337" i="1" s="1"/>
  <c r="O203" i="1"/>
  <c r="O205" i="1" s="1"/>
  <c r="M203" i="1"/>
  <c r="M205" i="1" s="1"/>
  <c r="O2031" i="1"/>
  <c r="O2033" i="1" s="1"/>
  <c r="C10" i="10"/>
  <c r="C14" i="10" s="1"/>
  <c r="C16" i="10" s="1"/>
  <c r="C50" i="9"/>
  <c r="L735" i="1"/>
  <c r="L737" i="1" s="1"/>
  <c r="O226" i="1"/>
  <c r="M226" i="1"/>
  <c r="J413" i="2"/>
  <c r="M437" i="1"/>
  <c r="O387" i="1"/>
  <c r="F37" i="9" s="1"/>
  <c r="I15" i="24" s="1"/>
  <c r="O708" i="1"/>
  <c r="N545" i="7"/>
  <c r="L9" i="18" s="1"/>
  <c r="N9" i="18" s="1"/>
  <c r="Q9" i="18" s="1"/>
  <c r="N112" i="7"/>
  <c r="J545" i="7"/>
  <c r="J9" i="18"/>
  <c r="K9" i="18" s="1"/>
  <c r="K545" i="7"/>
  <c r="C9" i="18" s="1"/>
  <c r="E9" i="18" s="1"/>
  <c r="C9" i="11"/>
  <c r="E9" i="11" s="1"/>
  <c r="K112" i="7"/>
  <c r="J112" i="7" s="1"/>
  <c r="G4" i="18"/>
  <c r="H4" i="18" s="1"/>
  <c r="H12" i="18" s="1"/>
  <c r="M2031" i="1"/>
  <c r="M2033" i="1" s="1"/>
  <c r="J8" i="18"/>
  <c r="K8" i="18" s="1"/>
  <c r="I12" i="18"/>
  <c r="L2033" i="1"/>
  <c r="M687" i="1"/>
  <c r="M689" i="1" s="1"/>
  <c r="O2394" i="1"/>
  <c r="O2396" i="1" s="1"/>
  <c r="L629" i="1"/>
  <c r="J5" i="18"/>
  <c r="K5" i="18" s="1"/>
  <c r="N151" i="6"/>
  <c r="N518" i="6"/>
  <c r="L8" i="18" s="1"/>
  <c r="N8" i="18" s="1"/>
  <c r="Q8" i="18" s="1"/>
  <c r="E8" i="18"/>
  <c r="N5" i="18"/>
  <c r="F32" i="9"/>
  <c r="M136" i="17" s="1"/>
  <c r="M137" i="17" s="1"/>
  <c r="F6" i="10"/>
  <c r="F8" i="10" s="1"/>
  <c r="M708" i="1"/>
  <c r="K445" i="1"/>
  <c r="K447" i="1" s="1"/>
  <c r="O1153" i="1"/>
  <c r="O1075" i="1"/>
  <c r="E13" i="9"/>
  <c r="M861" i="1"/>
  <c r="M863" i="1" s="1"/>
  <c r="M891" i="1" s="1"/>
  <c r="M893" i="1" s="1"/>
  <c r="O306" i="1"/>
  <c r="D46" i="9"/>
  <c r="O949" i="1"/>
  <c r="O970" i="1" s="1"/>
  <c r="O972" i="1" s="1"/>
  <c r="K80" i="3"/>
  <c r="C5" i="11"/>
  <c r="J78" i="3"/>
  <c r="J302" i="3" s="1"/>
  <c r="M387" i="1"/>
  <c r="O437" i="1"/>
  <c r="F43" i="9" s="1"/>
  <c r="I10" i="24" s="1"/>
  <c r="M1153" i="1"/>
  <c r="O861" i="1"/>
  <c r="O863" i="1" s="1"/>
  <c r="O891" i="1" s="1"/>
  <c r="O893" i="1" s="1"/>
  <c r="M235" i="1"/>
  <c r="N413" i="2"/>
  <c r="L4" i="18" s="1"/>
  <c r="N4" i="18" s="1"/>
  <c r="Q4" i="18" s="1"/>
  <c r="N145" i="2"/>
  <c r="O813" i="1"/>
  <c r="O815" i="1" s="1"/>
  <c r="O552" i="1"/>
  <c r="O554" i="1" s="1"/>
  <c r="O627" i="1" s="1"/>
  <c r="O629" i="1" s="1"/>
  <c r="E4" i="11"/>
  <c r="M552" i="1"/>
  <c r="M554" i="1" s="1"/>
  <c r="M627" i="1" s="1"/>
  <c r="M629" i="1" s="1"/>
  <c r="O687" i="1"/>
  <c r="O689" i="1" s="1"/>
  <c r="E7" i="9"/>
  <c r="O235" i="1"/>
  <c r="O335" i="1"/>
  <c r="J9" i="24"/>
  <c r="J10" i="24"/>
  <c r="F11" i="24"/>
  <c r="H11" i="24"/>
  <c r="H16" i="24"/>
  <c r="J16" i="24"/>
  <c r="J15" i="24"/>
  <c r="E30" i="9" l="1"/>
  <c r="E21" i="9"/>
  <c r="D15" i="9"/>
  <c r="D19" i="9" s="1"/>
  <c r="D23" i="9" s="1"/>
  <c r="C52" i="9"/>
  <c r="C12" i="18"/>
  <c r="G51" i="9"/>
  <c r="E6" i="9"/>
  <c r="E36" i="9"/>
  <c r="G9" i="24" s="1"/>
  <c r="M246" i="1"/>
  <c r="M248" i="1" s="1"/>
  <c r="M445" i="1" s="1"/>
  <c r="M447" i="1" s="1"/>
  <c r="O246" i="1"/>
  <c r="O248" i="1" s="1"/>
  <c r="F34" i="9" s="1"/>
  <c r="I11" i="24" s="1"/>
  <c r="J4" i="18"/>
  <c r="K4" i="18" s="1"/>
  <c r="K12" i="18" s="1"/>
  <c r="C14" i="11"/>
  <c r="C16" i="11" s="1"/>
  <c r="O735" i="1"/>
  <c r="O737" i="1" s="1"/>
  <c r="O337" i="1"/>
  <c r="M735" i="1"/>
  <c r="M737" i="1" s="1"/>
  <c r="G12" i="18"/>
  <c r="L12" i="18"/>
  <c r="N12" i="18"/>
  <c r="Q5" i="18"/>
  <c r="E4" i="9"/>
  <c r="L445" i="1"/>
  <c r="L447" i="1" s="1"/>
  <c r="J80" i="3"/>
  <c r="D5" i="11"/>
  <c r="D14" i="11" s="1"/>
  <c r="D16" i="11" s="1"/>
  <c r="D50" i="9"/>
  <c r="D52" i="9" s="1"/>
  <c r="D10" i="10"/>
  <c r="J11" i="24"/>
  <c r="H9" i="24"/>
  <c r="G13" i="18" l="1"/>
  <c r="E6" i="10"/>
  <c r="E8" i="10" s="1"/>
  <c r="E32" i="9"/>
  <c r="L136" i="17" s="1"/>
  <c r="L137" i="17" s="1"/>
  <c r="E46" i="9"/>
  <c r="E10" i="10" s="1"/>
  <c r="E14" i="10" s="1"/>
  <c r="E15" i="9"/>
  <c r="E19" i="9" s="1"/>
  <c r="E23" i="9" s="1"/>
  <c r="D14" i="10"/>
  <c r="D16" i="10" s="1"/>
  <c r="J12" i="18"/>
  <c r="O445" i="1"/>
  <c r="O447" i="1" s="1"/>
  <c r="F46" i="9"/>
  <c r="F50" i="9" s="1"/>
  <c r="F52" i="9" s="1"/>
  <c r="E5" i="11"/>
  <c r="E14" i="11" s="1"/>
  <c r="E16" i="10" l="1"/>
  <c r="E50" i="9"/>
  <c r="E52" i="9" s="1"/>
  <c r="J13" i="18"/>
  <c r="F10" i="10"/>
  <c r="N14" i="18" s="1"/>
  <c r="F14" i="10" l="1"/>
  <c r="F16" i="10" s="1"/>
  <c r="D136" i="17"/>
  <c r="D137" i="17"/>
  <c r="I3390" i="1"/>
  <c r="I2582" i="1"/>
  <c r="G3425" i="1"/>
  <c r="I2253" i="1"/>
  <c r="I2668" i="1"/>
  <c r="K187" i="7"/>
  <c r="J187" i="7"/>
  <c r="I2638" i="1"/>
  <c r="H137" i="17"/>
  <c r="I2903" i="1"/>
  <c r="I2912" i="1"/>
  <c r="F567" i="8"/>
  <c r="I2256" i="1"/>
  <c r="G427" i="8"/>
  <c r="G567" i="8"/>
  <c r="K249" i="7"/>
  <c r="J249" i="7"/>
  <c r="I2644" i="1"/>
  <c r="K22" i="4"/>
  <c r="J22" i="4"/>
  <c r="I1212" i="1"/>
  <c r="K371" i="6"/>
  <c r="J371" i="6"/>
  <c r="H132" i="17"/>
  <c r="H134" i="17"/>
  <c r="H94" i="17"/>
  <c r="I2650" i="1"/>
  <c r="K193" i="7"/>
  <c r="J193" i="7"/>
  <c r="I2588" i="1"/>
  <c r="I2252" i="1"/>
  <c r="E3450" i="1"/>
  <c r="E3497" i="1"/>
  <c r="K243" i="7"/>
  <c r="J243" i="7"/>
  <c r="K273" i="7"/>
  <c r="J273" i="7"/>
  <c r="K24" i="4"/>
  <c r="J24" i="4"/>
  <c r="I1214" i="1"/>
  <c r="G3450" i="1"/>
  <c r="G3497" i="1"/>
  <c r="K508" i="7"/>
  <c r="J508" i="7"/>
  <c r="I2637" i="1"/>
  <c r="I2255" i="1"/>
  <c r="I3448" i="1"/>
  <c r="I3450" i="1"/>
  <c r="I3497" i="1"/>
  <c r="I2254" i="1"/>
  <c r="E3444" i="1"/>
  <c r="E3446" i="1"/>
  <c r="E3448" i="1"/>
  <c r="E91" i="17"/>
  <c r="F511" i="8"/>
  <c r="K374" i="6"/>
  <c r="J374" i="6"/>
  <c r="E417" i="8"/>
  <c r="E425" i="8"/>
  <c r="E427" i="8"/>
  <c r="E567" i="8"/>
  <c r="G136" i="17"/>
  <c r="G137" i="17"/>
  <c r="K370" i="6"/>
  <c r="J370" i="6"/>
  <c r="F427" i="8"/>
  <c r="G3360" i="1"/>
  <c r="G3448" i="1"/>
  <c r="G417" i="8"/>
  <c r="G425" i="8"/>
  <c r="F136" i="17"/>
  <c r="F134" i="17"/>
  <c r="F137" i="17"/>
  <c r="H3450" i="1"/>
  <c r="H3497" i="1"/>
  <c r="H567" i="8"/>
  <c r="K457" i="8"/>
  <c r="J457" i="8"/>
  <c r="E137" i="17"/>
  <c r="E132" i="17"/>
  <c r="E134" i="17"/>
  <c r="E136" i="17"/>
  <c r="D91" i="17"/>
  <c r="E511" i="8"/>
  <c r="D3444" i="1"/>
  <c r="D3446" i="1"/>
  <c r="D3448" i="1"/>
  <c r="D3450" i="1"/>
  <c r="D3497" i="1"/>
  <c r="F94" i="17"/>
  <c r="F132" i="17"/>
  <c r="J476" i="8"/>
  <c r="K476" i="8"/>
  <c r="F90" i="17"/>
  <c r="G415" i="8"/>
  <c r="F3348" i="1"/>
  <c r="F3350" i="1"/>
  <c r="F3358" i="1"/>
  <c r="F3360" i="1"/>
  <c r="F3425" i="1"/>
  <c r="E94" i="17"/>
  <c r="K242" i="7"/>
  <c r="J242" i="7"/>
  <c r="K373" i="6"/>
  <c r="J373" i="6"/>
  <c r="F417" i="8"/>
  <c r="F425" i="8"/>
  <c r="K372" i="6"/>
  <c r="J372" i="6"/>
  <c r="D3360" i="1"/>
  <c r="D3425" i="1"/>
  <c r="G3348" i="1"/>
  <c r="G3350" i="1"/>
  <c r="G3358" i="1"/>
  <c r="G94" i="17"/>
  <c r="G132" i="17"/>
  <c r="G134" i="17"/>
  <c r="I91" i="17"/>
  <c r="J511" i="8"/>
  <c r="I3444" i="1"/>
  <c r="I3446" i="1"/>
  <c r="H90" i="17"/>
  <c r="I415" i="8"/>
  <c r="H3348" i="1"/>
  <c r="H3350" i="1"/>
  <c r="H3358" i="1"/>
  <c r="H3360" i="1"/>
  <c r="H3425" i="1"/>
  <c r="D3348" i="1"/>
  <c r="D3350" i="1"/>
  <c r="D3358" i="1"/>
  <c r="G91" i="17"/>
  <c r="H511" i="8"/>
  <c r="G3444" i="1"/>
  <c r="G3446" i="1"/>
  <c r="F91" i="17"/>
  <c r="G511" i="8"/>
  <c r="F3444" i="1"/>
  <c r="F3446" i="1"/>
  <c r="F3448" i="1"/>
  <c r="F3450" i="1"/>
  <c r="F3497" i="1"/>
  <c r="I94" i="17"/>
  <c r="I132" i="17"/>
  <c r="I134" i="17"/>
  <c r="I137" i="17"/>
  <c r="I90" i="1"/>
  <c r="I92" i="1"/>
  <c r="I130" i="1"/>
  <c r="I132" i="1"/>
  <c r="I447" i="1"/>
  <c r="K255" i="7"/>
  <c r="J255" i="7"/>
  <c r="E415" i="8"/>
  <c r="D90" i="17"/>
  <c r="D94" i="17"/>
  <c r="D132" i="17"/>
  <c r="D134" i="17"/>
  <c r="K517" i="7"/>
  <c r="J517" i="7"/>
  <c r="H91" i="17"/>
  <c r="I511" i="8"/>
  <c r="H3444" i="1"/>
  <c r="H3446" i="1"/>
  <c r="H3448" i="1"/>
  <c r="I3425" i="1"/>
  <c r="E90" i="17"/>
  <c r="F415" i="8"/>
  <c r="E3348" i="1"/>
  <c r="E3350" i="1"/>
  <c r="E3358" i="1"/>
  <c r="E3360" i="1"/>
  <c r="E3425" i="1"/>
  <c r="I90" i="17"/>
  <c r="J415" i="8"/>
  <c r="I3348" i="1"/>
  <c r="I3350" i="1"/>
  <c r="I3358" i="1"/>
  <c r="I3360" i="1"/>
  <c r="G90" i="17"/>
  <c r="H415" i="8"/>
  <c r="H417" i="8"/>
  <c r="H425" i="8"/>
  <c r="H427" i="8"/>
  <c r="J482" i="8"/>
  <c r="K482" i="8"/>
</calcChain>
</file>

<file path=xl/sharedStrings.xml><?xml version="1.0" encoding="utf-8"?>
<sst xmlns="http://schemas.openxmlformats.org/spreadsheetml/2006/main" count="28302" uniqueCount="3252">
  <si>
    <t>Votenumber</t>
  </si>
  <si>
    <t>Description</t>
  </si>
  <si>
    <t>Budget</t>
  </si>
  <si>
    <t>Curr Mth Exp</t>
  </si>
  <si>
    <t>Commitment</t>
  </si>
  <si>
    <t>YTD Movement</t>
  </si>
  <si>
    <t>Unspend Bud</t>
  </si>
  <si>
    <t>Perc</t>
  </si>
  <si>
    <t>SUMMARY MOLEMOLE LM</t>
  </si>
  <si>
    <t>REVENUE</t>
  </si>
  <si>
    <t>NON - EXCHANGE REVENUE</t>
  </si>
  <si>
    <t>PROPERTY RATES</t>
  </si>
  <si>
    <t>BUSINESS &amp; COMMERCIAL PROPERTIES</t>
  </si>
  <si>
    <t>FARM PROPERTIES: AGRICULTURAL PURPOSES</t>
  </si>
  <si>
    <t>MUNICIPAL PROPERTIES</t>
  </si>
  <si>
    <t>PUBLIC SERVICE INFRASTRUCTURE</t>
  </si>
  <si>
    <t>RESIDENTIAL PROPERTIES:  DEVELOPED</t>
  </si>
  <si>
    <t>RESIDENTIAL PROPERTIES: VACANT LAND</t>
  </si>
  <si>
    <t>SMALL HOLDINGS: AGRICULTURAL PURPOSES</t>
  </si>
  <si>
    <t>STATE-OWNED PROPERTIES</t>
  </si>
  <si>
    <t>AGRICULTURAL PROPERTY</t>
  </si>
  <si>
    <t>SUB TOTAL : PROPERTY RATES</t>
  </si>
  <si>
    <t>FINES PENALTIES AND FORFEITS</t>
  </si>
  <si>
    <t>FINES: ILLEGAL CONNECTIONS - ELECTRICITY</t>
  </si>
  <si>
    <t>FINES: TRAFFIC - COURT FINES</t>
  </si>
  <si>
    <t>PENALTIES: COLLECTION</t>
  </si>
  <si>
    <t>PENALTIES: MOTOR VEHICLE LICENCE</t>
  </si>
  <si>
    <t>FORFEITS: RETENTIONS</t>
  </si>
  <si>
    <t>SUB TOTAL : FINES PENALTIES AND FORFEITS</t>
  </si>
  <si>
    <t>TRANSFERS AND SUBSIDIES</t>
  </si>
  <si>
    <t>OPERATIONAL : MONETARY</t>
  </si>
  <si>
    <t>TS_O_M_NG_EPWP GRANT</t>
  </si>
  <si>
    <t>TS_O_M_NG_LOCAL GOV FIN MNG GRANT</t>
  </si>
  <si>
    <t>TS_O_M_NG_MIG GRANT</t>
  </si>
  <si>
    <t>TS_O_M_NRF_EQUITABLE SHARE</t>
  </si>
  <si>
    <t>SUB TOTAL : OPERATIONAL : MONETARY</t>
  </si>
  <si>
    <t>CAPITAL : MONETARY</t>
  </si>
  <si>
    <t>TS_C_M_NG_MIG GRANT</t>
  </si>
  <si>
    <t>SUB TOTAL : CAPITAL : MONETARY</t>
  </si>
  <si>
    <t>SUB TOTAL : TRANSFERS &amp; SUBSIDIES</t>
  </si>
  <si>
    <t>SUB TOTAL : NON - EXCHANGE REVENUE</t>
  </si>
  <si>
    <t>EXCHANGE REVENUE</t>
  </si>
  <si>
    <t>SERVICE CHARGES</t>
  </si>
  <si>
    <t>ELEC: CONNEC/RECON DISCONN/RECONN FEES</t>
  </si>
  <si>
    <t>ELEC SALES: COMMERC CONVEN SINGLE PHASE</t>
  </si>
  <si>
    <t>ELEC SALES: COMMERCIAL CONVEN 3-PHASE</t>
  </si>
  <si>
    <t>ELEC SALES: DOMESTIC LOW:  PREPAID</t>
  </si>
  <si>
    <t>ELEC SALES: DOMESTIC HIGH HOME POWER 1</t>
  </si>
  <si>
    <t>ELEC SALES: INDUSTRIAL 400 VOLTS (LOW)</t>
  </si>
  <si>
    <t>WASTE MANGEMENT: CARRIER BAGS</t>
  </si>
  <si>
    <t>WASTE MANGEMENT: REFUSE REMOVAL</t>
  </si>
  <si>
    <t>WASTE MANGEMENT: WASTE BINS</t>
  </si>
  <si>
    <t>WASTE WATER MANG: SANITATION CHARGES</t>
  </si>
  <si>
    <t>WATER: SALE - CONVENTIONAL</t>
  </si>
  <si>
    <t>WATER: SALE - FLAT RATE</t>
  </si>
  <si>
    <t>SUB TOTAL : SERVICE CHARGES</t>
  </si>
  <si>
    <t>INTEREST DIVIDENDS AND RENT ON LAND</t>
  </si>
  <si>
    <t>INTER: RECEIV - ELECTRICITY</t>
  </si>
  <si>
    <t>INTER: RECEIV - SERVICE CHARGES</t>
  </si>
  <si>
    <t>INTER: RECEIV - WASTE MANAGEMENT</t>
  </si>
  <si>
    <t>INTER: RECEIV - WASTE WATER MANAGEMENT</t>
  </si>
  <si>
    <t>INTER: RECEIV - WATER</t>
  </si>
  <si>
    <t>INTER: SHORT TERM INVEST &amp; CALL ACCOUNTS</t>
  </si>
  <si>
    <t>RENT ON LAND: LAND - GRAZING FEES</t>
  </si>
  <si>
    <t>SUB TOTAL : INTEREST DIV RENT ON LAND</t>
  </si>
  <si>
    <t>INT DIV &amp; RENT LAND -INT: REC-PROP RATES</t>
  </si>
  <si>
    <t>SUB TOTAL : INT DIV RENT ON LAND NON-EXC</t>
  </si>
  <si>
    <t>AGENCY SERVICES</t>
  </si>
  <si>
    <t>AGENCY SERV - DIST MUNI: LIMPOPO</t>
  </si>
  <si>
    <t>SUB TOTAL : AGENCY SERVICES</t>
  </si>
  <si>
    <t>OPERATIONAL REVENUE</t>
  </si>
  <si>
    <t>BREAKAGES RECOVERED</t>
  </si>
  <si>
    <t>COLLECTION CHARGES</t>
  </si>
  <si>
    <t>COMMISSION: TRANSACTION HANDLING FEES</t>
  </si>
  <si>
    <t>INCIDENTAL CASH SURPLUSES</t>
  </si>
  <si>
    <t>SALE OF PROPERTY</t>
  </si>
  <si>
    <t>SKILLS DEVELOPMENT LEVY REFUND</t>
  </si>
  <si>
    <t>SUB TOTAL : OPERATIONAL REVENUE</t>
  </si>
  <si>
    <t>RENTAL FROM FIXED ASSETS</t>
  </si>
  <si>
    <t>N-M-R PPE: AD HOC-COMMUNITY ASSETS</t>
  </si>
  <si>
    <t>SUB TOTAL : RENTAL FROM FIXED ASSETS</t>
  </si>
  <si>
    <t>SALES OF GOODS AND RENDERING OF SERVICES</t>
  </si>
  <si>
    <t>ADVERTISEMENTS</t>
  </si>
  <si>
    <t>CEMETERY &amp; BURIAL</t>
  </si>
  <si>
    <t>LIBRARY FEES: MEMBERSHIP</t>
  </si>
  <si>
    <t>PLAN &amp; DEV: BUILDING PLAN APPROVAL</t>
  </si>
  <si>
    <t>PLAN &amp; DEV: CLEARANCE CERTIFICATES</t>
  </si>
  <si>
    <t>PLAN &amp; DEV: TOWN PLANNING &amp; SERVITUDES</t>
  </si>
  <si>
    <t>SALE OF: AGRIC PROD - CATTLE CRAZING</t>
  </si>
  <si>
    <t>SALE OF: AGRIC PROD - ASSET &lt; CAP THRESH</t>
  </si>
  <si>
    <t>SUB TOTAL : SALES &amp; RENDERING OF SERV</t>
  </si>
  <si>
    <t>LICENCES AND PERMITS</t>
  </si>
  <si>
    <t>ROAD &amp; TRSP: DRIVERS LICENCE CERTIFICATE</t>
  </si>
  <si>
    <t>SUB TOTAL : LICENCES AND PERMITS</t>
  </si>
  <si>
    <t>SUB TOTAL : EXCHANGE REVENUE</t>
  </si>
  <si>
    <t>TOTAL : INCOME</t>
  </si>
  <si>
    <t>EXPENDITURE</t>
  </si>
  <si>
    <t>EMPLOYEE RELATED COST</t>
  </si>
  <si>
    <t>SENIOR MANAGEMENT</t>
  </si>
  <si>
    <t>SM - SALARIES ALLOW AND SERV BENEFITS</t>
  </si>
  <si>
    <t>SM MM: SAL &amp; ALL -  BASIC SALARY</t>
  </si>
  <si>
    <t>SM MM: SAL &amp; ALL -  PERFORM BASED BONUS</t>
  </si>
  <si>
    <t>SM MM: ALLOW - CELLULAR &amp; TELEPHONE</t>
  </si>
  <si>
    <t>SM MM: ALLOW - TRAVEL OR MOTOR VEHICLE</t>
  </si>
  <si>
    <t>SM MM: ALLOW - ACCOM TRAVEL &amp; INCIDENT.</t>
  </si>
  <si>
    <t>SM MM: ALLOW - NON PENSIONABLE</t>
  </si>
  <si>
    <t>SUB TOTAL: MM - SAL ALLOW &amp; SERV BENEF</t>
  </si>
  <si>
    <t>CFO - SALARIES ALLOW AND SERV BENEFITS</t>
  </si>
  <si>
    <t>SM CFO: SAL &amp; ALL -  BASIC SALARY</t>
  </si>
  <si>
    <t>SM CFO: SAL &amp; ALL -  PERFORM BASED BONUS</t>
  </si>
  <si>
    <t>SM CFO: ALLOW - CELLULAR &amp; TELEPHONE</t>
  </si>
  <si>
    <t>SM CFO: ALLOW - ACCOM TRAVEL &amp; INCIDENT.</t>
  </si>
  <si>
    <t>SM CFO: ALLOW - NON PENSIONABLE</t>
  </si>
  <si>
    <t>SM CFO: SRB - ACTING &amp; POST RELATE ALLOW</t>
  </si>
  <si>
    <t>SUB TOTAL: CFO - SAL ALLOW &amp; SERV BENEF</t>
  </si>
  <si>
    <t>D01 - SALARIES ALLOW AND SERV BENEFITS</t>
  </si>
  <si>
    <t>SM D01: SAL &amp; ALL -  BASIC SALARY</t>
  </si>
  <si>
    <t>SM D01: SAL &amp; ALL -  PERFORM BASED BONUS</t>
  </si>
  <si>
    <t>SM D01: ALLOW - CELLULAR &amp; TELEPHONE</t>
  </si>
  <si>
    <t>SM D01: ALLOW - TRAVEL OR MOTOR VEHICLE</t>
  </si>
  <si>
    <t>SM D01: ALLOW - NON PENSIONABLE</t>
  </si>
  <si>
    <t>SM D01: SRB - ACTING &amp; POST RELATE ALLOW</t>
  </si>
  <si>
    <t>SUB TOTAL: DTS - SAL ALLOW &amp; SERV BENEF</t>
  </si>
  <si>
    <t>DO2 - SALARIES ALLOW AND SERV BENEFITS</t>
  </si>
  <si>
    <t>SM D02: SAL &amp; ALL -  BASIC SALARY</t>
  </si>
  <si>
    <t>SM D02: SAL &amp; ALL -  PERFORM BASED BONUS</t>
  </si>
  <si>
    <t>SM D02: ALLOW - CELLULAR &amp; TELEPHONE</t>
  </si>
  <si>
    <t>SM D02: ALLOW - NON PENSIONABLE</t>
  </si>
  <si>
    <t>SM D02: SRB - ACTING &amp; POST RELATE ALLOW</t>
  </si>
  <si>
    <t>SUB TOTAL: DPS - SAL ALLOW &amp; SERV BENEF</t>
  </si>
  <si>
    <t>DO3 - SALARIES ALLOW AND SERV BENEFITS</t>
  </si>
  <si>
    <t>SM D03: SAL &amp; ALL -  BASIC SALARY</t>
  </si>
  <si>
    <t>SM D03: SAL &amp; ALL -  PERFORM BASED BONUS</t>
  </si>
  <si>
    <t>SM D03: ALLOW - CELLULAR &amp; TELEPHONE</t>
  </si>
  <si>
    <t>SM D03: ALLOW - TRAVEL OR MOTOR VEHICLE</t>
  </si>
  <si>
    <t>SM D03: ALLOW - NON PENSIONABLE</t>
  </si>
  <si>
    <t>SM D03: SRB - ACTING &amp; POST RELATE ALLOW</t>
  </si>
  <si>
    <t>SUB TOTAL: DCH - SAL ALLOW &amp; SERV BENEF</t>
  </si>
  <si>
    <t>DO4 - SALARIES ALLOW AND SERV BENEFITS</t>
  </si>
  <si>
    <t>SM D04: SAL &amp; ALL -  BASIC SALARY</t>
  </si>
  <si>
    <t>SM D04: SAL &amp; ALL -  PERFORM BASED BONUS</t>
  </si>
  <si>
    <t>SM D04: ALLOW - CELLULAR &amp; TELEPHONE</t>
  </si>
  <si>
    <t>SM D04: ALLOW - TRAVEL OR MOTOR VEHICLE</t>
  </si>
  <si>
    <t>SM D04: ALLOW - NON PENSIONABLE</t>
  </si>
  <si>
    <t>SM D04: SRB - ACTING &amp; POST RELATE ALLOW</t>
  </si>
  <si>
    <t>SUB TOTAL: DCS - SAL ALLOW &amp; SERV BENEF</t>
  </si>
  <si>
    <t>SUB TOTAL: SM - SAL ALLOW &amp; SERV BENEF</t>
  </si>
  <si>
    <t>SUB TOTAL : SENIOR MANAGEMENT</t>
  </si>
  <si>
    <t>MUNICIPAL STAFF</t>
  </si>
  <si>
    <t>MS - SALARIES ALLOW AND SERV BENEFITS</t>
  </si>
  <si>
    <t>MS: SAL &amp; ALL: BASIC SALARY &amp; WAGES</t>
  </si>
  <si>
    <t>MS: SAL &amp; ALL: PERFORMANCE BASED BONUSES</t>
  </si>
  <si>
    <t>MS: ALL - CELLULAR &amp; TELEPHONE</t>
  </si>
  <si>
    <t>MS: HB &amp; INC: HOUSING BENEFITS</t>
  </si>
  <si>
    <t>MS: HB &amp; INC: LAUNDRY</t>
  </si>
  <si>
    <t>MS: ALL - LEAVE PAY</t>
  </si>
  <si>
    <t>MS: ALL - TRAVEL OR MOTOR VEHICLE</t>
  </si>
  <si>
    <t>MS: OVERTIME - NON STRUCTURED</t>
  </si>
  <si>
    <t>MS: SRB - ACTING ALLOWANCE</t>
  </si>
  <si>
    <t>MS: SRB - ANNUAL BONUS</t>
  </si>
  <si>
    <t>MS: SRB - LIFEGUARD/DUTY SQUADS</t>
  </si>
  <si>
    <t>MS: SRB - LONG SERVICE AWARD</t>
  </si>
  <si>
    <t>MS: SRB - STANDBY ALLOWANCE</t>
  </si>
  <si>
    <t>MS: SRB - TOOLS ALLOWANCE</t>
  </si>
  <si>
    <t>MS: SRB - NON PENSIONABLE</t>
  </si>
  <si>
    <t>SUB TOTAL : MS - SAL ALLOW &amp; SERV BENEF</t>
  </si>
  <si>
    <t>MS - SOCIAL CONTRIBUTIONS</t>
  </si>
  <si>
    <t>MS: SOC CONTR - BARGAINING COUNCIL</t>
  </si>
  <si>
    <t>MS: SOC CONTR - MEDICAL</t>
  </si>
  <si>
    <t>MS: SOC CONTR - PENSION</t>
  </si>
  <si>
    <t>MS: SOC CONTR - UNEMPLOYMENT INSUR FUND</t>
  </si>
  <si>
    <t>SUB TOTAL : MS - SOCIAL CONTRIBUTIONS</t>
  </si>
  <si>
    <t>MS - POST RETIREMENT BENEFITS</t>
  </si>
  <si>
    <t>MS: PRB - MED: CURRENT SERVICE COST</t>
  </si>
  <si>
    <t>MS: PRB - MED: INTEREST COST</t>
  </si>
  <si>
    <t>MS: PRB - OTHER: LONG TERM SERVICE AWARD</t>
  </si>
  <si>
    <t>SUB TOTAL : MS - POST RETIREMENT BENEFIT</t>
  </si>
  <si>
    <t>SUB TOTAL : MUNICIPAL STAFF</t>
  </si>
  <si>
    <t>SUB TOTAL : EMPLOYEE RELATED COST</t>
  </si>
  <si>
    <t>REMUNERATION OF COUNCILLORS</t>
  </si>
  <si>
    <t>ROC - ALLOWANCES &amp; SERV RELATED BENEFITS</t>
  </si>
  <si>
    <t>SPEAKER - ALLOWANCES &amp; SRB</t>
  </si>
  <si>
    <t>SPEAKER: TRAVELLING ALLOWANCE</t>
  </si>
  <si>
    <t>SPEAKER: BASIC SALARY</t>
  </si>
  <si>
    <t>SPEAKER: CELL PHONE ALLOWANCE</t>
  </si>
  <si>
    <t>SUB TOTAL - SPEAKER ALLOW &amp;SER REL BENEF</t>
  </si>
  <si>
    <t>WHIP - ALLOWANCES &amp; SRB</t>
  </si>
  <si>
    <t>WHIP: TRAVELLING ALLOWANCE</t>
  </si>
  <si>
    <t>WHIP: BASIC SALARY</t>
  </si>
  <si>
    <t>WHIP: CELL PHONE ALLOWANCE</t>
  </si>
  <si>
    <t>SUB TOTAL - WHIP ALLOW &amp;SER REL BENEF</t>
  </si>
  <si>
    <t>EXEC MAYOR - ALLOWANCES &amp; SRB</t>
  </si>
  <si>
    <t>EXEC MAYOR: TRAVELLING ALLOWANCE</t>
  </si>
  <si>
    <t>EXEC MAYOR: BASIC SALARY</t>
  </si>
  <si>
    <t>EXEC MAYOR: CELL PHONE ALLOWANCE</t>
  </si>
  <si>
    <t>SUB TOTAL - EXE MAYOR ALLOW &amp; SRB</t>
  </si>
  <si>
    <t>EXCO - ALLOWANCES &amp; SRB</t>
  </si>
  <si>
    <t>EXCO: TRAVELLING ALLOWANCE</t>
  </si>
  <si>
    <t>EXCO: BASIC SALARY</t>
  </si>
  <si>
    <t>EXCO: CELL PHONE ALLOWANCE</t>
  </si>
  <si>
    <t>SUB TOTAL - EXCO ALLOW &amp;SER REL BENEF</t>
  </si>
  <si>
    <t>OTHER COUNCIL - ALLOWANCES &amp; SRB</t>
  </si>
  <si>
    <t>OTH COUNCIL: TRAVELLING ALLOWANCE</t>
  </si>
  <si>
    <t>OTH COUNCIL: BASIC SALARY</t>
  </si>
  <si>
    <t>OTH COUNCIL: CELL PHONE ALLOWANCE</t>
  </si>
  <si>
    <t>SUB TOTAL - OTHER COUNCIL ALLOW &amp; SRB</t>
  </si>
  <si>
    <t>SUB TOTAL : ROC - ALLOW &amp; SER REL BENEF</t>
  </si>
  <si>
    <t>SUB TOTAL : REMUNERATION OF COUNCILLORS</t>
  </si>
  <si>
    <t>CONTRACTED SERVICES</t>
  </si>
  <si>
    <t>OUTSOURCE SERVICES</t>
  </si>
  <si>
    <t>OS: B&amp;A BUSINESS &amp; FINANCIAL MANAGEMENT</t>
  </si>
  <si>
    <t>OS: B&amp;A OCCUPATIONAL HEALTH &amp; SAFETY</t>
  </si>
  <si>
    <t>OS: B&amp;A ORGANISATIONAL</t>
  </si>
  <si>
    <t>OS: B&amp;A VALUER</t>
  </si>
  <si>
    <t>OS: CATERING SERVICES</t>
  </si>
  <si>
    <t>OS: CONNECT/DIS-CONNECTION: ELECTICITY</t>
  </si>
  <si>
    <t>OS: SECURITY SERVICES</t>
  </si>
  <si>
    <t>SUB TOTAL : OUTSOURCE SERVICES</t>
  </si>
  <si>
    <t>CONSULTANTS AND PROFESSIONAL SERVICES</t>
  </si>
  <si>
    <t>C&amp;PS: B&amp;A ACCOUNTANTS &amp; AUDITORS</t>
  </si>
  <si>
    <t>C&amp;PS: B&amp;A AUDIT COMMITTEE</t>
  </si>
  <si>
    <t>C&amp;PS: B&amp;A BUSINESS &amp; FIN MANAGEMENT</t>
  </si>
  <si>
    <t>C&amp;PS: B&amp;A PROJECT MANAGEMENT</t>
  </si>
  <si>
    <t>C&amp;PS: B&amp;A RESEARCH &amp; ADVISORY</t>
  </si>
  <si>
    <t>C&amp;PS: I&amp;P ENGINEERING CIVIL</t>
  </si>
  <si>
    <t>C&amp;PS: I&amp;P TOWN PLANNER</t>
  </si>
  <si>
    <t>C&amp;PS: LEGAL COST ADVICE &amp; LITIGATION</t>
  </si>
  <si>
    <t>SUB TOTAL : CONSULTANT AND PROF SERVICES</t>
  </si>
  <si>
    <t>CONTRACTORS</t>
  </si>
  <si>
    <t>CONTR: AUDIO-VISUAL SERVICES</t>
  </si>
  <si>
    <t>CONTR: CATERING SERVICES</t>
  </si>
  <si>
    <t>CONTR: EMPLOYEE WELLNESS</t>
  </si>
  <si>
    <t>CONTR: EVENT PROMOTERS</t>
  </si>
  <si>
    <t>CONTR: GRAPHIC DESIGNERS</t>
  </si>
  <si>
    <t>CONTR:  MAINT OF BUILDINGS &amp; FACILITIES</t>
  </si>
  <si>
    <t>CONTR: MAINTENANCE OF EQUIPMENT</t>
  </si>
  <si>
    <t>CONTR: MAINTENANCE OF UNSPECIFIED ASSETS</t>
  </si>
  <si>
    <t>CONTR: SPORTS &amp; RECREATION</t>
  </si>
  <si>
    <t>CONTR: EXHIBIT INSTALLERS</t>
  </si>
  <si>
    <t>SUB TOTAL : CONTRACTORS</t>
  </si>
  <si>
    <t>SUB TOTAL : CONTRACTED SERVICES</t>
  </si>
  <si>
    <t>OPERATIONAL COST</t>
  </si>
  <si>
    <t>OC: ADV/PUB/MARK - CORP &amp; MUN ACTIVITIES</t>
  </si>
  <si>
    <t>OC: ADV/PUB/MARK - STAFF RECRUITMENT</t>
  </si>
  <si>
    <t>OC: AUDIT COST:  EXTERNAL</t>
  </si>
  <si>
    <t>OC: ATMOSPHERIC EMISSION LECENCE</t>
  </si>
  <si>
    <t>OC: BC/FAC/C FEES - BANK ACCOUNTS</t>
  </si>
  <si>
    <t>OC: BURSARIES (EMPLOYEES)</t>
  </si>
  <si>
    <t>OC: COMMISSION - THIRD PARTY VENDORS</t>
  </si>
  <si>
    <t>OC: COMM - LICENCES (RADIO &amp; TELEVISION)</t>
  </si>
  <si>
    <t>OC: COMM - POSTAGE/STAMPS/FRANKING MACH</t>
  </si>
  <si>
    <t>OC: COMM - TELEPHONE INSTALLATION</t>
  </si>
  <si>
    <t>OC: DEEDS</t>
  </si>
  <si>
    <t>OC: ENTERTAINMENT - EXEC MAYOR</t>
  </si>
  <si>
    <t>OC: ENTERTAINMENT - SENIOR MANAGEMENT</t>
  </si>
  <si>
    <t>OC: HONORARIA (VOLUNTARILY WORKERS)</t>
  </si>
  <si>
    <t>OC: HIRE CHARGES</t>
  </si>
  <si>
    <t>OC: INSUR UNDER - INSURANCE AGGREGATION</t>
  </si>
  <si>
    <t>OC: LEARNERSHIPS &amp; INTERNSHIPS</t>
  </si>
  <si>
    <t>OC: LIC - VEHICLE LIC &amp; REGISTRATIONS</t>
  </si>
  <si>
    <t>OC: PRINTING &amp; PUBLICATIONS</t>
  </si>
  <si>
    <t>OC: PROFESSIONAL BODIES M/SHIP &amp; SUBS</t>
  </si>
  <si>
    <t>OC: PARKING FEES</t>
  </si>
  <si>
    <t>OC: REG FEES NATIONAL</t>
  </si>
  <si>
    <t>OC: REMUNERATION TO WARD COMMITTEES</t>
  </si>
  <si>
    <t>OC: SKILLS DEVELOPMENT FUND LEVY</t>
  </si>
  <si>
    <t>OC: SERVITUDES &amp; LAND SURVEYS</t>
  </si>
  <si>
    <t>OC: TRANSPORT - EVENTS</t>
  </si>
  <si>
    <t>OC: T&amp;S DOM - ACCOMMODATION</t>
  </si>
  <si>
    <t>OC: T&amp;S DOM TRP - WITHOUT OPR CAR RENTAL</t>
  </si>
  <si>
    <t>OC: UNIFORM &amp; PROTECTIVE CLOTHING</t>
  </si>
  <si>
    <t>OC: VEHICLE TRACKING</t>
  </si>
  <si>
    <t>OC: WET FUEL</t>
  </si>
  <si>
    <t>OC: INDIGENT RELIEF</t>
  </si>
  <si>
    <t>SUB TOTAL : OPERATIONAL COST</t>
  </si>
  <si>
    <t>INVENTORY</t>
  </si>
  <si>
    <t>INV - CONSUMABLE STORES - STANDARD RATED</t>
  </si>
  <si>
    <t>INV - CONSUMABLE STORES - ZERO RATED</t>
  </si>
  <si>
    <t>INVENTORY - MATERIALS &amp; SUPPLIES</t>
  </si>
  <si>
    <t>SUB TOTAL - INVENTORY</t>
  </si>
  <si>
    <t>BULK PURCHASES</t>
  </si>
  <si>
    <t>ESKOM</t>
  </si>
  <si>
    <t>SUB TOTAL : BULK PURCHASES</t>
  </si>
  <si>
    <t>INT PAID BOR: ANNUITY LOANS</t>
  </si>
  <si>
    <t>SUB TOTAL - INTEREST DIVID &amp; RENT - LAND</t>
  </si>
  <si>
    <t>OPERATING LEASES</t>
  </si>
  <si>
    <t>OPR LEASES: FURNITURE &amp; OFFICE EQUIPMENT</t>
  </si>
  <si>
    <t>SUB TOTAL : OPERATING LEASES</t>
  </si>
  <si>
    <t>BAD DEBTS WRITTEN OFF</t>
  </si>
  <si>
    <t>SUB TOTAL : BAD DEBTS WRITTEN OFF</t>
  </si>
  <si>
    <t>DEPRECIATION &amp; AMORTISATION</t>
  </si>
  <si>
    <t>AMORTISATION INTANG COMPUTER SOFTWARE</t>
  </si>
  <si>
    <t>DEPRECIATION COMPUTER EQUIPMENT</t>
  </si>
  <si>
    <t>DEPRECIATION FURNITURE &amp; OFFICE EQUIPM</t>
  </si>
  <si>
    <t>DEPRECIATION ELEC LV NETWORKS</t>
  </si>
  <si>
    <t>DEPRECIATION INV PROP REV GEN UNIMPROVED</t>
  </si>
  <si>
    <t>DEPRECIATION  MACHINERY &amp; EQUIPMENT</t>
  </si>
  <si>
    <t>DEPRECIATION  TRANSPORT ASSETS</t>
  </si>
  <si>
    <t>DEPRECIATION ROADS</t>
  </si>
  <si>
    <t>DEPRECIATION ROADS FURNITURE</t>
  </si>
  <si>
    <t>DEPRECIATION COMMUNITY HALLS</t>
  </si>
  <si>
    <t>DEPRECIATION COMMUNITY TESTING STATIONS</t>
  </si>
  <si>
    <t>DEPRECIATION COMMUNITY PUBLIC OPEN SPACE</t>
  </si>
  <si>
    <t>DEPRECIATION OP BUILDING  MUNIC OFFICES</t>
  </si>
  <si>
    <t>SUB TOTAL : DEPRECIATION &amp; AMORTISATION</t>
  </si>
  <si>
    <t>TOTAL : EXPENDITURE</t>
  </si>
  <si>
    <t>TOTAL : SURPLUS/DEFICIT</t>
  </si>
  <si>
    <t>ASSETS</t>
  </si>
  <si>
    <t>NON-CURRENT ASSETS</t>
  </si>
  <si>
    <t>IA COST OTHER IU COMPUTER SOFTW ACQUISIT</t>
  </si>
  <si>
    <t>PPE COST TRANSP OWN IU COST ACQUISITION</t>
  </si>
  <si>
    <t>PPE COST ELEC IU MV NETWORK COST ACQUIS</t>
  </si>
  <si>
    <t>PPE COST ELEC IU LV NETWORK COST ACQUIS</t>
  </si>
  <si>
    <t>PPE COST MACH &amp; EQP IU COST ACQUISITION</t>
  </si>
  <si>
    <t>PPE COST MACH &amp; EQP FU COST ACQUISITION</t>
  </si>
  <si>
    <t>PPE COST COMP EQUIP FU COST ACQUISITION</t>
  </si>
  <si>
    <t>PPE COST ROAD INFRASTR COST ACQUISITION</t>
  </si>
  <si>
    <t>PPE COST COMMUNITY COST ACQUISITION</t>
  </si>
  <si>
    <t>PPE COST OTHER COST ACQUISITION</t>
  </si>
  <si>
    <t>PPE REVAL FURN &amp; OFF IU COST ACQUISITION</t>
  </si>
  <si>
    <t>SUB-TOTAL CAPITAL ACQUISTIONS</t>
  </si>
  <si>
    <t>CORPORATE SERVICES ADMIN</t>
  </si>
  <si>
    <t>35051425430F2ZZZZZWM</t>
  </si>
  <si>
    <t>35052030850EQMRCZZHO</t>
  </si>
  <si>
    <t>35052030860EQMRCZZHO</t>
  </si>
  <si>
    <t>35052030870EQMRCZZHO</t>
  </si>
  <si>
    <t>35052030890EQMRCZZHO</t>
  </si>
  <si>
    <t>35052030910EQMRCZZHO</t>
  </si>
  <si>
    <t>35052030980EQMRCZZHO</t>
  </si>
  <si>
    <t>35052110010EQMRCZZHO</t>
  </si>
  <si>
    <t>35052110100EQMRCZZHO</t>
  </si>
  <si>
    <t>35052110220EQMRCZZHO</t>
  </si>
  <si>
    <t>35052110260EQMRCZZHO</t>
  </si>
  <si>
    <t>35052110320EQMRCZZHO</t>
  </si>
  <si>
    <t>35052110340EQMRCZZHO</t>
  </si>
  <si>
    <t>35052110360EQMRCZZHO</t>
  </si>
  <si>
    <t>35052110440EQMRCZZHO</t>
  </si>
  <si>
    <t>35052110460EQMRCZZHO</t>
  </si>
  <si>
    <t>35052110500EQMRCZZHO</t>
  </si>
  <si>
    <t>35052110560EQMRCZZHO</t>
  </si>
  <si>
    <t>35052110580EQMRCZZHO</t>
  </si>
  <si>
    <t>35052110630EQMRCZZHO</t>
  </si>
  <si>
    <t>35052130010EQMRCZZHO</t>
  </si>
  <si>
    <t>35052130200EQMRCZZHO</t>
  </si>
  <si>
    <t>35052130300EQMRCZZHO</t>
  </si>
  <si>
    <t>35052130400EQMRCZZHO</t>
  </si>
  <si>
    <t>35052140020EQMRCZZHO</t>
  </si>
  <si>
    <t>35052140040EQMRCZZHO</t>
  </si>
  <si>
    <t>35052142200EQMRCZZHO</t>
  </si>
  <si>
    <t>35052265400ORMRCZZHO</t>
  </si>
  <si>
    <t>35052283600ORR08ZZHO</t>
  </si>
  <si>
    <t>35052283600ORS64ZZHO</t>
  </si>
  <si>
    <t>35052283610ORR22ZZHO</t>
  </si>
  <si>
    <t>35052301120ORMRCZZHO</t>
  </si>
  <si>
    <t>35052301190EQMRCZZHO</t>
  </si>
  <si>
    <t>35052301600ORMRCZZHO</t>
  </si>
  <si>
    <t>35052303330ORMRCZZHO</t>
  </si>
  <si>
    <t>35052305410EQMRCZZHO</t>
  </si>
  <si>
    <t>35052305760EQMRCZZHO</t>
  </si>
  <si>
    <t>35052305760PRMRCZZHO</t>
  </si>
  <si>
    <t>35052306100ORP96ZZHO</t>
  </si>
  <si>
    <t>35052306300ORS05ZZHO</t>
  </si>
  <si>
    <t>35052320600ORMRCZZHO</t>
  </si>
  <si>
    <t>35052320610ORMRCZZHO</t>
  </si>
  <si>
    <t>35052323600ORMRCZZHO</t>
  </si>
  <si>
    <t>35052381500EQMRCZZHO</t>
  </si>
  <si>
    <t>35052381500ORMRCZZHO</t>
  </si>
  <si>
    <t>35052720040PRMRCZZWM</t>
  </si>
  <si>
    <t>35052720600PRMRCZZWM</t>
  </si>
  <si>
    <t>35052721500PRMRCZZWM</t>
  </si>
  <si>
    <t>35052723600PRMRCZZWM</t>
  </si>
  <si>
    <t>35052725700PRMRCZZWM</t>
  </si>
  <si>
    <t>35052728000PRMRCZZWM</t>
  </si>
  <si>
    <t>35052728020PRMRCZZWM</t>
  </si>
  <si>
    <t>35052728800PRMRCZZWM</t>
  </si>
  <si>
    <t>35052729200PRMRCZZWM</t>
  </si>
  <si>
    <t>35056550420FCC18ZZWM</t>
  </si>
  <si>
    <t>FURNITURE</t>
  </si>
  <si>
    <t>HUMAN RESOURCES</t>
  </si>
  <si>
    <t>35061385330ORZZZZZWM</t>
  </si>
  <si>
    <t>35062110010EQMRCZZHO</t>
  </si>
  <si>
    <t>35062110100EQMRCZZHO</t>
  </si>
  <si>
    <t>35062110220EQMRCZZHO</t>
  </si>
  <si>
    <t>35062110260EQMRCZZHO</t>
  </si>
  <si>
    <t>35062110320EQMRCZZHO</t>
  </si>
  <si>
    <t>35062110340EQMRCZZHO</t>
  </si>
  <si>
    <t>35062110360EQMRCZZHO</t>
  </si>
  <si>
    <t>35062110440EQMRCZZHO</t>
  </si>
  <si>
    <t>35062110460EQMRCZZHO</t>
  </si>
  <si>
    <t>35062110630EQMRCZZHO</t>
  </si>
  <si>
    <t>35062130010EQMRCZZHO</t>
  </si>
  <si>
    <t>35062130200EQMRCZZHO</t>
  </si>
  <si>
    <t>35062130300EQMRCZZHO</t>
  </si>
  <si>
    <t>35062130400EQMRCZZHO</t>
  </si>
  <si>
    <t>35062140020PRMRCZZHO</t>
  </si>
  <si>
    <t>35062140040PRMRCZZHO</t>
  </si>
  <si>
    <t>35062142200PRMRCZZHO</t>
  </si>
  <si>
    <t>35062260360EQP04ZZHO</t>
  </si>
  <si>
    <t>35062260360ORMRCZZHO</t>
  </si>
  <si>
    <t>35062280610ORS63ZZHO</t>
  </si>
  <si>
    <t>35062281210ORP42ZZHO</t>
  </si>
  <si>
    <t>35062281220ORMRCZZHO</t>
  </si>
  <si>
    <t>35062300120ORP19ZZHO</t>
  </si>
  <si>
    <t>35062300170PRMRCZZHO</t>
  </si>
  <si>
    <t>35062300490ORMRCZZHO</t>
  </si>
  <si>
    <t>35062300490PRP70ZZHO</t>
  </si>
  <si>
    <t>35062304520EQMRCZZHO</t>
  </si>
  <si>
    <t>35062304520ORMRCZZHO</t>
  </si>
  <si>
    <t>35062305110FMS14ZZHO</t>
  </si>
  <si>
    <t>35062305410EQMRCZZHO</t>
  </si>
  <si>
    <t>35062305760EQMRCZZHO</t>
  </si>
  <si>
    <t>35062305760ORMRCZZHO</t>
  </si>
  <si>
    <t>35062305800EQMRCZZHO</t>
  </si>
  <si>
    <t>35062305800ORMRCZZHO</t>
  </si>
  <si>
    <t>35062720600PRMRCZZWM</t>
  </si>
  <si>
    <t>35062721500PRMRCZZWM</t>
  </si>
  <si>
    <t>35066550420FCC17ZZWM</t>
  </si>
  <si>
    <t>FIRE DETECTORS AND ALARM SYSTEM</t>
  </si>
  <si>
    <t>INFORMATION TECHNOLOGY SERVICES</t>
  </si>
  <si>
    <t>35072110010EQMRCZZHO</t>
  </si>
  <si>
    <t>35072110100EQMRCZZHO</t>
  </si>
  <si>
    <t>35072110220EQMRCZZHO</t>
  </si>
  <si>
    <t>35072110260EQMRCZZHO</t>
  </si>
  <si>
    <t>35072110320EQMRCZZHO</t>
  </si>
  <si>
    <t>35072110340EQMRCZZHO</t>
  </si>
  <si>
    <t>35072110440EQMRCZZHO</t>
  </si>
  <si>
    <t>35072110460EQMRCZZHO</t>
  </si>
  <si>
    <t>35072110630EQMRCZZHO</t>
  </si>
  <si>
    <t>35072130010EQMRCZZHO</t>
  </si>
  <si>
    <t>35072130200EQMRCZZHO</t>
  </si>
  <si>
    <t>35072130300EQMRCZZHO</t>
  </si>
  <si>
    <t>35072130400EQMRCZZHO</t>
  </si>
  <si>
    <t>35072140020PRMRCZZHO</t>
  </si>
  <si>
    <t>35072140040PRMRCZZHO</t>
  </si>
  <si>
    <t>35072142200ORMRCZZHO</t>
  </si>
  <si>
    <t>35072281820ORR58ZZHO</t>
  </si>
  <si>
    <t>35072283610ORR33ZZHO</t>
  </si>
  <si>
    <t>35072283610ORR39ZZHO</t>
  </si>
  <si>
    <t>35072301110EQMRCZZHO</t>
  </si>
  <si>
    <t>35072305410EQMRCZZHO</t>
  </si>
  <si>
    <t>35072305760EQMRCZZHO</t>
  </si>
  <si>
    <t>35072720040PRMRCZZWM</t>
  </si>
  <si>
    <t>35072720600PRMRCZZWM</t>
  </si>
  <si>
    <t>35072721500PRMRCZZWM</t>
  </si>
  <si>
    <t>35076151420FCC63ZZHO</t>
  </si>
  <si>
    <t>TEAM MATE SOFTWARE</t>
  </si>
  <si>
    <t>35076470420FCC59ZZHO</t>
  </si>
  <si>
    <t>ICT EQUIPMENT (MDTG)</t>
  </si>
  <si>
    <t>COUNCIL SUPPORT</t>
  </si>
  <si>
    <t>35082110010EQMRCZZHO</t>
  </si>
  <si>
    <t>35082110100EQMRCZZHO</t>
  </si>
  <si>
    <t>35082110220EQMRCZZHO</t>
  </si>
  <si>
    <t>35082110260EQMRCZZHO</t>
  </si>
  <si>
    <t>35082110320EQMRCZZHO</t>
  </si>
  <si>
    <t>35082110340EQMRCZZHO</t>
  </si>
  <si>
    <t>35082110440EQMRCZZHO</t>
  </si>
  <si>
    <t>35082110460EQMRCZZHO</t>
  </si>
  <si>
    <t>35082110500EQMRCZZHO</t>
  </si>
  <si>
    <t>35082110630EQMRCZZHO</t>
  </si>
  <si>
    <t>35082130010EQMRCZZHO</t>
  </si>
  <si>
    <t>35082130200EQMRCZZHO</t>
  </si>
  <si>
    <t>35082130300EQMRCZZHO</t>
  </si>
  <si>
    <t>35082130400EQMRCZZHO</t>
  </si>
  <si>
    <t>35082140020PRMRCZZHO</t>
  </si>
  <si>
    <t>35082140040PRMRCZZHO</t>
  </si>
  <si>
    <t>35082142200PRMRCZZHO</t>
  </si>
  <si>
    <t>35082305110ORS32ZZHO</t>
  </si>
  <si>
    <t>35082305110ORS57ZZWM</t>
  </si>
  <si>
    <t>35082305130EQMRCZZHO</t>
  </si>
  <si>
    <t>35082305410EQMRCZZHO</t>
  </si>
  <si>
    <t>35082305730EQMRCZZHO</t>
  </si>
  <si>
    <t>35082305760EQMRCZZHO</t>
  </si>
  <si>
    <t>35082720600PRMRCZZWM</t>
  </si>
  <si>
    <t>35082721500PRMRCZZWM</t>
  </si>
  <si>
    <t>35082725700PRMRCZZWM</t>
  </si>
  <si>
    <t>35082728000PRMRCZZWM</t>
  </si>
  <si>
    <t>LOCAL ECONOMIC DEVELOPMENT</t>
  </si>
  <si>
    <t>35092031250EQMRCZZHO</t>
  </si>
  <si>
    <t>35092031260EQMRCZZHO</t>
  </si>
  <si>
    <t>35092031270EQMRCZZHO</t>
  </si>
  <si>
    <t>35092031310EQMRCZZHO</t>
  </si>
  <si>
    <t>35092031380EQMRCZZHO</t>
  </si>
  <si>
    <t>35092110010EQMRCZZHO</t>
  </si>
  <si>
    <t>35092110100EQMRCZZHO</t>
  </si>
  <si>
    <t>35092110220EQMRCZZHO</t>
  </si>
  <si>
    <t>35092110260EQMRCZZHO</t>
  </si>
  <si>
    <t>35092110320EQMRCZZHO</t>
  </si>
  <si>
    <t>35092110340EQMRCZZHO</t>
  </si>
  <si>
    <t>35092110440EQMRCZZHO</t>
  </si>
  <si>
    <t>35092110460EQMRCZZHO</t>
  </si>
  <si>
    <t>35092110580EQMRCZZHO</t>
  </si>
  <si>
    <t>35092110630EQMRCZZHO</t>
  </si>
  <si>
    <t>35092130010EQMRCZZHO</t>
  </si>
  <si>
    <t>35092130200EQMRCZZHO</t>
  </si>
  <si>
    <t>35092130300EQMRCZZHO</t>
  </si>
  <si>
    <t>35092130400EQMRCZZHO</t>
  </si>
  <si>
    <t>35092140020EQMRCZZHO</t>
  </si>
  <si>
    <t>35092140040EQMRCZZHO</t>
  </si>
  <si>
    <t>35092142200EQMRCZZHO</t>
  </si>
  <si>
    <t>35092300120ORP21ZZHO</t>
  </si>
  <si>
    <t>35092301600ORMRCZZHO</t>
  </si>
  <si>
    <t>35092303300EQMRCZZHO</t>
  </si>
  <si>
    <t>35092305410EQMRCZZHO</t>
  </si>
  <si>
    <t>35092305760EQMRCZZHO</t>
  </si>
  <si>
    <t>35092305800ORMRCZZHO</t>
  </si>
  <si>
    <t>35092720600PRMRCZZWM</t>
  </si>
  <si>
    <t>35092721500PRMRCZZWM</t>
  </si>
  <si>
    <t>35092728800PRMRCZZWM</t>
  </si>
  <si>
    <t>MUNICIPAL PLANNING IDP</t>
  </si>
  <si>
    <t>35101343010DRZZZZZWM</t>
  </si>
  <si>
    <t>35101424560F2ZZZZZWM</t>
  </si>
  <si>
    <t>35102110010EQMRCZZHO</t>
  </si>
  <si>
    <t>35102110100EQMRCZZHO</t>
  </si>
  <si>
    <t>35102110220EQMRCZZHO</t>
  </si>
  <si>
    <t>35102110260EQMRCZZHO</t>
  </si>
  <si>
    <t>35102110320EQMRCZZHO</t>
  </si>
  <si>
    <t>35102110340EQMRCZZHO</t>
  </si>
  <si>
    <t>35102110440EQMRCZZHO</t>
  </si>
  <si>
    <t>35102110460EQMRCZZHO</t>
  </si>
  <si>
    <t>35102110630EQMRCZZHO</t>
  </si>
  <si>
    <t>35102130010EQMRCZZHO</t>
  </si>
  <si>
    <t>35102130200EQMRCZZHO</t>
  </si>
  <si>
    <t>35102130300EQMRCZZHO</t>
  </si>
  <si>
    <t>35102130400EQMRCZZHO</t>
  </si>
  <si>
    <t>35102140020PRMRCZZHO</t>
  </si>
  <si>
    <t>35102140040PRMRCZZHO</t>
  </si>
  <si>
    <t>35102142200PRMRCZZHO</t>
  </si>
  <si>
    <t>35102260370ORP61ZZHO</t>
  </si>
  <si>
    <t>35102272460ORP64ZZHO</t>
  </si>
  <si>
    <t>35102272580ORP01ZZHO</t>
  </si>
  <si>
    <t>35102272580ORP93ZZHO</t>
  </si>
  <si>
    <t>35102272580ORR91ZZHO</t>
  </si>
  <si>
    <t>35102272580ORS04ZZHO</t>
  </si>
  <si>
    <t>35102285450ORP66ZZHO</t>
  </si>
  <si>
    <t>35102300120ORS30ZZHO</t>
  </si>
  <si>
    <t>35102305410EQMRCZZHO</t>
  </si>
  <si>
    <t>35102305430ORS72ZZWM</t>
  </si>
  <si>
    <t>35102305760PRMRCZZHO</t>
  </si>
  <si>
    <t>35102721500PRMRCZZWM</t>
  </si>
  <si>
    <t>TOWN &amp; REGIONAL PLANNING</t>
  </si>
  <si>
    <t>35111385250ORZZZZZHO</t>
  </si>
  <si>
    <t>35111420080F2ZZZZZHO</t>
  </si>
  <si>
    <t>35111424540F2ZZZZZHO</t>
  </si>
  <si>
    <t>35111424560F2ZZZZZHO</t>
  </si>
  <si>
    <t>35111424610F2ZZZZZHO</t>
  </si>
  <si>
    <t>35111425400F2ZZZZZHO</t>
  </si>
  <si>
    <t>35112110010EQMRCZZHO</t>
  </si>
  <si>
    <t>35112110100EQMRCZZHO</t>
  </si>
  <si>
    <t>35112110220EQMRCZZHO</t>
  </si>
  <si>
    <t>35112110260EQMRCZZHO</t>
  </si>
  <si>
    <t>35112110320EQMRCZZHO</t>
  </si>
  <si>
    <t>35112110340EQMRCZZHO</t>
  </si>
  <si>
    <t>35112110440EQMRCZZHO</t>
  </si>
  <si>
    <t>35112110460EQMRCZZHO</t>
  </si>
  <si>
    <t>35112110630EQMRCZZHO</t>
  </si>
  <si>
    <t>35112130010EQMRCZZHO</t>
  </si>
  <si>
    <t>35112130200EQMRCZZHO</t>
  </si>
  <si>
    <t>35112130300EQMRCZZHO</t>
  </si>
  <si>
    <t>35112130400EQMRCZZHO</t>
  </si>
  <si>
    <t>35112140020PRMRCZZHO</t>
  </si>
  <si>
    <t>35112140040PRMRCZZHO</t>
  </si>
  <si>
    <t>35112142200PRMRCZZHO</t>
  </si>
  <si>
    <t>35112305410EQMRCZZHO</t>
  </si>
  <si>
    <t>35112305760EQMRCZZHO</t>
  </si>
  <si>
    <t>35112720040PRMRCZZWM</t>
  </si>
  <si>
    <t>35112720600PRMRCZZWM</t>
  </si>
  <si>
    <t>35112721500PRMRCZZWM</t>
  </si>
  <si>
    <t>35112725700PRMRCZZWM</t>
  </si>
  <si>
    <t>LED ADMINISTRATION</t>
  </si>
  <si>
    <t>35122110010EQMRCZZHO</t>
  </si>
  <si>
    <t>35122110100EQMRCZZHO</t>
  </si>
  <si>
    <t>35122110260EQMRCZZHO</t>
  </si>
  <si>
    <t>35122110320EQMRCZZHO</t>
  </si>
  <si>
    <t>35122110360EQMRCZZHO</t>
  </si>
  <si>
    <t>35122110460EQMRCZZHO</t>
  </si>
  <si>
    <t>35122130010EQMRCZZHO</t>
  </si>
  <si>
    <t>35122130200EQMRCZZHO</t>
  </si>
  <si>
    <t>35122130300EQMRCZZHO</t>
  </si>
  <si>
    <t>35122130400EQMRCZZHO</t>
  </si>
  <si>
    <t>35122140020PRMRCZZHO</t>
  </si>
  <si>
    <t>35122140040PRMRCZZHO</t>
  </si>
  <si>
    <t>35122142200PRMRCZZHO</t>
  </si>
  <si>
    <t>MUNICIPAL MANAGER ADMIN</t>
  </si>
  <si>
    <t>40052030050EQMRCZZHO</t>
  </si>
  <si>
    <t>40052030060EQMRCZZHO</t>
  </si>
  <si>
    <t>40052030070EQMRCZZHO</t>
  </si>
  <si>
    <t>40052030090EQMRCZZHO</t>
  </si>
  <si>
    <t>40052030100EQMRCZZHO</t>
  </si>
  <si>
    <t>40052030110EQMRCZZHO</t>
  </si>
  <si>
    <t>40052110010EQMRCZZHO</t>
  </si>
  <si>
    <t>40052110100EQMRCZZHO</t>
  </si>
  <si>
    <t>40052110220EQMRCZZHO</t>
  </si>
  <si>
    <t>40052110260EQMRCZZHO</t>
  </si>
  <si>
    <t>40052110320EQMRCZZHO</t>
  </si>
  <si>
    <t>40052110340EQMRCZZHO</t>
  </si>
  <si>
    <t>40052110440EQMRCZZHO</t>
  </si>
  <si>
    <t>40052110460EQMRCZZHO</t>
  </si>
  <si>
    <t>40052110630EQMRCZZHO</t>
  </si>
  <si>
    <t>40052130010EQMRCZZHO</t>
  </si>
  <si>
    <t>40052130200EQMRCZZHO</t>
  </si>
  <si>
    <t>40052130300EQMRCZZHO</t>
  </si>
  <si>
    <t>40052130400EQMRCZZHO</t>
  </si>
  <si>
    <t>40052140020EQMRCZZHO</t>
  </si>
  <si>
    <t>40052140040EQMRCZZHO</t>
  </si>
  <si>
    <t>40052142200EQMRCZZHO</t>
  </si>
  <si>
    <t>40052260600ORMRCZZHO</t>
  </si>
  <si>
    <t>40052300120ORP25ZZHO</t>
  </si>
  <si>
    <t>40052300120ORR07ZZHO</t>
  </si>
  <si>
    <t>40052300120ORS67ZZWM</t>
  </si>
  <si>
    <t>40052301600ORMRCZZHO</t>
  </si>
  <si>
    <t>40052301620ORMRCZZHO</t>
  </si>
  <si>
    <t>40052305410EQMRCZZHO</t>
  </si>
  <si>
    <t>40052305760EQMRCZZHO</t>
  </si>
  <si>
    <t>40052305760PRMRCZZHO</t>
  </si>
  <si>
    <t>40052305800ORMRCZZHO</t>
  </si>
  <si>
    <t>40052720600PRMRCZZWM</t>
  </si>
  <si>
    <t>40052721500PRMRCZZWM</t>
  </si>
  <si>
    <t>40052722910PRMRCZZWM</t>
  </si>
  <si>
    <t>40052723600PRMRCZZWM</t>
  </si>
  <si>
    <t>40052728000PRMRCZZWM</t>
  </si>
  <si>
    <t>40052728020PRMRCZZWM</t>
  </si>
  <si>
    <t>40052728800PRMRCZZWM</t>
  </si>
  <si>
    <t>40052729200PRMRCZZWM</t>
  </si>
  <si>
    <t>LEGAL SERVICES</t>
  </si>
  <si>
    <t>40072110010EQMRCZZHO</t>
  </si>
  <si>
    <t>40072110100EQMRCZZHO</t>
  </si>
  <si>
    <t>40072110220EQMRCZZHO</t>
  </si>
  <si>
    <t>40072110260EQMRCZZHO</t>
  </si>
  <si>
    <t>40072110320EQMRCZZHO</t>
  </si>
  <si>
    <t>40072110340EQMRCZZHO</t>
  </si>
  <si>
    <t>40072110440EQMRCZZHO</t>
  </si>
  <si>
    <t>40072110460EQMRCZZHO</t>
  </si>
  <si>
    <t>40072110630EQMRCZZHO</t>
  </si>
  <si>
    <t>40072130010EQMRCZZHO</t>
  </si>
  <si>
    <t>40072130200EQMRCZZHO</t>
  </si>
  <si>
    <t>40072130300EQMRCZZHO</t>
  </si>
  <si>
    <t>40072130400EQMRCZZHO</t>
  </si>
  <si>
    <t>40072140020PRMRCZZHO</t>
  </si>
  <si>
    <t>40072140040PRMRCZZHO</t>
  </si>
  <si>
    <t>40072142200PRMRCZZHO</t>
  </si>
  <si>
    <t>40072260370DBS45ZZWM</t>
  </si>
  <si>
    <t>40072273340ORMRCZZHO</t>
  </si>
  <si>
    <t>40072305410EQMRCZZHO</t>
  </si>
  <si>
    <t>40072305760EQMRCZZHO</t>
  </si>
  <si>
    <t>40102110010EQMRCZZHO</t>
  </si>
  <si>
    <t>40102110100EQMRCZZHO</t>
  </si>
  <si>
    <t>40102110220EQMRCZZHO</t>
  </si>
  <si>
    <t>40102110320EQMRCZZHO</t>
  </si>
  <si>
    <t>40102110340EQMRCZZHO</t>
  </si>
  <si>
    <t>40102110440EQMRCZZHO</t>
  </si>
  <si>
    <t>40102110460EQMRCZZHO</t>
  </si>
  <si>
    <t>40102110630EQMRCZZHO</t>
  </si>
  <si>
    <t>40102130010EQMRCZZHO</t>
  </si>
  <si>
    <t>40102130200EQMRCZZHO</t>
  </si>
  <si>
    <t>40102130300EQMRCZZHO</t>
  </si>
  <si>
    <t>40102130400EQMRCZZHO</t>
  </si>
  <si>
    <t>40102140020PRMRCZZHO</t>
  </si>
  <si>
    <t>40102140040PRMRCZZHO</t>
  </si>
  <si>
    <t>40102142200PRMRCZZHO</t>
  </si>
  <si>
    <t>40102300120PRMRCZZWM</t>
  </si>
  <si>
    <t>40102304510ORMRCZZHO</t>
  </si>
  <si>
    <t>40102305410EQMRCZZHO</t>
  </si>
  <si>
    <t>40102305760EQMRCZZHO</t>
  </si>
  <si>
    <t>PMS</t>
  </si>
  <si>
    <t>40152110010EQMRCZZHO</t>
  </si>
  <si>
    <t>40152110100EQMRCZZHO</t>
  </si>
  <si>
    <t>40152110220EQMRCZZHO</t>
  </si>
  <si>
    <t>40152110260EQMRCZZHO</t>
  </si>
  <si>
    <t>40152110320EQMRCZZHO</t>
  </si>
  <si>
    <t>40152110340EQMRCZZHO</t>
  </si>
  <si>
    <t>40152110440EQMRCZZHO</t>
  </si>
  <si>
    <t>40152110460EQMRCZZHO</t>
  </si>
  <si>
    <t>40152110630EQMRCZZHO</t>
  </si>
  <si>
    <t>40152130010EQMRCZZHO</t>
  </si>
  <si>
    <t>40152130200EQMRCZZHO</t>
  </si>
  <si>
    <t>40152130300EQMRCZZHO</t>
  </si>
  <si>
    <t>40152130400EQMRCZZHO</t>
  </si>
  <si>
    <t>40152140020PRMRCZZHO</t>
  </si>
  <si>
    <t>40152140040PRMRCZZHO</t>
  </si>
  <si>
    <t>40152142200PRMRCZZHO</t>
  </si>
  <si>
    <t>40152270340ORS70ZZWM</t>
  </si>
  <si>
    <t>40152305410EQMRCZZHO</t>
  </si>
  <si>
    <t>40152305760EQMRCZZHO</t>
  </si>
  <si>
    <t>INTERNAL AUDIT</t>
  </si>
  <si>
    <t>40202110010EQMRCZZHO</t>
  </si>
  <si>
    <t>40202110010FMMRCZZHO</t>
  </si>
  <si>
    <t>40202110100EQMRCZZHO</t>
  </si>
  <si>
    <t>40202110220EQMRCZZHO</t>
  </si>
  <si>
    <t>40202110260EQMRCZZHO</t>
  </si>
  <si>
    <t>40202110320EQMRCZZHO</t>
  </si>
  <si>
    <t>40202110340EQMRCZZHO</t>
  </si>
  <si>
    <t>40202110440EQMRCZZHO</t>
  </si>
  <si>
    <t>40202110460EQMRCZZHO</t>
  </si>
  <si>
    <t>40202110630EQMRCZZHO</t>
  </si>
  <si>
    <t>40202130010EQMRCZZHO</t>
  </si>
  <si>
    <t>40202130200EQMRCZZHO</t>
  </si>
  <si>
    <t>40202130300EQMRCZZHO</t>
  </si>
  <si>
    <t>40202130400EQMRCZZHO</t>
  </si>
  <si>
    <t>40202130400FMMRCZZHO</t>
  </si>
  <si>
    <t>40202140020PRMRCZZHO</t>
  </si>
  <si>
    <t>40202140040PRMRCZZHO</t>
  </si>
  <si>
    <t>40202142200PRMRCZZHO</t>
  </si>
  <si>
    <t>40202270320EQMRCZZHO</t>
  </si>
  <si>
    <t>40202300200EQMRCZZHO</t>
  </si>
  <si>
    <t>40202302400ORMRCZZHO</t>
  </si>
  <si>
    <t>40202305410EQMRCZZHO</t>
  </si>
  <si>
    <t>40202305760EQMRCZZHO</t>
  </si>
  <si>
    <t>40202720600PRMRCZZWM</t>
  </si>
  <si>
    <t>40202721500PRMRCZZWM</t>
  </si>
  <si>
    <t>MAYORS OFFICE ADMIN</t>
  </si>
  <si>
    <t>45052110010EQMRCZZHO</t>
  </si>
  <si>
    <t>45052110100EQMRCZZHO</t>
  </si>
  <si>
    <t>45052110220EQMRCZZHO</t>
  </si>
  <si>
    <t>45052110260EQMRCZZHO</t>
  </si>
  <si>
    <t>45052110280EQMRCZZHO</t>
  </si>
  <si>
    <t>45052110320EQMRCZZHO</t>
  </si>
  <si>
    <t>45052110340EQMRCZZHO</t>
  </si>
  <si>
    <t>45052110360EQMRCZZHO</t>
  </si>
  <si>
    <t>45052110460EQMRCZZHO</t>
  </si>
  <si>
    <t>45052110560EQMRCZZHO</t>
  </si>
  <si>
    <t>45052110630EQMRCZZHO</t>
  </si>
  <si>
    <t>45052130010EQMRCZZHO</t>
  </si>
  <si>
    <t>45052130200EQMRCZZHO</t>
  </si>
  <si>
    <t>45052130300EQMRCZZHO</t>
  </si>
  <si>
    <t>45052130400EQMRCZZHO</t>
  </si>
  <si>
    <t>45052140020EQMRCZZHO</t>
  </si>
  <si>
    <t>45052140040EQMRCZZHO</t>
  </si>
  <si>
    <t>45052142200EQMRCZZHO</t>
  </si>
  <si>
    <t>45052210650EQMRCZZHO</t>
  </si>
  <si>
    <t>45052210700EQMRCZZHO</t>
  </si>
  <si>
    <t>45052210720EQMRCZZHO</t>
  </si>
  <si>
    <t>45052211550EQMRCZZHO</t>
  </si>
  <si>
    <t>45052211600EQMRCZZHO</t>
  </si>
  <si>
    <t>45052211620EQMRCZZHO</t>
  </si>
  <si>
    <t>45052260600ORP67ZZHO</t>
  </si>
  <si>
    <t>45052260600ORS73ZZWM</t>
  </si>
  <si>
    <t>45052260600ORS74ZZWM</t>
  </si>
  <si>
    <t>45052260600ORS75ZZWM</t>
  </si>
  <si>
    <t>45052260600ORS79ZZWM</t>
  </si>
  <si>
    <t>45052260600ORS81ZZWM</t>
  </si>
  <si>
    <t>45052260600ORS83ZZWM</t>
  </si>
  <si>
    <t>45052300120ORP24ZZHO</t>
  </si>
  <si>
    <t>45052301600ORMRCZZHO</t>
  </si>
  <si>
    <t>45052304530ORP75ZZHO</t>
  </si>
  <si>
    <t>45052305410EQMRCZZHO</t>
  </si>
  <si>
    <t>45052305760EQMRCZZHO</t>
  </si>
  <si>
    <t>45052305760PRMRCZZHO</t>
  </si>
  <si>
    <t>45052305800ORMRCZZHO</t>
  </si>
  <si>
    <t>MPAC</t>
  </si>
  <si>
    <t>45072211550EQMRCZZHO</t>
  </si>
  <si>
    <t>45072211600EQMRCZZHO</t>
  </si>
  <si>
    <t>45072211620EQMRCZZHO</t>
  </si>
  <si>
    <t>45072305760EQMRCZZHO</t>
  </si>
  <si>
    <t>OFFICE OF THE SPEAKER</t>
  </si>
  <si>
    <t>45102110010EQMRCZZHO</t>
  </si>
  <si>
    <t>45102110100EQMRCZZHO</t>
  </si>
  <si>
    <t>45102110320EQMRCZZHO</t>
  </si>
  <si>
    <t>45102110360EQMRCZZHO</t>
  </si>
  <si>
    <t>45102110460EQMRCZZHO</t>
  </si>
  <si>
    <t>45102110630EQMRCZZHO</t>
  </si>
  <si>
    <t>45102130010EQMRCZZHO</t>
  </si>
  <si>
    <t>45102130200EQMRCZZHO</t>
  </si>
  <si>
    <t>45102130300EQMRCZZHO</t>
  </si>
  <si>
    <t>45102130400EQMRCZZHO</t>
  </si>
  <si>
    <t>45102210050EQMRCZZHO</t>
  </si>
  <si>
    <t>45102210100EQMRCZZHO</t>
  </si>
  <si>
    <t>45102210120EQMRCZZHO</t>
  </si>
  <si>
    <t>45102211550EQMRCZZHO</t>
  </si>
  <si>
    <t>45102211600EQMRCZZHO</t>
  </si>
  <si>
    <t>45102211620EQMRCZZHO</t>
  </si>
  <si>
    <t>45102301600ORMRCZZHO</t>
  </si>
  <si>
    <t>45102305410EQMRCZZHO</t>
  </si>
  <si>
    <t>45102305760EQMRCZZHO</t>
  </si>
  <si>
    <t>45102305800EQMRCZZHO</t>
  </si>
  <si>
    <t>OFFICE OF THE CHIEF WHIP</t>
  </si>
  <si>
    <t>45152110630EQMRCZZHO</t>
  </si>
  <si>
    <t>45152210350EQMRCZZHO</t>
  </si>
  <si>
    <t>45152210400EQMRCZZHO</t>
  </si>
  <si>
    <t>45152210420EQMRCZZHO</t>
  </si>
  <si>
    <t>45152211550EQMRCZZHO</t>
  </si>
  <si>
    <t>45152211600EQMRCZZHO</t>
  </si>
  <si>
    <t>45152211620EQMRCZZHO</t>
  </si>
  <si>
    <t>45152301600ORMRCZZHO</t>
  </si>
  <si>
    <t>45152305410EQMRCZZHO</t>
  </si>
  <si>
    <t>45152305760EQMRCZZHO</t>
  </si>
  <si>
    <t>45152305800EQMRCZZHO</t>
  </si>
  <si>
    <t>EXCO MEMBERS</t>
  </si>
  <si>
    <t>45202130200EQMRCZZHO</t>
  </si>
  <si>
    <t>45202211250EQMRCZZHO</t>
  </si>
  <si>
    <t>45202211300EQMRCZZHO</t>
  </si>
  <si>
    <t>45202211320EQMRCZZHO</t>
  </si>
  <si>
    <t>45202211550EQMRCZZHO</t>
  </si>
  <si>
    <t>45202211600EQMRCZZHO</t>
  </si>
  <si>
    <t>45202211620EQMRCZZHO</t>
  </si>
  <si>
    <t>45202305410EQMRCZZHO</t>
  </si>
  <si>
    <t>45202305760EQMRCZZHO</t>
  </si>
  <si>
    <t>45202305800EQMRCZZHO</t>
  </si>
  <si>
    <t>COUNCIL GENERAL ADMINISTRATION</t>
  </si>
  <si>
    <t>45252110010EQMRCZZHO</t>
  </si>
  <si>
    <t>45252130200EQMRCZZHO</t>
  </si>
  <si>
    <t>45252211550EQMRCZZHO</t>
  </si>
  <si>
    <t>45252211600EQMRCZZHO</t>
  </si>
  <si>
    <t>45252211620EQMRCZZHO</t>
  </si>
  <si>
    <t>45252305410EQMRCZZHO</t>
  </si>
  <si>
    <t>45252305760EQMRCZZHO</t>
  </si>
  <si>
    <t>45252305800EQMRCZZHO</t>
  </si>
  <si>
    <t>BUDGET AND TREASURY ADMIN</t>
  </si>
  <si>
    <t>50051020300PRZZZZZWM</t>
  </si>
  <si>
    <t>50051021500PRZZZZZWM</t>
  </si>
  <si>
    <t>50051023610PRZZZZZWM</t>
  </si>
  <si>
    <t>50051024530PRZZZZZWM</t>
  </si>
  <si>
    <t>50051025100PRRB6ZZWM</t>
  </si>
  <si>
    <t>50051025100PRZZZZZWM</t>
  </si>
  <si>
    <t>50051025110PRZZZZZWM</t>
  </si>
  <si>
    <t>50051025400PRRB1ZZWM</t>
  </si>
  <si>
    <t>50051025460PRZZZZZWM</t>
  </si>
  <si>
    <t>50051025480PRRB1ZZWM</t>
  </si>
  <si>
    <t>50051041010F5ZZZZZHO</t>
  </si>
  <si>
    <t>50051178950FMZZZZZHO</t>
  </si>
  <si>
    <t>50051179100EQZZZZZHO</t>
  </si>
  <si>
    <t>50051351200IDZZZZZWM</t>
  </si>
  <si>
    <t>50051380600ORZZZZZWM</t>
  </si>
  <si>
    <t>50052030450EQMRCZZHO</t>
  </si>
  <si>
    <t>50052030460EQMRCZZHO</t>
  </si>
  <si>
    <t>50052030470EQMRCZZHO</t>
  </si>
  <si>
    <t>50052030500EQMRCZZHO</t>
  </si>
  <si>
    <t>50052030510EQMRCZZHO</t>
  </si>
  <si>
    <t>50052030580EQMRCZZHO</t>
  </si>
  <si>
    <t>50052110010EQMRCZZHO</t>
  </si>
  <si>
    <t>50052110100EQMRCZZHO</t>
  </si>
  <si>
    <t>50052110260EQMRCZZHO</t>
  </si>
  <si>
    <t>50052110320EQMRCZZHO</t>
  </si>
  <si>
    <t>50052110360EQMRCZZHO</t>
  </si>
  <si>
    <t>50052110460EQMRCZZHO</t>
  </si>
  <si>
    <t>50052110630EQMRCZZHO</t>
  </si>
  <si>
    <t>50052130010EQMRCZZHO</t>
  </si>
  <si>
    <t>50052130200EQMRCZZHO</t>
  </si>
  <si>
    <t>50052130300EQMRCZZHO</t>
  </si>
  <si>
    <t>50052130400EQMRCZZHO</t>
  </si>
  <si>
    <t>50052140020EQMRCZZHO</t>
  </si>
  <si>
    <t>50052140040EQMRCZZHO</t>
  </si>
  <si>
    <t>50052142200EQMRCZZHO</t>
  </si>
  <si>
    <t>50052260420FMMRCZZHO</t>
  </si>
  <si>
    <t>50052270300ORMRCZZHO</t>
  </si>
  <si>
    <t>50052280050ORP78ZZHO</t>
  </si>
  <si>
    <t>50052300120ORP10ZZHO</t>
  </si>
  <si>
    <t>50052301600ORMRCZZHO</t>
  </si>
  <si>
    <t>50052305110FMS20ZZHO</t>
  </si>
  <si>
    <t>50052305410EQMRCZZHO</t>
  </si>
  <si>
    <t>50052305760EQMRCZZHO</t>
  </si>
  <si>
    <t>50052305760PRMRCZZHO</t>
  </si>
  <si>
    <t>50052305800ORMRCZZHO</t>
  </si>
  <si>
    <t>CHIEF FINANCIAL OFFICER ADMIN</t>
  </si>
  <si>
    <t>50102720040PRMRCZZWM</t>
  </si>
  <si>
    <t>50102720600PRMRCZZWM</t>
  </si>
  <si>
    <t>50102721500PRMRCZZWM</t>
  </si>
  <si>
    <t>BUDGET &amp; REPORTING</t>
  </si>
  <si>
    <t>50151341170XTZZZZZHO</t>
  </si>
  <si>
    <t>50152110010EQMRCZZHO</t>
  </si>
  <si>
    <t>50152110010FMMRCZZHO</t>
  </si>
  <si>
    <t>50152110100EQMRCZZHO</t>
  </si>
  <si>
    <t>50152110220EQMRCZZHO</t>
  </si>
  <si>
    <t>50152110260EQMRCZZHO</t>
  </si>
  <si>
    <t>50152110320EQMRCZZHO</t>
  </si>
  <si>
    <t>50152110340EQMRCZZHO</t>
  </si>
  <si>
    <t>50152110360EQMRCZZHO</t>
  </si>
  <si>
    <t>50152110440EQMRCZZHO</t>
  </si>
  <si>
    <t>50152110460EQMRCZZHO</t>
  </si>
  <si>
    <t>50152110630EQMRCZZHO</t>
  </si>
  <si>
    <t>50152130010EQMRCZZHO</t>
  </si>
  <si>
    <t>50152130200EQMRCZZHO</t>
  </si>
  <si>
    <t>50152130300EQMRCZZHO</t>
  </si>
  <si>
    <t>50152130400EQMRCZZHO</t>
  </si>
  <si>
    <t>50152140020PRMRCZZHO</t>
  </si>
  <si>
    <t>50152140040PRMRCZZHO</t>
  </si>
  <si>
    <t>50152142200PRMRCZZHO</t>
  </si>
  <si>
    <t>50152305410EQMRCZZHO</t>
  </si>
  <si>
    <t>50152305760EQMRCZZHO</t>
  </si>
  <si>
    <t>50152362420ORMRCZZHO</t>
  </si>
  <si>
    <t>50152720040PRMRCZZWM</t>
  </si>
  <si>
    <t>50152720600PRMRCZZWM</t>
  </si>
  <si>
    <t>50152721500PRMRCZZWM</t>
  </si>
  <si>
    <t>50156151420FCC53ZZWM</t>
  </si>
  <si>
    <t>MSCOA SYSTEM IMPROVEMENTS</t>
  </si>
  <si>
    <t>REVENUE MANAGEMENT</t>
  </si>
  <si>
    <t>50201341090IDZZZZZWM</t>
  </si>
  <si>
    <t>50201382400ORZZZZZWM</t>
  </si>
  <si>
    <t>50202110010EQMRCZZHO</t>
  </si>
  <si>
    <t>50202110010FMMRCZZHO</t>
  </si>
  <si>
    <t>50202110100EQMRCZZHO</t>
  </si>
  <si>
    <t>50202110220EQMRCZZHO</t>
  </si>
  <si>
    <t>50202110260EQMRCZZHO</t>
  </si>
  <si>
    <t>50202110320EQMRCZZHO</t>
  </si>
  <si>
    <t>50202110340EQMRCZZHO</t>
  </si>
  <si>
    <t>50202110360EQMRCZZHO</t>
  </si>
  <si>
    <t>50202110440EQMRCZZHO</t>
  </si>
  <si>
    <t>50202110460EQMRCZZHO</t>
  </si>
  <si>
    <t>50202110500EQMRCZZHO</t>
  </si>
  <si>
    <t>50202110630EQMRCZZHO</t>
  </si>
  <si>
    <t>50202130010EQMRCZZHO</t>
  </si>
  <si>
    <t>50202130200EQMRCZZHO</t>
  </si>
  <si>
    <t>50202130300EQMRCZZHO</t>
  </si>
  <si>
    <t>50202130400EQMRCZZHO</t>
  </si>
  <si>
    <t>50202130400FMMRCZZHO</t>
  </si>
  <si>
    <t>50202140020PRMRCZZHO</t>
  </si>
  <si>
    <t>50202140040PRMRCZZHO</t>
  </si>
  <si>
    <t>50202142200PRMRCZZHO</t>
  </si>
  <si>
    <t>50202260370ORMRCZZHO</t>
  </si>
  <si>
    <t>50202260420PRMRCZZHO</t>
  </si>
  <si>
    <t>50202265400ORMRCZZHO</t>
  </si>
  <si>
    <t>50202270300FMS76ZZWM</t>
  </si>
  <si>
    <t>50202300900F3MRCZZHO</t>
  </si>
  <si>
    <t>50202305410EQMRCZZHO</t>
  </si>
  <si>
    <t>50202305410FMMRCZZHO</t>
  </si>
  <si>
    <t>50202305760EQMRCZZHO</t>
  </si>
  <si>
    <t>50202400010ORMRCZZWM</t>
  </si>
  <si>
    <t>50202720040PRMRCZZWM</t>
  </si>
  <si>
    <t>50202720600PRMRCZZWM</t>
  </si>
  <si>
    <t>50202721500PRMRCZZWM</t>
  </si>
  <si>
    <t>50202723600PRMRCZZWM</t>
  </si>
  <si>
    <t>50206191420FCC90ZZHO</t>
  </si>
  <si>
    <t>TRAFFIC FINES MANAGEMENT SYSTEM</t>
  </si>
  <si>
    <t>SUPPLY CHAIN MANAGEMENT</t>
  </si>
  <si>
    <t>50252110010EQMRCZZHO</t>
  </si>
  <si>
    <t>50252110010FMMRCZZHO</t>
  </si>
  <si>
    <t>50252110100EQMRCZZHO</t>
  </si>
  <si>
    <t>50252110220EQMRCZZHO</t>
  </si>
  <si>
    <t>50252110260EQMRCZZHO</t>
  </si>
  <si>
    <t>50252110320EQMRCZZHO</t>
  </si>
  <si>
    <t>50252110340EQMRCZZHO</t>
  </si>
  <si>
    <t>50252110360EQMRCZZHO</t>
  </si>
  <si>
    <t>50252110440EQMRCZZHO</t>
  </si>
  <si>
    <t>50252110460EQMRCZZHO</t>
  </si>
  <si>
    <t>50252110500EQMRCZZHO</t>
  </si>
  <si>
    <t>50252110630EQMRCZZHO</t>
  </si>
  <si>
    <t>50252130010EQMRCZZHO</t>
  </si>
  <si>
    <t>50252130200EQMRCZZHO</t>
  </si>
  <si>
    <t>50252130300EQMRCZZHO</t>
  </si>
  <si>
    <t>50252130400EQMRCZZHO</t>
  </si>
  <si>
    <t>50252130400FMMRCZZHO</t>
  </si>
  <si>
    <t>50252140020PRMRCZZHO</t>
  </si>
  <si>
    <t>50252140040PRMRCZZHO</t>
  </si>
  <si>
    <t>50252142200PRMRCZZHO</t>
  </si>
  <si>
    <t>50252260320ORS44ZZWM</t>
  </si>
  <si>
    <t>50252305410EQMRCZZHO</t>
  </si>
  <si>
    <t>50252305410FMMRCZZHO</t>
  </si>
  <si>
    <t>50252305760EQMRCZZHO</t>
  </si>
  <si>
    <t>50252320600ORMRCZZHO</t>
  </si>
  <si>
    <t>50252720600PRMRCZZWM</t>
  </si>
  <si>
    <t>50252721500PRMRCZZWM</t>
  </si>
  <si>
    <t>50302110010EQMRCZZHO</t>
  </si>
  <si>
    <t>50302110010FMMRCZZHO</t>
  </si>
  <si>
    <t>50302110100EQMRCZZHO</t>
  </si>
  <si>
    <t>50302110220EQMRCZZHO</t>
  </si>
  <si>
    <t>50302110260EQMRCZZHO</t>
  </si>
  <si>
    <t>50302110320EQMRCZZHO</t>
  </si>
  <si>
    <t>50302110340EQMRCZZHO</t>
  </si>
  <si>
    <t>50302110360EQMRCZZHO</t>
  </si>
  <si>
    <t>50302110440EQMRCZZHO</t>
  </si>
  <si>
    <t>50302110460EQMRCZZHO</t>
  </si>
  <si>
    <t>50302110500EQMRCZZHO</t>
  </si>
  <si>
    <t>50302110630EQMRCZZHO</t>
  </si>
  <si>
    <t>50302130010EQMRCZZHO</t>
  </si>
  <si>
    <t>50302130200EQMRCZZHO</t>
  </si>
  <si>
    <t>50302130300EQMRCZZHO</t>
  </si>
  <si>
    <t>50302130400EQMRCZZHO</t>
  </si>
  <si>
    <t>50302140020PRMRCZZHO</t>
  </si>
  <si>
    <t>50302140040PRMRCZZHO</t>
  </si>
  <si>
    <t>50302142200PRMRCZZHO</t>
  </si>
  <si>
    <t>50302300400ORMRCZZHO</t>
  </si>
  <si>
    <t>50302301440ORMRCZZHO</t>
  </si>
  <si>
    <t>50302305410EQMRCZZHO</t>
  </si>
  <si>
    <t>50302305760EQMRCZZHO</t>
  </si>
  <si>
    <t>50302362420ORMRCZZHO</t>
  </si>
  <si>
    <t>50302720600PRMRCZZWM</t>
  </si>
  <si>
    <t>50302721500PRMRCZZWM</t>
  </si>
  <si>
    <t>COMMUNITY SERVICES ADMIN</t>
  </si>
  <si>
    <t>55051178910F7ZZZZZHO</t>
  </si>
  <si>
    <t>55052032050PRMRCZZHO</t>
  </si>
  <si>
    <t>55052032060PRMRCZZHO</t>
  </si>
  <si>
    <t>55052032070PRMRCZZHO</t>
  </si>
  <si>
    <t>55052032090PRMRCZZHO</t>
  </si>
  <si>
    <t>55052032110EQMRCZZHO</t>
  </si>
  <si>
    <t>55052032180PRMRCZZHO</t>
  </si>
  <si>
    <t>55052110010EQMRCZZHO</t>
  </si>
  <si>
    <t>55052110100EQMRCZZHO</t>
  </si>
  <si>
    <t>55052110320EQMRCZZHO</t>
  </si>
  <si>
    <t>55052110360EQMRCZZHO</t>
  </si>
  <si>
    <t>55052110460EQMRCZZHO</t>
  </si>
  <si>
    <t>55052110630EQMRCZZHO</t>
  </si>
  <si>
    <t>55052130010EQMRCZZHO</t>
  </si>
  <si>
    <t>55052130200EQMRCZZHO</t>
  </si>
  <si>
    <t>55052130300EQMRCZZHO</t>
  </si>
  <si>
    <t>55052130400EQMRCZZHO</t>
  </si>
  <si>
    <t>55052140020ORMRCZZHO</t>
  </si>
  <si>
    <t>55052140040ORMRCZZHO</t>
  </si>
  <si>
    <t>55052142200ORMRCZZHO</t>
  </si>
  <si>
    <t>55052283610ORR15ZZHO</t>
  </si>
  <si>
    <t>55052300120ORP12ZZHO</t>
  </si>
  <si>
    <t>55052301600ORMRCZZHO</t>
  </si>
  <si>
    <t>55052304520ORMRCZZHO</t>
  </si>
  <si>
    <t>55052305410EQMRCZZHO</t>
  </si>
  <si>
    <t>55052305760EQMRCZZHO</t>
  </si>
  <si>
    <t>55052305760PRMRCZZHO</t>
  </si>
  <si>
    <t>55052305800ORMRCZZHO</t>
  </si>
  <si>
    <t>55052306610ORMRCZZHO</t>
  </si>
  <si>
    <t>55052320610ORMRCZZHO</t>
  </si>
  <si>
    <t>55052323600ORMRCZZHO</t>
  </si>
  <si>
    <t>55052720600PRMRCZZWM</t>
  </si>
  <si>
    <t>55052721500PRMRCZZWM</t>
  </si>
  <si>
    <t>55052723600PRMRCZZWM</t>
  </si>
  <si>
    <t>55052725700PRMRCZZWM</t>
  </si>
  <si>
    <t>55052728000PRMRCZZWM</t>
  </si>
  <si>
    <t>55052728020PRMRCZZWM</t>
  </si>
  <si>
    <t>55052728800PRMRCZZWM</t>
  </si>
  <si>
    <t>55052729200PRMRCZZWM</t>
  </si>
  <si>
    <t>LIBRARIES</t>
  </si>
  <si>
    <t>55102110010EQMRCZZHO</t>
  </si>
  <si>
    <t>55102110100EQMRCZZHO</t>
  </si>
  <si>
    <t>55102110220EQMRCZZHO</t>
  </si>
  <si>
    <t>55102110320EQMRCZZHO</t>
  </si>
  <si>
    <t>55102110340EQMRCZZHO</t>
  </si>
  <si>
    <t>55102110460EQMRCZZHO</t>
  </si>
  <si>
    <t>55102110500EQMRCZZHO</t>
  </si>
  <si>
    <t>55102130010EQMRCZZHO</t>
  </si>
  <si>
    <t>55102130200EQMRCZZHO</t>
  </si>
  <si>
    <t>55102130300EQMRCZZHO</t>
  </si>
  <si>
    <t>55102130400EQMRCZZHO</t>
  </si>
  <si>
    <t>55102140020PRMRCZZWM</t>
  </si>
  <si>
    <t>55102140040PRMRCZZWM</t>
  </si>
  <si>
    <t>55102142200PRMRCZZWM</t>
  </si>
  <si>
    <t>55102305410EQMRCZZHO</t>
  </si>
  <si>
    <t>55102720600PRMRCZZWM</t>
  </si>
  <si>
    <t>55102721500PRMRCZZWM</t>
  </si>
  <si>
    <t>SPORTS RECREATION &amp; SOCIAL AMENITIE</t>
  </si>
  <si>
    <t>55151040500F5ZZZZZWM</t>
  </si>
  <si>
    <t>55151380310ORZZZZZWM</t>
  </si>
  <si>
    <t>55151401090RFZZZZZHO</t>
  </si>
  <si>
    <t>55151423330F2ZZZZZWM</t>
  </si>
  <si>
    <t>55152110010EQMRCZZHO</t>
  </si>
  <si>
    <t>55152110100EQMRCZZHO</t>
  </si>
  <si>
    <t>55152110220EQMRCZZHO</t>
  </si>
  <si>
    <t>55152110260EQMRCZZHO</t>
  </si>
  <si>
    <t>55152110320EQMRCZZHO</t>
  </si>
  <si>
    <t>55152110340EQMRCZZHO</t>
  </si>
  <si>
    <t>55152110440EQMRCZZHO</t>
  </si>
  <si>
    <t>55152110460EQMRCZZHO</t>
  </si>
  <si>
    <t>55152110500EQMRCZZHO</t>
  </si>
  <si>
    <t>55152110630EQMRCZZHO</t>
  </si>
  <si>
    <t>55152130010EQMRCZZHO</t>
  </si>
  <si>
    <t>55152130200EQMRCZZHO</t>
  </si>
  <si>
    <t>55152130300EQMRCZZHO</t>
  </si>
  <si>
    <t>55152130400EQMRCZZHO</t>
  </si>
  <si>
    <t>55152140020PRMRCZZWM</t>
  </si>
  <si>
    <t>55152140040PRMRCZZWM</t>
  </si>
  <si>
    <t>55152142200PRMRCZZWM</t>
  </si>
  <si>
    <t>55152265400ORR88ZZHO</t>
  </si>
  <si>
    <t>55152270410ORMRCZZHO</t>
  </si>
  <si>
    <t>55152283600ORR69ZZHO</t>
  </si>
  <si>
    <t>55152285420ORR99ZZHO</t>
  </si>
  <si>
    <t>55152300120ORS66ZZHO</t>
  </si>
  <si>
    <t>55152304510ORMRCZZHO</t>
  </si>
  <si>
    <t>55152305410EQMRCZZHO</t>
  </si>
  <si>
    <t>55152305760EQMRCZZHO</t>
  </si>
  <si>
    <t>55152721500PRMRCZZWM</t>
  </si>
  <si>
    <t>55152723600PRMRCZZWM</t>
  </si>
  <si>
    <t>55152728800PRMRCZZWM</t>
  </si>
  <si>
    <t>55152728930PRMRCZZWM</t>
  </si>
  <si>
    <t>55152729200PRMRCZZWM</t>
  </si>
  <si>
    <t>55156420420FCC80ZZWM</t>
  </si>
  <si>
    <t>TLB</t>
  </si>
  <si>
    <t>55156420420FCC81ZZWM</t>
  </si>
  <si>
    <t>SKIP LOADER TRUCK</t>
  </si>
  <si>
    <t>TRAFFIC SERVICE</t>
  </si>
  <si>
    <t>55201040080F5ZZZZZWM</t>
  </si>
  <si>
    <t>55201040520F5ZZZZZHO</t>
  </si>
  <si>
    <t>55201482040F6ZZZZZWM</t>
  </si>
  <si>
    <t>55202110010EQMRCZZHO</t>
  </si>
  <si>
    <t>55202110100EQMRCZZHO</t>
  </si>
  <si>
    <t>55202110220EQMRCZZHO</t>
  </si>
  <si>
    <t>55202110260EQMRCZZHO</t>
  </si>
  <si>
    <t>55202110320EQMRCZZHO</t>
  </si>
  <si>
    <t>55202110340EQMRCZZHO</t>
  </si>
  <si>
    <t>55202110360EQMRCZZHO</t>
  </si>
  <si>
    <t>55202110440EQMRCZZHO</t>
  </si>
  <si>
    <t>55202110460EQMRCZZHO</t>
  </si>
  <si>
    <t>55202110480EQMRCZZHO</t>
  </si>
  <si>
    <t>55202110630EQMRCZZHO</t>
  </si>
  <si>
    <t>55202130010EQMRCZZHO</t>
  </si>
  <si>
    <t>55202130200EQMRCZZHO</t>
  </si>
  <si>
    <t>55202130300EQMRCZZHO</t>
  </si>
  <si>
    <t>55202130400EQMRCZZHO</t>
  </si>
  <si>
    <t>55202140020PRMRCZZWM</t>
  </si>
  <si>
    <t>55202140040PRMRCZZWM</t>
  </si>
  <si>
    <t>55202142200PRMRCZZWM</t>
  </si>
  <si>
    <t>55202283610ORR21ZZHO</t>
  </si>
  <si>
    <t>55202305410EQMRCZZHO</t>
  </si>
  <si>
    <t>55202305760EQMRCZZHO</t>
  </si>
  <si>
    <t>55202720040PRMRCZZWM</t>
  </si>
  <si>
    <t>55202720600PRMRCZZWM</t>
  </si>
  <si>
    <t>55202721500PRMRCZZWM</t>
  </si>
  <si>
    <t>55202723600PRMRCZZWM</t>
  </si>
  <si>
    <t>55202728800PRMRCZZWM</t>
  </si>
  <si>
    <t>55202728850PRMRCZZWM</t>
  </si>
  <si>
    <t>55206456420FCC66ZZHO</t>
  </si>
  <si>
    <t>TRAFFIC EQUIPMENT</t>
  </si>
  <si>
    <t>PARKS|||||||||55|5525|0000010|||||||||||||</t>
  </si>
  <si>
    <t>55251420610F2ZZZZZWM</t>
  </si>
  <si>
    <t>55252110010EQMRCZZHO</t>
  </si>
  <si>
    <t>55252110100EQMRCZZHO</t>
  </si>
  <si>
    <t>55252110320EQMRCZZHO</t>
  </si>
  <si>
    <t>55252110360EQMRCZZHO</t>
  </si>
  <si>
    <t>55252110460EQMRCZZHO</t>
  </si>
  <si>
    <t>55252110500EQMRCZZHO</t>
  </si>
  <si>
    <t>55252110560EQMRCZZHO</t>
  </si>
  <si>
    <t>55252130010EQMRCZZHO</t>
  </si>
  <si>
    <t>55252130200EQMRCZZHO</t>
  </si>
  <si>
    <t>55252130300EQMRCZZHO</t>
  </si>
  <si>
    <t>55252130400EQMRCZZHO</t>
  </si>
  <si>
    <t>55252140020PRMRCZZWM</t>
  </si>
  <si>
    <t>55252140040PRMRCZZWM</t>
  </si>
  <si>
    <t>55252142200PRMRCZZWM</t>
  </si>
  <si>
    <t>55252283600ORR64ZZHO</t>
  </si>
  <si>
    <t>55252305410EQMRCZZHO</t>
  </si>
  <si>
    <t>55252723600PRMRCZZWM</t>
  </si>
  <si>
    <t>REFUSE</t>
  </si>
  <si>
    <t>55301322000F8ZZZZZWM</t>
  </si>
  <si>
    <t>55301322030F8ZZZZZWM</t>
  </si>
  <si>
    <t>55301322040F8ZZZZZWM</t>
  </si>
  <si>
    <t>55301341120IDZZZZZWM</t>
  </si>
  <si>
    <t>55302110010EQMRCZZHO</t>
  </si>
  <si>
    <t>55302110100EQMRCZZHO</t>
  </si>
  <si>
    <t>55302110220EQMRCZZHO</t>
  </si>
  <si>
    <t>55302110320EQMRCZZHO</t>
  </si>
  <si>
    <t>55302110340EQMRCZZHO</t>
  </si>
  <si>
    <t>55302110360EQMRCZZHO</t>
  </si>
  <si>
    <t>55302110460EQMRCZZHO</t>
  </si>
  <si>
    <t>55302110500EQMRCZZHO</t>
  </si>
  <si>
    <t>55302110560EQMRCZZHO</t>
  </si>
  <si>
    <t>55302130010EQMRCZZHO</t>
  </si>
  <si>
    <t>55302130200EQMRCZZHO</t>
  </si>
  <si>
    <t>55302130300EQMRCZZHO</t>
  </si>
  <si>
    <t>55302130400EQMRCZZHO</t>
  </si>
  <si>
    <t>55302140020PRMRCZZWM</t>
  </si>
  <si>
    <t>55302140040PRMRCZZWM</t>
  </si>
  <si>
    <t>55302142200PRMRCZZWM</t>
  </si>
  <si>
    <t>55302300220F7P57ZZHO</t>
  </si>
  <si>
    <t>55302301860F8P50ZZHO</t>
  </si>
  <si>
    <t>55302301860F8S39ZZWM</t>
  </si>
  <si>
    <t>55302305410EQMRCZZHO</t>
  </si>
  <si>
    <t>55302305760EQMRCZZHO</t>
  </si>
  <si>
    <t>TECHNICAL SERVICES ADMIN</t>
  </si>
  <si>
    <t>60022305410EQMRCZZHO</t>
  </si>
  <si>
    <t>60022721500PRMRCZZWM</t>
  </si>
  <si>
    <t>60022729200PRMRCZZWM</t>
  </si>
  <si>
    <t>TECHN SERV-ROADS: ADMIN</t>
  </si>
  <si>
    <t>60052031650PRMRCZZHO</t>
  </si>
  <si>
    <t>60052031660PRMRCZZHO</t>
  </si>
  <si>
    <t>60052031670PRMRCZZHO</t>
  </si>
  <si>
    <t>60052031690PRMRCZZHO</t>
  </si>
  <si>
    <t>60052031710EQMRCZZHO</t>
  </si>
  <si>
    <t>60052031780PRMRCZZHO</t>
  </si>
  <si>
    <t>60052110630EQMRCZZHO</t>
  </si>
  <si>
    <t>60052301600ORMRCZZHO</t>
  </si>
  <si>
    <t>60052305410EQMRCZZHO</t>
  </si>
  <si>
    <t>60052305760EQMRCZZHO</t>
  </si>
  <si>
    <t>60052305760PRMRCZZHO</t>
  </si>
  <si>
    <t>60052305800ORMRCZZHO</t>
  </si>
  <si>
    <t>60052306610ORMRCZZHO</t>
  </si>
  <si>
    <t>60052320610ORMRCZZHO</t>
  </si>
  <si>
    <t>TECHN SERV-STORMWATER: ADMIN</t>
  </si>
  <si>
    <t>60062110010EQMRCZZHO</t>
  </si>
  <si>
    <t>60062110100EQMRCZZHO</t>
  </si>
  <si>
    <t>60062110220EQMRCZZHO</t>
  </si>
  <si>
    <t>60062110260EQMRCZZHO</t>
  </si>
  <si>
    <t>60062110320EQMRCZZHO</t>
  </si>
  <si>
    <t>60062110340EQMRCZZHO</t>
  </si>
  <si>
    <t>60062110360EQMRCZZHO</t>
  </si>
  <si>
    <t>60062110460EQMRCZZHO</t>
  </si>
  <si>
    <t>60062110560EQMRCZZHO</t>
  </si>
  <si>
    <t>60062130010EQMRCZZHO</t>
  </si>
  <si>
    <t>60062130200EQMRCZZHO</t>
  </si>
  <si>
    <t>60062130300EQMRCZZHO</t>
  </si>
  <si>
    <t>60062130400EQMRCZZHO</t>
  </si>
  <si>
    <t>60062140020PRMRCZZHO</t>
  </si>
  <si>
    <t>60062140040PRMRCZZHO</t>
  </si>
  <si>
    <t>60062142200PRMRCZZHO</t>
  </si>
  <si>
    <t>60062283610ORR54ZZHO</t>
  </si>
  <si>
    <t>60062283610ORS54ZZWM</t>
  </si>
  <si>
    <t>60062283620ORR50ZZHO</t>
  </si>
  <si>
    <t>60062301870ORMRCZZHO</t>
  </si>
  <si>
    <t>60062305410EQMRCZZHO</t>
  </si>
  <si>
    <t>60062305760EQMRCZZHO</t>
  </si>
  <si>
    <t>60062320600ORR54ZZHO</t>
  </si>
  <si>
    <t>60062720040PRMRCZZWM</t>
  </si>
  <si>
    <t>60062720600PRMRCZZWM</t>
  </si>
  <si>
    <t>60062721500PRMRCZZWM</t>
  </si>
  <si>
    <t>60062722490PRMRCZZWM</t>
  </si>
  <si>
    <t>60062723600PRMRCZZWM</t>
  </si>
  <si>
    <t>60062725700PRMRCZZWM</t>
  </si>
  <si>
    <t>60062728000PRMRCZZWM</t>
  </si>
  <si>
    <t>60062729200PRMRCZZWM</t>
  </si>
  <si>
    <t>60066420420FCC83ZZWM</t>
  </si>
  <si>
    <t>PROCUREMENT OF 2X TIPPER TRUCKS 10M3</t>
  </si>
  <si>
    <t>60066456020FCC87ZZWM</t>
  </si>
  <si>
    <t>PROCUREMENT OF 2X GRADER</t>
  </si>
  <si>
    <t>60066472420FCC89ZZWM</t>
  </si>
  <si>
    <t>20X CULVERT BRIDGES (CIRCULAR/BOX)</t>
  </si>
  <si>
    <t>60066472420MGC33ZZ01</t>
  </si>
  <si>
    <t>NTHABISENG INTERNAL STREET</t>
  </si>
  <si>
    <t>60066472420MGC35ZZ01</t>
  </si>
  <si>
    <t>60066473520FCC93ZZ12</t>
  </si>
  <si>
    <t>MOHODI SPORTS COMPLEX</t>
  </si>
  <si>
    <t>60066473520FCC94ZZ03</t>
  </si>
  <si>
    <t>RAMOKGOPA STADIUM</t>
  </si>
  <si>
    <t>60066474020FCC95ZZWM</t>
  </si>
  <si>
    <t>CONSTRUCTION OF MOLETJI OFFICE</t>
  </si>
  <si>
    <t>PROJECT MANAGEMENT UNIT</t>
  </si>
  <si>
    <t>60071178970F9ZZZZZHO</t>
  </si>
  <si>
    <t>60071258940MGZZZZZHO</t>
  </si>
  <si>
    <t>60072110010PRMRCZZHO</t>
  </si>
  <si>
    <t>60072110100PRMRCZZHO</t>
  </si>
  <si>
    <t>60072130400PRMRCZZHO</t>
  </si>
  <si>
    <t>60072270410F9P90ZZHO</t>
  </si>
  <si>
    <t>60072270420ORS78ZZWM</t>
  </si>
  <si>
    <t>60072305410EQMRCZZHO</t>
  </si>
  <si>
    <t>60072305760EQMRCZZHO</t>
  </si>
  <si>
    <t>60072720040PRMRCZZWM</t>
  </si>
  <si>
    <t>60072720600PRMRCZZWM</t>
  </si>
  <si>
    <t>60072721500PRMRCZZWM</t>
  </si>
  <si>
    <t>ELECTRICAL &amp; MACHINERY</t>
  </si>
  <si>
    <t>60081040020F5ZZZZZWM</t>
  </si>
  <si>
    <t>60081321040F3ZZZZZWM</t>
  </si>
  <si>
    <t>60081321120F3ZZZZZWM</t>
  </si>
  <si>
    <t>60081321130F3ZZZZZWM</t>
  </si>
  <si>
    <t>60081321190EQFB1ZZWM</t>
  </si>
  <si>
    <t>60081321200F3ZZZZZWM</t>
  </si>
  <si>
    <t>60081321260F3ZZZZZWM</t>
  </si>
  <si>
    <t>60081341010IDZZZZZWM</t>
  </si>
  <si>
    <t>60082110010EQMRCZZHO</t>
  </si>
  <si>
    <t>60082110100EQMRCZZHO</t>
  </si>
  <si>
    <t>60082110220EQMRCZZHO</t>
  </si>
  <si>
    <t>60082110260EQMRCZZHO</t>
  </si>
  <si>
    <t>60082110320EQMRCZZHO</t>
  </si>
  <si>
    <t>60082110340EQMRCZZHO</t>
  </si>
  <si>
    <t>60082110360EQMRCZZHO</t>
  </si>
  <si>
    <t>60082110440EQMRCZZHO</t>
  </si>
  <si>
    <t>60082110460EQMRCZZHO</t>
  </si>
  <si>
    <t>60082110560EQMRCZZHO</t>
  </si>
  <si>
    <t>60082110630EQMRCZZHO</t>
  </si>
  <si>
    <t>60082130010EQMRCZZHO</t>
  </si>
  <si>
    <t>60082130200EQMRCZZHO</t>
  </si>
  <si>
    <t>60082130300EQMRCZZHO</t>
  </si>
  <si>
    <t>60082130400EQMRCZZHO</t>
  </si>
  <si>
    <t>60082140020PRMRCZZWM</t>
  </si>
  <si>
    <t>60082140040PRMRCZZWM</t>
  </si>
  <si>
    <t>60082142200PRMRCZZWM</t>
  </si>
  <si>
    <t>60082265110EQMRCZZHO</t>
  </si>
  <si>
    <t>60082283620ORR44ZZHO</t>
  </si>
  <si>
    <t>60082305410EQMRCZZHO</t>
  </si>
  <si>
    <t>60082305760EQMRCZZHO</t>
  </si>
  <si>
    <t>60082307020ORMRCZZHO</t>
  </si>
  <si>
    <t>60082340010F3MRCZZHO</t>
  </si>
  <si>
    <t>60082720600PRMRCZZWM</t>
  </si>
  <si>
    <t>60082721500PRMRCZZWM</t>
  </si>
  <si>
    <t>60082722490PRMRCZZWM</t>
  </si>
  <si>
    <t>60082723600PRMRCZZWM</t>
  </si>
  <si>
    <t>60082725700PRMRCZZWM</t>
  </si>
  <si>
    <t>60086432420FCC54ZZWM</t>
  </si>
  <si>
    <t>ELECTRIFICATION CLUSTER 3 PROJECTS</t>
  </si>
  <si>
    <t>60086433020FCC84ZZWM</t>
  </si>
  <si>
    <t>SUPPLY &amp; INSTALLATION OF STREETS LIGHTS</t>
  </si>
  <si>
    <t>WATER</t>
  </si>
  <si>
    <t>60151324020WTZZZZZWM</t>
  </si>
  <si>
    <t>60151324080WTZZZZZWM</t>
  </si>
  <si>
    <t>60151341140IDZZZZZWM</t>
  </si>
  <si>
    <t>60151365000FAZZZZZWM</t>
  </si>
  <si>
    <t>60151380620ORZZZZZWM</t>
  </si>
  <si>
    <t>60152110010EQMRCZZHO</t>
  </si>
  <si>
    <t>60152110100EQMRCZZHO</t>
  </si>
  <si>
    <t>60152110220EQMRCZZHO</t>
  </si>
  <si>
    <t>60152110260EQMRCZZHO</t>
  </si>
  <si>
    <t>60152110280EQMRCZZHO</t>
  </si>
  <si>
    <t>60152110320EQMRCZZHO</t>
  </si>
  <si>
    <t>60152110340EQMRCZZHO</t>
  </si>
  <si>
    <t>60152110360EQMRCZZHO</t>
  </si>
  <si>
    <t>60152110460EQMRCZZHO</t>
  </si>
  <si>
    <t>60152110500EQMRCZZHO</t>
  </si>
  <si>
    <t>60152110560EQMRCZZHO</t>
  </si>
  <si>
    <t>60152130010EQMRCZZHO</t>
  </si>
  <si>
    <t>60152130200EQMRCZZHO</t>
  </si>
  <si>
    <t>60152130300EQMRCZZHO</t>
  </si>
  <si>
    <t>60152130400EQMRCZZHO</t>
  </si>
  <si>
    <t>60152140020PRMRCZZWM</t>
  </si>
  <si>
    <t>60152140040PRMRCZZWM</t>
  </si>
  <si>
    <t>60152142200PRMRCZZWM</t>
  </si>
  <si>
    <t>60152305410EQMRCZZHO</t>
  </si>
  <si>
    <t>60152305760EQMRCZZHO</t>
  </si>
  <si>
    <t>60152400010WTMRCZZWM</t>
  </si>
  <si>
    <t>60152720600PRMRCZZWM</t>
  </si>
  <si>
    <t>60152721500PRMRCZZWM</t>
  </si>
  <si>
    <t>60152725700PRMRCZZWM</t>
  </si>
  <si>
    <t>SANITATION</t>
  </si>
  <si>
    <t>60161323020WWZZZZZWM</t>
  </si>
  <si>
    <t>60161341130IDZZZZZWM</t>
  </si>
  <si>
    <t>60161365000FAZZZZZWM</t>
  </si>
  <si>
    <t>60162110010EQMRCZZHO</t>
  </si>
  <si>
    <t>60162110100EQMRCZZHO</t>
  </si>
  <si>
    <t>60162110320EQMRCZZHO</t>
  </si>
  <si>
    <t>60162110360EQMRCZZHO</t>
  </si>
  <si>
    <t>60162110460EQMRCZZHO</t>
  </si>
  <si>
    <t>60162110500EQMRCZZHO</t>
  </si>
  <si>
    <t>60162110560EQMRCZZHO</t>
  </si>
  <si>
    <t>60162130010EQMRCZZHO</t>
  </si>
  <si>
    <t>60162130200EQMRCZZHO</t>
  </si>
  <si>
    <t>60162130300EQMRCZZHO</t>
  </si>
  <si>
    <t>60162130400EQMRCZZHO</t>
  </si>
  <si>
    <t>60162140020PRMRCZZWM</t>
  </si>
  <si>
    <t>60162140040PRMRCZZWM</t>
  </si>
  <si>
    <t>60162142200PRMRCZZWM</t>
  </si>
  <si>
    <t>60162305410EQMRCZZHO</t>
  </si>
  <si>
    <t>60162305760EQMRCZZHO</t>
  </si>
  <si>
    <t>Adjustments</t>
  </si>
  <si>
    <t>Final Budget 2020/21</t>
  </si>
  <si>
    <t>Final Budget 2021/22</t>
  </si>
  <si>
    <t>COMMUNICATIONS</t>
  </si>
  <si>
    <t>INT DIV RENT ON LAND NON-EXC</t>
  </si>
  <si>
    <t>SUMMARY PER TYPE</t>
  </si>
  <si>
    <t>DESCRIPTION</t>
  </si>
  <si>
    <t>TOTAL CAPITAL ACQUISTIONS</t>
  </si>
  <si>
    <t>TOTAL MUNICIPAL BUDGET</t>
  </si>
  <si>
    <t>SUPLUS/DEFICIT</t>
  </si>
  <si>
    <t>EXECUTIVE SUMMARY</t>
  </si>
  <si>
    <t>TOTAL TRANSFERS &amp; SUBSIDIES</t>
  </si>
  <si>
    <t>TOTAL OWN REVENUE</t>
  </si>
  <si>
    <t>TOTAL INCOME</t>
  </si>
  <si>
    <t>Original Budget 2019/20</t>
  </si>
  <si>
    <t>35056421020ORC46ZZWM</t>
  </si>
  <si>
    <t>VEHICLES</t>
  </si>
  <si>
    <t>35102272580F2P88ZZHO</t>
  </si>
  <si>
    <t>SIGNBOARDS</t>
  </si>
  <si>
    <t>40106456020ORC74ZZWM</t>
  </si>
  <si>
    <t>TRAILER</t>
  </si>
  <si>
    <t>40156470420ORC34ZZWM</t>
  </si>
  <si>
    <t>PERFORMANCE MANAGEMENT SOFTWARE</t>
  </si>
  <si>
    <t>60066472420MGC69ZZ12</t>
  </si>
  <si>
    <t>MOHODI INTERNAL STREET</t>
  </si>
  <si>
    <t>MOGWADI INTERNAL STREETS</t>
  </si>
  <si>
    <t>CONSTRUCTION OF DLTC/VTS</t>
  </si>
  <si>
    <t>CONSTRUCTION OF LANDFILL SITE</t>
  </si>
  <si>
    <t>60066472420MGC70ZZ15</t>
  </si>
  <si>
    <t>KGWADI INTERNAL STREET</t>
  </si>
  <si>
    <t>60066472420MGC30ZZ15</t>
  </si>
  <si>
    <t>MOKGEHLE INTERNAL STREET</t>
  </si>
  <si>
    <t>EL IU C - NETWORKS: ACQUISITIONS</t>
  </si>
  <si>
    <t>CAPRICON PARK INTERNAL STREET</t>
  </si>
  <si>
    <t>Project Name</t>
  </si>
  <si>
    <t>MPAC ACTIVITIES</t>
  </si>
  <si>
    <t>PUBLIC PARTICIPATION</t>
  </si>
  <si>
    <t>CONFERENCES</t>
  </si>
  <si>
    <t>BRANCH MANAGER</t>
  </si>
  <si>
    <t>TRAVEL CLAIM</t>
  </si>
  <si>
    <t>BY-LAWS</t>
  </si>
  <si>
    <t>ADVERTISING,MARKETING &amp; PUBLICITY</t>
  </si>
  <si>
    <t>R&amp;M website</t>
  </si>
  <si>
    <t>R&amp;M ICT equipment</t>
  </si>
  <si>
    <t>R&amp;M ICT Server</t>
  </si>
  <si>
    <t>DISASTER RECOVERY</t>
  </si>
  <si>
    <t>Uploading of inventory</t>
  </si>
  <si>
    <t>5505230516FPRMRCZZWM</t>
  </si>
  <si>
    <t>REHABILITATION COSTS</t>
  </si>
  <si>
    <t>Training councillors</t>
  </si>
  <si>
    <t>Training employees</t>
  </si>
  <si>
    <t>OPEX PER DEPARTMENTS</t>
  </si>
  <si>
    <t>TYPE</t>
  </si>
  <si>
    <t>% OPEX</t>
  </si>
  <si>
    <t xml:space="preserve"> FINAL BUDGET 2017 /2018</t>
  </si>
  <si>
    <t xml:space="preserve"> FINAL BUDGET 2018 /2019</t>
  </si>
  <si>
    <t xml:space="preserve"> FINAL BUDGET 2019 /2020</t>
  </si>
  <si>
    <t>CORPORATE SERVICES</t>
  </si>
  <si>
    <t>PLANNING AND ECONOMIC DEVELOPMENT</t>
  </si>
  <si>
    <t>MUNICIPAL MANAGER'S OFFICE</t>
  </si>
  <si>
    <t>MAYOR'S OFFICE</t>
  </si>
  <si>
    <t>BUDGET AND TREASURY</t>
  </si>
  <si>
    <t>COMMUNITY SERVICES</t>
  </si>
  <si>
    <t>TOTAL OPEX PER DEPARTMENTS</t>
  </si>
  <si>
    <t>Original Budget</t>
  </si>
  <si>
    <t>Adjusted worksheet</t>
  </si>
  <si>
    <t>Adjusted All department</t>
  </si>
  <si>
    <t>Difference</t>
  </si>
  <si>
    <t>TECHNICAL SERVICES</t>
  </si>
  <si>
    <t>35052140060EQMRCZZHO</t>
  </si>
  <si>
    <t>MS: PRB - MED: ACTURIAL GAINS &amp; LOSSES</t>
  </si>
  <si>
    <t>50052140060EQMRCZZHO</t>
  </si>
  <si>
    <t>40052725700PRMRCZZWM</t>
  </si>
  <si>
    <t>Adjustment Budget  2019/20</t>
  </si>
  <si>
    <t>LAND USE SCHEME</t>
  </si>
  <si>
    <t>Vote No</t>
  </si>
  <si>
    <t>Vote Description</t>
  </si>
  <si>
    <t>Original Budget from GS360</t>
  </si>
  <si>
    <t>Adjusted budget</t>
  </si>
  <si>
    <t>Budget 2021</t>
  </si>
  <si>
    <t>Budget 2122</t>
  </si>
  <si>
    <t>35053996050ZZZZZZZWM</t>
  </si>
  <si>
    <t>TRF TO ACC SURPLUS DEFICIT</t>
  </si>
  <si>
    <t>35056151410ZZZZZZZWM</t>
  </si>
  <si>
    <t>IA COST INT GEN IU COMPUT SOFTW OPEN BAL</t>
  </si>
  <si>
    <t>35056151610ZZZZZZZWM</t>
  </si>
  <si>
    <t>IA COST IG IU COMPUT SOFTW AA OPEN BAL</t>
  </si>
  <si>
    <t>35056151620ZZZZZZZWM</t>
  </si>
  <si>
    <t>IA COST INT GEN IU COMPUT SOFTW AA AMORT</t>
  </si>
  <si>
    <t>35056420410ZZZZZZZWM</t>
  </si>
  <si>
    <t>PPE COST TRANSP OWN IU COST OPENING BAL</t>
  </si>
  <si>
    <t>35056420610ZZZZZZZWM</t>
  </si>
  <si>
    <t>PPE COST TRANSPORT OWN IU AD OPENING BAL</t>
  </si>
  <si>
    <t>35056420620ZZZZZZZWM</t>
  </si>
  <si>
    <t>PPE COST TRANSP OWN IU AD OTHER CHANGES</t>
  </si>
  <si>
    <t>35056421210ZZZZZZZWM</t>
  </si>
  <si>
    <t>PPE COST TRANSPORT FU AD OPENING BALANCE</t>
  </si>
  <si>
    <t>35056421230ZZZZZZZWM</t>
  </si>
  <si>
    <t>PPE COST TRANSPORT FU AD DEPRECIATION</t>
  </si>
  <si>
    <t>35056456010ZZZZZZZWM</t>
  </si>
  <si>
    <t>PPE COST MACH &amp; EQP IU COST OPENING BAL</t>
  </si>
  <si>
    <t>35056456210ZZZZZZZWM</t>
  </si>
  <si>
    <t>PPE COST MACH &amp; EQUIP IU AD OPENING BAL</t>
  </si>
  <si>
    <t>35056456230ZZZZZZZWM</t>
  </si>
  <si>
    <t>PPE COST MACH &amp; EQUIP IU AD DEPRECIATION</t>
  </si>
  <si>
    <t>35056460010ZZZZZZZWM</t>
  </si>
  <si>
    <t>PPE COST FURN &amp; OFF IU COST OPENING BAL</t>
  </si>
  <si>
    <t>35056460210ZZZZZZZWM</t>
  </si>
  <si>
    <t>PPE COST FURN &amp;OFF EQP IU AD OPENING BAL</t>
  </si>
  <si>
    <t>35056460230ZZZZZZZWM</t>
  </si>
  <si>
    <t>PPE COST FURNIT &amp; OFF IU AD DEPRECIATION</t>
  </si>
  <si>
    <t>35056470010ZZZZZZZWM</t>
  </si>
  <si>
    <t>PPE COST COMP EQUIP IU COST OPENING BAL</t>
  </si>
  <si>
    <t>35056470210ZZZZZZZWM</t>
  </si>
  <si>
    <t>PPE COST COMPUTER EQP IU AD OPENING BAL</t>
  </si>
  <si>
    <t>35056470230ZZZZZZZWM</t>
  </si>
  <si>
    <t>PPE COST COMPUTER EQP IU AD DEPRECIATION</t>
  </si>
  <si>
    <t>35056472410ZZZZZZZWM</t>
  </si>
  <si>
    <t>PPE COST ROAD INFRASTR COST OPENING BAL</t>
  </si>
  <si>
    <t>35056472610ZZZZZZZWM</t>
  </si>
  <si>
    <t>PPE COST ROAD INFRAST AD OPENING BALANCE</t>
  </si>
  <si>
    <t>35056472630ZZZZZZZWM</t>
  </si>
  <si>
    <t>PPE COST ROAD INFRASTR AD DEPRECIATION</t>
  </si>
  <si>
    <t>35056473510ZZZZZZZWM</t>
  </si>
  <si>
    <t>PPE COST COMMUNITY COST OPENING BALANCE</t>
  </si>
  <si>
    <t>35056473610ZZZZZZZWM</t>
  </si>
  <si>
    <t>PPE COST COMMUNITY AD OPENING BALANCE</t>
  </si>
  <si>
    <t>35056473630ZZZZZZZWM</t>
  </si>
  <si>
    <t>PPE COST COMMUNITY AD DEPRECIATION</t>
  </si>
  <si>
    <t>35056474010ZZZZZZZWM</t>
  </si>
  <si>
    <t>PPE COST OTHER COST OPENING BALANCE</t>
  </si>
  <si>
    <t>35056474210ZZZZZZZWM</t>
  </si>
  <si>
    <t>PPE COST OTHER AD OPENING BALANCE</t>
  </si>
  <si>
    <t>35056474230ZZZZZZZWM</t>
  </si>
  <si>
    <t>PPE COST OTHER AD DEPRECIATION</t>
  </si>
  <si>
    <t>35056550410ZZZZZZZWM</t>
  </si>
  <si>
    <t>PPE REVAL FURN &amp; OFF IU COST OPENING BAL</t>
  </si>
  <si>
    <t>35057400010ZZZZZZZWM</t>
  </si>
  <si>
    <t>LEAVE ACCRUAL:OPENING BALANCE</t>
  </si>
  <si>
    <t>35058100010ZZZZZZZWM</t>
  </si>
  <si>
    <t>ACC SUR/(DEF): OPENING BALANCE</t>
  </si>
  <si>
    <t>35058100040ZZZZZZZWM</t>
  </si>
  <si>
    <t>ACC SUR/(DEF): TRF TO/FROM ACCUM SURPLUS</t>
  </si>
  <si>
    <t>35063996050ZZZZZZZWM</t>
  </si>
  <si>
    <t>35066460010ZZZZZZZWM</t>
  </si>
  <si>
    <t>35066460210ZZZZZZZWM</t>
  </si>
  <si>
    <t>35066460230ZZZZZZZWM</t>
  </si>
  <si>
    <t>35066470010ZZZZZZZWM</t>
  </si>
  <si>
    <t>35066470210ZZZZZZZWM</t>
  </si>
  <si>
    <t>35066470230ZZZZZZZWM</t>
  </si>
  <si>
    <t>35067400010ZZZZZZZWM</t>
  </si>
  <si>
    <t>35068100010ZZZZZZZWM</t>
  </si>
  <si>
    <t>35068100040ZZZZZZZWM</t>
  </si>
  <si>
    <t>35073996050ZZZZZZZWM</t>
  </si>
  <si>
    <t>35076151410ZZZZZZZWM</t>
  </si>
  <si>
    <t>35076151610ZZZZZZZWM</t>
  </si>
  <si>
    <t>35076151620ZZZZZZZWM</t>
  </si>
  <si>
    <t>35076460010ZZZZZZZWM</t>
  </si>
  <si>
    <t>35076460210ZZZZZZZWM</t>
  </si>
  <si>
    <t>35076460230ZZZZZZZWM</t>
  </si>
  <si>
    <t>35076470010ZZZZZZZWM</t>
  </si>
  <si>
    <t>35076470210ZZZZZZZWM</t>
  </si>
  <si>
    <t>35076470230ZZZZZZZWM</t>
  </si>
  <si>
    <t>35077400010ZZZZZZZWM</t>
  </si>
  <si>
    <t>35078100010ZZZZZZZWM</t>
  </si>
  <si>
    <t>35078100040ZZZZZZZWM</t>
  </si>
  <si>
    <t>35083996050ZZZZZZZWM</t>
  </si>
  <si>
    <t>35086101310ZZZZZZZWM</t>
  </si>
  <si>
    <t>HA COST OTH HERITAGE JEWEL COST OPEN BAL</t>
  </si>
  <si>
    <t>35086420410ZZZZZZZWM</t>
  </si>
  <si>
    <t>35086420610ZZZZZZZWM</t>
  </si>
  <si>
    <t>35086420620ZZZZZZZWM</t>
  </si>
  <si>
    <t>35086420630ZZZZZZZWM</t>
  </si>
  <si>
    <t>PPE COST TRANSP OWN IU AD DEPRECIATION</t>
  </si>
  <si>
    <t>35086460010ZZZZZZZWM</t>
  </si>
  <si>
    <t>35086460210ZZZZZZZWM</t>
  </si>
  <si>
    <t>35086460230ZZZZZZZWM</t>
  </si>
  <si>
    <t>35086470010ZZZZZZZWM</t>
  </si>
  <si>
    <t>35086470210ZZZZZZZWM</t>
  </si>
  <si>
    <t>35086470230ZZZZZZZWM</t>
  </si>
  <si>
    <t>35086472630ZZZZZZZWM</t>
  </si>
  <si>
    <t>35087400010ZZZZZZZWM</t>
  </si>
  <si>
    <t>35088100010ZZZZZZZWM</t>
  </si>
  <si>
    <t>35088100040ZZZZZZZWM</t>
  </si>
  <si>
    <t>35093996050ZZZZZZZWM</t>
  </si>
  <si>
    <t>35096460010ZZZZZZZWM</t>
  </si>
  <si>
    <t>35096460210ZZZZZZZWM</t>
  </si>
  <si>
    <t>35096460230ZZZZZZZWM</t>
  </si>
  <si>
    <t>35096470010ZZZZZZZWM</t>
  </si>
  <si>
    <t>35096470210ZZZZZZZWM</t>
  </si>
  <si>
    <t>35096470230ZZZZZZZWM</t>
  </si>
  <si>
    <t>35096473510ZZZZZZZWM</t>
  </si>
  <si>
    <t>35096473610ZZZZZZZWM</t>
  </si>
  <si>
    <t>35096473630ZZZZZZZWM</t>
  </si>
  <si>
    <t>35097400010ZZZZZZZWM</t>
  </si>
  <si>
    <t>35098100010ZZZZZZZWM</t>
  </si>
  <si>
    <t>35098100040ZZZZZZZWM</t>
  </si>
  <si>
    <t>35103996050ZZZZZZZWM</t>
  </si>
  <si>
    <t>35106460010ZZZZZZZWM</t>
  </si>
  <si>
    <t>35106460210ZZZZZZZWM</t>
  </si>
  <si>
    <t>35106460230ZZZZZZZWM</t>
  </si>
  <si>
    <t>35107400010ZZZZZZZWM</t>
  </si>
  <si>
    <t>35108100010ZZZZZZZWM</t>
  </si>
  <si>
    <t>35108100040ZZZZZZZWM</t>
  </si>
  <si>
    <t>35113996050ZZZZZZZWM</t>
  </si>
  <si>
    <t>35116151410ZZZZZZZWM</t>
  </si>
  <si>
    <t>35116151610ZZZZZZZWM</t>
  </si>
  <si>
    <t>35116151620ZZZZZZZWM</t>
  </si>
  <si>
    <t>35116460010ZZZZZZZWM</t>
  </si>
  <si>
    <t>35116460210ZZZZZZZWM</t>
  </si>
  <si>
    <t>35116460230ZZZZZZZWM</t>
  </si>
  <si>
    <t>35116470010ZZZZZZZWM</t>
  </si>
  <si>
    <t>35116470210ZZZZZZZWM</t>
  </si>
  <si>
    <t>35116470230ZZZZZZZWM</t>
  </si>
  <si>
    <t>35117400010ZZZZZZZWM</t>
  </si>
  <si>
    <t>35118100010ZZZZZZZWM</t>
  </si>
  <si>
    <t>35118100040ZZZZZZZWM</t>
  </si>
  <si>
    <t>35123996050ZZZZZZZWM</t>
  </si>
  <si>
    <t>35128100010ZZZZZZZWM</t>
  </si>
  <si>
    <t>35128100040ZZZZZZZWM</t>
  </si>
  <si>
    <t>40053996050ZZZZZZZWM</t>
  </si>
  <si>
    <t>40056360010ZZZZZZZWM</t>
  </si>
  <si>
    <t>INVESTMENT PROPERTY COST OPENING BALANCE</t>
  </si>
  <si>
    <t>40056360170ZZZZZZZWM</t>
  </si>
  <si>
    <t>INVESTMENT PROPERTY COST AD OPENING BAL</t>
  </si>
  <si>
    <t>40056360210ZZZZZZZWM</t>
  </si>
  <si>
    <t>INVESTMENT PROPERTY COST AD DEPRECIATION</t>
  </si>
  <si>
    <t>40056401310ZZZZZZZWM</t>
  </si>
  <si>
    <t>PPE CST LND GEN PLNT OWN IU CST OPEN BAL</t>
  </si>
  <si>
    <t>40056420410ZZZZZZZWM</t>
  </si>
  <si>
    <t>40056420610ZZZZZZZWM</t>
  </si>
  <si>
    <t>40056456010ZZZZZZZWM</t>
  </si>
  <si>
    <t>40056456210ZZZZZZZWM</t>
  </si>
  <si>
    <t>40056456230ZZZZZZZWM</t>
  </si>
  <si>
    <t>40056460010ZZZZZZZWM</t>
  </si>
  <si>
    <t>40056460210ZZZZZZZWM</t>
  </si>
  <si>
    <t>40056460230ZZZZZZZWM</t>
  </si>
  <si>
    <t>40056470010ZZZZZZZWM</t>
  </si>
  <si>
    <t>40056470210ZZZZZZZWM</t>
  </si>
  <si>
    <t>40056470230ZZZZZZZWM</t>
  </si>
  <si>
    <t>40056472410ZZZZZZZWM</t>
  </si>
  <si>
    <t>40056472610ZZZZZZZWM</t>
  </si>
  <si>
    <t>40056472630ZZZZZZZWM</t>
  </si>
  <si>
    <t>40056473510ZZZZZZZWM</t>
  </si>
  <si>
    <t>40056473610ZZZZZZZWM</t>
  </si>
  <si>
    <t>40056473630ZZZZZZZWM</t>
  </si>
  <si>
    <t>40056474010ZZZZZZZWM</t>
  </si>
  <si>
    <t>40056474210ZZZZZZZWM</t>
  </si>
  <si>
    <t>40056474230ZZZZZZZWM</t>
  </si>
  <si>
    <t>40057400010ZZZZZZZWM</t>
  </si>
  <si>
    <t>40058100010ZZZZZZZWM</t>
  </si>
  <si>
    <t>40058100040ZZZZZZZWM</t>
  </si>
  <si>
    <t>40073996050ZZZZZZZWM</t>
  </si>
  <si>
    <t>40078100010ZZZZZZZWM</t>
  </si>
  <si>
    <t>40078100040ZZZZZZZWM</t>
  </si>
  <si>
    <t>40103996050ZZZZZZZWM</t>
  </si>
  <si>
    <t>40106456010ZZZZZZZWM</t>
  </si>
  <si>
    <t>40106456020FCC74ZZWM</t>
  </si>
  <si>
    <t>40106460210ZZZZZZZWM</t>
  </si>
  <si>
    <t>40107400010ZZZZZZZWM</t>
  </si>
  <si>
    <t>40108100010ZZZZZZZWM</t>
  </si>
  <si>
    <t>40108100040ZZZZZZZWM</t>
  </si>
  <si>
    <t>40153996050ZZZZZZZWM</t>
  </si>
  <si>
    <t>40156470410ZZZZZZZWM</t>
  </si>
  <si>
    <t>PPE COST COMP EQUIP FU COST OPENING BAL</t>
  </si>
  <si>
    <t>40157400010ZZZZZZZWM</t>
  </si>
  <si>
    <t>40158100010ZZZZZZZWM</t>
  </si>
  <si>
    <t>40158100040ZZZZZZZWM</t>
  </si>
  <si>
    <t>40203996050ZZZZZZZWM</t>
  </si>
  <si>
    <t>40206460010ZZZZZZZWM</t>
  </si>
  <si>
    <t>40206460210ZZZZZZZWM</t>
  </si>
  <si>
    <t>40206460230ZZZZZZZWM</t>
  </si>
  <si>
    <t>40206470010ZZZZZZZWM</t>
  </si>
  <si>
    <t>40206470210ZZZZZZZWM</t>
  </si>
  <si>
    <t>40206470230ZZZZZZZWM</t>
  </si>
  <si>
    <t>40207400010ZZZZZZZWM</t>
  </si>
  <si>
    <t>40208100010ZZZZZZZWM</t>
  </si>
  <si>
    <t>40208100040ZZZZZZZWM</t>
  </si>
  <si>
    <t>45053996050ZZZZZZZWM</t>
  </si>
  <si>
    <t>45057400010ZZZZZZZWM</t>
  </si>
  <si>
    <t>45058100010ZZZZZZZWM</t>
  </si>
  <si>
    <t>45058100040ZZZZZZZWM</t>
  </si>
  <si>
    <t>45073996050ZZZZZZZWM</t>
  </si>
  <si>
    <t>45078100040ZZZZZZZWM</t>
  </si>
  <si>
    <t>45103996050ZZZZZZZWM</t>
  </si>
  <si>
    <t>45107400010ZZZZZZZWM</t>
  </si>
  <si>
    <t>45108100010ZZZZZZZWM</t>
  </si>
  <si>
    <t>45108100040ZZZZZZZWM</t>
  </si>
  <si>
    <t>45153996050ZZZZZZZWM</t>
  </si>
  <si>
    <t>45157400010ZZZZZZZWM</t>
  </si>
  <si>
    <t>45158100010ZZZZZZZWM</t>
  </si>
  <si>
    <t>45158100040ZZZZZZZWM</t>
  </si>
  <si>
    <t>45203996050ZZZZZZZWM</t>
  </si>
  <si>
    <t>45208100010ZZZZZZZWM</t>
  </si>
  <si>
    <t>45208100040ZZZZZZZWM</t>
  </si>
  <si>
    <t>45253996050ZZZZZZZWM</t>
  </si>
  <si>
    <t>45257400010ZZZZZZZWM</t>
  </si>
  <si>
    <t>45258100010ZZZZZZZWM</t>
  </si>
  <si>
    <t>45258100040ZZZZZZZWM</t>
  </si>
  <si>
    <t>50053920430ZZZZZ8GWM</t>
  </si>
  <si>
    <t>DPT RECOVER:RATES CHARGES</t>
  </si>
  <si>
    <t>50053950430ZZZZZ75WM</t>
  </si>
  <si>
    <t>DPT CHG RATES CHARGES</t>
  </si>
  <si>
    <t>50053960050ZZZZZ45WM</t>
  </si>
  <si>
    <t>CHG INT BILL:ELECTRICITY CONSUMP</t>
  </si>
  <si>
    <t>50053960090ZZZZZ4DWM</t>
  </si>
  <si>
    <t>CHG INT BILL:REFUSE REMOVAL</t>
  </si>
  <si>
    <t>50053960100ZZZZZ4EWM</t>
  </si>
  <si>
    <t>CHG INT BILL:SANITATION CHARGES</t>
  </si>
  <si>
    <t>50053960110ZZZZZ4FWM</t>
  </si>
  <si>
    <t>CHG INT BILL:WATER CONSUMPTION</t>
  </si>
  <si>
    <t>50053996050ZZZZZZZWM</t>
  </si>
  <si>
    <t>50055020010ZZZZZZZWM</t>
  </si>
  <si>
    <t>ACCOUNT NAME: OPENING BALANCE</t>
  </si>
  <si>
    <t>50055020020ZZZZZZZWM</t>
  </si>
  <si>
    <t>ACCOUNT NAME: DEPOSITS</t>
  </si>
  <si>
    <t>50055020030ZZZZZZZWM</t>
  </si>
  <si>
    <t>ACCOUNT NAME: WITHDRAWALS</t>
  </si>
  <si>
    <t>50055020050ZZZZZZZWM</t>
  </si>
  <si>
    <t>ACCOUNT NAME: CHARGES</t>
  </si>
  <si>
    <t>50055020110ZZZZZZZWM</t>
  </si>
  <si>
    <t>NEDBANK UNSP GRANTS: OPENING BALANCE</t>
  </si>
  <si>
    <t>50055020130ZZZZZZZWM</t>
  </si>
  <si>
    <t>NEDBANK UNSP GRANTS: WITHDRAWALS</t>
  </si>
  <si>
    <t>50055020150ZZZZZZZWM</t>
  </si>
  <si>
    <t>NEDBANK UNSP GRANTS: CHARGES</t>
  </si>
  <si>
    <t>50055020210ZZZZZZZWM</t>
  </si>
  <si>
    <t>NEDBANK: OPENING BALANCE</t>
  </si>
  <si>
    <t>50055020220ZZZZZZZWM</t>
  </si>
  <si>
    <t>NEDBANK: DEPOSITS</t>
  </si>
  <si>
    <t>50055020230ZZZZZZZWM</t>
  </si>
  <si>
    <t>NEDBANK: WITHDRAWALS</t>
  </si>
  <si>
    <t>50055020240ZZZZZZZWM</t>
  </si>
  <si>
    <t>NEDBANK: INTEREST EARNED</t>
  </si>
  <si>
    <t>50055120710ZZZZZZZWM</t>
  </si>
  <si>
    <t>BURSARY OBLIGATIONS:OPENING BALANCE</t>
  </si>
  <si>
    <t>50055210010F1ZZZZZWM</t>
  </si>
  <si>
    <t>BUS &amp; COMMERCIAL: OPENING BALANCE</t>
  </si>
  <si>
    <t>50055210010ZZZZZZZWM</t>
  </si>
  <si>
    <t>50055210020F1ZZZZZWM</t>
  </si>
  <si>
    <t>BUS &amp; COMMERCIAL: MONTHLY BILLING</t>
  </si>
  <si>
    <t>50055210040F1ZZZZZWM</t>
  </si>
  <si>
    <t>BUS &amp; COMMERCIAL: COLLECTIONS</t>
  </si>
  <si>
    <t>50055210060F1ZZZZZWM</t>
  </si>
  <si>
    <t>BUS &amp; COMMERCIAL: INTEREST CHARGE</t>
  </si>
  <si>
    <t>50055210210F1ZZZZZWM</t>
  </si>
  <si>
    <t>BUS &amp; COMMERCIAL: IMPAIR: OPENING BALAN</t>
  </si>
  <si>
    <t>50055210210ZZZZZZZWM</t>
  </si>
  <si>
    <t>50055210230F1ZZZZZWM</t>
  </si>
  <si>
    <t>BUS &amp; COMMERCIAL: IMPAIR: RECOGNISED</t>
  </si>
  <si>
    <t>50055211660F1ZZZZZWM</t>
  </si>
  <si>
    <t>FP: AGRIC PURP - INTEREST CHARGE</t>
  </si>
  <si>
    <t>50055211810ZZZZZZZWM</t>
  </si>
  <si>
    <t>FP: AGRIC PURP: IMP - OPENING BALANCE</t>
  </si>
  <si>
    <t>50055211830F1ZZZZZWM</t>
  </si>
  <si>
    <t>FP: AGRIC PURP: IMP - ADJUSTMENTS</t>
  </si>
  <si>
    <t>50055215210F1ZZZZZWM</t>
  </si>
  <si>
    <t>PUB SERV INFRA - OPENING BALANCE</t>
  </si>
  <si>
    <t>50055215210ZZZZZZZWM</t>
  </si>
  <si>
    <t>50055215220F1ZZZZZWM</t>
  </si>
  <si>
    <t>PUB SERV INFRA - MONTHLY BILLING</t>
  </si>
  <si>
    <t>50055215240F1ZZZZZWM</t>
  </si>
  <si>
    <t>PUB SERV INFRA - COLLECTIONS</t>
  </si>
  <si>
    <t>50055215260F1ZZZZZWM</t>
  </si>
  <si>
    <t>PUB SERV INFRA - INTEREST CHARGE</t>
  </si>
  <si>
    <t>50055215410F1ZZZZZWM</t>
  </si>
  <si>
    <t>PUB SERV INFRA: IMP - OPENING BALANCE</t>
  </si>
  <si>
    <t>50055215410ZZZZZZZWM</t>
  </si>
  <si>
    <t>50055215430F1ZZZZZWM</t>
  </si>
  <si>
    <t>PUB SERV INFRA: IMP - ADJUSTMENTS</t>
  </si>
  <si>
    <t>50055215610F1ZZZZZWM</t>
  </si>
  <si>
    <t>RES DEV - OPENING BALANCE</t>
  </si>
  <si>
    <t>50055215610ZZZZZZZWM</t>
  </si>
  <si>
    <t>50055215620F1ZZZZZWM</t>
  </si>
  <si>
    <t>RES DEV - MONTHLY BILLING</t>
  </si>
  <si>
    <t>50055215640F1ZZZZZWM</t>
  </si>
  <si>
    <t>RES DEV - COLLECTIONS</t>
  </si>
  <si>
    <t>50055215660F1ZZZZZWM</t>
  </si>
  <si>
    <t>RES DEV - INTEREST CHARGE</t>
  </si>
  <si>
    <t>50055215810F1ZZZZZWM</t>
  </si>
  <si>
    <t>RES DEV:IMP - OPENING BALANCE</t>
  </si>
  <si>
    <t>50055215810ZZZZZZZWM</t>
  </si>
  <si>
    <t>50055215830F1ZZZZZWM</t>
  </si>
  <si>
    <t>RES DEV:IMP - ADJUSTMENTS</t>
  </si>
  <si>
    <t>50055216010F1ZZZZZWM</t>
  </si>
  <si>
    <t>RES VAC LAND - OPENING BALANCE</t>
  </si>
  <si>
    <t>50055216010ZZZZZZZWM</t>
  </si>
  <si>
    <t>50055216020F1ZZZZZWM</t>
  </si>
  <si>
    <t>RES VAC LAND - MONTHLY BILLING</t>
  </si>
  <si>
    <t>50055216040F1ZZZZZWM</t>
  </si>
  <si>
    <t>RES VAC LAND - COLLECTIONS</t>
  </si>
  <si>
    <t>50055216060F1ZZZZZWM</t>
  </si>
  <si>
    <t>RES VAC LAND - INTEREST CHARGE</t>
  </si>
  <si>
    <t>50055216210F1ZZZZZWM</t>
  </si>
  <si>
    <t>RES VAC LAND: IMP - OPENING BALANCE</t>
  </si>
  <si>
    <t>50055216210ZZZZZZZWM</t>
  </si>
  <si>
    <t>50055216230F1ZZZZZWM</t>
  </si>
  <si>
    <t>RES VAC LAND: IMP - ADJUSTMENTS</t>
  </si>
  <si>
    <t>50055218710ZZZZZZZWM</t>
  </si>
  <si>
    <t>NAT GOVERN - OPENING BALANCE</t>
  </si>
  <si>
    <t>50055218720F1ZZZZZWM</t>
  </si>
  <si>
    <t>NAT GOVERN - MONTHLY BILLING</t>
  </si>
  <si>
    <t>50055218740F1ZZZZZWM</t>
  </si>
  <si>
    <t>NAT GOVERN - COLLECTIONS</t>
  </si>
  <si>
    <t>50055218760F1ZZZZZWM</t>
  </si>
  <si>
    <t>NAT GOVERN - INTEREST CHARGE</t>
  </si>
  <si>
    <t>50055218910F1ZZZZZWM</t>
  </si>
  <si>
    <t>NAT GOVERN: IMP - OPENING BALANCE</t>
  </si>
  <si>
    <t>50055218910ZZZZZZZWM</t>
  </si>
  <si>
    <t>50055218930F1ZZZZZWM</t>
  </si>
  <si>
    <t>NAT GOVERN: IMP - ADJUSTMENTS</t>
  </si>
  <si>
    <t>50055220010F1ZZZZZWM</t>
  </si>
  <si>
    <t>FP: FARM OTH PURP - OPENING BALANCE</t>
  </si>
  <si>
    <t>50055220010ZZZZZZZWM</t>
  </si>
  <si>
    <t>50055220020F1ZZZZZWM</t>
  </si>
  <si>
    <t>FP: FARM OTH PURP - MONTHLY BILLING</t>
  </si>
  <si>
    <t>50055220040F1ZZZZZWM</t>
  </si>
  <si>
    <t>FP: FARM OTH PURP - COLLECTIONS</t>
  </si>
  <si>
    <t>50055220210F1ZZZZZWM</t>
  </si>
  <si>
    <t>FP: FARM OTH PURP: IMP - OPENING BALANCE</t>
  </si>
  <si>
    <t>50055220210ZZZZZZZWM</t>
  </si>
  <si>
    <t>50055220230F1ZZZZZWM</t>
  </si>
  <si>
    <t>FP: FARM OTH PURP: IMP - ADJUSTMENTS</t>
  </si>
  <si>
    <t>50055221010F1ZZZZZWM</t>
  </si>
  <si>
    <t>AGRICULTURAL PROP - OPENING BALANCE</t>
  </si>
  <si>
    <t>50055221010ZZZZZZZWM</t>
  </si>
  <si>
    <t>50055221020F1ZZZZZWM</t>
  </si>
  <si>
    <t>AGRICULTURAL PROP - MONTHLY BILLING</t>
  </si>
  <si>
    <t>50055221040F1ZZZZZWM</t>
  </si>
  <si>
    <t>AGRICULTURAL PROP - COLLECTIONS</t>
  </si>
  <si>
    <t>50055221210F1ZZZZZWM</t>
  </si>
  <si>
    <t>AGRICULTURAL PROP: IMP - OPENING BALANCE</t>
  </si>
  <si>
    <t>50055221210ZZZZZZZWM</t>
  </si>
  <si>
    <t>50055221230F1ZZZZZWM</t>
  </si>
  <si>
    <t>AGRICULTURAL PROP: IMP - ADJUSTMENTS</t>
  </si>
  <si>
    <t>50055401010ZZZZZZZWM</t>
  </si>
  <si>
    <t>TRAFFIC FINES: OPENING BALANCE</t>
  </si>
  <si>
    <t>50055401110ZZZZZZZWM</t>
  </si>
  <si>
    <t>IMPAIR TRAFFIC FINES: OPENING BALANCE</t>
  </si>
  <si>
    <t>50055401120ZZZZZZZWM</t>
  </si>
  <si>
    <t>IMPAIR TRAFFIC FINES: RECOGNISED</t>
  </si>
  <si>
    <t>50055460110ZZZZZZZWM</t>
  </si>
  <si>
    <t>OVER/UNDER BANKING ACC 01:OPEN BALANCE</t>
  </si>
  <si>
    <t>50055460130ZZZZZZZWM</t>
  </si>
  <si>
    <t>OVER/UNDER BANKING ACC 01:TRANSFERS</t>
  </si>
  <si>
    <t>50055460210ZZZZZZZWM</t>
  </si>
  <si>
    <t>OVER/UNDER BANKING ACC 02:OPEN BALANCE</t>
  </si>
  <si>
    <t>50055512110ZZZZZZZWM</t>
  </si>
  <si>
    <t>CONS STORES STD RATED ACC 01:OPEN BAL</t>
  </si>
  <si>
    <t>50055650910ZZZZZZZWM</t>
  </si>
  <si>
    <t>SERV CHG - OPENING BALANCE</t>
  </si>
  <si>
    <t>50055651110ZZZZZZZWM</t>
  </si>
  <si>
    <t>SERV CHG: IMP - OPENING BALANCE</t>
  </si>
  <si>
    <t>50055670910ZZZZZZZWM</t>
  </si>
  <si>
    <t>SERV CHG VAT - OPENING BALANCE</t>
  </si>
  <si>
    <t>50055680110ZZZZZZZWM</t>
  </si>
  <si>
    <t>YEAR END CREDITOR VAT RECLAIM:OPEN BAL</t>
  </si>
  <si>
    <t>50055680310ZZZZZZZWM</t>
  </si>
  <si>
    <t>CREDITOR VAT RECLAIM:OPEN BAL</t>
  </si>
  <si>
    <t>50055683010ZZZZZZZWM</t>
  </si>
  <si>
    <t>INPUT VAT GENERAL:OPENING BALANCE</t>
  </si>
  <si>
    <t>50055683020ZZZZZZZWM</t>
  </si>
  <si>
    <t>INPUT VAT GENERAL:RECOGNISED</t>
  </si>
  <si>
    <t>50055686010ZZZZZZZWM</t>
  </si>
  <si>
    <t>INPUT VAT CAPITAL:OPENING BALANCE</t>
  </si>
  <si>
    <t>50055686020ZZZZZZZWM</t>
  </si>
  <si>
    <t>INPUT VAT CAPITAL:RECOGNISED</t>
  </si>
  <si>
    <t>50056456010ZZZZZZZWM</t>
  </si>
  <si>
    <t>50056456210ZZZZZZZWM</t>
  </si>
  <si>
    <t>50057020010ZZZZZZZWM</t>
  </si>
  <si>
    <t>ELECTRICITY ACC 01:OPENING BALANCE</t>
  </si>
  <si>
    <t>50057260010ZZZZZZZWM</t>
  </si>
  <si>
    <t>SPEC(FIN INST &amp; ACC NUM)- 1:OPEN BAL</t>
  </si>
  <si>
    <t>50057280210ZZZZZZZWM</t>
  </si>
  <si>
    <t>L-SERV AWARD: OPENING BALANCE</t>
  </si>
  <si>
    <t>50057320010ZZZZZZZWM</t>
  </si>
  <si>
    <t>ADVANCE PAYMENTS ACC 01:OPENING BALANCE</t>
  </si>
  <si>
    <t>50057350010ZZZZZZZWM</t>
  </si>
  <si>
    <t>SALARY SUSP CNTRL ACC MAIN :OPENING BAL</t>
  </si>
  <si>
    <t>50057350030ZZZZZZZWM</t>
  </si>
  <si>
    <t>SALARY SUSP CNTRL ACC MAIN :WITHDRAWALS</t>
  </si>
  <si>
    <t>50057350130ZZZZZZZWM</t>
  </si>
  <si>
    <t>PRIOR YEAR ROLL/O SUSP A/C :WITHDRAWALS</t>
  </si>
  <si>
    <t>50057350210ZZZZZZZWM</t>
  </si>
  <si>
    <t>SALARY CONTROL :OPENING BALANCE</t>
  </si>
  <si>
    <t>50057350220ZZZZZZZWM</t>
  </si>
  <si>
    <t>SALARY CONTROL :DEPOSITS</t>
  </si>
  <si>
    <t>50057350320ZZZZZZZWM</t>
  </si>
  <si>
    <t>SALARY ERR CLEARING ACC :DEPOSITS</t>
  </si>
  <si>
    <t>50057382210ZZZZZZZWM</t>
  </si>
  <si>
    <t>BANK ERRORS:OPENING BALANCE</t>
  </si>
  <si>
    <t>50057382230ZZZZZZZWM</t>
  </si>
  <si>
    <t>BANK ERRORS:WITHDRAWALS</t>
  </si>
  <si>
    <t>50057382320ZZZZZZZWM</t>
  </si>
  <si>
    <t>RECEIPT REVERSAL:DEPOSITS</t>
  </si>
  <si>
    <t>50057382330ZZZZZZZWM</t>
  </si>
  <si>
    <t>RECEIPT REVERSAL:WITHDRAWALS</t>
  </si>
  <si>
    <t>50057382410ZZZZZZZWM</t>
  </si>
  <si>
    <t>DEFAULT CASH VOTE:OPENING BALANCE</t>
  </si>
  <si>
    <t>50057382420ZZZZZZZWM</t>
  </si>
  <si>
    <t>DEFAULT CASH VOTE:DEPOSITS</t>
  </si>
  <si>
    <t>50057400010ZZZZZZZWM</t>
  </si>
  <si>
    <t>50057401010ZZZZZZZWM</t>
  </si>
  <si>
    <t>RETENTIONS ACC 01:OPENING BALANCE</t>
  </si>
  <si>
    <t>50057401020ZZZZZZZWM</t>
  </si>
  <si>
    <t>RETENTIONS ACC 01:DEPOSITS</t>
  </si>
  <si>
    <t>50057401030ZZZZZZZWM</t>
  </si>
  <si>
    <t>RETENTIONS ACC 01:WITHDRAWALS</t>
  </si>
  <si>
    <t>50057401110ZZZZZZZWM</t>
  </si>
  <si>
    <t>RETENTIONS ACC 02:OPENING BALANCE</t>
  </si>
  <si>
    <t>50057417010ZZZZZZZWM</t>
  </si>
  <si>
    <t>PAYE DEDUCTIONS:OPENING BALANCE</t>
  </si>
  <si>
    <t>50057417020ZZZZZZZWM</t>
  </si>
  <si>
    <t>PAYE DEDUCTIONS:DEPOSITS</t>
  </si>
  <si>
    <t>50057419010ZZZZZZZWM</t>
  </si>
  <si>
    <t>UNALLOCATED DEPOSITS ACC 01:OPENING BAL</t>
  </si>
  <si>
    <t>50057419020ZZZZZZZWM</t>
  </si>
  <si>
    <t>UNALLOCATED DEPOSITS ACC 01:DEPOSITS</t>
  </si>
  <si>
    <t>50057423010ZZZZZZZWM</t>
  </si>
  <si>
    <t>BONUS:OPENING BALANCE</t>
  </si>
  <si>
    <t>50057424010ZZZZZZZWM</t>
  </si>
  <si>
    <t>AGENCY FEES PAYABLE:OPENING BALANCE</t>
  </si>
  <si>
    <t>50057424030ZZZZZZZWM</t>
  </si>
  <si>
    <t>AGENCY FEES PAYABLE:WITHDRAWALS</t>
  </si>
  <si>
    <t>50057430010ZZZZZZZWM</t>
  </si>
  <si>
    <t>PAYABLES &amp; ACCRUALS:OPEN BALANCE</t>
  </si>
  <si>
    <t>50057430020ZZZZZZZWM</t>
  </si>
  <si>
    <t>PAYABLES &amp; ACCRUALS:DEPOSITS</t>
  </si>
  <si>
    <t>50057430030ZZZZZZZWM</t>
  </si>
  <si>
    <t>PAYABLES &amp; ACCRUALS:WITHDRAWALS</t>
  </si>
  <si>
    <t>50057430110ZZZZZZZWM</t>
  </si>
  <si>
    <t>PENALTIES:OPEN BALANCE</t>
  </si>
  <si>
    <t>50057430620ZZZZZZZWM</t>
  </si>
  <si>
    <t>INSURANCE:DEPOSITS</t>
  </si>
  <si>
    <t>50057430710ZZZZZZZWM</t>
  </si>
  <si>
    <t>STALE VOTE:OPEN BALANCE</t>
  </si>
  <si>
    <t>50057430810ZZZZZZZWM</t>
  </si>
  <si>
    <t>SUSPEND VOTE:OPEN BALANCE</t>
  </si>
  <si>
    <t>50057610210ZZZZZZZWM</t>
  </si>
  <si>
    <t>MIG: OPEN BAL</t>
  </si>
  <si>
    <t>50057610220ZZZZZZZWM</t>
  </si>
  <si>
    <t>MIG: RECEIPTS</t>
  </si>
  <si>
    <t>50057610230ZZZZZZZWM</t>
  </si>
  <si>
    <t>MIG: TRSF TO REV</t>
  </si>
  <si>
    <t>50057630220ZZZZZZZWM</t>
  </si>
  <si>
    <t>EPWP: RECEIPTS</t>
  </si>
  <si>
    <t>50057630230ZZZZZZZWM</t>
  </si>
  <si>
    <t>EPWP: TRSF TO REV</t>
  </si>
  <si>
    <t>50057630410ZZZZZZZWM</t>
  </si>
  <si>
    <t>LGFMG: OPEN BAL</t>
  </si>
  <si>
    <t>50057630420ZZZZZZZWM</t>
  </si>
  <si>
    <t>LGFMG: RECEIPTS</t>
  </si>
  <si>
    <t>50057630430ZZZZZZZWM</t>
  </si>
  <si>
    <t>LGFMG: TRSF TO REV</t>
  </si>
  <si>
    <t>50057630610ZZZZZZZWM</t>
  </si>
  <si>
    <t>MDTG: OPEN BAL</t>
  </si>
  <si>
    <t>50057630710ZZZZZZZWM</t>
  </si>
  <si>
    <t>50057630730ZZZZZZZWM</t>
  </si>
  <si>
    <t>50057631010ZZZZZZZWM</t>
  </si>
  <si>
    <t>INPUT HEADER DESC: OPEN BAL</t>
  </si>
  <si>
    <t>50057706010ZZZZZZZWM</t>
  </si>
  <si>
    <t>MEDICAL: OPENING BALANCE</t>
  </si>
  <si>
    <t>50057706040ZZZZZZZWM</t>
  </si>
  <si>
    <t>MEDICAL: ACTUAL EMPLOYER BENEF PAYMENTS</t>
  </si>
  <si>
    <t>50057746010ZZZZZZZWM</t>
  </si>
  <si>
    <t>50057750010ZZZZZZZWM</t>
  </si>
  <si>
    <t>FIN LEASE LIAB ACC 01: OPEN BAL</t>
  </si>
  <si>
    <t>50057950410ZZZZZZZWM</t>
  </si>
  <si>
    <t>LG-SERV:OPENING BALANCE</t>
  </si>
  <si>
    <t>50057950420ZZZZZZZWM</t>
  </si>
  <si>
    <t>LG-SERV:INCREASES</t>
  </si>
  <si>
    <t>50058100010ZZZZZZZWM</t>
  </si>
  <si>
    <t>50058100040ZZZZZZZWM</t>
  </si>
  <si>
    <t>50058403010ZZZZZZZWM</t>
  </si>
  <si>
    <t>REV RES: OPENING BALANCE</t>
  </si>
  <si>
    <t>50103996050ZZZZZZZWM</t>
  </si>
  <si>
    <t>50105080110ZZZZZZZWM</t>
  </si>
  <si>
    <t>PETTY CASH ACC 01:OPENING BALANCE</t>
  </si>
  <si>
    <t>50105080120ZZZZZZZWM</t>
  </si>
  <si>
    <t>PETTY CASH ACC 01:ADVANCES TO PETTY CASH</t>
  </si>
  <si>
    <t>50106151410ZZZZZZZWM</t>
  </si>
  <si>
    <t>50106151610ZZZZZZZWM</t>
  </si>
  <si>
    <t>50106151620ZZZZZZZWM</t>
  </si>
  <si>
    <t>50106460010ZZZZZZZWM</t>
  </si>
  <si>
    <t>50106460210ZZZZZZZWM</t>
  </si>
  <si>
    <t>50106460230ZZZZZZZWM</t>
  </si>
  <si>
    <t>50106470010ZZZZZZZWM</t>
  </si>
  <si>
    <t>50106470210ZZZZZZZWM</t>
  </si>
  <si>
    <t>50106470230ZZZZZZZWM</t>
  </si>
  <si>
    <t>50107400010ZZZZZZZWM</t>
  </si>
  <si>
    <t>50108100010ZZZZZZZWM</t>
  </si>
  <si>
    <t>50108100040ZZZZZZZWM</t>
  </si>
  <si>
    <t>50153996050ZZZZZZZWM</t>
  </si>
  <si>
    <t>50156151410ZZZZZZZWM</t>
  </si>
  <si>
    <t>50156151610ZZZZZZZWM</t>
  </si>
  <si>
    <t>50156151620ZZZZZZZWM</t>
  </si>
  <si>
    <t>50156460010ZZZZZZZWM</t>
  </si>
  <si>
    <t>50156460210ZZZZZZZWM</t>
  </si>
  <si>
    <t>50156460230ZZZZZZZWM</t>
  </si>
  <si>
    <t>50156470010ZZZZZZZWM</t>
  </si>
  <si>
    <t>50156470210ZZZZZZZWM</t>
  </si>
  <si>
    <t>50156470230ZZZZZZZWM</t>
  </si>
  <si>
    <t>50157400010ZZZZZZZWM</t>
  </si>
  <si>
    <t>50158100010ZZZZZZZWM</t>
  </si>
  <si>
    <t>50158100040ZZZZZZZWM</t>
  </si>
  <si>
    <t>50203996050ZZZZZZZWM</t>
  </si>
  <si>
    <t>50205401110ZZZZZZZWM</t>
  </si>
  <si>
    <t>50205462010ZZZZZZZWM</t>
  </si>
  <si>
    <t>THIRD PARTY REFUNDS ACC 01:OPEN BALANCE</t>
  </si>
  <si>
    <t>50205650610ZZZZZZZWM</t>
  </si>
  <si>
    <t>PROP RENT - OPENING BALANCE</t>
  </si>
  <si>
    <t>50205650910ZZZZZZZWM</t>
  </si>
  <si>
    <t>50205650920ZZZZZZZWM</t>
  </si>
  <si>
    <t>SERV CHG - MONTHLY BILLING</t>
  </si>
  <si>
    <t>50205650940ZZZZZZZWM</t>
  </si>
  <si>
    <t>SERV CHG - COLLECTIONS</t>
  </si>
  <si>
    <t>50205650960ZZZZZZZWM</t>
  </si>
  <si>
    <t>SERV CHG - INTEREST CHARGE</t>
  </si>
  <si>
    <t>50205651110ZZZZZZZWM</t>
  </si>
  <si>
    <t>50205651130ZZZZZZZWM</t>
  </si>
  <si>
    <t>SERV CHG: IMP - ADJUSTMENTS</t>
  </si>
  <si>
    <t>50205670910ZZZZZZZWM</t>
  </si>
  <si>
    <t>50205670920ZZZZZZZWM</t>
  </si>
  <si>
    <t>SERV CHG VAT - MONTHLY BILLING</t>
  </si>
  <si>
    <t>50206151410ZZZZZZZWM</t>
  </si>
  <si>
    <t>50206151610ZZZZZZZWM</t>
  </si>
  <si>
    <t>50206151620ZZZZZZZWM</t>
  </si>
  <si>
    <t>50206420620ZZZZZZZWM</t>
  </si>
  <si>
    <t>50206456010ZZZZZZZWM</t>
  </si>
  <si>
    <t>50206456210ZZZZZZZWM</t>
  </si>
  <si>
    <t>50206460010ZZZZZZZWM</t>
  </si>
  <si>
    <t>50206460210ZZZZZZZWM</t>
  </si>
  <si>
    <t>50206460230ZZZZZZZWM</t>
  </si>
  <si>
    <t>50206470010ZZZZZZZWM</t>
  </si>
  <si>
    <t>50206470210ZZZZZZZWM</t>
  </si>
  <si>
    <t>50206470230ZZZZZZZWM</t>
  </si>
  <si>
    <t>50207320010ZZZZZZZWM</t>
  </si>
  <si>
    <t>50207320020ZZZZZZZWM</t>
  </si>
  <si>
    <t>ADVANCE PAYMENTS ACC 01:DEPOSITS</t>
  </si>
  <si>
    <t>50207400010ZZZZZZZWM</t>
  </si>
  <si>
    <t>50207682110ZZZZZZZWM</t>
  </si>
  <si>
    <t>VAT ACCRUED:OPENING BALANCE</t>
  </si>
  <si>
    <t>50207682120ZZZZZZZWM</t>
  </si>
  <si>
    <t>VAT ACCRUED:RECOGNISED</t>
  </si>
  <si>
    <t>50208100010ZZZZZZZWM</t>
  </si>
  <si>
    <t>50208100040ZZZZZZZWM</t>
  </si>
  <si>
    <t>50253996050ZZZZZZZWM</t>
  </si>
  <si>
    <t>50256460010ZZZZZZZWM</t>
  </si>
  <si>
    <t>50256460210ZZZZZZZWM</t>
  </si>
  <si>
    <t>50256460230ZZZZZZZWM</t>
  </si>
  <si>
    <t>50256470010ZZZZZZZWM</t>
  </si>
  <si>
    <t>50256470210ZZZZZZZWM</t>
  </si>
  <si>
    <t>50256470230ZZZZZZZWM</t>
  </si>
  <si>
    <t>50257400010ZZZZZZZWM</t>
  </si>
  <si>
    <t>50258100010ZZZZZZZWM</t>
  </si>
  <si>
    <t>50258100040ZZZZZZZWM</t>
  </si>
  <si>
    <t>50303996050ZZZZZZZWM</t>
  </si>
  <si>
    <t>50305462010ZZZZZZZWM</t>
  </si>
  <si>
    <t>50305462020ZZZZZZZWM</t>
  </si>
  <si>
    <t>THIRD PARTY REFUNDS ACC 01:CHARGES</t>
  </si>
  <si>
    <t>50305462030ZZZZZZZWM</t>
  </si>
  <si>
    <t>THIRD PARTY REFUNDS ACC 01:REFUNDS</t>
  </si>
  <si>
    <t>50305680510ZZZZZZZWM</t>
  </si>
  <si>
    <t>VAT DEBIT: INPUT ACCRUAL:OPEN BAL</t>
  </si>
  <si>
    <t>50305680520ZZZZZZZWM</t>
  </si>
  <si>
    <t>VAT DEBIT: INPUT ACCRUAL:RECOGN</t>
  </si>
  <si>
    <t>50305680530ZZZZZZZWM</t>
  </si>
  <si>
    <t>VAT DEBIT: INPUT ACCRUAL:TRF</t>
  </si>
  <si>
    <t>50305690110ZZZZZZZWM</t>
  </si>
  <si>
    <t>VAT CONTROL:OPENING BALANCE</t>
  </si>
  <si>
    <t>50306460010ZZZZZZZWM</t>
  </si>
  <si>
    <t>50306460210ZZZZZZZWM</t>
  </si>
  <si>
    <t>50306460230ZZZZZZZWM</t>
  </si>
  <si>
    <t>50306470010ZZZZZZZWM</t>
  </si>
  <si>
    <t>50306470210ZZZZZZZWM</t>
  </si>
  <si>
    <t>50306470230ZZZZZZZWM</t>
  </si>
  <si>
    <t>50307400010ZZZZZZZWM</t>
  </si>
  <si>
    <t>50308100010ZZZZZZZWM</t>
  </si>
  <si>
    <t>50308100040ZZZZZZZWM</t>
  </si>
  <si>
    <t>55053996050ZZZZZZZWM</t>
  </si>
  <si>
    <t>55056151620ZZZZZZZWM</t>
  </si>
  <si>
    <t>55056401310ZZZZZZZWM</t>
  </si>
  <si>
    <t>55056420410ZZZZZZZWM</t>
  </si>
  <si>
    <t>55056420610ZZZZZZZWM</t>
  </si>
  <si>
    <t>55056420620ZZZZZZZWM</t>
  </si>
  <si>
    <t>55056420630ZZZZZZZWM</t>
  </si>
  <si>
    <t>55056456010ZZZZZZZWM</t>
  </si>
  <si>
    <t>55056456210ZZZZZZZWM</t>
  </si>
  <si>
    <t>55056456230ZZZZZZZWM</t>
  </si>
  <si>
    <t>55056460010ZZZZZZZWM</t>
  </si>
  <si>
    <t>55056460210ZZZZZZZWM</t>
  </si>
  <si>
    <t>55056460230ZZZZZZZWM</t>
  </si>
  <si>
    <t>55056470010ZZZZZZZWM</t>
  </si>
  <si>
    <t>55056470210ZZZZZZZWM</t>
  </si>
  <si>
    <t>55056470230ZZZZZZZWM</t>
  </si>
  <si>
    <t>55056472410ZZZZZZZWM</t>
  </si>
  <si>
    <t>55056472610ZZZZZZZWM</t>
  </si>
  <si>
    <t>55056472630ZZZZZZZWM</t>
  </si>
  <si>
    <t>55056473510ZZZZZZZWM</t>
  </si>
  <si>
    <t>55056473610ZZZZZZZWM</t>
  </si>
  <si>
    <t>55056473630ZZZZZZZWM</t>
  </si>
  <si>
    <t>55056474010ZZZZZZZWM</t>
  </si>
  <si>
    <t>55056474210ZZZZZZZWM</t>
  </si>
  <si>
    <t>55056474230ZZZZZZZWM</t>
  </si>
  <si>
    <t>55056680010ZZZZZZZWM</t>
  </si>
  <si>
    <t>WIP OPENING BALANCE</t>
  </si>
  <si>
    <t>55057400010ZZZZZZZWM</t>
  </si>
  <si>
    <t>55057630410ZZZZZZZWM</t>
  </si>
  <si>
    <t>55058100010ZZZZZZZWM</t>
  </si>
  <si>
    <t>55058100040ZZZZZZZWM</t>
  </si>
  <si>
    <t>55103996050ZZZZZZZWM</t>
  </si>
  <si>
    <t>55106460010ZZZZZZZWM</t>
  </si>
  <si>
    <t>55106460210ZZZZZZZWM</t>
  </si>
  <si>
    <t>55106460230ZZZZZZZWM</t>
  </si>
  <si>
    <t>55106470010ZZZZZZZWM</t>
  </si>
  <si>
    <t>55106470210ZZZZZZZWM</t>
  </si>
  <si>
    <t>55106470230ZZZZZZZWM</t>
  </si>
  <si>
    <t>55107400010ZZZZZZZWM</t>
  </si>
  <si>
    <t>55108100010ZZZZZZZWM</t>
  </si>
  <si>
    <t>55108100040ZZZZZZZWM</t>
  </si>
  <si>
    <t>55153996050ZZZZZZZWM</t>
  </si>
  <si>
    <t>55156360010ZZZZZZZWM</t>
  </si>
  <si>
    <t>55156401310ZZZZZZZWM</t>
  </si>
  <si>
    <t>55156456010ZZZZZZZWM</t>
  </si>
  <si>
    <t>55156456210ZZZZZZZWM</t>
  </si>
  <si>
    <t>55156456230ZZZZZZZWM</t>
  </si>
  <si>
    <t>55156460010ZZZZZZZWM</t>
  </si>
  <si>
    <t>55156460210ZZZZZZZWM</t>
  </si>
  <si>
    <t>55156460230ZZZZZZZWM</t>
  </si>
  <si>
    <t>55156473510ZZZZZZZWM</t>
  </si>
  <si>
    <t>55156473610ZZZZZZZWM</t>
  </si>
  <si>
    <t>55156473630ZZZZZZZWM</t>
  </si>
  <si>
    <t>55156474010ZZZZZZZWM</t>
  </si>
  <si>
    <t>55156474210ZZZZZZZWM</t>
  </si>
  <si>
    <t>55156474230ZZZZZZZWM</t>
  </si>
  <si>
    <t>55156680010ZZZZZZZWM</t>
  </si>
  <si>
    <t>55157400010ZZZZZZZWM</t>
  </si>
  <si>
    <t>55157530110ZZZZZZZWM</t>
  </si>
  <si>
    <t>CAPRICORN WATER: OPEN BAL</t>
  </si>
  <si>
    <t>55158100010ZZZZZZZWM</t>
  </si>
  <si>
    <t>55158100040ZZZZZZZWM</t>
  </si>
  <si>
    <t>55203996050ZZZZZZZWM</t>
  </si>
  <si>
    <t>55206151410ZZZZZZZWM</t>
  </si>
  <si>
    <t>55206151610ZZZZZZZWM</t>
  </si>
  <si>
    <t>55206151620ZZZZZZZWM</t>
  </si>
  <si>
    <t>55206456010ZZZZZZZWM</t>
  </si>
  <si>
    <t>55206456210ZZZZZZZWM</t>
  </si>
  <si>
    <t>55206456230ZZZZZZZWM</t>
  </si>
  <si>
    <t>55206460010ZZZZZZZWM</t>
  </si>
  <si>
    <t>55206460210ZZZZZZZWM</t>
  </si>
  <si>
    <t>55206460230ZZZZZZZWM</t>
  </si>
  <si>
    <t>55206470010ZZZZZZZWM</t>
  </si>
  <si>
    <t>55206470210ZZZZZZZWM</t>
  </si>
  <si>
    <t>55206470230ZZZZZZZWM</t>
  </si>
  <si>
    <t>55206473510ZZZZZZZWM</t>
  </si>
  <si>
    <t>55206473610ZZZZZZZWM</t>
  </si>
  <si>
    <t>55206473630ZZZZZZZWM</t>
  </si>
  <si>
    <t>55207400010ZZZZZZZWM</t>
  </si>
  <si>
    <t>55208100010ZZZZZZZWM</t>
  </si>
  <si>
    <t>55208100040ZZZZZZZWM</t>
  </si>
  <si>
    <t>55253996050ZZZZZZZWM</t>
  </si>
  <si>
    <t>55256456010ZZZZZZZWM</t>
  </si>
  <si>
    <t>55256456210ZZZZZZZWM</t>
  </si>
  <si>
    <t>55256456230ZZZZZZZWM</t>
  </si>
  <si>
    <t>55256456410ZZZZZZZWM</t>
  </si>
  <si>
    <t>PPE COST MACH &amp; EQP FU COST OPENING BAL</t>
  </si>
  <si>
    <t>55257400010ZZZZZZZWM</t>
  </si>
  <si>
    <t>55258100010ZZZZZZZWM</t>
  </si>
  <si>
    <t>55258100040ZZZZZZZWM</t>
  </si>
  <si>
    <t>55303930090ZZZZZ93WM</t>
  </si>
  <si>
    <t>RECOVER:INT BILL:REFUSE REMOVAL</t>
  </si>
  <si>
    <t>55303996050ZZZZZZZWM</t>
  </si>
  <si>
    <t>55305651210FAZZZZZWM</t>
  </si>
  <si>
    <t>WASTE - OPENING BALANCE</t>
  </si>
  <si>
    <t>55305651220FAZZZZZWM</t>
  </si>
  <si>
    <t>WASTE - MONTHLY BILLING</t>
  </si>
  <si>
    <t>55305651240FAZZZZZWM</t>
  </si>
  <si>
    <t>WASTE - COLLECTIONS</t>
  </si>
  <si>
    <t>55305651260FAZZZZZWM</t>
  </si>
  <si>
    <t>WASTE - INTEREST CHARGE</t>
  </si>
  <si>
    <t>55305651410FAZZZZZWM</t>
  </si>
  <si>
    <t>WASTE: IMP - OPENING BALANCE</t>
  </si>
  <si>
    <t>55305651430FAZZZZZWM</t>
  </si>
  <si>
    <t>WASTE: IMP - ADJUSTMENTS</t>
  </si>
  <si>
    <t>55305671210FAZZZZZWM</t>
  </si>
  <si>
    <t>WASTE VAT - OPENING BALANCE</t>
  </si>
  <si>
    <t>55305671220FAZZZZZWM</t>
  </si>
  <si>
    <t>WASTE VAT - MONTHLY BILLING</t>
  </si>
  <si>
    <t>55307400010ZZZZZZZWM</t>
  </si>
  <si>
    <t>55307950110ZZZZZZZWM</t>
  </si>
  <si>
    <t>LANDFILL: OPENING BALANCE</t>
  </si>
  <si>
    <t>55307950120ZZZZZZZWM</t>
  </si>
  <si>
    <t>LANDFILL: INCREASES</t>
  </si>
  <si>
    <t>55308100010ZZZZZZZWM</t>
  </si>
  <si>
    <t>55308100040ZZZZZZZWM</t>
  </si>
  <si>
    <t>60023996050ZZZZZZZWM</t>
  </si>
  <si>
    <t>60026456010ZZZZZZZWM</t>
  </si>
  <si>
    <t>60026456210ZZZZZZZWM</t>
  </si>
  <si>
    <t>60026460010ZZZZZZZWM</t>
  </si>
  <si>
    <t>60026460210ZZZZZZZWM</t>
  </si>
  <si>
    <t>60026460230ZZZZZZZWM</t>
  </si>
  <si>
    <t>60026474010ZZZZZZZWM</t>
  </si>
  <si>
    <t>60026474210ZZZZZZZWM</t>
  </si>
  <si>
    <t>60026474230ZZZZZZZWM</t>
  </si>
  <si>
    <t>60026680010ZZZZZZZWM</t>
  </si>
  <si>
    <t>60028100010ZZZZZZZWM</t>
  </si>
  <si>
    <t>60028100040ZZZZZZZWM</t>
  </si>
  <si>
    <t>60053996050ZZZZZZZWM</t>
  </si>
  <si>
    <t>60057400010ZZZZZZZWM</t>
  </si>
  <si>
    <t>60058100010ZZZZZZZWM</t>
  </si>
  <si>
    <t>60058100040ZZZZZZZWM</t>
  </si>
  <si>
    <t>60063996050ZZZZZZZWM</t>
  </si>
  <si>
    <t>60066151410ZZZZZZZWM</t>
  </si>
  <si>
    <t>60066151610ZZZZZZZWM</t>
  </si>
  <si>
    <t>60066151620ZZZZZZZWM</t>
  </si>
  <si>
    <t>60066400310ZZZZZZZWM</t>
  </si>
  <si>
    <t>PPE COST LAND DIST PLNT IU COST OPEN BAL</t>
  </si>
  <si>
    <t>60066420410ZZZZZZZWM</t>
  </si>
  <si>
    <t>60066420610ZZZZZZZWM</t>
  </si>
  <si>
    <t>60066420620ZZZZZZZWM</t>
  </si>
  <si>
    <t>60066420630ZZZZZZZWM</t>
  </si>
  <si>
    <t>60066433210ZZZZZZZWM</t>
  </si>
  <si>
    <t>PPE COST ELE IU LV N/WORK AD OPENING BAL</t>
  </si>
  <si>
    <t>60066456010ZZZZZZZWM</t>
  </si>
  <si>
    <t>60066456210ZZZZZZZWM</t>
  </si>
  <si>
    <t>60066456230ZZZZZZZWM</t>
  </si>
  <si>
    <t>60066460010ZZZZZZZWM</t>
  </si>
  <si>
    <t>60066460210ZZZZZZZWM</t>
  </si>
  <si>
    <t>60066460230ZZZZZZZWM</t>
  </si>
  <si>
    <t>60066470010ZZZZZZZWM</t>
  </si>
  <si>
    <t>60066470210ZZZZZZZWM</t>
  </si>
  <si>
    <t>60066472410ZZZZZZZWM</t>
  </si>
  <si>
    <t>RAMOKGOPA EISLEBEN GRAVEL TO TAR ROAD -</t>
  </si>
  <si>
    <t>60066472610ZZZZZZZWM</t>
  </si>
  <si>
    <t>60066472630ZZZZZZZWM</t>
  </si>
  <si>
    <t>60066473510ZZZZZZZWM</t>
  </si>
  <si>
    <t>60066473630ZZZZZZZWM</t>
  </si>
  <si>
    <t>60066474010ZZZZZZZWM</t>
  </si>
  <si>
    <t>60066474210ZZZZZZZWM</t>
  </si>
  <si>
    <t>60066474230ZZZZZZZWM</t>
  </si>
  <si>
    <t>60066680010ZZZZZZZWM</t>
  </si>
  <si>
    <t>60067400010ZZZZZZZWM</t>
  </si>
  <si>
    <t>60068100010ZZZZZZZWM</t>
  </si>
  <si>
    <t>60068100040ZZZZZZZWM</t>
  </si>
  <si>
    <t>60073996050ZZZZZZZWM</t>
  </si>
  <si>
    <t>60076151410ZZZZZZZWM</t>
  </si>
  <si>
    <t>60076151610ZZZZZZZWM</t>
  </si>
  <si>
    <t>60076151620ZZZZZZZWM</t>
  </si>
  <si>
    <t>60076460010ZZZZZZZWM</t>
  </si>
  <si>
    <t>60076460210ZZZZZZZWM</t>
  </si>
  <si>
    <t>60076460230ZZZZZZZWM</t>
  </si>
  <si>
    <t>60076470010ZZZZZZZWM</t>
  </si>
  <si>
    <t>60076470210ZZZZZZZWM</t>
  </si>
  <si>
    <t>60076470230ZZZZZZZWM</t>
  </si>
  <si>
    <t>60077400010ZZZZZZZWM</t>
  </si>
  <si>
    <t>60078100010ZZZZZZZWM</t>
  </si>
  <si>
    <t>60078100040ZZZZZZZWM</t>
  </si>
  <si>
    <t>60083930050ZZZZZ8XWM</t>
  </si>
  <si>
    <t>RECOVER:INT BILL:ELECTRICITY CONSUMPTION</t>
  </si>
  <si>
    <t>60083996050ZZZZZZZWM</t>
  </si>
  <si>
    <t>60085650010F7ZZZZZWM</t>
  </si>
  <si>
    <t>ELEC - OPENING BALANCE</t>
  </si>
  <si>
    <t>60085650020F7ZZZZZWM</t>
  </si>
  <si>
    <t>ELEC - MONTHLY BILLING</t>
  </si>
  <si>
    <t>60085650040F7ZZZZZWM</t>
  </si>
  <si>
    <t>ELEC - COLLECTIONS</t>
  </si>
  <si>
    <t>60085650060F7ZZZZZWM</t>
  </si>
  <si>
    <t>ELEC - INTEREST CHARGES</t>
  </si>
  <si>
    <t>60085650210F7ZZZZZWM</t>
  </si>
  <si>
    <t>ELEC: IMP - OPENING BALANCE</t>
  </si>
  <si>
    <t>60085650230F7ZZZZZWM</t>
  </si>
  <si>
    <t>ELEC: IMP - ADJUSTMENTS</t>
  </si>
  <si>
    <t>60085670010F7ZZZZZWM</t>
  </si>
  <si>
    <t>ELEC VAT - OPENING BALANCE</t>
  </si>
  <si>
    <t>60085670020F7ZZZZZWM</t>
  </si>
  <si>
    <t>ELEC VAT - MONTHLY BILLING</t>
  </si>
  <si>
    <t>60086420410ZZZZZZZWM</t>
  </si>
  <si>
    <t>60086420610ZZZZZZZWM</t>
  </si>
  <si>
    <t>60086420620ZZZZZZZWM</t>
  </si>
  <si>
    <t>60086420630ZZZZZZZWM</t>
  </si>
  <si>
    <t>60086432410ZZZZZZZWM</t>
  </si>
  <si>
    <t>PPE COST ELEC IU MV NET/W COST OPEN BAL</t>
  </si>
  <si>
    <t>60086432610ZZZZZZZWM</t>
  </si>
  <si>
    <t>PPE COST ELEC IU MV NET/W AD OPENING BAL</t>
  </si>
  <si>
    <t>60086433010ZZZZZZZWM</t>
  </si>
  <si>
    <t>PPE COST ELE IU LV NETWORK COST OPEN BAL</t>
  </si>
  <si>
    <t>60086433210ZZZZZZZWM</t>
  </si>
  <si>
    <t>60086433230ZZZZZZZWM</t>
  </si>
  <si>
    <t>PPE COST ELEC IU LV NETWORK AD DEPRECIAT</t>
  </si>
  <si>
    <t>60086456010ZZZZZZZWM</t>
  </si>
  <si>
    <t>60086456210ZZZZZZZWM</t>
  </si>
  <si>
    <t>60086456230ZZZZZZZWM</t>
  </si>
  <si>
    <t>60086460010ZZZZZZZWM</t>
  </si>
  <si>
    <t>60086460210ZZZZZZZWM</t>
  </si>
  <si>
    <t>60086460230ZZZZZZZWM</t>
  </si>
  <si>
    <t>60086470010ZZZZZZZWM</t>
  </si>
  <si>
    <t>60086470210ZZZZZZZWM</t>
  </si>
  <si>
    <t>60086470230ZZZZZZZWM</t>
  </si>
  <si>
    <t>60086680010ZZZZZZZWM</t>
  </si>
  <si>
    <t>60087020010ZZZZZZZWM</t>
  </si>
  <si>
    <t>60087020020ZZZZZZZWM</t>
  </si>
  <si>
    <t>ELECTRICITY ACC 01:DEPOSITS</t>
  </si>
  <si>
    <t>60087400010ZZZZZZZWM</t>
  </si>
  <si>
    <t>60088100010ZZZZZZZWM</t>
  </si>
  <si>
    <t>60088100040ZZZZZZZWM</t>
  </si>
  <si>
    <t>60153930110ZZZZZ95WM</t>
  </si>
  <si>
    <t>RECOVER:INT BILL:WATER CONSUMPTION</t>
  </si>
  <si>
    <t>60153996050ZZZZZZZWM</t>
  </si>
  <si>
    <t>60155651910ZZZZZZZWM</t>
  </si>
  <si>
    <t>WATER - OPENING BALANCE</t>
  </si>
  <si>
    <t>60155651920ZZZZZZZWM</t>
  </si>
  <si>
    <t>WATER - MONTHLY BILLING</t>
  </si>
  <si>
    <t>60155651940ZZZZZZZWM</t>
  </si>
  <si>
    <t>WATER - COLLECTIONS</t>
  </si>
  <si>
    <t>60155651960ZZZZZZZWM</t>
  </si>
  <si>
    <t>WATER - INTEREST CHARGE</t>
  </si>
  <si>
    <t>60155671910ZZZZZZZWM</t>
  </si>
  <si>
    <t>WATER VAT - OPENING BALANCE</t>
  </si>
  <si>
    <t>60155671920ZZZZZZZWM</t>
  </si>
  <si>
    <t>WATER VAT - MONTHLY BILLING</t>
  </si>
  <si>
    <t>60156420410ZZZZZZZWM</t>
  </si>
  <si>
    <t>60156420610ZZZZZZZWM</t>
  </si>
  <si>
    <t>60156420620ZZZZZZZWM</t>
  </si>
  <si>
    <t>60156420630ZZZZZZZWM</t>
  </si>
  <si>
    <t>60156460010ZZZZZZZWM</t>
  </si>
  <si>
    <t>60156460210ZZZZZZZWM</t>
  </si>
  <si>
    <t>60156460230ZZZZZZZWM</t>
  </si>
  <si>
    <t>60156470010ZZZZZZZWM</t>
  </si>
  <si>
    <t>60156470210ZZZZZZZWM</t>
  </si>
  <si>
    <t>60156470230ZZZZZZZWM</t>
  </si>
  <si>
    <t>60157400010ZZZZZZZWM</t>
  </si>
  <si>
    <t>60157530110ZZZZZZZWM</t>
  </si>
  <si>
    <t>60158100010ZZZZZZZWM</t>
  </si>
  <si>
    <t>60158100040ZZZZZZZWM</t>
  </si>
  <si>
    <t>60163996050ZZZZZZZWM</t>
  </si>
  <si>
    <t>60165651510F8ZZZZZWM</t>
  </si>
  <si>
    <t>WASTE WATER - OPENING BALANCE</t>
  </si>
  <si>
    <t>60165651520F8ZZZZZWM</t>
  </si>
  <si>
    <t>WASTE WATER - MONTHLY BILLING</t>
  </si>
  <si>
    <t>60165651540F8ZZZZZWM</t>
  </si>
  <si>
    <t>WASTE WATER - COLLECTIONS</t>
  </si>
  <si>
    <t>60165651560F8ZZZZZWM</t>
  </si>
  <si>
    <t>WASTE WATER - INTEREST CHARGE</t>
  </si>
  <si>
    <t>60165651710F8ZZZZZWM</t>
  </si>
  <si>
    <t>WASTE WATER: IMP - OPENING BALANCE</t>
  </si>
  <si>
    <t>60165663010ZZZZZZZWM</t>
  </si>
  <si>
    <t>WAT&amp;SAN AUTH - OPENING BALANCE</t>
  </si>
  <si>
    <t>60165663110ZZZZZZZWM</t>
  </si>
  <si>
    <t>WAT&amp;SAN AUTH IMP - :OPENING BALANCE</t>
  </si>
  <si>
    <t>60165663130F8ZZZZZWM</t>
  </si>
  <si>
    <t>WAT&amp;SAN AUTH IMP -  ADJUSTMENT</t>
  </si>
  <si>
    <t>60165671510F8ZZZZZWM</t>
  </si>
  <si>
    <t>WASTE WATER VAT - OPENING BALANCE</t>
  </si>
  <si>
    <t>60165671520F8ZZZZZWM</t>
  </si>
  <si>
    <t>WASTE WATER VAT - MONTHLY BILLING</t>
  </si>
  <si>
    <t>60167400010ZZZZZZZWM</t>
  </si>
  <si>
    <t>60168100010ZZZZZZZWM</t>
  </si>
  <si>
    <t>60168100040ZZZZZZZWM</t>
  </si>
  <si>
    <t>35051420080F2ZZZZZWM</t>
  </si>
  <si>
    <t>MS: PRB - MED: ACTUARIAL GAINS &amp; LOSSES</t>
  </si>
  <si>
    <t>35052305760ORMRCZZHO</t>
  </si>
  <si>
    <t>35053200600PRMRCZZWM</t>
  </si>
  <si>
    <t>PPE COMPUTER EQUIPMENT - LOSSES</t>
  </si>
  <si>
    <t>35053200700PRMRCZZWM</t>
  </si>
  <si>
    <t>PPE FURNITURE &amp; OFF EQUIPMENT - LOSSES</t>
  </si>
  <si>
    <t>35053201700PRMRCZZWM</t>
  </si>
  <si>
    <t>PPE MACHINERY &amp; EQUIPMENT - LOSSES</t>
  </si>
  <si>
    <t>35056151420OTC92ZZWM</t>
  </si>
  <si>
    <t>ELECTRONIC CLOCKING SYSTEM</t>
  </si>
  <si>
    <t>35056420420FCC46ZZWM</t>
  </si>
  <si>
    <t>35056420630ZZZZZZZWM</t>
  </si>
  <si>
    <t>35056456060ZZZZZZZWM</t>
  </si>
  <si>
    <t>PPE COST MACH &amp; EQUIP IU COST DISPOSAL</t>
  </si>
  <si>
    <t>35056456240ZZZZZZZWM</t>
  </si>
  <si>
    <t>PPE COST MACHINE &amp; EQUIP IU AD DISPOSAL</t>
  </si>
  <si>
    <t>35056460020FCC18ZZWM</t>
  </si>
  <si>
    <t>35056460060ZZZZZZZWM</t>
  </si>
  <si>
    <t>PPE COST FURN &amp; OFF EQP IU COST DISPOSAL</t>
  </si>
  <si>
    <t>35056460240ZZZZZZZWM</t>
  </si>
  <si>
    <t>PPE COST FURN &amp; OFF EQUIP IU AD DISPOSAL</t>
  </si>
  <si>
    <t>35056470060ZZZZZZZWM</t>
  </si>
  <si>
    <t>PPE COST COMPUTER EQUIP IU COST DISPOSAL</t>
  </si>
  <si>
    <t>35056470240ZZZZZZZWM</t>
  </si>
  <si>
    <t>PPE COST COMPUTER EQUIP IU AD DISPOSAL</t>
  </si>
  <si>
    <t>35056473620ZZZZZZZWM</t>
  </si>
  <si>
    <t>PPE COST COMMUNITY AD OTHER CHANGES</t>
  </si>
  <si>
    <t>35056474020MDC12ZZ15</t>
  </si>
  <si>
    <t>ESTABLISHMENT OF SATELITE OFFICE:MDTG</t>
  </si>
  <si>
    <t>35056474220ZZZZZZZWM</t>
  </si>
  <si>
    <t>PPE COST OTHER AD OTHER CHANGES</t>
  </si>
  <si>
    <t>35056550420ORC18ZZWM</t>
  </si>
  <si>
    <t>35063200600PRMRCZZWM</t>
  </si>
  <si>
    <t>35063200700PRMRCZZWM</t>
  </si>
  <si>
    <t>35066460020FCC17ZZWM</t>
  </si>
  <si>
    <t>35066460060ZZZZZZZWM</t>
  </si>
  <si>
    <t>35066460240ZZZZZZZWM</t>
  </si>
  <si>
    <t>35066470060ZZZZZZZWM</t>
  </si>
  <si>
    <t>35066470240ZZZZZZZWM</t>
  </si>
  <si>
    <t>35072110360EQMRCZZHO</t>
  </si>
  <si>
    <t>35072301780FMMRCZZHO</t>
  </si>
  <si>
    <t>OC: EXT COM SERV PROV - S/WARE LICENCES</t>
  </si>
  <si>
    <t>35073200600PRMRCZZWM</t>
  </si>
  <si>
    <t>35073200700PRMRCZZWM</t>
  </si>
  <si>
    <t>35076151420FCC48ZZHO</t>
  </si>
  <si>
    <t>SOLAR FINANCIAL SYSTEM</t>
  </si>
  <si>
    <t>35076460060ZZZZZZZWM</t>
  </si>
  <si>
    <t>35076460240ZZZZZZZWM</t>
  </si>
  <si>
    <t>35076470020FCC19ZZWM</t>
  </si>
  <si>
    <t>ICT EQUIPMENT_FINANCE ADMIN_001</t>
  </si>
  <si>
    <t>35076470060ZZZZZZZWM</t>
  </si>
  <si>
    <t>35076470240ZZZZZZZWM</t>
  </si>
  <si>
    <t>35083200600PRMRCZZWM</t>
  </si>
  <si>
    <t>35083200700PRMRCZZWM</t>
  </si>
  <si>
    <t>35083201800PRMRCZZWM</t>
  </si>
  <si>
    <t>PPE TRANSPORT ASSETS - LOSSES</t>
  </si>
  <si>
    <t>35086420460ZZZZZZZWM</t>
  </si>
  <si>
    <t>PPE COST TRANSPORT OWN IU COST DISPOSAL</t>
  </si>
  <si>
    <t>35086420640ZZZZZZZWM</t>
  </si>
  <si>
    <t>PPE COST TRANSPORT OWN IU AD DISPOSAL</t>
  </si>
  <si>
    <t>35086460060ZZZZZZZWM</t>
  </si>
  <si>
    <t>35086460240ZZZZZZZWM</t>
  </si>
  <si>
    <t>35086470060ZZZZZZZWM</t>
  </si>
  <si>
    <t>35086470240ZZZZZZZWM</t>
  </si>
  <si>
    <t>35091041000F5ZZZZZWM</t>
  </si>
  <si>
    <t>FORFEITS: DEPOSITS</t>
  </si>
  <si>
    <t>35092285450EQMRCZZHO</t>
  </si>
  <si>
    <t>35097400030ZZZZZZZWM</t>
  </si>
  <si>
    <t>LEAVE ACCRUAL:WITHDRAWALS</t>
  </si>
  <si>
    <t>35097530110ZZZZZZZWM</t>
  </si>
  <si>
    <t>35097530130ZZZZZZZWM</t>
  </si>
  <si>
    <t>CAPRICORN WATER: TRSF TO REV</t>
  </si>
  <si>
    <t>35101343010F2ZZZZZWM</t>
  </si>
  <si>
    <t>35101424540F2ZZZZZWM</t>
  </si>
  <si>
    <t>35101424610F2ZZZZZWM</t>
  </si>
  <si>
    <t>35102272410ORP65ZZHO</t>
  </si>
  <si>
    <t>C&amp;PS: I&amp;P AGRICULTURE</t>
  </si>
  <si>
    <t>35102272580ORR92ZZHO</t>
  </si>
  <si>
    <t>35102285450ORP63ZZHO</t>
  </si>
  <si>
    <t>35102305760EQMRCZZHO</t>
  </si>
  <si>
    <t>35111424540ORZZZZZHO</t>
  </si>
  <si>
    <t>35111424560ORZZZZZHO</t>
  </si>
  <si>
    <t>35111424610ORZZZZZHO</t>
  </si>
  <si>
    <t>35113200600PRMRCZZWM</t>
  </si>
  <si>
    <t>35113200700PRMRCZZWM</t>
  </si>
  <si>
    <t>35116460060ZZZZZZZWM</t>
  </si>
  <si>
    <t>35116460240ZZZZZZZWM</t>
  </si>
  <si>
    <t>35116470060ZZZZZZZWM</t>
  </si>
  <si>
    <t>35116470240ZZZZZZZWM</t>
  </si>
  <si>
    <t>35122110220EQMRCZZHO</t>
  </si>
  <si>
    <t>35122305410EQMRCZZHO</t>
  </si>
  <si>
    <t>35122305760EQMRCZZHO</t>
  </si>
  <si>
    <t>40052030490EQMRCZZHO</t>
  </si>
  <si>
    <t>SM CFO: ALLOW - TRAVEL OR MOTOR VEHICLE</t>
  </si>
  <si>
    <t>40052110360EQMRCZZHO</t>
  </si>
  <si>
    <t>40053200700PRMRCZZWM</t>
  </si>
  <si>
    <t>40056360190ZZZZZZZWM</t>
  </si>
  <si>
    <t>INVESTMENT PROPERTY COST AD TRF TO/FROM</t>
  </si>
  <si>
    <t>40056420630ZZZZZZZWM</t>
  </si>
  <si>
    <t>40056460060ZZZZZZZWM</t>
  </si>
  <si>
    <t>40056460240ZZZZZZZWM</t>
  </si>
  <si>
    <t>40056473620ZZZZZZZWM</t>
  </si>
  <si>
    <t>40056474250ZZZZZZZWM</t>
  </si>
  <si>
    <t>PPE COST OTHER AD TRANSFER</t>
  </si>
  <si>
    <t>40057400020ZZZZZZZWM</t>
  </si>
  <si>
    <t>LEAVE ACCRUAL:DEPOSITS</t>
  </si>
  <si>
    <t>40102721500PRMRCZZWM</t>
  </si>
  <si>
    <t>40106460230ZZZZZZZWM</t>
  </si>
  <si>
    <t>40152270340ORS71ZZWM</t>
  </si>
  <si>
    <t>40202305410FMMRCZZHO</t>
  </si>
  <si>
    <t>45052260600ORR94ZZHO</t>
  </si>
  <si>
    <t>45052301610ORMRCZZHO</t>
  </si>
  <si>
    <t>OC: ENTERTAINMENT -  COUNCILLORS</t>
  </si>
  <si>
    <t>45057400020ZZZZZZZWM</t>
  </si>
  <si>
    <t>45107400020ZZZZZZZWM</t>
  </si>
  <si>
    <t>45252110320EQMRCZZHO</t>
  </si>
  <si>
    <t>45257400020ZZZZZZZWM</t>
  </si>
  <si>
    <t>50051164550THZZZZZWM</t>
  </si>
  <si>
    <t>PG LP - OTHER</t>
  </si>
  <si>
    <t>50051171050FMZZZZZHO</t>
  </si>
  <si>
    <t>N-GOV: LOCAL GOV FIN MANAG GRT</t>
  </si>
  <si>
    <t>50051172010EQZZZZZHO</t>
  </si>
  <si>
    <t>NATIONAL REVENUE FUND: EQUITABLE SHARE</t>
  </si>
  <si>
    <t>50051351200PRZZZZZWM</t>
  </si>
  <si>
    <t>50052110220EQMRCZZHO</t>
  </si>
  <si>
    <t>50052300900F3MRCZZHO</t>
  </si>
  <si>
    <t>COMMISSION EXPENSE</t>
  </si>
  <si>
    <t>50052723600PRMRCZZWM</t>
  </si>
  <si>
    <t>50055020040ZZZZZZZWM</t>
  </si>
  <si>
    <t>ACCOUNT NAME: INTEREST EARNED</t>
  </si>
  <si>
    <t>50055053120ZZZZZZZWM</t>
  </si>
  <si>
    <t>50055053130ZZZZZZZWM</t>
  </si>
  <si>
    <t>50055120720ZZZZZZZWM</t>
  </si>
  <si>
    <t>BURSARY OBLIGATIONS:BURSARY PAYMENTS</t>
  </si>
  <si>
    <t>50055210050F1ZZZZZWM</t>
  </si>
  <si>
    <t>BUS &amp; COMMERCIAL: DEBT WRITE-OFFS</t>
  </si>
  <si>
    <t>50055211610F1ZZZZZWM</t>
  </si>
  <si>
    <t>FP: AGRIC PURP - OPENING BALANCE</t>
  </si>
  <si>
    <t>50055211630F1ZZZZZWM</t>
  </si>
  <si>
    <t>FP: AGRIC PURP - PRIOR PERD CORR &amp; ADJ</t>
  </si>
  <si>
    <t>50055211810F1ZZZZZWM</t>
  </si>
  <si>
    <t>50055215650F1ZZZZZWM</t>
  </si>
  <si>
    <t>RES DEV  - DEBT WRITE-OFFS</t>
  </si>
  <si>
    <t>50055218710F1ZZZZZWM</t>
  </si>
  <si>
    <t>50055218730F1ZZZZZWM</t>
  </si>
  <si>
    <t>NAT GOVERN - PRIOR PERIOD CORREC &amp; ADJ</t>
  </si>
  <si>
    <t>50055218750F1ZZZZZWM</t>
  </si>
  <si>
    <t>NAT GOVERN  - DEBT WRITE-OFFS</t>
  </si>
  <si>
    <t>50055221030F1ZZZZZWM</t>
  </si>
  <si>
    <t>AGRICULTURAL PROP - PRIOR PER CORR &amp; ADJ</t>
  </si>
  <si>
    <t>50055401020ZZZZZZZWM</t>
  </si>
  <si>
    <t>TRAFFIC FINES: FINES ISSUED</t>
  </si>
  <si>
    <t>50055512130ZZZZZZZWM</t>
  </si>
  <si>
    <t>CONS STORES STD RATED ACC 01:ISSUES</t>
  </si>
  <si>
    <t>50055651130ZZZZZZZWM</t>
  </si>
  <si>
    <t>50055670930ZZZZZZZWM</t>
  </si>
  <si>
    <t>SERV CHG VAT - PRIOR PERIOD CORREC &amp; ADJ</t>
  </si>
  <si>
    <t>50055683030ZZZZZZZWM</t>
  </si>
  <si>
    <t>INPUT VAT GENERAL ACC 01:TRANSFERS</t>
  </si>
  <si>
    <t>50055686030ZZZZZZZWM</t>
  </si>
  <si>
    <t>INPUT VAT CAPITAL ACC 01:TRANSFERS</t>
  </si>
  <si>
    <t>50056456230ZZZZZZZWM</t>
  </si>
  <si>
    <t>50057260020ZZZZZZZWM</t>
  </si>
  <si>
    <t>SPEC(FIN INST &amp; ACC NUM) - 1:DEPS</t>
  </si>
  <si>
    <t>50057260030ZZZZZZZWM</t>
  </si>
  <si>
    <t>SPEC(FIN INST &amp; ACC NUM)-1:WITHDRAW</t>
  </si>
  <si>
    <t>50057280220ZZZZZZZWM</t>
  </si>
  <si>
    <t>L-SERV AWARD: INCREASE</t>
  </si>
  <si>
    <t>50057382110ZZZZZZZWM</t>
  </si>
  <si>
    <t>CASH AND BANK ACC 02:OPENING BALANCE</t>
  </si>
  <si>
    <t>50057382120ZZZZZZZWM</t>
  </si>
  <si>
    <t>CASH AND BANK ACC 02:DEPOSITS</t>
  </si>
  <si>
    <t>50057382220ZZZZZZZWM</t>
  </si>
  <si>
    <t>CASH AND BANK ACC 03:DEPOSITS</t>
  </si>
  <si>
    <t>50057382310ZZZZZZZWM</t>
  </si>
  <si>
    <t>CASH AND BANK ACC 04:OPENING BALANCE</t>
  </si>
  <si>
    <t>50057400020ZZZZZZZWM</t>
  </si>
  <si>
    <t>50057401130ZZZZZZZWM</t>
  </si>
  <si>
    <t>RETENTIONS ACC 02:WITHDRAWALS</t>
  </si>
  <si>
    <t>50057423020ZZZZZZZWM</t>
  </si>
  <si>
    <t>BONUS:DEPOSITS</t>
  </si>
  <si>
    <t>50057423030ZZZZZZZWM</t>
  </si>
  <si>
    <t>BONUS:WITHDRAWALS</t>
  </si>
  <si>
    <t>50057424020ZZZZZZZWM</t>
  </si>
  <si>
    <t>AGENCY FEES PAYABLE:DEPOSITS</t>
  </si>
  <si>
    <t>50057430120ZZZZZZZWM</t>
  </si>
  <si>
    <t>PAYABLES &amp; ACCRUALS ACC 02:DEPOSITS</t>
  </si>
  <si>
    <t>50057430610ZZZZZZZWM</t>
  </si>
  <si>
    <t>PAYABLES &amp; ACCRUALS ACC 07:OPEN BALANCE</t>
  </si>
  <si>
    <t>50057430630ZZZZZZZWM</t>
  </si>
  <si>
    <t>PAYABLES &amp; ACCRUALS ACC 07:WITHDRAWALS</t>
  </si>
  <si>
    <t>50057430820ZZZZZZZWM</t>
  </si>
  <si>
    <t>50057430910ZZZZZZZWM</t>
  </si>
  <si>
    <t>PAYABLES &amp; ACCRUALS ACC 10:OPEN BALANCE</t>
  </si>
  <si>
    <t>50057430930ZZZZZZZWM</t>
  </si>
  <si>
    <t>PAYABLES &amp; ACCRUALS ACC 10:WITHDRAWALS</t>
  </si>
  <si>
    <t>50057610240ZZZZZZZWM</t>
  </si>
  <si>
    <t>MIG: RE-PAYMENT OF UNSPENT</t>
  </si>
  <si>
    <t>50057630440ZZZZZZZWM</t>
  </si>
  <si>
    <t>LGFMG: RE-PAYMENT OF UNSPENT</t>
  </si>
  <si>
    <t>50057630640ZZZZZZZWM</t>
  </si>
  <si>
    <t>MDTG: RE-PAYMENT OF UNSPENT</t>
  </si>
  <si>
    <t>50057630720ZZZZZZZWM</t>
  </si>
  <si>
    <t>50057631020ZZZZZZZWM</t>
  </si>
  <si>
    <t>INPUT HEADER DESC: RECEIPTS</t>
  </si>
  <si>
    <t>50057631030ZZZZZZZWM</t>
  </si>
  <si>
    <t>INPUT HEADER DESC: TRSF TO REV</t>
  </si>
  <si>
    <t>50057685020ZZZZZZZWM</t>
  </si>
  <si>
    <t>OUTPUT VAT ACC 01:RECOGNISED</t>
  </si>
  <si>
    <t>50057685030ZZZZZZZWM</t>
  </si>
  <si>
    <t>OUTPUT VAT ACC 01:TRANSFERS</t>
  </si>
  <si>
    <t>50057706050ZZZZZZZWM</t>
  </si>
  <si>
    <t>MEDICAL: ACTUAR LOSS/GAIN RECOG IN YEAR</t>
  </si>
  <si>
    <t>50057746020ZZZZZZZWM</t>
  </si>
  <si>
    <t>MEDICAL: INTEREST COST</t>
  </si>
  <si>
    <t>50057746030ZZZZZZZWM</t>
  </si>
  <si>
    <t>MEDICAL: CURRENT SERVICE COST</t>
  </si>
  <si>
    <t>50057746040ZZZZZZZWM</t>
  </si>
  <si>
    <t>50057746050ZZZZZZZWM</t>
  </si>
  <si>
    <t>50057750050ZZZZZZZWM</t>
  </si>
  <si>
    <t>FIN LEASE LIAB ACC 01: OTH CHANGES</t>
  </si>
  <si>
    <t>50057950430ZZZZZZZWM</t>
  </si>
  <si>
    <t>LG-SERV:REDUCT-O/FLOW ECON BEN</t>
  </si>
  <si>
    <t>50057950440ZZZZZZZWM</t>
  </si>
  <si>
    <t>LG-SERV:REDUCT-WITHOUT O/FLOW ECON BEN</t>
  </si>
  <si>
    <t>50058100030ZZZZZZZWM</t>
  </si>
  <si>
    <t>ACC SUR/(DEF): CORREC PRIOR PERIOD ERROR</t>
  </si>
  <si>
    <t>50058403020ZZZZZZZWM</t>
  </si>
  <si>
    <t>REV RES: CURR PRD REVAL INCRE/DECREASE</t>
  </si>
  <si>
    <t>50103200600PRMRCZZWM</t>
  </si>
  <si>
    <t>50106470060ZZZZZZZWM</t>
  </si>
  <si>
    <t>50106470240ZZZZZZZWM</t>
  </si>
  <si>
    <t>50151342000ORZZZZZHO</t>
  </si>
  <si>
    <t>DIVIDENDS: EXTERNAL INVESTMENTS</t>
  </si>
  <si>
    <t>50152270340FMS69ZZWM</t>
  </si>
  <si>
    <t>50153200700PRMRCZZWM</t>
  </si>
  <si>
    <t>50156460060ZZZZZZZWM</t>
  </si>
  <si>
    <t>50156460240ZZZZZZZWM</t>
  </si>
  <si>
    <t>50201341090ORZZZZZWM</t>
  </si>
  <si>
    <t>50202260310ORS60ZZHO</t>
  </si>
  <si>
    <t>OS: B&amp;A ACCOUNTANTS &amp; AUDITORS</t>
  </si>
  <si>
    <t>50202362420ORMRCZZHO</t>
  </si>
  <si>
    <t>50202400010PRMRCZZHO</t>
  </si>
  <si>
    <t>50203200600PRMRCZZWM</t>
  </si>
  <si>
    <t>50203200700PRMRCZZWM</t>
  </si>
  <si>
    <t>50205650670ZZZZZZZWM</t>
  </si>
  <si>
    <t>PROP RENT - ACCRUED REVENUE</t>
  </si>
  <si>
    <t>50205650930ZZZZZZZWM</t>
  </si>
  <si>
    <t>SERV CHG - PRIOR PERIOD CORREC &amp; ADJUST</t>
  </si>
  <si>
    <t>50205650950ZZZZZZZWM</t>
  </si>
  <si>
    <t>SERV CHG  - DEBT WRITE-OFFS</t>
  </si>
  <si>
    <t>50206151420OTC90ZZWM</t>
  </si>
  <si>
    <t>50206456230ZZZZZZZWM</t>
  </si>
  <si>
    <t>50206460060ZZZZZZZWM</t>
  </si>
  <si>
    <t>50206460240ZZZZZZZWM</t>
  </si>
  <si>
    <t>50206470060ZZZZZZZWM</t>
  </si>
  <si>
    <t>50206470240ZZZZZZZWM</t>
  </si>
  <si>
    <t>50207682130ZZZZZZZWM</t>
  </si>
  <si>
    <t>OUTPUT ACCRUAL ACC 02:TRANSFERS</t>
  </si>
  <si>
    <t>50208100030ZZZZZZZWM</t>
  </si>
  <si>
    <t>50252260320THMRCZZHO</t>
  </si>
  <si>
    <t>50252302400EQMRCZZHO</t>
  </si>
  <si>
    <t>50252362420ORMRCZZHO</t>
  </si>
  <si>
    <t>50253200600PRMRCZZWM</t>
  </si>
  <si>
    <t>50253200700PRMRCZZWM</t>
  </si>
  <si>
    <t>50256460060ZZZZZZZWM</t>
  </si>
  <si>
    <t>50256460240ZZZZZZZWM</t>
  </si>
  <si>
    <t>50256470060ZZZZZZZWM</t>
  </si>
  <si>
    <t>50256470240ZZZZZZZWM</t>
  </si>
  <si>
    <t>50257400030ZZZZZZZWM</t>
  </si>
  <si>
    <t>50303200600PRMRCZZWM</t>
  </si>
  <si>
    <t>50303200700PRMRCZZWM</t>
  </si>
  <si>
    <t>50305690120ZZZZZZZWM</t>
  </si>
  <si>
    <t>VAT CONTROL ACC 01:TRANSFERS</t>
  </si>
  <si>
    <t>50305690130ZZZZZZZWM</t>
  </si>
  <si>
    <t>VAT CONTROL ACC 01:PAYMENTS</t>
  </si>
  <si>
    <t>50305690140ZZZZZZZWM</t>
  </si>
  <si>
    <t>VAT CONTROL ACC 01:RECEIPTS</t>
  </si>
  <si>
    <t>50306460060ZZZZZZZWM</t>
  </si>
  <si>
    <t>50306460240ZZZZZZZWM</t>
  </si>
  <si>
    <t>50306470060ZZZZZZZWM</t>
  </si>
  <si>
    <t>50306470240ZZZZZZZWM</t>
  </si>
  <si>
    <t>55051041000F5ZZZZZWM</t>
  </si>
  <si>
    <t>55051155210CMZZZZZWM</t>
  </si>
  <si>
    <t>DM LP: CAPRICORN - COMM &amp; SOC SERV</t>
  </si>
  <si>
    <t>55051171020F7ZZZZZHO</t>
  </si>
  <si>
    <t>N-GOV: EXPANDED PUBLIC WORKS GRT</t>
  </si>
  <si>
    <t>55052110010PRMRCZZHO</t>
  </si>
  <si>
    <t>OC: ROAD WORTHY TEST FLEET</t>
  </si>
  <si>
    <t>55053200700PRMRCZZWM</t>
  </si>
  <si>
    <t>55053201700PRMRCZZWM</t>
  </si>
  <si>
    <t>55053201800PRMRCZZWM</t>
  </si>
  <si>
    <t>55056420460ZZZZZZZWM</t>
  </si>
  <si>
    <t>55056420640ZZZZZZZWM</t>
  </si>
  <si>
    <t>55056456060ZZZZZZZWM</t>
  </si>
  <si>
    <t>55056456240ZZZZZZZWM</t>
  </si>
  <si>
    <t>55056460060ZZZZZZZWM</t>
  </si>
  <si>
    <t>55056460240ZZZZZZZWM</t>
  </si>
  <si>
    <t>55056473620ZZZZZZZWM</t>
  </si>
  <si>
    <t>55056474020CHC96ZZWM</t>
  </si>
  <si>
    <t>COMMUNITY HALL</t>
  </si>
  <si>
    <t>55056474250ZZZZZZZWM</t>
  </si>
  <si>
    <t>55057400020ZZZZZZZWM</t>
  </si>
  <si>
    <t>55057530110ZZZZZZZWM</t>
  </si>
  <si>
    <t>55057530130ZZZZZZZWM</t>
  </si>
  <si>
    <t>55103200700PRMRCZZWM</t>
  </si>
  <si>
    <t>55106460060ZZZZZZZWM</t>
  </si>
  <si>
    <t>55106460240ZZZZZZZWM</t>
  </si>
  <si>
    <t>55151040500ORZZZZZWM</t>
  </si>
  <si>
    <t>55151401090ORZZZZZHO</t>
  </si>
  <si>
    <t>55151423330ORZZZZZWM</t>
  </si>
  <si>
    <t>55153200700PRMRCZZWM</t>
  </si>
  <si>
    <t>55156456020FCC65ZZWM</t>
  </si>
  <si>
    <t>6M3 BINS</t>
  </si>
  <si>
    <t>55156460020ORC68ZZ01</t>
  </si>
  <si>
    <t>MOUNTED CHAIRS</t>
  </si>
  <si>
    <t>55156460060ZZZZZZZWM</t>
  </si>
  <si>
    <t>55156460240ZZZZZZZWM</t>
  </si>
  <si>
    <t>55156473520FCC28ZZWM</t>
  </si>
  <si>
    <t>MOHODI SPORT COMPLEX</t>
  </si>
  <si>
    <t>55156473520MGC50ZZWM</t>
  </si>
  <si>
    <t>UPGRADING OF RAMOKGOPA STADIUM</t>
  </si>
  <si>
    <t>55156473620ZZZZZZZWM</t>
  </si>
  <si>
    <t>55156474220ZZZZZZZWM</t>
  </si>
  <si>
    <t>55201040520F6ZZZZZHO</t>
  </si>
  <si>
    <t>55202110500EQMRCZZHO</t>
  </si>
  <si>
    <t>55203200600PRMRCZZWM</t>
  </si>
  <si>
    <t>55203200700PRMRCZZWM</t>
  </si>
  <si>
    <t>55206456020FCC66ZZHO</t>
  </si>
  <si>
    <t>55206460060ZZZZZZZWM</t>
  </si>
  <si>
    <t>55206460240ZZZZZZZWM</t>
  </si>
  <si>
    <t>55206470060ZZZZZZZWM</t>
  </si>
  <si>
    <t>55206470240ZZZZZZZWM</t>
  </si>
  <si>
    <t>55206473620ZZZZZZZWM</t>
  </si>
  <si>
    <t>55251420610ORZZZZZWM</t>
  </si>
  <si>
    <t>55252305760EQMRCZZHO</t>
  </si>
  <si>
    <t>55256456020FCC43ZZWM</t>
  </si>
  <si>
    <t>TRACTOR WITH GRASS CUTTING EQUIPMENT</t>
  </si>
  <si>
    <t>55256456420FCC43ZZWM</t>
  </si>
  <si>
    <t xml:space="preserve"> </t>
  </si>
  <si>
    <t>55301155210CMZZZZZWM</t>
  </si>
  <si>
    <t>55301341120F8ZZZZZWM</t>
  </si>
  <si>
    <t>55302263300CMS84ZZWM</t>
  </si>
  <si>
    <t>OS: LITTER PICKING &amp; STREET CLEANING</t>
  </si>
  <si>
    <t>55302263300EQS40ZZWM</t>
  </si>
  <si>
    <t>55302270340ORS61ZZHO</t>
  </si>
  <si>
    <t>55302400010F8MRCZZWM</t>
  </si>
  <si>
    <t>55305651230FAZZZZZWM</t>
  </si>
  <si>
    <t>WASTE - PRIOR PERIOD CORREC &amp; ADJUSTMENT</t>
  </si>
  <si>
    <t>55305651250FAZZZZZWM</t>
  </si>
  <si>
    <t>WASTE  - DEBT WRITE-OFFS</t>
  </si>
  <si>
    <t>55305651440FAZZZZZWM</t>
  </si>
  <si>
    <t>WASTE: IMP - REVERSAL</t>
  </si>
  <si>
    <t>55305671230FAZZZZZWM</t>
  </si>
  <si>
    <t>WASTE VAT - PRIOR PERIOD CORREC &amp; ADJUST</t>
  </si>
  <si>
    <t>55307530110ZZZZZZZWM</t>
  </si>
  <si>
    <t>55307530130ZZZZZZZWM</t>
  </si>
  <si>
    <t>60022723600PRMRCZZWM</t>
  </si>
  <si>
    <t>60023200700PRMRCZZWM</t>
  </si>
  <si>
    <t>60026456230ZZZZZZZWM</t>
  </si>
  <si>
    <t>60026460060ZZZZZZZWM</t>
  </si>
  <si>
    <t>60026460240ZZZZZZZWM</t>
  </si>
  <si>
    <t>60026474220ZZZZZZZWM</t>
  </si>
  <si>
    <t>60052110010PRMRCZZHO</t>
  </si>
  <si>
    <t>60052110320EQMRCZZHO</t>
  </si>
  <si>
    <t>60053960050ZZZZZ45WM</t>
  </si>
  <si>
    <t>60053960110ZZZZZ4FWM</t>
  </si>
  <si>
    <t>60057400020ZZZZZZZWM</t>
  </si>
  <si>
    <t>60062110500EQMRCZZHO</t>
  </si>
  <si>
    <t>60062303600ORMRCZZWM</t>
  </si>
  <si>
    <t>OC: MANAGEMENT FEE</t>
  </si>
  <si>
    <t>60063201700PRMRCZZWM</t>
  </si>
  <si>
    <t>60066433230ZZZZZZZWM</t>
  </si>
  <si>
    <t>60066456060ZZZZZZZWM</t>
  </si>
  <si>
    <t>60066456240ZZZZZZZWM</t>
  </si>
  <si>
    <t>60066470230ZZZZZZZWM</t>
  </si>
  <si>
    <t>60066472420FDC49ZZ01</t>
  </si>
  <si>
    <t>MOHODI TO MAPONTO GRAVEL TO TAR ROAD</t>
  </si>
  <si>
    <t>60066472420MGC25ZZ13</t>
  </si>
  <si>
    <t>MATIPANA TO MADIKANA GRAVEL TO TAR</t>
  </si>
  <si>
    <t>60066472470ZZZZZZZWM</t>
  </si>
  <si>
    <t>PPE COST ROAD INFRASTR COST TRANSFER IN</t>
  </si>
  <si>
    <t>60066473520MGC73ZZ01</t>
  </si>
  <si>
    <t>60066680080ZZZZZZZWM</t>
  </si>
  <si>
    <t>WIP ACQ OWN ACC CONSTR COST TEST SITE</t>
  </si>
  <si>
    <t>60067400030ZZZZZZZWM</t>
  </si>
  <si>
    <t>60071171360MGZZZZZHO</t>
  </si>
  <si>
    <t>N-GOV: MIG</t>
  </si>
  <si>
    <t>60071251010F9ZZZZZHO</t>
  </si>
  <si>
    <t>ND - MUNICIPAL INFRASTR GRANT</t>
  </si>
  <si>
    <t>60072110010EQMRCZZHO</t>
  </si>
  <si>
    <t>60081040020F3ZZZZZWM</t>
  </si>
  <si>
    <t>60081321040F3MRCZZHO</t>
  </si>
  <si>
    <t>60081321120F3MRCZZHO</t>
  </si>
  <si>
    <t>60081341010F3ZZZZZWM</t>
  </si>
  <si>
    <t>60082110500EQMRCZZHO</t>
  </si>
  <si>
    <t>60082400010F3MRCZZWM</t>
  </si>
  <si>
    <t>60083200600PRMRCZZWM</t>
  </si>
  <si>
    <t>60083200700PRMRCZZWM</t>
  </si>
  <si>
    <t>60083200900PRMRCZZWM</t>
  </si>
  <si>
    <t>PPE INFRA: ELECTRICITY - LOSSES</t>
  </si>
  <si>
    <t>60083201700PRMRCZZWM</t>
  </si>
  <si>
    <t>60085650030F7ZZZZZWM</t>
  </si>
  <si>
    <t>ELEC - PRIOR PERIOD CORREC &amp; ADJUSTMENTS</t>
  </si>
  <si>
    <t>60085650050F7ZZZZZWM</t>
  </si>
  <si>
    <t>ELEC  - DEBT WRITE-OFFS</t>
  </si>
  <si>
    <t>60085650240F7ZZZZZWM</t>
  </si>
  <si>
    <t>ELEC: IMP - REVERSAL</t>
  </si>
  <si>
    <t>60085670030F7ZZZZZWM</t>
  </si>
  <si>
    <t>ELEC VAT - PRIOR PERIOD CORREC &amp; ADJ</t>
  </si>
  <si>
    <t>60086432630ZZZZZZZWM</t>
  </si>
  <si>
    <t>PPE COST ELE IU MV NET/W AD DEPRECIATION</t>
  </si>
  <si>
    <t>60086433020ORC44ZZWM</t>
  </si>
  <si>
    <t>UPGRADING ELECT NETWORK CTVT METERS</t>
  </si>
  <si>
    <t>60086433060ZZZZZZZWM</t>
  </si>
  <si>
    <t>PPE COST ELE IU LV NETWORK COST DISPOSAL</t>
  </si>
  <si>
    <t>60086433240ZZZZZZZWM</t>
  </si>
  <si>
    <t>PPE COST ELEC IU LV NETWORK AD DISPOSAL</t>
  </si>
  <si>
    <t>60086456060ZZZZZZZWM</t>
  </si>
  <si>
    <t>60086456240ZZZZZZZWM</t>
  </si>
  <si>
    <t>60086460060ZZZZZZZWM</t>
  </si>
  <si>
    <t>60086460240ZZZZZZZWM</t>
  </si>
  <si>
    <t>60086470060ZZZZZZZWM</t>
  </si>
  <si>
    <t>60086470240ZZZZZZZWM</t>
  </si>
  <si>
    <t>60087400020ZZZZZZZWM</t>
  </si>
  <si>
    <t>60087400030ZZZZZZZWM</t>
  </si>
  <si>
    <t>60151380620EQZZZZZWM</t>
  </si>
  <si>
    <t>60153200600PRMRCZZWM</t>
  </si>
  <si>
    <t>60153200700PRMRCZZWM</t>
  </si>
  <si>
    <t>60153201800PRMRCZZWM</t>
  </si>
  <si>
    <t>60155651930ZZZZZZZWM</t>
  </si>
  <si>
    <t>WATER - PRIOR PERIOD CORREC &amp; ADJUSTMENT</t>
  </si>
  <si>
    <t>60155651950ZZZZZZZWM</t>
  </si>
  <si>
    <t>WATER  - DEBT WRITE-OFFS</t>
  </si>
  <si>
    <t>60155671930ZZZZZZZWM</t>
  </si>
  <si>
    <t>WATER VAT - PRIOR PERIOD CORREC &amp; ADJUST</t>
  </si>
  <si>
    <t>60156420460ZZZZZZZWM</t>
  </si>
  <si>
    <t>60156420640ZZZZZZZWM</t>
  </si>
  <si>
    <t>60156460060ZZZZZZZWM</t>
  </si>
  <si>
    <t>60156460240ZZZZZZZWM</t>
  </si>
  <si>
    <t>60156470060ZZZZZZZWM</t>
  </si>
  <si>
    <t>60156470240ZZZZZZZWM</t>
  </si>
  <si>
    <t>60157400020ZZZZZZZWM</t>
  </si>
  <si>
    <t>60157400030ZZZZZZZWM</t>
  </si>
  <si>
    <t>60165651530F8ZZZZZWM</t>
  </si>
  <si>
    <t>WASTE WATER - PRIOR PERIOD CORREC &amp; ADJ</t>
  </si>
  <si>
    <t>60165651550F8ZZZZZWM</t>
  </si>
  <si>
    <t>WASTE WATER  - DEBT WRITE-OFFS</t>
  </si>
  <si>
    <t>60165651740F8ZZZZZWM</t>
  </si>
  <si>
    <t>WASTE WATER: IMP - REVERSAL</t>
  </si>
  <si>
    <t>60165663010F8ZZZZZWM</t>
  </si>
  <si>
    <t>60165663110F8ZZZZZWM</t>
  </si>
  <si>
    <t>60165663140F8ZZZZZWM</t>
  </si>
  <si>
    <t>WAT&amp;SAN AUTH IMP -  REVERSAL</t>
  </si>
  <si>
    <t>60165671530F8ZZZZZWM</t>
  </si>
  <si>
    <t>WASTE WATER VAT - PRIOR PERIOD CORRECTIO</t>
  </si>
  <si>
    <t>60168100030ZZZZZZZWM</t>
  </si>
  <si>
    <t>35052721500PRMRCZZWM_1</t>
  </si>
  <si>
    <t>Finance lease asset depreciation</t>
  </si>
  <si>
    <t>35056460230ZZZZZZZWM_1</t>
  </si>
  <si>
    <t>Accumulated Depreciation - Finance Leased Assets</t>
  </si>
  <si>
    <t>35056470010ZZZZZZZWM_1</t>
  </si>
  <si>
    <t>Finance lease Opening balance</t>
  </si>
  <si>
    <t>35056470210ZZZZZZZWM_1</t>
  </si>
  <si>
    <t>Finance leased assets acc depreciation</t>
  </si>
  <si>
    <t>35102300160ORS77ZZWM</t>
  </si>
  <si>
    <t>Cost centre</t>
  </si>
  <si>
    <t>AFS Category</t>
  </si>
  <si>
    <t>AFS Sub Category</t>
  </si>
  <si>
    <t>3505</t>
  </si>
  <si>
    <t>Other income</t>
  </si>
  <si>
    <t>Sale of assets - Auctioneeer</t>
  </si>
  <si>
    <t>Basic</t>
  </si>
  <si>
    <t>Employee related costs</t>
  </si>
  <si>
    <t>Bonus</t>
  </si>
  <si>
    <t>Telephone/Cellphone Allowance</t>
  </si>
  <si>
    <t>Travel, motor car, accommodation, subsistence and other allowances</t>
  </si>
  <si>
    <t>Laptop Allowance</t>
  </si>
  <si>
    <t>Non Pension Allowance</t>
  </si>
  <si>
    <t>Housing benefits and allowances</t>
  </si>
  <si>
    <t>Leave pay provision charge</t>
  </si>
  <si>
    <t>Overtime payments</t>
  </si>
  <si>
    <t>Acting allowances</t>
  </si>
  <si>
    <t>Long-service awards</t>
  </si>
  <si>
    <t>Standby allowance</t>
  </si>
  <si>
    <t>Industrial/Bargaining Council</t>
  </si>
  <si>
    <t>Medical aid - company contributions</t>
  </si>
  <si>
    <t>Pension Funds - Company contribution</t>
  </si>
  <si>
    <t>UIF</t>
  </si>
  <si>
    <t>Defined contribution plans</t>
  </si>
  <si>
    <t>Contracted services</t>
  </si>
  <si>
    <t>Outsourced Services</t>
  </si>
  <si>
    <t>Contractors - Buildings</t>
  </si>
  <si>
    <t>Contractors</t>
  </si>
  <si>
    <t>General expenses</t>
  </si>
  <si>
    <t>Postage and Telephone</t>
  </si>
  <si>
    <t>Telephone Management System</t>
  </si>
  <si>
    <t>Entertainment</t>
  </si>
  <si>
    <t>Licences - Vehicles</t>
  </si>
  <si>
    <t>Skills development Levy</t>
  </si>
  <si>
    <t>Conferences , Seminars , Workshops and Events</t>
  </si>
  <si>
    <t>Protective clothing</t>
  </si>
  <si>
    <t>Tracking device system</t>
  </si>
  <si>
    <t>Cleaning materials</t>
  </si>
  <si>
    <t>Fuel and Oil: Municipal Fleet</t>
  </si>
  <si>
    <t>Rental Office Machines : Usage</t>
  </si>
  <si>
    <t>Depreciation and amortisation</t>
  </si>
  <si>
    <t>Intangible assets</t>
  </si>
  <si>
    <t>PPE - Other property, plant and equipment</t>
  </si>
  <si>
    <t>PPE - Infrastructure</t>
  </si>
  <si>
    <t>PPE - Furniture and fixtures</t>
  </si>
  <si>
    <t>PPE - Community</t>
  </si>
  <si>
    <t>PPE - Buildings</t>
  </si>
  <si>
    <t>Accumulated surplus</t>
  </si>
  <si>
    <t>Transfer to surplus</t>
  </si>
  <si>
    <t>Non-Current Assets (Cost)</t>
  </si>
  <si>
    <t>Non-Current Assets (Acc Depreciation)</t>
  </si>
  <si>
    <t>Non-Current Assets (Depreciation)</t>
  </si>
  <si>
    <t>Property, plant and equipment</t>
  </si>
  <si>
    <t>Non-Current Assets (Acquisitions)</t>
  </si>
  <si>
    <t>Current Employee Benefits</t>
  </si>
  <si>
    <t>Provision for Staff Leave</t>
  </si>
  <si>
    <t>Reserves</t>
  </si>
  <si>
    <t>Accumulated surplus - Current Year</t>
  </si>
  <si>
    <t>3506</t>
  </si>
  <si>
    <t>Skills development refund</t>
  </si>
  <si>
    <t>Contractors - Catering Services</t>
  </si>
  <si>
    <t>Contractors - Employee Wellness</t>
  </si>
  <si>
    <t>Advertising : Recruitment</t>
  </si>
  <si>
    <t>Bursaries - Employees</t>
  </si>
  <si>
    <t>Affiliation &amp; Membership Fees : SALGA</t>
  </si>
  <si>
    <t>Membership Fees</t>
  </si>
  <si>
    <t>Training and Conferences</t>
  </si>
  <si>
    <t>3507</t>
  </si>
  <si>
    <t>Subscriptions and Systems Licencing</t>
  </si>
  <si>
    <t>3508</t>
  </si>
  <si>
    <t>Ward Committee Expenses</t>
  </si>
  <si>
    <t>TRANSPORT - EVENTS</t>
  </si>
  <si>
    <t>Heritage Assets</t>
  </si>
  <si>
    <t>3509</t>
  </si>
  <si>
    <t>Internship programme</t>
  </si>
  <si>
    <t>3510</t>
  </si>
  <si>
    <t>Rental of facilities and equipment</t>
  </si>
  <si>
    <t>Cattle Grazing</t>
  </si>
  <si>
    <t>Clearance certificates</t>
  </si>
  <si>
    <t>Business and Advisory</t>
  </si>
  <si>
    <t>Refuse</t>
  </si>
  <si>
    <t>Training SMME</t>
  </si>
  <si>
    <t>Town Planning and servitudes</t>
  </si>
  <si>
    <t>3511</t>
  </si>
  <si>
    <t>Sale of Property</t>
  </si>
  <si>
    <t>Sundry income</t>
  </si>
  <si>
    <t>Building Plan Approvals</t>
  </si>
  <si>
    <t>Town Planning Fees</t>
  </si>
  <si>
    <t>Grazing</t>
  </si>
  <si>
    <t>3512</t>
  </si>
  <si>
    <t>4005</t>
  </si>
  <si>
    <t>Performance Bonuses</t>
  </si>
  <si>
    <t>Public Participation</t>
  </si>
  <si>
    <t>Advertising</t>
  </si>
  <si>
    <t>Investment property</t>
  </si>
  <si>
    <t>4007</t>
  </si>
  <si>
    <t>4010</t>
  </si>
  <si>
    <t>Printing, Publication &amp; Marketing</t>
  </si>
  <si>
    <t>4015</t>
  </si>
  <si>
    <t>4020</t>
  </si>
  <si>
    <t>Auditors remuneration</t>
  </si>
  <si>
    <t>Insurance - General</t>
  </si>
  <si>
    <t>4505</t>
  </si>
  <si>
    <t>Cell phone and other allowances</t>
  </si>
  <si>
    <t>Remuneration of councillors</t>
  </si>
  <si>
    <t>Other benefits and allowances</t>
  </si>
  <si>
    <t>Executive Mayor</t>
  </si>
  <si>
    <t>Councillors</t>
  </si>
  <si>
    <t>4507</t>
  </si>
  <si>
    <t>4510</t>
  </si>
  <si>
    <t>Speaker</t>
  </si>
  <si>
    <t>4515</t>
  </si>
  <si>
    <t>Chief Whip</t>
  </si>
  <si>
    <t>4520</t>
  </si>
  <si>
    <t>Mayoral Commitee Members</t>
  </si>
  <si>
    <t>4525</t>
  </si>
  <si>
    <t>5005</t>
  </si>
  <si>
    <t>Commercial</t>
  </si>
  <si>
    <t>Property rates</t>
  </si>
  <si>
    <t>Small holdings and farms</t>
  </si>
  <si>
    <t>Bill: Municipal Electricity</t>
  </si>
  <si>
    <t>Public Service infrastructure</t>
  </si>
  <si>
    <t>Residential</t>
  </si>
  <si>
    <t>State</t>
  </si>
  <si>
    <t>Government grants &amp; subsidies</t>
  </si>
  <si>
    <t>Government grant (operating) - FMG</t>
  </si>
  <si>
    <t>Equitable share</t>
  </si>
  <si>
    <t>Interest received - debtors</t>
  </si>
  <si>
    <t>Collection Charges</t>
  </si>
  <si>
    <t>Municipal: Internal Billing</t>
  </si>
  <si>
    <t>Internal Charges</t>
  </si>
  <si>
    <t>Municipal Rates</t>
  </si>
  <si>
    <t>Electricity</t>
  </si>
  <si>
    <t>Sanitation</t>
  </si>
  <si>
    <t>Water Consumption</t>
  </si>
  <si>
    <t>Cash and cash equivalents</t>
  </si>
  <si>
    <t>Bank balances</t>
  </si>
  <si>
    <t>Short-term deposits</t>
  </si>
  <si>
    <t>Receivables from exchange transactions</t>
  </si>
  <si>
    <t>Other debtors - Bursaries</t>
  </si>
  <si>
    <t>Consumer debtors - Rates</t>
  </si>
  <si>
    <t>Receivables from non-exchange transactions</t>
  </si>
  <si>
    <t>Fines</t>
  </si>
  <si>
    <t>Traffic Fines</t>
  </si>
  <si>
    <t>Other debtors - Under banking</t>
  </si>
  <si>
    <t>Consumable stores</t>
  </si>
  <si>
    <t>Inventories</t>
  </si>
  <si>
    <t>Consumer debtors - Other Service Charges</t>
  </si>
  <si>
    <t>VAT</t>
  </si>
  <si>
    <t>Consumer deposits</t>
  </si>
  <si>
    <t>Finance lease obligation</t>
  </si>
  <si>
    <t>Finance lease obligation (Current)</t>
  </si>
  <si>
    <t>Current Portion of Long Service Provisions</t>
  </si>
  <si>
    <t>Payables from exchange transactions</t>
  </si>
  <si>
    <t>Payments received in advanced - contract in process</t>
  </si>
  <si>
    <t>Other current liability</t>
  </si>
  <si>
    <t>Salary suspense account</t>
  </si>
  <si>
    <t>other creditors</t>
  </si>
  <si>
    <t>Retention</t>
  </si>
  <si>
    <t>Unallocated receipts</t>
  </si>
  <si>
    <t>Other debtors - CDM</t>
  </si>
  <si>
    <t>Trade payables</t>
  </si>
  <si>
    <t>Electricity not used</t>
  </si>
  <si>
    <t>Insurance</t>
  </si>
  <si>
    <t>Stale Cheques</t>
  </si>
  <si>
    <t>CDM Creditor</t>
  </si>
  <si>
    <t>Unspent conditional grants and receipts</t>
  </si>
  <si>
    <t>Current Portion of Post Retirement Health Care Benefits</t>
  </si>
  <si>
    <t>Non-Current Employee Benefits</t>
  </si>
  <si>
    <t>Post-employment Health Care Benefits</t>
  </si>
  <si>
    <t>Provisions</t>
  </si>
  <si>
    <t>Long service awards</t>
  </si>
  <si>
    <t>Revaluation reserve</t>
  </si>
  <si>
    <t>5010</t>
  </si>
  <si>
    <t>Cash on hand</t>
  </si>
  <si>
    <t>5015</t>
  </si>
  <si>
    <t>Interest received - external investment</t>
  </si>
  <si>
    <t>Interns Salaries: FMG</t>
  </si>
  <si>
    <t>Finance costs</t>
  </si>
  <si>
    <t>Other - Interest Paid</t>
  </si>
  <si>
    <t>5020</t>
  </si>
  <si>
    <t>Service Charges</t>
  </si>
  <si>
    <t>Cash surplus</t>
  </si>
  <si>
    <t>Commission paid</t>
  </si>
  <si>
    <t>Debt impairment</t>
  </si>
  <si>
    <t>Debt impairment expense</t>
  </si>
  <si>
    <t>Other debtors - National Treasury</t>
  </si>
  <si>
    <t>Rental debtors</t>
  </si>
  <si>
    <t>5025</t>
  </si>
  <si>
    <t>Stationery</t>
  </si>
  <si>
    <t>5030</t>
  </si>
  <si>
    <t>Bank charges</t>
  </si>
  <si>
    <t>Title deed search fees</t>
  </si>
  <si>
    <t>Fruitless and wastefull expenditure - Interest Paid</t>
  </si>
  <si>
    <t>Other debtors Third Party refunds</t>
  </si>
  <si>
    <t>5505</t>
  </si>
  <si>
    <t>Government grant (operating) - EPWP</t>
  </si>
  <si>
    <t>Fuel and Oil: Other</t>
  </si>
  <si>
    <t>5510</t>
  </si>
  <si>
    <t>5515</t>
  </si>
  <si>
    <t>Penalties</t>
  </si>
  <si>
    <t>Community Assets</t>
  </si>
  <si>
    <t>Library Membership fees</t>
  </si>
  <si>
    <t>5520</t>
  </si>
  <si>
    <t>Road and Transport</t>
  </si>
  <si>
    <t>Licences and permits</t>
  </si>
  <si>
    <t>5525</t>
  </si>
  <si>
    <t>Grave Fees</t>
  </si>
  <si>
    <t>PPE - Plant and machinery</t>
  </si>
  <si>
    <t>5530</t>
  </si>
  <si>
    <t>Service charges</t>
  </si>
  <si>
    <t>Environmental &amp; Waste Management</t>
  </si>
  <si>
    <t>Consumer debtors - Refuse</t>
  </si>
  <si>
    <t>Environmental rehabilitation</t>
  </si>
  <si>
    <t>6002</t>
  </si>
  <si>
    <t>6005</t>
  </si>
  <si>
    <t>6006</t>
  </si>
  <si>
    <t>Plant Hire</t>
  </si>
  <si>
    <t>Property, plant and equipment (Mig)</t>
  </si>
  <si>
    <t>6007</t>
  </si>
  <si>
    <t>Government grant (operating) - Mig</t>
  </si>
  <si>
    <t>Government grant (capital) - Mig</t>
  </si>
  <si>
    <t>PMU - MIG Salaries</t>
  </si>
  <si>
    <t>6008</t>
  </si>
  <si>
    <t>Illegal Connections Fines</t>
  </si>
  <si>
    <t>New Connections</t>
  </si>
  <si>
    <t>Free Basic Electricity</t>
  </si>
  <si>
    <t>Electricity - Eskom</t>
  </si>
  <si>
    <t>Bulk purchases</t>
  </si>
  <si>
    <t>Consumer debtors - Electricity</t>
  </si>
  <si>
    <t>6015</t>
  </si>
  <si>
    <t>Commission Received</t>
  </si>
  <si>
    <t>Sale of water</t>
  </si>
  <si>
    <t>Water Interest</t>
  </si>
  <si>
    <t>Water and Sanitation</t>
  </si>
  <si>
    <t>Debt impairment - Provision</t>
  </si>
  <si>
    <t>Departmental: Water</t>
  </si>
  <si>
    <t>6016</t>
  </si>
  <si>
    <t>Sewerage and sanitation charges</t>
  </si>
  <si>
    <t>Sanitation Interest</t>
  </si>
  <si>
    <t>Actuarial losses</t>
  </si>
  <si>
    <t>Actuarial losses - Medical</t>
  </si>
  <si>
    <t>Loss on disposal of assets and liabilities</t>
  </si>
  <si>
    <t>Government grant (operating) - CDM</t>
  </si>
  <si>
    <t>Government grant (capital) - MSIG</t>
  </si>
  <si>
    <t>Actuarial losses - Long service</t>
  </si>
  <si>
    <t>CDM Commission Expense</t>
  </si>
  <si>
    <t>Finance lease obligation (Non Current)</t>
  </si>
  <si>
    <t>Other Creditors</t>
  </si>
  <si>
    <t>Post retirement benefits - Interest Paid</t>
  </si>
  <si>
    <t>Finance Lease - Interest Paid</t>
  </si>
  <si>
    <t>Government grant (operating) -cdm</t>
  </si>
  <si>
    <t>Rehabilitation cost</t>
  </si>
  <si>
    <t>Government grant (operating) cdm</t>
  </si>
  <si>
    <t>RAL Roads expenditure</t>
  </si>
  <si>
    <t>Transaction handling fees</t>
  </si>
  <si>
    <t>PPE - Finance Leased Assets</t>
  </si>
  <si>
    <t>LOSS ON DISPOSAL OF ASSET</t>
  </si>
  <si>
    <t>TOTAL : LOSS ON DISPOSAL OF ASSET</t>
  </si>
  <si>
    <t>60066472420FCC77ZZ11</t>
  </si>
  <si>
    <t>60066473520MGC78ZZWM</t>
  </si>
  <si>
    <t>60066450020MGC79ZZWM</t>
  </si>
  <si>
    <t xml:space="preserve">       </t>
  </si>
  <si>
    <t xml:space="preserve">                                           ANNUAL DRAFT  BUDGET</t>
  </si>
  <si>
    <t xml:space="preserve">                                      2020/2021</t>
  </si>
  <si>
    <t>Approved Adjustment Budget  2019/20</t>
  </si>
  <si>
    <t>Draft Annual Budget 2020/21</t>
  </si>
  <si>
    <t>Draft Annual Budget 2021/22</t>
  </si>
  <si>
    <t>Draft Annual Budget 2022/23</t>
  </si>
  <si>
    <t>3505230572FPRMRCZZWM</t>
  </si>
  <si>
    <t>OC: TOLL GATE FEES FLEET</t>
  </si>
  <si>
    <t>35052305770PRMRCZZHO</t>
  </si>
  <si>
    <t>OC: T&amp;S DOM - DAILY ALLOWANCE</t>
  </si>
  <si>
    <t>35052305780EQMRCZZHO</t>
  </si>
  <si>
    <t>OC: T&amp;S DOM - FOOD &amp; BEVERAGE (SERVED)</t>
  </si>
  <si>
    <t>35052305790EQMRCZZHO</t>
  </si>
  <si>
    <t>35052305800ORMRCZZHO</t>
  </si>
  <si>
    <t>35052305810EQMRCZZHO</t>
  </si>
  <si>
    <t>35052305830EQMRCZZHO</t>
  </si>
  <si>
    <t>35052305840EQMRCZZHO</t>
  </si>
  <si>
    <t>35052305850EQMRCZZHO</t>
  </si>
  <si>
    <t>OC: T&amp;S DOM - INCIDENTAL COST</t>
  </si>
  <si>
    <t>OC: T&amp;S DOM TRP - W/OUT OPR OWN TRANSPRT</t>
  </si>
  <si>
    <t>OC: T&amp;S DOM PUB TRP - AIR TRANSPORT</t>
  </si>
  <si>
    <t>OC: T&amp;S DOM PUB TRP - RAILWAY TRANSPORT</t>
  </si>
  <si>
    <t>OC: T&amp;S DOM PUB TRP - ROAD TRANSPORT</t>
  </si>
  <si>
    <t xml:space="preserve">ICT EQUIPMENT </t>
  </si>
  <si>
    <t>Women</t>
  </si>
  <si>
    <t>Youth</t>
  </si>
  <si>
    <t>SMART METERS</t>
  </si>
  <si>
    <t>Library week</t>
  </si>
  <si>
    <t>TOTAL REVENUE</t>
  </si>
  <si>
    <t>LG SETA TRAINING</t>
  </si>
  <si>
    <t>EF&amp;DSMG</t>
  </si>
  <si>
    <t>INEP</t>
  </si>
  <si>
    <t>Eisleben Upgrading of Internal Streets</t>
  </si>
  <si>
    <t>Maupye Upgrading of Internal Streets</t>
  </si>
  <si>
    <t>Mokgehle Upgrading of Internal Streets</t>
  </si>
  <si>
    <t>HIGHMASTS</t>
  </si>
  <si>
    <t xml:space="preserve">ELECTRIFICATION </t>
  </si>
  <si>
    <t>AFS</t>
  </si>
  <si>
    <t>STANDY GENERATORS</t>
  </si>
  <si>
    <t>CONSTRUCTION OF MECHANICAL WORKSHOP</t>
  </si>
  <si>
    <t>EVENT MANAGEMENT EQUIPMENTS</t>
  </si>
  <si>
    <t>DEBTORS ANALYSIS</t>
  </si>
  <si>
    <t>TOTAL OPERATING EXPENDITURE</t>
  </si>
  <si>
    <t>TOTAL CAPITAL EXPENDITURE</t>
  </si>
  <si>
    <t>PROMOTIONAL ITEMS</t>
  </si>
  <si>
    <t>mechanic p</t>
  </si>
  <si>
    <t>OPR LEASES: FLEET</t>
  </si>
  <si>
    <t>LED SUPPORT</t>
  </si>
  <si>
    <t>SURVEYING OF EXISTING SETTLEMENTS</t>
  </si>
  <si>
    <t>AGRICULTURAL SKILLS DEV. &amp; MENTORSHIP</t>
  </si>
  <si>
    <t>Department</t>
  </si>
  <si>
    <t>All dept</t>
  </si>
  <si>
    <t>ALL</t>
  </si>
  <si>
    <t>REVENUE ENHANCEMENT STRATEGY</t>
  </si>
  <si>
    <t>TRACTOR GRASS CUTTER</t>
  </si>
  <si>
    <t>6m3 BULK REFUSE CONTAINERS</t>
  </si>
  <si>
    <t>COMPILATION OF VALUATION ROLL</t>
  </si>
  <si>
    <t>Upgrading of Marowe Internal Street from Gravel to Surface.</t>
  </si>
  <si>
    <t>Upgrading of Phaudi Park Internal Street from Gravel to Surface.</t>
  </si>
  <si>
    <t>Upgrading of Ga-Sako Park Internal Street from Gravel to Surface.</t>
  </si>
  <si>
    <t>Upgrading of Broekman Park Internal Street from Gravel to Surface.</t>
  </si>
  <si>
    <t>Electrification of 1350 Households in Fatima Village Phase 1.</t>
  </si>
  <si>
    <t>Upgrading of 300 Street Lights in Mogwadi and Morebeng</t>
  </si>
  <si>
    <t>350523815_new 1</t>
  </si>
  <si>
    <t>350623_new</t>
  </si>
  <si>
    <t>350761_new</t>
  </si>
  <si>
    <t>3510230_new 1</t>
  </si>
  <si>
    <t>401023_new</t>
  </si>
  <si>
    <t>50202260_new 1</t>
  </si>
  <si>
    <t>502022_NEW1</t>
  </si>
  <si>
    <t>5515642_new 2</t>
  </si>
  <si>
    <t>5515642_new 1</t>
  </si>
  <si>
    <t>600664_ new1</t>
  </si>
  <si>
    <t>600664_new3</t>
  </si>
  <si>
    <t>600664_new4</t>
  </si>
  <si>
    <t>600664_new5</t>
  </si>
  <si>
    <t>600664_new6</t>
  </si>
  <si>
    <t>6008643_new3</t>
  </si>
  <si>
    <t>6008643_new2</t>
  </si>
  <si>
    <t>6008643_new1</t>
  </si>
  <si>
    <t>6008643_new4</t>
  </si>
  <si>
    <t>6008643_new5</t>
  </si>
  <si>
    <t>6008643_new6</t>
  </si>
  <si>
    <t>6008643_new7</t>
  </si>
  <si>
    <t>60081_new1</t>
  </si>
  <si>
    <t>60081_new2</t>
  </si>
  <si>
    <t>e/i/c</t>
  </si>
  <si>
    <t>cap</t>
  </si>
  <si>
    <t>Summary per type</t>
  </si>
  <si>
    <t>funding</t>
  </si>
  <si>
    <t>1</t>
  </si>
  <si>
    <t>F2ZZZ</t>
  </si>
  <si>
    <t>2</t>
  </si>
  <si>
    <t>Employee Related Cost</t>
  </si>
  <si>
    <t>EQMRC</t>
  </si>
  <si>
    <t>Contracted Services</t>
  </si>
  <si>
    <t>ORMRC</t>
  </si>
  <si>
    <t>ORR08</t>
  </si>
  <si>
    <t>ORS64</t>
  </si>
  <si>
    <t>ORR22</t>
  </si>
  <si>
    <t>Operational Cost</t>
  </si>
  <si>
    <t>PRMRC</t>
  </si>
  <si>
    <t>ORP96</t>
  </si>
  <si>
    <t>ORS05</t>
  </si>
  <si>
    <t>Inventory</t>
  </si>
  <si>
    <t xml:space="preserve">Operating Lease </t>
  </si>
  <si>
    <t>ew 1</t>
  </si>
  <si>
    <t>Depreciation &amp; Amortisation</t>
  </si>
  <si>
    <t>6</t>
  </si>
  <si>
    <t>ORC46</t>
  </si>
  <si>
    <t>FCC18</t>
  </si>
  <si>
    <t>ORZZZ</t>
  </si>
  <si>
    <t>EQP04</t>
  </si>
  <si>
    <t>ORS63</t>
  </si>
  <si>
    <t>ORP42</t>
  </si>
  <si>
    <t/>
  </si>
  <si>
    <t>ORP19</t>
  </si>
  <si>
    <t>PRP70</t>
  </si>
  <si>
    <t>FMS14</t>
  </si>
  <si>
    <t>FCC17</t>
  </si>
  <si>
    <t>ORR58</t>
  </si>
  <si>
    <t>ORR33</t>
  </si>
  <si>
    <t>ORR39</t>
  </si>
  <si>
    <t>FCC63</t>
  </si>
  <si>
    <t>FCC59</t>
  </si>
  <si>
    <t>ORS32</t>
  </si>
  <si>
    <t>ORS57</t>
  </si>
  <si>
    <t>3</t>
  </si>
  <si>
    <t xml:space="preserve">Loss on disposal of asset </t>
  </si>
  <si>
    <t>ORP21</t>
  </si>
  <si>
    <t>DRZZZ</t>
  </si>
  <si>
    <t>ORP61</t>
  </si>
  <si>
    <t>ORP64</t>
  </si>
  <si>
    <t>F2P88</t>
  </si>
  <si>
    <t>ORP01</t>
  </si>
  <si>
    <t>ORP93</t>
  </si>
  <si>
    <t>ORR91</t>
  </si>
  <si>
    <t>ORS04</t>
  </si>
  <si>
    <t>ORP66</t>
  </si>
  <si>
    <t xml:space="preserve"> 1</t>
  </si>
  <si>
    <t>ORS30</t>
  </si>
  <si>
    <t>ORS77</t>
  </si>
  <si>
    <t>ORS72</t>
  </si>
  <si>
    <t>ORP25</t>
  </si>
  <si>
    <t>ORR07</t>
  </si>
  <si>
    <t>ORS67</t>
  </si>
  <si>
    <t>DBS45</t>
  </si>
  <si>
    <t>FCC74</t>
  </si>
  <si>
    <t>ORS70</t>
  </si>
  <si>
    <t>ORC34</t>
  </si>
  <si>
    <t>FMMRC</t>
  </si>
  <si>
    <t>Remuneration of Councillors</t>
  </si>
  <si>
    <t>ORP67</t>
  </si>
  <si>
    <t>ORS73</t>
  </si>
  <si>
    <t>ORS74</t>
  </si>
  <si>
    <t>ORS75</t>
  </si>
  <si>
    <t>ORS79</t>
  </si>
  <si>
    <t>ORS81</t>
  </si>
  <si>
    <t>ORS83</t>
  </si>
  <si>
    <t>ORP24</t>
  </si>
  <si>
    <t>ORP75</t>
  </si>
  <si>
    <t>PRZZZ</t>
  </si>
  <si>
    <t>PRRB6</t>
  </si>
  <si>
    <t>PRRB1</t>
  </si>
  <si>
    <t>F5ZZZ</t>
  </si>
  <si>
    <t>FMZZZ</t>
  </si>
  <si>
    <t>EQZZZ</t>
  </si>
  <si>
    <t>IDZZZ</t>
  </si>
  <si>
    <t>ORP78</t>
  </si>
  <si>
    <t>ORP10</t>
  </si>
  <si>
    <t>FMS20</t>
  </si>
  <si>
    <t>XTZZZ</t>
  </si>
  <si>
    <t>FCC53</t>
  </si>
  <si>
    <t>w 1</t>
  </si>
  <si>
    <t>FMS76</t>
  </si>
  <si>
    <t>F3MRC</t>
  </si>
  <si>
    <t>Bad Debts Written off</t>
  </si>
  <si>
    <t>FCC90</t>
  </si>
  <si>
    <t>ORS44</t>
  </si>
  <si>
    <t>Interest Divid &amp; rent lan</t>
  </si>
  <si>
    <t>F7ZZZ</t>
  </si>
  <si>
    <t>ORR15</t>
  </si>
  <si>
    <t>ORP12</t>
  </si>
  <si>
    <t>RFZZZ</t>
  </si>
  <si>
    <t>ORR88</t>
  </si>
  <si>
    <t>ORR69</t>
  </si>
  <si>
    <t>ORR99</t>
  </si>
  <si>
    <t>ORS66</t>
  </si>
  <si>
    <t>FCC80</t>
  </si>
  <si>
    <t>FCC81</t>
  </si>
  <si>
    <t xml:space="preserve"> 2</t>
  </si>
  <si>
    <t>F6ZZZ</t>
  </si>
  <si>
    <t>ORR21</t>
  </si>
  <si>
    <t>FCC66</t>
  </si>
  <si>
    <t>ORR64</t>
  </si>
  <si>
    <t>F8ZZZ</t>
  </si>
  <si>
    <t>F7P57</t>
  </si>
  <si>
    <t>F8P50</t>
  </si>
  <si>
    <t>F8S39</t>
  </si>
  <si>
    <t>ORR54</t>
  </si>
  <si>
    <t>ORS54</t>
  </si>
  <si>
    <t>ORR50</t>
  </si>
  <si>
    <t>600664_ new2</t>
  </si>
  <si>
    <t>FCC83</t>
  </si>
  <si>
    <t>MGC79</t>
  </si>
  <si>
    <t>FCC87</t>
  </si>
  <si>
    <t>FCC77</t>
  </si>
  <si>
    <t>FCC89</t>
  </si>
  <si>
    <t>MGC30</t>
  </si>
  <si>
    <t>MGC33</t>
  </si>
  <si>
    <t>MGC35</t>
  </si>
  <si>
    <t>MGC69</t>
  </si>
  <si>
    <t>MGC70</t>
  </si>
  <si>
    <t>FCC93</t>
  </si>
  <si>
    <t>FCC94</t>
  </si>
  <si>
    <t>MGC78</t>
  </si>
  <si>
    <t>FCC95</t>
  </si>
  <si>
    <t>F9ZZZ</t>
  </si>
  <si>
    <t>MGZZZ</t>
  </si>
  <si>
    <t>F9P90</t>
  </si>
  <si>
    <t>ORS78</t>
  </si>
  <si>
    <t>F3ZZZ</t>
  </si>
  <si>
    <t>EQFB1</t>
  </si>
  <si>
    <t>ORR44</t>
  </si>
  <si>
    <t>Bulk Purchases</t>
  </si>
  <si>
    <t>4</t>
  </si>
  <si>
    <t>5</t>
  </si>
  <si>
    <t>FCC54</t>
  </si>
  <si>
    <t>FCC84</t>
  </si>
  <si>
    <t>WTZZZ</t>
  </si>
  <si>
    <t>FAZZZ</t>
  </si>
  <si>
    <t>WTMRC</t>
  </si>
  <si>
    <t>WWZZZ</t>
  </si>
  <si>
    <t>summary type</t>
  </si>
  <si>
    <t>Row Labels</t>
  </si>
  <si>
    <t>(blank)</t>
  </si>
  <si>
    <t>Grand Total</t>
  </si>
  <si>
    <t>Sum of Draft Annual Budget 2020/21</t>
  </si>
  <si>
    <t>Sum of Draft Annual Budget 2021/22</t>
  </si>
  <si>
    <t>Sum of Draft Annual Budget 2022/23</t>
  </si>
  <si>
    <t>item number</t>
  </si>
  <si>
    <t>SCANNERS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</si>
</sst>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(* #,##0_);_(* \(#,##0\);_(* &quot;-&quot;_);_(@_)"/>
    <numFmt numFmtId="43" formatCode="_(* #,##0.00_);_(* \(#,##0.00\);_(* &quot;-&quot;??_);_(@_)"/>
    <numFmt numFmtId="164" formatCode="_-* #,##0_-;\-* #,##0_-;_-* &quot;-&quot;_-;_-@_-"/>
    <numFmt numFmtId="165" formatCode="_ * #,##0_ ;_ * \-#,##0_ ;_ * &quot;-&quot;_ ;_ @_ "/>
    <numFmt numFmtId="166" formatCode="_ * #,##0.00_ ;_ * \-#,##0.00_ ;_ * &quot;-&quot;??_ ;_ @_ 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sz val="11"/>
      <color rgb="FFFF0000"/>
      <name val="Arial"/>
      <family val="2"/>
    </font>
    <font>
      <b/>
      <sz val="18"/>
      <color indexed="8"/>
      <name val="Arial"/>
      <family val="2"/>
    </font>
    <font>
      <sz val="18"/>
      <color theme="1"/>
      <name val="Arial"/>
      <family val="2"/>
    </font>
    <font>
      <b/>
      <sz val="20"/>
      <color indexed="8"/>
      <name val="Arial"/>
      <family val="2"/>
    </font>
    <font>
      <b/>
      <sz val="11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6" fontId="1" fillId="0" borderId="0" applyFont="0" applyFill="0" applyBorder="0" applyAlignment="0" applyProtection="0"/>
  </cellStyleXfs>
  <cellXfs count="259">
    <xf numFmtId="0" fontId="0" fillId="0" borderId="0" xfId="0"/>
    <xf numFmtId="0" fontId="18" fillId="0" borderId="0" xfId="0" applyFont="1"/>
    <xf numFmtId="0" fontId="19" fillId="0" borderId="0" xfId="0" applyFont="1"/>
    <xf numFmtId="1" fontId="19" fillId="0" borderId="10" xfId="0" applyNumberFormat="1" applyFont="1" applyBorder="1"/>
    <xf numFmtId="0" fontId="19" fillId="0" borderId="10" xfId="0" applyFont="1" applyBorder="1"/>
    <xf numFmtId="165" fontId="19" fillId="0" borderId="10" xfId="0" applyNumberFormat="1" applyFont="1" applyBorder="1"/>
    <xf numFmtId="165" fontId="19" fillId="0" borderId="10" xfId="0" applyNumberFormat="1" applyFont="1" applyBorder="1" applyAlignment="1">
      <alignment wrapText="1"/>
    </xf>
    <xf numFmtId="1" fontId="18" fillId="0" borderId="10" xfId="0" applyNumberFormat="1" applyFont="1" applyBorder="1"/>
    <xf numFmtId="0" fontId="18" fillId="0" borderId="10" xfId="0" applyFont="1" applyBorder="1"/>
    <xf numFmtId="165" fontId="18" fillId="0" borderId="10" xfId="0" applyNumberFormat="1" applyFont="1" applyBorder="1"/>
    <xf numFmtId="0" fontId="19" fillId="0" borderId="11" xfId="0" applyFont="1" applyBorder="1"/>
    <xf numFmtId="0" fontId="19" fillId="0" borderId="14" xfId="0" applyFont="1" applyBorder="1"/>
    <xf numFmtId="0" fontId="19" fillId="0" borderId="15" xfId="0" applyFont="1" applyBorder="1" applyAlignment="1">
      <alignment wrapText="1"/>
    </xf>
    <xf numFmtId="165" fontId="19" fillId="0" borderId="16" xfId="42" applyNumberFormat="1" applyFont="1" applyBorder="1" applyAlignment="1">
      <alignment wrapText="1"/>
    </xf>
    <xf numFmtId="165" fontId="19" fillId="0" borderId="15" xfId="0" applyNumberFormat="1" applyFont="1" applyBorder="1" applyAlignment="1">
      <alignment wrapText="1"/>
    </xf>
    <xf numFmtId="0" fontId="18" fillId="0" borderId="17" xfId="0" applyFont="1" applyBorder="1"/>
    <xf numFmtId="0" fontId="18" fillId="0" borderId="20" xfId="0" applyFont="1" applyBorder="1"/>
    <xf numFmtId="0" fontId="18" fillId="0" borderId="21" xfId="0" applyFont="1" applyBorder="1"/>
    <xf numFmtId="0" fontId="19" fillId="0" borderId="20" xfId="0" applyFont="1" applyBorder="1"/>
    <xf numFmtId="0" fontId="18" fillId="0" borderId="23" xfId="0" applyFont="1" applyBorder="1"/>
    <xf numFmtId="1" fontId="20" fillId="0" borderId="10" xfId="0" applyNumberFormat="1" applyFont="1" applyFill="1" applyBorder="1"/>
    <xf numFmtId="0" fontId="20" fillId="0" borderId="10" xfId="0" applyFont="1" applyFill="1" applyBorder="1"/>
    <xf numFmtId="41" fontId="20" fillId="0" borderId="10" xfId="0" applyNumberFormat="1" applyFont="1" applyFill="1" applyBorder="1"/>
    <xf numFmtId="165" fontId="21" fillId="0" borderId="10" xfId="0" applyNumberFormat="1" applyFont="1" applyFill="1" applyBorder="1"/>
    <xf numFmtId="0" fontId="20" fillId="0" borderId="0" xfId="0" applyFont="1" applyFill="1"/>
    <xf numFmtId="1" fontId="21" fillId="0" borderId="10" xfId="0" applyNumberFormat="1" applyFont="1" applyFill="1" applyBorder="1"/>
    <xf numFmtId="0" fontId="21" fillId="0" borderId="10" xfId="0" applyFont="1" applyFill="1" applyBorder="1"/>
    <xf numFmtId="41" fontId="21" fillId="0" borderId="10" xfId="0" applyNumberFormat="1" applyFont="1" applyFill="1" applyBorder="1"/>
    <xf numFmtId="0" fontId="21" fillId="0" borderId="0" xfId="0" applyFont="1" applyFill="1"/>
    <xf numFmtId="165" fontId="20" fillId="0" borderId="10" xfId="0" applyNumberFormat="1" applyFont="1" applyFill="1" applyBorder="1"/>
    <xf numFmtId="0" fontId="22" fillId="0" borderId="0" xfId="0" applyFont="1" applyFill="1"/>
    <xf numFmtId="1" fontId="23" fillId="0" borderId="10" xfId="0" applyNumberFormat="1" applyFont="1" applyBorder="1"/>
    <xf numFmtId="0" fontId="23" fillId="0" borderId="10" xfId="0" applyFont="1" applyBorder="1"/>
    <xf numFmtId="0" fontId="23" fillId="0" borderId="0" xfId="0" applyFont="1"/>
    <xf numFmtId="41" fontId="19" fillId="0" borderId="10" xfId="0" applyNumberFormat="1" applyFont="1" applyBorder="1"/>
    <xf numFmtId="41" fontId="18" fillId="0" borderId="10" xfId="0" applyNumberFormat="1" applyFont="1" applyBorder="1"/>
    <xf numFmtId="41" fontId="0" fillId="0" borderId="0" xfId="0" applyNumberFormat="1"/>
    <xf numFmtId="41" fontId="18" fillId="0" borderId="0" xfId="0" applyNumberFormat="1" applyFont="1"/>
    <xf numFmtId="41" fontId="19" fillId="0" borderId="0" xfId="0" applyNumberFormat="1" applyFont="1"/>
    <xf numFmtId="164" fontId="19" fillId="0" borderId="0" xfId="0" applyNumberFormat="1" applyFont="1"/>
    <xf numFmtId="0" fontId="19" fillId="0" borderId="15" xfId="0" applyFont="1" applyBorder="1"/>
    <xf numFmtId="41" fontId="19" fillId="0" borderId="15" xfId="0" applyNumberFormat="1" applyFont="1" applyBorder="1" applyAlignment="1">
      <alignment wrapText="1"/>
    </xf>
    <xf numFmtId="0" fontId="19" fillId="0" borderId="14" xfId="0" applyFont="1" applyBorder="1" applyAlignment="1">
      <alignment wrapText="1"/>
    </xf>
    <xf numFmtId="164" fontId="19" fillId="0" borderId="14" xfId="0" applyNumberFormat="1" applyFont="1" applyBorder="1" applyAlignment="1">
      <alignment wrapText="1"/>
    </xf>
    <xf numFmtId="41" fontId="19" fillId="0" borderId="14" xfId="0" applyNumberFormat="1" applyFont="1" applyBorder="1" applyAlignment="1">
      <alignment wrapText="1"/>
    </xf>
    <xf numFmtId="41" fontId="18" fillId="0" borderId="17" xfId="0" applyNumberFormat="1" applyFont="1" applyBorder="1"/>
    <xf numFmtId="41" fontId="18" fillId="0" borderId="21" xfId="0" applyNumberFormat="1" applyFont="1" applyBorder="1"/>
    <xf numFmtId="166" fontId="18" fillId="0" borderId="20" xfId="0" applyNumberFormat="1" applyFont="1" applyBorder="1"/>
    <xf numFmtId="164" fontId="18" fillId="0" borderId="26" xfId="0" applyNumberFormat="1" applyFont="1" applyBorder="1"/>
    <xf numFmtId="41" fontId="18" fillId="0" borderId="18" xfId="0" applyNumberFormat="1" applyFont="1" applyBorder="1"/>
    <xf numFmtId="41" fontId="18" fillId="0" borderId="20" xfId="0" applyNumberFormat="1" applyFont="1" applyBorder="1"/>
    <xf numFmtId="164" fontId="18" fillId="0" borderId="21" xfId="0" applyNumberFormat="1" applyFont="1" applyBorder="1"/>
    <xf numFmtId="164" fontId="18" fillId="0" borderId="20" xfId="0" applyNumberFormat="1" applyFont="1" applyBorder="1"/>
    <xf numFmtId="0" fontId="18" fillId="0" borderId="27" xfId="0" applyFont="1" applyBorder="1"/>
    <xf numFmtId="41" fontId="18" fillId="0" borderId="28" xfId="0" applyNumberFormat="1" applyFont="1" applyBorder="1"/>
    <xf numFmtId="166" fontId="18" fillId="0" borderId="28" xfId="0" applyNumberFormat="1" applyFont="1" applyBorder="1"/>
    <xf numFmtId="0" fontId="18" fillId="0" borderId="28" xfId="0" applyFont="1" applyBorder="1"/>
    <xf numFmtId="164" fontId="18" fillId="0" borderId="27" xfId="0" applyNumberFormat="1" applyFont="1" applyBorder="1"/>
    <xf numFmtId="41" fontId="18" fillId="0" borderId="27" xfId="0" applyNumberFormat="1" applyFont="1" applyBorder="1"/>
    <xf numFmtId="166" fontId="19" fillId="0" borderId="15" xfId="0" applyNumberFormat="1" applyFont="1" applyBorder="1"/>
    <xf numFmtId="41" fontId="19" fillId="0" borderId="15" xfId="0" applyNumberFormat="1" applyFont="1" applyBorder="1"/>
    <xf numFmtId="166" fontId="19" fillId="0" borderId="14" xfId="0" applyNumberFormat="1" applyFont="1" applyBorder="1"/>
    <xf numFmtId="41" fontId="19" fillId="0" borderId="14" xfId="0" applyNumberFormat="1" applyFont="1" applyBorder="1"/>
    <xf numFmtId="164" fontId="19" fillId="0" borderId="14" xfId="0" applyNumberFormat="1" applyFont="1" applyBorder="1"/>
    <xf numFmtId="164" fontId="18" fillId="0" borderId="0" xfId="0" applyNumberFormat="1" applyFont="1"/>
    <xf numFmtId="43" fontId="18" fillId="0" borderId="0" xfId="0" applyNumberFormat="1" applyFont="1"/>
    <xf numFmtId="166" fontId="18" fillId="0" borderId="0" xfId="0" applyNumberFormat="1" applyFont="1"/>
    <xf numFmtId="166" fontId="0" fillId="0" borderId="0" xfId="42" applyFont="1"/>
    <xf numFmtId="0" fontId="16" fillId="0" borderId="0" xfId="0" applyFont="1"/>
    <xf numFmtId="166" fontId="16" fillId="0" borderId="0" xfId="42" applyFont="1"/>
    <xf numFmtId="165" fontId="20" fillId="0" borderId="10" xfId="0" applyNumberFormat="1" applyFont="1" applyFill="1" applyBorder="1" applyAlignment="1">
      <alignment wrapText="1"/>
    </xf>
    <xf numFmtId="0" fontId="20" fillId="0" borderId="10" xfId="0" applyFont="1" applyFill="1" applyBorder="1" applyAlignment="1">
      <alignment wrapText="1"/>
    </xf>
    <xf numFmtId="165" fontId="20" fillId="0" borderId="0" xfId="0" applyNumberFormat="1" applyFont="1" applyFill="1"/>
    <xf numFmtId="0" fontId="22" fillId="0" borderId="10" xfId="0" applyFont="1" applyFill="1" applyBorder="1"/>
    <xf numFmtId="41" fontId="22" fillId="0" borderId="10" xfId="0" applyNumberFormat="1" applyFont="1" applyFill="1" applyBorder="1"/>
    <xf numFmtId="165" fontId="22" fillId="0" borderId="10" xfId="0" applyNumberFormat="1" applyFont="1" applyFill="1" applyBorder="1"/>
    <xf numFmtId="41" fontId="22" fillId="0" borderId="0" xfId="0" applyNumberFormat="1" applyFont="1" applyFill="1"/>
    <xf numFmtId="165" fontId="22" fillId="0" borderId="0" xfId="0" applyNumberFormat="1" applyFont="1" applyFill="1"/>
    <xf numFmtId="41" fontId="21" fillId="0" borderId="0" xfId="0" applyNumberFormat="1" applyFont="1" applyFill="1"/>
    <xf numFmtId="41" fontId="21" fillId="33" borderId="10" xfId="0" applyNumberFormat="1" applyFont="1" applyFill="1" applyBorder="1"/>
    <xf numFmtId="166" fontId="22" fillId="0" borderId="0" xfId="42" applyFont="1" applyFill="1"/>
    <xf numFmtId="0" fontId="19" fillId="0" borderId="0" xfId="0" applyFont="1" applyFill="1"/>
    <xf numFmtId="0" fontId="18" fillId="0" borderId="0" xfId="0" applyFont="1" applyFill="1"/>
    <xf numFmtId="165" fontId="18" fillId="0" borderId="0" xfId="0" applyNumberFormat="1" applyFont="1" applyFill="1"/>
    <xf numFmtId="166" fontId="20" fillId="0" borderId="10" xfId="42" applyFont="1" applyFill="1" applyBorder="1"/>
    <xf numFmtId="166" fontId="20" fillId="0" borderId="0" xfId="0" applyNumberFormat="1" applyFont="1" applyFill="1"/>
    <xf numFmtId="1" fontId="21" fillId="0" borderId="0" xfId="0" applyNumberFormat="1" applyFont="1" applyFill="1"/>
    <xf numFmtId="0" fontId="19" fillId="0" borderId="14" xfId="0" applyFont="1" applyFill="1" applyBorder="1"/>
    <xf numFmtId="0" fontId="18" fillId="0" borderId="17" xfId="0" applyFont="1" applyFill="1" applyBorder="1"/>
    <xf numFmtId="0" fontId="18" fillId="0" borderId="20" xfId="0" applyFont="1" applyFill="1" applyBorder="1"/>
    <xf numFmtId="0" fontId="19" fillId="0" borderId="20" xfId="0" applyFont="1" applyFill="1" applyBorder="1"/>
    <xf numFmtId="0" fontId="18" fillId="0" borderId="23" xfId="0" applyFont="1" applyFill="1" applyBorder="1"/>
    <xf numFmtId="166" fontId="0" fillId="34" borderId="0" xfId="42" applyFont="1" applyFill="1"/>
    <xf numFmtId="0" fontId="24" fillId="0" borderId="0" xfId="0" applyFont="1"/>
    <xf numFmtId="0" fontId="25" fillId="0" borderId="0" xfId="0" applyFont="1"/>
    <xf numFmtId="0" fontId="24" fillId="0" borderId="0" xfId="0" applyFont="1" applyAlignment="1">
      <alignment horizontal="justify"/>
    </xf>
    <xf numFmtId="0" fontId="24" fillId="0" borderId="0" xfId="0" applyFont="1" applyAlignment="1">
      <alignment horizontal="left" indent="5"/>
    </xf>
    <xf numFmtId="0" fontId="24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165" fontId="19" fillId="0" borderId="16" xfId="0" applyNumberFormat="1" applyFont="1" applyBorder="1" applyAlignment="1">
      <alignment wrapText="1"/>
    </xf>
    <xf numFmtId="165" fontId="20" fillId="0" borderId="32" xfId="0" applyNumberFormat="1" applyFont="1" applyFill="1" applyBorder="1" applyAlignment="1">
      <alignment wrapText="1"/>
    </xf>
    <xf numFmtId="165" fontId="20" fillId="0" borderId="32" xfId="0" applyNumberFormat="1" applyFont="1" applyFill="1" applyBorder="1"/>
    <xf numFmtId="165" fontId="21" fillId="0" borderId="32" xfId="0" applyNumberFormat="1" applyFont="1" applyFill="1" applyBorder="1"/>
    <xf numFmtId="166" fontId="21" fillId="0" borderId="10" xfId="42" applyFont="1" applyFill="1" applyBorder="1"/>
    <xf numFmtId="0" fontId="20" fillId="0" borderId="32" xfId="0" applyFont="1" applyFill="1" applyBorder="1"/>
    <xf numFmtId="41" fontId="21" fillId="0" borderId="32" xfId="0" applyNumberFormat="1" applyFont="1" applyFill="1" applyBorder="1"/>
    <xf numFmtId="0" fontId="21" fillId="0" borderId="32" xfId="0" applyFont="1" applyFill="1" applyBorder="1"/>
    <xf numFmtId="166" fontId="22" fillId="0" borderId="10" xfId="42" applyFont="1" applyFill="1" applyBorder="1"/>
    <xf numFmtId="165" fontId="22" fillId="0" borderId="32" xfId="0" applyNumberFormat="1" applyFont="1" applyFill="1" applyBorder="1"/>
    <xf numFmtId="1" fontId="20" fillId="35" borderId="30" xfId="0" applyNumberFormat="1" applyFont="1" applyFill="1" applyBorder="1"/>
    <xf numFmtId="0" fontId="20" fillId="35" borderId="31" xfId="0" applyFont="1" applyFill="1" applyBorder="1"/>
    <xf numFmtId="0" fontId="20" fillId="35" borderId="0" xfId="0" applyFont="1" applyFill="1" applyBorder="1"/>
    <xf numFmtId="0" fontId="20" fillId="35" borderId="0" xfId="0" applyFont="1" applyFill="1"/>
    <xf numFmtId="1" fontId="20" fillId="35" borderId="29" xfId="0" applyNumberFormat="1" applyFont="1" applyFill="1" applyBorder="1"/>
    <xf numFmtId="0" fontId="20" fillId="35" borderId="29" xfId="0" applyFont="1" applyFill="1" applyBorder="1"/>
    <xf numFmtId="0" fontId="20" fillId="35" borderId="10" xfId="0" applyFont="1" applyFill="1" applyBorder="1"/>
    <xf numFmtId="1" fontId="20" fillId="35" borderId="10" xfId="0" applyNumberFormat="1" applyFont="1" applyFill="1" applyBorder="1"/>
    <xf numFmtId="1" fontId="21" fillId="35" borderId="10" xfId="0" applyNumberFormat="1" applyFont="1" applyFill="1" applyBorder="1"/>
    <xf numFmtId="0" fontId="21" fillId="35" borderId="10" xfId="0" applyFont="1" applyFill="1" applyBorder="1"/>
    <xf numFmtId="165" fontId="21" fillId="35" borderId="10" xfId="0" applyNumberFormat="1" applyFont="1" applyFill="1" applyBorder="1"/>
    <xf numFmtId="0" fontId="21" fillId="35" borderId="0" xfId="0" applyFont="1" applyFill="1" applyBorder="1"/>
    <xf numFmtId="0" fontId="21" fillId="35" borderId="0" xfId="0" applyFont="1" applyFill="1"/>
    <xf numFmtId="0" fontId="22" fillId="35" borderId="0" xfId="0" applyFont="1" applyFill="1"/>
    <xf numFmtId="0" fontId="22" fillId="35" borderId="0" xfId="0" applyFont="1" applyFill="1" applyBorder="1"/>
    <xf numFmtId="165" fontId="21" fillId="35" borderId="0" xfId="0" applyNumberFormat="1" applyFont="1" applyFill="1" applyBorder="1"/>
    <xf numFmtId="41" fontId="20" fillId="35" borderId="10" xfId="0" applyNumberFormat="1" applyFont="1" applyFill="1" applyBorder="1" applyAlignment="1">
      <alignment wrapText="1"/>
    </xf>
    <xf numFmtId="41" fontId="20" fillId="35" borderId="10" xfId="0" applyNumberFormat="1" applyFont="1" applyFill="1" applyBorder="1"/>
    <xf numFmtId="41" fontId="21" fillId="35" borderId="10" xfId="0" applyNumberFormat="1" applyFont="1" applyFill="1" applyBorder="1"/>
    <xf numFmtId="41" fontId="22" fillId="35" borderId="0" xfId="0" applyNumberFormat="1" applyFont="1" applyFill="1"/>
    <xf numFmtId="41" fontId="19" fillId="0" borderId="10" xfId="0" applyNumberFormat="1" applyFont="1" applyBorder="1" applyAlignment="1">
      <alignment wrapText="1"/>
    </xf>
    <xf numFmtId="41" fontId="20" fillId="0" borderId="10" xfId="42" applyNumberFormat="1" applyFont="1" applyFill="1" applyBorder="1"/>
    <xf numFmtId="41" fontId="21" fillId="0" borderId="10" xfId="42" applyNumberFormat="1" applyFont="1" applyFill="1" applyBorder="1"/>
    <xf numFmtId="41" fontId="20" fillId="0" borderId="32" xfId="0" applyNumberFormat="1" applyFont="1" applyFill="1" applyBorder="1"/>
    <xf numFmtId="41" fontId="22" fillId="0" borderId="10" xfId="42" applyNumberFormat="1" applyFont="1" applyFill="1" applyBorder="1"/>
    <xf numFmtId="41" fontId="22" fillId="0" borderId="0" xfId="42" applyNumberFormat="1" applyFont="1" applyFill="1"/>
    <xf numFmtId="41" fontId="19" fillId="0" borderId="16" xfId="0" applyNumberFormat="1" applyFont="1" applyBorder="1" applyAlignment="1">
      <alignment wrapText="1"/>
    </xf>
    <xf numFmtId="41" fontId="20" fillId="0" borderId="32" xfId="0" applyNumberFormat="1" applyFont="1" applyFill="1" applyBorder="1" applyAlignment="1">
      <alignment wrapText="1"/>
    </xf>
    <xf numFmtId="41" fontId="21" fillId="0" borderId="0" xfId="42" applyNumberFormat="1" applyFont="1" applyFill="1"/>
    <xf numFmtId="0" fontId="22" fillId="35" borderId="10" xfId="0" applyFont="1" applyFill="1" applyBorder="1"/>
    <xf numFmtId="1" fontId="21" fillId="35" borderId="0" xfId="0" applyNumberFormat="1" applyFont="1" applyFill="1"/>
    <xf numFmtId="41" fontId="20" fillId="0" borderId="10" xfId="0" applyNumberFormat="1" applyFont="1" applyFill="1" applyBorder="1" applyAlignment="1">
      <alignment wrapText="1"/>
    </xf>
    <xf numFmtId="1" fontId="21" fillId="36" borderId="10" xfId="0" applyNumberFormat="1" applyFont="1" applyFill="1" applyBorder="1"/>
    <xf numFmtId="0" fontId="21" fillId="36" borderId="10" xfId="0" applyFont="1" applyFill="1" applyBorder="1"/>
    <xf numFmtId="41" fontId="21" fillId="36" borderId="10" xfId="0" applyNumberFormat="1" applyFont="1" applyFill="1" applyBorder="1"/>
    <xf numFmtId="41" fontId="21" fillId="36" borderId="32" xfId="0" applyNumberFormat="1" applyFont="1" applyFill="1" applyBorder="1"/>
    <xf numFmtId="41" fontId="21" fillId="36" borderId="10" xfId="42" applyNumberFormat="1" applyFont="1" applyFill="1" applyBorder="1"/>
    <xf numFmtId="0" fontId="21" fillId="36" borderId="0" xfId="0" applyFont="1" applyFill="1"/>
    <xf numFmtId="41" fontId="19" fillId="0" borderId="18" xfId="0" applyNumberFormat="1" applyFont="1" applyBorder="1"/>
    <xf numFmtId="41" fontId="19" fillId="0" borderId="21" xfId="0" applyNumberFormat="1" applyFont="1" applyBorder="1"/>
    <xf numFmtId="41" fontId="19" fillId="0" borderId="24" xfId="0" applyNumberFormat="1" applyFont="1" applyBorder="1"/>
    <xf numFmtId="41" fontId="20" fillId="0" borderId="0" xfId="0" applyNumberFormat="1" applyFont="1" applyFill="1"/>
    <xf numFmtId="41" fontId="22" fillId="0" borderId="32" xfId="0" applyNumberFormat="1" applyFont="1" applyFill="1" applyBorder="1"/>
    <xf numFmtId="41" fontId="19" fillId="0" borderId="16" xfId="42" applyNumberFormat="1" applyFont="1" applyBorder="1" applyAlignment="1">
      <alignment wrapText="1"/>
    </xf>
    <xf numFmtId="41" fontId="19" fillId="0" borderId="10" xfId="42" applyNumberFormat="1" applyFont="1" applyBorder="1"/>
    <xf numFmtId="41" fontId="18" fillId="0" borderId="10" xfId="42" applyNumberFormat="1" applyFont="1" applyBorder="1"/>
    <xf numFmtId="41" fontId="0" fillId="0" borderId="0" xfId="42" applyNumberFormat="1" applyFont="1"/>
    <xf numFmtId="41" fontId="20" fillId="35" borderId="31" xfId="0" applyNumberFormat="1" applyFont="1" applyFill="1" applyBorder="1" applyAlignment="1">
      <alignment wrapText="1"/>
    </xf>
    <xf numFmtId="41" fontId="20" fillId="35" borderId="31" xfId="42" applyNumberFormat="1" applyFont="1" applyFill="1" applyBorder="1" applyAlignment="1">
      <alignment wrapText="1"/>
    </xf>
    <xf numFmtId="41" fontId="20" fillId="35" borderId="31" xfId="0" applyNumberFormat="1" applyFont="1" applyFill="1" applyBorder="1"/>
    <xf numFmtId="41" fontId="20" fillId="35" borderId="29" xfId="0" applyNumberFormat="1" applyFont="1" applyFill="1" applyBorder="1"/>
    <xf numFmtId="41" fontId="20" fillId="35" borderId="29" xfId="0" applyNumberFormat="1" applyFont="1" applyFill="1" applyBorder="1" applyAlignment="1">
      <alignment wrapText="1"/>
    </xf>
    <xf numFmtId="41" fontId="19" fillId="0" borderId="12" xfId="42" applyNumberFormat="1" applyFont="1" applyBorder="1"/>
    <xf numFmtId="41" fontId="19" fillId="0" borderId="12" xfId="0" applyNumberFormat="1" applyFont="1" applyBorder="1"/>
    <xf numFmtId="41" fontId="19" fillId="0" borderId="13" xfId="0" applyNumberFormat="1" applyFont="1" applyBorder="1"/>
    <xf numFmtId="41" fontId="19" fillId="0" borderId="15" xfId="42" applyNumberFormat="1" applyFont="1" applyBorder="1" applyAlignment="1">
      <alignment wrapText="1"/>
    </xf>
    <xf numFmtId="41" fontId="18" fillId="0" borderId="18" xfId="42" applyNumberFormat="1" applyFont="1" applyBorder="1" applyAlignment="1">
      <alignment wrapText="1"/>
    </xf>
    <xf numFmtId="41" fontId="18" fillId="0" borderId="19" xfId="42" applyNumberFormat="1" applyFont="1" applyBorder="1" applyAlignment="1">
      <alignment wrapText="1"/>
    </xf>
    <xf numFmtId="41" fontId="18" fillId="0" borderId="18" xfId="0" applyNumberFormat="1" applyFont="1" applyBorder="1" applyAlignment="1">
      <alignment wrapText="1"/>
    </xf>
    <xf numFmtId="41" fontId="18" fillId="0" borderId="19" xfId="0" applyNumberFormat="1" applyFont="1" applyBorder="1" applyAlignment="1">
      <alignment wrapText="1"/>
    </xf>
    <xf numFmtId="41" fontId="18" fillId="0" borderId="21" xfId="42" applyNumberFormat="1" applyFont="1" applyBorder="1"/>
    <xf numFmtId="41" fontId="18" fillId="0" borderId="22" xfId="0" applyNumberFormat="1" applyFont="1" applyBorder="1"/>
    <xf numFmtId="41" fontId="19" fillId="0" borderId="21" xfId="42" applyNumberFormat="1" applyFont="1" applyBorder="1"/>
    <xf numFmtId="41" fontId="19" fillId="0" borderId="22" xfId="0" applyNumberFormat="1" applyFont="1" applyBorder="1"/>
    <xf numFmtId="41" fontId="18" fillId="0" borderId="24" xfId="42" applyNumberFormat="1" applyFont="1" applyBorder="1"/>
    <xf numFmtId="41" fontId="18" fillId="0" borderId="25" xfId="0" applyNumberFormat="1" applyFont="1" applyBorder="1"/>
    <xf numFmtId="41" fontId="18" fillId="0" borderId="24" xfId="0" applyNumberFormat="1" applyFont="1" applyBorder="1"/>
    <xf numFmtId="41" fontId="18" fillId="0" borderId="0" xfId="42" applyNumberFormat="1" applyFont="1"/>
    <xf numFmtId="43" fontId="21" fillId="0" borderId="32" xfId="0" applyNumberFormat="1" applyFont="1" applyFill="1" applyBorder="1"/>
    <xf numFmtId="43" fontId="21" fillId="35" borderId="10" xfId="0" applyNumberFormat="1" applyFont="1" applyFill="1" applyBorder="1"/>
    <xf numFmtId="0" fontId="19" fillId="0" borderId="17" xfId="0" applyFont="1" applyFill="1" applyBorder="1"/>
    <xf numFmtId="1" fontId="23" fillId="0" borderId="10" xfId="0" applyNumberFormat="1" applyFont="1" applyFill="1" applyBorder="1"/>
    <xf numFmtId="0" fontId="23" fillId="0" borderId="10" xfId="0" applyFont="1" applyFill="1" applyBorder="1"/>
    <xf numFmtId="41" fontId="23" fillId="0" borderId="10" xfId="0" applyNumberFormat="1" applyFont="1" applyFill="1" applyBorder="1"/>
    <xf numFmtId="0" fontId="23" fillId="0" borderId="0" xfId="0" applyFont="1" applyFill="1"/>
    <xf numFmtId="41" fontId="20" fillId="35" borderId="0" xfId="0" applyNumberFormat="1" applyFont="1" applyFill="1"/>
    <xf numFmtId="41" fontId="21" fillId="35" borderId="0" xfId="0" applyNumberFormat="1" applyFont="1" applyFill="1"/>
    <xf numFmtId="41" fontId="22" fillId="35" borderId="10" xfId="0" applyNumberFormat="1" applyFont="1" applyFill="1" applyBorder="1"/>
    <xf numFmtId="1" fontId="27" fillId="35" borderId="10" xfId="0" applyNumberFormat="1" applyFont="1" applyFill="1" applyBorder="1"/>
    <xf numFmtId="0" fontId="27" fillId="35" borderId="10" xfId="0" applyFont="1" applyFill="1" applyBorder="1"/>
    <xf numFmtId="41" fontId="27" fillId="35" borderId="10" xfId="0" applyNumberFormat="1" applyFont="1" applyFill="1" applyBorder="1"/>
    <xf numFmtId="0" fontId="27" fillId="35" borderId="0" xfId="0" applyFont="1" applyFill="1"/>
    <xf numFmtId="41" fontId="19" fillId="0" borderId="0" xfId="0" applyNumberFormat="1" applyFont="1" applyFill="1" applyBorder="1"/>
    <xf numFmtId="41" fontId="19" fillId="0" borderId="0" xfId="42" applyNumberFormat="1" applyFont="1" applyFill="1" applyBorder="1"/>
    <xf numFmtId="41" fontId="18" fillId="0" borderId="18" xfId="0" applyNumberFormat="1" applyFont="1" applyFill="1" applyBorder="1"/>
    <xf numFmtId="41" fontId="18" fillId="0" borderId="19" xfId="42" applyNumberFormat="1" applyFont="1" applyFill="1" applyBorder="1"/>
    <xf numFmtId="41" fontId="18" fillId="0" borderId="0" xfId="0" applyNumberFormat="1" applyFont="1" applyFill="1"/>
    <xf numFmtId="41" fontId="18" fillId="0" borderId="21" xfId="0" applyNumberFormat="1" applyFont="1" applyFill="1" applyBorder="1"/>
    <xf numFmtId="41" fontId="18" fillId="0" borderId="22" xfId="42" applyNumberFormat="1" applyFont="1" applyFill="1" applyBorder="1"/>
    <xf numFmtId="41" fontId="18" fillId="0" borderId="21" xfId="42" applyNumberFormat="1" applyFont="1" applyFill="1" applyBorder="1"/>
    <xf numFmtId="41" fontId="19" fillId="0" borderId="21" xfId="0" applyNumberFormat="1" applyFont="1" applyFill="1" applyBorder="1"/>
    <xf numFmtId="41" fontId="19" fillId="0" borderId="22" xfId="0" applyNumberFormat="1" applyFont="1" applyFill="1" applyBorder="1"/>
    <xf numFmtId="41" fontId="18" fillId="0" borderId="24" xfId="0" applyNumberFormat="1" applyFont="1" applyFill="1" applyBorder="1"/>
    <xf numFmtId="41" fontId="18" fillId="0" borderId="25" xfId="42" applyNumberFormat="1" applyFont="1" applyFill="1" applyBorder="1"/>
    <xf numFmtId="41" fontId="18" fillId="0" borderId="0" xfId="42" applyNumberFormat="1" applyFont="1" applyFill="1"/>
    <xf numFmtId="41" fontId="19" fillId="0" borderId="15" xfId="0" applyNumberFormat="1" applyFont="1" applyFill="1" applyBorder="1" applyAlignment="1">
      <alignment wrapText="1"/>
    </xf>
    <xf numFmtId="41" fontId="18" fillId="0" borderId="22" xfId="0" applyNumberFormat="1" applyFont="1" applyFill="1" applyBorder="1"/>
    <xf numFmtId="41" fontId="19" fillId="0" borderId="18" xfId="0" applyNumberFormat="1" applyFont="1" applyFill="1" applyBorder="1"/>
    <xf numFmtId="41" fontId="18" fillId="0" borderId="19" xfId="0" applyNumberFormat="1" applyFont="1" applyFill="1" applyBorder="1"/>
    <xf numFmtId="41" fontId="18" fillId="0" borderId="20" xfId="42" applyNumberFormat="1" applyFont="1" applyFill="1" applyBorder="1"/>
    <xf numFmtId="41" fontId="18" fillId="0" borderId="20" xfId="0" applyNumberFormat="1" applyFont="1" applyFill="1" applyBorder="1"/>
    <xf numFmtId="41" fontId="18" fillId="0" borderId="25" xfId="0" applyNumberFormat="1" applyFont="1" applyFill="1" applyBorder="1"/>
    <xf numFmtId="41" fontId="21" fillId="35" borderId="34" xfId="0" applyNumberFormat="1" applyFont="1" applyFill="1" applyBorder="1"/>
    <xf numFmtId="41" fontId="20" fillId="35" borderId="0" xfId="0" applyNumberFormat="1" applyFont="1" applyFill="1" applyBorder="1"/>
    <xf numFmtId="41" fontId="20" fillId="35" borderId="34" xfId="0" applyNumberFormat="1" applyFont="1" applyFill="1" applyBorder="1"/>
    <xf numFmtId="1" fontId="23" fillId="35" borderId="10" xfId="0" applyNumberFormat="1" applyFont="1" applyFill="1" applyBorder="1"/>
    <xf numFmtId="0" fontId="23" fillId="35" borderId="10" xfId="0" applyFont="1" applyFill="1" applyBorder="1"/>
    <xf numFmtId="0" fontId="23" fillId="35" borderId="0" xfId="0" applyFont="1" applyFill="1"/>
    <xf numFmtId="41" fontId="21" fillId="0" borderId="32" xfId="42" applyNumberFormat="1" applyFont="1" applyFill="1" applyBorder="1"/>
    <xf numFmtId="41" fontId="23" fillId="0" borderId="32" xfId="0" applyNumberFormat="1" applyFont="1" applyFill="1" applyBorder="1"/>
    <xf numFmtId="41" fontId="23" fillId="0" borderId="10" xfId="42" applyNumberFormat="1" applyFont="1" applyFill="1" applyBorder="1"/>
    <xf numFmtId="165" fontId="23" fillId="0" borderId="10" xfId="0" applyNumberFormat="1" applyFont="1" applyFill="1" applyBorder="1"/>
    <xf numFmtId="41" fontId="20" fillId="0" borderId="0" xfId="42" applyNumberFormat="1" applyFont="1" applyFill="1"/>
    <xf numFmtId="165" fontId="18" fillId="0" borderId="0" xfId="0" applyNumberFormat="1" applyFont="1"/>
    <xf numFmtId="165" fontId="19" fillId="0" borderId="0" xfId="0" applyNumberFormat="1" applyFont="1"/>
    <xf numFmtId="165" fontId="19" fillId="0" borderId="0" xfId="42" applyNumberFormat="1" applyFont="1"/>
    <xf numFmtId="13" fontId="19" fillId="0" borderId="15" xfId="42" applyNumberFormat="1" applyFont="1" applyBorder="1" applyAlignment="1">
      <alignment wrapText="1"/>
    </xf>
    <xf numFmtId="165" fontId="19" fillId="0" borderId="15" xfId="42" applyNumberFormat="1" applyFont="1" applyBorder="1" applyAlignment="1">
      <alignment wrapText="1"/>
    </xf>
    <xf numFmtId="165" fontId="18" fillId="0" borderId="17" xfId="42" applyNumberFormat="1" applyFont="1" applyBorder="1"/>
    <xf numFmtId="165" fontId="18" fillId="0" borderId="20" xfId="42" applyNumberFormat="1" applyFont="1" applyBorder="1"/>
    <xf numFmtId="165" fontId="18" fillId="0" borderId="28" xfId="42" applyNumberFormat="1" applyFont="1" applyBorder="1"/>
    <xf numFmtId="165" fontId="19" fillId="0" borderId="15" xfId="42" applyNumberFormat="1" applyFont="1" applyBorder="1"/>
    <xf numFmtId="165" fontId="18" fillId="0" borderId="0" xfId="42" applyNumberFormat="1" applyFont="1"/>
    <xf numFmtId="165" fontId="18" fillId="0" borderId="35" xfId="0" applyNumberFormat="1" applyFont="1" applyBorder="1"/>
    <xf numFmtId="0" fontId="18" fillId="0" borderId="35" xfId="0" applyFont="1" applyBorder="1"/>
    <xf numFmtId="41" fontId="18" fillId="0" borderId="29" xfId="0" applyNumberFormat="1" applyFont="1" applyBorder="1"/>
    <xf numFmtId="165" fontId="18" fillId="0" borderId="36" xfId="0" applyNumberFormat="1" applyFont="1" applyBorder="1"/>
    <xf numFmtId="41" fontId="19" fillId="0" borderId="31" xfId="0" applyNumberFormat="1" applyFont="1" applyBorder="1" applyAlignment="1">
      <alignment wrapText="1"/>
    </xf>
    <xf numFmtId="0" fontId="19" fillId="0" borderId="37" xfId="0" applyFont="1" applyBorder="1" applyAlignment="1">
      <alignment wrapText="1"/>
    </xf>
    <xf numFmtId="0" fontId="19" fillId="0" borderId="0" xfId="0" applyFont="1" applyBorder="1"/>
    <xf numFmtId="41" fontId="19" fillId="0" borderId="0" xfId="42" applyNumberFormat="1" applyFont="1" applyBorder="1"/>
    <xf numFmtId="41" fontId="19" fillId="0" borderId="0" xfId="0" applyNumberFormat="1" applyFont="1" applyBorder="1"/>
    <xf numFmtId="0" fontId="19" fillId="0" borderId="0" xfId="0" applyFont="1" applyFill="1" applyBorder="1"/>
    <xf numFmtId="41" fontId="19" fillId="0" borderId="0" xfId="0" applyNumberFormat="1" applyFont="1" applyFill="1" applyBorder="1" applyAlignment="1">
      <alignment wrapText="1"/>
    </xf>
    <xf numFmtId="41" fontId="19" fillId="0" borderId="0" xfId="42" applyNumberFormat="1" applyFont="1" applyFill="1" applyBorder="1" applyAlignment="1">
      <alignment wrapText="1"/>
    </xf>
    <xf numFmtId="0" fontId="18" fillId="0" borderId="0" xfId="0" applyFont="1" applyFill="1" applyBorder="1"/>
    <xf numFmtId="41" fontId="18" fillId="0" borderId="0" xfId="0" applyNumberFormat="1" applyFont="1" applyFill="1" applyBorder="1"/>
    <xf numFmtId="41" fontId="18" fillId="0" borderId="0" xfId="42" applyNumberFormat="1" applyFont="1" applyFill="1" applyBorder="1"/>
    <xf numFmtId="166" fontId="0" fillId="0" borderId="0" xfId="42" applyFont="1" applyAlignment="1">
      <alignment wrapText="1"/>
    </xf>
    <xf numFmtId="0" fontId="0" fillId="0" borderId="10" xfId="0" applyBorder="1"/>
    <xf numFmtId="0" fontId="0" fillId="0" borderId="0" xfId="0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1" fillId="33" borderId="10" xfId="0" applyNumberFormat="1" applyFont="1" applyFill="1" applyBorder="1"/>
    <xf numFmtId="0" fontId="21" fillId="33" borderId="10" xfId="0" applyFont="1" applyFill="1" applyBorder="1"/>
    <xf numFmtId="0" fontId="26" fillId="0" borderId="0" xfId="0" applyFont="1" applyAlignment="1">
      <alignment horizontal="center"/>
    </xf>
    <xf numFmtId="1" fontId="19" fillId="0" borderId="33" xfId="42" applyNumberFormat="1" applyFont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4257675</xdr:colOff>
      <xdr:row>7</xdr:row>
      <xdr:rowOff>219075</xdr:rowOff>
    </xdr:from>
    <xdr:to>
      <xdr:col>5</xdr:col>
      <xdr:colOff>200025</xdr:colOff>
      <xdr:row>17</xdr:row>
      <xdr:rowOff>190500</xdr:rowOff>
    </xdr:to>
    <xdr:pic>
      <xdr:nvPicPr>
        <xdr:cNvPr id="2" name="Picture 1" descr="C:\Documents and Settings\ModishaN\My Documents\Log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2286000"/>
          <a:ext cx="47148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thubab\Documents\beaula\BUDGETS\2017%202018\Final%20Budget\Final%20Budget%202017%202018%2019%20May%2020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mabolomp\AppData\Roaming\Microsoft\Excel\Final%20Budget%20%202019%202020%20(version%20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thubab\Documents\beaula\BUDGETS\2018%202019\Annual%20budget\Approved%20budget\supporting%20docs\Approved%20Excel%20Budget%202018%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"/>
      <sheetName val="Excutive summary"/>
      <sheetName val="Summary"/>
      <sheetName val="Revenue per source"/>
      <sheetName val="All depts"/>
      <sheetName val="Opex per Departments"/>
      <sheetName val="Opex per Types"/>
      <sheetName val="Revenue per departments"/>
      <sheetName val="Capex Per Departments"/>
      <sheetName val="Capex per funding"/>
      <sheetName val="Corporate services"/>
      <sheetName val="LED&amp;P"/>
      <sheetName val="Municipal Manager"/>
      <sheetName val="Mayors Office"/>
      <sheetName val="Budget &amp; Treasury"/>
      <sheetName val="Community Services"/>
      <sheetName val="Tech Roads"/>
      <sheetName val="Tech Electricity"/>
      <sheetName val="Tech Water"/>
    </sheetNames>
    <sheetDataSet>
      <sheetData sheetId="0"/>
      <sheetData sheetId="1"/>
      <sheetData sheetId="2"/>
      <sheetData sheetId="3"/>
      <sheetData sheetId="4"/>
      <sheetData sheetId="5">
        <row r="511">
          <cell r="K511">
            <v>29510717.923780609</v>
          </cell>
          <cell r="L511">
            <v>30892143.441205248</v>
          </cell>
          <cell r="M511">
            <v>32720491.528528582</v>
          </cell>
        </row>
        <row r="646">
          <cell r="J646">
            <v>7628601.7999999998</v>
          </cell>
          <cell r="K646">
            <v>8491928.4800224099</v>
          </cell>
          <cell r="L646">
            <v>12206329.80162398</v>
          </cell>
          <cell r="M646">
            <v>7896125.1274176585</v>
          </cell>
        </row>
        <row r="747">
          <cell r="K747">
            <v>22328789.418270342</v>
          </cell>
          <cell r="L747">
            <v>23837903.372781262</v>
          </cell>
          <cell r="M747">
            <v>25355736.996305421</v>
          </cell>
        </row>
        <row r="821">
          <cell r="J821">
            <v>14767640.600000001</v>
          </cell>
          <cell r="K821">
            <v>17201803.959240146</v>
          </cell>
          <cell r="L821">
            <v>18257754.655310951</v>
          </cell>
          <cell r="M821">
            <v>19519617.561579823</v>
          </cell>
        </row>
        <row r="915">
          <cell r="J915">
            <v>52044971.780000001</v>
          </cell>
          <cell r="K915">
            <v>44564093.583398275</v>
          </cell>
          <cell r="L915">
            <v>47204273.471831188</v>
          </cell>
          <cell r="M915">
            <v>49300055.39406947</v>
          </cell>
        </row>
        <row r="1054">
          <cell r="J1054">
            <v>20926737.559999999</v>
          </cell>
          <cell r="K1054">
            <v>22611764.280829977</v>
          </cell>
          <cell r="L1054">
            <v>22673077.291096076</v>
          </cell>
          <cell r="M1054">
            <v>24233430.530547969</v>
          </cell>
        </row>
        <row r="1197">
          <cell r="K1197">
            <v>7272492.6714955252</v>
          </cell>
          <cell r="L1197">
            <v>7687024.7537707705</v>
          </cell>
          <cell r="M1197">
            <v>8186137.9133669809</v>
          </cell>
        </row>
        <row r="1317">
          <cell r="K1317">
            <v>7107114.9005914684</v>
          </cell>
          <cell r="L1317">
            <v>8032089.3436328713</v>
          </cell>
          <cell r="M1317">
            <v>7482901.1976871723</v>
          </cell>
        </row>
        <row r="1410">
          <cell r="K1410">
            <v>7471356.0238949638</v>
          </cell>
          <cell r="L1410">
            <v>7994350.9455676116</v>
          </cell>
          <cell r="M1410">
            <v>8553955.5117573459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xecutive Summary"/>
      <sheetName val="Summary"/>
      <sheetName val="Revenue per source"/>
      <sheetName val="All Deptment"/>
      <sheetName val="municipal manager"/>
      <sheetName val="corporate"/>
      <sheetName val="ledp"/>
      <sheetName val="mayors"/>
      <sheetName val="budget and treasury"/>
      <sheetName val="community services"/>
      <sheetName val="technical services"/>
    </sheetNames>
    <sheetDataSet>
      <sheetData sheetId="0"/>
      <sheetData sheetId="1"/>
      <sheetData sheetId="2"/>
      <sheetData sheetId="3"/>
      <sheetData sheetId="4">
        <row r="1425">
          <cell r="J1425">
            <v>150000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xecutive Summary"/>
      <sheetName val="Summary"/>
      <sheetName val="capex"/>
      <sheetName val="opex"/>
      <sheetName val="revenue"/>
      <sheetName val="All Deptments"/>
      <sheetName val="LEDP"/>
      <sheetName val="Corporate Services"/>
      <sheetName val="Mayor"/>
      <sheetName val="MM"/>
      <sheetName val="Budget and treasury"/>
      <sheetName val="SAVINGS TO EISLEBEN ROAD"/>
      <sheetName val="Community Services"/>
      <sheetName val="Technical Serv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4">
          <cell r="I74">
            <v>3175173.7206853991</v>
          </cell>
        </row>
        <row r="178">
          <cell r="I178">
            <v>3422343.5627796268</v>
          </cell>
        </row>
        <row r="229">
          <cell r="I229">
            <v>1609475.1673567561</v>
          </cell>
        </row>
        <row r="271">
          <cell r="I271">
            <v>311129.96615870984</v>
          </cell>
        </row>
      </sheetData>
      <sheetData sheetId="8">
        <row r="125">
          <cell r="I125">
            <v>22167716.452556822</v>
          </cell>
        </row>
        <row r="225">
          <cell r="I225">
            <v>6242659.1101553719</v>
          </cell>
        </row>
        <row r="294">
          <cell r="I294">
            <v>5446058.9397987928</v>
          </cell>
        </row>
        <row r="355">
          <cell r="I355">
            <v>5517831.4199380931</v>
          </cell>
        </row>
      </sheetData>
      <sheetData sheetId="9">
        <row r="73">
          <cell r="I73">
            <v>5325664.5782767124</v>
          </cell>
        </row>
        <row r="117">
          <cell r="I117">
            <v>1105619.9457579909</v>
          </cell>
        </row>
        <row r="152">
          <cell r="I152">
            <v>771262.429</v>
          </cell>
        </row>
        <row r="175">
          <cell r="I175">
            <v>2951395.9890000001</v>
          </cell>
        </row>
        <row r="209">
          <cell r="I209">
            <v>8011735.9548000004</v>
          </cell>
        </row>
        <row r="222">
          <cell r="I222">
            <v>393376.94</v>
          </cell>
        </row>
      </sheetData>
      <sheetData sheetId="10">
        <row r="87">
          <cell r="I87">
            <v>7273773.6576979365</v>
          </cell>
        </row>
        <row r="144">
          <cell r="I144">
            <v>1979537.4515068494</v>
          </cell>
        </row>
        <row r="187">
          <cell r="I187">
            <v>975914.16325288906</v>
          </cell>
        </row>
        <row r="224">
          <cell r="I224">
            <v>1798479.807883556</v>
          </cell>
        </row>
        <row r="299">
          <cell r="I299">
            <v>5461531.5902800476</v>
          </cell>
        </row>
      </sheetData>
      <sheetData sheetId="11">
        <row r="121">
          <cell r="I121">
            <v>6918186.3506313711</v>
          </cell>
        </row>
        <row r="186">
          <cell r="I186">
            <v>2062778.9189817407</v>
          </cell>
        </row>
        <row r="282">
          <cell r="I282">
            <v>15732940.107877407</v>
          </cell>
        </row>
        <row r="355">
          <cell r="I355">
            <v>5099400.8554488476</v>
          </cell>
        </row>
        <row r="412">
          <cell r="I412">
            <v>4380516.5604679985</v>
          </cell>
        </row>
      </sheetData>
      <sheetData sheetId="12"/>
      <sheetData sheetId="13">
        <row r="97">
          <cell r="I97">
            <v>4520190.1957743997</v>
          </cell>
        </row>
        <row r="138">
          <cell r="I138">
            <v>1087758.2271105922</v>
          </cell>
        </row>
        <row r="243">
          <cell r="I243">
            <v>2336430.8744121441</v>
          </cell>
        </row>
        <row r="325">
          <cell r="I325">
            <v>12831721.721379248</v>
          </cell>
        </row>
        <row r="386">
          <cell r="I386">
            <v>1193513.7822316145</v>
          </cell>
        </row>
        <row r="466">
          <cell r="I466">
            <v>6300158.87715072</v>
          </cell>
        </row>
      </sheetData>
      <sheetData sheetId="14">
        <row r="30">
          <cell r="I30">
            <v>65142.3</v>
          </cell>
        </row>
        <row r="77">
          <cell r="I77">
            <v>2749710.5832019998</v>
          </cell>
        </row>
        <row r="143">
          <cell r="I143">
            <v>10515794.835727135</v>
          </cell>
        </row>
        <row r="215">
          <cell r="I215">
            <v>1726768.3199999998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Rudolph" refreshedDate="43914.817189699075" createdVersion="4" refreshedVersion="4" minRefreshableVersion="3" recordCount="1008">
  <cacheSource type="worksheet">
    <worksheetSource ref="A1:P1048576" sheet="filtered Danielle "/>
  </cacheSource>
  <cacheFields count="16">
    <cacheField name="Votenumber" numFmtId="0">
      <sharedItems containsBlank="1"/>
    </cacheField>
    <cacheField name="Project Name" numFmtId="0">
      <sharedItems containsBlank="1"/>
    </cacheField>
    <cacheField name="Description" numFmtId="0">
      <sharedItems containsBlank="1"/>
    </cacheField>
    <cacheField name="Budget" numFmtId="166">
      <sharedItems containsString="0" containsBlank="1" containsNumber="1" containsInteger="1" minValue="-142578000" maxValue="17000000"/>
    </cacheField>
    <cacheField name="Curr Mth Exp" numFmtId="0">
      <sharedItems containsString="0" containsBlank="1" containsNumber="1" minValue="-47017000" maxValue="650483.55000000005"/>
    </cacheField>
    <cacheField name="Commitment" numFmtId="0">
      <sharedItems containsString="0" containsBlank="1" containsNumber="1" minValue="-781881" maxValue="152176"/>
    </cacheField>
    <cacheField name="YTD Movement" numFmtId="0">
      <sharedItems containsString="0" containsBlank="1" containsNumber="1" minValue="-106425000" maxValue="3552775.02"/>
    </cacheField>
    <cacheField name="Unspend Bud" numFmtId="0">
      <sharedItems containsString="0" containsBlank="1" containsNumber="1" minValue="-36153000" maxValue="5086575.9800000004"/>
    </cacheField>
    <cacheField name="Perc" numFmtId="0">
      <sharedItems containsString="0" containsBlank="1" containsNumber="1" minValue="-781881" maxValue="999.99"/>
    </cacheField>
    <cacheField name="Adjustments" numFmtId="0">
      <sharedItems containsString="0" containsBlank="1" containsNumber="1" minValue="-10742205" maxValue="10352372"/>
    </cacheField>
    <cacheField name="Approved Adjustment Budget  2019/20" numFmtId="166">
      <sharedItems containsString="0" containsBlank="1" containsNumber="1" minValue="-142578000" maxValue="25110000"/>
    </cacheField>
    <cacheField name="Draft Annual Budget 2020/21" numFmtId="166">
      <sharedItems containsString="0" containsBlank="1" containsNumber="1" minValue="-150787000" maxValue="14861980.24"/>
    </cacheField>
    <cacheField name="Draft Annual Budget 2021/22" numFmtId="166">
      <sharedItems containsString="0" containsBlank="1" containsNumber="1" minValue="-159829000" maxValue="12259030"/>
    </cacheField>
    <cacheField name="Draft Annual Budget 2022/23" numFmtId="166">
      <sharedItems containsString="0" containsBlank="1" containsNumber="1" minValue="-167051000" maxValue="10239288.540624"/>
    </cacheField>
    <cacheField name="e/i/c" numFmtId="0">
      <sharedItems containsBlank="1" count="5">
        <s v="1"/>
        <s v="2"/>
        <s v="6"/>
        <s v="3"/>
        <m/>
      </sharedItems>
    </cacheField>
    <cacheField name="summary type" numFmtId="0">
      <sharedItems containsBlank="1" containsMixedTypes="1" containsNumber="1" containsInteger="1" minValue="0" maxValue="0" count="13">
        <n v="0"/>
        <s v="Employee Related Cost"/>
        <s v="Contracted Services"/>
        <s v="Operational Cost"/>
        <s v="Inventory"/>
        <s v="Operating Lease "/>
        <s v="Depreciation &amp; Amortisation"/>
        <s v="Loss on disposal of asset "/>
        <s v="Remuneration of Councillors"/>
        <s v="Bad Debts Written off"/>
        <s v="Interest Divid &amp; rent lan"/>
        <s v="Bulk Purchase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8">
  <r>
    <s v="35051425430F2ZZZZZWM"/>
    <m/>
    <s v="SALE OF: AGRIC PROD - ASSET &lt; CAP THRESH"/>
    <n v="-276424"/>
    <n v="0"/>
    <n v="0"/>
    <n v="-712288.67"/>
    <n v="435864.67"/>
    <n v="257.67"/>
    <n v="276424"/>
    <n v="0"/>
    <n v="-1000000"/>
    <n v="-1046000"/>
    <n v="-1094116"/>
    <x v="0"/>
    <x v="0"/>
  </r>
  <r>
    <s v="35052030850EQMRCZZHO"/>
    <m/>
    <s v="SM D01: SAL &amp; ALL -  BASIC SALARY"/>
    <n v="745888"/>
    <n v="71806.25"/>
    <n v="0"/>
    <n v="430837.5"/>
    <n v="315050.5"/>
    <n v="57.761688081856796"/>
    <n v="0"/>
    <n v="745888"/>
    <n v="792506"/>
    <n v="847981.42"/>
    <n v="907340.11940000008"/>
    <x v="1"/>
    <x v="1"/>
  </r>
  <r>
    <s v="35052030860EQMRCZZHO"/>
    <m/>
    <s v="SM D01: SAL &amp; ALL -  PERFORM BASED BONUS"/>
    <n v="37294"/>
    <n v="0"/>
    <n v="0"/>
    <n v="0"/>
    <n v="37294"/>
    <n v="0"/>
    <n v="0"/>
    <n v="37294"/>
    <n v="39624.875"/>
    <n v="42398.616249999999"/>
    <n v="45366.519387499997"/>
    <x v="1"/>
    <x v="1"/>
  </r>
  <r>
    <s v="35052030870EQMRCZZHO"/>
    <m/>
    <s v="SM D01: ALLOW - CELLULAR &amp; TELEPHONE"/>
    <n v="40000"/>
    <n v="3333.33"/>
    <n v="0"/>
    <n v="19999.98"/>
    <n v="20000.02"/>
    <n v="49.999949999999998"/>
    <n v="0"/>
    <n v="40000"/>
    <n v="42500"/>
    <n v="45475"/>
    <n v="48658.25"/>
    <x v="1"/>
    <x v="1"/>
  </r>
  <r>
    <s v="35052030890EQMRCZZHO"/>
    <m/>
    <s v="SM D01: ALLOW - TRAVEL OR MOTOR VEHICLE"/>
    <n v="147584"/>
    <n v="0"/>
    <n v="0"/>
    <n v="0"/>
    <n v="147584"/>
    <n v="0"/>
    <n v="0"/>
    <n v="147584"/>
    <n v="156808"/>
    <n v="167784.56"/>
    <n v="179529.4792"/>
    <x v="1"/>
    <x v="1"/>
  </r>
  <r>
    <s v="35052030910EQMRCZZHO"/>
    <m/>
    <s v="SM D01: ALLOW - NON PENSIONABLE"/>
    <n v="15692"/>
    <n v="0"/>
    <n v="0"/>
    <n v="0"/>
    <n v="15692"/>
    <n v="0"/>
    <n v="0"/>
    <n v="15692"/>
    <n v="16672.75"/>
    <n v="17839.842499999999"/>
    <n v="19088.631474999998"/>
    <x v="1"/>
    <x v="1"/>
  </r>
  <r>
    <s v="35052030980EQMRCZZHO"/>
    <m/>
    <s v="SM D01: SRB - ACTING &amp; POST RELATE ALLOW"/>
    <n v="20876"/>
    <n v="0"/>
    <n v="0"/>
    <n v="0"/>
    <n v="20876"/>
    <n v="0"/>
    <n v="-20876"/>
    <n v="0"/>
    <n v="0"/>
    <n v="0"/>
    <m/>
    <x v="1"/>
    <x v="1"/>
  </r>
  <r>
    <s v="35052110010EQMRCZZHO"/>
    <m/>
    <s v="MS: SAL &amp; ALL: BASIC SALARY &amp; WAGES"/>
    <n v="5188430"/>
    <n v="498043.44"/>
    <n v="0"/>
    <n v="2905499.61"/>
    <n v="2282930.39"/>
    <n v="55.999591591290624"/>
    <n v="0"/>
    <n v="5188430"/>
    <n v="5512706.875"/>
    <n v="5898596.3562500002"/>
    <n v="6311498.1011875002"/>
    <x v="1"/>
    <x v="1"/>
  </r>
  <r>
    <s v="35052110100EQMRCZZHO"/>
    <m/>
    <s v="MS: SAL &amp; ALL: PERFORMANCE BASED BONUSES"/>
    <n v="258705"/>
    <n v="252230.43"/>
    <n v="0"/>
    <n v="426408.16"/>
    <n v="-167703.15999999997"/>
    <n v="164.82408921358302"/>
    <n v="-39791.380000000005"/>
    <n v="218913.62"/>
    <n v="232595.72125"/>
    <n v="248877.4217375"/>
    <n v="266298.84125912498"/>
    <x v="1"/>
    <x v="1"/>
  </r>
  <r>
    <s v="35052110220EQMRCZZHO"/>
    <m/>
    <s v="MS: ALL - CELLULAR &amp; TELEPHONE"/>
    <n v="38100"/>
    <n v="3172.75"/>
    <n v="0"/>
    <n v="19036.5"/>
    <n v="19063.5"/>
    <n v="49.964566929133859"/>
    <n v="0"/>
    <n v="38100"/>
    <n v="40481.25"/>
    <n v="43314.9375"/>
    <n v="46346.983124999999"/>
    <x v="1"/>
    <x v="1"/>
  </r>
  <r>
    <s v="35052110260EQMRCZZHO"/>
    <m/>
    <s v="MS: HB &amp; INC: HOUSING BENEFITS"/>
    <n v="10893"/>
    <n v="0"/>
    <n v="0"/>
    <n v="0"/>
    <n v="10893"/>
    <n v="0"/>
    <n v="0"/>
    <n v="10893"/>
    <n v="11573.8125"/>
    <n v="12383.979375000001"/>
    <n v="13250.857931250001"/>
    <x v="1"/>
    <x v="1"/>
  </r>
  <r>
    <s v="35052110320EQMRCZZHO"/>
    <m/>
    <s v="MS: ALL - LEAVE PAY"/>
    <n v="183716"/>
    <n v="0"/>
    <n v="0"/>
    <n v="0"/>
    <n v="183716"/>
    <n v="0"/>
    <n v="0"/>
    <n v="183716"/>
    <n v="195198.25"/>
    <n v="208862.1275"/>
    <n v="223482.476425"/>
    <x v="1"/>
    <x v="1"/>
  </r>
  <r>
    <s v="35052110340EQMRCZZHO"/>
    <m/>
    <s v="MS: ALL - TRAVEL OR MOTOR VEHICLE"/>
    <n v="138573"/>
    <n v="13313.45"/>
    <n v="0"/>
    <n v="79880.7"/>
    <n v="58692.3"/>
    <n v="57.645212270788683"/>
    <n v="0"/>
    <n v="138573"/>
    <n v="147233.8125"/>
    <n v="157540.17937500001"/>
    <n v="168567.99193125"/>
    <x v="1"/>
    <x v="1"/>
  </r>
  <r>
    <s v="35052110360EQMRCZZHO"/>
    <m/>
    <s v="MS: OVERTIME - NON STRUCTURED"/>
    <n v="97631"/>
    <n v="43288.32"/>
    <n v="0"/>
    <n v="120401.67"/>
    <n v="-22770.67"/>
    <n v="123.32319652569367"/>
    <n v="150000"/>
    <n v="247631"/>
    <n v="263107.9375"/>
    <n v="281525.49312499998"/>
    <n v="301232.27764374996"/>
    <x v="1"/>
    <x v="1"/>
  </r>
  <r>
    <s v="35052110440EQMRCZZHO"/>
    <m/>
    <s v="MS: SRB - ACTING ALLOWANCE"/>
    <n v="11138"/>
    <n v="0"/>
    <n v="0"/>
    <n v="56328.93"/>
    <n v="-45190.93"/>
    <n v="505.73648769976654"/>
    <n v="60000"/>
    <n v="71138"/>
    <n v="75584.125"/>
    <n v="80875.013749999998"/>
    <n v="86536.264712499993"/>
    <x v="1"/>
    <x v="1"/>
  </r>
  <r>
    <s v="35052110460EQMRCZZHO"/>
    <m/>
    <s v="MS: SRB - ANNUAL BONUS"/>
    <n v="425436"/>
    <n v="0"/>
    <n v="0"/>
    <n v="0"/>
    <n v="425436"/>
    <n v="0"/>
    <n v="0"/>
    <n v="425436"/>
    <n v="452025.75"/>
    <n v="483667.55249999999"/>
    <n v="517524.28117500001"/>
    <x v="1"/>
    <x v="1"/>
  </r>
  <r>
    <s v="35052110500EQMRCZZHO"/>
    <m/>
    <s v="MS: SRB - LONG SERVICE AWARD"/>
    <n v="71952"/>
    <n v="0"/>
    <n v="0"/>
    <n v="64501.53"/>
    <n v="7450.4700000000012"/>
    <n v="89.645221814543035"/>
    <n v="0"/>
    <n v="71952"/>
    <n v="76449"/>
    <n v="81800.429999999993"/>
    <n v="87526.460099999997"/>
    <x v="1"/>
    <x v="1"/>
  </r>
  <r>
    <s v="35052110560EQMRCZZHO"/>
    <m/>
    <s v="MS: SRB - STANDBY ALLOWANCE"/>
    <n v="0"/>
    <n v="956.72"/>
    <n v="0"/>
    <n v="1733.61"/>
    <n v="-1733.61"/>
    <n v="0"/>
    <n v="4000"/>
    <n v="4000"/>
    <n v="4250"/>
    <n v="4547.5"/>
    <n v="4865.8249999999998"/>
    <x v="1"/>
    <x v="1"/>
  </r>
  <r>
    <s v="35052110580EQMRCZZHO"/>
    <m/>
    <s v="MS: SRB - TOOLS ALLOWANCE"/>
    <n v="17000"/>
    <n v="0"/>
    <n v="0"/>
    <n v="0"/>
    <n v="17000"/>
    <n v="0"/>
    <n v="-10000"/>
    <n v="7000"/>
    <n v="7437.5"/>
    <n v="7958.125"/>
    <n v="8515.1937500000004"/>
    <x v="1"/>
    <x v="1"/>
  </r>
  <r>
    <s v="35052110630EQMRCZZHO"/>
    <m/>
    <s v="MS: SRB - NON PENSIONABLE"/>
    <n v="36468"/>
    <n v="1307.7"/>
    <n v="0"/>
    <n v="7846.2"/>
    <n v="28621.8"/>
    <n v="21.515301085883515"/>
    <n v="0"/>
    <n v="36468"/>
    <n v="38747.25"/>
    <n v="41459.557500000003"/>
    <n v="44361.726525000005"/>
    <x v="1"/>
    <x v="1"/>
  </r>
  <r>
    <s v="35052130010EQMRCZZHO"/>
    <m/>
    <s v="MS: SOC CONTR - BARGAINING COUNCIL"/>
    <n v="3371"/>
    <n v="274.94"/>
    <n v="0"/>
    <n v="1603.04"/>
    <n v="1767.96"/>
    <n v="47.553841590032633"/>
    <m/>
    <n v="3371"/>
    <n v="3581.6875"/>
    <n v="3832.4056249999999"/>
    <n v="4100.67401875"/>
    <x v="1"/>
    <x v="1"/>
  </r>
  <r>
    <s v="35052130200EQMRCZZHO"/>
    <m/>
    <s v="MS: SOC CONTR - MEDICAL"/>
    <n v="1293797"/>
    <n v="50940.15"/>
    <n v="0"/>
    <n v="363987.45"/>
    <n v="929809.55"/>
    <n v="28.133273612475527"/>
    <n v="-500000"/>
    <n v="793797"/>
    <n v="843409.3125"/>
    <n v="902447.96437499998"/>
    <n v="965619.32188125001"/>
    <x v="1"/>
    <x v="1"/>
  </r>
  <r>
    <s v="35052130300EQMRCZZHO"/>
    <m/>
    <s v="MS: SOC CONTR - PENSION"/>
    <n v="1123150"/>
    <n v="105476.44"/>
    <n v="0"/>
    <n v="617398.25"/>
    <n v="505751.75"/>
    <n v="54.970239950140233"/>
    <m/>
    <n v="1123150"/>
    <n v="1193346.875"/>
    <n v="1276881.15625"/>
    <n v="1366262.8371875"/>
    <x v="1"/>
    <x v="1"/>
  </r>
  <r>
    <s v="35052130400EQMRCZZHO"/>
    <m/>
    <s v="MS: SOC CONTR - UNEMPLOYMENT INSUR FUND"/>
    <n v="49980"/>
    <n v="4377.84"/>
    <n v="0"/>
    <n v="25698.48"/>
    <n v="24281.52"/>
    <n v="51.417527010804321"/>
    <m/>
    <n v="49980"/>
    <n v="53103.75"/>
    <n v="56821.012499999997"/>
    <n v="60798.483374999996"/>
    <x v="1"/>
    <x v="1"/>
  </r>
  <r>
    <s v="35052140020EQMRCZZHO"/>
    <m/>
    <s v="MS: PRB - MED: CURRENT SERVICE COST"/>
    <n v="112883"/>
    <n v="0"/>
    <n v="0"/>
    <n v="0"/>
    <n v="112883"/>
    <n v="0"/>
    <m/>
    <n v="112883"/>
    <n v="119938.1875"/>
    <n v="128333.860625"/>
    <n v="137317.23086874999"/>
    <x v="1"/>
    <x v="1"/>
  </r>
  <r>
    <s v="35052140040EQMRCZZHO"/>
    <m/>
    <s v="MS: PRB - MED: INTEREST COST"/>
    <n v="142433"/>
    <n v="0"/>
    <n v="0"/>
    <n v="0"/>
    <n v="142433"/>
    <n v="0"/>
    <m/>
    <n v="142433"/>
    <n v="151335.0625"/>
    <n v="161928.516875"/>
    <n v="173263.51305625"/>
    <x v="1"/>
    <x v="1"/>
  </r>
  <r>
    <s v="35052140060EQMRCZZHO"/>
    <m/>
    <s v="MS: PRB - MED: ACTURIAL GAINS &amp; LOSSES"/>
    <n v="0"/>
    <n v="0"/>
    <n v="0"/>
    <n v="0"/>
    <n v="0"/>
    <m/>
    <n v="350000"/>
    <n v="350000"/>
    <n v="371875"/>
    <n v="397906.25"/>
    <n v="425759.6875"/>
    <x v="1"/>
    <x v="1"/>
  </r>
  <r>
    <s v="35052142200EQMRCZZHO"/>
    <m/>
    <s v="MS: PRB - OTHER: LONG TERM SERVICE AWARD"/>
    <n v="79236"/>
    <n v="0"/>
    <n v="0"/>
    <n v="0"/>
    <n v="79236"/>
    <n v="0"/>
    <n v="0"/>
    <n v="79236"/>
    <n v="84188.25"/>
    <n v="90081.427500000005"/>
    <n v="96387.127425000013"/>
    <x v="1"/>
    <x v="1"/>
  </r>
  <r>
    <s v="35052265400ORMRCZZHO"/>
    <m/>
    <s v="OS: SECURITY SERVICES"/>
    <n v="8639351"/>
    <n v="650483.55000000005"/>
    <n v="0"/>
    <n v="3552775.02"/>
    <n v="5086575.9800000004"/>
    <n v="41.123170247394739"/>
    <n v="0"/>
    <n v="8639351"/>
    <n v="9028121.7949999999"/>
    <n v="9443415.3975699991"/>
    <n v="9877812.5058582183"/>
    <x v="1"/>
    <x v="2"/>
  </r>
  <r>
    <s v="35052283600ORR08ZZHO"/>
    <m/>
    <s v="CONTR:  MAINT OF BUILDINGS &amp; FACILITIES"/>
    <n v="400000"/>
    <n v="42566.65"/>
    <n v="27772"/>
    <n v="300133.27"/>
    <n v="99866.73"/>
    <n v="75.03"/>
    <n v="0"/>
    <n v="400000"/>
    <n v="400000"/>
    <n v="418400"/>
    <n v="437646.4"/>
    <x v="1"/>
    <x v="2"/>
  </r>
  <r>
    <s v="35052283600ORS64ZZHO"/>
    <m/>
    <s v="CONTR:  MAINT OF BUILDINGS &amp; FACILITIES"/>
    <n v="150000"/>
    <n v="0"/>
    <n v="66000"/>
    <n v="49410"/>
    <n v="100590"/>
    <n v="32.94"/>
    <n v="0"/>
    <n v="150000"/>
    <n v="156750"/>
    <n v="163960.5"/>
    <n v="171502.68299999999"/>
    <x v="1"/>
    <x v="2"/>
  </r>
  <r>
    <s v="35052283610ORR22ZZHO"/>
    <m/>
    <s v="CONTR: MAINTENANCE OF EQUIPMENT"/>
    <n v="200000"/>
    <n v="0"/>
    <n v="0"/>
    <n v="70483.69"/>
    <n v="129516.31"/>
    <n v="35.24"/>
    <n v="0"/>
    <n v="200000"/>
    <n v="209000"/>
    <n v="218614"/>
    <n v="228670.24400000001"/>
    <x v="1"/>
    <x v="2"/>
  </r>
  <r>
    <s v="35052301120ORMRCZZHO"/>
    <m/>
    <s v="OC: COMM - POSTAGE/STAMPS/FRANKING MACH"/>
    <n v="689000"/>
    <n v="0"/>
    <n v="0"/>
    <n v="132072.35999999999"/>
    <n v="556927.64"/>
    <n v="19.168702467343977"/>
    <n v="0"/>
    <n v="689000"/>
    <n v="720005"/>
    <n v="753125.23"/>
    <n v="787768.99057999998"/>
    <x v="1"/>
    <x v="3"/>
  </r>
  <r>
    <s v="35052301190EQMRCZZHO"/>
    <m/>
    <s v="OC: COMM - TELEPHONE INSTALLATION"/>
    <n v="707862"/>
    <n v="142631.6"/>
    <n v="0"/>
    <n v="479164.38"/>
    <n v="228697.62"/>
    <n v="67.691778906057962"/>
    <n v="0"/>
    <n v="707862"/>
    <n v="739715.79"/>
    <n v="773742.71634000004"/>
    <n v="809334.88129163999"/>
    <x v="1"/>
    <x v="3"/>
  </r>
  <r>
    <s v="35052301600ORMRCZZHO"/>
    <m/>
    <s v="OC: ENTERTAINMENT - EXEC MAYOR"/>
    <n v="2000"/>
    <n v="0"/>
    <n v="0"/>
    <n v="426.95"/>
    <n v="1573.05"/>
    <n v="21.3475"/>
    <n v="0"/>
    <n v="2000"/>
    <n v="2090"/>
    <n v="2186.14"/>
    <n v="2286.70244"/>
    <x v="1"/>
    <x v="3"/>
  </r>
  <r>
    <s v="35052303330ORMRCZZHO"/>
    <m/>
    <s v="OC: LIC - VEHICLE LIC &amp; REGISTRATIONS"/>
    <n v="234398"/>
    <n v="0"/>
    <n v="0"/>
    <n v="124894.9"/>
    <n v="109503.1"/>
    <n v="53.283261802575112"/>
    <n v="-50000"/>
    <n v="184398"/>
    <n v="192695.91"/>
    <n v="201559.92186"/>
    <n v="210831.67826556001"/>
    <x v="1"/>
    <x v="3"/>
  </r>
  <r>
    <s v="35052305410EQMRCZZHO"/>
    <m/>
    <s v="OC: SKILLS DEVELOPMENT FUND LEVY"/>
    <n v="0"/>
    <n v="8906.7099999999991"/>
    <n v="0"/>
    <n v="41524.839999999997"/>
    <n v="-41524.839999999997"/>
    <n v="0"/>
    <n v="0"/>
    <n v="0"/>
    <n v="0"/>
    <n v="0"/>
    <n v="0"/>
    <x v="1"/>
    <x v="3"/>
  </r>
  <r>
    <s v="3505230572FPRMRCZZWM"/>
    <m/>
    <s v="OC: TOLL GATE FEES FLEET"/>
    <m/>
    <m/>
    <m/>
    <m/>
    <m/>
    <m/>
    <m/>
    <m/>
    <n v="0"/>
    <n v="0"/>
    <n v="0"/>
    <x v="1"/>
    <x v="3"/>
  </r>
  <r>
    <s v="35052305760EQMRCZZHO"/>
    <m/>
    <s v="OC: T&amp;S DOM - ACCOMMODATION"/>
    <n v="175000"/>
    <n v="8953.15"/>
    <n v="0"/>
    <n v="25501.31"/>
    <n v="149498.69"/>
    <n v="14.572177142857143"/>
    <n v="-49499"/>
    <n v="125501"/>
    <n v="131148.54500000001"/>
    <n v="137181.37807000001"/>
    <n v="143491.72146122"/>
    <x v="1"/>
    <x v="3"/>
  </r>
  <r>
    <s v="35052305760PRMRCZZHO"/>
    <m/>
    <s v="OC: T&amp;S DOM - ACCOMMODATION"/>
    <n v="254263"/>
    <n v="0"/>
    <n v="33225.660000000003"/>
    <n v="138103.96"/>
    <n v="116159.04000000001"/>
    <n v="54.315397836098846"/>
    <n v="0"/>
    <n v="254263"/>
    <n v="265704.83500000002"/>
    <n v="277927.25741000002"/>
    <n v="290711.91125086002"/>
    <x v="1"/>
    <x v="3"/>
  </r>
  <r>
    <s v="35052305770PRMRCZZHO"/>
    <m/>
    <s v="OC: T&amp;S DOM - DAILY ALLOWANCE"/>
    <m/>
    <m/>
    <m/>
    <m/>
    <m/>
    <m/>
    <m/>
    <m/>
    <n v="0"/>
    <m/>
    <n v="0"/>
    <x v="1"/>
    <x v="3"/>
  </r>
  <r>
    <s v="35052305780EQMRCZZHO"/>
    <m/>
    <s v="OC: T&amp;S DOM - FOOD &amp; BEVERAGE (SERVED)"/>
    <m/>
    <m/>
    <m/>
    <m/>
    <m/>
    <m/>
    <m/>
    <m/>
    <n v="0"/>
    <m/>
    <n v="0"/>
    <x v="1"/>
    <x v="3"/>
  </r>
  <r>
    <s v="35052305790EQMRCZZHO"/>
    <m/>
    <s v="OC: T&amp;S DOM - INCIDENTAL COST"/>
    <m/>
    <m/>
    <m/>
    <m/>
    <m/>
    <m/>
    <m/>
    <m/>
    <n v="0"/>
    <m/>
    <n v="0"/>
    <x v="1"/>
    <x v="3"/>
  </r>
  <r>
    <s v="35052305800ORMRCZZHO"/>
    <m/>
    <s v="OC: T&amp;S DOM TRP - WITHOUT OPR CAR RENTAL"/>
    <m/>
    <m/>
    <m/>
    <m/>
    <m/>
    <m/>
    <m/>
    <m/>
    <n v="0"/>
    <m/>
    <n v="0"/>
    <x v="1"/>
    <x v="3"/>
  </r>
  <r>
    <s v="35052305810EQMRCZZHO"/>
    <m/>
    <s v="OC: T&amp;S DOM TRP - W/OUT OPR OWN TRANSPRT"/>
    <m/>
    <m/>
    <m/>
    <m/>
    <m/>
    <m/>
    <m/>
    <m/>
    <n v="0"/>
    <m/>
    <n v="0"/>
    <x v="1"/>
    <x v="3"/>
  </r>
  <r>
    <s v="35052305830EQMRCZZHO"/>
    <m/>
    <s v="OC: T&amp;S DOM PUB TRP - AIR TRANSPORT"/>
    <m/>
    <m/>
    <m/>
    <m/>
    <m/>
    <m/>
    <m/>
    <m/>
    <n v="0"/>
    <m/>
    <n v="0"/>
    <x v="1"/>
    <x v="3"/>
  </r>
  <r>
    <s v="35052305840EQMRCZZHO"/>
    <m/>
    <s v="OC: T&amp;S DOM PUB TRP - RAILWAY TRANSPORT"/>
    <m/>
    <m/>
    <m/>
    <m/>
    <m/>
    <m/>
    <m/>
    <m/>
    <n v="0"/>
    <m/>
    <n v="0"/>
    <x v="1"/>
    <x v="3"/>
  </r>
  <r>
    <s v="35052305850EQMRCZZHO"/>
    <m/>
    <s v="OC: T&amp;S DOM PUB TRP - ROAD TRANSPORT"/>
    <m/>
    <m/>
    <m/>
    <m/>
    <m/>
    <m/>
    <m/>
    <m/>
    <n v="0"/>
    <m/>
    <n v="0"/>
    <x v="1"/>
    <x v="3"/>
  </r>
  <r>
    <s v="35052306100ORP96ZZHO"/>
    <m/>
    <s v="OC: UNIFORM &amp; PROTECTIVE CLOTHING"/>
    <n v="636000"/>
    <n v="136630"/>
    <n v="0"/>
    <n v="609748"/>
    <n v="26252"/>
    <n v="95.872327044025155"/>
    <n v="650000"/>
    <n v="1286000"/>
    <n v="650000"/>
    <n v="679900"/>
    <n v="711175.4"/>
    <x v="1"/>
    <x v="3"/>
  </r>
  <r>
    <s v="35052306300ORS05ZZHO"/>
    <m/>
    <s v="OC: VEHICLE TRACKING"/>
    <n v="129035"/>
    <n v="0"/>
    <n v="0"/>
    <n v="44880.94"/>
    <n v="84154.06"/>
    <n v="34.781989382725619"/>
    <n v="0"/>
    <n v="129035"/>
    <n v="134841.57500000001"/>
    <n v="141044.28745"/>
    <n v="147532.32467269999"/>
    <x v="1"/>
    <x v="3"/>
  </r>
  <r>
    <s v="35052320600ORMRCZZHO"/>
    <m/>
    <s v="INV - CONSUMABLE STORES - STANDARD RATED"/>
    <n v="659231"/>
    <n v="0"/>
    <n v="0"/>
    <n v="165938.96"/>
    <n v="493292.04"/>
    <n v="25.17"/>
    <n v="0"/>
    <n v="659231"/>
    <n v="688896.39500000002"/>
    <n v="720585.62916999997"/>
    <n v="753732.56811181991"/>
    <x v="1"/>
    <x v="4"/>
  </r>
  <r>
    <s v="35052320610ORMRCZZHO"/>
    <m/>
    <s v="INV - CONSUMABLE STORES - ZERO RATED"/>
    <n v="530000"/>
    <n v="26608.560000000001"/>
    <n v="0"/>
    <n v="239859.36"/>
    <n v="290140.64"/>
    <n v="45.25"/>
    <n v="0"/>
    <n v="530000"/>
    <n v="553850"/>
    <n v="579327.1"/>
    <n v="605976.14659999998"/>
    <x v="1"/>
    <x v="4"/>
  </r>
  <r>
    <s v="35052323600ORMRCZZHO"/>
    <m/>
    <s v="INVENTORY - MATERIALS &amp; SUPPLIES"/>
    <n v="53000"/>
    <n v="0"/>
    <n v="0"/>
    <n v="769.7"/>
    <n v="52230.3"/>
    <n v="1.45"/>
    <n v="-40000"/>
    <n v="13000"/>
    <n v="53000"/>
    <n v="55438"/>
    <n v="57988.148000000001"/>
    <x v="1"/>
    <x v="4"/>
  </r>
  <r>
    <s v="350523815_new 1"/>
    <m/>
    <s v="OPR LEASES: FLEET"/>
    <n v="0"/>
    <m/>
    <m/>
    <m/>
    <m/>
    <m/>
    <m/>
    <n v="0"/>
    <n v="2400000"/>
    <n v="2510400"/>
    <n v="2625878.4"/>
    <x v="1"/>
    <x v="5"/>
  </r>
  <r>
    <s v="35052381500EQMRCZZHO"/>
    <m/>
    <s v="OPR LEASES: FURNITURE &amp; OFFICE EQUIPMENT"/>
    <n v="400000"/>
    <n v="44113.22"/>
    <n v="0"/>
    <n v="246703.31"/>
    <n v="153296.69"/>
    <n v="61.67"/>
    <n v="0"/>
    <n v="400000"/>
    <n v="418000"/>
    <n v="437228"/>
    <n v="457340.48800000001"/>
    <x v="1"/>
    <x v="5"/>
  </r>
  <r>
    <s v="35052381500ORMRCZZHO"/>
    <m/>
    <s v="OPR LEASES: FURNITURE &amp; OFFICE EQUIPMENT"/>
    <n v="149705"/>
    <n v="0"/>
    <n v="0"/>
    <n v="0"/>
    <n v="149705"/>
    <n v="0"/>
    <n v="0"/>
    <n v="149705"/>
    <n v="156441.72500000001"/>
    <n v="163638.04435000001"/>
    <n v="171165.3943901"/>
    <x v="1"/>
    <x v="5"/>
  </r>
  <r>
    <s v="35052720040PRMRCZZWM"/>
    <m/>
    <s v="AMORTISATION INTANG COMPUTER SOFTWARE"/>
    <n v="19193"/>
    <n v="2808.4"/>
    <n v="0"/>
    <n v="8600.0499999999993"/>
    <n v="10592.95"/>
    <n v="44.8"/>
    <n v="790000"/>
    <n v="809193"/>
    <n v="845606.68500000006"/>
    <n v="884504.5925100001"/>
    <n v="925191.80376546015"/>
    <x v="1"/>
    <x v="6"/>
  </r>
  <r>
    <s v="35052720600PRMRCZZWM"/>
    <m/>
    <s v="DEPRECIATION COMPUTER EQUIPMENT"/>
    <n v="3371"/>
    <n v="9921.94"/>
    <n v="0"/>
    <n v="32271.75"/>
    <n v="-28900.75"/>
    <n v="957.33"/>
    <n v="0"/>
    <n v="3371"/>
    <n v="3522.6950000000002"/>
    <n v="3684.7389700000003"/>
    <n v="3854.2369626200002"/>
    <x v="1"/>
    <x v="6"/>
  </r>
  <r>
    <s v="35052721500PRMRCZZWM"/>
    <m/>
    <s v="DEPRECIATION FURNITURE &amp; OFFICE EQUIPM"/>
    <n v="3371"/>
    <n v="53495.18"/>
    <n v="0"/>
    <n v="126598.65"/>
    <n v="-123227.65"/>
    <n v="999.99"/>
    <n v="0"/>
    <n v="3371"/>
    <n v="3522.6950000000002"/>
    <n v="3684.7389700000003"/>
    <n v="3854.2369626200002"/>
    <x v="1"/>
    <x v="6"/>
  </r>
  <r>
    <s v="35052723600PRMRCZZWM"/>
    <m/>
    <s v="DEPRECIATION  MACHINERY &amp; EQUIPMENT"/>
    <n v="5618"/>
    <n v="220.9"/>
    <n v="0"/>
    <n v="618.51"/>
    <n v="4999.49"/>
    <n v="11"/>
    <n v="0"/>
    <n v="5618"/>
    <n v="5870.81"/>
    <n v="6140.86726"/>
    <n v="6423.3471539599996"/>
    <x v="1"/>
    <x v="6"/>
  </r>
  <r>
    <s v="35052725700PRMRCZZWM"/>
    <m/>
    <s v="DEPRECIATION  TRANSPORT ASSETS"/>
    <n v="52313"/>
    <n v="22667.22"/>
    <n v="0"/>
    <n v="55785.81"/>
    <n v="-3472.81"/>
    <n v="106.63"/>
    <n v="0"/>
    <n v="52313"/>
    <n v="54667.084999999999"/>
    <n v="57181.770909999999"/>
    <n v="59812.132371859996"/>
    <x v="1"/>
    <x v="6"/>
  </r>
  <r>
    <s v="35052728000PRMRCZZWM"/>
    <m/>
    <s v="DEPRECIATION ROADS"/>
    <n v="0"/>
    <n v="4578.74"/>
    <n v="0"/>
    <n v="11446.86"/>
    <n v="-11446.86"/>
    <n v="0"/>
    <n v="0"/>
    <n v="0"/>
    <n v="0"/>
    <n v="0"/>
    <n v="0"/>
    <x v="1"/>
    <x v="6"/>
  </r>
  <r>
    <s v="35052728020PRMRCZZWM"/>
    <m/>
    <s v="DEPRECIATION ROADS FURNITURE"/>
    <n v="41469"/>
    <n v="0"/>
    <n v="0"/>
    <n v="0"/>
    <n v="41469"/>
    <n v="0"/>
    <n v="0"/>
    <n v="41469"/>
    <n v="43335.105000000003"/>
    <n v="45328.519830000005"/>
    <n v="47413.631742180005"/>
    <x v="1"/>
    <x v="6"/>
  </r>
  <r>
    <s v="35052728800PRMRCZZWM"/>
    <m/>
    <s v="DEPRECIATION COMMUNITY HALLS"/>
    <n v="113175"/>
    <n v="16557.72"/>
    <n v="0"/>
    <n v="33128.800000000003"/>
    <n v="80046.2"/>
    <n v="29.27"/>
    <n v="0"/>
    <n v="113175"/>
    <n v="118267.875"/>
    <n v="123708.19725"/>
    <n v="129398.77432349999"/>
    <x v="1"/>
    <x v="6"/>
  </r>
  <r>
    <s v="35052729200PRMRCZZWM"/>
    <m/>
    <s v="DEPRECIATION OP BUILDING  MUNIC OFFICES"/>
    <n v="74216"/>
    <n v="12908.16"/>
    <n v="0"/>
    <n v="30406.99"/>
    <n v="43809.01"/>
    <n v="40.97"/>
    <n v="0"/>
    <n v="74216"/>
    <n v="77555.72"/>
    <n v="81123.283120000007"/>
    <n v="84854.954143520008"/>
    <x v="1"/>
    <x v="6"/>
  </r>
  <r>
    <s v="35056421020ORC46ZZWM"/>
    <m/>
    <s v="VEHICLES"/>
    <n v="0"/>
    <n v="0"/>
    <n v="0"/>
    <n v="0"/>
    <n v="0"/>
    <n v="0"/>
    <n v="0"/>
    <n v="0"/>
    <n v="0"/>
    <n v="2000000"/>
    <n v="700000"/>
    <x v="2"/>
    <x v="0"/>
  </r>
  <r>
    <s v="35056550420FCC18ZZWM"/>
    <m/>
    <s v="FURNITURE"/>
    <n v="250000"/>
    <n v="0"/>
    <n v="0"/>
    <n v="0"/>
    <n v="250000"/>
    <n v="0"/>
    <n v="0"/>
    <n v="250000"/>
    <n v="300000"/>
    <n v="0"/>
    <n v="315000"/>
    <x v="2"/>
    <x v="0"/>
  </r>
  <r>
    <s v="35061385330ORZZZZZWM"/>
    <m/>
    <s v="SKILLS DEVELOPMENT LEVY REFUND"/>
    <n v="-204317"/>
    <n v="0"/>
    <n v="0"/>
    <n v="-70522.350000000006"/>
    <n v="-133794.65"/>
    <n v="34.51"/>
    <n v="0"/>
    <n v="-204317"/>
    <n v="-213511.26500000001"/>
    <n v="-223332.78319000002"/>
    <n v="-233606.09121674002"/>
    <x v="0"/>
    <x v="0"/>
  </r>
  <r>
    <s v="35062110010EQMRCZZHO"/>
    <m/>
    <s v="MS: SAL &amp; ALL: BASIC SALARY &amp; WAGES"/>
    <n v="1546512"/>
    <n v="128292.72"/>
    <n v="0"/>
    <n v="762945.09"/>
    <n v="783566.91"/>
    <n v="49.33"/>
    <n v="0"/>
    <n v="1546512"/>
    <n v="1643169"/>
    <n v="1758190.83"/>
    <n v="1881264.1881000001"/>
    <x v="1"/>
    <x v="1"/>
  </r>
  <r>
    <s v="35062110100EQMRCZZHO"/>
    <m/>
    <s v="MS: SAL &amp; ALL: PERFORMANCE BASED BONUSES"/>
    <n v="70585"/>
    <n v="33868.36"/>
    <n v="0"/>
    <n v="128290.03"/>
    <n v="-57705.03"/>
    <n v="181.75"/>
    <n v="-36716.639999999999"/>
    <n v="33868.36"/>
    <n v="35985.1325"/>
    <n v="38504.091775000001"/>
    <n v="41199.378199250001"/>
    <x v="1"/>
    <x v="1"/>
  </r>
  <r>
    <s v="35062110220EQMRCZZHO"/>
    <m/>
    <s v="MS: ALL - CELLULAR &amp; TELEPHONE"/>
    <n v="52200"/>
    <n v="4345.5"/>
    <n v="0"/>
    <n v="26073"/>
    <n v="26127"/>
    <n v="49.94"/>
    <n v="0"/>
    <n v="52200"/>
    <n v="55462.5"/>
    <n v="59344.875"/>
    <n v="63499.016250000001"/>
    <x v="1"/>
    <x v="1"/>
  </r>
  <r>
    <s v="35062110260EQMRCZZHO"/>
    <m/>
    <s v="MS: HB &amp; INC: HOUSING BENEFITS"/>
    <n v="10893"/>
    <n v="907.77"/>
    <n v="0"/>
    <n v="5446.62"/>
    <n v="5446.38"/>
    <n v="50"/>
    <n v="0"/>
    <n v="10893"/>
    <n v="11573.8125"/>
    <n v="12383.979375000001"/>
    <n v="13250.857931250001"/>
    <x v="1"/>
    <x v="1"/>
  </r>
  <r>
    <s v="35062110320EQMRCZZHO"/>
    <m/>
    <s v="MS: ALL - LEAVE PAY"/>
    <n v="50125"/>
    <n v="0"/>
    <n v="0"/>
    <n v="0"/>
    <n v="50125"/>
    <n v="0"/>
    <n v="0"/>
    <n v="50125"/>
    <n v="53257.8125"/>
    <n v="56985.859375"/>
    <n v="60974.869531249999"/>
    <x v="1"/>
    <x v="1"/>
  </r>
  <r>
    <s v="35062110340EQMRCZZHO"/>
    <m/>
    <s v="MS: ALL - TRAVEL OR MOTOR VEHICLE"/>
    <n v="330862"/>
    <n v="28101.08"/>
    <n v="0"/>
    <n v="166996.79999999999"/>
    <n v="163865.20000000001"/>
    <n v="50.47"/>
    <n v="0"/>
    <n v="330862"/>
    <n v="351540.875"/>
    <n v="376148.73625000002"/>
    <n v="402479.1477875"/>
    <x v="1"/>
    <x v="1"/>
  </r>
  <r>
    <s v="35062110360EQMRCZZHO"/>
    <m/>
    <s v="MS: OVERTIME - NON STRUCTURED"/>
    <n v="5418"/>
    <n v="0"/>
    <n v="0"/>
    <n v="0"/>
    <n v="5418"/>
    <n v="0"/>
    <n v="0"/>
    <n v="5418"/>
    <n v="5756.625"/>
    <n v="6159.5887499999999"/>
    <n v="6590.7599625000003"/>
    <x v="1"/>
    <x v="1"/>
  </r>
  <r>
    <s v="35062110440EQMRCZZHO"/>
    <m/>
    <s v="MS: SRB - ACTING ALLOWANCE"/>
    <n v="11405"/>
    <n v="-800"/>
    <n v="0"/>
    <n v="26999.64"/>
    <n v="-15594.64"/>
    <n v="236.73"/>
    <n v="30000"/>
    <n v="41405"/>
    <n v="43992.8125"/>
    <n v="47072.309374999997"/>
    <n v="50367.371031249997"/>
    <x v="1"/>
    <x v="1"/>
  </r>
  <r>
    <s v="35062110460EQMRCZZHO"/>
    <m/>
    <s v="MS: SRB - ANNUAL BONUS"/>
    <n v="125876"/>
    <n v="0"/>
    <n v="0"/>
    <n v="0"/>
    <n v="125876"/>
    <n v="0"/>
    <n v="0"/>
    <n v="125876"/>
    <n v="133743.25"/>
    <n v="143105.2775"/>
    <n v="153122.64692500001"/>
    <x v="1"/>
    <x v="1"/>
  </r>
  <r>
    <s v="35062110630EQMRCZZHO"/>
    <m/>
    <s v="MS: SRB - NON PENSIONABLE"/>
    <n v="15692"/>
    <n v="1307.7"/>
    <n v="0"/>
    <n v="7846.2"/>
    <n v="7845.8"/>
    <n v="50"/>
    <n v="0"/>
    <n v="15692"/>
    <n v="16672.75"/>
    <n v="17839.842499999999"/>
    <n v="19088.631474999998"/>
    <x v="1"/>
    <x v="1"/>
  </r>
  <r>
    <s v="35062130010EQMRCZZHO"/>
    <m/>
    <s v="MS: SOC CONTR - BARGAINING COUNCIL"/>
    <n v="449"/>
    <n v="37.28"/>
    <n v="0"/>
    <n v="223.68"/>
    <n v="225.32"/>
    <n v="49.81"/>
    <n v="0"/>
    <n v="449"/>
    <n v="477.0625"/>
    <n v="510.45687499999997"/>
    <n v="546.18885624999996"/>
    <x v="1"/>
    <x v="1"/>
  </r>
  <r>
    <s v="35062130200EQMRCZZHO"/>
    <m/>
    <s v="MS: SOC CONTR - MEDICAL"/>
    <n v="215633"/>
    <n v="9751.2000000000007"/>
    <n v="0"/>
    <n v="57466.8"/>
    <n v="158166.20000000001"/>
    <n v="26.65"/>
    <n v="0"/>
    <n v="215633"/>
    <n v="229110.0625"/>
    <n v="245147.766875"/>
    <n v="262308.11055624997"/>
    <x v="1"/>
    <x v="1"/>
  </r>
  <r>
    <s v="35062130300EQMRCZZHO"/>
    <m/>
    <s v="MS: SOC CONTR - PENSION"/>
    <n v="332313"/>
    <n v="24387.23"/>
    <n v="0"/>
    <n v="144975.98000000001"/>
    <n v="187337.02"/>
    <n v="43.62"/>
    <n v="0"/>
    <n v="332313"/>
    <n v="353082.5625"/>
    <n v="377798.34187499998"/>
    <n v="404244.22580625"/>
    <x v="1"/>
    <x v="1"/>
  </r>
  <r>
    <s v="35062130400EQMRCZZHO"/>
    <m/>
    <s v="MS: SOC CONTR - UNEMPLOYMENT INSUR FUND"/>
    <n v="7140"/>
    <n v="594.88"/>
    <n v="0"/>
    <n v="3569.28"/>
    <n v="3570.72"/>
    <n v="49.98"/>
    <n v="0"/>
    <n v="7140"/>
    <n v="7586.25"/>
    <n v="8117.2875000000004"/>
    <n v="8685.497625"/>
    <x v="1"/>
    <x v="1"/>
  </r>
  <r>
    <s v="35062140020PRMRCZZHO"/>
    <m/>
    <s v="MS: PRB - MED: CURRENT SERVICE COST"/>
    <n v="8010"/>
    <n v="0"/>
    <n v="0"/>
    <n v="0"/>
    <n v="8010"/>
    <n v="0"/>
    <n v="0"/>
    <n v="8010"/>
    <n v="8510.625"/>
    <n v="9106.3687499999996"/>
    <n v="9743.8145624999997"/>
    <x v="1"/>
    <x v="1"/>
  </r>
  <r>
    <s v="35062140040PRMRCZZHO"/>
    <m/>
    <s v="MS: PRB - MED: INTEREST COST"/>
    <n v="9043"/>
    <n v="0"/>
    <n v="0"/>
    <n v="0"/>
    <n v="9043"/>
    <n v="0"/>
    <n v="0"/>
    <n v="9043"/>
    <n v="9608.1875"/>
    <n v="10280.760625000001"/>
    <n v="11000.413868750002"/>
    <x v="1"/>
    <x v="1"/>
  </r>
  <r>
    <s v="35062142200PRMRCZZHO"/>
    <m/>
    <s v="MS: PRB - OTHER: LONG TERM SERVICE AWARD"/>
    <n v="14441"/>
    <n v="0"/>
    <n v="0"/>
    <n v="0"/>
    <n v="14441"/>
    <n v="0"/>
    <n v="0"/>
    <n v="14441"/>
    <n v="15343.5625"/>
    <n v="16417.611874999999"/>
    <n v="17566.844706249998"/>
    <x v="1"/>
    <x v="1"/>
  </r>
  <r>
    <s v="35062260360EQP04ZZHO"/>
    <m/>
    <s v="OS: B&amp;A OCCUPATIONAL HEALTH &amp; SAFETY"/>
    <n v="1000000"/>
    <n v="406934.52"/>
    <n v="0"/>
    <n v="1406934.52"/>
    <n v="-406934.52"/>
    <n v="140.69"/>
    <n v="1000000"/>
    <n v="2000000"/>
    <n v="400000"/>
    <n v="418400"/>
    <n v="437646.4"/>
    <x v="1"/>
    <x v="2"/>
  </r>
  <r>
    <s v="35062260360ORMRCZZHO"/>
    <m/>
    <s v="OS: B&amp;A OCCUPATIONAL HEALTH &amp; SAFETY"/>
    <n v="117299"/>
    <n v="0"/>
    <n v="0"/>
    <n v="0"/>
    <n v="117299"/>
    <n v="0"/>
    <n v="0"/>
    <n v="117299"/>
    <n v="122577.455"/>
    <n v="128216.01793"/>
    <n v="134113.95475477999"/>
    <x v="1"/>
    <x v="2"/>
  </r>
  <r>
    <s v="35062280610ORS63ZZHO"/>
    <s v="Training councillors"/>
    <s v="CONTR: CATERING SERVICES"/>
    <n v="400000"/>
    <n v="0"/>
    <n v="152176"/>
    <n v="248182.39999999999"/>
    <n v="151817.60000000001"/>
    <n v="62.0456"/>
    <n v="150000"/>
    <n v="550000"/>
    <n v="424000"/>
    <n v="443504"/>
    <n v="463905.18400000001"/>
    <x v="1"/>
    <x v="2"/>
  </r>
  <r>
    <s v="35062281210ORP42ZZHO"/>
    <m/>
    <s v="CONTR: EMPLOYEE WELLNESS"/>
    <n v="150000"/>
    <n v="0"/>
    <n v="0"/>
    <n v="0"/>
    <n v="150000"/>
    <n v="0"/>
    <n v="-100000"/>
    <n v="50000"/>
    <n v="52250"/>
    <n v="54653.5"/>
    <n v="57167.561000000002"/>
    <x v="1"/>
    <x v="2"/>
  </r>
  <r>
    <s v="35062281220ORMRCZZHO"/>
    <m/>
    <s v="CONTR: EVENT PROMOTERS"/>
    <n v="700000"/>
    <n v="0"/>
    <n v="0"/>
    <n v="0"/>
    <n v="700000"/>
    <n v="0"/>
    <n v="-700000"/>
    <n v="0"/>
    <n v="0"/>
    <n v="0"/>
    <n v="0"/>
    <x v="1"/>
    <x v="2"/>
  </r>
  <r>
    <s v="350623_new"/>
    <m/>
    <s v="LG SETA TRAINING"/>
    <m/>
    <m/>
    <m/>
    <m/>
    <m/>
    <m/>
    <m/>
    <m/>
    <n v="213511.26500000001"/>
    <n v="223332.78319000002"/>
    <n v="233606.09121674002"/>
    <x v="1"/>
    <x v="3"/>
  </r>
  <r>
    <s v="35062300120ORP19ZZHO"/>
    <m/>
    <s v="OC: ADV/PUB/MARK - CORP &amp; MUN ACTIVITIES"/>
    <n v="63600"/>
    <n v="0"/>
    <n v="0"/>
    <n v="0"/>
    <n v="63600"/>
    <n v="0"/>
    <n v="0"/>
    <n v="63600"/>
    <n v="66462"/>
    <n v="69519.251999999993"/>
    <n v="72717.137591999999"/>
    <x v="1"/>
    <x v="3"/>
  </r>
  <r>
    <s v="35062300170PRMRCZZHO"/>
    <m/>
    <s v="OC: ADV/PUB/MARK - STAFF RECRUITMENT"/>
    <n v="100000"/>
    <n v="0"/>
    <n v="23350.09"/>
    <n v="89474.35"/>
    <n v="10525.649999999994"/>
    <n v="89.474350000000001"/>
    <n v="30000"/>
    <n v="130000"/>
    <n v="135850"/>
    <n v="142099.1"/>
    <n v="148635.6586"/>
    <x v="1"/>
    <x v="3"/>
  </r>
  <r>
    <s v="35062300490ORMRCZZHO"/>
    <m/>
    <s v="OC: BURSARIES (EMPLOYEES)"/>
    <n v="500000"/>
    <n v="0"/>
    <n v="0"/>
    <n v="405182.32"/>
    <n v="94817.68"/>
    <n v="81.036463999999995"/>
    <n v="0"/>
    <n v="500000"/>
    <n v="522500"/>
    <n v="546535"/>
    <n v="571675.61"/>
    <x v="1"/>
    <x v="3"/>
  </r>
  <r>
    <s v="35062300490PRP70ZZHO"/>
    <m/>
    <s v="OC: BURSARIES (EMPLOYEES)"/>
    <n v="53287"/>
    <n v="0"/>
    <n v="0"/>
    <n v="0"/>
    <n v="53287"/>
    <n v="0"/>
    <n v="0"/>
    <n v="53287"/>
    <n v="55684.915000000001"/>
    <n v="58246.421090000003"/>
    <n v="60925.756460140001"/>
    <x v="1"/>
    <x v="3"/>
  </r>
  <r>
    <s v="35062304520EQMRCZZHO"/>
    <m/>
    <s v="OC: PROFESSIONAL BODIES M/SHIP &amp; SUBS"/>
    <n v="1049400"/>
    <n v="0"/>
    <n v="0"/>
    <n v="914865"/>
    <n v="134535"/>
    <n v="87.179817038307604"/>
    <n v="0"/>
    <n v="1049400"/>
    <n v="1096623"/>
    <n v="1147067.6580000001"/>
    <n v="1199832.770268"/>
    <x v="1"/>
    <x v="3"/>
  </r>
  <r>
    <s v="35062304520ORMRCZZHO"/>
    <m/>
    <s v="OC: PROFESSIONAL BODIES M/SHIP &amp; SUBS"/>
    <n v="7553"/>
    <n v="0"/>
    <n v="0"/>
    <n v="5868.7"/>
    <n v="1684.3000000000002"/>
    <n v="77.700251555673233"/>
    <n v="0"/>
    <n v="7553"/>
    <n v="7892.8850000000002"/>
    <n v="8255.9577100000006"/>
    <n v="8635.7317646600004"/>
    <x v="1"/>
    <x v="3"/>
  </r>
  <r>
    <s v="35062305110FMS14ZZHO"/>
    <s v="Training employees"/>
    <s v="OC: REG FEES NATIONAL"/>
    <n v="689000"/>
    <n v="0"/>
    <n v="15033.18"/>
    <n v="337514.89"/>
    <n v="351485.11"/>
    <n v="48.986195936139332"/>
    <n v="50000"/>
    <n v="739000"/>
    <n v="772255"/>
    <n v="807778.73"/>
    <n v="844936.55157999997"/>
    <x v="1"/>
    <x v="3"/>
  </r>
  <r>
    <s v="35062305410EQMRCZZHO"/>
    <m/>
    <s v="OC: SKILLS DEVELOPMENT FUND LEVY"/>
    <n v="164046"/>
    <n v="1910.89"/>
    <n v="0"/>
    <n v="11043.15"/>
    <n v="153002.85"/>
    <n v="6.731739877839142"/>
    <n v="-100000"/>
    <n v="64046"/>
    <n v="66928.070000000007"/>
    <n v="70006.76122"/>
    <n v="73227.072236120002"/>
    <x v="1"/>
    <x v="3"/>
  </r>
  <r>
    <s v="35062305760EQMRCZZHO"/>
    <m/>
    <s v="OC: T&amp;S DOM - ACCOMMODATION"/>
    <n v="0"/>
    <n v="6776.37"/>
    <n v="0"/>
    <n v="46729.41"/>
    <n v="-46729.41"/>
    <n v="0"/>
    <n v="100000"/>
    <n v="100000"/>
    <n v="104500"/>
    <n v="109307"/>
    <n v="114335.122"/>
    <x v="1"/>
    <x v="3"/>
  </r>
  <r>
    <s v="35062305760ORMRCZZHO"/>
    <m/>
    <s v="OC: T&amp;S DOM - ACCOMMODATION"/>
    <n v="105300"/>
    <n v="716.53"/>
    <n v="0"/>
    <n v="23427.25"/>
    <n v="81872.75"/>
    <n v="22.248100664767332"/>
    <n v="-30000"/>
    <n v="75300"/>
    <n v="78688.5"/>
    <n v="82308.171000000002"/>
    <n v="86094.346866000007"/>
    <x v="1"/>
    <x v="3"/>
  </r>
  <r>
    <s v="35062305800EQMRCZZHO"/>
    <m/>
    <s v="OC: T&amp;S DOM TRP - WITHOUT OPR CAR RENTAL"/>
    <n v="80000"/>
    <n v="6500"/>
    <n v="0"/>
    <n v="39650"/>
    <n v="40350"/>
    <n v="49.5625"/>
    <n v="0"/>
    <n v="80000"/>
    <n v="83600"/>
    <n v="87445.6"/>
    <n v="91468.097600000008"/>
    <x v="1"/>
    <x v="3"/>
  </r>
  <r>
    <s v="35062305800ORMRCZZHO"/>
    <m/>
    <s v="OC: T&amp;S DOM TRP - WITHOUT OPR CAR RENTAL"/>
    <n v="60000"/>
    <n v="0"/>
    <n v="6800"/>
    <n v="40770.68"/>
    <n v="19229.32"/>
    <n v="67.951133333333331"/>
    <n v="0"/>
    <n v="60000"/>
    <n v="62700"/>
    <n v="65584.2"/>
    <n v="68601.073199999999"/>
    <x v="1"/>
    <x v="3"/>
  </r>
  <r>
    <s v="35062720600PRMRCZZWM"/>
    <m/>
    <s v="DEPRECIATION COMPUTER EQUIPMENT"/>
    <n v="3371"/>
    <n v="1549.14"/>
    <n v="0"/>
    <n v="4306.75"/>
    <n v="-935.75"/>
    <n v="127.75"/>
    <n v="0"/>
    <n v="3371"/>
    <n v="3522.6950000000002"/>
    <n v="3684.7389700000003"/>
    <n v="3854.2369626200002"/>
    <x v="1"/>
    <x v="6"/>
  </r>
  <r>
    <s v="35062721500PRMRCZZWM"/>
    <m/>
    <s v="DEPRECIATION FURNITURE &amp; OFFICE EQUIPM"/>
    <n v="11148"/>
    <n v="2594.58"/>
    <n v="0"/>
    <n v="5509.33"/>
    <n v="5638.67"/>
    <n v="49.41"/>
    <n v="0"/>
    <n v="11148"/>
    <n v="11649.66"/>
    <n v="12185.54436"/>
    <n v="12746.07940056"/>
    <x v="1"/>
    <x v="6"/>
  </r>
  <r>
    <s v="35066550420FCC17ZZWM"/>
    <m/>
    <s v="FIRE DETECTORS AND ALARM SYSTEM"/>
    <n v="50000"/>
    <n v="0"/>
    <n v="0"/>
    <n v="28720"/>
    <n v="21280"/>
    <n v="57.44"/>
    <n v="-21280"/>
    <n v="28720"/>
    <n v="53000"/>
    <n v="53000"/>
    <n v="0"/>
    <x v="2"/>
    <x v="0"/>
  </r>
  <r>
    <s v="35072110010EQMRCZZHO"/>
    <m/>
    <s v="MS: SAL &amp; ALL: BASIC SALARY &amp; WAGES"/>
    <n v="921699"/>
    <n v="85296.76"/>
    <n v="0"/>
    <n v="503290.41"/>
    <n v="418408.59"/>
    <n v="54.6"/>
    <n v="0"/>
    <n v="921699"/>
    <n v="979305.1875"/>
    <n v="1047856.550625"/>
    <n v="1121206.5091687501"/>
    <x v="1"/>
    <x v="1"/>
  </r>
  <r>
    <s v="35072110100EQMRCZZHO"/>
    <m/>
    <s v="MS: SAL &amp; ALL: PERFORMANCE BASED BONUSES"/>
    <n v="41388"/>
    <n v="21167.72"/>
    <n v="0"/>
    <n v="103575.6"/>
    <n v="-62187.6"/>
    <n v="250.25"/>
    <n v="-20220.28"/>
    <n v="21167.72"/>
    <n v="22490.702499999999"/>
    <n v="24065.051674999999"/>
    <n v="25749.605292249998"/>
    <x v="1"/>
    <x v="1"/>
  </r>
  <r>
    <s v="35072110220EQMRCZZHO"/>
    <m/>
    <s v="MS: ALL - CELLULAR &amp; TELEPHONE"/>
    <n v="38100"/>
    <n v="3172.75"/>
    <n v="0"/>
    <n v="19036.5"/>
    <n v="19063.5"/>
    <n v="49.96"/>
    <n v="0"/>
    <n v="38100"/>
    <n v="40481.25"/>
    <n v="43314.9375"/>
    <n v="46346.983124999999"/>
    <x v="1"/>
    <x v="1"/>
  </r>
  <r>
    <s v="35072110260EQMRCZZHO"/>
    <m/>
    <s v="MS: HB &amp; INC: HOUSING BENEFITS"/>
    <n v="10893"/>
    <n v="907.77"/>
    <n v="0"/>
    <n v="5446.62"/>
    <n v="5446.38"/>
    <n v="50"/>
    <n v="0"/>
    <n v="10893"/>
    <n v="11573.8125"/>
    <n v="12383.979375000001"/>
    <n v="13250.857931250001"/>
    <x v="1"/>
    <x v="1"/>
  </r>
  <r>
    <s v="35072110320EQMRCZZHO"/>
    <m/>
    <s v="MS: ALL - LEAVE PAY"/>
    <n v="29391"/>
    <n v="0"/>
    <n v="0"/>
    <n v="0"/>
    <n v="29391"/>
    <n v="0"/>
    <n v="0"/>
    <n v="29391"/>
    <n v="31227.9375"/>
    <n v="33413.893125000002"/>
    <n v="35752.865643750003"/>
    <x v="1"/>
    <x v="1"/>
  </r>
  <r>
    <s v="35072110340EQMRCZZHO"/>
    <m/>
    <s v="MS: ALL - TRAVEL OR MOTOR VEHICLE"/>
    <n v="153077"/>
    <n v="13001.46"/>
    <n v="0"/>
    <n v="77094.720000000001"/>
    <n v="75982.28"/>
    <n v="50.36"/>
    <n v="0"/>
    <n v="153077"/>
    <n v="162644.3125"/>
    <n v="174029.41437499999"/>
    <n v="186211.47338124999"/>
    <x v="1"/>
    <x v="1"/>
  </r>
  <r>
    <s v="35072110440EQMRCZZHO"/>
    <m/>
    <s v="MS: SRB - ACTING ALLOWANCE"/>
    <n v="12246"/>
    <n v="0"/>
    <n v="0"/>
    <n v="0"/>
    <n v="12246"/>
    <n v="0"/>
    <n v="-12246"/>
    <n v="0"/>
    <n v="0"/>
    <n v="0"/>
    <n v="0"/>
    <x v="1"/>
    <x v="1"/>
  </r>
  <r>
    <s v="35072110460EQMRCZZHO"/>
    <m/>
    <s v="MS: SRB - ANNUAL BONUS"/>
    <n v="73808"/>
    <n v="0"/>
    <n v="0"/>
    <n v="0"/>
    <n v="73808"/>
    <n v="0"/>
    <n v="17447"/>
    <n v="91255"/>
    <n v="96958.4375"/>
    <n v="103745.528125"/>
    <n v="111007.71509375"/>
    <x v="1"/>
    <x v="1"/>
  </r>
  <r>
    <s v="35072110630EQMRCZZHO"/>
    <m/>
    <s v="MS: SRB - NON PENSIONABLE"/>
    <n v="15692"/>
    <n v="1307.7"/>
    <n v="0"/>
    <n v="7846.2"/>
    <n v="7845.8"/>
    <n v="50"/>
    <n v="0"/>
    <n v="15692"/>
    <n v="16672.75"/>
    <n v="17839.842499999999"/>
    <n v="19088.631474999998"/>
    <x v="1"/>
    <x v="1"/>
  </r>
  <r>
    <s v="35072130010EQMRCZZHO"/>
    <m/>
    <s v="MS: SOC CONTR - BARGAINING COUNCIL"/>
    <n v="225"/>
    <n v="23.3"/>
    <n v="0"/>
    <n v="139.80000000000001"/>
    <n v="85.2"/>
    <n v="62.13"/>
    <n v="0"/>
    <n v="225"/>
    <n v="239.0625"/>
    <n v="255.796875"/>
    <n v="273.70265625000002"/>
    <x v="1"/>
    <x v="1"/>
  </r>
  <r>
    <s v="35072130200EQMRCZZHO"/>
    <m/>
    <s v="MS: SOC CONTR - MEDICAL"/>
    <n v="107816"/>
    <n v="8948.4"/>
    <n v="0"/>
    <n v="53690.400000000001"/>
    <n v="54125.599999999999"/>
    <n v="49.79"/>
    <n v="0"/>
    <n v="107816"/>
    <n v="114554.5"/>
    <n v="122573.315"/>
    <n v="131153.44705000002"/>
    <x v="1"/>
    <x v="1"/>
  </r>
  <r>
    <s v="35072130300EQMRCZZHO"/>
    <m/>
    <s v="MS: SOC CONTR - PENSION"/>
    <n v="194854"/>
    <n v="16282.23"/>
    <n v="0"/>
    <n v="96143.39"/>
    <n v="98710.61"/>
    <n v="49.34"/>
    <n v="0"/>
    <n v="194854"/>
    <n v="207032.375"/>
    <n v="221524.64124999999"/>
    <n v="237031.36613749998"/>
    <x v="1"/>
    <x v="1"/>
  </r>
  <r>
    <s v="35072130400EQMRCZZHO"/>
    <m/>
    <s v="MS: SOC CONTR - UNEMPLOYMENT INSUR FUND"/>
    <n v="3570"/>
    <n v="371.8"/>
    <n v="0"/>
    <n v="2230.8000000000002"/>
    <n v="1339.2"/>
    <n v="62.48"/>
    <n v="0"/>
    <n v="3570"/>
    <n v="3793.125"/>
    <n v="4058.6437500000002"/>
    <n v="4342.7488125"/>
    <x v="1"/>
    <x v="1"/>
  </r>
  <r>
    <s v="35072140020PRMRCZZHO"/>
    <m/>
    <s v="MS: PRB - MED: CURRENT SERVICE COST"/>
    <n v="3453"/>
    <n v="0"/>
    <n v="0"/>
    <n v="0"/>
    <n v="3453"/>
    <n v="0"/>
    <n v="0"/>
    <n v="3453"/>
    <n v="3668.8125"/>
    <n v="3925.629375"/>
    <n v="4200.4234312500002"/>
    <x v="1"/>
    <x v="1"/>
  </r>
  <r>
    <s v="35072140040PRMRCZZHO"/>
    <m/>
    <s v="MS: PRB - MED: INTEREST COST"/>
    <n v="1415"/>
    <n v="0"/>
    <n v="0"/>
    <n v="0"/>
    <n v="1415"/>
    <n v="0"/>
    <n v="0"/>
    <n v="1415"/>
    <n v="1503.4375"/>
    <n v="1608.6781249999999"/>
    <n v="1721.2855937499999"/>
    <x v="1"/>
    <x v="1"/>
  </r>
  <r>
    <s v="35072142200ORMRCZZHO"/>
    <m/>
    <s v="MS: PRB - OTHER: LONG TERM SERVICE AWARD"/>
    <n v="9596"/>
    <n v="0"/>
    <n v="0"/>
    <n v="0"/>
    <n v="9596"/>
    <n v="0"/>
    <n v="0"/>
    <n v="9596"/>
    <n v="10195.75"/>
    <n v="10909.452499999999"/>
    <n v="11673.114174999999"/>
    <x v="1"/>
    <x v="1"/>
  </r>
  <r>
    <s v="35072281820ORR58ZZHO"/>
    <s v="R&amp;M website"/>
    <s v="CONTR: GRAPHIC DESIGNERS"/>
    <n v="84047"/>
    <n v="0"/>
    <n v="0"/>
    <n v="28976.22"/>
    <n v="55070.78"/>
    <n v="34.47"/>
    <n v="0"/>
    <n v="84047"/>
    <n v="87829.115000000005"/>
    <n v="91869.254290000012"/>
    <n v="96095.239987340014"/>
    <x v="1"/>
    <x v="2"/>
  </r>
  <r>
    <s v="35072283610ORR33ZZHO"/>
    <s v="R&amp;M ICT equipment"/>
    <s v="CONTR: MAINTENANCE OF EQUIPMENT"/>
    <n v="400000"/>
    <n v="195500"/>
    <n v="0"/>
    <n v="446611.24"/>
    <n v="13388.76"/>
    <n v="97.08"/>
    <n v="60000.000000000116"/>
    <n v="460000.00000000012"/>
    <n v="800000"/>
    <n v="836800"/>
    <n v="875292.8"/>
    <x v="1"/>
    <x v="2"/>
  </r>
  <r>
    <s v="35072283610ORR39ZZHO"/>
    <s v="R&amp;M ICT Server"/>
    <s v="CONTR: MAINTENANCE OF EQUIPMENT"/>
    <n v="600000"/>
    <n v="52764"/>
    <n v="0"/>
    <n v="347609.27"/>
    <n v="192390.73"/>
    <n v="64.37"/>
    <n v="-60000.000000000116"/>
    <n v="539999.99999999988"/>
    <n v="700000"/>
    <n v="732200"/>
    <n v="765881.2"/>
    <x v="1"/>
    <x v="2"/>
  </r>
  <r>
    <s v="35072301110EQMRCZZHO"/>
    <m/>
    <s v="OC: COMM - LICENCES (RADIO &amp; TELEVISION)"/>
    <n v="1497385"/>
    <n v="1877.85"/>
    <n v="0"/>
    <n v="747953.79"/>
    <n v="749431.21"/>
    <n v="49.95"/>
    <n v="200000"/>
    <n v="1697385"/>
    <n v="1700000"/>
    <n v="1778200"/>
    <n v="1859997.2"/>
    <x v="1"/>
    <x v="3"/>
  </r>
  <r>
    <s v="35072305410EQMRCZZHO"/>
    <m/>
    <s v="OC: SKILLS DEVELOPMENT FUND LEVY"/>
    <n v="0"/>
    <n v="1248.05"/>
    <n v="0"/>
    <n v="7193.06"/>
    <n v="-7193.06"/>
    <n v="0"/>
    <n v="15000"/>
    <n v="15000"/>
    <n v="15675"/>
    <n v="16396.05"/>
    <n v="17150.2683"/>
    <x v="1"/>
    <x v="3"/>
  </r>
  <r>
    <s v="35072305760EQMRCZZHO"/>
    <m/>
    <s v="OC: T&amp;S DOM - ACCOMMODATION"/>
    <n v="0"/>
    <n v="0"/>
    <n v="0"/>
    <n v="14967.14"/>
    <n v="-14967.14"/>
    <n v="0"/>
    <n v="35000"/>
    <n v="35000"/>
    <n v="36575"/>
    <n v="38257.449999999997"/>
    <n v="40017.292699999998"/>
    <x v="1"/>
    <x v="3"/>
  </r>
  <r>
    <s v="35072720040PRMRCZZWM"/>
    <m/>
    <s v="AMORTISATION INTANG COMPUTER SOFTWARE"/>
    <n v="3371"/>
    <n v="9285.52"/>
    <n v="0"/>
    <n v="25943.09"/>
    <n v="-22572.09"/>
    <n v="769.59"/>
    <n v="0"/>
    <n v="3371"/>
    <n v="3522.6950000000002"/>
    <n v="3684.7389700000003"/>
    <n v="3854.2369626200002"/>
    <x v="1"/>
    <x v="6"/>
  </r>
  <r>
    <s v="35072720600PRMRCZZWM"/>
    <m/>
    <s v="DEPRECIATION COMPUTER EQUIPMENT"/>
    <n v="92300"/>
    <n v="50623.56"/>
    <n v="0"/>
    <n v="134807.10999999999"/>
    <n v="-42507.11"/>
    <n v="146.05000000000001"/>
    <n v="0"/>
    <n v="92300"/>
    <n v="96453.5"/>
    <n v="100890.361"/>
    <n v="105531.317606"/>
    <x v="1"/>
    <x v="6"/>
  </r>
  <r>
    <s v="35072721500PRMRCZZWM"/>
    <m/>
    <s v="DEPRECIATION FURNITURE &amp; OFFICE EQUIPM"/>
    <n v="438975"/>
    <n v="131600.20000000001"/>
    <n v="0"/>
    <n v="263250.40000000002"/>
    <n v="175724.6"/>
    <n v="59.96"/>
    <n v="0"/>
    <n v="438975"/>
    <n v="458728.875"/>
    <n v="479830.40324999997"/>
    <n v="501902.60179949994"/>
    <x v="1"/>
    <x v="6"/>
  </r>
  <r>
    <s v="350761_new"/>
    <m/>
    <s v="DISASTER RECOVERY"/>
    <n v="0"/>
    <n v="0"/>
    <n v="0"/>
    <n v="0"/>
    <n v="0"/>
    <m/>
    <m/>
    <n v="0"/>
    <n v="2000000"/>
    <n v="500000"/>
    <n v="500000"/>
    <x v="2"/>
    <x v="0"/>
  </r>
  <r>
    <s v="35076151420FCC63ZZHO"/>
    <m/>
    <s v="TEAM MATE SOFTWARE"/>
    <n v="600000"/>
    <n v="0"/>
    <n v="0"/>
    <n v="79951.679999999993"/>
    <n v="520048.32"/>
    <n v="13.32"/>
    <n v="0"/>
    <n v="600000"/>
    <n v="0"/>
    <n v="0"/>
    <n v="0"/>
    <x v="2"/>
    <x v="0"/>
  </r>
  <r>
    <s v="35076470420FCC59ZZHO"/>
    <m/>
    <s v="ICT EQUIPMENT "/>
    <n v="1100000"/>
    <n v="196880"/>
    <n v="0"/>
    <n v="567480"/>
    <n v="532520"/>
    <n v="51.58"/>
    <n v="0"/>
    <n v="1100000"/>
    <n v="600000"/>
    <n v="636000"/>
    <n v="674160"/>
    <x v="2"/>
    <x v="0"/>
  </r>
  <r>
    <s v="35082110010EQMRCZZHO"/>
    <m/>
    <s v="MS: SAL &amp; ALL: BASIC SALARY &amp; WAGES"/>
    <n v="1238187"/>
    <n v="102521.85"/>
    <n v="0"/>
    <n v="626003.01"/>
    <n v="612183.99"/>
    <n v="50.55"/>
    <n v="0"/>
    <n v="1238187"/>
    <n v="1315573.6875"/>
    <n v="1407663.8456250001"/>
    <n v="1506200.3148187501"/>
    <x v="1"/>
    <x v="1"/>
  </r>
  <r>
    <s v="35082110100EQMRCZZHO"/>
    <m/>
    <s v="MS: SAL &amp; ALL: PERFORMANCE BASED BONUSES"/>
    <n v="56405"/>
    <n v="25401.27"/>
    <n v="0"/>
    <n v="102844.51"/>
    <n v="-46439.51"/>
    <n v="182.33"/>
    <n v="-31003.73000000001"/>
    <n v="25401.26999999999"/>
    <n v="26988.849374999991"/>
    <n v="28878.068831249991"/>
    <n v="30899.53364943749"/>
    <x v="1"/>
    <x v="1"/>
  </r>
  <r>
    <s v="35082110220EQMRCZZHO"/>
    <m/>
    <s v="MS: ALL - CELLULAR &amp; TELEPHONE"/>
    <n v="52200"/>
    <n v="4346.09"/>
    <n v="0"/>
    <n v="26076.54"/>
    <n v="26123.46"/>
    <n v="49.95"/>
    <n v="0"/>
    <n v="52200"/>
    <n v="55462.5"/>
    <n v="59344.875"/>
    <n v="63499.016250000001"/>
    <x v="1"/>
    <x v="1"/>
  </r>
  <r>
    <s v="35082110260EQMRCZZHO"/>
    <m/>
    <s v="MS: HB &amp; INC: HOUSING BENEFITS"/>
    <n v="10893"/>
    <n v="0"/>
    <n v="0"/>
    <n v="0"/>
    <n v="10893"/>
    <n v="0"/>
    <n v="0"/>
    <n v="10893"/>
    <n v="11573.8125"/>
    <n v="12383.979375000001"/>
    <n v="13250.857931250001"/>
    <x v="1"/>
    <x v="1"/>
  </r>
  <r>
    <s v="35082110320EQMRCZZHO"/>
    <m/>
    <s v="MS: ALL - LEAVE PAY"/>
    <n v="40056"/>
    <n v="0"/>
    <n v="0"/>
    <n v="0"/>
    <n v="40056"/>
    <n v="0"/>
    <n v="0"/>
    <n v="40056"/>
    <n v="42559.5"/>
    <n v="45538.665000000001"/>
    <n v="48726.371550000003"/>
    <x v="1"/>
    <x v="1"/>
  </r>
  <r>
    <s v="35082110340EQMRCZZHO"/>
    <m/>
    <s v="MS: ALL - TRAVEL OR MOTOR VEHICLE"/>
    <n v="300547"/>
    <n v="25276.16"/>
    <n v="0"/>
    <n v="150624.94"/>
    <n v="149922.06"/>
    <n v="50.11"/>
    <n v="0"/>
    <n v="300547"/>
    <n v="319331.1875"/>
    <n v="341684.37062499998"/>
    <n v="365602.27656874998"/>
    <x v="1"/>
    <x v="1"/>
  </r>
  <r>
    <s v="35082110440EQMRCZZHO"/>
    <m/>
    <s v="MS: SRB - ACTING ALLOWANCE"/>
    <n v="11405"/>
    <n v="0"/>
    <n v="0"/>
    <n v="0"/>
    <n v="11405"/>
    <n v="0"/>
    <n v="0"/>
    <n v="11405"/>
    <n v="12117.8125"/>
    <n v="12966.059375000001"/>
    <n v="13873.683531250001"/>
    <x v="1"/>
    <x v="1"/>
  </r>
  <r>
    <s v="35082110460EQMRCZZHO"/>
    <m/>
    <s v="MS: SRB - ANNUAL BONUS"/>
    <n v="100182"/>
    <n v="0"/>
    <n v="0"/>
    <n v="0"/>
    <n v="100182"/>
    <n v="0"/>
    <n v="0"/>
    <n v="100182"/>
    <n v="106443.375"/>
    <n v="113894.41125"/>
    <n v="121867.0200375"/>
    <x v="1"/>
    <x v="1"/>
  </r>
  <r>
    <s v="35082110500EQMRCZZHO"/>
    <m/>
    <s v="MS: SRB - LONG SERVICE AWARD"/>
    <n v="24284"/>
    <n v="0"/>
    <n v="0"/>
    <n v="0"/>
    <n v="24284"/>
    <n v="0"/>
    <n v="0"/>
    <n v="24284"/>
    <n v="25801.75"/>
    <n v="27607.872500000001"/>
    <n v="29540.423575000001"/>
    <x v="1"/>
    <x v="1"/>
  </r>
  <r>
    <s v="35082110630EQMRCZZHO"/>
    <m/>
    <s v="MS: SRB - NON PENSIONABLE"/>
    <n v="15692"/>
    <n v="1307.7"/>
    <n v="0"/>
    <n v="7846.2"/>
    <n v="7845.8"/>
    <n v="50"/>
    <n v="0"/>
    <n v="15692"/>
    <n v="16672.75"/>
    <n v="17839.842499999999"/>
    <n v="19088.631474999998"/>
    <x v="1"/>
    <x v="1"/>
  </r>
  <r>
    <s v="35082130010EQMRCZZHO"/>
    <m/>
    <s v="MS: SOC CONTR - BARGAINING COUNCIL"/>
    <n v="337"/>
    <n v="27.96"/>
    <n v="0"/>
    <n v="167.76"/>
    <n v="169.24"/>
    <n v="49.78"/>
    <n v="0"/>
    <n v="337"/>
    <n v="358.0625"/>
    <n v="383.12687499999998"/>
    <n v="409.94575624999999"/>
    <x v="1"/>
    <x v="1"/>
  </r>
  <r>
    <s v="35082130200EQMRCZZHO"/>
    <m/>
    <s v="MS: SOC CONTR - MEDICAL"/>
    <n v="161725"/>
    <n v="7625.4"/>
    <n v="0"/>
    <n v="45752.4"/>
    <n v="115972.6"/>
    <n v="28.29"/>
    <n v="0"/>
    <n v="161725"/>
    <n v="171832.8125"/>
    <n v="183861.109375"/>
    <n v="196731.38703124999"/>
    <x v="1"/>
    <x v="1"/>
  </r>
  <r>
    <s v="35082130300EQMRCZZHO"/>
    <m/>
    <s v="MS: SOC CONTR - PENSION"/>
    <n v="264481"/>
    <n v="20617.39"/>
    <n v="0"/>
    <n v="122932.35"/>
    <n v="141548.65"/>
    <n v="46.48"/>
    <n v="0"/>
    <n v="264481"/>
    <n v="281011.0625"/>
    <n v="300681.83687499998"/>
    <n v="321729.56545624998"/>
    <x v="1"/>
    <x v="1"/>
  </r>
  <r>
    <s v="35082130400EQMRCZZHO"/>
    <m/>
    <s v="MS: SOC CONTR - UNEMPLOYMENT INSUR FUND"/>
    <n v="5355"/>
    <n v="446.16"/>
    <n v="0"/>
    <n v="2826.96"/>
    <n v="2528.04"/>
    <n v="52.79"/>
    <n v="0"/>
    <n v="5355"/>
    <n v="5689.6875"/>
    <n v="6087.9656249999998"/>
    <n v="6514.12321875"/>
    <x v="1"/>
    <x v="1"/>
  </r>
  <r>
    <s v="35082140020PRMRCZZHO"/>
    <m/>
    <s v="MS: PRB - MED: CURRENT SERVICE COST"/>
    <n v="16993"/>
    <n v="0"/>
    <n v="0"/>
    <n v="0"/>
    <n v="16993"/>
    <n v="0"/>
    <n v="0"/>
    <n v="16993"/>
    <n v="18055.0625"/>
    <n v="19318.916874999999"/>
    <n v="20671.241056250001"/>
    <x v="1"/>
    <x v="1"/>
  </r>
  <r>
    <s v="35082140040PRMRCZZHO"/>
    <m/>
    <s v="MS: PRB - MED: INTEREST COST"/>
    <n v="17974"/>
    <n v="0"/>
    <n v="0"/>
    <n v="0"/>
    <n v="17974"/>
    <n v="0"/>
    <n v="0"/>
    <n v="17974"/>
    <n v="19097.375"/>
    <n v="20434.19125"/>
    <n v="21864.5846375"/>
    <x v="1"/>
    <x v="1"/>
  </r>
  <r>
    <s v="35082142200PRMRCZZHO"/>
    <m/>
    <s v="MS: PRB - OTHER: LONG TERM SERVICE AWARD"/>
    <n v="13156"/>
    <n v="0"/>
    <n v="0"/>
    <n v="0"/>
    <n v="13156"/>
    <n v="0"/>
    <n v="0"/>
    <n v="13156"/>
    <n v="13978.25"/>
    <n v="14956.727500000001"/>
    <n v="16003.698425"/>
    <x v="1"/>
    <x v="1"/>
  </r>
  <r>
    <s v="35082305110ORS32ZZHO"/>
    <m/>
    <s v="OC: REG FEES NATIONAL"/>
    <n v="424000"/>
    <n v="0"/>
    <n v="0"/>
    <n v="143900"/>
    <n v="280100"/>
    <n v="33.938679245283019"/>
    <n v="200000"/>
    <n v="624000"/>
    <n v="652080"/>
    <n v="682075.68"/>
    <n v="713451.16128"/>
    <x v="1"/>
    <x v="3"/>
  </r>
  <r>
    <s v="35082305110ORS57ZZWM"/>
    <m/>
    <s v="OC: REG FEES NATIONAL"/>
    <n v="1219000"/>
    <n v="93150"/>
    <n v="45152.17"/>
    <n v="989056.15"/>
    <n v="229943.84999999998"/>
    <n v="81.136681706316665"/>
    <n v="-200000"/>
    <n v="1019000"/>
    <n v="1064855"/>
    <n v="1113838.33"/>
    <n v="1165074.8931800001"/>
    <x v="1"/>
    <x v="3"/>
  </r>
  <r>
    <s v="35082305130EQMRCZZHO"/>
    <m/>
    <s v="OC: REMUNERATION TO WARD COMMITTEES"/>
    <n v="2304000"/>
    <n v="0"/>
    <n v="0"/>
    <n v="943200"/>
    <n v="1360800"/>
    <n v="40.9375"/>
    <n v="0"/>
    <n v="2304000"/>
    <n v="2304000"/>
    <n v="2409984"/>
    <n v="2520843.264"/>
    <x v="1"/>
    <x v="3"/>
  </r>
  <r>
    <s v="35082305410EQMRCZZHO"/>
    <m/>
    <s v="OC: SKILLS DEVELOPMENT FUND LEVY"/>
    <n v="0"/>
    <n v="1596.75"/>
    <n v="0"/>
    <n v="9006.24"/>
    <n v="-9006.24"/>
    <n v="0"/>
    <n v="20000"/>
    <n v="20000"/>
    <n v="20900"/>
    <n v="21861.4"/>
    <n v="22867.024400000002"/>
    <x v="1"/>
    <x v="3"/>
  </r>
  <r>
    <s v="35082305730EQMRCZZHO"/>
    <m/>
    <s v="OC: TRANSPORT - EVENTS"/>
    <n v="700000"/>
    <n v="0"/>
    <n v="0"/>
    <n v="220620"/>
    <n v="479380"/>
    <n v="31.517142857142854"/>
    <n v="0"/>
    <n v="700000"/>
    <n v="731500"/>
    <n v="765149"/>
    <n v="800345.85400000005"/>
    <x v="1"/>
    <x v="3"/>
  </r>
  <r>
    <s v="35082305760EQMRCZZHO"/>
    <m/>
    <s v="OC: T&amp;S DOM - ACCOMMODATION"/>
    <n v="0"/>
    <n v="18839.46"/>
    <n v="0"/>
    <n v="70159.350000000006"/>
    <n v="-70159.350000000006"/>
    <n v="0"/>
    <n v="140000"/>
    <n v="140000"/>
    <n v="146300"/>
    <n v="153029.79999999999"/>
    <n v="160069.17079999999"/>
    <x v="1"/>
    <x v="3"/>
  </r>
  <r>
    <s v="35082720600PRMRCZZWM"/>
    <m/>
    <s v="DEPRECIATION COMPUTER EQUIPMENT"/>
    <n v="620"/>
    <n v="1286.54"/>
    <n v="0"/>
    <n v="3404.15"/>
    <n v="-2784.15"/>
    <n v="549.04999999999995"/>
    <n v="0"/>
    <n v="620"/>
    <n v="647.9"/>
    <n v="677.70339999999999"/>
    <n v="708.87775639999995"/>
    <x v="1"/>
    <x v="6"/>
  </r>
  <r>
    <s v="35082721500PRMRCZZWM"/>
    <m/>
    <s v="DEPRECIATION FURNITURE &amp; OFFICE EQUIPM"/>
    <n v="39428"/>
    <n v="6492.48"/>
    <n v="0"/>
    <n v="14376.42"/>
    <n v="25051.58"/>
    <n v="36.46"/>
    <n v="0"/>
    <n v="39428"/>
    <n v="41202.26"/>
    <n v="43097.563959999999"/>
    <n v="45080.051902159998"/>
    <x v="1"/>
    <x v="6"/>
  </r>
  <r>
    <s v="35082725700PRMRCZZWM"/>
    <m/>
    <s v="DEPRECIATION  TRANSPORT ASSETS"/>
    <n v="184915"/>
    <n v="0"/>
    <n v="0"/>
    <n v="16884.22"/>
    <n v="168030.78"/>
    <n v="9.1300000000000008"/>
    <n v="0"/>
    <n v="184915"/>
    <n v="193236.17499999999"/>
    <n v="202125.03904999999"/>
    <n v="211422.79084629999"/>
    <x v="1"/>
    <x v="6"/>
  </r>
  <r>
    <s v="35082728000PRMRCZZWM"/>
    <m/>
    <s v="DEPRECIATION ROADS"/>
    <n v="0"/>
    <n v="26288.98"/>
    <n v="0"/>
    <n v="52577.96"/>
    <n v="-52577.96"/>
    <n v="0"/>
    <n v="0"/>
    <n v="0"/>
    <n v="0"/>
    <n v="0"/>
    <m/>
    <x v="1"/>
    <x v="6"/>
  </r>
  <r>
    <s v="35083201800PRMRCZZWM"/>
    <m/>
    <s v="PPE TRANSPORT ASSETS - LOSSES"/>
    <n v="0"/>
    <m/>
    <m/>
    <m/>
    <m/>
    <m/>
    <m/>
    <m/>
    <n v="250000"/>
    <n v="261500"/>
    <n v="273529"/>
    <x v="3"/>
    <x v="7"/>
  </r>
  <r>
    <s v="35092031250EQMRCZZHO"/>
    <m/>
    <s v="SM D02: SAL &amp; ALL -  BASIC SALARY"/>
    <n v="928990"/>
    <n v="0"/>
    <n v="0"/>
    <n v="0"/>
    <n v="928990"/>
    <n v="0"/>
    <n v="-464495"/>
    <n v="464495"/>
    <n v="493525.9375"/>
    <n v="528072.75312500005"/>
    <n v="565037.84584375005"/>
    <x v="1"/>
    <x v="1"/>
  </r>
  <r>
    <s v="35092031260EQMRCZZHO"/>
    <m/>
    <s v="SM D02: SAL &amp; ALL -  PERFORM BASED BONUS"/>
    <n v="46450"/>
    <n v="0"/>
    <n v="0"/>
    <n v="0"/>
    <n v="928990"/>
    <n v="0"/>
    <n v="-23225"/>
    <n v="23225"/>
    <n v="24676.5625"/>
    <n v="26403.921875"/>
    <n v="28252.196406250001"/>
    <x v="1"/>
    <x v="1"/>
  </r>
  <r>
    <s v="35092031270EQMRCZZHO"/>
    <m/>
    <s v="SM D02: ALLOW - CELLULAR &amp; TELEPHONE"/>
    <n v="40000"/>
    <n v="0"/>
    <n v="0"/>
    <n v="0"/>
    <n v="928990"/>
    <n v="0"/>
    <n v="-20000"/>
    <n v="20000"/>
    <n v="21250"/>
    <n v="22737.5"/>
    <n v="24329.125"/>
    <x v="1"/>
    <x v="1"/>
  </r>
  <r>
    <s v="35092031310EQMRCZZHO"/>
    <m/>
    <s v="SM D02: ALLOW - NON PENSIONABLE"/>
    <n v="17000"/>
    <n v="0"/>
    <n v="0"/>
    <n v="0"/>
    <n v="928990"/>
    <n v="0"/>
    <n v="-8500"/>
    <n v="8500"/>
    <n v="9031.25"/>
    <n v="9663.4375"/>
    <n v="10339.878124999999"/>
    <x v="1"/>
    <x v="1"/>
  </r>
  <r>
    <s v="35092031380EQMRCZZHO"/>
    <m/>
    <s v="SM D02: SRB - ACTING &amp; POST RELATE ALLOW"/>
    <n v="18580"/>
    <n v="0"/>
    <n v="0"/>
    <n v="0"/>
    <n v="928990"/>
    <n v="0"/>
    <n v="-18580"/>
    <n v="0"/>
    <n v="0"/>
    <n v="0"/>
    <n v="0"/>
    <x v="1"/>
    <x v="1"/>
  </r>
  <r>
    <s v="35092110010EQMRCZZHO"/>
    <m/>
    <s v="MS: SAL &amp; ALL: BASIC SALARY &amp; WAGES"/>
    <n v="627000"/>
    <n v="0"/>
    <n v="0"/>
    <n v="0"/>
    <n v="928990"/>
    <n v="0"/>
    <n v="0"/>
    <n v="627000"/>
    <n v="666187.5"/>
    <n v="712820.625"/>
    <n v="762718.06874999998"/>
    <x v="1"/>
    <x v="1"/>
  </r>
  <r>
    <s v="35092110100EQMRCZZHO"/>
    <m/>
    <s v="MS: SAL &amp; ALL: PERFORMANCE BASED BONUSES"/>
    <n v="29299"/>
    <n v="0"/>
    <n v="0"/>
    <n v="0"/>
    <n v="928990"/>
    <n v="0"/>
    <n v="-12364.82"/>
    <n v="16934.18"/>
    <n v="17992.56625"/>
    <n v="19252.0458875"/>
    <n v="20599.689099625"/>
    <x v="1"/>
    <x v="1"/>
  </r>
  <r>
    <s v="35092110220EQMRCZZHO"/>
    <m/>
    <s v="MS: ALL - CELLULAR &amp; TELEPHONE"/>
    <n v="24000"/>
    <n v="0"/>
    <n v="0"/>
    <n v="0"/>
    <n v="928990"/>
    <n v="0"/>
    <n v="0"/>
    <n v="24000"/>
    <n v="25500"/>
    <n v="27285"/>
    <n v="29194.95"/>
    <x v="1"/>
    <x v="1"/>
  </r>
  <r>
    <s v="35092110260EQMRCZZHO"/>
    <m/>
    <s v="MS: HB &amp; INC: HOUSING BENEFITS"/>
    <n v="10893"/>
    <n v="0"/>
    <n v="0"/>
    <n v="0"/>
    <n v="928990"/>
    <n v="0"/>
    <n v="0"/>
    <n v="10893"/>
    <n v="11573.8125"/>
    <n v="12383.979375000001"/>
    <n v="13250.857931250001"/>
    <x v="1"/>
    <x v="1"/>
  </r>
  <r>
    <s v="35092110320EQMRCZZHO"/>
    <m/>
    <s v="MS: ALL - LEAVE PAY"/>
    <n v="20806"/>
    <n v="0"/>
    <n v="0"/>
    <n v="0"/>
    <n v="928990"/>
    <n v="0"/>
    <n v="0"/>
    <n v="20806"/>
    <n v="22106.375"/>
    <n v="23653.821250000001"/>
    <n v="25309.588737500002"/>
    <x v="1"/>
    <x v="1"/>
  </r>
  <r>
    <s v="35092110340EQMRCZZHO"/>
    <m/>
    <s v="MS: ALL - TRAVEL OR MOTOR VEHICLE"/>
    <n v="156750"/>
    <n v="0"/>
    <n v="0"/>
    <n v="0"/>
    <n v="928990"/>
    <n v="0"/>
    <n v="0"/>
    <n v="156750"/>
    <n v="166546.875"/>
    <n v="178205.15625"/>
    <n v="190679.51718749999"/>
    <x v="1"/>
    <x v="1"/>
  </r>
  <r>
    <s v="35092110440EQMRCZZHO"/>
    <m/>
    <s v="MS: SRB - ACTING ALLOWANCE"/>
    <n v="12657"/>
    <n v="0"/>
    <n v="0"/>
    <n v="0"/>
    <n v="928990"/>
    <n v="0"/>
    <n v="-12657"/>
    <n v="0"/>
    <n v="0"/>
    <n v="0"/>
    <n v="0"/>
    <x v="1"/>
    <x v="1"/>
  </r>
  <r>
    <s v="35092110460EQMRCZZHO"/>
    <m/>
    <s v="MS: SRB - ANNUAL BONUS"/>
    <n v="52250"/>
    <n v="0"/>
    <n v="0"/>
    <n v="0"/>
    <n v="928990"/>
    <n v="0"/>
    <n v="0"/>
    <n v="52250"/>
    <n v="55515.625"/>
    <n v="59401.71875"/>
    <n v="63559.839062500003"/>
    <x v="1"/>
    <x v="1"/>
  </r>
  <r>
    <s v="35092110580EQMRCZZHO"/>
    <m/>
    <s v="MS: SRB - TOOLS ALLOWANCE"/>
    <n v="15692"/>
    <n v="0"/>
    <n v="0"/>
    <n v="0"/>
    <n v="928990"/>
    <n v="0"/>
    <n v="0"/>
    <n v="15692"/>
    <n v="16672.75"/>
    <n v="17839.842499999999"/>
    <n v="19088.631474999998"/>
    <x v="1"/>
    <x v="1"/>
  </r>
  <r>
    <s v="35092110630EQMRCZZHO"/>
    <m/>
    <s v="MS: SRB - NON PENSIONABLE"/>
    <n v="37160"/>
    <n v="0"/>
    <n v="0"/>
    <n v="0"/>
    <n v="928990"/>
    <n v="0"/>
    <n v="0"/>
    <n v="37160"/>
    <n v="39482.5"/>
    <n v="42246.275000000001"/>
    <n v="45203.51425"/>
    <x v="1"/>
    <x v="1"/>
  </r>
  <r>
    <s v="35092130010EQMRCZZHO"/>
    <m/>
    <s v="MS: SOC CONTR - BARGAINING COUNCIL"/>
    <n v="112"/>
    <n v="0"/>
    <n v="0"/>
    <n v="0"/>
    <n v="928990"/>
    <n v="0"/>
    <n v="188"/>
    <n v="300"/>
    <n v="318.75"/>
    <n v="341.0625"/>
    <n v="364.93687499999999"/>
    <x v="1"/>
    <x v="1"/>
  </r>
  <r>
    <s v="35092130200EQMRCZZHO"/>
    <m/>
    <s v="MS: SOC CONTR - MEDICAL"/>
    <n v="53908"/>
    <n v="0"/>
    <n v="0"/>
    <n v="0"/>
    <n v="928990"/>
    <n v="0"/>
    <n v="0"/>
    <n v="53908"/>
    <n v="57277.25"/>
    <n v="61286.657500000001"/>
    <n v="65576.723525000009"/>
    <x v="1"/>
    <x v="1"/>
  </r>
  <r>
    <s v="35092130300EQMRCZZHO"/>
    <m/>
    <s v="MS: SOC CONTR - PENSION"/>
    <n v="137940"/>
    <n v="0"/>
    <n v="0"/>
    <n v="0"/>
    <n v="928990"/>
    <n v="0"/>
    <n v="0"/>
    <n v="137940"/>
    <n v="146561.25"/>
    <n v="156820.53750000001"/>
    <n v="167797.975125"/>
    <x v="1"/>
    <x v="1"/>
  </r>
  <r>
    <s v="35092130400EQMRCZZHO"/>
    <m/>
    <s v="MS: SOC CONTR - UNEMPLOYMENT INSUR FUND"/>
    <n v="1785"/>
    <n v="0"/>
    <n v="0"/>
    <n v="0"/>
    <n v="928990"/>
    <n v="0"/>
    <n v="1215"/>
    <n v="3000"/>
    <n v="3187.5"/>
    <n v="3410.625"/>
    <n v="3649.3687500000001"/>
    <x v="1"/>
    <x v="1"/>
  </r>
  <r>
    <s v="35092140020EQMRCZZHO"/>
    <m/>
    <s v="MS: PRB - MED: CURRENT SERVICE COST"/>
    <n v="2151"/>
    <n v="0"/>
    <n v="0"/>
    <n v="0"/>
    <n v="928990"/>
    <n v="0"/>
    <n v="0"/>
    <n v="2151"/>
    <n v="2285.4375"/>
    <n v="2445.4181250000001"/>
    <n v="2616.5973937500003"/>
    <x v="1"/>
    <x v="1"/>
  </r>
  <r>
    <s v="35092140040EQMRCZZHO"/>
    <m/>
    <s v="MS: PRB - MED: INTEREST COST"/>
    <n v="1460"/>
    <n v="0"/>
    <n v="0"/>
    <n v="0"/>
    <n v="928990"/>
    <n v="0"/>
    <n v="0"/>
    <n v="1460"/>
    <n v="1551.25"/>
    <n v="1659.8375000000001"/>
    <n v="1776.0261250000001"/>
    <x v="1"/>
    <x v="1"/>
  </r>
  <r>
    <s v="35092142200EQMRCZZHO"/>
    <m/>
    <s v="MS: PRB - OTHER: LONG TERM SERVICE AWARD"/>
    <n v="14285"/>
    <n v="0"/>
    <n v="0"/>
    <n v="0"/>
    <n v="928990"/>
    <n v="0"/>
    <n v="0"/>
    <n v="14285"/>
    <n v="15177.8125"/>
    <n v="16240.259375"/>
    <n v="17377.077531250001"/>
    <x v="1"/>
    <x v="1"/>
  </r>
  <r>
    <s v="35092300120ORP21ZZHO"/>
    <m/>
    <s v="OC: ADV/PUB/MARK - CORP &amp; MUN ACTIVITIES"/>
    <n v="84029"/>
    <n v="0"/>
    <n v="0"/>
    <n v="0"/>
    <n v="928990"/>
    <n v="0"/>
    <n v="-60000"/>
    <n v="24029"/>
    <n v="25110.305"/>
    <n v="26265.37903"/>
    <n v="27473.586465380002"/>
    <x v="1"/>
    <x v="3"/>
  </r>
  <r>
    <s v="35092301600ORMRCZZHO"/>
    <m/>
    <s v="OC: ENTERTAINMENT - EXEC MAYOR"/>
    <n v="2000"/>
    <n v="0"/>
    <n v="0"/>
    <n v="0"/>
    <n v="928990"/>
    <n v="0"/>
    <n v="0"/>
    <n v="2000"/>
    <n v="2000"/>
    <n v="2000"/>
    <n v="2000"/>
    <x v="1"/>
    <x v="3"/>
  </r>
  <r>
    <s v="35092303300EQMRCZZHO"/>
    <m/>
    <s v="OC: LEARNERSHIPS &amp; INTERNSHIPS"/>
    <n v="480000"/>
    <n v="0"/>
    <n v="0"/>
    <n v="0"/>
    <n v="928990"/>
    <n v="0"/>
    <n v="0"/>
    <n v="480000"/>
    <n v="0"/>
    <n v="0"/>
    <n v="0"/>
    <x v="1"/>
    <x v="3"/>
  </r>
  <r>
    <s v="35092305410EQMRCZZHO"/>
    <m/>
    <s v="OC: SKILLS DEVELOPMENT FUND LEVY"/>
    <n v="64698"/>
    <n v="0"/>
    <n v="0"/>
    <n v="0"/>
    <n v="928990"/>
    <n v="0"/>
    <n v="-50000"/>
    <n v="14698"/>
    <n v="15359.41"/>
    <n v="16065.942859999999"/>
    <n v="16804.976231559998"/>
    <x v="1"/>
    <x v="3"/>
  </r>
  <r>
    <s v="35092305760EQMRCZZHO"/>
    <m/>
    <s v="OC: T&amp;S DOM - ACCOMMODATION"/>
    <n v="156818"/>
    <n v="0"/>
    <n v="0"/>
    <n v="0"/>
    <n v="928990"/>
    <n v="0"/>
    <n v="-49000"/>
    <n v="107818"/>
    <n v="112669.81"/>
    <n v="117852.62126"/>
    <n v="123273.84183796"/>
    <x v="1"/>
    <x v="3"/>
  </r>
  <r>
    <s v="35092305800ORMRCZZHO"/>
    <m/>
    <s v="OC: T&amp;S DOM TRP - WITHOUT OPR CAR RENTAL"/>
    <n v="50000"/>
    <n v="0"/>
    <n v="0"/>
    <n v="0"/>
    <n v="928990"/>
    <n v="0"/>
    <n v="-30000"/>
    <n v="20000"/>
    <n v="20900"/>
    <n v="21861.4"/>
    <n v="22867.024400000002"/>
    <x v="1"/>
    <x v="3"/>
  </r>
  <r>
    <s v="35092720600PRMRCZZWM"/>
    <m/>
    <s v="DEPRECIATION COMPUTER EQUIPMENT"/>
    <n v="549"/>
    <n v="0"/>
    <n v="0"/>
    <n v="0"/>
    <n v="928990"/>
    <n v="0"/>
    <n v="0"/>
    <n v="549"/>
    <n v="573.70500000000004"/>
    <n v="600.09543000000008"/>
    <n v="627.6998197800001"/>
    <x v="1"/>
    <x v="6"/>
  </r>
  <r>
    <s v="35092721500PRMRCZZWM"/>
    <m/>
    <s v="DEPRECIATION FURNITURE &amp; OFFICE EQUIPM"/>
    <n v="12600"/>
    <n v="0"/>
    <n v="0"/>
    <n v="0"/>
    <n v="928990"/>
    <n v="0"/>
    <n v="0"/>
    <n v="12600"/>
    <n v="13167"/>
    <n v="13772.682000000001"/>
    <n v="14406.225372000001"/>
    <x v="1"/>
    <x v="6"/>
  </r>
  <r>
    <s v="35092728800PRMRCZZWM"/>
    <m/>
    <s v="DEPRECIATION COMMUNITY HALLS"/>
    <n v="22976"/>
    <n v="0"/>
    <n v="0"/>
    <n v="0"/>
    <n v="928990"/>
    <n v="0"/>
    <n v="0"/>
    <n v="22976"/>
    <n v="24009.919999999998"/>
    <n v="25114.376319999999"/>
    <n v="26269.637630720001"/>
    <x v="1"/>
    <x v="6"/>
  </r>
  <r>
    <s v="35101343010DRZZZZZWM"/>
    <m/>
    <s v="RENT ON LAND: LAND - GRAZING FEES"/>
    <n v="0"/>
    <n v="-3359.36"/>
    <n v="0"/>
    <n v="-23178.240000000002"/>
    <n v="23178.240000000002"/>
    <n v="0"/>
    <n v="0"/>
    <n v="-50000"/>
    <n v="-52450"/>
    <n v="-54967.6"/>
    <n v="-57606.044799999996"/>
    <x v="0"/>
    <x v="0"/>
  </r>
  <r>
    <s v="35101424560F2ZZZZZWM"/>
    <m/>
    <s v="PLAN &amp; DEV: CLEARANCE CERTIFICATES"/>
    <n v="-10462"/>
    <n v="0"/>
    <n v="0"/>
    <n v="-9352.99"/>
    <n v="-1109.01"/>
    <n v="89.39"/>
    <n v="0"/>
    <n v="-30462"/>
    <n v="-31832.79"/>
    <n v="-33297.098340000004"/>
    <n v="-34828.764863640004"/>
    <x v="0"/>
    <x v="0"/>
  </r>
  <r>
    <s v="35102110010EQMRCZZHO"/>
    <m/>
    <s v="MS: SAL &amp; ALL: BASIC SALARY &amp; WAGES"/>
    <n v="663000"/>
    <n v="0"/>
    <n v="0"/>
    <n v="0"/>
    <n v="928990"/>
    <n v="0"/>
    <n v="0"/>
    <n v="663000"/>
    <n v="704437.5"/>
    <n v="753748.125"/>
    <n v="806510.49375000002"/>
    <x v="1"/>
    <x v="1"/>
  </r>
  <r>
    <s v="35102110100EQMRCZZHO"/>
    <m/>
    <s v="MS: SAL &amp; ALL: PERFORMANCE BASED BONUSES"/>
    <n v="29299"/>
    <n v="0"/>
    <n v="0"/>
    <n v="0"/>
    <n v="928990"/>
    <n v="0"/>
    <n v="-20831.909999999996"/>
    <n v="8467.0900000000038"/>
    <n v="8996.2831250000036"/>
    <n v="9626.0229437500038"/>
    <n v="10299.844549812504"/>
    <x v="1"/>
    <x v="1"/>
  </r>
  <r>
    <s v="35102110220EQMRCZZHO"/>
    <m/>
    <s v="MS: ALL - CELLULAR &amp; TELEPHONE"/>
    <n v="24000"/>
    <n v="0"/>
    <n v="0"/>
    <n v="0"/>
    <n v="928990"/>
    <n v="0"/>
    <n v="0"/>
    <n v="24000"/>
    <n v="25500"/>
    <n v="27285"/>
    <n v="29194.95"/>
    <x v="1"/>
    <x v="1"/>
  </r>
  <r>
    <s v="35102110260EQMRCZZHO"/>
    <m/>
    <s v="MS: HB &amp; INC: HOUSING BENEFITS"/>
    <n v="10893"/>
    <n v="0"/>
    <n v="0"/>
    <n v="0"/>
    <n v="928990"/>
    <n v="0"/>
    <n v="0"/>
    <n v="10893"/>
    <n v="11573.8125"/>
    <n v="12383.979375000001"/>
    <n v="13250.857931250001"/>
    <x v="1"/>
    <x v="1"/>
  </r>
  <r>
    <s v="35102110320EQMRCZZHO"/>
    <m/>
    <s v="MS: ALL - LEAVE PAY"/>
    <n v="20806"/>
    <n v="0"/>
    <n v="0"/>
    <n v="0"/>
    <n v="928990"/>
    <n v="0"/>
    <n v="101194"/>
    <n v="122000"/>
    <n v="129625"/>
    <n v="138698.75"/>
    <n v="148407.66250000001"/>
    <x v="1"/>
    <x v="1"/>
  </r>
  <r>
    <s v="35102110340EQMRCZZHO"/>
    <m/>
    <s v="MS: ALL - TRAVEL OR MOTOR VEHICLE"/>
    <n v="156750"/>
    <n v="0"/>
    <n v="0"/>
    <n v="0"/>
    <n v="928990"/>
    <n v="0"/>
    <n v="0"/>
    <n v="156750"/>
    <n v="166546.875"/>
    <n v="178205.15625"/>
    <n v="190679.51718749999"/>
    <x v="1"/>
    <x v="1"/>
  </r>
  <r>
    <s v="35102110440EQMRCZZHO"/>
    <m/>
    <s v="MS: SRB - ACTING ALLOWANCE"/>
    <n v="12657"/>
    <n v="0"/>
    <n v="0"/>
    <n v="0"/>
    <n v="928990"/>
    <n v="0"/>
    <n v="-12657"/>
    <n v="0"/>
    <n v="0"/>
    <n v="0"/>
    <n v="0"/>
    <x v="1"/>
    <x v="1"/>
  </r>
  <r>
    <s v="35102110460EQMRCZZHO"/>
    <m/>
    <s v="MS: SRB - ANNUAL BONUS"/>
    <n v="52250"/>
    <n v="0"/>
    <n v="0"/>
    <n v="0"/>
    <n v="928990"/>
    <n v="0"/>
    <n v="0"/>
    <n v="52250"/>
    <n v="55515.625"/>
    <n v="59401.71875"/>
    <n v="63559.839062500003"/>
    <x v="1"/>
    <x v="1"/>
  </r>
  <r>
    <s v="35102110630EQMRCZZHO"/>
    <m/>
    <s v="MS: SRB - NON PENSIONABLE"/>
    <n v="15692"/>
    <n v="0"/>
    <n v="0"/>
    <n v="0"/>
    <n v="928990"/>
    <n v="0"/>
    <n v="0"/>
    <n v="15692"/>
    <n v="16672.75"/>
    <n v="17839.842499999999"/>
    <n v="19088.631474999998"/>
    <x v="1"/>
    <x v="1"/>
  </r>
  <r>
    <s v="35102130010EQMRCZZHO"/>
    <m/>
    <s v="MS: SOC CONTR - BARGAINING COUNCIL"/>
    <n v="112"/>
    <n v="0"/>
    <n v="0"/>
    <n v="0"/>
    <n v="928990"/>
    <n v="0"/>
    <n v="0"/>
    <n v="112"/>
    <n v="119"/>
    <n v="127.33"/>
    <n v="136.2431"/>
    <x v="1"/>
    <x v="1"/>
  </r>
  <r>
    <s v="35102130200EQMRCZZHO"/>
    <m/>
    <s v="MS: SOC CONTR - MEDICAL"/>
    <n v="53908"/>
    <n v="0"/>
    <n v="0"/>
    <n v="0"/>
    <n v="928990"/>
    <n v="0"/>
    <n v="0"/>
    <n v="53908"/>
    <n v="57277.25"/>
    <n v="61286.657500000001"/>
    <n v="65576.723525000009"/>
    <x v="1"/>
    <x v="1"/>
  </r>
  <r>
    <s v="35102130300EQMRCZZHO"/>
    <m/>
    <s v="MS: SOC CONTR - PENSION"/>
    <n v="137940"/>
    <n v="0"/>
    <n v="0"/>
    <n v="0"/>
    <n v="928990"/>
    <n v="0"/>
    <n v="0"/>
    <n v="137940"/>
    <n v="146561.25"/>
    <n v="156820.53750000001"/>
    <n v="167797.975125"/>
    <x v="1"/>
    <x v="1"/>
  </r>
  <r>
    <s v="35102130400EQMRCZZHO"/>
    <m/>
    <s v="MS: SOC CONTR - UNEMPLOYMENT INSUR FUND"/>
    <n v="3570"/>
    <n v="0"/>
    <n v="0"/>
    <n v="0"/>
    <n v="928990"/>
    <n v="0"/>
    <n v="0"/>
    <n v="3570"/>
    <n v="3793.125"/>
    <n v="4058.6437500000002"/>
    <n v="4342.7488125"/>
    <x v="1"/>
    <x v="1"/>
  </r>
  <r>
    <s v="35102140020PRMRCZZHO"/>
    <m/>
    <s v="MS: PRB - MED: CURRENT SERVICE COST"/>
    <n v="5543"/>
    <n v="0"/>
    <n v="0"/>
    <n v="0"/>
    <n v="928990"/>
    <n v="0"/>
    <n v="0"/>
    <n v="5543"/>
    <n v="5889.4375"/>
    <n v="6301.6981249999999"/>
    <n v="6742.8169937499997"/>
    <x v="1"/>
    <x v="1"/>
  </r>
  <r>
    <s v="35102140040PRMRCZZHO"/>
    <m/>
    <s v="MS: PRB - MED: INTEREST COST"/>
    <n v="8283"/>
    <n v="0"/>
    <n v="0"/>
    <n v="0"/>
    <n v="928990"/>
    <n v="0"/>
    <n v="0"/>
    <n v="8283"/>
    <n v="8800.6875"/>
    <n v="9416.7356249999993"/>
    <n v="10075.907118749999"/>
    <x v="1"/>
    <x v="1"/>
  </r>
  <r>
    <s v="35102142200PRMRCZZHO"/>
    <m/>
    <s v="MS: PRB - OTHER: LONG TERM SERVICE AWARD"/>
    <n v="10931"/>
    <n v="0"/>
    <n v="0"/>
    <n v="0"/>
    <n v="928990"/>
    <n v="0"/>
    <n v="0"/>
    <n v="10931"/>
    <n v="11614.1875"/>
    <n v="12427.180625000001"/>
    <n v="13297.083268750001"/>
    <x v="1"/>
    <x v="1"/>
  </r>
  <r>
    <s v="35102260370ORP61ZZHO"/>
    <m/>
    <s v="OS: B&amp;A ORGANISATIONAL"/>
    <n v="802176"/>
    <n v="0"/>
    <n v="0"/>
    <n v="0"/>
    <n v="928990"/>
    <n v="0"/>
    <n v="-100000"/>
    <n v="702176"/>
    <n v="733773.92"/>
    <n v="767527.52032000001"/>
    <n v="802833.78625472006"/>
    <x v="1"/>
    <x v="2"/>
  </r>
  <r>
    <s v="35102272460ORP64ZZHO"/>
    <s v="LAND USE SCHEME"/>
    <s v="C&amp;PS: I&amp;P ENGINEERING CIVIL"/>
    <n v="1200000"/>
    <n v="0"/>
    <n v="0"/>
    <n v="0"/>
    <n v="928990"/>
    <n v="0"/>
    <n v="-200000"/>
    <n v="1000000"/>
    <n v="0"/>
    <n v="0"/>
    <n v="0"/>
    <x v="1"/>
    <x v="2"/>
  </r>
  <r>
    <s v="35102272580F2P88ZZHO"/>
    <m/>
    <s v="C&amp;PS: I&amp;P TOWN PLANNER"/>
    <n v="0"/>
    <n v="0"/>
    <n v="0"/>
    <n v="0"/>
    <n v="928990"/>
    <n v="0"/>
    <n v="0"/>
    <n v="0"/>
    <n v="0"/>
    <n v="200000"/>
    <n v="200000"/>
    <x v="1"/>
    <x v="2"/>
  </r>
  <r>
    <s v="35102272580ORP01ZZHO"/>
    <m/>
    <s v="C&amp;PS: I&amp;P TOWN PLANNER"/>
    <n v="600000"/>
    <n v="0"/>
    <n v="0"/>
    <n v="0"/>
    <n v="928990"/>
    <n v="0"/>
    <n v="-100000"/>
    <n v="500000"/>
    <n v="0"/>
    <n v="0"/>
    <n v="0"/>
    <x v="1"/>
    <x v="2"/>
  </r>
  <r>
    <s v="35102272580ORP93ZZHO"/>
    <m/>
    <s v="C&amp;PS: I&amp;P TOWN PLANNER"/>
    <n v="500000"/>
    <n v="0"/>
    <n v="0"/>
    <n v="0"/>
    <n v="928990"/>
    <n v="0"/>
    <n v="-15000"/>
    <n v="485000"/>
    <n v="500000"/>
    <n v="0"/>
    <n v="500000"/>
    <x v="1"/>
    <x v="2"/>
  </r>
  <r>
    <s v="35102272580ORR91ZZHO"/>
    <m/>
    <s v="C&amp;PS: I&amp;P TOWN PLANNER"/>
    <n v="80000"/>
    <n v="0"/>
    <n v="0"/>
    <n v="0"/>
    <n v="928990"/>
    <n v="0"/>
    <n v="0"/>
    <n v="80000"/>
    <n v="100000"/>
    <n v="0"/>
    <n v="0"/>
    <x v="1"/>
    <x v="2"/>
  </r>
  <r>
    <s v="35102272580ORS04ZZHO"/>
    <m/>
    <s v="C&amp;PS: I&amp;P TOWN PLANNER"/>
    <n v="1000000"/>
    <n v="0"/>
    <n v="0"/>
    <n v="0"/>
    <n v="928990"/>
    <n v="0"/>
    <n v="-106650"/>
    <n v="893350"/>
    <n v="540000"/>
    <n v="0"/>
    <n v="0"/>
    <x v="1"/>
    <x v="2"/>
  </r>
  <r>
    <s v="35102285450ORP66ZZHO"/>
    <s v="LED SUPPORT"/>
    <s v="CONTR: EXHIBIT INSTALLERS"/>
    <n v="74600"/>
    <n v="0"/>
    <n v="0"/>
    <n v="0"/>
    <n v="928990"/>
    <n v="0"/>
    <n v="0"/>
    <n v="74600"/>
    <n v="80000"/>
    <n v="83680"/>
    <n v="87529.279999999999"/>
    <x v="1"/>
    <x v="2"/>
  </r>
  <r>
    <s v="3510230_new 1"/>
    <m/>
    <s v="AGRICULTURAL SKILLS DEV. &amp; MENTORSHIP"/>
    <m/>
    <m/>
    <m/>
    <m/>
    <m/>
    <m/>
    <m/>
    <n v="0"/>
    <n v="150000"/>
    <n v="156900"/>
    <n v="164117.4"/>
    <x v="1"/>
    <x v="3"/>
  </r>
  <r>
    <s v="35102300120ORS30ZZHO"/>
    <m/>
    <s v="OC: ADV/PUB/MARK - CORP &amp; MUN ACTIVITIES"/>
    <n v="105566"/>
    <n v="0"/>
    <n v="0"/>
    <n v="0"/>
    <n v="928990"/>
    <n v="0"/>
    <n v="0"/>
    <n v="105566"/>
    <n v="560000"/>
    <n v="585760"/>
    <n v="612704.96"/>
    <x v="1"/>
    <x v="3"/>
  </r>
  <r>
    <s v="35102300160ORS77ZZWM"/>
    <m/>
    <s v="SIGNBOARDS"/>
    <m/>
    <m/>
    <m/>
    <m/>
    <m/>
    <m/>
    <n v="0"/>
    <n v="0"/>
    <n v="180000"/>
    <n v="125000"/>
    <n v="0"/>
    <x v="1"/>
    <x v="2"/>
  </r>
  <r>
    <s v="35102305410EQMRCZZHO"/>
    <m/>
    <s v="OC: SKILLS DEVELOPMENT FUND LEVY"/>
    <n v="0"/>
    <n v="0"/>
    <n v="0"/>
    <n v="0"/>
    <n v="928990"/>
    <n v="0"/>
    <n v="10000"/>
    <n v="10000"/>
    <n v="10450"/>
    <n v="10930.7"/>
    <n v="11433.512200000001"/>
    <x v="1"/>
    <x v="3"/>
  </r>
  <r>
    <s v="35102305430ORS72ZZWM"/>
    <s v="SURVEYING OF EXISTING SETTLEMENTS"/>
    <s v="OC: SERVITUDES &amp; LAND SURVEYS"/>
    <n v="500000"/>
    <n v="0"/>
    <n v="0"/>
    <n v="0"/>
    <n v="928990"/>
    <n v="0"/>
    <n v="-80000"/>
    <n v="420000"/>
    <n v="700000"/>
    <n v="700000"/>
    <n v="700000"/>
    <x v="1"/>
    <x v="3"/>
  </r>
  <r>
    <s v="35102305760PRMRCZZHO"/>
    <m/>
    <s v="OC: T&amp;S DOM - ACCOMMODATION"/>
    <n v="78000"/>
    <n v="0"/>
    <n v="0"/>
    <n v="0"/>
    <n v="928990"/>
    <n v="0"/>
    <n v="-50000"/>
    <n v="28000"/>
    <n v="29260"/>
    <n v="30605.96"/>
    <n v="32013.834159999999"/>
    <x v="1"/>
    <x v="3"/>
  </r>
  <r>
    <s v="35102721500PRMRCZZWM"/>
    <m/>
    <s v="DEPRECIATION FURNITURE &amp; OFFICE EQUIPM"/>
    <n v="10946"/>
    <n v="0"/>
    <n v="0"/>
    <n v="0"/>
    <n v="928990"/>
    <n v="0"/>
    <n v="0"/>
    <n v="10946"/>
    <n v="11438.57"/>
    <n v="11964.74422"/>
    <n v="12515.122454120001"/>
    <x v="1"/>
    <x v="6"/>
  </r>
  <r>
    <s v="35111385250ORZZZZZHO"/>
    <m/>
    <s v="SALE OF PROPERTY"/>
    <n v="-15000000"/>
    <n v="0"/>
    <n v="0"/>
    <n v="0"/>
    <n v="-15000000"/>
    <n v="0"/>
    <n v="0"/>
    <n v="-7500000"/>
    <n v="-7500000"/>
    <n v="-7500000"/>
    <n v="-7500000"/>
    <x v="0"/>
    <x v="0"/>
  </r>
  <r>
    <s v="35111420080F2ZZZZZHO"/>
    <m/>
    <s v="ADVERTISEMENTS"/>
    <n v="-4640"/>
    <n v="0"/>
    <n v="0"/>
    <n v="0"/>
    <n v="-4640"/>
    <n v="0"/>
    <n v="0"/>
    <n v="-4640"/>
    <n v="-4848.8"/>
    <n v="-5071.8447999999999"/>
    <n v="-5305.1496607999998"/>
    <x v="0"/>
    <x v="0"/>
  </r>
  <r>
    <s v="35111424540F2ZZZZZHO"/>
    <m/>
    <s v="PLAN &amp; DEV: BUILDING PLAN APPROVAL"/>
    <n v="-41011"/>
    <n v="0"/>
    <n v="0"/>
    <n v="-13216.23"/>
    <n v="-27794.77"/>
    <n v="32.22"/>
    <n v="0"/>
    <n v="-41011"/>
    <n v="-42856.495000000003"/>
    <n v="-44827.893770000002"/>
    <n v="-46889.97688342"/>
    <x v="0"/>
    <x v="0"/>
  </r>
  <r>
    <s v="35111424560F2ZZZZZHO"/>
    <m/>
    <s v="PLAN &amp; DEV: CLEARANCE CERTIFICATES"/>
    <n v="0"/>
    <n v="0"/>
    <n v="0"/>
    <n v="0"/>
    <n v="928990"/>
    <n v="0"/>
    <n v="0"/>
    <n v="0"/>
    <n v="0"/>
    <n v="0"/>
    <n v="0"/>
    <x v="0"/>
    <x v="0"/>
  </r>
  <r>
    <s v="35111424610F2ZZZZZHO"/>
    <m/>
    <s v="PLAN &amp; DEV: TOWN PLANNING &amp; SERVITUDES"/>
    <n v="-4715"/>
    <n v="-1881.4"/>
    <n v="0"/>
    <n v="-2020.53"/>
    <n v="-2694.47"/>
    <n v="42.85"/>
    <n v="0"/>
    <n v="-4715"/>
    <n v="-4927.1750000000002"/>
    <n v="-5153.8250500000004"/>
    <n v="-5390.9010023000001"/>
    <x v="0"/>
    <x v="0"/>
  </r>
  <r>
    <s v="35111425400F2ZZZZZHO"/>
    <m/>
    <s v="SALE OF: AGRIC PROD - CATTLE CRAZING"/>
    <n v="-58934"/>
    <n v="0"/>
    <n v="0"/>
    <n v="0"/>
    <n v="-58934"/>
    <n v="0"/>
    <n v="0"/>
    <n v="-58934"/>
    <n v="-61586.03"/>
    <n v="-64418.987379999999"/>
    <n v="-67382.260799479991"/>
    <x v="0"/>
    <x v="0"/>
  </r>
  <r>
    <s v="35112110010EQMRCZZHO"/>
    <m/>
    <s v="MS: SAL &amp; ALL: BASIC SALARY &amp; WAGES"/>
    <n v="1017319"/>
    <n v="0"/>
    <n v="0"/>
    <n v="0"/>
    <n v="928990"/>
    <n v="0"/>
    <n v="0"/>
    <n v="1017319"/>
    <n v="1080901.4375"/>
    <n v="1156564.538125"/>
    <n v="1237524.0557937499"/>
    <x v="1"/>
    <x v="1"/>
  </r>
  <r>
    <s v="35112110100EQMRCZZHO"/>
    <m/>
    <s v="MS: SAL &amp; ALL: PERFORMANCE BASED BONUSES"/>
    <n v="45594"/>
    <n v="0"/>
    <n v="0"/>
    <n v="0"/>
    <n v="928990"/>
    <n v="0"/>
    <n v="-28659.82"/>
    <n v="16934.18"/>
    <n v="17992.56625"/>
    <n v="19252.0458875"/>
    <n v="20599.689099625"/>
    <x v="1"/>
    <x v="1"/>
  </r>
  <r>
    <s v="35112110220EQMRCZZHO"/>
    <m/>
    <s v="MS: ALL - CELLULAR &amp; TELEPHONE"/>
    <n v="38100"/>
    <n v="0"/>
    <n v="0"/>
    <n v="0"/>
    <n v="928990"/>
    <n v="0"/>
    <n v="0"/>
    <n v="38100"/>
    <n v="40481.25"/>
    <n v="43314.9375"/>
    <n v="46346.983124999999"/>
    <x v="1"/>
    <x v="1"/>
  </r>
  <r>
    <s v="35112110260EQMRCZZHO"/>
    <m/>
    <s v="MS: HB &amp; INC: HOUSING BENEFITS"/>
    <n v="10893"/>
    <n v="0"/>
    <n v="0"/>
    <n v="0"/>
    <n v="928990"/>
    <n v="0"/>
    <n v="0"/>
    <n v="10893"/>
    <n v="11573.8125"/>
    <n v="12383.979375000001"/>
    <n v="13250.857931250001"/>
    <x v="1"/>
    <x v="1"/>
  </r>
  <r>
    <s v="35112110320EQMRCZZHO"/>
    <m/>
    <s v="MS: ALL - LEAVE PAY"/>
    <n v="32378"/>
    <n v="0"/>
    <n v="0"/>
    <n v="0"/>
    <n v="928990"/>
    <n v="0"/>
    <n v="0"/>
    <n v="32378"/>
    <n v="34401.625"/>
    <n v="36809.738749999997"/>
    <n v="39386.420462499998"/>
    <x v="1"/>
    <x v="1"/>
  </r>
  <r>
    <s v="35112110340EQMRCZZHO"/>
    <m/>
    <s v="MS: ALL - TRAVEL OR MOTOR VEHICLE"/>
    <n v="243929"/>
    <n v="0"/>
    <n v="0"/>
    <n v="0"/>
    <n v="928990"/>
    <n v="0"/>
    <n v="0"/>
    <n v="243929"/>
    <n v="259174.5625"/>
    <n v="277316.78187499999"/>
    <n v="296728.95660624997"/>
    <x v="1"/>
    <x v="1"/>
  </r>
  <r>
    <s v="35112110440EQMRCZZHO"/>
    <m/>
    <s v="MS: SRB - ACTING ALLOWANCE"/>
    <n v="0"/>
    <n v="0"/>
    <n v="0"/>
    <n v="0"/>
    <n v="928990"/>
    <n v="0"/>
    <n v="0"/>
    <n v="0"/>
    <n v="0"/>
    <n v="0"/>
    <n v="0"/>
    <x v="1"/>
    <x v="1"/>
  </r>
  <r>
    <s v="35112110460EQMRCZZHO"/>
    <m/>
    <s v="MS: SRB - ANNUAL BONUS"/>
    <n v="81310"/>
    <n v="0"/>
    <n v="0"/>
    <n v="0"/>
    <n v="928990"/>
    <n v="0"/>
    <n v="0"/>
    <n v="81310"/>
    <n v="86391.875"/>
    <n v="92439.306249999994"/>
    <n v="98910.057687499997"/>
    <x v="1"/>
    <x v="1"/>
  </r>
  <r>
    <s v="35112110630EQMRCZZHO"/>
    <m/>
    <s v="MS: SRB - NON PENSIONABLE"/>
    <n v="15692"/>
    <n v="0"/>
    <n v="0"/>
    <n v="0"/>
    <n v="928990"/>
    <n v="0"/>
    <n v="0"/>
    <n v="15692"/>
    <n v="16672.75"/>
    <n v="17839.842499999999"/>
    <n v="19088.631474999998"/>
    <x v="1"/>
    <x v="1"/>
  </r>
  <r>
    <s v="35112130010EQMRCZZHO"/>
    <m/>
    <s v="MS: SOC CONTR - BARGAINING COUNCIL"/>
    <n v="225"/>
    <n v="0"/>
    <n v="0"/>
    <n v="0"/>
    <n v="928990"/>
    <n v="0"/>
    <n v="0"/>
    <n v="225"/>
    <n v="239.0625"/>
    <n v="255.796875"/>
    <n v="273.70265625000002"/>
    <x v="1"/>
    <x v="1"/>
  </r>
  <r>
    <s v="35112130200EQMRCZZHO"/>
    <m/>
    <s v="MS: SOC CONTR - MEDICAL"/>
    <n v="107816"/>
    <n v="0"/>
    <n v="0"/>
    <n v="0"/>
    <n v="928990"/>
    <n v="0"/>
    <n v="0"/>
    <n v="107816"/>
    <n v="114554.5"/>
    <n v="122573.315"/>
    <n v="131153.44705000002"/>
    <x v="1"/>
    <x v="1"/>
  </r>
  <r>
    <s v="35112130300EQMRCZZHO"/>
    <m/>
    <s v="MS: SOC CONTR - PENSION"/>
    <n v="214658"/>
    <n v="0"/>
    <n v="0"/>
    <n v="0"/>
    <n v="928990"/>
    <n v="0"/>
    <n v="0"/>
    <n v="214658"/>
    <n v="228074.125"/>
    <n v="244039.31375"/>
    <n v="261122.06571250001"/>
    <x v="1"/>
    <x v="1"/>
  </r>
  <r>
    <s v="35112130400EQMRCZZHO"/>
    <m/>
    <s v="MS: SOC CONTR - UNEMPLOYMENT INSUR FUND"/>
    <n v="5355"/>
    <n v="0"/>
    <n v="0"/>
    <n v="0"/>
    <n v="928990"/>
    <n v="0"/>
    <n v="0"/>
    <n v="5355"/>
    <n v="5689.6875"/>
    <n v="6087.9656249999998"/>
    <n v="6514.12321875"/>
    <x v="1"/>
    <x v="1"/>
  </r>
  <r>
    <s v="35112140020PRMRCZZHO"/>
    <m/>
    <s v="MS: PRB - MED: CURRENT SERVICE COST"/>
    <n v="881"/>
    <n v="0"/>
    <n v="0"/>
    <n v="0"/>
    <n v="928990"/>
    <n v="0"/>
    <n v="0"/>
    <n v="881"/>
    <n v="936.0625"/>
    <n v="1001.586875"/>
    <n v="1071.6979562500001"/>
    <x v="1"/>
    <x v="1"/>
  </r>
  <r>
    <s v="35112140040PRMRCZZHO"/>
    <m/>
    <s v="MS: PRB - MED: INTEREST COST"/>
    <n v="275"/>
    <n v="0"/>
    <n v="0"/>
    <n v="0"/>
    <n v="928990"/>
    <n v="0"/>
    <n v="0"/>
    <n v="275"/>
    <n v="292.1875"/>
    <n v="312.640625"/>
    <n v="334.52546875000002"/>
    <x v="1"/>
    <x v="1"/>
  </r>
  <r>
    <s v="35112142200PRMRCZZHO"/>
    <m/>
    <s v="MS: PRB - OTHER: LONG TERM SERVICE AWARD"/>
    <n v="10931"/>
    <n v="0"/>
    <n v="0"/>
    <n v="0"/>
    <n v="928990"/>
    <n v="0"/>
    <n v="0"/>
    <n v="10931"/>
    <n v="11614.1875"/>
    <n v="12427.180625000001"/>
    <n v="13297.083268750001"/>
    <x v="1"/>
    <x v="1"/>
  </r>
  <r>
    <s v="35112305410EQMRCZZHO"/>
    <m/>
    <s v="OC: SKILLS DEVELOPMENT FUND LEVY"/>
    <n v="0"/>
    <n v="0"/>
    <n v="0"/>
    <n v="0"/>
    <n v="928990"/>
    <n v="0"/>
    <n v="20000"/>
    <n v="20000"/>
    <n v="20900"/>
    <n v="21861.4"/>
    <n v="22867.024400000002"/>
    <x v="1"/>
    <x v="3"/>
  </r>
  <r>
    <s v="35112305760EQMRCZZHO"/>
    <m/>
    <s v="OC: T&amp;S DOM - ACCOMMODATION"/>
    <n v="0"/>
    <n v="0"/>
    <n v="0"/>
    <n v="0"/>
    <n v="928990"/>
    <n v="0"/>
    <n v="120000"/>
    <n v="120000"/>
    <n v="125400"/>
    <n v="131168.4"/>
    <n v="137202.1464"/>
    <x v="1"/>
    <x v="3"/>
  </r>
  <r>
    <s v="35112720040PRMRCZZWM"/>
    <m/>
    <s v="AMORTISATION INTANG COMPUTER SOFTWARE"/>
    <n v="4770"/>
    <n v="0"/>
    <n v="0"/>
    <n v="0"/>
    <n v="928990"/>
    <n v="0"/>
    <n v="-4770"/>
    <n v="0"/>
    <n v="0"/>
    <n v="0"/>
    <n v="0"/>
    <x v="1"/>
    <x v="6"/>
  </r>
  <r>
    <s v="35112720600PRMRCZZWM"/>
    <m/>
    <s v="DEPRECIATION COMPUTER EQUIPMENT"/>
    <n v="4770"/>
    <n v="0"/>
    <n v="0"/>
    <n v="0"/>
    <n v="928990"/>
    <n v="0"/>
    <n v="0"/>
    <n v="4770"/>
    <n v="4984.6499999999996"/>
    <n v="5213.9438999999993"/>
    <n v="5453.785319399999"/>
    <x v="1"/>
    <x v="6"/>
  </r>
  <r>
    <s v="35112721500PRMRCZZWM"/>
    <m/>
    <s v="DEPRECIATION FURNITURE &amp; OFFICE EQUIPM"/>
    <n v="19904"/>
    <n v="0"/>
    <n v="0"/>
    <n v="0"/>
    <n v="928990"/>
    <n v="0"/>
    <n v="0"/>
    <n v="19904"/>
    <n v="20799.68"/>
    <n v="21756.46528"/>
    <n v="22757.262682880002"/>
    <x v="1"/>
    <x v="6"/>
  </r>
  <r>
    <s v="35112725700PRMRCZZWM"/>
    <m/>
    <s v="DEPRECIATION  TRANSPORT ASSETS"/>
    <n v="0"/>
    <n v="0"/>
    <n v="0"/>
    <n v="0"/>
    <n v="928990"/>
    <n v="0"/>
    <n v="0"/>
    <n v="0"/>
    <n v="0"/>
    <n v="0"/>
    <n v="0"/>
    <x v="1"/>
    <x v="6"/>
  </r>
  <r>
    <s v="35122110010EQMRCZZHO"/>
    <m/>
    <s v="MS: SAL &amp; ALL: BASIC SALARY &amp; WAGES"/>
    <n v="210622"/>
    <n v="0"/>
    <n v="0"/>
    <n v="0"/>
    <n v="928990"/>
    <n v="0"/>
    <n v="0"/>
    <n v="210622"/>
    <n v="223785.875"/>
    <n v="239450.88625000001"/>
    <n v="256212.44828750001"/>
    <x v="1"/>
    <x v="1"/>
  </r>
  <r>
    <s v="35122110100EQMRCZZHO"/>
    <m/>
    <s v="MS: SAL &amp; ALL: PERFORMANCE BASED BONUSES"/>
    <n v="9842"/>
    <n v="0"/>
    <n v="0"/>
    <n v="0"/>
    <n v="928990"/>
    <n v="0"/>
    <n v="0"/>
    <n v="9842"/>
    <n v="10457.125"/>
    <n v="11189.123750000001"/>
    <n v="11972.362412500001"/>
    <x v="1"/>
    <x v="1"/>
  </r>
  <r>
    <s v="35122110260EQMRCZZHO"/>
    <m/>
    <s v="MS: HB &amp; INC: HOUSING BENEFITS"/>
    <n v="10893"/>
    <n v="0"/>
    <n v="0"/>
    <n v="0"/>
    <n v="928990"/>
    <n v="0"/>
    <n v="0"/>
    <n v="10893"/>
    <n v="11573.8125"/>
    <n v="12383.979375000001"/>
    <n v="13250.857931250001"/>
    <x v="1"/>
    <x v="1"/>
  </r>
  <r>
    <s v="35122110320EQMRCZZHO"/>
    <m/>
    <s v="MS: ALL - LEAVE PAY"/>
    <n v="6989"/>
    <n v="0"/>
    <n v="0"/>
    <n v="0"/>
    <n v="928990"/>
    <n v="0"/>
    <n v="0"/>
    <n v="6989"/>
    <n v="7425.8125"/>
    <n v="7945.6193750000002"/>
    <n v="8501.8127312500001"/>
    <x v="1"/>
    <x v="1"/>
  </r>
  <r>
    <s v="35122110360EQMRCZZHO"/>
    <m/>
    <s v="MS: OVERTIME - NON STRUCTURED"/>
    <n v="7374"/>
    <n v="0"/>
    <n v="0"/>
    <n v="0"/>
    <n v="928990"/>
    <n v="0"/>
    <n v="0"/>
    <n v="7374"/>
    <n v="7834.875"/>
    <n v="8383.3162499999999"/>
    <n v="8970.1483874999994"/>
    <x v="1"/>
    <x v="1"/>
  </r>
  <r>
    <s v="35122110460EQMRCZZHO"/>
    <m/>
    <s v="MS: SRB - ANNUAL BONUS"/>
    <n v="17552"/>
    <n v="0"/>
    <n v="0"/>
    <n v="0"/>
    <n v="928990"/>
    <n v="0"/>
    <n v="0"/>
    <n v="17552"/>
    <n v="18649"/>
    <n v="19954.43"/>
    <n v="21351.240099999999"/>
    <x v="1"/>
    <x v="1"/>
  </r>
  <r>
    <s v="35122130010EQMRCZZHO"/>
    <m/>
    <s v="MS: SOC CONTR - BARGAINING COUNCIL"/>
    <n v="112"/>
    <n v="0"/>
    <n v="0"/>
    <n v="0"/>
    <n v="928990"/>
    <n v="0"/>
    <n v="0"/>
    <n v="112"/>
    <n v="119"/>
    <n v="127.33"/>
    <n v="136.2431"/>
    <x v="1"/>
    <x v="1"/>
  </r>
  <r>
    <s v="35122130200EQMRCZZHO"/>
    <m/>
    <s v="MS: SOC CONTR - MEDICAL"/>
    <n v="53908"/>
    <n v="0"/>
    <n v="0"/>
    <n v="0"/>
    <n v="928990"/>
    <n v="0"/>
    <n v="0"/>
    <n v="53908"/>
    <n v="57277.25"/>
    <n v="61286.657500000001"/>
    <n v="65576.723525000009"/>
    <x v="1"/>
    <x v="1"/>
  </r>
  <r>
    <s v="35122130300EQMRCZZHO"/>
    <m/>
    <s v="MS: SOC CONTR - PENSION"/>
    <n v="46337"/>
    <n v="0"/>
    <n v="0"/>
    <n v="0"/>
    <n v="928990"/>
    <n v="0"/>
    <n v="0"/>
    <n v="46337"/>
    <n v="49233.0625"/>
    <n v="52679.376875000002"/>
    <n v="56366.933256249999"/>
    <x v="1"/>
    <x v="1"/>
  </r>
  <r>
    <s v="35122130400EQMRCZZHO"/>
    <m/>
    <s v="MS: SOC CONTR - UNEMPLOYMENT INSUR FUND"/>
    <n v="1785"/>
    <n v="0"/>
    <n v="0"/>
    <n v="0"/>
    <n v="928990"/>
    <n v="0"/>
    <n v="0"/>
    <n v="1785"/>
    <n v="1896.5625"/>
    <n v="2029.3218750000001"/>
    <n v="2171.37440625"/>
    <x v="1"/>
    <x v="1"/>
  </r>
  <r>
    <s v="35122140020PRMRCZZHO"/>
    <m/>
    <s v="MS: PRB - MED: CURRENT SERVICE COST"/>
    <n v="312"/>
    <n v="0"/>
    <n v="0"/>
    <n v="0"/>
    <n v="928990"/>
    <n v="0"/>
    <n v="0"/>
    <n v="312"/>
    <n v="331.5"/>
    <n v="354.70499999999998"/>
    <n v="379.53434999999996"/>
    <x v="1"/>
    <x v="1"/>
  </r>
  <r>
    <s v="35122140040PRMRCZZHO"/>
    <m/>
    <s v="MS: PRB - MED: INTEREST COST"/>
    <n v="113"/>
    <n v="0"/>
    <n v="0"/>
    <n v="0"/>
    <n v="928990"/>
    <n v="0"/>
    <n v="0"/>
    <n v="113"/>
    <n v="120.0625"/>
    <n v="128.46687499999999"/>
    <n v="137.45955624999999"/>
    <x v="1"/>
    <x v="1"/>
  </r>
  <r>
    <s v="35122142200PRMRCZZHO"/>
    <m/>
    <s v="MS: PRB - OTHER: LONG TERM SERVICE AWARD"/>
    <n v="944"/>
    <n v="0"/>
    <n v="0"/>
    <n v="0"/>
    <n v="928990"/>
    <n v="0"/>
    <n v="0"/>
    <n v="944"/>
    <n v="1003"/>
    <n v="1073.21"/>
    <n v="1148.3347000000001"/>
    <x v="1"/>
    <x v="1"/>
  </r>
  <r>
    <s v="40052030050EQMRCZZHO"/>
    <m/>
    <s v="SM MM: SAL &amp; ALL -  BASIC SALARY"/>
    <n v="891108"/>
    <n v="91950.73"/>
    <n v="0"/>
    <n v="551704.38"/>
    <n v="339403.62"/>
    <n v="61.91"/>
    <n v="0"/>
    <n v="891108"/>
    <n v="946802.25"/>
    <n v="1013078.4075"/>
    <n v="1083993.8960249999"/>
    <x v="1"/>
    <x v="1"/>
  </r>
  <r>
    <s v="40052030060EQMRCZZHO"/>
    <m/>
    <s v="SM MM: SAL &amp; ALL -  PERFORM BASED BONUS"/>
    <n v="44555"/>
    <n v="91950.73"/>
    <n v="0"/>
    <n v="551704.38"/>
    <n v="339403.62"/>
    <n v="61.91"/>
    <n v="0"/>
    <n v="44555"/>
    <n v="47339.6875"/>
    <n v="50653.465624999997"/>
    <n v="54199.208218749998"/>
    <x v="1"/>
    <x v="1"/>
  </r>
  <r>
    <s v="40052030070EQMRCZZHO"/>
    <m/>
    <s v="SM MM: ALLOW - CELLULAR &amp; TELEPHONE"/>
    <n v="40000"/>
    <n v="91950.73"/>
    <n v="0"/>
    <n v="551704.38"/>
    <n v="339403.62"/>
    <n v="61.91"/>
    <n v="0"/>
    <n v="40000"/>
    <n v="42500"/>
    <n v="45475"/>
    <n v="48658.25"/>
    <x v="1"/>
    <x v="1"/>
  </r>
  <r>
    <s v="40052030090EQMRCZZHO"/>
    <m/>
    <s v="SM MM: ALLOW - TRAVEL OR MOTOR VEHICLE"/>
    <n v="253608"/>
    <n v="91950.73"/>
    <n v="0"/>
    <n v="551704.38"/>
    <n v="339403.62"/>
    <n v="61.91"/>
    <n v="0"/>
    <n v="253608"/>
    <n v="269458.5"/>
    <n v="288320.59499999997"/>
    <n v="308503.03664999997"/>
    <x v="1"/>
    <x v="1"/>
  </r>
  <r>
    <s v="40052030100EQMRCZZHO"/>
    <m/>
    <s v="SM MM: ALLOW - ACCOM TRAVEL &amp; INCIDENT."/>
    <n v="31385"/>
    <n v="91950.73"/>
    <n v="0"/>
    <n v="551704.38"/>
    <n v="339403.62"/>
    <n v="61.91"/>
    <n v="0"/>
    <n v="31385"/>
    <n v="33346.5625"/>
    <n v="35680.821875000001"/>
    <n v="38178.47940625"/>
    <x v="1"/>
    <x v="1"/>
  </r>
  <r>
    <s v="40052030110EQMRCZZHO"/>
    <m/>
    <s v="SM MM: ALLOW - NON PENSIONABLE"/>
    <n v="17004"/>
    <n v="91950.73"/>
    <n v="0"/>
    <n v="551704.38"/>
    <n v="339403.62"/>
    <n v="61.91"/>
    <n v="0"/>
    <n v="17004"/>
    <n v="18066.75"/>
    <n v="19331.422500000001"/>
    <n v="20684.622074999999"/>
    <x v="1"/>
    <x v="1"/>
  </r>
  <r>
    <s v="40052110010EQMRCZZHO"/>
    <m/>
    <s v="MS: SAL &amp; ALL: BASIC SALARY &amp; WAGES"/>
    <n v="1773819"/>
    <n v="91950.73"/>
    <n v="0"/>
    <n v="551704.38"/>
    <n v="339403.62"/>
    <n v="61.91"/>
    <n v="0"/>
    <n v="1773819"/>
    <n v="1884682.6875"/>
    <n v="2016610.475625"/>
    <n v="2157773.2089187498"/>
    <x v="1"/>
    <x v="1"/>
  </r>
  <r>
    <s v="40052110100EQMRCZZHO"/>
    <m/>
    <s v="MS: SAL &amp; ALL: PERFORMANCE BASED BONUSES"/>
    <n v="88691"/>
    <n v="91950.73"/>
    <n v="0"/>
    <n v="551704.38"/>
    <n v="339403.62"/>
    <n v="61.91"/>
    <n v="-63289.729999999996"/>
    <n v="25401.270000000004"/>
    <n v="26988.849375000005"/>
    <n v="28878.068831250006"/>
    <n v="30899.533649437508"/>
    <x v="1"/>
    <x v="1"/>
  </r>
  <r>
    <s v="40052110220EQMRCZZHO"/>
    <m/>
    <s v="MS: ALL - CELLULAR &amp; TELEPHONE"/>
    <n v="62100"/>
    <n v="91950.73"/>
    <n v="0"/>
    <n v="551704.38"/>
    <n v="339403.62"/>
    <n v="61.91"/>
    <n v="0"/>
    <n v="62100"/>
    <n v="65981.25"/>
    <n v="70599.9375"/>
    <n v="75541.933124999996"/>
    <x v="1"/>
    <x v="1"/>
  </r>
  <r>
    <s v="40052110260EQMRCZZHO"/>
    <m/>
    <s v="MS: HB &amp; INC: HOUSING BENEFITS"/>
    <n v="21786"/>
    <n v="91950.73"/>
    <n v="0"/>
    <n v="551704.38"/>
    <n v="339403.62"/>
    <n v="61.91"/>
    <n v="0"/>
    <n v="21786"/>
    <n v="23147.625"/>
    <n v="24767.958750000002"/>
    <n v="26501.715862500001"/>
    <x v="1"/>
    <x v="1"/>
  </r>
  <r>
    <s v="40052110320EQMRCZZHO"/>
    <m/>
    <s v="MS: ALL - LEAVE PAY"/>
    <n v="58863"/>
    <n v="91950.73"/>
    <n v="0"/>
    <n v="551704.38"/>
    <n v="339403.62"/>
    <n v="61.91"/>
    <n v="0"/>
    <n v="58863"/>
    <n v="62541.9375"/>
    <n v="66919.873124999998"/>
    <n v="71604.264243750004"/>
    <x v="1"/>
    <x v="1"/>
  </r>
  <r>
    <s v="40052110340EQMRCZZHO"/>
    <m/>
    <s v="MS: ALL - TRAVEL OR MOTOR VEHICLE"/>
    <n v="443455"/>
    <n v="91950.73"/>
    <n v="0"/>
    <n v="551704.38"/>
    <n v="339403.62"/>
    <n v="61.91"/>
    <n v="0"/>
    <n v="443455"/>
    <n v="471170.9375"/>
    <n v="504152.90312500001"/>
    <n v="539443.60634375003"/>
    <x v="1"/>
    <x v="1"/>
  </r>
  <r>
    <s v="40052110440EQMRCZZHO"/>
    <m/>
    <s v="MS: SRB - ACTING ALLOWANCE"/>
    <n v="35475"/>
    <n v="91950.73"/>
    <n v="0"/>
    <n v="551704.38"/>
    <n v="339403.62"/>
    <n v="61.91"/>
    <n v="-35475"/>
    <n v="0"/>
    <n v="0"/>
    <n v="0"/>
    <n v="0"/>
    <x v="1"/>
    <x v="1"/>
  </r>
  <r>
    <s v="40052110460EQMRCZZHO"/>
    <m/>
    <s v="MS: SRB - ANNUAL BONUS"/>
    <n v="147818"/>
    <n v="91950.73"/>
    <n v="0"/>
    <n v="551704.38"/>
    <n v="339403.62"/>
    <n v="61.91"/>
    <n v="0"/>
    <n v="147818"/>
    <n v="157056.625"/>
    <n v="168050.58875"/>
    <n v="179814.12996249998"/>
    <x v="1"/>
    <x v="1"/>
  </r>
  <r>
    <s v="40052110630EQMRCZZHO"/>
    <m/>
    <s v="MS: SRB - NON PENSIONABLE"/>
    <n v="44412"/>
    <n v="91950.73"/>
    <n v="0"/>
    <n v="551704.38"/>
    <n v="339403.62"/>
    <n v="61.91"/>
    <n v="149534.76"/>
    <n v="193946.76"/>
    <n v="206068.4325"/>
    <n v="220493.222775"/>
    <n v="235927.74836925001"/>
    <x v="1"/>
    <x v="1"/>
  </r>
  <r>
    <s v="40052130010EQMRCZZHO"/>
    <m/>
    <s v="MS: SOC CONTR - BARGAINING COUNCIL"/>
    <n v="449"/>
    <n v="91950.73"/>
    <n v="0"/>
    <n v="551704.38"/>
    <n v="339403.62"/>
    <n v="61.91"/>
    <n v="0"/>
    <n v="449"/>
    <n v="477.0625"/>
    <n v="510.45687499999997"/>
    <n v="546.18885624999996"/>
    <x v="1"/>
    <x v="1"/>
  </r>
  <r>
    <s v="40052130200EQMRCZZHO"/>
    <m/>
    <s v="MS: SOC CONTR - MEDICAL"/>
    <n v="215633"/>
    <n v="91950.73"/>
    <n v="0"/>
    <n v="551704.38"/>
    <n v="339403.62"/>
    <n v="61.91"/>
    <n v="0"/>
    <n v="215633"/>
    <n v="229110.0625"/>
    <n v="245147.766875"/>
    <n v="262308.11055624997"/>
    <x v="1"/>
    <x v="1"/>
  </r>
  <r>
    <s v="40052130300EQMRCZZHO"/>
    <m/>
    <s v="MS: SOC CONTR - PENSION"/>
    <n v="390240"/>
    <n v="91950.73"/>
    <n v="0"/>
    <n v="551704.38"/>
    <n v="339403.62"/>
    <n v="61.91"/>
    <n v="0"/>
    <n v="390240"/>
    <n v="414630"/>
    <n v="443654.1"/>
    <n v="474709.88699999999"/>
    <x v="1"/>
    <x v="1"/>
  </r>
  <r>
    <s v="40052130400EQMRCZZHO"/>
    <m/>
    <s v="MS: SOC CONTR - UNEMPLOYMENT INSUR FUND"/>
    <n v="7140"/>
    <n v="91950.73"/>
    <n v="0"/>
    <n v="551704.38"/>
    <n v="339403.62"/>
    <n v="61.91"/>
    <n v="0"/>
    <n v="7140"/>
    <n v="7586.25"/>
    <n v="8117.2875000000004"/>
    <n v="8685.497625"/>
    <x v="1"/>
    <x v="1"/>
  </r>
  <r>
    <s v="40052140020EQMRCZZHO"/>
    <m/>
    <s v="MS: PRB - MED: CURRENT SERVICE COST"/>
    <n v="15638"/>
    <n v="91950.73"/>
    <n v="0"/>
    <n v="551704.38"/>
    <n v="339403.62"/>
    <n v="61.91"/>
    <n v="0"/>
    <n v="15638"/>
    <n v="16615.375"/>
    <n v="17778.451249999998"/>
    <n v="19022.942837499999"/>
    <x v="1"/>
    <x v="1"/>
  </r>
  <r>
    <s v="40052140040EQMRCZZHO"/>
    <m/>
    <s v="MS: PRB - MED: INTEREST COST"/>
    <n v="19697"/>
    <n v="91950.73"/>
    <n v="0"/>
    <n v="551704.38"/>
    <n v="339403.62"/>
    <n v="61.91"/>
    <n v="0"/>
    <n v="19697"/>
    <n v="20928.0625"/>
    <n v="22393.026875"/>
    <n v="23960.53875625"/>
    <x v="1"/>
    <x v="1"/>
  </r>
  <r>
    <s v="40052142200EQMRCZZHO"/>
    <m/>
    <s v="MS: PRB - OTHER: LONG TERM SERVICE AWARD"/>
    <n v="16419"/>
    <n v="91950.73"/>
    <n v="0"/>
    <n v="551704.38"/>
    <n v="339403.62"/>
    <n v="61.91"/>
    <n v="0"/>
    <n v="16419"/>
    <n v="17445.1875"/>
    <n v="18666.350624999999"/>
    <n v="19972.99516875"/>
    <x v="1"/>
    <x v="1"/>
  </r>
  <r>
    <s v="40052260600ORMRCZZHO"/>
    <m/>
    <s v="OS: CATERING SERVICES"/>
    <n v="200000"/>
    <n v="91950.73"/>
    <n v="0"/>
    <n v="551704.38"/>
    <n v="339403.62"/>
    <n v="61.91"/>
    <n v="-30000"/>
    <n v="170000"/>
    <n v="177650"/>
    <n v="185821.9"/>
    <n v="194369.70739999998"/>
    <x v="1"/>
    <x v="2"/>
  </r>
  <r>
    <s v="40052300120ORP25ZZHO"/>
    <s v="CONFERENCES"/>
    <s v="OC: ADV/PUB/MARK - CORP &amp; MUN ACTIVITIES"/>
    <n v="50473"/>
    <n v="91950.73"/>
    <n v="0"/>
    <n v="551704.38"/>
    <n v="339403.62"/>
    <n v="61.91"/>
    <n v="-20000"/>
    <n v="30473"/>
    <n v="31844.285"/>
    <n v="33309.122109999997"/>
    <n v="34841.341727059997"/>
    <x v="1"/>
    <x v="3"/>
  </r>
  <r>
    <s v="40052300120ORR07ZZHO"/>
    <s v="PUBLIC PARTICIPATION"/>
    <s v="OC: ADV/PUB/MARK - CORP &amp; MUN ACTIVITIES"/>
    <n v="950000"/>
    <n v="91950.73"/>
    <n v="0"/>
    <n v="551704.38"/>
    <n v="339403.62"/>
    <n v="61.91"/>
    <n v="0"/>
    <n v="950000"/>
    <n v="992750"/>
    <n v="1038416.5"/>
    <n v="1086183.659"/>
    <x v="1"/>
    <x v="3"/>
  </r>
  <r>
    <s v="40052300120ORS67ZZWM"/>
    <s v="MPAC ACTIVITIES"/>
    <s v="OC: ADV/PUB/MARK - CORP &amp; MUN ACTIVITIES"/>
    <n v="236200"/>
    <n v="91950.73"/>
    <n v="0"/>
    <n v="551704.38"/>
    <n v="339403.62"/>
    <n v="61.91"/>
    <n v="30000"/>
    <n v="266200"/>
    <n v="278179"/>
    <n v="290975.234"/>
    <n v="304360.09476399998"/>
    <x v="1"/>
    <x v="3"/>
  </r>
  <r>
    <s v="40052301600ORMRCZZHO"/>
    <m/>
    <s v="OC: ENTERTAINMENT - EXEC MAYOR"/>
    <n v="2000"/>
    <n v="91950.73"/>
    <n v="0"/>
    <n v="551704.38"/>
    <n v="339403.62"/>
    <n v="61.91"/>
    <n v="0"/>
    <n v="2000"/>
    <n v="2090"/>
    <n v="2186.14"/>
    <n v="2286.70244"/>
    <x v="1"/>
    <x v="3"/>
  </r>
  <r>
    <s v="40052301620ORMRCZZHO"/>
    <s v="BRANCH MANAGER"/>
    <s v="OC: ENTERTAINMENT - SENIOR MANAGEMENT"/>
    <n v="1000"/>
    <n v="91950.73"/>
    <n v="0"/>
    <n v="551704.38"/>
    <n v="339403.62"/>
    <n v="61.91"/>
    <n v="0"/>
    <n v="1000"/>
    <n v="1045"/>
    <n v="1093.07"/>
    <n v="1143.35122"/>
    <x v="1"/>
    <x v="3"/>
  </r>
  <r>
    <s v="40052305410EQMRCZZHO"/>
    <m/>
    <s v="OC: SKILLS DEVELOPMENT FUND LEVY"/>
    <n v="238204"/>
    <n v="91950.73"/>
    <n v="0"/>
    <n v="551704.38"/>
    <n v="339403.62"/>
    <n v="61.91"/>
    <n v="-200000"/>
    <n v="38204"/>
    <n v="39923.18"/>
    <n v="41759.646280000001"/>
    <n v="43680.590008879997"/>
    <x v="1"/>
    <x v="3"/>
  </r>
  <r>
    <s v="40052305760EQMRCZZHO"/>
    <s v="TRAVEL CLAIM"/>
    <s v="OC: T&amp;S DOM - ACCOMMODATION"/>
    <n v="380000"/>
    <n v="91950.73"/>
    <n v="0"/>
    <n v="551704.38"/>
    <n v="339403.62"/>
    <n v="61.91"/>
    <n v="-100000"/>
    <n v="280000"/>
    <n v="292600"/>
    <n v="306059.59999999998"/>
    <n v="320138.34159999999"/>
    <x v="1"/>
    <x v="3"/>
  </r>
  <r>
    <s v="40052305760PRMRCZZHO"/>
    <m/>
    <s v="OC: T&amp;S DOM - ACCOMMODATION"/>
    <n v="300000"/>
    <n v="91950.73"/>
    <n v="0"/>
    <n v="551704.38"/>
    <n v="339403.62"/>
    <n v="61.91"/>
    <n v="-100000"/>
    <n v="200000"/>
    <n v="209000"/>
    <n v="218614"/>
    <n v="228670.24400000001"/>
    <x v="1"/>
    <x v="3"/>
  </r>
  <r>
    <s v="40052305800ORMRCZZHO"/>
    <m/>
    <s v="OC: T&amp;S DOM TRP - WITHOUT OPR CAR RENTAL"/>
    <n v="70000"/>
    <n v="91950.73"/>
    <n v="0"/>
    <n v="551704.38"/>
    <n v="339403.62"/>
    <n v="61.91"/>
    <n v="-40000"/>
    <n v="30000"/>
    <n v="31350"/>
    <n v="32792.1"/>
    <n v="34300.536599999999"/>
    <x v="1"/>
    <x v="3"/>
  </r>
  <r>
    <s v="40052720600PRMRCZZWM"/>
    <m/>
    <s v="DEPRECIATION COMPUTER EQUIPMENT"/>
    <n v="3371"/>
    <n v="91950.73"/>
    <n v="0"/>
    <n v="551704.38"/>
    <n v="339403.62"/>
    <n v="61.91"/>
    <n v="0"/>
    <n v="3371"/>
    <n v="3522.6950000000002"/>
    <n v="3684.7389700000003"/>
    <n v="3854.2369626200002"/>
    <x v="1"/>
    <x v="6"/>
  </r>
  <r>
    <s v="40052721500PRMRCZZWM"/>
    <m/>
    <s v="DEPRECIATION FURNITURE &amp; OFFICE EQUIPM"/>
    <n v="7399"/>
    <n v="91950.73"/>
    <n v="0"/>
    <n v="551704.38"/>
    <n v="339403.62"/>
    <n v="61.91"/>
    <n v="0"/>
    <n v="7399"/>
    <n v="7731.9549999999999"/>
    <n v="8087.6249299999999"/>
    <n v="8459.6556767799993"/>
    <x v="1"/>
    <x v="6"/>
  </r>
  <r>
    <s v="40052722910PRMRCZZWM"/>
    <m/>
    <s v="DEPRECIATION INV PROP REV GEN UNIMPROVED"/>
    <n v="48688"/>
    <n v="91950.73"/>
    <n v="0"/>
    <n v="551704.38"/>
    <n v="339403.62"/>
    <n v="61.91"/>
    <n v="0"/>
    <n v="48688"/>
    <n v="50878.96"/>
    <n v="53219.392159999996"/>
    <n v="55667.484199359998"/>
    <x v="1"/>
    <x v="6"/>
  </r>
  <r>
    <s v="40052723600PRMRCZZWM"/>
    <m/>
    <s v="DEPRECIATION  MACHINERY &amp; EQUIPMENT"/>
    <n v="38659"/>
    <n v="91950.73"/>
    <n v="0"/>
    <n v="551704.38"/>
    <n v="339403.62"/>
    <n v="61.91"/>
    <n v="0"/>
    <n v="38659"/>
    <n v="40398.654999999999"/>
    <n v="42256.993129999995"/>
    <n v="44200.814813979996"/>
    <x v="1"/>
    <x v="6"/>
  </r>
  <r>
    <s v="40052725700PRMRCZZWM"/>
    <m/>
    <m/>
    <m/>
    <n v="91950.73"/>
    <n v="0"/>
    <n v="551704.38"/>
    <n v="339403.62"/>
    <n v="61.91"/>
    <m/>
    <m/>
    <n v="0"/>
    <n v="0"/>
    <n v="0"/>
    <x v="1"/>
    <x v="6"/>
  </r>
  <r>
    <s v="40052728000PRMRCZZWM"/>
    <m/>
    <s v="DEPRECIATION ROADS"/>
    <n v="0"/>
    <n v="91950.73"/>
    <n v="0"/>
    <n v="551704.38"/>
    <n v="339403.62"/>
    <n v="61.91"/>
    <n v="0"/>
    <n v="0"/>
    <n v="0"/>
    <n v="0"/>
    <n v="0"/>
    <x v="1"/>
    <x v="6"/>
  </r>
  <r>
    <s v="40052728020PRMRCZZWM"/>
    <m/>
    <s v="DEPRECIATION ROADS FURNITURE"/>
    <n v="1701"/>
    <n v="91950.73"/>
    <n v="0"/>
    <n v="551704.38"/>
    <n v="339403.62"/>
    <n v="61.91"/>
    <n v="0"/>
    <n v="1701"/>
    <n v="1777.5450000000001"/>
    <n v="1859.3120699999999"/>
    <n v="1944.84042522"/>
    <x v="1"/>
    <x v="6"/>
  </r>
  <r>
    <s v="40052728800PRMRCZZWM"/>
    <m/>
    <s v="DEPRECIATION COMMUNITY HALLS"/>
    <n v="148336"/>
    <n v="91950.73"/>
    <n v="0"/>
    <n v="551704.38"/>
    <n v="339403.62"/>
    <n v="61.91"/>
    <n v="0"/>
    <n v="148336"/>
    <n v="155011.12"/>
    <n v="162141.63152"/>
    <n v="169600.14656992001"/>
    <x v="1"/>
    <x v="6"/>
  </r>
  <r>
    <s v="40052729200PRMRCZZWM"/>
    <m/>
    <s v="DEPRECIATION OP BUILDING  MUNIC OFFICES"/>
    <n v="594034"/>
    <n v="91950.73"/>
    <n v="0"/>
    <n v="551704.38"/>
    <n v="339403.62"/>
    <n v="61.91"/>
    <n v="0"/>
    <n v="594034"/>
    <n v="620765.53"/>
    <n v="649320.74438000005"/>
    <n v="679189.49862148007"/>
    <x v="1"/>
    <x v="6"/>
  </r>
  <r>
    <s v="40072110010EQMRCZZHO"/>
    <m/>
    <s v="MS: SAL &amp; ALL: BASIC SALARY &amp; WAGES"/>
    <n v="570271"/>
    <n v="91950.73"/>
    <n v="0"/>
    <n v="551704.38"/>
    <n v="339403.62"/>
    <n v="61.91"/>
    <n v="0"/>
    <n v="570271"/>
    <n v="605912.9375"/>
    <n v="648326.84312500001"/>
    <n v="693709.72214375006"/>
    <x v="1"/>
    <x v="1"/>
  </r>
  <r>
    <s v="40072110100EQMRCZZHO"/>
    <m/>
    <s v="MS: SAL &amp; ALL: PERFORMANCE BASED BONUSES"/>
    <n v="28514"/>
    <n v="91950.73"/>
    <n v="0"/>
    <n v="551704.38"/>
    <n v="339403.62"/>
    <n v="61.91"/>
    <n v="-20046.909999999996"/>
    <n v="8467.0900000000038"/>
    <n v="8996.2831250000036"/>
    <n v="9626.0229437500038"/>
    <n v="10299.844549812504"/>
    <x v="1"/>
    <x v="1"/>
  </r>
  <r>
    <s v="40072110220EQMRCZZHO"/>
    <m/>
    <s v="MS: ALL - CELLULAR &amp; TELEPHONE"/>
    <n v="24000"/>
    <n v="91950.73"/>
    <n v="0"/>
    <n v="551704.38"/>
    <n v="339403.62"/>
    <n v="61.91"/>
    <n v="0"/>
    <n v="24000"/>
    <n v="25500"/>
    <n v="27285"/>
    <n v="29194.95"/>
    <x v="1"/>
    <x v="1"/>
  </r>
  <r>
    <s v="40072110260EQMRCZZHO"/>
    <m/>
    <s v="MS: HB &amp; INC: HOUSING BENEFITS"/>
    <n v="10893"/>
    <n v="91950.73"/>
    <n v="0"/>
    <n v="551704.38"/>
    <n v="339403.62"/>
    <n v="61.91"/>
    <n v="0"/>
    <n v="10893"/>
    <n v="11573.8125"/>
    <n v="12383.979375000001"/>
    <n v="13250.857931250001"/>
    <x v="1"/>
    <x v="1"/>
  </r>
  <r>
    <s v="40072110320EQMRCZZHO"/>
    <m/>
    <s v="MS: ALL - LEAVE PAY"/>
    <n v="18924"/>
    <n v="91950.73"/>
    <n v="0"/>
    <n v="551704.38"/>
    <n v="339403.62"/>
    <n v="61.91"/>
    <n v="0"/>
    <n v="18924"/>
    <n v="20106.75"/>
    <n v="21514.2225"/>
    <n v="23020.218075000001"/>
    <x v="1"/>
    <x v="1"/>
  </r>
  <r>
    <s v="40072110340EQMRCZZHO"/>
    <m/>
    <s v="MS: ALL - TRAVEL OR MOTOR VEHICLE"/>
    <n v="142568"/>
    <n v="91950.73"/>
    <n v="0"/>
    <n v="551704.38"/>
    <n v="339403.62"/>
    <n v="61.91"/>
    <n v="0"/>
    <n v="142568"/>
    <n v="151478.5"/>
    <n v="162081.995"/>
    <n v="173427.73465"/>
    <x v="1"/>
    <x v="1"/>
  </r>
  <r>
    <s v="40072110440EQMRCZZHO"/>
    <m/>
    <s v="MS: SRB - ACTING ALLOWANCE"/>
    <n v="11405"/>
    <n v="91950.73"/>
    <n v="0"/>
    <n v="551704.38"/>
    <n v="339403.62"/>
    <n v="61.91"/>
    <n v="0"/>
    <n v="11405"/>
    <n v="12117.8125"/>
    <n v="12966.059375000001"/>
    <n v="13873.683531250001"/>
    <x v="1"/>
    <x v="1"/>
  </r>
  <r>
    <s v="40072110460EQMRCZZHO"/>
    <m/>
    <s v="MS: SRB - ANNUAL BONUS"/>
    <n v="47523"/>
    <n v="91950.73"/>
    <n v="0"/>
    <n v="551704.38"/>
    <n v="339403.62"/>
    <n v="61.91"/>
    <n v="0"/>
    <n v="47523"/>
    <n v="50493.1875"/>
    <n v="54027.710625"/>
    <n v="57809.650368750001"/>
    <x v="1"/>
    <x v="1"/>
  </r>
  <r>
    <s v="40072110630EQMRCZZHO"/>
    <m/>
    <s v="MS: SRB - NON PENSIONABLE"/>
    <n v="15692"/>
    <n v="91950.73"/>
    <n v="0"/>
    <n v="551704.38"/>
    <n v="339403.62"/>
    <n v="61.91"/>
    <n v="0"/>
    <n v="15692"/>
    <n v="16672.75"/>
    <n v="17839.842499999999"/>
    <n v="19088.631474999998"/>
    <x v="1"/>
    <x v="1"/>
  </r>
  <r>
    <s v="40072130010EQMRCZZHO"/>
    <m/>
    <s v="MS: SOC CONTR - BARGAINING COUNCIL"/>
    <n v="112"/>
    <n v="91950.73"/>
    <n v="0"/>
    <n v="551704.38"/>
    <n v="339403.62"/>
    <n v="61.91"/>
    <n v="0"/>
    <n v="112"/>
    <n v="119"/>
    <n v="127.33"/>
    <n v="136.2431"/>
    <x v="1"/>
    <x v="1"/>
  </r>
  <r>
    <s v="40072130200EQMRCZZHO"/>
    <m/>
    <s v="MS: SOC CONTR - MEDICAL"/>
    <n v="0"/>
    <n v="91950.73"/>
    <n v="0"/>
    <n v="551704.38"/>
    <n v="339403.62"/>
    <n v="61.91"/>
    <n v="50000"/>
    <n v="50000"/>
    <n v="53125"/>
    <n v="56843.75"/>
    <n v="60822.8125"/>
    <x v="1"/>
    <x v="1"/>
  </r>
  <r>
    <s v="40072130300EQMRCZZHO"/>
    <m/>
    <s v="MS: SOC CONTR - PENSION"/>
    <n v="125460"/>
    <n v="91950.73"/>
    <n v="0"/>
    <n v="551704.38"/>
    <n v="339403.62"/>
    <n v="61.91"/>
    <n v="0"/>
    <n v="125460"/>
    <n v="133301.25"/>
    <n v="142632.33749999999"/>
    <n v="152616.60112499999"/>
    <x v="1"/>
    <x v="1"/>
  </r>
  <r>
    <s v="40072130400EQMRCZZHO"/>
    <m/>
    <s v="MS: SOC CONTR - UNEMPLOYMENT INSUR FUND"/>
    <n v="1785"/>
    <n v="91950.73"/>
    <n v="0"/>
    <n v="551704.38"/>
    <n v="339403.62"/>
    <n v="61.91"/>
    <n v="0"/>
    <n v="1785"/>
    <n v="1896.5625"/>
    <n v="2029.3218750000001"/>
    <n v="2171.37440625"/>
    <x v="1"/>
    <x v="1"/>
  </r>
  <r>
    <s v="40072140020PRMRCZZHO"/>
    <m/>
    <s v="MS: PRB - MED: CURRENT SERVICE COST"/>
    <n v="4563"/>
    <n v="91950.73"/>
    <n v="0"/>
    <n v="551704.38"/>
    <n v="339403.62"/>
    <n v="61.91"/>
    <n v="0"/>
    <n v="4563"/>
    <n v="4848.1875"/>
    <n v="5187.5606250000001"/>
    <n v="5550.6898687499997"/>
    <x v="1"/>
    <x v="1"/>
  </r>
  <r>
    <s v="40072140040PRMRCZZHO"/>
    <m/>
    <s v="MS: PRB - MED: INTEREST COST"/>
    <n v="7289"/>
    <n v="91950.73"/>
    <n v="0"/>
    <n v="551704.38"/>
    <n v="339403.62"/>
    <n v="61.91"/>
    <n v="0"/>
    <n v="7289"/>
    <n v="7744.5625"/>
    <n v="8286.6818750000002"/>
    <n v="8866.7496062499995"/>
    <x v="1"/>
    <x v="1"/>
  </r>
  <r>
    <s v="40072142200PRMRCZZHO"/>
    <m/>
    <s v="MS: PRB - OTHER: LONG TERM SERVICE AWARD"/>
    <n v="4874"/>
    <n v="91950.73"/>
    <n v="0"/>
    <n v="551704.38"/>
    <n v="339403.62"/>
    <n v="61.91"/>
    <n v="0"/>
    <n v="4874"/>
    <n v="5178.625"/>
    <n v="5541.1287499999999"/>
    <n v="5929.0077624999994"/>
    <x v="1"/>
    <x v="1"/>
  </r>
  <r>
    <s v="40072260370DBS45ZZWM"/>
    <s v="BY-LAWS"/>
    <s v="OS: B&amp;A ORGANISATIONAL"/>
    <n v="300000"/>
    <n v="91950.73"/>
    <n v="0"/>
    <n v="551704.38"/>
    <n v="339403.62"/>
    <n v="61.91"/>
    <n v="0"/>
    <n v="300000"/>
    <n v="313500"/>
    <n v="327921"/>
    <n v="343005.36599999998"/>
    <x v="1"/>
    <x v="2"/>
  </r>
  <r>
    <s v="40072273340ORMRCZZHO"/>
    <m/>
    <s v="C&amp;PS: LEGAL COST ADVICE &amp; LITIGATION"/>
    <n v="1200000"/>
    <n v="91950.73"/>
    <n v="0"/>
    <n v="551704.38"/>
    <n v="339403.62"/>
    <n v="61.91"/>
    <n v="0"/>
    <n v="1200000"/>
    <n v="1254000"/>
    <n v="1311684"/>
    <n v="1372021.4639999999"/>
    <x v="1"/>
    <x v="2"/>
  </r>
  <r>
    <s v="40072305410EQMRCZZHO"/>
    <m/>
    <s v="OC: SKILLS DEVELOPMENT FUND LEVY"/>
    <n v="0"/>
    <n v="91950.73"/>
    <n v="0"/>
    <n v="551704.38"/>
    <n v="339403.62"/>
    <n v="61.91"/>
    <n v="10000"/>
    <n v="10000"/>
    <n v="10450"/>
    <n v="10930.7"/>
    <n v="11433.512200000001"/>
    <x v="1"/>
    <x v="3"/>
  </r>
  <r>
    <s v="40072305760EQMRCZZHO"/>
    <s v="TRAVEL CLAIM"/>
    <s v="OC: T&amp;S DOM - ACCOMMODATION"/>
    <n v="0"/>
    <n v="91950.73"/>
    <n v="0"/>
    <n v="551704.38"/>
    <n v="339403.62"/>
    <n v="61.91"/>
    <n v="20000"/>
    <n v="20000"/>
    <n v="20900"/>
    <n v="21861.4"/>
    <n v="22867.024400000002"/>
    <x v="1"/>
    <x v="3"/>
  </r>
  <r>
    <s v="40102110010EQMRCZZHO"/>
    <m/>
    <s v="MS: SAL &amp; ALL: BASIC SALARY &amp; WAGES"/>
    <n v="390877"/>
    <n v="91950.73"/>
    <n v="0"/>
    <n v="551704.38"/>
    <n v="339403.62"/>
    <n v="61.91"/>
    <n v="0"/>
    <n v="390877"/>
    <n v="415306.8125"/>
    <n v="444378.28937499999"/>
    <n v="475484.76963125"/>
    <x v="1"/>
    <x v="1"/>
  </r>
  <r>
    <s v="40102110100EQMRCZZHO"/>
    <m/>
    <s v="MS: SAL &amp; ALL: PERFORMANCE BASED BONUSES"/>
    <n v="17744"/>
    <n v="91950.73"/>
    <n v="0"/>
    <n v="551704.38"/>
    <n v="339403.62"/>
    <n v="61.91"/>
    <n v="-9276.9100000000035"/>
    <n v="8467.0899999999965"/>
    <n v="8996.2831249999963"/>
    <n v="9626.0229437499966"/>
    <n v="10299.844549812497"/>
    <x v="1"/>
    <x v="1"/>
  </r>
  <r>
    <s v="40102110220EQMRCZZHO"/>
    <m/>
    <s v="MS: ALL - CELLULAR &amp; TELEPHONE"/>
    <n v="14100"/>
    <n v="91950.73"/>
    <n v="0"/>
    <n v="551704.38"/>
    <n v="339403.62"/>
    <n v="61.91"/>
    <n v="0"/>
    <n v="14100"/>
    <n v="14981.25"/>
    <n v="16029.9375"/>
    <n v="17152.033125000002"/>
    <x v="1"/>
    <x v="1"/>
  </r>
  <r>
    <s v="40102110320EQMRCZZHO"/>
    <m/>
    <s v="MS: ALL - LEAVE PAY"/>
    <n v="11776"/>
    <n v="91950.73"/>
    <n v="0"/>
    <n v="551704.38"/>
    <n v="339403.62"/>
    <n v="61.91"/>
    <n v="0"/>
    <n v="11776"/>
    <n v="12512"/>
    <n v="13387.84"/>
    <n v="14324.988800000001"/>
    <x v="1"/>
    <x v="1"/>
  </r>
  <r>
    <s v="40102110340EQMRCZZHO"/>
    <m/>
    <s v="MS: ALL - TRAVEL OR MOTOR VEHICLE"/>
    <n v="88719"/>
    <n v="91950.73"/>
    <n v="0"/>
    <n v="551704.38"/>
    <n v="339403.62"/>
    <n v="61.91"/>
    <n v="0"/>
    <n v="88719"/>
    <n v="94263.9375"/>
    <n v="100862.41312500001"/>
    <n v="107922.78204375"/>
    <x v="1"/>
    <x v="1"/>
  </r>
  <r>
    <s v="40102110440EQMRCZZHO"/>
    <m/>
    <s v="MS: SRB - ACTING ALLOWANCE"/>
    <n v="7098"/>
    <n v="91950.73"/>
    <n v="0"/>
    <n v="551704.38"/>
    <n v="339403.62"/>
    <n v="61.91"/>
    <n v="0"/>
    <n v="7098"/>
    <n v="7541.625"/>
    <n v="8069.5387499999997"/>
    <n v="8634.4064624999992"/>
    <x v="1"/>
    <x v="1"/>
  </r>
  <r>
    <s v="40102110460EQMRCZZHO"/>
    <m/>
    <s v="MS: SRB - ANNUAL BONUS"/>
    <n v="29573"/>
    <n v="91950.73"/>
    <n v="0"/>
    <n v="551704.38"/>
    <n v="339403.62"/>
    <n v="61.91"/>
    <n v="0"/>
    <n v="29573"/>
    <n v="31421.3125"/>
    <n v="33620.804375"/>
    <n v="35974.260681250002"/>
    <x v="1"/>
    <x v="1"/>
  </r>
  <r>
    <s v="40102110630EQMRCZZHO"/>
    <m/>
    <s v="MS: SRB - NON PENSIONABLE"/>
    <n v="15692"/>
    <n v="91950.73"/>
    <n v="0"/>
    <n v="551704.38"/>
    <n v="339403.62"/>
    <n v="61.91"/>
    <n v="0"/>
    <n v="15692"/>
    <n v="16672.75"/>
    <n v="17839.842499999999"/>
    <n v="19088.631474999998"/>
    <x v="1"/>
    <x v="1"/>
  </r>
  <r>
    <s v="40102130010EQMRCZZHO"/>
    <m/>
    <s v="MS: SOC CONTR - BARGAINING COUNCIL"/>
    <n v="112"/>
    <n v="91950.73"/>
    <n v="0"/>
    <n v="551704.38"/>
    <n v="339403.62"/>
    <n v="61.91"/>
    <n v="0"/>
    <n v="112"/>
    <n v="119"/>
    <n v="127.33"/>
    <n v="136.2431"/>
    <x v="1"/>
    <x v="1"/>
  </r>
  <r>
    <s v="40102130200EQMRCZZHO"/>
    <m/>
    <s v="MS: SOC CONTR - MEDICAL"/>
    <n v="53908"/>
    <n v="91950.73"/>
    <n v="0"/>
    <n v="551704.38"/>
    <n v="339403.62"/>
    <n v="61.91"/>
    <n v="0"/>
    <n v="53908"/>
    <n v="57277.25"/>
    <n v="61286.657500000001"/>
    <n v="65576.723525000009"/>
    <x v="1"/>
    <x v="1"/>
  </r>
  <r>
    <s v="40102130300EQMRCZZHO"/>
    <m/>
    <s v="MS: SOC CONTR - PENSION"/>
    <n v="78073"/>
    <n v="91950.73"/>
    <n v="0"/>
    <n v="551704.38"/>
    <n v="339403.62"/>
    <n v="61.91"/>
    <n v="0"/>
    <n v="78073"/>
    <n v="82952.5625"/>
    <n v="88759.241875000007"/>
    <n v="94972.388806250005"/>
    <x v="1"/>
    <x v="1"/>
  </r>
  <r>
    <s v="40102130400EQMRCZZHO"/>
    <m/>
    <s v="MS: SOC CONTR - UNEMPLOYMENT INSUR FUND"/>
    <n v="1785"/>
    <n v="91950.73"/>
    <n v="0"/>
    <n v="551704.38"/>
    <n v="339403.62"/>
    <n v="61.91"/>
    <n v="0"/>
    <n v="1785"/>
    <n v="1896.5625"/>
    <n v="2029.3218750000001"/>
    <n v="2171.37440625"/>
    <x v="1"/>
    <x v="1"/>
  </r>
  <r>
    <s v="40102140020PRMRCZZHO"/>
    <m/>
    <s v="MS: PRB - MED: CURRENT SERVICE COST"/>
    <n v="753"/>
    <n v="91950.73"/>
    <n v="0"/>
    <n v="551704.38"/>
    <n v="339403.62"/>
    <n v="61.91"/>
    <n v="0"/>
    <n v="753"/>
    <n v="800.0625"/>
    <n v="856.06687499999998"/>
    <n v="915.99155625000003"/>
    <x v="1"/>
    <x v="1"/>
  </r>
  <r>
    <s v="40102140040PRMRCZZHO"/>
    <m/>
    <s v="MS: PRB - MED: INTEREST COST"/>
    <n v="398"/>
    <n v="91950.73"/>
    <n v="0"/>
    <n v="551704.38"/>
    <n v="339403.62"/>
    <n v="61.91"/>
    <n v="0"/>
    <n v="398"/>
    <n v="422.875"/>
    <n v="452.47624999999999"/>
    <n v="484.1495875"/>
    <x v="1"/>
    <x v="1"/>
  </r>
  <r>
    <s v="40102142200PRMRCZZHO"/>
    <m/>
    <s v="MS: PRB - OTHER: LONG TERM SERVICE AWARD"/>
    <n v="2789"/>
    <n v="91950.73"/>
    <n v="0"/>
    <n v="551704.38"/>
    <n v="339403.62"/>
    <n v="61.91"/>
    <n v="0"/>
    <n v="2789"/>
    <n v="2963.3125"/>
    <n v="3170.7443750000002"/>
    <n v="3392.69648125"/>
    <x v="1"/>
    <x v="1"/>
  </r>
  <r>
    <s v="401023_new"/>
    <m/>
    <s v="PROMOTIONAL ITEMS"/>
    <n v="0"/>
    <m/>
    <m/>
    <m/>
    <m/>
    <m/>
    <m/>
    <m/>
    <n v="106000"/>
    <n v="111724"/>
    <n v="118986"/>
    <x v="1"/>
    <x v="3"/>
  </r>
  <r>
    <s v="40102300120PRMRCZZWM"/>
    <s v="ADVERTISING,MARKETING &amp; PUBLICITY"/>
    <s v="OC: ADV/PUB/MARK - CORP &amp; MUN ACTIVITIES"/>
    <n v="521759"/>
    <n v="91950.73"/>
    <n v="0"/>
    <n v="551704.38"/>
    <n v="339403.62"/>
    <n v="61.91"/>
    <n v="21280"/>
    <n v="543039"/>
    <n v="553064"/>
    <n v="582929"/>
    <n v="620819"/>
    <x v="1"/>
    <x v="3"/>
  </r>
  <r>
    <s v="40102304510ORMRCZZHO"/>
    <m/>
    <s v="OC: PRINTING &amp; PUBLICATIONS"/>
    <n v="1101000"/>
    <n v="91950.73"/>
    <n v="0"/>
    <n v="551704.38"/>
    <n v="339403.62"/>
    <n v="61.91"/>
    <n v="100000"/>
    <n v="1201000"/>
    <n v="1167060"/>
    <n v="1230081"/>
    <n v="1310000"/>
    <x v="1"/>
    <x v="3"/>
  </r>
  <r>
    <s v="40102305410EQMRCZZHO"/>
    <m/>
    <s v="OC: SKILLS DEVELOPMENT FUND LEVY"/>
    <n v="0"/>
    <n v="91950.73"/>
    <n v="0"/>
    <n v="551704.38"/>
    <n v="339403.62"/>
    <n v="61.91"/>
    <n v="6000"/>
    <n v="6000"/>
    <n v="6270"/>
    <n v="6558.42"/>
    <n v="6860.1073200000001"/>
    <x v="1"/>
    <x v="3"/>
  </r>
  <r>
    <s v="40102305760EQMRCZZHO"/>
    <s v="TRAVEL CLAIM"/>
    <s v="OC: T&amp;S DOM - ACCOMMODATION"/>
    <n v="0"/>
    <n v="91950.73"/>
    <n v="0"/>
    <n v="551704.38"/>
    <n v="339403.62"/>
    <n v="61.91"/>
    <n v="40000"/>
    <n v="40000"/>
    <n v="41800"/>
    <n v="43722.8"/>
    <n v="45734.048800000004"/>
    <x v="1"/>
    <x v="3"/>
  </r>
  <r>
    <s v="40106456020FCC74ZZWM"/>
    <s v="EVENT MANAGEMENT EQUIPMENTS"/>
    <s v="TRAILER"/>
    <n v="150000"/>
    <n v="91950.73"/>
    <n v="0"/>
    <n v="551704.38"/>
    <n v="339403.62"/>
    <n v="61.91"/>
    <n v="0"/>
    <n v="150000"/>
    <n v="150000"/>
    <n v="150000"/>
    <n v="0"/>
    <x v="2"/>
    <x v="0"/>
  </r>
  <r>
    <s v="40152110010EQMRCZZHO"/>
    <m/>
    <s v="MS: SAL &amp; ALL: BASIC SALARY &amp; WAGES"/>
    <n v="853944"/>
    <n v="91950.73"/>
    <n v="0"/>
    <n v="551704.38"/>
    <n v="339403.62"/>
    <n v="61.91"/>
    <n v="0"/>
    <n v="853944"/>
    <n v="907315.5"/>
    <n v="970827.58499999996"/>
    <n v="1038785.5159499999"/>
    <x v="1"/>
    <x v="1"/>
  </r>
  <r>
    <s v="40152110100EQMRCZZHO"/>
    <m/>
    <s v="MS: SAL &amp; ALL: PERFORMANCE BASED BONUSES"/>
    <n v="42697"/>
    <n v="91950.73"/>
    <n v="0"/>
    <n v="551704.38"/>
    <n v="339403.62"/>
    <n v="61.91"/>
    <n v="-34229.909999999996"/>
    <n v="8467.0900000000038"/>
    <n v="8996.2831250000036"/>
    <n v="9626.0229437500038"/>
    <n v="10299.844549812504"/>
    <x v="1"/>
    <x v="1"/>
  </r>
  <r>
    <s v="40152110220EQMRCZZHO"/>
    <m/>
    <s v="MS: ALL - CELLULAR &amp; TELEPHONE"/>
    <n v="24000"/>
    <n v="91950.73"/>
    <n v="0"/>
    <n v="551704.38"/>
    <n v="339403.62"/>
    <n v="61.91"/>
    <n v="0"/>
    <n v="24000"/>
    <n v="25500"/>
    <n v="27285"/>
    <n v="29194.95"/>
    <x v="1"/>
    <x v="1"/>
  </r>
  <r>
    <s v="40152110260EQMRCZZHO"/>
    <m/>
    <s v="MS: HB &amp; INC: HOUSING BENEFITS"/>
    <n v="21786"/>
    <n v="91950.73"/>
    <n v="0"/>
    <n v="551704.38"/>
    <n v="339403.62"/>
    <n v="61.91"/>
    <n v="0"/>
    <n v="21786"/>
    <n v="23147.625"/>
    <n v="24767.958750000002"/>
    <n v="26501.715862500001"/>
    <x v="1"/>
    <x v="1"/>
  </r>
  <r>
    <s v="40152110320EQMRCZZHO"/>
    <m/>
    <s v="MS: ALL - LEAVE PAY"/>
    <n v="20806"/>
    <n v="91950.73"/>
    <n v="0"/>
    <n v="551704.38"/>
    <n v="339403.62"/>
    <n v="61.91"/>
    <n v="0"/>
    <n v="20806"/>
    <n v="22106.375"/>
    <n v="23653.821250000001"/>
    <n v="25309.588737500002"/>
    <x v="1"/>
    <x v="1"/>
  </r>
  <r>
    <s v="40152110340EQMRCZZHO"/>
    <m/>
    <s v="MS: ALL - TRAVEL OR MOTOR VEHICLE"/>
    <n v="156750"/>
    <n v="91950.73"/>
    <n v="0"/>
    <n v="551704.38"/>
    <n v="339403.62"/>
    <n v="61.91"/>
    <n v="0"/>
    <n v="156750"/>
    <n v="166546.875"/>
    <n v="178205.15625"/>
    <n v="190679.51718749999"/>
    <x v="1"/>
    <x v="1"/>
  </r>
  <r>
    <s v="40152110440EQMRCZZHO"/>
    <m/>
    <s v="MS: SRB - ACTING ALLOWANCE"/>
    <n v="12540"/>
    <n v="91950.73"/>
    <n v="0"/>
    <n v="551704.38"/>
    <n v="339403.62"/>
    <n v="61.91"/>
    <n v="0"/>
    <n v="12540"/>
    <n v="13323.75"/>
    <n v="14256.4125"/>
    <n v="15254.361375"/>
    <x v="1"/>
    <x v="1"/>
  </r>
  <r>
    <s v="40152110460EQMRCZZHO"/>
    <m/>
    <s v="MS: SRB - ANNUAL BONUS"/>
    <n v="71162"/>
    <n v="91950.73"/>
    <n v="0"/>
    <n v="551704.38"/>
    <n v="339403.62"/>
    <n v="61.91"/>
    <n v="0"/>
    <n v="71162"/>
    <n v="75609.625"/>
    <n v="80902.298750000002"/>
    <n v="86565.459662499998"/>
    <x v="1"/>
    <x v="1"/>
  </r>
  <r>
    <s v="40152110630EQMRCZZHO"/>
    <m/>
    <s v="MS: SRB - NON PENSIONABLE"/>
    <n v="15692"/>
    <n v="91950.73"/>
    <n v="0"/>
    <n v="551704.38"/>
    <n v="339403.62"/>
    <n v="61.91"/>
    <n v="0"/>
    <n v="15692"/>
    <n v="16672.75"/>
    <n v="17839.842499999999"/>
    <n v="19088.631474999998"/>
    <x v="1"/>
    <x v="1"/>
  </r>
  <r>
    <s v="40152130010EQMRCZZHO"/>
    <m/>
    <s v="MS: SOC CONTR - BARGAINING COUNCIL"/>
    <n v="224"/>
    <n v="91950.73"/>
    <n v="0"/>
    <n v="551704.38"/>
    <n v="339403.62"/>
    <n v="61.91"/>
    <n v="0"/>
    <n v="224"/>
    <n v="238"/>
    <n v="254.66"/>
    <n v="272.4862"/>
    <x v="1"/>
    <x v="1"/>
  </r>
  <r>
    <s v="40152130200EQMRCZZHO"/>
    <m/>
    <s v="MS: SOC CONTR - MEDICAL"/>
    <n v="107816"/>
    <n v="91950.73"/>
    <n v="0"/>
    <n v="551704.38"/>
    <n v="339403.62"/>
    <n v="61.91"/>
    <n v="-60000"/>
    <n v="47816"/>
    <n v="50804.5"/>
    <n v="54360.815000000002"/>
    <n v="58166.072050000002"/>
    <x v="1"/>
    <x v="1"/>
  </r>
  <r>
    <s v="40152130300EQMRCZZHO"/>
    <m/>
    <s v="MS: SOC CONTR - PENSION"/>
    <n v="187868"/>
    <n v="91950.73"/>
    <n v="0"/>
    <n v="551704.38"/>
    <n v="339403.62"/>
    <n v="61.91"/>
    <n v="0"/>
    <n v="187868"/>
    <n v="199609.75"/>
    <n v="213582.4325"/>
    <n v="228533.20277499998"/>
    <x v="1"/>
    <x v="1"/>
  </r>
  <r>
    <s v="40152130400EQMRCZZHO"/>
    <m/>
    <s v="MS: SOC CONTR - UNEMPLOYMENT INSUR FUND"/>
    <n v="3570"/>
    <n v="91950.73"/>
    <n v="0"/>
    <n v="551704.38"/>
    <n v="339403.62"/>
    <n v="61.91"/>
    <n v="0"/>
    <n v="3570"/>
    <n v="3793.125"/>
    <n v="4058.6437500000002"/>
    <n v="4342.7488125"/>
    <x v="1"/>
    <x v="1"/>
  </r>
  <r>
    <s v="40152140020PRMRCZZHO"/>
    <m/>
    <s v="MS: PRB - MED: CURRENT SERVICE COST"/>
    <n v="20768"/>
    <n v="91950.73"/>
    <n v="0"/>
    <n v="551704.38"/>
    <n v="339403.62"/>
    <n v="61.91"/>
    <n v="0"/>
    <n v="20768"/>
    <n v="22066"/>
    <n v="23610.62"/>
    <n v="25263.363399999998"/>
    <x v="1"/>
    <x v="1"/>
  </r>
  <r>
    <s v="40152140040PRMRCZZHO"/>
    <m/>
    <s v="MS: PRB - MED: INTEREST COST"/>
    <n v="19770"/>
    <n v="91950.73"/>
    <n v="0"/>
    <n v="551704.38"/>
    <n v="339403.62"/>
    <n v="61.91"/>
    <n v="0"/>
    <n v="19770"/>
    <n v="21005.625"/>
    <n v="22476.018749999999"/>
    <n v="24049.340062499999"/>
    <x v="1"/>
    <x v="1"/>
  </r>
  <r>
    <s v="40152142200PRMRCZZHO"/>
    <m/>
    <s v="MS: PRB - OTHER: LONG TERM SERVICE AWARD"/>
    <n v="6053"/>
    <n v="91950.73"/>
    <n v="0"/>
    <n v="551704.38"/>
    <n v="339403.62"/>
    <n v="61.91"/>
    <n v="0"/>
    <n v="6053"/>
    <n v="6431.3125"/>
    <n v="6881.5043750000004"/>
    <n v="7363.2096812500004"/>
    <x v="1"/>
    <x v="1"/>
  </r>
  <r>
    <s v="40152270340ORS70ZZWM"/>
    <m/>
    <s v="C&amp;PS: B&amp;A BUSINESS &amp; FIN MANAGEMENT"/>
    <n v="400000"/>
    <n v="91950.73"/>
    <n v="0"/>
    <n v="551704.38"/>
    <n v="339403.62"/>
    <n v="61.91"/>
    <n v="0"/>
    <n v="400000"/>
    <n v="418000"/>
    <n v="437228"/>
    <n v="457340.48800000001"/>
    <x v="1"/>
    <x v="2"/>
  </r>
  <r>
    <s v="40152305410EQMRCZZHO"/>
    <m/>
    <s v="OC: SKILLS DEVELOPMENT FUND LEVY"/>
    <n v="0"/>
    <n v="91950.73"/>
    <n v="0"/>
    <n v="551704.38"/>
    <n v="339403.62"/>
    <n v="61.91"/>
    <n v="10000"/>
    <n v="10000"/>
    <n v="10450"/>
    <n v="10930.7"/>
    <n v="11433.512200000001"/>
    <x v="1"/>
    <x v="3"/>
  </r>
  <r>
    <s v="40152305760EQMRCZZHO"/>
    <m/>
    <s v="OC: T&amp;S DOM - ACCOMMODATION"/>
    <n v="0"/>
    <n v="91950.73"/>
    <n v="0"/>
    <n v="551704.38"/>
    <n v="339403.62"/>
    <n v="61.91"/>
    <n v="25000"/>
    <n v="25000"/>
    <n v="26125"/>
    <n v="27326.75"/>
    <n v="28583.780500000001"/>
    <x v="1"/>
    <x v="3"/>
  </r>
  <r>
    <s v="40156470420ORC34ZZWM"/>
    <m/>
    <s v="PERFORMANCE MANAGEMENT SOFTWARE"/>
    <n v="0"/>
    <n v="91950.73"/>
    <n v="0"/>
    <n v="551704.38"/>
    <n v="339403.62"/>
    <n v="61.91"/>
    <n v="0"/>
    <n v="0"/>
    <n v="800000"/>
    <n v="900000"/>
    <n v="0"/>
    <x v="2"/>
    <x v="0"/>
  </r>
  <r>
    <s v="40202110010EQMRCZZHO"/>
    <m/>
    <s v="MS: SAL &amp; ALL: BASIC SALARY &amp; WAGES"/>
    <n v="1364454"/>
    <n v="91950.73"/>
    <n v="0"/>
    <n v="551704.38"/>
    <n v="339403.62"/>
    <n v="61.91"/>
    <n v="0"/>
    <n v="1364454"/>
    <n v="1449732.375"/>
    <n v="1551213.6412500001"/>
    <n v="1659798.5961375001"/>
    <x v="1"/>
    <x v="1"/>
  </r>
  <r>
    <s v="40202110010FMMRCZZHO"/>
    <m/>
    <s v="MS: SAL &amp; ALL: BASIC SALARY &amp; WAGES"/>
    <n v="80600"/>
    <n v="91950.73"/>
    <n v="0"/>
    <n v="551704.38"/>
    <n v="339403.62"/>
    <n v="61.91"/>
    <n v="0"/>
    <n v="80600"/>
    <n v="85637.5"/>
    <n v="91632.125"/>
    <n v="98046.373749999999"/>
    <x v="1"/>
    <x v="1"/>
  </r>
  <r>
    <s v="40202110100EQMRCZZHO"/>
    <m/>
    <s v="MS: SAL &amp; ALL: PERFORMANCE BASED BONUSES"/>
    <n v="66423"/>
    <n v="91950.73"/>
    <n v="0"/>
    <n v="551704.38"/>
    <n v="339403.62"/>
    <n v="61.91"/>
    <n v="-41021.729999999996"/>
    <n v="25401.270000000004"/>
    <n v="26988.849375000005"/>
    <n v="28878.068831250006"/>
    <n v="30899.533649437508"/>
    <x v="1"/>
    <x v="1"/>
  </r>
  <r>
    <s v="40202110220EQMRCZZHO"/>
    <m/>
    <s v="MS: ALL - CELLULAR &amp; TELEPHONE"/>
    <n v="52200"/>
    <n v="91950.73"/>
    <n v="0"/>
    <n v="551704.38"/>
    <n v="339403.62"/>
    <n v="61.91"/>
    <n v="0"/>
    <n v="52200"/>
    <n v="55462.5"/>
    <n v="59344.875"/>
    <n v="63499.016250000001"/>
    <x v="1"/>
    <x v="1"/>
  </r>
  <r>
    <s v="40202110260EQMRCZZHO"/>
    <m/>
    <s v="MS: HB &amp; INC: HOUSING BENEFITS"/>
    <n v="21786"/>
    <n v="91950.73"/>
    <n v="0"/>
    <n v="551704.38"/>
    <n v="339403.62"/>
    <n v="61.91"/>
    <n v="0"/>
    <n v="21786"/>
    <n v="23147.625"/>
    <n v="24767.958750000002"/>
    <n v="26501.715862500001"/>
    <x v="1"/>
    <x v="1"/>
  </r>
  <r>
    <s v="40202110320EQMRCZZHO"/>
    <m/>
    <s v="MS: ALL - LEAVE PAY"/>
    <n v="44083"/>
    <n v="91950.73"/>
    <n v="0"/>
    <n v="551704.38"/>
    <n v="339403.62"/>
    <n v="61.91"/>
    <n v="0"/>
    <n v="44083"/>
    <n v="46838.1875"/>
    <n v="50116.860625000001"/>
    <n v="53625.040868750002"/>
    <x v="1"/>
    <x v="1"/>
  </r>
  <r>
    <s v="40202110340EQMRCZZHO"/>
    <m/>
    <s v="MS: ALL - TRAVEL OR MOTOR VEHICLE"/>
    <n v="332114"/>
    <n v="91950.73"/>
    <n v="0"/>
    <n v="551704.38"/>
    <n v="339403.62"/>
    <n v="61.91"/>
    <n v="0"/>
    <n v="332114"/>
    <n v="352871.125"/>
    <n v="377572.10375000001"/>
    <n v="404002.15101249999"/>
    <x v="1"/>
    <x v="1"/>
  </r>
  <r>
    <s v="40202110440EQMRCZZHO"/>
    <m/>
    <s v="MS: SRB - ACTING ALLOWANCE"/>
    <n v="26569"/>
    <n v="91950.73"/>
    <n v="0"/>
    <n v="551704.38"/>
    <n v="339403.62"/>
    <n v="61.91"/>
    <n v="26569"/>
    <n v="53138"/>
    <n v="56459.125"/>
    <n v="60411.263749999998"/>
    <n v="64640.052212499999"/>
    <x v="1"/>
    <x v="1"/>
  </r>
  <r>
    <s v="40202110460EQMRCZZHO"/>
    <m/>
    <s v="MS: SRB - ANNUAL BONUS"/>
    <n v="110705"/>
    <n v="91950.73"/>
    <n v="0"/>
    <n v="551704.38"/>
    <n v="339403.62"/>
    <n v="61.91"/>
    <n v="0"/>
    <n v="110705"/>
    <n v="117624.0625"/>
    <n v="125857.746875"/>
    <n v="134667.78915624999"/>
    <x v="1"/>
    <x v="1"/>
  </r>
  <r>
    <s v="40202110630EQMRCZZHO"/>
    <m/>
    <s v="MS: SRB - NON PENSIONABLE"/>
    <n v="15692"/>
    <n v="91950.73"/>
    <n v="0"/>
    <n v="551704.38"/>
    <n v="339403.62"/>
    <n v="61.91"/>
    <n v="0"/>
    <n v="15692"/>
    <n v="16672.75"/>
    <n v="17839.842499999999"/>
    <n v="19088.631474999998"/>
    <x v="1"/>
    <x v="1"/>
  </r>
  <r>
    <s v="40202130010EQMRCZZHO"/>
    <m/>
    <s v="MS: SOC CONTR - BARGAINING COUNCIL"/>
    <n v="337"/>
    <n v="91950.73"/>
    <n v="0"/>
    <n v="551704.38"/>
    <n v="339403.62"/>
    <n v="61.91"/>
    <n v="0"/>
    <n v="337"/>
    <n v="358.0625"/>
    <n v="383.12687499999998"/>
    <n v="409.94575624999999"/>
    <x v="1"/>
    <x v="1"/>
  </r>
  <r>
    <s v="40202130200EQMRCZZHO"/>
    <m/>
    <s v="MS: SOC CONTR - MEDICAL"/>
    <n v="161725"/>
    <n v="91950.73"/>
    <n v="0"/>
    <n v="551704.38"/>
    <n v="339403.62"/>
    <n v="61.91"/>
    <n v="0"/>
    <n v="161725"/>
    <n v="171832.8125"/>
    <n v="183861.109375"/>
    <n v="196731.38703124999"/>
    <x v="1"/>
    <x v="1"/>
  </r>
  <r>
    <s v="40202130300EQMRCZZHO"/>
    <m/>
    <s v="MS: SOC CONTR - PENSION"/>
    <n v="278128"/>
    <n v="91950.73"/>
    <n v="0"/>
    <n v="551704.38"/>
    <n v="339403.62"/>
    <n v="61.91"/>
    <n v="0"/>
    <n v="278128"/>
    <n v="295511"/>
    <n v="316196.77"/>
    <n v="338330.54390000005"/>
    <x v="1"/>
    <x v="1"/>
  </r>
  <r>
    <s v="40202130400EQMRCZZHO"/>
    <m/>
    <s v="MS: SOC CONTR - UNEMPLOYMENT INSUR FUND"/>
    <n v="5355"/>
    <n v="91950.73"/>
    <n v="0"/>
    <n v="551704.38"/>
    <n v="339403.62"/>
    <n v="61.91"/>
    <n v="0"/>
    <n v="5355"/>
    <n v="5689.6875"/>
    <n v="6087.9656249999998"/>
    <n v="6514.12321875"/>
    <x v="1"/>
    <x v="1"/>
  </r>
  <r>
    <s v="40202130400FMMRCZZHO"/>
    <m/>
    <s v="MS: SOC CONTR - UNEMPLOYMENT INSUR FUND"/>
    <n v="0"/>
    <n v="91950.73"/>
    <n v="0"/>
    <n v="551704.38"/>
    <n v="339403.62"/>
    <n v="61.91"/>
    <n v="0"/>
    <n v="0"/>
    <n v="0"/>
    <n v="0"/>
    <m/>
    <x v="1"/>
    <x v="1"/>
  </r>
  <r>
    <s v="40202140020PRMRCZZHO"/>
    <m/>
    <s v="MS: PRB - MED: CURRENT SERVICE COST"/>
    <n v="8794"/>
    <n v="91950.73"/>
    <n v="0"/>
    <n v="551704.38"/>
    <n v="339403.62"/>
    <n v="61.91"/>
    <n v="0"/>
    <n v="8794"/>
    <n v="9343.625"/>
    <n v="9997.6787499999991"/>
    <n v="10697.516262499999"/>
    <x v="1"/>
    <x v="1"/>
  </r>
  <r>
    <s v="40202140040PRMRCZZHO"/>
    <m/>
    <s v="MS: PRB - MED: INTEREST COST"/>
    <n v="8346"/>
    <n v="91950.73"/>
    <n v="0"/>
    <n v="551704.38"/>
    <n v="339403.62"/>
    <n v="61.91"/>
    <n v="0"/>
    <n v="8346"/>
    <n v="8867.625"/>
    <n v="9488.3587499999994"/>
    <n v="10152.543862499999"/>
    <x v="1"/>
    <x v="1"/>
  </r>
  <r>
    <s v="40202142200PRMRCZZHO"/>
    <m/>
    <s v="MS: PRB - OTHER: LONG TERM SERVICE AWARD"/>
    <n v="11677"/>
    <n v="91950.73"/>
    <n v="0"/>
    <n v="551704.38"/>
    <n v="339403.62"/>
    <n v="61.91"/>
    <n v="0"/>
    <n v="11677"/>
    <n v="12406.8125"/>
    <n v="13275.289375"/>
    <n v="14204.55963125"/>
    <x v="1"/>
    <x v="1"/>
  </r>
  <r>
    <s v="40202270320EQMRCZZHO"/>
    <m/>
    <s v="C&amp;PS: B&amp;A AUDIT COMMITTEE"/>
    <n v="424278"/>
    <n v="91950.73"/>
    <n v="0"/>
    <n v="551704.38"/>
    <n v="339403.62"/>
    <n v="61.91"/>
    <n v="0"/>
    <n v="424278"/>
    <n v="443370.51"/>
    <n v="463765.55346000002"/>
    <n v="485098.76891916001"/>
    <x v="1"/>
    <x v="2"/>
  </r>
  <r>
    <s v="40202300200EQMRCZZHO"/>
    <m/>
    <s v="OC: AUDIT COST:  EXTERNAL"/>
    <n v="3000000"/>
    <n v="91950.73"/>
    <n v="0"/>
    <n v="551704.38"/>
    <n v="339403.62"/>
    <n v="61.91"/>
    <n v="0"/>
    <n v="3000000"/>
    <n v="3135000"/>
    <n v="3279210"/>
    <n v="3430053.66"/>
    <x v="1"/>
    <x v="3"/>
  </r>
  <r>
    <s v="40202302400ORMRCZZHO"/>
    <m/>
    <s v="OC: INSUR UNDER - INSURANCE AGGREGATION"/>
    <n v="790000"/>
    <n v="91950.73"/>
    <n v="0"/>
    <n v="551704.38"/>
    <n v="339403.62"/>
    <n v="61.91"/>
    <n v="0"/>
    <n v="790000"/>
    <n v="825550"/>
    <n v="863525.3"/>
    <n v="903247.46380000003"/>
    <x v="1"/>
    <x v="3"/>
  </r>
  <r>
    <s v="40202305410EQMRCZZHO"/>
    <m/>
    <s v="OC: SKILLS DEVELOPMENT FUND LEVY"/>
    <n v="0"/>
    <n v="91950.73"/>
    <n v="0"/>
    <n v="551704.38"/>
    <n v="339403.62"/>
    <n v="61.91"/>
    <n v="20000"/>
    <n v="20000"/>
    <n v="20900"/>
    <n v="21861.4"/>
    <n v="22867.024400000002"/>
    <x v="1"/>
    <x v="3"/>
  </r>
  <r>
    <s v="40202305760EQMRCZZHO"/>
    <m/>
    <s v="OC: T&amp;S DOM - ACCOMMODATION"/>
    <n v="0"/>
    <n v="91950.73"/>
    <n v="0"/>
    <n v="551704.38"/>
    <n v="339403.62"/>
    <n v="61.91"/>
    <n v="40000"/>
    <n v="40000"/>
    <n v="41800"/>
    <n v="43722.8"/>
    <n v="45734.048800000004"/>
    <x v="1"/>
    <x v="3"/>
  </r>
  <r>
    <s v="40202720600PRMRCZZWM"/>
    <m/>
    <s v="DEPRECIATION COMPUTER EQUIPMENT"/>
    <n v="11399"/>
    <n v="91950.73"/>
    <n v="0"/>
    <n v="551704.38"/>
    <n v="339403.62"/>
    <n v="61.91"/>
    <n v="0"/>
    <n v="11399"/>
    <n v="11911.955"/>
    <n v="12459.904930000001"/>
    <n v="13033.060556780001"/>
    <x v="1"/>
    <x v="6"/>
  </r>
  <r>
    <s v="40202721500PRMRCZZWM"/>
    <m/>
    <s v="DEPRECIATION FURNITURE &amp; OFFICE EQUIPM"/>
    <n v="2988"/>
    <n v="91950.73"/>
    <n v="0"/>
    <n v="551704.38"/>
    <n v="339403.62"/>
    <n v="61.91"/>
    <n v="0"/>
    <n v="2988"/>
    <n v="3122.46"/>
    <n v="3266.0931599999999"/>
    <n v="3416.33344536"/>
    <x v="1"/>
    <x v="6"/>
  </r>
  <r>
    <s v="45052110010EQMRCZZHO"/>
    <m/>
    <s v="MS: SAL &amp; ALL: BASIC SALARY &amp; WAGES"/>
    <n v="1335043"/>
    <n v="65927.72"/>
    <n v="0"/>
    <n v="401539.33"/>
    <n v="933503.67"/>
    <n v="30.07"/>
    <n v="0"/>
    <n v="1335043"/>
    <n v="1418483.1875"/>
    <n v="1517777.0106250001"/>
    <n v="1624021.40136875"/>
    <x v="1"/>
    <x v="1"/>
  </r>
  <r>
    <s v="45052110100EQMRCZZHO"/>
    <m/>
    <s v="MS: SAL &amp; ALL: PERFORMANCE BASED BONUSES"/>
    <n v="66752"/>
    <n v="65927.72"/>
    <n v="0"/>
    <n v="401539.33"/>
    <n v="933503.67"/>
    <n v="30.07"/>
    <n v="-41350.730000000003"/>
    <n v="25401.269999999997"/>
    <n v="26988.849374999998"/>
    <n v="28878.068831249999"/>
    <n v="30899.533649437497"/>
    <x v="1"/>
    <x v="1"/>
  </r>
  <r>
    <s v="45052110220EQMRCZZHO"/>
    <m/>
    <s v="MS: ALL - CELLULAR &amp; TELEPHONE"/>
    <n v="66300"/>
    <n v="65927.72"/>
    <n v="0"/>
    <n v="401539.33"/>
    <n v="933503.67"/>
    <n v="30.07"/>
    <n v="0"/>
    <n v="66300"/>
    <n v="70443.75"/>
    <n v="75374.8125"/>
    <n v="80651.049375000002"/>
    <x v="1"/>
    <x v="1"/>
  </r>
  <r>
    <s v="45052110260EQMRCZZHO"/>
    <m/>
    <s v="MS: HB &amp; INC: HOUSING BENEFITS"/>
    <n v="10893"/>
    <n v="65927.72"/>
    <n v="0"/>
    <n v="401539.33"/>
    <n v="933503.67"/>
    <n v="30.07"/>
    <n v="0"/>
    <n v="10893"/>
    <n v="11573.8125"/>
    <n v="12383.979375000001"/>
    <n v="13250.857931250001"/>
    <x v="1"/>
    <x v="1"/>
  </r>
  <r>
    <s v="45052110280EQMRCZZHO"/>
    <m/>
    <s v="MS: HB &amp; INC: LAUNDRY"/>
    <n v="6420"/>
    <n v="65927.72"/>
    <n v="0"/>
    <n v="401539.33"/>
    <n v="933503.67"/>
    <n v="30.07"/>
    <n v="0"/>
    <n v="6420"/>
    <n v="6821.25"/>
    <n v="7298.7375000000002"/>
    <n v="7809.6491249999999"/>
    <x v="1"/>
    <x v="1"/>
  </r>
  <r>
    <s v="45052110320EQMRCZZHO"/>
    <m/>
    <s v="MS: ALL - LEAVE PAY"/>
    <n v="34278"/>
    <n v="65927.72"/>
    <n v="0"/>
    <n v="401539.33"/>
    <n v="933503.67"/>
    <n v="30.07"/>
    <n v="0"/>
    <n v="34278"/>
    <n v="36420.375"/>
    <n v="38969.801249999997"/>
    <n v="41697.6873375"/>
    <x v="1"/>
    <x v="1"/>
  </r>
  <r>
    <s v="45052110340EQMRCZZHO"/>
    <m/>
    <s v="MS: ALL - TRAVEL OR MOTOR VEHICLE"/>
    <n v="219886"/>
    <n v="65927.72"/>
    <n v="0"/>
    <n v="401539.33"/>
    <n v="933503.67"/>
    <n v="30.07"/>
    <n v="0"/>
    <n v="219886"/>
    <n v="233628.875"/>
    <n v="249982.89624999999"/>
    <n v="267481.69898749999"/>
    <x v="1"/>
    <x v="1"/>
  </r>
  <r>
    <s v="45052110360EQMRCZZHO"/>
    <m/>
    <s v="MS: OVERTIME - NON STRUCTURED"/>
    <n v="15152"/>
    <n v="65927.72"/>
    <n v="0"/>
    <n v="401539.33"/>
    <n v="933503.67"/>
    <n v="30.07"/>
    <n v="-5152"/>
    <n v="10000"/>
    <n v="10625"/>
    <n v="11368.75"/>
    <n v="12164.5625"/>
    <x v="1"/>
    <x v="1"/>
  </r>
  <r>
    <s v="45052110460EQMRCZZHO"/>
    <m/>
    <s v="MS: SRB - ANNUAL BONUS"/>
    <n v="111254"/>
    <n v="65927.72"/>
    <n v="0"/>
    <n v="401539.33"/>
    <n v="933503.67"/>
    <n v="30.07"/>
    <n v="0"/>
    <n v="111254"/>
    <n v="118207.375"/>
    <n v="126481.89125"/>
    <n v="135335.62363749999"/>
    <x v="1"/>
    <x v="1"/>
  </r>
  <r>
    <s v="45052110560EQMRCZZHO"/>
    <m/>
    <s v="MS: SRB - STANDBY ALLOWANCE"/>
    <n v="50926"/>
    <n v="65927.72"/>
    <n v="0"/>
    <n v="401539.33"/>
    <n v="933503.67"/>
    <n v="30.07"/>
    <n v="-25000"/>
    <n v="25926"/>
    <n v="27546.375"/>
    <n v="29474.62125"/>
    <n v="31537.8447375"/>
    <x v="1"/>
    <x v="1"/>
  </r>
  <r>
    <s v="45052110630EQMRCZZHO"/>
    <m/>
    <s v="MS: SRB - NON PENSIONABLE"/>
    <n v="15692"/>
    <n v="65927.72"/>
    <n v="0"/>
    <n v="401539.33"/>
    <n v="933503.67"/>
    <n v="30.07"/>
    <n v="0"/>
    <n v="15692"/>
    <n v="16672.75"/>
    <n v="17839.842499999999"/>
    <n v="19088.631474999998"/>
    <x v="1"/>
    <x v="1"/>
  </r>
  <r>
    <s v="45052130010EQMRCZZHO"/>
    <m/>
    <s v="MS: SOC CONTR - BARGAINING COUNCIL"/>
    <n v="449"/>
    <n v="65927.72"/>
    <n v="0"/>
    <n v="401539.33"/>
    <n v="933503.67"/>
    <n v="30.07"/>
    <n v="0"/>
    <n v="449"/>
    <n v="477.0625"/>
    <n v="510.45687499999997"/>
    <n v="546.18885624999996"/>
    <x v="1"/>
    <x v="1"/>
  </r>
  <r>
    <s v="45052130200EQMRCZZHO"/>
    <m/>
    <s v="MS: SOC CONTR - MEDICAL"/>
    <n v="107816"/>
    <n v="65927.72"/>
    <n v="0"/>
    <n v="401539.33"/>
    <n v="933503.67"/>
    <n v="30.07"/>
    <n v="0"/>
    <n v="107816"/>
    <n v="114554.5"/>
    <n v="122573.315"/>
    <n v="131153.44705000002"/>
    <x v="1"/>
    <x v="1"/>
  </r>
  <r>
    <s v="45052130300EQMRCZZHO"/>
    <m/>
    <s v="MS: SOC CONTR - PENSION"/>
    <n v="293709"/>
    <n v="65927.72"/>
    <n v="0"/>
    <n v="401539.33"/>
    <n v="933503.67"/>
    <n v="30.07"/>
    <n v="0"/>
    <n v="293709"/>
    <n v="312065.8125"/>
    <n v="333910.419375"/>
    <n v="357284.14873124997"/>
    <x v="1"/>
    <x v="1"/>
  </r>
  <r>
    <s v="45052130400EQMRCZZHO"/>
    <m/>
    <s v="MS: SOC CONTR - UNEMPLOYMENT INSUR FUND"/>
    <n v="7140"/>
    <n v="65927.72"/>
    <n v="0"/>
    <n v="401539.33"/>
    <n v="933503.67"/>
    <n v="30.07"/>
    <n v="0"/>
    <n v="7140"/>
    <n v="7586.25"/>
    <n v="8117.2875000000004"/>
    <n v="8685.497625"/>
    <x v="1"/>
    <x v="1"/>
  </r>
  <r>
    <s v="45052140020EQMRCZZHO"/>
    <m/>
    <s v="MS: PRB - MED: CURRENT SERVICE COST"/>
    <n v="4606"/>
    <n v="65927.72"/>
    <n v="0"/>
    <n v="401539.33"/>
    <n v="933503.67"/>
    <n v="30.07"/>
    <n v="0"/>
    <n v="4606"/>
    <n v="4893.875"/>
    <n v="5236.44625"/>
    <n v="5602.9974874999998"/>
    <x v="1"/>
    <x v="1"/>
  </r>
  <r>
    <s v="45052140040EQMRCZZHO"/>
    <m/>
    <s v="MS: PRB - MED: INTEREST COST"/>
    <n v="7357"/>
    <n v="65927.72"/>
    <n v="0"/>
    <n v="401539.33"/>
    <n v="933503.67"/>
    <n v="30.07"/>
    <n v="0"/>
    <n v="7357"/>
    <n v="7816.8125"/>
    <n v="8363.9893749999992"/>
    <n v="8949.4686312499998"/>
    <x v="1"/>
    <x v="1"/>
  </r>
  <r>
    <s v="45052142200EQMRCZZHO"/>
    <m/>
    <s v="MS: PRB - OTHER: LONG TERM SERVICE AWARD"/>
    <n v="4920"/>
    <n v="65927.72"/>
    <n v="0"/>
    <n v="401539.33"/>
    <n v="933503.67"/>
    <n v="30.07"/>
    <n v="0"/>
    <n v="4920"/>
    <n v="5227.5"/>
    <n v="5593.4250000000002"/>
    <n v="5984.9647500000001"/>
    <x v="1"/>
    <x v="1"/>
  </r>
  <r>
    <s v="45052210650EQMRCZZHO"/>
    <m/>
    <s v="EXEC MAYOR: TRAVELLING ALLOWANCE"/>
    <n v="221423"/>
    <n v="65927.72"/>
    <n v="0"/>
    <n v="401539.33"/>
    <n v="933503.67"/>
    <n v="30.07"/>
    <n v="0"/>
    <n v="221423"/>
    <n v="235261.9375"/>
    <n v="251730.27312500001"/>
    <n v="269351.39224374999"/>
    <x v="1"/>
    <x v="8"/>
  </r>
  <r>
    <s v="45052210700EQMRCZZHO"/>
    <m/>
    <s v="EXEC MAYOR: BASIC SALARY"/>
    <n v="664269"/>
    <n v="65927.72"/>
    <n v="0"/>
    <n v="401539.33"/>
    <n v="933503.67"/>
    <n v="30.07"/>
    <n v="0"/>
    <n v="664269"/>
    <n v="705785.8125"/>
    <n v="755190.81937499996"/>
    <n v="808054.17673125002"/>
    <x v="1"/>
    <x v="8"/>
  </r>
  <r>
    <s v="45052210720EQMRCZZHO"/>
    <m/>
    <s v="EXEC MAYOR: CELL PHONE ALLOWANCE"/>
    <n v="47508"/>
    <n v="65927.72"/>
    <n v="0"/>
    <n v="401539.33"/>
    <n v="933503.67"/>
    <n v="30.07"/>
    <n v="0"/>
    <n v="47508"/>
    <n v="50477.25"/>
    <n v="54010.657500000001"/>
    <n v="57791.403525000002"/>
    <x v="1"/>
    <x v="8"/>
  </r>
  <r>
    <s v="45052211550EQMRCZZHO"/>
    <m/>
    <s v="OTH COUNCIL: TRAVELLING ALLOWANCE"/>
    <n v="0"/>
    <n v="65927.72"/>
    <n v="0"/>
    <n v="401539.33"/>
    <n v="933503.67"/>
    <n v="30.07"/>
    <n v="0"/>
    <n v="0"/>
    <n v="0"/>
    <n v="0"/>
    <m/>
    <x v="1"/>
    <x v="8"/>
  </r>
  <r>
    <s v="45052211600EQMRCZZHO"/>
    <m/>
    <s v="OTH COUNCIL: BASIC SALARY"/>
    <n v="0"/>
    <n v="65927.72"/>
    <n v="0"/>
    <n v="401539.33"/>
    <n v="933503.67"/>
    <n v="30.07"/>
    <n v="0"/>
    <n v="0"/>
    <n v="0"/>
    <n v="0"/>
    <m/>
    <x v="1"/>
    <x v="8"/>
  </r>
  <r>
    <s v="45052211620EQMRCZZHO"/>
    <m/>
    <s v="OTH COUNCIL: CELL PHONE ALLOWANCE"/>
    <n v="0"/>
    <n v="65927.72"/>
    <n v="0"/>
    <n v="401539.33"/>
    <n v="933503.67"/>
    <n v="30.07"/>
    <n v="0"/>
    <n v="0"/>
    <n v="0"/>
    <n v="0"/>
    <m/>
    <x v="1"/>
    <x v="8"/>
  </r>
  <r>
    <s v="45052260600ORP67ZZHO"/>
    <m/>
    <s v="OS: CATERING SERVICES"/>
    <n v="49290"/>
    <n v="65927.72"/>
    <n v="0"/>
    <n v="401539.33"/>
    <n v="933503.67"/>
    <n v="30.07"/>
    <n v="0"/>
    <n v="49290"/>
    <n v="51508.05"/>
    <n v="53877.420300000005"/>
    <n v="56355.781633800005"/>
    <x v="1"/>
    <x v="2"/>
  </r>
  <r>
    <s v="45052260600ORS73ZZWM"/>
    <m/>
    <s v="OS: CATERING SERVICES"/>
    <n v="129198"/>
    <n v="65927.72"/>
    <n v="0"/>
    <n v="401539.33"/>
    <n v="933503.67"/>
    <n v="30.07"/>
    <n v="-45000"/>
    <n v="84198"/>
    <n v="87986.91"/>
    <n v="92034.307860000001"/>
    <n v="96267.88602156"/>
    <x v="1"/>
    <x v="2"/>
  </r>
  <r>
    <s v="45052260600ORS74ZZWM"/>
    <m/>
    <s v="OS: CATERING SERVICES"/>
    <n v="142582"/>
    <n v="65927.72"/>
    <n v="0"/>
    <n v="401539.33"/>
    <n v="933503.67"/>
    <n v="30.07"/>
    <n v="150000"/>
    <n v="292582"/>
    <n v="305748.19"/>
    <n v="319812.60674000002"/>
    <n v="334523.98665004002"/>
    <x v="1"/>
    <x v="2"/>
  </r>
  <r>
    <s v="45052260600ORS75ZZWM"/>
    <m/>
    <s v="OS: CATERING SERVICES"/>
    <n v="149582"/>
    <n v="65927.72"/>
    <n v="0"/>
    <n v="401539.33"/>
    <n v="933503.67"/>
    <n v="30.07"/>
    <n v="20000"/>
    <n v="169582"/>
    <n v="177213.19"/>
    <n v="185364.99674"/>
    <n v="193891.78659003999"/>
    <x v="1"/>
    <x v="2"/>
  </r>
  <r>
    <s v="45052260600ORS79ZZWM"/>
    <m/>
    <s v="OS: CATERING SERVICES"/>
    <n v="200689"/>
    <n v="65927.72"/>
    <n v="0"/>
    <n v="401539.33"/>
    <n v="933503.67"/>
    <n v="30.07"/>
    <n v="30000"/>
    <n v="230689"/>
    <n v="241070.005"/>
    <n v="252159.22523000001"/>
    <n v="263758.54959057999"/>
    <x v="1"/>
    <x v="2"/>
  </r>
  <r>
    <s v="45052260600ORS81ZZWM"/>
    <s v="Women"/>
    <s v="OS: CATERING SERVICES"/>
    <n v="100000"/>
    <n v="65927.72"/>
    <n v="0"/>
    <n v="401539.33"/>
    <n v="933503.67"/>
    <n v="30.07"/>
    <n v="-22000"/>
    <n v="78000"/>
    <n v="81510"/>
    <n v="85259.46"/>
    <n v="89181.39516"/>
    <x v="1"/>
    <x v="2"/>
  </r>
  <r>
    <s v="45052260600ORS83ZZWM"/>
    <s v="Youth"/>
    <s v="OS: CATERING SERVICES"/>
    <n v="150406"/>
    <n v="65927.72"/>
    <n v="0"/>
    <n v="401539.33"/>
    <n v="933503.67"/>
    <n v="30.07"/>
    <n v="-7256"/>
    <n v="143150"/>
    <n v="149591.75"/>
    <n v="156472.9705"/>
    <n v="163670.727143"/>
    <x v="1"/>
    <x v="2"/>
  </r>
  <r>
    <s v="45052300120ORP24ZZHO"/>
    <m/>
    <s v="OC: ADV/PUB/MARK - CORP &amp; MUN ACTIVITIES"/>
    <n v="68920"/>
    <n v="65927.72"/>
    <n v="0"/>
    <n v="401539.33"/>
    <n v="933503.67"/>
    <n v="30.07"/>
    <n v="0"/>
    <n v="68920"/>
    <n v="72021.399999999994"/>
    <n v="75334.384399999995"/>
    <n v="78799.76608239999"/>
    <x v="1"/>
    <x v="3"/>
  </r>
  <r>
    <s v="45052301600ORMRCZZHO"/>
    <m/>
    <s v="OC: ENTERTAINMENT - EXEC MAYOR"/>
    <n v="2000"/>
    <n v="65927.72"/>
    <n v="0"/>
    <n v="401539.33"/>
    <n v="933503.67"/>
    <n v="30.07"/>
    <n v="0"/>
    <n v="2000"/>
    <n v="2090"/>
    <n v="2186.14"/>
    <n v="2286.70244"/>
    <x v="1"/>
    <x v="3"/>
  </r>
  <r>
    <s v="45052304530ORP75ZZHO"/>
    <m/>
    <s v="OC: PARKING FEES"/>
    <n v="97801"/>
    <n v="65927.72"/>
    <n v="0"/>
    <n v="401539.33"/>
    <n v="933503.67"/>
    <n v="30.07"/>
    <n v="-97801"/>
    <n v="0"/>
    <n v="0"/>
    <n v="0"/>
    <n v="0"/>
    <x v="1"/>
    <x v="3"/>
  </r>
  <r>
    <s v="45052305410EQMRCZZHO"/>
    <m/>
    <s v="OC: SKILLS DEVELOPMENT FUND LEVY"/>
    <n v="60606"/>
    <n v="65927.72"/>
    <n v="0"/>
    <n v="401539.33"/>
    <n v="933503.67"/>
    <n v="30.07"/>
    <n v="-4000"/>
    <n v="56606"/>
    <n v="59153.27"/>
    <n v="61874.320419999996"/>
    <n v="64720.539159319997"/>
    <x v="1"/>
    <x v="3"/>
  </r>
  <r>
    <s v="45052305760EQMRCZZHO"/>
    <m/>
    <s v="OC: T&amp;S DOM - ACCOMMODATION"/>
    <n v="175152"/>
    <n v="65927.72"/>
    <n v="0"/>
    <n v="401539.33"/>
    <n v="933503.67"/>
    <n v="30.07"/>
    <n v="-80000"/>
    <n v="95152"/>
    <n v="99433.84"/>
    <n v="104007.79664"/>
    <n v="108792.15528544001"/>
    <x v="1"/>
    <x v="3"/>
  </r>
  <r>
    <s v="45052305760PRMRCZZHO"/>
    <m/>
    <s v="OC: T&amp;S DOM - ACCOMMODATION"/>
    <n v="100000"/>
    <n v="65927.72"/>
    <n v="0"/>
    <n v="401539.33"/>
    <n v="933503.67"/>
    <n v="30.07"/>
    <n v="50000"/>
    <n v="150000"/>
    <n v="156750"/>
    <n v="163960.5"/>
    <n v="171502.68299999999"/>
    <x v="1"/>
    <x v="3"/>
  </r>
  <r>
    <s v="45052305800ORMRCZZHO"/>
    <m/>
    <s v="OC: T&amp;S DOM TRP - WITHOUT OPR CAR RENTAL"/>
    <n v="76320"/>
    <n v="65927.72"/>
    <n v="0"/>
    <n v="401539.33"/>
    <n v="933503.67"/>
    <n v="30.07"/>
    <n v="-20000"/>
    <n v="56320"/>
    <n v="58854.400000000001"/>
    <n v="61561.702400000002"/>
    <n v="64393.540710400004"/>
    <x v="1"/>
    <x v="3"/>
  </r>
  <r>
    <s v="45072211550EQMRCZZHO"/>
    <m/>
    <s v="OTH COUNCIL: TRAVELLING ALLOWANCE"/>
    <n v="269777"/>
    <n v="65927.72"/>
    <n v="0"/>
    <n v="401539.33"/>
    <n v="933503.67"/>
    <n v="30.07"/>
    <n v="0"/>
    <n v="269777"/>
    <n v="286638.0625"/>
    <n v="306702.72687499999"/>
    <n v="328171.91775625001"/>
    <x v="1"/>
    <x v="8"/>
  </r>
  <r>
    <s v="45072211600EQMRCZZHO"/>
    <m/>
    <s v="OTH COUNCIL: BASIC SALARY"/>
    <n v="809332"/>
    <n v="65927.72"/>
    <n v="0"/>
    <n v="401539.33"/>
    <n v="933503.67"/>
    <n v="30.07"/>
    <n v="0"/>
    <n v="809332"/>
    <n v="859915.25"/>
    <n v="920109.3175"/>
    <n v="984516.96972499997"/>
    <x v="1"/>
    <x v="8"/>
  </r>
  <r>
    <s v="45072211620EQMRCZZHO"/>
    <m/>
    <s v="OTH COUNCIL: CELL PHONE ALLOWANCE"/>
    <n v="136308"/>
    <n v="65927.72"/>
    <n v="0"/>
    <n v="401539.33"/>
    <n v="933503.67"/>
    <n v="30.07"/>
    <n v="0"/>
    <n v="136308"/>
    <n v="144827.25"/>
    <n v="154965.1575"/>
    <n v="165812.718525"/>
    <x v="1"/>
    <x v="8"/>
  </r>
  <r>
    <s v="45072305760EQMRCZZHO"/>
    <m/>
    <s v="OC: T&amp;S DOM - ACCOMMODATION"/>
    <n v="50000"/>
    <n v="65927.72"/>
    <n v="0"/>
    <n v="401539.33"/>
    <n v="933503.67"/>
    <n v="30.07"/>
    <n v="-25000"/>
    <n v="25000"/>
    <n v="26125"/>
    <n v="27326.75"/>
    <n v="28583.780500000001"/>
    <x v="1"/>
    <x v="3"/>
  </r>
  <r>
    <s v="45102110010EQMRCZZHO"/>
    <m/>
    <s v="MS: SAL &amp; ALL: BASIC SALARY &amp; WAGES"/>
    <n v="200866"/>
    <n v="65927.72"/>
    <n v="0"/>
    <n v="401539.33"/>
    <n v="933503.67"/>
    <n v="30.07"/>
    <n v="0"/>
    <n v="200866"/>
    <n v="213420.125"/>
    <n v="228359.53375"/>
    <n v="244344.70111250001"/>
    <x v="1"/>
    <x v="1"/>
  </r>
  <r>
    <s v="45102110100EQMRCZZHO"/>
    <m/>
    <s v="MS: SAL &amp; ALL: PERFORMANCE BASED BONUSES"/>
    <n v="10043"/>
    <n v="65927.72"/>
    <n v="0"/>
    <n v="401539.33"/>
    <n v="933503.67"/>
    <n v="30.07"/>
    <n v="-1575.9100000000017"/>
    <n v="8467.0899999999983"/>
    <n v="8996.2831249999981"/>
    <n v="9626.0229437499984"/>
    <n v="10299.844549812498"/>
    <x v="1"/>
    <x v="1"/>
  </r>
  <r>
    <s v="45102110320EQMRCZZHO"/>
    <m/>
    <s v="MS: ALL - LEAVE PAY"/>
    <n v="6666"/>
    <n v="65927.72"/>
    <n v="0"/>
    <n v="401539.33"/>
    <n v="933503.67"/>
    <n v="30.07"/>
    <n v="0"/>
    <n v="6666"/>
    <n v="7082.625"/>
    <n v="7578.4087499999996"/>
    <n v="8108.8973624999999"/>
    <x v="1"/>
    <x v="1"/>
  </r>
  <r>
    <s v="45102110360EQMRCZZHO"/>
    <m/>
    <s v="MS: OVERTIME - NON STRUCTURED"/>
    <n v="23939"/>
    <n v="65927.72"/>
    <n v="0"/>
    <n v="401539.33"/>
    <n v="933503.67"/>
    <n v="30.07"/>
    <n v="0"/>
    <n v="23939"/>
    <n v="25435.1875"/>
    <n v="27215.650624999998"/>
    <n v="29120.746168749996"/>
    <x v="1"/>
    <x v="1"/>
  </r>
  <r>
    <s v="45102110460EQMRCZZHO"/>
    <m/>
    <s v="MS: SRB - ANNUAL BONUS"/>
    <n v="16739"/>
    <n v="65927.72"/>
    <n v="0"/>
    <n v="401539.33"/>
    <n v="933503.67"/>
    <n v="30.07"/>
    <n v="0"/>
    <n v="16739"/>
    <n v="17785.1875"/>
    <n v="19030.150624999998"/>
    <n v="20362.261168749999"/>
    <x v="1"/>
    <x v="1"/>
  </r>
  <r>
    <s v="45102110630EQMRCZZHO"/>
    <m/>
    <s v="MS: SRB - NON PENSIONABLE"/>
    <n v="0"/>
    <n v="65927.72"/>
    <n v="0"/>
    <n v="401539.33"/>
    <n v="933503.67"/>
    <n v="30.07"/>
    <n v="12363.6"/>
    <n v="12363.6"/>
    <n v="13136.325000000001"/>
    <n v="14055.867750000001"/>
    <n v="15039.778492500001"/>
    <x v="1"/>
    <x v="1"/>
  </r>
  <r>
    <s v="45102130010EQMRCZZHO"/>
    <m/>
    <s v="MS: SOC CONTR - BARGAINING COUNCIL"/>
    <n v="112"/>
    <n v="65927.72"/>
    <n v="0"/>
    <n v="401539.33"/>
    <n v="933503.67"/>
    <n v="30.07"/>
    <n v="0"/>
    <n v="112"/>
    <n v="119"/>
    <n v="127.33"/>
    <n v="136.2431"/>
    <x v="1"/>
    <x v="1"/>
  </r>
  <r>
    <s v="45102130200EQMRCZZHO"/>
    <m/>
    <s v="MS: SOC CONTR - MEDICAL"/>
    <n v="0"/>
    <n v="65927.72"/>
    <n v="0"/>
    <n v="401539.33"/>
    <n v="933503.67"/>
    <n v="30.07"/>
    <n v="0"/>
    <n v="0"/>
    <n v="0"/>
    <n v="0"/>
    <n v="0"/>
    <x v="1"/>
    <x v="1"/>
  </r>
  <r>
    <s v="45102130300EQMRCZZHO"/>
    <m/>
    <s v="MS: SOC CONTR - PENSION"/>
    <n v="44190"/>
    <n v="65927.72"/>
    <n v="0"/>
    <n v="401539.33"/>
    <n v="933503.67"/>
    <n v="30.07"/>
    <n v="0"/>
    <n v="44190"/>
    <n v="46951.875"/>
    <n v="50238.506249999999"/>
    <n v="53755.201687499997"/>
    <x v="1"/>
    <x v="1"/>
  </r>
  <r>
    <s v="45102130400EQMRCZZHO"/>
    <m/>
    <s v="MS: SOC CONTR - UNEMPLOYMENT INSUR FUND"/>
    <n v="1785"/>
    <n v="65927.72"/>
    <n v="0"/>
    <n v="401539.33"/>
    <n v="933503.67"/>
    <n v="30.07"/>
    <n v="0"/>
    <n v="1785"/>
    <n v="1896.5625"/>
    <n v="2029.3218750000001"/>
    <n v="2171.37440625"/>
    <x v="1"/>
    <x v="1"/>
  </r>
  <r>
    <s v="45102210050EQMRCZZHO"/>
    <m/>
    <s v="SPEAKER: TRAVELLING ALLOWANCE"/>
    <n v="177139"/>
    <n v="65927.72"/>
    <n v="0"/>
    <n v="401539.33"/>
    <n v="933503.67"/>
    <n v="30.07"/>
    <n v="0"/>
    <n v="177139"/>
    <n v="188210.1875"/>
    <n v="201384.90062500001"/>
    <n v="215481.84366875002"/>
    <x v="1"/>
    <x v="8"/>
  </r>
  <r>
    <s v="45102210100EQMRCZZHO"/>
    <m/>
    <s v="SPEAKER: BASIC SALARY"/>
    <n v="531416"/>
    <n v="65927.72"/>
    <n v="0"/>
    <n v="401539.33"/>
    <n v="933503.67"/>
    <n v="30.07"/>
    <n v="0"/>
    <n v="531416"/>
    <n v="564629.5"/>
    <n v="604153.56499999994"/>
    <n v="646444.31454999989"/>
    <x v="1"/>
    <x v="8"/>
  </r>
  <r>
    <s v="45102210120EQMRCZZHO"/>
    <m/>
    <s v="SPEAKER: CELL PHONE ALLOWANCE"/>
    <n v="47508"/>
    <n v="65927.72"/>
    <n v="0"/>
    <n v="401539.33"/>
    <n v="933503.67"/>
    <n v="30.07"/>
    <n v="0"/>
    <n v="47508"/>
    <n v="50477.25"/>
    <n v="54010.657500000001"/>
    <n v="57791.403525000002"/>
    <x v="1"/>
    <x v="8"/>
  </r>
  <r>
    <s v="45102211550EQMRCZZHO"/>
    <m/>
    <s v="OTH COUNCIL: TRAVELLING ALLOWANCE"/>
    <n v="0"/>
    <n v="65927.72"/>
    <n v="0"/>
    <n v="401539.33"/>
    <n v="933503.67"/>
    <n v="30.07"/>
    <n v="0"/>
    <n v="0"/>
    <n v="0"/>
    <n v="0"/>
    <m/>
    <x v="1"/>
    <x v="8"/>
  </r>
  <r>
    <s v="45102211600EQMRCZZHO"/>
    <m/>
    <s v="OTH COUNCIL: BASIC SALARY"/>
    <n v="0"/>
    <n v="65927.72"/>
    <n v="0"/>
    <n v="401539.33"/>
    <n v="933503.67"/>
    <n v="30.07"/>
    <n v="0"/>
    <n v="0"/>
    <n v="0"/>
    <n v="0"/>
    <m/>
    <x v="1"/>
    <x v="8"/>
  </r>
  <r>
    <s v="45102211620EQMRCZZHO"/>
    <m/>
    <s v="OTH COUNCIL: CELL PHONE ALLOWANCE"/>
    <n v="0"/>
    <n v="65927.72"/>
    <n v="0"/>
    <n v="401539.33"/>
    <n v="933503.67"/>
    <n v="30.07"/>
    <n v="0"/>
    <n v="0"/>
    <n v="0"/>
    <n v="0"/>
    <m/>
    <x v="1"/>
    <x v="8"/>
  </r>
  <r>
    <s v="45102301600ORMRCZZHO"/>
    <m/>
    <s v="OC: ENTERTAINMENT - EXEC MAYOR"/>
    <n v="2000"/>
    <n v="65927.72"/>
    <n v="0"/>
    <n v="401539.33"/>
    <n v="933503.67"/>
    <n v="30.07"/>
    <n v="0"/>
    <n v="2000"/>
    <n v="2000"/>
    <n v="2000"/>
    <n v="2000"/>
    <x v="1"/>
    <x v="3"/>
  </r>
  <r>
    <s v="45102305410EQMRCZZHO"/>
    <m/>
    <s v="OC: SKILLS DEVELOPMENT FUND LEVY"/>
    <n v="0"/>
    <n v="65927.72"/>
    <n v="0"/>
    <n v="401539.33"/>
    <n v="933503.67"/>
    <n v="30.07"/>
    <n v="8000"/>
    <n v="8000"/>
    <n v="8360"/>
    <n v="8744.56"/>
    <n v="9146.8097600000001"/>
    <x v="1"/>
    <x v="3"/>
  </r>
  <r>
    <s v="45102305760EQMRCZZHO"/>
    <m/>
    <s v="OC: T&amp;S DOM - ACCOMMODATION"/>
    <n v="85032"/>
    <n v="65927.72"/>
    <n v="0"/>
    <n v="401539.33"/>
    <n v="933503.67"/>
    <n v="30.07"/>
    <n v="0"/>
    <n v="85032"/>
    <n v="88858.44"/>
    <n v="92945.928240000008"/>
    <n v="97221.440939040011"/>
    <x v="1"/>
    <x v="3"/>
  </r>
  <r>
    <s v="45102305800EQMRCZZHO"/>
    <m/>
    <s v="OC: T&amp;S DOM TRP - WITHOUT OPR CAR RENTAL"/>
    <n v="30000"/>
    <n v="65927.72"/>
    <n v="0"/>
    <n v="401539.33"/>
    <n v="933503.67"/>
    <n v="30.07"/>
    <n v="-15000"/>
    <n v="15000"/>
    <n v="15675"/>
    <n v="16396.05"/>
    <n v="17150.2683"/>
    <x v="1"/>
    <x v="3"/>
  </r>
  <r>
    <s v="45152110630EQMRCZZHO"/>
    <m/>
    <s v="MS: SRB - NON PENSIONABLE"/>
    <n v="0"/>
    <n v="65927.72"/>
    <n v="0"/>
    <n v="401539.33"/>
    <n v="933503.67"/>
    <n v="30.07"/>
    <n v="15000"/>
    <n v="15000"/>
    <n v="15937.5"/>
    <n v="17053.125"/>
    <n v="18246.84375"/>
    <x v="1"/>
    <x v="1"/>
  </r>
  <r>
    <s v="45152210350EQMRCZZHO"/>
    <m/>
    <s v="WHIP: TRAVELLING ALLOWANCE"/>
    <n v="166067"/>
    <n v="65927.72"/>
    <n v="0"/>
    <n v="401539.33"/>
    <n v="933503.67"/>
    <n v="30.07"/>
    <n v="0"/>
    <n v="166067"/>
    <n v="176446.1875"/>
    <n v="188797.420625"/>
    <n v="202013.24006874999"/>
    <x v="1"/>
    <x v="8"/>
  </r>
  <r>
    <s v="45152210400EQMRCZZHO"/>
    <m/>
    <s v="WHIP: BASIC SALARY"/>
    <n v="498202"/>
    <n v="65927.72"/>
    <n v="0"/>
    <n v="401539.33"/>
    <n v="933503.67"/>
    <n v="30.07"/>
    <n v="0"/>
    <n v="498202"/>
    <n v="529339.625"/>
    <n v="566393.39875000005"/>
    <n v="606040.93666250003"/>
    <x v="1"/>
    <x v="8"/>
  </r>
  <r>
    <s v="45152210420EQMRCZZHO"/>
    <m/>
    <s v="WHIP: CELL PHONE ALLOWANCE"/>
    <n v="47508"/>
    <n v="65927.72"/>
    <n v="0"/>
    <n v="401539.33"/>
    <n v="933503.67"/>
    <n v="30.07"/>
    <n v="0"/>
    <n v="47508"/>
    <n v="50477.25"/>
    <n v="54010.657500000001"/>
    <n v="57791.403525000002"/>
    <x v="1"/>
    <x v="8"/>
  </r>
  <r>
    <s v="45152211550EQMRCZZHO"/>
    <m/>
    <s v="OTH COUNCIL: TRAVELLING ALLOWANCE"/>
    <n v="0"/>
    <n v="65927.72"/>
    <n v="0"/>
    <n v="401539.33"/>
    <n v="933503.67"/>
    <n v="30.07"/>
    <n v="0"/>
    <n v="0"/>
    <n v="0"/>
    <n v="0"/>
    <m/>
    <x v="1"/>
    <x v="8"/>
  </r>
  <r>
    <s v="45152211600EQMRCZZHO"/>
    <m/>
    <s v="OTH COUNCIL: BASIC SALARY"/>
    <n v="0"/>
    <n v="65927.72"/>
    <n v="0"/>
    <n v="401539.33"/>
    <n v="933503.67"/>
    <n v="30.07"/>
    <n v="0"/>
    <n v="0"/>
    <n v="0"/>
    <n v="0"/>
    <m/>
    <x v="1"/>
    <x v="8"/>
  </r>
  <r>
    <s v="45152211620EQMRCZZHO"/>
    <m/>
    <s v="OTH COUNCIL: CELL PHONE ALLOWANCE"/>
    <n v="0"/>
    <n v="65927.72"/>
    <n v="0"/>
    <n v="401539.33"/>
    <n v="933503.67"/>
    <n v="30.07"/>
    <n v="0"/>
    <n v="0"/>
    <n v="0"/>
    <n v="0"/>
    <m/>
    <x v="1"/>
    <x v="8"/>
  </r>
  <r>
    <s v="45152301600ORMRCZZHO"/>
    <m/>
    <s v="OC: ENTERTAINMENT - EXEC MAYOR"/>
    <n v="2000"/>
    <n v="65927.72"/>
    <n v="0"/>
    <n v="401539.33"/>
    <n v="933503.67"/>
    <n v="30.07"/>
    <n v="0"/>
    <n v="2000"/>
    <n v="2000"/>
    <n v="2000"/>
    <n v="2000"/>
    <x v="1"/>
    <x v="3"/>
  </r>
  <r>
    <s v="45152305410EQMRCZZHO"/>
    <m/>
    <s v="OC: SKILLS DEVELOPMENT FUND LEVY"/>
    <n v="0"/>
    <n v="65927.72"/>
    <n v="0"/>
    <n v="401539.33"/>
    <n v="933503.67"/>
    <n v="30.07"/>
    <n v="0"/>
    <n v="0"/>
    <n v="0"/>
    <n v="0"/>
    <m/>
    <x v="1"/>
    <x v="3"/>
  </r>
  <r>
    <s v="45152305760EQMRCZZHO"/>
    <m/>
    <s v="OC: T&amp;S DOM - ACCOMMODATION"/>
    <n v="85032"/>
    <n v="65927.72"/>
    <n v="0"/>
    <n v="401539.33"/>
    <n v="933503.67"/>
    <n v="30.07"/>
    <n v="-10000"/>
    <n v="75032"/>
    <n v="78408.44"/>
    <n v="82015.228239999997"/>
    <n v="85787.928739039999"/>
    <x v="1"/>
    <x v="3"/>
  </r>
  <r>
    <s v="45152305800EQMRCZZHO"/>
    <m/>
    <s v="OC: T&amp;S DOM TRP - WITHOUT OPR CAR RENTAL"/>
    <n v="30000"/>
    <n v="65927.72"/>
    <n v="0"/>
    <n v="401539.33"/>
    <n v="933503.67"/>
    <n v="30.07"/>
    <n v="0"/>
    <n v="30000"/>
    <n v="31350"/>
    <n v="32792.1"/>
    <n v="34300.536599999999"/>
    <x v="1"/>
    <x v="3"/>
  </r>
  <r>
    <s v="45202130200EQMRCZZHO"/>
    <m/>
    <s v="MS: SOC CONTR - MEDICAL"/>
    <n v="0"/>
    <n v="65927.72"/>
    <n v="0"/>
    <n v="401539.33"/>
    <n v="933503.67"/>
    <n v="30.07"/>
    <n v="70000"/>
    <n v="70000"/>
    <n v="74375"/>
    <n v="79581.25"/>
    <n v="85151.9375"/>
    <x v="1"/>
    <x v="1"/>
  </r>
  <r>
    <s v="45202211250EQMRCZZHO"/>
    <m/>
    <s v="EXCO: TRAVELLING ALLOWANCE"/>
    <n v="683494"/>
    <n v="65927.72"/>
    <n v="0"/>
    <n v="401539.33"/>
    <n v="933503.67"/>
    <n v="30.07"/>
    <n v="0"/>
    <n v="683494"/>
    <n v="726212.375"/>
    <n v="777047.24124999996"/>
    <n v="831440.54813749995"/>
    <x v="1"/>
    <x v="8"/>
  </r>
  <r>
    <s v="45202211300EQMRCZZHO"/>
    <m/>
    <s v="EXCO: BASIC SALARY"/>
    <n v="2050481"/>
    <n v="65927.72"/>
    <n v="0"/>
    <n v="401539.33"/>
    <n v="933503.67"/>
    <n v="30.07"/>
    <n v="0"/>
    <n v="2050481"/>
    <n v="2178636.0625"/>
    <n v="2331140.586875"/>
    <n v="2494320.42795625"/>
    <x v="1"/>
    <x v="8"/>
  </r>
  <r>
    <s v="45202211320EQMRCZZHO"/>
    <m/>
    <s v="EXCO: CELL PHONE ALLOWANCE"/>
    <n v="237540"/>
    <n v="65927.72"/>
    <n v="0"/>
    <n v="401539.33"/>
    <n v="933503.67"/>
    <n v="30.07"/>
    <n v="0"/>
    <n v="237540"/>
    <n v="252386.25"/>
    <n v="270053.28749999998"/>
    <n v="288957.01762499998"/>
    <x v="1"/>
    <x v="8"/>
  </r>
  <r>
    <s v="45202211550EQMRCZZHO"/>
    <m/>
    <s v="OTH COUNCIL: TRAVELLING ALLOWANCE"/>
    <n v="0"/>
    <n v="65927.72"/>
    <n v="0"/>
    <n v="401539.33"/>
    <n v="933503.67"/>
    <n v="30.07"/>
    <n v="0"/>
    <n v="0"/>
    <n v="0"/>
    <n v="0"/>
    <m/>
    <x v="1"/>
    <x v="8"/>
  </r>
  <r>
    <s v="45202211600EQMRCZZHO"/>
    <m/>
    <s v="OTH COUNCIL: BASIC SALARY"/>
    <n v="0"/>
    <n v="65927.72"/>
    <n v="0"/>
    <n v="401539.33"/>
    <n v="933503.67"/>
    <n v="30.07"/>
    <n v="0"/>
    <n v="0"/>
    <n v="0"/>
    <n v="0"/>
    <m/>
    <x v="1"/>
    <x v="8"/>
  </r>
  <r>
    <s v="45202211620EQMRCZZHO"/>
    <m/>
    <s v="OTH COUNCIL: CELL PHONE ALLOWANCE"/>
    <n v="0"/>
    <n v="65927.72"/>
    <n v="0"/>
    <n v="401539.33"/>
    <n v="933503.67"/>
    <n v="30.07"/>
    <n v="0"/>
    <n v="0"/>
    <n v="0"/>
    <n v="0"/>
    <m/>
    <x v="1"/>
    <x v="8"/>
  </r>
  <r>
    <s v="45202305410EQMRCZZHO"/>
    <m/>
    <s v="OC: SKILLS DEVELOPMENT FUND LEVY"/>
    <n v="0"/>
    <n v="65927.72"/>
    <n v="0"/>
    <n v="401539.33"/>
    <n v="933503.67"/>
    <n v="30.07"/>
    <n v="25000"/>
    <n v="25000"/>
    <n v="26125"/>
    <n v="27326.75"/>
    <n v="28583.780500000001"/>
    <x v="1"/>
    <x v="3"/>
  </r>
  <r>
    <s v="45202305760EQMRCZZHO"/>
    <m/>
    <s v="OC: T&amp;S DOM - ACCOMMODATION"/>
    <n v="85032"/>
    <n v="65927.72"/>
    <n v="0"/>
    <n v="401539.33"/>
    <n v="933503.67"/>
    <n v="30.07"/>
    <n v="150000"/>
    <n v="235032"/>
    <n v="245608.44"/>
    <n v="256906.42824000001"/>
    <n v="268724.12393904"/>
    <x v="1"/>
    <x v="3"/>
  </r>
  <r>
    <s v="45202305800EQMRCZZHO"/>
    <m/>
    <s v="OC: T&amp;S DOM TRP - WITHOUT OPR CAR RENTAL"/>
    <n v="75000"/>
    <n v="65927.72"/>
    <n v="0"/>
    <n v="401539.33"/>
    <n v="933503.67"/>
    <n v="30.07"/>
    <n v="-20000"/>
    <n v="55000"/>
    <n v="57475"/>
    <n v="60118.85"/>
    <n v="62884.3171"/>
    <x v="1"/>
    <x v="3"/>
  </r>
  <r>
    <s v="45252110010EQMRCZZHO"/>
    <m/>
    <s v="MS: SAL &amp; ALL: BASIC SALARY &amp; WAGES"/>
    <n v="0"/>
    <n v="65927.72"/>
    <n v="0"/>
    <n v="401539.33"/>
    <n v="933503.67"/>
    <n v="30.07"/>
    <n v="80000"/>
    <n v="80000"/>
    <n v="85000"/>
    <n v="90950"/>
    <n v="97316.5"/>
    <x v="1"/>
    <x v="1"/>
  </r>
  <r>
    <s v="45252130200EQMRCZZHO"/>
    <m/>
    <s v="MS: SOC CONTR - MEDICAL"/>
    <n v="0"/>
    <n v="65927.72"/>
    <n v="0"/>
    <n v="401539.33"/>
    <n v="933503.67"/>
    <n v="30.07"/>
    <n v="30000"/>
    <n v="30000"/>
    <n v="32100"/>
    <n v="34347"/>
    <n v="36751.29"/>
    <x v="1"/>
    <x v="1"/>
  </r>
  <r>
    <s v="45252211550EQMRCZZHO"/>
    <m/>
    <s v="OTH COUNCIL: TRAVELLING ALLOWANCE"/>
    <n v="1611660"/>
    <n v="65927.72"/>
    <n v="0"/>
    <n v="401539.33"/>
    <n v="933503.67"/>
    <n v="30.07"/>
    <n v="0"/>
    <n v="1611660"/>
    <n v="1712388.75"/>
    <n v="1832255.9624999999"/>
    <n v="1960513.8798749999"/>
    <x v="1"/>
    <x v="8"/>
  </r>
  <r>
    <s v="45252211600EQMRCZZHO"/>
    <m/>
    <s v="OTH COUNCIL: BASIC SALARY"/>
    <n v="4834979"/>
    <n v="65927.72"/>
    <n v="0"/>
    <n v="401539.33"/>
    <n v="933503.67"/>
    <n v="30.07"/>
    <n v="0"/>
    <n v="4834979"/>
    <n v="5137165.1875"/>
    <n v="5496766.7506250003"/>
    <n v="5881540.4231687505"/>
    <x v="1"/>
    <x v="8"/>
  </r>
  <r>
    <s v="45252211620EQMRCZZHO"/>
    <m/>
    <s v="OTH COUNCIL: CELL PHONE ALLOWANCE"/>
    <n v="1092684"/>
    <n v="65927.72"/>
    <n v="0"/>
    <n v="401539.33"/>
    <n v="933503.67"/>
    <n v="30.07"/>
    <n v="0"/>
    <n v="1092684"/>
    <n v="1160976.75"/>
    <n v="1242245.1225000001"/>
    <n v="1329202.2810750001"/>
    <x v="1"/>
    <x v="8"/>
  </r>
  <r>
    <s v="45252305410EQMRCZZHO"/>
    <m/>
    <s v="OC: SKILLS DEVELOPMENT FUND LEVY"/>
    <n v="26435"/>
    <n v="65927.72"/>
    <n v="0"/>
    <n v="401539.33"/>
    <n v="933503.67"/>
    <n v="30.07"/>
    <n v="1565"/>
    <n v="28000"/>
    <n v="29260"/>
    <n v="30605.96"/>
    <n v="32013.834159999999"/>
    <x v="1"/>
    <x v="3"/>
  </r>
  <r>
    <s v="45252305760EQMRCZZHO"/>
    <m/>
    <s v="OC: T&amp;S DOM - ACCOMMODATION"/>
    <n v="744098"/>
    <n v="65927.72"/>
    <n v="0"/>
    <n v="401539.33"/>
    <n v="933503.67"/>
    <n v="30.07"/>
    <n v="0"/>
    <n v="744098"/>
    <n v="777582.41"/>
    <n v="813351.20085999998"/>
    <n v="850765.35609955993"/>
    <x v="1"/>
    <x v="3"/>
  </r>
  <r>
    <s v="45252305800EQMRCZZHO"/>
    <m/>
    <s v="OC: T&amp;S DOM TRP - WITHOUT OPR CAR RENTAL"/>
    <n v="400000"/>
    <n v="65927.72"/>
    <n v="0"/>
    <n v="401539.33"/>
    <n v="933503.67"/>
    <n v="30.07"/>
    <n v="-300000"/>
    <n v="100000"/>
    <n v="104500"/>
    <n v="109307"/>
    <n v="114335.122"/>
    <x v="1"/>
    <x v="3"/>
  </r>
  <r>
    <s v="50051020300PRZZZZZWM"/>
    <m/>
    <s v="BUSINESS &amp; COMMERCIAL PROPERTIES"/>
    <n v="-1411279"/>
    <n v="-141346.4"/>
    <n v="0"/>
    <n v="-848078.4"/>
    <n v="-563200.6"/>
    <n v="60.09"/>
    <n v="0"/>
    <n v="-1696156"/>
    <n v="-1772483.02"/>
    <n v="-1854017.2389199999"/>
    <n v="-1939302.0319103198"/>
    <x v="0"/>
    <x v="0"/>
  </r>
  <r>
    <s v="50051021500PRZZZZZWM"/>
    <m/>
    <s v="FARM PROPERTIES: AGRICULTURAL PURPOSES"/>
    <n v="0"/>
    <n v="-141346.4"/>
    <n v="0"/>
    <n v="-848078.4"/>
    <n v="-563200.6"/>
    <n v="60.09"/>
    <n v="-5496279"/>
    <n v="-5496279"/>
    <n v="-5743611.5549999997"/>
    <n v="-6007817.6865299996"/>
    <n v="-6284177.3001103792"/>
    <x v="0"/>
    <x v="0"/>
  </r>
  <r>
    <s v="50051023610PRZZZZZWM"/>
    <m/>
    <s v="MUNICIPAL PROPERTIES"/>
    <n v="-7880"/>
    <n v="-141346.4"/>
    <n v="0"/>
    <n v="-848078.4"/>
    <n v="-563200.6"/>
    <n v="60.09"/>
    <n v="7880"/>
    <n v="0"/>
    <n v="0"/>
    <n v="0"/>
    <n v="0"/>
    <x v="0"/>
    <x v="0"/>
  </r>
  <r>
    <s v="50051024530PRZZZZZWM"/>
    <m/>
    <s v="PUBLIC SERVICE INFRASTRUCTURE"/>
    <n v="-22835"/>
    <n v="-141346.4"/>
    <n v="0"/>
    <n v="-848078.4"/>
    <n v="-563200.6"/>
    <n v="60.09"/>
    <n v="16813"/>
    <n v="-6022"/>
    <n v="-6292.99"/>
    <n v="-6582.4675399999996"/>
    <n v="-6885.2610468399998"/>
    <x v="0"/>
    <x v="0"/>
  </r>
  <r>
    <s v="50051025100PRRB6ZZWM"/>
    <m/>
    <s v="RESIDENTIAL PROPERTIES:  DEVELOPED"/>
    <n v="-1954883"/>
    <n v="-141346.4"/>
    <n v="0"/>
    <n v="-848078.4"/>
    <n v="-563200.6"/>
    <n v="60.09"/>
    <n v="3679005"/>
    <n v="1724122"/>
    <n v="1801707.49"/>
    <n v="1884586.0345399999"/>
    <n v="1971276.9921288399"/>
    <x v="0"/>
    <x v="0"/>
  </r>
  <r>
    <s v="50051025100PRZZZZZWM"/>
    <m/>
    <s v="RESIDENTIAL PROPERTIES:  DEVELOPED"/>
    <n v="-214619"/>
    <n v="-141346.4"/>
    <n v="0"/>
    <n v="-848078.4"/>
    <n v="-563200.6"/>
    <n v="60.09"/>
    <n v="-3370188"/>
    <n v="-3584807"/>
    <n v="-3746123.3149999999"/>
    <n v="-3918444.9874899997"/>
    <n v="-4098693.4569145399"/>
    <x v="0"/>
    <x v="0"/>
  </r>
  <r>
    <s v="50051025110PRZZZZZWM"/>
    <m/>
    <s v="RESIDENTIAL PROPERTIES: VACANT LAND"/>
    <n v="-1327315"/>
    <n v="-141346.4"/>
    <n v="0"/>
    <n v="-848078.4"/>
    <n v="-563200.6"/>
    <n v="60.09"/>
    <n v="1270595"/>
    <n v="-56720"/>
    <n v="-59272.4"/>
    <n v="-61998.930399999997"/>
    <n v="-64850.881198399999"/>
    <x v="0"/>
    <x v="0"/>
  </r>
  <r>
    <s v="50051025400PRRB1ZZWM"/>
    <m/>
    <s v="SMALL HOLDINGS: AGRICULTURAL PURPOSES"/>
    <n v="-10352372"/>
    <n v="-141346.4"/>
    <n v="0"/>
    <n v="-848078.4"/>
    <n v="-563200.6"/>
    <n v="60.09"/>
    <n v="10352372"/>
    <n v="0"/>
    <n v="0"/>
    <n v="0"/>
    <n v="0"/>
    <x v="0"/>
    <x v="0"/>
  </r>
  <r>
    <s v="50051025460PRZZZZZWM"/>
    <m/>
    <s v="STATE-OWNED PROPERTIES"/>
    <n v="0"/>
    <n v="-141346.4"/>
    <n v="0"/>
    <n v="-848078.4"/>
    <n v="-563200.6"/>
    <n v="60.09"/>
    <n v="-10742205"/>
    <n v="-10742205"/>
    <n v="-11225604.225"/>
    <n v="-11741982.01935"/>
    <n v="-12282113.1922401"/>
    <x v="0"/>
    <x v="0"/>
  </r>
  <r>
    <s v="50051025480PRRB1ZZWM"/>
    <m/>
    <s v="AGRICULTURAL PROPERTY"/>
    <n v="0"/>
    <n v="-141346.4"/>
    <n v="0"/>
    <n v="-848078.4"/>
    <n v="-563200.6"/>
    <n v="60.09"/>
    <n v="0"/>
    <n v="0"/>
    <n v="0"/>
    <n v="0"/>
    <m/>
    <x v="0"/>
    <x v="0"/>
  </r>
  <r>
    <s v="50051041010F5ZZZZZHO"/>
    <m/>
    <s v="FORFEITS: RETENTIONS"/>
    <n v="-3520000"/>
    <n v="0"/>
    <n v="0"/>
    <n v="0"/>
    <n v="-3520000"/>
    <n v="0"/>
    <n v="0"/>
    <n v="-3520000"/>
    <n v="-3000000"/>
    <n v="0"/>
    <n v="0"/>
    <x v="0"/>
    <x v="0"/>
  </r>
  <r>
    <s v="50051178950FMZZZZZHO"/>
    <m/>
    <s v="TS_O_M_NG_LOCAL GOV FIN MNG GRANT"/>
    <n v="-2403000"/>
    <n v="-252538"/>
    <n v="0"/>
    <n v="-1159420.99"/>
    <n v="-1243579.01"/>
    <n v="48.24"/>
    <n v="0"/>
    <n v="-2403000"/>
    <n v="-2400000"/>
    <n v="-2400000"/>
    <n v="-2400000"/>
    <x v="0"/>
    <x v="0"/>
  </r>
  <r>
    <s v="50051179100EQZZZZZHO"/>
    <m/>
    <s v="TS_O_M_NRF_EQUITABLE SHARE"/>
    <n v="-142578000"/>
    <n v="-47017000"/>
    <n v="0"/>
    <n v="-106425000"/>
    <n v="-36153000"/>
    <n v="74.64"/>
    <n v="0"/>
    <n v="-142578000"/>
    <n v="-150787000"/>
    <n v="-159829000"/>
    <n v="-167051000"/>
    <x v="0"/>
    <x v="0"/>
  </r>
  <r>
    <s v="50051351200IDZZZZZWM"/>
    <m/>
    <s v="INT DIV &amp; RENT LAND -INT: REC-PROP RATES"/>
    <n v="-346932"/>
    <n v="-40547.550000000003"/>
    <n v="0"/>
    <n v="-228665.99"/>
    <n v="-118266.01"/>
    <n v="65.91"/>
    <n v="0"/>
    <n v="-457332"/>
    <n v="-479741.26799999998"/>
    <n v="-502768.848864"/>
    <n v="-526901.75360947195"/>
    <x v="0"/>
    <x v="0"/>
  </r>
  <r>
    <s v="50051380600ORZZZZZWM"/>
    <m/>
    <s v="COLLECTION CHARGES"/>
    <n v="-669425"/>
    <n v="-141346.4"/>
    <n v="0"/>
    <n v="-848078.4"/>
    <n v="-563200.6"/>
    <n v="60.09"/>
    <n v="669425"/>
    <n v="0"/>
    <n v="0"/>
    <n v="0"/>
    <n v="0"/>
    <x v="0"/>
    <x v="0"/>
  </r>
  <r>
    <s v="50052030450EQMRCZZHO"/>
    <m/>
    <s v="SM CFO: SAL &amp; ALL -  BASIC SALARY"/>
    <n v="601072"/>
    <n v="-141346.4"/>
    <n v="0"/>
    <n v="-848078.4"/>
    <n v="-563200.6"/>
    <n v="60.09"/>
    <n v="0"/>
    <n v="601072"/>
    <n v="638639"/>
    <n v="683343.73"/>
    <n v="731177.79110000003"/>
    <x v="1"/>
    <x v="1"/>
  </r>
  <r>
    <s v="50052030460EQMRCZZHO"/>
    <m/>
    <s v="SM CFO: SAL &amp; ALL -  PERFORM BASED BONUS"/>
    <n v="30054"/>
    <n v="-141346.4"/>
    <n v="0"/>
    <n v="-848078.4"/>
    <n v="-563200.6"/>
    <n v="60.09"/>
    <n v="0"/>
    <n v="30054"/>
    <n v="31932.375"/>
    <n v="34167.641250000001"/>
    <n v="36559.376137500003"/>
    <x v="1"/>
    <x v="1"/>
  </r>
  <r>
    <s v="50052030470EQMRCZZHO"/>
    <m/>
    <s v="SM CFO: ALLOW - CELLULAR &amp; TELEPHONE"/>
    <n v="40000"/>
    <n v="-141346.4"/>
    <n v="0"/>
    <n v="-848078.4"/>
    <n v="-563200.6"/>
    <n v="60.09"/>
    <n v="0"/>
    <n v="40000"/>
    <n v="42500"/>
    <n v="45475"/>
    <n v="48658.25"/>
    <x v="1"/>
    <x v="1"/>
  </r>
  <r>
    <s v="50052030500EQMRCZZHO"/>
    <m/>
    <s v="SM CFO: ALLOW - ACCOM TRAVEL &amp; INCIDENT."/>
    <n v="205628"/>
    <n v="-141346.4"/>
    <n v="0"/>
    <n v="-848078.4"/>
    <n v="-563200.6"/>
    <n v="60.09"/>
    <n v="0"/>
    <n v="205628"/>
    <n v="218479.75"/>
    <n v="233773.33249999999"/>
    <n v="250137.46577499999"/>
    <x v="1"/>
    <x v="1"/>
  </r>
  <r>
    <s v="50052030510EQMRCZZHO"/>
    <m/>
    <s v="SM CFO: ALLOW - NON PENSIONABLE"/>
    <n v="17000"/>
    <n v="-141346.4"/>
    <n v="0"/>
    <n v="-848078.4"/>
    <n v="-563200.6"/>
    <n v="60.09"/>
    <n v="0"/>
    <n v="17000"/>
    <n v="18062.5"/>
    <n v="19326.875"/>
    <n v="20679.756249999999"/>
    <x v="1"/>
    <x v="1"/>
  </r>
  <r>
    <s v="50052030580EQMRCZZHO"/>
    <m/>
    <s v="SM CFO: SRB - ACTING &amp; POST RELATE ALLOW"/>
    <n v="18580"/>
    <n v="-141346.4"/>
    <n v="0"/>
    <n v="-848078.4"/>
    <n v="-563200.6"/>
    <n v="60.09"/>
    <n v="-18580"/>
    <n v="0"/>
    <n v="0"/>
    <n v="0"/>
    <m/>
    <x v="1"/>
    <x v="1"/>
  </r>
  <r>
    <s v="50052110010EQMRCZZHO"/>
    <m/>
    <s v="MS: SAL &amp; ALL: BASIC SALARY &amp; WAGES"/>
    <n v="514319"/>
    <n v="-141346.4"/>
    <n v="0"/>
    <n v="-848078.4"/>
    <n v="-563200.6"/>
    <n v="60.09"/>
    <n v="0"/>
    <n v="514319"/>
    <n v="546463.9375"/>
    <n v="584716.41312499996"/>
    <n v="625646.56204374996"/>
    <x v="1"/>
    <x v="1"/>
  </r>
  <r>
    <s v="50052110100EQMRCZZHO"/>
    <m/>
    <s v="MS: SAL &amp; ALL: PERFORMANCE BASED BONUSES"/>
    <n v="25716"/>
    <n v="-141346.4"/>
    <n v="0"/>
    <n v="-848078.4"/>
    <n v="-563200.6"/>
    <n v="60.09"/>
    <n v="-17248.910000000003"/>
    <n v="8467.0899999999965"/>
    <n v="8996.2831249999963"/>
    <n v="9626.0229437499966"/>
    <n v="10299.844549812497"/>
    <x v="1"/>
    <x v="1"/>
  </r>
  <r>
    <s v="50052110260EQMRCZZHO"/>
    <m/>
    <s v="MS: HB &amp; INC: HOUSING BENEFITS"/>
    <n v="0"/>
    <n v="-141346.4"/>
    <n v="0"/>
    <n v="-848078.4"/>
    <n v="-563200.6"/>
    <n v="60.09"/>
    <n v="10893.24"/>
    <n v="10893.24"/>
    <n v="11574.067499999999"/>
    <n v="12384.252224999998"/>
    <n v="13251.149880749997"/>
    <x v="1"/>
    <x v="1"/>
  </r>
  <r>
    <s v="50052110320EQMRCZZHO"/>
    <m/>
    <s v="MS: ALL - LEAVE PAY"/>
    <n v="17067"/>
    <n v="-141346.4"/>
    <n v="0"/>
    <n v="-848078.4"/>
    <n v="-563200.6"/>
    <n v="60.09"/>
    <n v="0"/>
    <n v="17067"/>
    <n v="18133.6875"/>
    <n v="19403.045624999999"/>
    <n v="20761.258818750001"/>
    <x v="1"/>
    <x v="1"/>
  </r>
  <r>
    <s v="50052110360EQMRCZZHO"/>
    <m/>
    <s v="MS: OVERTIME - NON STRUCTURED"/>
    <n v="27826"/>
    <n v="-141346.4"/>
    <n v="0"/>
    <n v="-848078.4"/>
    <n v="-563200.6"/>
    <n v="60.09"/>
    <n v="0"/>
    <n v="27826"/>
    <n v="29565.125"/>
    <n v="31634.68375"/>
    <n v="33849.111612499997"/>
    <x v="1"/>
    <x v="1"/>
  </r>
  <r>
    <s v="50052110460EQMRCZZHO"/>
    <m/>
    <s v="MS: SRB - ANNUAL BONUS"/>
    <n v="42860"/>
    <n v="-141346.4"/>
    <n v="0"/>
    <n v="-848078.4"/>
    <n v="-563200.6"/>
    <n v="60.09"/>
    <n v="27140"/>
    <n v="70000"/>
    <n v="74375"/>
    <n v="79581.25"/>
    <n v="85151.9375"/>
    <x v="1"/>
    <x v="1"/>
  </r>
  <r>
    <s v="50052110630EQMRCZZHO"/>
    <m/>
    <s v="MS: SRB - NON PENSIONABLE"/>
    <n v="32457"/>
    <n v="-141346.4"/>
    <n v="0"/>
    <n v="-848078.4"/>
    <n v="-563200.6"/>
    <n v="60.09"/>
    <n v="0"/>
    <n v="32457"/>
    <n v="34485.5625"/>
    <n v="36899.551874999997"/>
    <n v="39482.520506249995"/>
    <x v="1"/>
    <x v="1"/>
  </r>
  <r>
    <s v="50052130010EQMRCZZHO"/>
    <m/>
    <s v="MS: SOC CONTR - BARGAINING COUNCIL"/>
    <n v="225"/>
    <n v="-141346.4"/>
    <n v="0"/>
    <n v="-848078.4"/>
    <n v="-563200.6"/>
    <n v="60.09"/>
    <n v="0"/>
    <n v="225"/>
    <n v="239.0625"/>
    <n v="255.796875"/>
    <n v="273.70265625000002"/>
    <x v="1"/>
    <x v="1"/>
  </r>
  <r>
    <s v="50052130200EQMRCZZHO"/>
    <m/>
    <s v="MS: SOC CONTR - MEDICAL"/>
    <n v="107816"/>
    <n v="-141346.4"/>
    <n v="0"/>
    <n v="-848078.4"/>
    <n v="-563200.6"/>
    <n v="60.09"/>
    <n v="-60000"/>
    <n v="47816"/>
    <n v="50804.5"/>
    <n v="54360.815000000002"/>
    <n v="58166.072050000002"/>
    <x v="1"/>
    <x v="1"/>
  </r>
  <r>
    <s v="50052130300EQMRCZZHO"/>
    <m/>
    <s v="MS: SOC CONTR - PENSION"/>
    <n v="113150"/>
    <n v="-141346.4"/>
    <n v="0"/>
    <n v="-848078.4"/>
    <n v="-563200.6"/>
    <n v="60.09"/>
    <n v="0"/>
    <n v="113150"/>
    <n v="120221.875"/>
    <n v="128637.40625"/>
    <n v="137642.0246875"/>
    <x v="1"/>
    <x v="1"/>
  </r>
  <r>
    <s v="50052130400EQMRCZZHO"/>
    <m/>
    <s v="MS: SOC CONTR - UNEMPLOYMENT INSUR FUND"/>
    <n v="3570"/>
    <n v="-141346.4"/>
    <n v="0"/>
    <n v="-848078.4"/>
    <n v="-563200.6"/>
    <n v="60.09"/>
    <n v="0"/>
    <n v="3570"/>
    <n v="3793.125"/>
    <n v="4058.6437500000002"/>
    <n v="4342.7488125"/>
    <x v="1"/>
    <x v="1"/>
  </r>
  <r>
    <s v="50052140020EQMRCZZHO"/>
    <m/>
    <s v="MS: PRB - MED: CURRENT SERVICE COST"/>
    <n v="6657"/>
    <n v="-141346.4"/>
    <n v="0"/>
    <n v="-848078.4"/>
    <n v="-563200.6"/>
    <n v="60.09"/>
    <n v="0"/>
    <n v="6657"/>
    <n v="7073.0625"/>
    <n v="7568.1768750000001"/>
    <n v="8097.94925625"/>
    <x v="1"/>
    <x v="1"/>
  </r>
  <r>
    <s v="50052140040EQMRCZZHO"/>
    <m/>
    <s v="MS: PRB - MED: INTEREST COST"/>
    <n v="6718"/>
    <n v="-141346.4"/>
    <n v="0"/>
    <n v="-848078.4"/>
    <n v="-563200.6"/>
    <n v="60.09"/>
    <n v="0"/>
    <n v="6718"/>
    <n v="7137.875"/>
    <n v="7637.5262499999999"/>
    <n v="8172.1530874999999"/>
    <x v="1"/>
    <x v="1"/>
  </r>
  <r>
    <s v="50052140060EQMRCZZHO"/>
    <m/>
    <s v="MS: PRB - MED: ACTURIAL GAINS &amp; LOSSES"/>
    <n v="0"/>
    <n v="-141346.4"/>
    <n v="0"/>
    <n v="-848078.4"/>
    <n v="-563200.6"/>
    <n v="60.09"/>
    <n v="150000"/>
    <n v="150000"/>
    <n v="159375"/>
    <n v="170531.25"/>
    <n v="182468.4375"/>
    <x v="1"/>
    <x v="1"/>
  </r>
  <r>
    <s v="50052142200EQMRCZZHO"/>
    <m/>
    <s v="MS: PRB - OTHER: LONG TERM SERVICE AWARD"/>
    <n v="9290"/>
    <n v="-141346.4"/>
    <n v="0"/>
    <n v="-848078.4"/>
    <n v="-563200.6"/>
    <n v="60.09"/>
    <n v="0"/>
    <n v="9290"/>
    <n v="9870.625"/>
    <n v="10561.56875"/>
    <n v="11300.8785625"/>
    <x v="1"/>
    <x v="1"/>
  </r>
  <r>
    <s v="50052260420FMMRCZZHO"/>
    <m/>
    <s v="OS: B&amp;A VALUER"/>
    <n v="1000000"/>
    <n v="-141346.4"/>
    <n v="0"/>
    <n v="-848078.4"/>
    <n v="-563200.6"/>
    <n v="60.09"/>
    <n v="150000"/>
    <n v="1150000"/>
    <n v="800000"/>
    <n v="848000"/>
    <n v="898880"/>
    <x v="1"/>
    <x v="2"/>
  </r>
  <r>
    <s v="50052270300ORMRCZZHO"/>
    <m/>
    <s v="C&amp;PS: B&amp;A ACCOUNTANTS &amp; AUDITORS"/>
    <n v="2650000"/>
    <n v="-141346.4"/>
    <n v="0"/>
    <n v="-848078.4"/>
    <n v="-563200.6"/>
    <n v="60.09"/>
    <n v="300000"/>
    <n v="2950000"/>
    <n v="3000000"/>
    <n v="3180000"/>
    <n v="3370800"/>
    <x v="1"/>
    <x v="2"/>
  </r>
  <r>
    <s v="50052280050ORP78ZZHO"/>
    <m/>
    <s v="CONTR: AUDIO-VISUAL SERVICES"/>
    <n v="600000"/>
    <n v="-141346.4"/>
    <n v="0"/>
    <n v="-848078.4"/>
    <n v="-563200.6"/>
    <n v="60.09"/>
    <n v="300000"/>
    <n v="900000"/>
    <n v="400000"/>
    <n v="424000"/>
    <n v="449440"/>
    <x v="1"/>
    <x v="2"/>
  </r>
  <r>
    <s v="50052300120ORP10ZZHO"/>
    <m/>
    <s v="OC: ADV/PUB/MARK - CORP &amp; MUN ACTIVITIES"/>
    <n v="55809"/>
    <n v="-141346.4"/>
    <n v="0"/>
    <n v="-848078.4"/>
    <n v="-563200.6"/>
    <n v="60.09"/>
    <n v="-30000"/>
    <n v="25809"/>
    <n v="26970.404999999999"/>
    <n v="28211.04363"/>
    <n v="29508.75163698"/>
    <x v="1"/>
    <x v="3"/>
  </r>
  <r>
    <s v="50052301600ORMRCZZHO"/>
    <m/>
    <s v="OC: ENTERTAINMENT - EXEC MAYOR"/>
    <n v="2000"/>
    <n v="-141346.4"/>
    <n v="0"/>
    <n v="-848078.4"/>
    <n v="-563200.6"/>
    <n v="60.09"/>
    <n v="0"/>
    <n v="2000"/>
    <n v="2000"/>
    <n v="2000"/>
    <n v="2000"/>
    <x v="1"/>
    <x v="3"/>
  </r>
  <r>
    <s v="50052305110FMS20ZZHO"/>
    <m/>
    <s v="OC: REG FEES NATIONAL"/>
    <n v="403000"/>
    <n v="-141346.4"/>
    <n v="0"/>
    <n v="-848078.4"/>
    <n v="-563200.6"/>
    <n v="60.09"/>
    <n v="-300000"/>
    <n v="103000"/>
    <n v="200000"/>
    <n v="209200"/>
    <n v="218823.2"/>
    <x v="1"/>
    <x v="3"/>
  </r>
  <r>
    <s v="50052305410EQMRCZZHO"/>
    <m/>
    <s v="OC: SKILLS DEVELOPMENT FUND LEVY"/>
    <n v="132699"/>
    <n v="-141346.4"/>
    <n v="0"/>
    <n v="-848078.4"/>
    <n v="-563200.6"/>
    <n v="60.09"/>
    <n v="-115000"/>
    <n v="17699"/>
    <n v="18495.455000000002"/>
    <n v="19346.245930000001"/>
    <n v="20236.173242780002"/>
    <x v="1"/>
    <x v="3"/>
  </r>
  <r>
    <s v="50052305760EQMRCZZHO"/>
    <m/>
    <s v="OC: T&amp;S DOM - ACCOMMODATION"/>
    <n v="384808"/>
    <n v="-141346.4"/>
    <n v="0"/>
    <n v="-848078.4"/>
    <n v="-563200.6"/>
    <n v="60.09"/>
    <n v="-200000"/>
    <n v="184808"/>
    <n v="193124.36"/>
    <n v="202008.08055999997"/>
    <n v="211300.45226575996"/>
    <x v="1"/>
    <x v="3"/>
  </r>
  <r>
    <s v="50052305760PRMRCZZHO"/>
    <m/>
    <s v="OC: T&amp;S DOM - ACCOMMODATION"/>
    <n v="343818"/>
    <n v="-141346.4"/>
    <n v="0"/>
    <n v="-848078.4"/>
    <n v="-563200.6"/>
    <n v="60.09"/>
    <n v="-200000"/>
    <n v="143818"/>
    <n v="150289.81"/>
    <n v="157203.14126"/>
    <n v="164434.48575796001"/>
    <x v="1"/>
    <x v="3"/>
  </r>
  <r>
    <s v="50052305800ORMRCZZHO"/>
    <m/>
    <s v="OC: T&amp;S DOM TRP - WITHOUT OPR CAR RENTAL"/>
    <n v="60000"/>
    <n v="-141346.4"/>
    <n v="0"/>
    <n v="-848078.4"/>
    <n v="-563200.6"/>
    <n v="60.09"/>
    <n v="-40000"/>
    <n v="20000"/>
    <n v="20900"/>
    <n v="21861.4"/>
    <n v="22867.024400000002"/>
    <x v="1"/>
    <x v="3"/>
  </r>
  <r>
    <s v="50102720040PRMRCZZWM"/>
    <m/>
    <s v="AMORTISATION INTANG COMPUTER SOFTWARE"/>
    <n v="0"/>
    <n v="-141346.4"/>
    <n v="0"/>
    <n v="-848078.4"/>
    <n v="-563200.6"/>
    <n v="60.09"/>
    <n v="0"/>
    <n v="0"/>
    <n v="0"/>
    <n v="0"/>
    <m/>
    <x v="1"/>
    <x v="6"/>
  </r>
  <r>
    <s v="50102720600PRMRCZZWM"/>
    <m/>
    <s v="DEPRECIATION COMPUTER EQUIPMENT"/>
    <n v="0"/>
    <n v="-141346.4"/>
    <n v="0"/>
    <n v="-848078.4"/>
    <n v="-563200.6"/>
    <n v="60.09"/>
    <n v="0"/>
    <n v="0"/>
    <n v="0"/>
    <n v="0"/>
    <m/>
    <x v="1"/>
    <x v="6"/>
  </r>
  <r>
    <s v="50102721500PRMRCZZWM"/>
    <m/>
    <s v="DEPRECIATION FURNITURE &amp; OFFICE EQUIPM"/>
    <n v="0"/>
    <n v="-141346.4"/>
    <n v="0"/>
    <n v="-848078.4"/>
    <n v="-563200.6"/>
    <n v="60.09"/>
    <n v="0"/>
    <n v="0"/>
    <n v="0"/>
    <n v="0"/>
    <m/>
    <x v="1"/>
    <x v="6"/>
  </r>
  <r>
    <s v="50151341170XTZZZZZHO"/>
    <m/>
    <s v="INTER: SHORT TERM INVEST &amp; CALL ACCOUNTS"/>
    <n v="-2112000"/>
    <n v="-158518.66"/>
    <n v="0"/>
    <n v="-1057902.8999999999"/>
    <n v="-1054097.1000000001"/>
    <n v="50.09"/>
    <n v="0"/>
    <n v="-2112000"/>
    <n v="-2215488"/>
    <n v="-2321831.4240000001"/>
    <n v="-2433279.3323520003"/>
    <x v="0"/>
    <x v="0"/>
  </r>
  <r>
    <s v="50152110010EQMRCZZHO"/>
    <m/>
    <s v="MS: SAL &amp; ALL: BASIC SALARY &amp; WAGES"/>
    <n v="1243618"/>
    <n v="-141346.4"/>
    <n v="0"/>
    <n v="-848078.4"/>
    <n v="-563200.6"/>
    <n v="60.09"/>
    <n v="0"/>
    <n v="1243618"/>
    <n v="1321344.125"/>
    <n v="1413838.2137500001"/>
    <n v="1512806.8887125002"/>
    <x v="1"/>
    <x v="1"/>
  </r>
  <r>
    <s v="50152110010FMMRCZZHO"/>
    <m/>
    <s v="MS: SAL &amp; ALL: BASIC SALARY &amp; WAGES"/>
    <n v="80600"/>
    <n v="-141346.4"/>
    <n v="0"/>
    <n v="-848078.4"/>
    <n v="-563200.6"/>
    <n v="60.09"/>
    <n v="0"/>
    <n v="80600"/>
    <n v="85637.5"/>
    <n v="91632.125"/>
    <n v="98046.373749999999"/>
    <x v="1"/>
    <x v="1"/>
  </r>
  <r>
    <s v="50152110100EQMRCZZHO"/>
    <m/>
    <s v="MS: SAL &amp; ALL: PERFORMANCE BASED BONUSES"/>
    <n v="58113"/>
    <n v="-141346.4"/>
    <n v="0"/>
    <n v="-848078.4"/>
    <n v="-563200.6"/>
    <n v="60.09"/>
    <n v="-32711.729999999996"/>
    <n v="25401.270000000004"/>
    <n v="26988.849375000005"/>
    <n v="28878.068831250006"/>
    <n v="30899.533649437508"/>
    <x v="1"/>
    <x v="1"/>
  </r>
  <r>
    <s v="50152110220EQMRCZZHO"/>
    <m/>
    <s v="MS: ALL - CELLULAR &amp; TELEPHONE"/>
    <n v="38100"/>
    <n v="-141346.4"/>
    <n v="0"/>
    <n v="-848078.4"/>
    <n v="-563200.6"/>
    <n v="60.09"/>
    <n v="0"/>
    <n v="38100"/>
    <n v="40481.25"/>
    <n v="43314.9375"/>
    <n v="46346.983124999999"/>
    <x v="1"/>
    <x v="1"/>
  </r>
  <r>
    <s v="50152110260EQMRCZZHO"/>
    <m/>
    <s v="MS: HB &amp; INC: HOUSING BENEFITS"/>
    <n v="10893"/>
    <n v="-141346.4"/>
    <n v="0"/>
    <n v="-848078.4"/>
    <n v="-563200.6"/>
    <n v="60.09"/>
    <n v="0"/>
    <n v="10893"/>
    <n v="11573.8125"/>
    <n v="12383.979375000001"/>
    <n v="13250.857931250001"/>
    <x v="1"/>
    <x v="1"/>
  </r>
  <r>
    <s v="50152110320EQMRCZZHO"/>
    <m/>
    <s v="MS: ALL - LEAVE PAY"/>
    <n v="41268"/>
    <n v="-141346.4"/>
    <n v="0"/>
    <n v="-848078.4"/>
    <n v="-563200.6"/>
    <n v="60.09"/>
    <n v="0"/>
    <n v="41268"/>
    <n v="43847.25"/>
    <n v="46916.557500000003"/>
    <n v="50200.716525000003"/>
    <x v="1"/>
    <x v="1"/>
  </r>
  <r>
    <s v="50152110340EQMRCZZHO"/>
    <m/>
    <s v="MS: ALL - TRAVEL OR MOTOR VEHICLE"/>
    <n v="267347"/>
    <n v="-141346.4"/>
    <n v="0"/>
    <n v="-848078.4"/>
    <n v="-563200.6"/>
    <n v="60.09"/>
    <n v="0"/>
    <n v="267347"/>
    <n v="284056.1875"/>
    <n v="303940.12062499998"/>
    <n v="325215.92906875"/>
    <x v="1"/>
    <x v="1"/>
  </r>
  <r>
    <s v="50152110360EQMRCZZHO"/>
    <m/>
    <s v="MS: OVERTIME - NON STRUCTURED"/>
    <n v="20000"/>
    <n v="-141346.4"/>
    <n v="0"/>
    <n v="-848078.4"/>
    <n v="-563200.6"/>
    <n v="60.09"/>
    <n v="0"/>
    <n v="20000"/>
    <n v="21250"/>
    <n v="22737.5"/>
    <n v="24329.125"/>
    <x v="1"/>
    <x v="1"/>
  </r>
  <r>
    <s v="50152110440EQMRCZZHO"/>
    <m/>
    <s v="MS: SRB - ACTING ALLOWANCE"/>
    <n v="12841"/>
    <n v="-141346.4"/>
    <n v="0"/>
    <n v="-848078.4"/>
    <n v="-563200.6"/>
    <n v="60.09"/>
    <n v="-12841"/>
    <n v="0"/>
    <n v="0"/>
    <n v="0"/>
    <n v="0"/>
    <x v="1"/>
    <x v="1"/>
  </r>
  <r>
    <s v="50152110460EQMRCZZHO"/>
    <m/>
    <s v="MS: SRB - ANNUAL BONUS"/>
    <n v="103635"/>
    <n v="-141346.4"/>
    <n v="0"/>
    <n v="-848078.4"/>
    <n v="-563200.6"/>
    <n v="60.09"/>
    <n v="16365"/>
    <n v="120000"/>
    <n v="127500"/>
    <n v="136425"/>
    <n v="145974.75"/>
    <x v="1"/>
    <x v="1"/>
  </r>
  <r>
    <s v="50152110630EQMRCZZHO"/>
    <m/>
    <s v="MS: SRB - NON PENSIONABLE"/>
    <n v="15692"/>
    <n v="-141346.4"/>
    <n v="0"/>
    <n v="-848078.4"/>
    <n v="-563200.6"/>
    <n v="60.09"/>
    <n v="0"/>
    <n v="15692"/>
    <n v="16672.75"/>
    <n v="17839.842499999999"/>
    <n v="19088.631474999998"/>
    <x v="1"/>
    <x v="1"/>
  </r>
  <r>
    <s v="50152130010EQMRCZZHO"/>
    <m/>
    <s v="MS: SOC CONTR - BARGAINING COUNCIL"/>
    <n v="337"/>
    <n v="-141346.4"/>
    <n v="0"/>
    <n v="-848078.4"/>
    <n v="-563200.6"/>
    <n v="60.09"/>
    <n v="0"/>
    <n v="337"/>
    <n v="358.0625"/>
    <n v="383.12687499999998"/>
    <n v="409.94575624999999"/>
    <x v="1"/>
    <x v="1"/>
  </r>
  <r>
    <s v="50152130200EQMRCZZHO"/>
    <m/>
    <s v="MS: SOC CONTR - MEDICAL"/>
    <n v="161725"/>
    <n v="-141346.4"/>
    <n v="0"/>
    <n v="-848078.4"/>
    <n v="-563200.6"/>
    <n v="60.09"/>
    <n v="-40000"/>
    <n v="121725"/>
    <n v="129332.8125"/>
    <n v="138386.109375"/>
    <n v="148073.13703124999"/>
    <x v="1"/>
    <x v="1"/>
  </r>
  <r>
    <s v="50152130300EQMRCZZHO"/>
    <m/>
    <s v="MS: SOC CONTR - PENSION"/>
    <n v="273596"/>
    <n v="-141346.4"/>
    <n v="0"/>
    <n v="-848078.4"/>
    <n v="-563200.6"/>
    <n v="60.09"/>
    <n v="0"/>
    <n v="273596"/>
    <n v="290695.75"/>
    <n v="311044.45250000001"/>
    <n v="332817.56417500001"/>
    <x v="1"/>
    <x v="1"/>
  </r>
  <r>
    <s v="50152130400EQMRCZZHO"/>
    <m/>
    <s v="MS: SOC CONTR - UNEMPLOYMENT INSUR FUND"/>
    <n v="5355"/>
    <n v="-141346.4"/>
    <n v="0"/>
    <n v="-848078.4"/>
    <n v="-563200.6"/>
    <n v="60.09"/>
    <n v="0"/>
    <n v="5355"/>
    <n v="5689.6875"/>
    <n v="6087.9656249999998"/>
    <n v="6514.12321875"/>
    <x v="1"/>
    <x v="1"/>
  </r>
  <r>
    <s v="50152140020PRMRCZZHO"/>
    <m/>
    <s v="MS: PRB - MED: CURRENT SERVICE COST"/>
    <n v="11813"/>
    <n v="-141346.4"/>
    <n v="0"/>
    <n v="-848078.4"/>
    <n v="-563200.6"/>
    <n v="60.09"/>
    <n v="0"/>
    <n v="11813"/>
    <n v="12551.3125"/>
    <n v="13429.904375"/>
    <n v="14369.997681250001"/>
    <x v="1"/>
    <x v="1"/>
  </r>
  <r>
    <s v="50152140040PRMRCZZHO"/>
    <m/>
    <s v="MS: PRB - MED: INTEREST COST"/>
    <n v="13427"/>
    <n v="-141346.4"/>
    <n v="0"/>
    <n v="-848078.4"/>
    <n v="-563200.6"/>
    <n v="60.09"/>
    <n v="0"/>
    <n v="13427"/>
    <n v="14266.1875"/>
    <n v="15264.820625"/>
    <n v="16333.35806875"/>
    <x v="1"/>
    <x v="1"/>
  </r>
  <r>
    <s v="50152142200PRMRCZZHO"/>
    <m/>
    <s v="MS: PRB - OTHER: LONG TERM SERVICE AWARD"/>
    <n v="20916"/>
    <n v="-141346.4"/>
    <n v="0"/>
    <n v="-848078.4"/>
    <n v="-563200.6"/>
    <n v="60.09"/>
    <n v="0"/>
    <n v="20916"/>
    <n v="22223.25"/>
    <n v="23778.877499999999"/>
    <n v="25443.398924999998"/>
    <x v="1"/>
    <x v="1"/>
  </r>
  <r>
    <s v="50152305410EQMRCZZHO"/>
    <m/>
    <s v="OC: SKILLS DEVELOPMENT FUND LEVY"/>
    <n v="0"/>
    <n v="-141346.4"/>
    <n v="0"/>
    <n v="-848078.4"/>
    <n v="-563200.6"/>
    <n v="60.09"/>
    <n v="20000"/>
    <n v="20000"/>
    <n v="20900"/>
    <n v="21861.4"/>
    <n v="22867.024400000002"/>
    <x v="1"/>
    <x v="3"/>
  </r>
  <r>
    <s v="50152305760EQMRCZZHO"/>
    <m/>
    <s v="OC: T&amp;S DOM - ACCOMMODATION"/>
    <n v="0"/>
    <n v="-141346.4"/>
    <n v="0"/>
    <n v="-848078.4"/>
    <n v="-563200.6"/>
    <n v="60.09"/>
    <n v="50000"/>
    <n v="50000"/>
    <n v="52250"/>
    <n v="54653.5"/>
    <n v="57167.561000000002"/>
    <x v="1"/>
    <x v="3"/>
  </r>
  <r>
    <s v="50152362420ORMRCZZHO"/>
    <m/>
    <s v="INT PAID BOR: ANNUITY LOANS"/>
    <n v="0"/>
    <n v="-141346.4"/>
    <n v="0"/>
    <n v="-848078.4"/>
    <n v="-563200.6"/>
    <n v="60.09"/>
    <n v="0"/>
    <n v="0"/>
    <n v="0"/>
    <n v="0"/>
    <m/>
    <x v="1"/>
    <x v="2"/>
  </r>
  <r>
    <s v="50152720040PRMRCZZWM"/>
    <m/>
    <s v="AMORTISATION INTANG COMPUTER SOFTWARE"/>
    <n v="0"/>
    <n v="-141346.4"/>
    <n v="0"/>
    <n v="-848078.4"/>
    <n v="-563200.6"/>
    <n v="60.09"/>
    <n v="0"/>
    <n v="0"/>
    <n v="0"/>
    <n v="0"/>
    <m/>
    <x v="1"/>
    <x v="6"/>
  </r>
  <r>
    <s v="50152720600PRMRCZZWM"/>
    <m/>
    <s v="DEPRECIATION COMPUTER EQUIPMENT"/>
    <n v="3371"/>
    <n v="-141346.4"/>
    <n v="0"/>
    <n v="-848078.4"/>
    <n v="-563200.6"/>
    <n v="60.09"/>
    <n v="0"/>
    <n v="3371"/>
    <n v="3522.6950000000002"/>
    <n v="3684.7389700000003"/>
    <n v="3854.2369626200002"/>
    <x v="1"/>
    <x v="6"/>
  </r>
  <r>
    <s v="50152721500PRMRCZZWM"/>
    <m/>
    <s v="DEPRECIATION FURNITURE &amp; OFFICE EQUIPM"/>
    <n v="268"/>
    <n v="-141346.4"/>
    <n v="0"/>
    <n v="-848078.4"/>
    <n v="-563200.6"/>
    <n v="60.09"/>
    <n v="0"/>
    <n v="268"/>
    <n v="280.06"/>
    <n v="292.94276000000002"/>
    <n v="306.41812696"/>
    <x v="1"/>
    <x v="6"/>
  </r>
  <r>
    <s v="50156151420FCC53ZZWM"/>
    <m/>
    <s v="MSCOA SYSTEM IMPROVEMENTS"/>
    <n v="350000"/>
    <n v="-141346.4"/>
    <n v="0"/>
    <n v="-848078.4"/>
    <n v="-563200.6"/>
    <n v="60.09"/>
    <n v="-350000"/>
    <n v="0"/>
    <n v="350000"/>
    <n v="0"/>
    <m/>
    <x v="2"/>
    <x v="0"/>
  </r>
  <r>
    <s v="50201341090IDZZZZZWM"/>
    <m/>
    <s v="INTER: RECEIV - SERVICE CHARGES"/>
    <n v="-18666"/>
    <n v="-2474.44"/>
    <n v="0"/>
    <n v="-14202.7"/>
    <n v="-4463.3"/>
    <n v="76.08"/>
    <n v="0"/>
    <n v="-28405"/>
    <n v="-29796.845000000001"/>
    <n v="-31227.093560000001"/>
    <n v="-32725.994050880003"/>
    <x v="0"/>
    <x v="0"/>
  </r>
  <r>
    <s v="50201382400ORZZZZZWM"/>
    <m/>
    <s v="INCIDENTAL CASH SURPLUSES"/>
    <n v="-18426329"/>
    <n v="0"/>
    <n v="0"/>
    <n v="0"/>
    <n v="-18426329"/>
    <n v="0"/>
    <n v="0"/>
    <n v="-20255136"/>
    <n v="-18750194"/>
    <n v="-23589212"/>
    <n v="-27741422"/>
    <x v="0"/>
    <x v="0"/>
  </r>
  <r>
    <s v="50202110010EQMRCZZHO"/>
    <m/>
    <s v="MS: SAL &amp; ALL: BASIC SALARY &amp; WAGES"/>
    <n v="2395771"/>
    <n v="-141346.4"/>
    <n v="0"/>
    <n v="-848078.4"/>
    <n v="-563200.6"/>
    <n v="60.09"/>
    <n v="0"/>
    <n v="2395771"/>
    <n v="2545506.6875"/>
    <n v="2723692.1556250001"/>
    <n v="2914350.6065187501"/>
    <x v="1"/>
    <x v="1"/>
  </r>
  <r>
    <s v="50202110010FMMRCZZHO"/>
    <m/>
    <s v="MS: SAL &amp; ALL: BASIC SALARY &amp; WAGES"/>
    <n v="80600"/>
    <n v="-141346.4"/>
    <n v="0"/>
    <n v="-848078.4"/>
    <n v="-563200.6"/>
    <n v="60.09"/>
    <n v="0"/>
    <n v="80600"/>
    <n v="85637.5"/>
    <n v="91632.125"/>
    <n v="98046.373749999999"/>
    <x v="1"/>
    <x v="1"/>
  </r>
  <r>
    <s v="50202110100EQMRCZZHO"/>
    <m/>
    <s v="MS: SAL &amp; ALL: PERFORMANCE BASED BONUSES"/>
    <n v="119789"/>
    <n v="-141346.4"/>
    <n v="0"/>
    <n v="-848078.4"/>
    <n v="-563200.6"/>
    <n v="60.09"/>
    <n v="-52052.280000000013"/>
    <n v="67736.719999999987"/>
    <n v="71970.264999999985"/>
    <n v="77008.183549999987"/>
    <n v="82398.756398499987"/>
    <x v="1"/>
    <x v="1"/>
  </r>
  <r>
    <s v="50202110220EQMRCZZHO"/>
    <m/>
    <s v="MS: ALL - CELLULAR &amp; TELEPHONE"/>
    <n v="38100"/>
    <n v="-141346.4"/>
    <n v="0"/>
    <n v="-848078.4"/>
    <n v="-563200.6"/>
    <n v="60.09"/>
    <n v="0"/>
    <n v="38100"/>
    <n v="40481.25"/>
    <n v="43314.9375"/>
    <n v="46346.983124999999"/>
    <x v="1"/>
    <x v="1"/>
  </r>
  <r>
    <s v="50202110260EQMRCZZHO"/>
    <m/>
    <s v="MS: HB &amp; INC: HOUSING BENEFITS"/>
    <n v="10893"/>
    <n v="-141346.4"/>
    <n v="0"/>
    <n v="-848078.4"/>
    <n v="-563200.6"/>
    <n v="60.09"/>
    <n v="0"/>
    <n v="10893"/>
    <n v="11573.8125"/>
    <n v="12383.979375000001"/>
    <n v="13250.857931250001"/>
    <x v="1"/>
    <x v="1"/>
  </r>
  <r>
    <s v="50202110320EQMRCZZHO"/>
    <m/>
    <s v="MS: ALL - LEAVE PAY"/>
    <n v="83636"/>
    <n v="-141346.4"/>
    <n v="0"/>
    <n v="-848078.4"/>
    <n v="-563200.6"/>
    <n v="60.09"/>
    <n v="0"/>
    <n v="83636"/>
    <n v="88863.25"/>
    <n v="95083.677500000005"/>
    <n v="101739.534925"/>
    <x v="1"/>
    <x v="1"/>
  </r>
  <r>
    <s v="50202110340EQMRCZZHO"/>
    <m/>
    <s v="MS: ALL - TRAVEL OR MOTOR VEHICLE"/>
    <n v="277507"/>
    <n v="-141346.4"/>
    <n v="0"/>
    <n v="-848078.4"/>
    <n v="-563200.6"/>
    <n v="60.09"/>
    <n v="0"/>
    <n v="277507"/>
    <n v="294851.1875"/>
    <n v="315490.770625"/>
    <n v="337575.12456875003"/>
    <x v="1"/>
    <x v="1"/>
  </r>
  <r>
    <s v="50202110360EQMRCZZHO"/>
    <m/>
    <s v="MS: OVERTIME - NON STRUCTURED"/>
    <n v="59936"/>
    <n v="-141346.4"/>
    <n v="0"/>
    <n v="-848078.4"/>
    <n v="-563200.6"/>
    <n v="60.09"/>
    <n v="0"/>
    <n v="59936"/>
    <n v="63682"/>
    <n v="68139.740000000005"/>
    <n v="72909.521800000002"/>
    <x v="1"/>
    <x v="1"/>
  </r>
  <r>
    <s v="50202110440EQMRCZZHO"/>
    <m/>
    <s v="MS: SRB - ACTING ALLOWANCE"/>
    <n v="12540"/>
    <n v="-141346.4"/>
    <n v="0"/>
    <n v="-848078.4"/>
    <n v="-563200.6"/>
    <n v="60.09"/>
    <n v="0"/>
    <n v="12540"/>
    <n v="13323.75"/>
    <n v="14256.4125"/>
    <n v="15254.361375"/>
    <x v="1"/>
    <x v="1"/>
  </r>
  <r>
    <s v="50202110460EQMRCZZHO"/>
    <m/>
    <s v="MS: SRB - ANNUAL BONUS"/>
    <n v="199648"/>
    <n v="-141346.4"/>
    <n v="0"/>
    <n v="-848078.4"/>
    <n v="-563200.6"/>
    <n v="60.09"/>
    <n v="0"/>
    <n v="199648"/>
    <n v="212126"/>
    <n v="226974.82"/>
    <n v="242863.05740000002"/>
    <x v="1"/>
    <x v="1"/>
  </r>
  <r>
    <s v="50202110500EQMRCZZHO"/>
    <m/>
    <s v="MS: SRB - LONG SERVICE AWARD"/>
    <n v="21018"/>
    <n v="-141346.4"/>
    <n v="0"/>
    <n v="-848078.4"/>
    <n v="-563200.6"/>
    <n v="60.09"/>
    <n v="0"/>
    <n v="21018"/>
    <n v="22331.625"/>
    <n v="23894.838749999999"/>
    <n v="25567.477462499999"/>
    <x v="1"/>
    <x v="1"/>
  </r>
  <r>
    <s v="50202110630EQMRCZZHO"/>
    <m/>
    <s v="MS: SRB - NON PENSIONABLE"/>
    <n v="15692"/>
    <n v="-141346.4"/>
    <n v="0"/>
    <n v="-848078.4"/>
    <n v="-563200.6"/>
    <n v="60.09"/>
    <n v="0"/>
    <n v="15692"/>
    <n v="16672.75"/>
    <n v="17839.842499999999"/>
    <n v="19088.631474999998"/>
    <x v="1"/>
    <x v="1"/>
  </r>
  <r>
    <s v="50202130010EQMRCZZHO"/>
    <m/>
    <s v="MS: SOC CONTR - BARGAINING COUNCIL"/>
    <n v="1011"/>
    <n v="-141346.4"/>
    <n v="0"/>
    <n v="-848078.4"/>
    <n v="-563200.6"/>
    <n v="60.09"/>
    <n v="0"/>
    <n v="1011"/>
    <n v="1074.1875"/>
    <n v="1149.380625"/>
    <n v="1229.83726875"/>
    <x v="1"/>
    <x v="1"/>
  </r>
  <r>
    <s v="50202130200EQMRCZZHO"/>
    <m/>
    <s v="MS: SOC CONTR - MEDICAL"/>
    <n v="431265"/>
    <n v="-141346.4"/>
    <n v="0"/>
    <n v="-848078.4"/>
    <n v="-563200.6"/>
    <n v="60.09"/>
    <n v="-200000"/>
    <n v="231265"/>
    <n v="245719.0625"/>
    <n v="262919.39687499998"/>
    <n v="281323.75465624995"/>
    <x v="1"/>
    <x v="1"/>
  </r>
  <r>
    <s v="50202130300EQMRCZZHO"/>
    <m/>
    <s v="MS: SOC CONTR - PENSION"/>
    <n v="527070"/>
    <n v="-141346.4"/>
    <n v="0"/>
    <n v="-848078.4"/>
    <n v="-563200.6"/>
    <n v="60.09"/>
    <n v="0"/>
    <n v="527070"/>
    <n v="560011.875"/>
    <n v="599212.70625000005"/>
    <n v="641157.59568750008"/>
    <x v="1"/>
    <x v="1"/>
  </r>
  <r>
    <s v="50202130400EQMRCZZHO"/>
    <m/>
    <s v="MS: SOC CONTR - UNEMPLOYMENT INSUR FUND"/>
    <n v="14280"/>
    <n v="-141346.4"/>
    <n v="0"/>
    <n v="-848078.4"/>
    <n v="-563200.6"/>
    <n v="60.09"/>
    <n v="0"/>
    <n v="14280"/>
    <n v="15172.5"/>
    <n v="16234.575000000001"/>
    <n v="17370.99525"/>
    <x v="1"/>
    <x v="1"/>
  </r>
  <r>
    <s v="50202130400FMMRCZZHO"/>
    <m/>
    <s v="MS: SOC CONTR - UNEMPLOYMENT INSUR FUND"/>
    <n v="0"/>
    <n v="-141346.4"/>
    <n v="0"/>
    <n v="-848078.4"/>
    <n v="-563200.6"/>
    <n v="60.09"/>
    <n v="0"/>
    <n v="0"/>
    <n v="0"/>
    <n v="0"/>
    <m/>
    <x v="1"/>
    <x v="1"/>
  </r>
  <r>
    <s v="50202140020PRMRCZZHO"/>
    <m/>
    <s v="MS: PRB - MED: CURRENT SERVICE COST"/>
    <n v="41616"/>
    <n v="-141346.4"/>
    <n v="0"/>
    <n v="-848078.4"/>
    <n v="-563200.6"/>
    <n v="60.09"/>
    <n v="0"/>
    <n v="41616"/>
    <n v="44217"/>
    <n v="47312.19"/>
    <n v="50624.043300000005"/>
    <x v="1"/>
    <x v="1"/>
  </r>
  <r>
    <s v="50202140040PRMRCZZHO"/>
    <m/>
    <s v="MS: PRB - MED: INTEREST COST"/>
    <n v="54019"/>
    <n v="-141346.4"/>
    <n v="0"/>
    <n v="-848078.4"/>
    <n v="-563200.6"/>
    <n v="60.09"/>
    <n v="0"/>
    <n v="54019"/>
    <n v="57395.1875"/>
    <n v="61412.850624999999"/>
    <n v="65711.750168750004"/>
    <x v="1"/>
    <x v="1"/>
  </r>
  <r>
    <s v="50202142200PRMRCZZHO"/>
    <m/>
    <s v="MS: PRB - OTHER: LONG TERM SERVICE AWARD"/>
    <n v="39314"/>
    <n v="-141346.4"/>
    <n v="0"/>
    <n v="-848078.4"/>
    <n v="-563200.6"/>
    <n v="60.09"/>
    <n v="0"/>
    <n v="39314"/>
    <n v="41771.125"/>
    <n v="44695.103750000002"/>
    <n v="47823.761012499999"/>
    <x v="1"/>
    <x v="1"/>
  </r>
  <r>
    <s v="502022_NEW1"/>
    <m/>
    <s v="COMPILATION OF VALUATION ROLL"/>
    <n v="0"/>
    <m/>
    <m/>
    <m/>
    <m/>
    <m/>
    <m/>
    <n v="0"/>
    <n v="0"/>
    <n v="2200000"/>
    <n v="0"/>
    <x v="1"/>
    <x v="2"/>
  </r>
  <r>
    <s v="50202260_new 1"/>
    <m/>
    <s v="REVENUE ENHANCEMENT STRATEGY"/>
    <n v="0"/>
    <m/>
    <m/>
    <m/>
    <m/>
    <m/>
    <m/>
    <n v="0"/>
    <n v="800000"/>
    <n v="0"/>
    <n v="0"/>
    <x v="1"/>
    <x v="2"/>
  </r>
  <r>
    <s v="50202260370ORMRCZZHO"/>
    <m/>
    <s v="OS: B&amp;A ORGANISATIONAL"/>
    <n v="205000"/>
    <n v="-141346.4"/>
    <n v="0"/>
    <n v="-848078.4"/>
    <n v="-563200.6"/>
    <n v="60.09"/>
    <n v="200000"/>
    <n v="405000"/>
    <n v="200000"/>
    <n v="209200"/>
    <n v="218823.2"/>
    <x v="1"/>
    <x v="2"/>
  </r>
  <r>
    <s v="50202260420PRMRCZZHO"/>
    <m/>
    <s v="OS: B&amp;A VALUER"/>
    <n v="300000"/>
    <n v="-141346.4"/>
    <n v="0"/>
    <n v="-848078.4"/>
    <n v="-563200.6"/>
    <n v="60.09"/>
    <n v="168000"/>
    <n v="468000"/>
    <n v="300000"/>
    <n v="0"/>
    <n v="300000"/>
    <x v="1"/>
    <x v="2"/>
  </r>
  <r>
    <s v="50202265400ORMRCZZHO"/>
    <m/>
    <s v="OS: SECURITY SERVICES"/>
    <n v="162340"/>
    <n v="-141346.4"/>
    <n v="0"/>
    <n v="-848078.4"/>
    <n v="-563200.6"/>
    <n v="60.09"/>
    <n v="0"/>
    <n v="162340"/>
    <n v="169645.3"/>
    <n v="177448.98379999999"/>
    <n v="185611.6370548"/>
    <x v="1"/>
    <x v="2"/>
  </r>
  <r>
    <s v="50202270300FMS76ZZWM"/>
    <s v="DEBTORS ANALYSIS"/>
    <s v="C&amp;PS: B&amp;A ACCOUNTANTS &amp; AUDITORS"/>
    <n v="700000"/>
    <n v="-141346.4"/>
    <n v="0"/>
    <n v="-848078.4"/>
    <n v="-563200.6"/>
    <n v="60.09"/>
    <n v="-52000"/>
    <n v="648000"/>
    <n v="700000"/>
    <n v="0"/>
    <n v="0"/>
    <x v="1"/>
    <x v="2"/>
  </r>
  <r>
    <s v="50202300900F3MRCZZHO"/>
    <m/>
    <s v="OC: COMMISSION - THIRD PARTY VENDORS"/>
    <n v="1176923"/>
    <n v="-141346.4"/>
    <n v="0"/>
    <n v="-848078.4"/>
    <n v="-563200.6"/>
    <n v="60.09"/>
    <n v="600000"/>
    <n v="1776923"/>
    <n v="2100000"/>
    <n v="2194500"/>
    <n v="2293252.5"/>
    <x v="1"/>
    <x v="3"/>
  </r>
  <r>
    <s v="50202305410EQMRCZZHO"/>
    <m/>
    <s v="OC: SKILLS DEVELOPMENT FUND LEVY"/>
    <n v="0"/>
    <n v="-141346.4"/>
    <n v="0"/>
    <n v="-848078.4"/>
    <n v="-563200.6"/>
    <n v="60.09"/>
    <n v="40000"/>
    <n v="40000"/>
    <n v="41800"/>
    <n v="43681"/>
    <n v="45646.644999999997"/>
    <x v="1"/>
    <x v="3"/>
  </r>
  <r>
    <s v="50202305410FMMRCZZHO"/>
    <m/>
    <s v="OC: SKILLS DEVELOPMENT FUND LEVY"/>
    <n v="0"/>
    <n v="-141346.4"/>
    <n v="0"/>
    <n v="-848078.4"/>
    <n v="-563200.6"/>
    <n v="60.09"/>
    <n v="800"/>
    <n v="800"/>
    <n v="836"/>
    <n v="873.62"/>
    <n v="912.93290000000002"/>
    <x v="1"/>
    <x v="3"/>
  </r>
  <r>
    <s v="50202305760EQMRCZZHO"/>
    <m/>
    <s v="OC: T&amp;S DOM - ACCOMMODATION"/>
    <n v="0"/>
    <n v="-141346.4"/>
    <n v="0"/>
    <n v="-848078.4"/>
    <n v="-563200.6"/>
    <n v="60.09"/>
    <n v="20000"/>
    <n v="20000"/>
    <n v="20900"/>
    <n v="21840.5"/>
    <n v="22823.322499999998"/>
    <x v="1"/>
    <x v="3"/>
  </r>
  <r>
    <s v="50202400010ORMRCZZWM"/>
    <m/>
    <s v="BAD DEBTS WRITTEN OFF"/>
    <n v="5837102"/>
    <n v="-141346.4"/>
    <n v="0"/>
    <n v="-848078.4"/>
    <n v="-563200.6"/>
    <n v="60.09"/>
    <n v="0"/>
    <n v="5837102"/>
    <n v="6099771.5899999999"/>
    <n v="6374261.3115499998"/>
    <n v="6661103.0705697499"/>
    <x v="1"/>
    <x v="9"/>
  </r>
  <r>
    <s v="50202720040PRMRCZZWM"/>
    <m/>
    <s v="AMORTISATION INTANG COMPUTER SOFTWARE"/>
    <n v="3371"/>
    <n v="-141346.4"/>
    <n v="0"/>
    <n v="-848078.4"/>
    <n v="-563200.6"/>
    <n v="60.09"/>
    <n v="-3371"/>
    <n v="0"/>
    <n v="0"/>
    <n v="0"/>
    <n v="0"/>
    <x v="1"/>
    <x v="6"/>
  </r>
  <r>
    <s v="50202720600PRMRCZZWM"/>
    <m/>
    <s v="DEPRECIATION COMPUTER EQUIPMENT"/>
    <n v="10575"/>
    <n v="-141346.4"/>
    <n v="0"/>
    <n v="-848078.4"/>
    <n v="-563200.6"/>
    <n v="60.09"/>
    <n v="0"/>
    <n v="10575"/>
    <n v="11050.875"/>
    <n v="11548.164375"/>
    <n v="12067.831771875"/>
    <x v="1"/>
    <x v="6"/>
  </r>
  <r>
    <s v="50202721500PRMRCZZWM"/>
    <m/>
    <s v="DEPRECIATION FURNITURE &amp; OFFICE EQUIPM"/>
    <n v="109733"/>
    <n v="-141346.4"/>
    <n v="0"/>
    <n v="-848078.4"/>
    <n v="-563200.6"/>
    <n v="60.09"/>
    <n v="0"/>
    <n v="109733"/>
    <n v="114670.985"/>
    <n v="119831.179325"/>
    <n v="125223.582394625"/>
    <x v="1"/>
    <x v="6"/>
  </r>
  <r>
    <s v="50202723600PRMRCZZWM"/>
    <m/>
    <s v="DEPRECIATION  MACHINERY &amp; EQUIPMENT"/>
    <n v="0"/>
    <n v="-141346.4"/>
    <n v="0"/>
    <n v="-848078.4"/>
    <n v="-563200.6"/>
    <n v="60.09"/>
    <n v="0"/>
    <n v="0"/>
    <n v="0"/>
    <n v="0"/>
    <n v="0"/>
    <x v="1"/>
    <x v="6"/>
  </r>
  <r>
    <s v="50206191420FCC90ZZHO"/>
    <m/>
    <s v="TRAFFIC FINES MANAGEMENT SYSTEM"/>
    <n v="200000"/>
    <n v="-141346.4"/>
    <n v="0"/>
    <n v="-848078.4"/>
    <n v="-563200.6"/>
    <n v="60.09"/>
    <n v="40000"/>
    <n v="240000"/>
    <n v="200000"/>
    <n v="0"/>
    <m/>
    <x v="2"/>
    <x v="0"/>
  </r>
  <r>
    <s v="50252110010EQMRCZZHO"/>
    <m/>
    <s v="MS: SAL &amp; ALL: BASIC SALARY &amp; WAGES"/>
    <n v="2016139"/>
    <n v="-141346.4"/>
    <n v="0"/>
    <n v="-848078.4"/>
    <n v="-563200.6"/>
    <n v="60.09"/>
    <n v="0"/>
    <n v="2016139"/>
    <n v="2142147.6875"/>
    <n v="2292098.0256249998"/>
    <n v="2452544.8874187497"/>
    <x v="1"/>
    <x v="1"/>
  </r>
  <r>
    <s v="50252110010FMMRCZZHO"/>
    <m/>
    <s v="MS: SAL &amp; ALL: BASIC SALARY &amp; WAGES"/>
    <n v="80600"/>
    <n v="-141346.4"/>
    <n v="0"/>
    <n v="-848078.4"/>
    <n v="-563200.6"/>
    <n v="60.09"/>
    <n v="0"/>
    <n v="80600"/>
    <n v="85637.5"/>
    <n v="91632.125"/>
    <n v="98046.373749999999"/>
    <x v="1"/>
    <x v="1"/>
  </r>
  <r>
    <s v="50252110100EQMRCZZHO"/>
    <m/>
    <s v="MS: SAL &amp; ALL: PERFORMANCE BASED BONUSES"/>
    <n v="83607"/>
    <n v="-141346.4"/>
    <n v="0"/>
    <n v="-848078.4"/>
    <n v="-563200.6"/>
    <n v="60.09"/>
    <n v="-41271.550000000003"/>
    <n v="42335.45"/>
    <n v="44981.415624999994"/>
    <n v="48130.114718749996"/>
    <n v="51499.222749062494"/>
    <x v="1"/>
    <x v="1"/>
  </r>
  <r>
    <s v="50252110220EQMRCZZHO"/>
    <m/>
    <s v="MS: ALL - CELLULAR &amp; TELEPHONE"/>
    <n v="52200"/>
    <n v="-141346.4"/>
    <n v="0"/>
    <n v="-848078.4"/>
    <n v="-563200.6"/>
    <n v="60.09"/>
    <n v="0"/>
    <n v="52200"/>
    <n v="55462.5"/>
    <n v="59344.875"/>
    <n v="63499.016250000001"/>
    <x v="1"/>
    <x v="1"/>
  </r>
  <r>
    <s v="50252110260EQMRCZZHO"/>
    <m/>
    <s v="MS: HB &amp; INC: HOUSING BENEFITS"/>
    <n v="10893"/>
    <n v="-141346.4"/>
    <n v="0"/>
    <n v="-848078.4"/>
    <n v="-563200.6"/>
    <n v="60.09"/>
    <n v="0"/>
    <n v="10893"/>
    <n v="11573.8125"/>
    <n v="12383.979375000001"/>
    <n v="13250.857931250001"/>
    <x v="1"/>
    <x v="1"/>
  </r>
  <r>
    <s v="50252110320EQMRCZZHO"/>
    <m/>
    <s v="MS: ALL - LEAVE PAY"/>
    <n v="59373"/>
    <n v="-141346.4"/>
    <n v="0"/>
    <n v="-848078.4"/>
    <n v="-563200.6"/>
    <n v="60.09"/>
    <n v="0"/>
    <n v="59373"/>
    <n v="63083.8125"/>
    <n v="67499.679375000007"/>
    <n v="72224.656931250007"/>
    <x v="1"/>
    <x v="1"/>
  </r>
  <r>
    <s v="50252110340EQMRCZZHO"/>
    <m/>
    <s v="MS: ALL - TRAVEL OR MOTOR VEHICLE"/>
    <n v="307875"/>
    <n v="-141346.4"/>
    <n v="0"/>
    <n v="-848078.4"/>
    <n v="-563200.6"/>
    <n v="60.09"/>
    <n v="0"/>
    <n v="307875"/>
    <n v="327117.1875"/>
    <n v="350015.390625"/>
    <n v="374516.46796874999"/>
    <x v="1"/>
    <x v="1"/>
  </r>
  <r>
    <s v="50252110360EQMRCZZHO"/>
    <m/>
    <s v="MS: OVERTIME - NON STRUCTURED"/>
    <n v="10516"/>
    <n v="-141346.4"/>
    <n v="0"/>
    <n v="-848078.4"/>
    <n v="-563200.6"/>
    <n v="60.09"/>
    <n v="0"/>
    <n v="10516"/>
    <n v="11173.25"/>
    <n v="11955.377500000001"/>
    <n v="12792.253925000001"/>
    <x v="1"/>
    <x v="1"/>
  </r>
  <r>
    <s v="50252110440EQMRCZZHO"/>
    <m/>
    <s v="MS: SRB - ACTING ALLOWANCE"/>
    <n v="11138"/>
    <n v="-141346.4"/>
    <n v="0"/>
    <n v="-848078.4"/>
    <n v="-563200.6"/>
    <n v="60.09"/>
    <n v="0"/>
    <n v="11138"/>
    <n v="11834.125"/>
    <n v="12662.51375"/>
    <n v="13548.8897125"/>
    <x v="1"/>
    <x v="1"/>
  </r>
  <r>
    <s v="50252110460EQMRCZZHO"/>
    <m/>
    <s v="MS: SRB - ANNUAL BONUS"/>
    <n v="168012"/>
    <n v="-141346.4"/>
    <n v="0"/>
    <n v="-848078.4"/>
    <n v="-563200.6"/>
    <n v="60.09"/>
    <n v="0"/>
    <n v="168012"/>
    <n v="178512.75"/>
    <n v="191008.64249999999"/>
    <n v="204379.24747499998"/>
    <x v="1"/>
    <x v="1"/>
  </r>
  <r>
    <s v="50252110500EQMRCZZHO"/>
    <m/>
    <s v="MS: SRB - LONG SERVICE AWARD"/>
    <n v="21018"/>
    <n v="-141346.4"/>
    <n v="0"/>
    <n v="-848078.4"/>
    <n v="-563200.6"/>
    <n v="60.09"/>
    <n v="0"/>
    <n v="21018"/>
    <n v="22331.625"/>
    <n v="23894.838749999999"/>
    <n v="25567.477462499999"/>
    <x v="1"/>
    <x v="1"/>
  </r>
  <r>
    <s v="50252110630EQMRCZZHO"/>
    <m/>
    <s v="MS: SRB - NON PENSIONABLE"/>
    <n v="15692"/>
    <n v="-141346.4"/>
    <n v="0"/>
    <n v="-848078.4"/>
    <n v="-563200.6"/>
    <n v="60.09"/>
    <n v="0"/>
    <n v="15692"/>
    <n v="16672.75"/>
    <n v="17839.842499999999"/>
    <n v="19088.631474999998"/>
    <x v="1"/>
    <x v="1"/>
  </r>
  <r>
    <s v="50252130010EQMRCZZHO"/>
    <m/>
    <s v="MS: SOC CONTR - BARGAINING COUNCIL"/>
    <n v="674"/>
    <n v="-141346.4"/>
    <n v="0"/>
    <n v="-848078.4"/>
    <n v="-563200.6"/>
    <n v="60.09"/>
    <n v="0"/>
    <n v="674"/>
    <n v="716.125"/>
    <n v="766.25374999999997"/>
    <n v="819.89151249999998"/>
    <x v="1"/>
    <x v="1"/>
  </r>
  <r>
    <s v="50252130200EQMRCZZHO"/>
    <m/>
    <s v="MS: SOC CONTR - MEDICAL"/>
    <n v="161725"/>
    <n v="-141346.4"/>
    <n v="0"/>
    <n v="-848078.4"/>
    <n v="-563200.6"/>
    <n v="60.09"/>
    <n v="-100000"/>
    <n v="61725"/>
    <n v="65582.8125"/>
    <n v="70173.609375"/>
    <n v="75085.762031249993"/>
    <x v="1"/>
    <x v="1"/>
  </r>
  <r>
    <s v="50252130300EQMRCZZHO"/>
    <m/>
    <s v="MS: SOC CONTR - PENSION"/>
    <n v="443551"/>
    <n v="-141346.4"/>
    <n v="0"/>
    <n v="-848078.4"/>
    <n v="-563200.6"/>
    <n v="60.09"/>
    <n v="0"/>
    <n v="443551"/>
    <n v="471272.9375"/>
    <n v="504262.04312499997"/>
    <n v="539560.38614374993"/>
    <x v="1"/>
    <x v="1"/>
  </r>
  <r>
    <s v="50252130400EQMRCZZHO"/>
    <m/>
    <s v="MS: SOC CONTR - UNEMPLOYMENT INSUR FUND"/>
    <n v="10710"/>
    <n v="-141346.4"/>
    <n v="0"/>
    <n v="-848078.4"/>
    <n v="-563200.6"/>
    <n v="60.09"/>
    <n v="0"/>
    <n v="10710"/>
    <n v="11379.375"/>
    <n v="12175.93125"/>
    <n v="13028.2464375"/>
    <x v="1"/>
    <x v="1"/>
  </r>
  <r>
    <s v="50252130400FMMRCZZHO"/>
    <m/>
    <s v="MS: SOC CONTR - UNEMPLOYMENT INSUR FUND"/>
    <n v="0"/>
    <n v="-141346.4"/>
    <n v="0"/>
    <n v="-848078.4"/>
    <n v="-563200.6"/>
    <n v="60.09"/>
    <n v="0"/>
    <n v="0"/>
    <n v="0"/>
    <n v="0"/>
    <m/>
    <x v="1"/>
    <x v="1"/>
  </r>
  <r>
    <s v="50252140020PRMRCZZHO"/>
    <m/>
    <s v="MS: PRB - MED: CURRENT SERVICE COST"/>
    <n v="13215"/>
    <n v="-141346.4"/>
    <n v="0"/>
    <n v="-848078.4"/>
    <n v="-563200.6"/>
    <n v="60.09"/>
    <n v="0"/>
    <n v="13215"/>
    <n v="14040.9375"/>
    <n v="15023.803125"/>
    <n v="16075.469343750001"/>
    <x v="1"/>
    <x v="1"/>
  </r>
  <r>
    <s v="50252140040PRMRCZZHO"/>
    <m/>
    <s v="MS: PRB - MED: INTEREST COST"/>
    <n v="7153"/>
    <n v="-141346.4"/>
    <n v="0"/>
    <n v="-848078.4"/>
    <n v="-563200.6"/>
    <n v="60.09"/>
    <n v="0"/>
    <n v="7153"/>
    <n v="7600.0625"/>
    <n v="8132.0668750000004"/>
    <n v="8701.3115562500006"/>
    <x v="1"/>
    <x v="1"/>
  </r>
  <r>
    <s v="50252142200PRMRCZZHO"/>
    <m/>
    <s v="MS: PRB - OTHER: LONG TERM SERVICE AWARD"/>
    <n v="24762"/>
    <n v="-141346.4"/>
    <n v="0"/>
    <n v="-848078.4"/>
    <n v="-563200.6"/>
    <n v="60.09"/>
    <n v="0"/>
    <n v="24762"/>
    <n v="26309.625"/>
    <n v="28151.298750000002"/>
    <n v="30121.889662500002"/>
    <x v="1"/>
    <x v="1"/>
  </r>
  <r>
    <s v="50252260320ORS44ZZWM"/>
    <s v="Uploading of inventory"/>
    <s v="OS: B&amp;A BUSINESS &amp; FINANCIAL MANAGEMENT"/>
    <n v="500000"/>
    <n v="-141346.4"/>
    <n v="0"/>
    <n v="-848078.4"/>
    <n v="-563200.6"/>
    <n v="60.09"/>
    <n v="-500000"/>
    <n v="0"/>
    <n v="350000"/>
    <n v="0"/>
    <m/>
    <x v="1"/>
    <x v="2"/>
  </r>
  <r>
    <s v="50252305410EQMRCZZHO"/>
    <m/>
    <s v="OC: SKILLS DEVELOPMENT FUND LEVY"/>
    <n v="0"/>
    <n v="-141346.4"/>
    <n v="0"/>
    <n v="-848078.4"/>
    <n v="-563200.6"/>
    <n v="60.09"/>
    <n v="20000"/>
    <n v="20000"/>
    <n v="20900"/>
    <n v="21840.5"/>
    <n v="22823.322499999998"/>
    <x v="1"/>
    <x v="3"/>
  </r>
  <r>
    <s v="50252305410FMMRCZZHO"/>
    <m/>
    <s v="OC: SKILLS DEVELOPMENT FUND LEVY"/>
    <n v="0"/>
    <n v="-141346.4"/>
    <n v="0"/>
    <n v="-848078.4"/>
    <n v="-563200.6"/>
    <n v="60.09"/>
    <n v="800"/>
    <n v="800"/>
    <n v="836"/>
    <n v="873.62"/>
    <n v="912.93290000000002"/>
    <x v="1"/>
    <x v="3"/>
  </r>
  <r>
    <s v="50252305760EQMRCZZHO"/>
    <m/>
    <s v="OC: T&amp;S DOM - ACCOMMODATION"/>
    <n v="0"/>
    <n v="-141346.4"/>
    <n v="0"/>
    <n v="-848078.4"/>
    <n v="-563200.6"/>
    <n v="60.09"/>
    <n v="30000"/>
    <n v="30000"/>
    <n v="31350"/>
    <n v="32760.75"/>
    <n v="34234.983749999999"/>
    <x v="1"/>
    <x v="3"/>
  </r>
  <r>
    <s v="50252320600ORMRCZZHO"/>
    <m/>
    <s v="INV - CONSUMABLE STORES - STANDARD RATED"/>
    <n v="1270074"/>
    <n v="-141346.4"/>
    <n v="0"/>
    <n v="-848078.4"/>
    <n v="-563200.6"/>
    <n v="60.09"/>
    <n v="300000"/>
    <n v="1570074"/>
    <n v="1640727.33"/>
    <n v="1714560.0598500001"/>
    <n v="1791715.2625432501"/>
    <x v="1"/>
    <x v="4"/>
  </r>
  <r>
    <s v="50252720600PRMRCZZWM"/>
    <m/>
    <s v="DEPRECIATION COMPUTER EQUIPMENT"/>
    <n v="7648"/>
    <n v="-141346.4"/>
    <n v="0"/>
    <n v="-848078.4"/>
    <n v="-563200.6"/>
    <n v="60.09"/>
    <n v="0"/>
    <n v="7648"/>
    <n v="7992.16"/>
    <n v="8351.8071999999993"/>
    <n v="8727.638524"/>
    <x v="1"/>
    <x v="6"/>
  </r>
  <r>
    <s v="50252721500PRMRCZZWM"/>
    <m/>
    <s v="DEPRECIATION FURNITURE &amp; OFFICE EQUIPM"/>
    <n v="2242"/>
    <n v="-141346.4"/>
    <n v="0"/>
    <n v="-848078.4"/>
    <n v="-563200.6"/>
    <n v="60.09"/>
    <n v="0"/>
    <n v="2242"/>
    <n v="2342.89"/>
    <n v="2448.3200499999998"/>
    <n v="2558.49445225"/>
    <x v="1"/>
    <x v="6"/>
  </r>
  <r>
    <s v="50302110010EQMRCZZHO"/>
    <m/>
    <s v="MS: SAL &amp; ALL: BASIC SALARY &amp; WAGES"/>
    <n v="1687888"/>
    <n v="-141346.4"/>
    <n v="0"/>
    <n v="-848078.4"/>
    <n v="-563200.6"/>
    <n v="60.09"/>
    <n v="0"/>
    <n v="1687888"/>
    <n v="1793381"/>
    <n v="1918917.67"/>
    <n v="2053241.9068999998"/>
    <x v="1"/>
    <x v="1"/>
  </r>
  <r>
    <s v="50302110010FMMRCZZHO"/>
    <m/>
    <s v="MS: SAL &amp; ALL: BASIC SALARY &amp; WAGES"/>
    <n v="80600"/>
    <n v="-141346.4"/>
    <n v="0"/>
    <n v="-848078.4"/>
    <n v="-563200.6"/>
    <n v="60.09"/>
    <n v="0"/>
    <n v="80600"/>
    <n v="85637.5"/>
    <n v="91632.125"/>
    <n v="98046.373749999999"/>
    <x v="1"/>
    <x v="1"/>
  </r>
  <r>
    <s v="50302110100EQMRCZZHO"/>
    <m/>
    <s v="MS: SAL &amp; ALL: PERFORMANCE BASED BONUSES"/>
    <n v="84394"/>
    <n v="-141346.4"/>
    <n v="0"/>
    <n v="-848078.4"/>
    <n v="-563200.6"/>
    <n v="60.09"/>
    <n v="-50525.64"/>
    <n v="33868.36"/>
    <n v="35985.1325"/>
    <n v="38504.091775000001"/>
    <n v="41199.378199250001"/>
    <x v="1"/>
    <x v="1"/>
  </r>
  <r>
    <s v="50302110220EQMRCZZHO"/>
    <m/>
    <s v="MS: ALL - CELLULAR &amp; TELEPHONE"/>
    <n v="52200"/>
    <n v="-141346.4"/>
    <n v="0"/>
    <n v="-848078.4"/>
    <n v="-563200.6"/>
    <n v="60.09"/>
    <n v="0"/>
    <n v="52200"/>
    <n v="55462.5"/>
    <n v="59344.875"/>
    <n v="63499.016250000001"/>
    <x v="1"/>
    <x v="1"/>
  </r>
  <r>
    <s v="50302110260EQMRCZZHO"/>
    <m/>
    <s v="MS: HB &amp; INC: HOUSING BENEFITS"/>
    <n v="10893"/>
    <n v="-141346.4"/>
    <n v="0"/>
    <n v="-848078.4"/>
    <n v="-563200.6"/>
    <n v="60.09"/>
    <n v="0"/>
    <n v="10893"/>
    <n v="11573.8125"/>
    <n v="12383.979375000001"/>
    <n v="13250.857931250001"/>
    <x v="1"/>
    <x v="1"/>
  </r>
  <r>
    <s v="50302110320EQMRCZZHO"/>
    <m/>
    <s v="MS: ALL - LEAVE PAY"/>
    <n v="55271"/>
    <n v="-141346.4"/>
    <n v="0"/>
    <n v="-848078.4"/>
    <n v="-563200.6"/>
    <n v="60.09"/>
    <n v="0"/>
    <n v="55271"/>
    <n v="58725.4375"/>
    <n v="62836.218124999999"/>
    <n v="67234.753393749997"/>
    <x v="1"/>
    <x v="1"/>
  </r>
  <r>
    <s v="50302110340EQMRCZZHO"/>
    <m/>
    <s v="MS: ALL - TRAVEL OR MOTOR VEHICLE"/>
    <n v="365236"/>
    <n v="-141346.4"/>
    <n v="0"/>
    <n v="-848078.4"/>
    <n v="-563200.6"/>
    <n v="60.09"/>
    <n v="0"/>
    <n v="365236"/>
    <n v="388063.25"/>
    <n v="415227.67749999999"/>
    <n v="444293.614925"/>
    <x v="1"/>
    <x v="1"/>
  </r>
  <r>
    <s v="50302110360EQMRCZZHO"/>
    <m/>
    <s v="MS: OVERTIME - NON STRUCTURED"/>
    <n v="7383"/>
    <n v="-141346.4"/>
    <n v="0"/>
    <n v="-848078.4"/>
    <n v="-563200.6"/>
    <n v="60.09"/>
    <n v="7617"/>
    <n v="15000"/>
    <n v="15937.5"/>
    <n v="17053.125"/>
    <n v="18246.84375"/>
    <x v="1"/>
    <x v="1"/>
  </r>
  <r>
    <s v="50302110440EQMRCZZHO"/>
    <m/>
    <s v="MS: SRB - ACTING ALLOWANCE"/>
    <n v="12841"/>
    <n v="-141346.4"/>
    <n v="0"/>
    <n v="-848078.4"/>
    <n v="-563200.6"/>
    <n v="60.09"/>
    <n v="0"/>
    <n v="12841"/>
    <n v="13643.5625"/>
    <n v="14598.611875000001"/>
    <n v="15620.51470625"/>
    <x v="1"/>
    <x v="1"/>
  </r>
  <r>
    <s v="50302110460EQMRCZZHO"/>
    <m/>
    <s v="MS: SRB - ANNUAL BONUS"/>
    <n v="140657"/>
    <n v="-141346.4"/>
    <n v="0"/>
    <n v="-848078.4"/>
    <n v="-563200.6"/>
    <n v="60.09"/>
    <n v="0"/>
    <n v="140657"/>
    <n v="149448.0625"/>
    <n v="159909.426875"/>
    <n v="171103.08675625001"/>
    <x v="1"/>
    <x v="1"/>
  </r>
  <r>
    <s v="50302110500EQMRCZZHO"/>
    <m/>
    <s v="MS: SRB - LONG SERVICE AWARD"/>
    <n v="57035"/>
    <n v="-141346.4"/>
    <n v="0"/>
    <n v="-848078.4"/>
    <n v="-563200.6"/>
    <n v="60.09"/>
    <n v="0"/>
    <n v="57035"/>
    <n v="60599.6875"/>
    <n v="64841.665625000001"/>
    <n v="69380.582218750002"/>
    <x v="1"/>
    <x v="1"/>
  </r>
  <r>
    <s v="50302110630EQMRCZZHO"/>
    <m/>
    <s v="MS: SRB - NON PENSIONABLE"/>
    <n v="15692"/>
    <n v="-141346.4"/>
    <n v="0"/>
    <n v="-848078.4"/>
    <n v="-563200.6"/>
    <n v="60.09"/>
    <n v="0"/>
    <n v="15692"/>
    <n v="16672.75"/>
    <n v="17839.842499999999"/>
    <n v="19088.631474999998"/>
    <x v="1"/>
    <x v="1"/>
  </r>
  <r>
    <s v="50302130010EQMRCZZHO"/>
    <m/>
    <s v="MS: SOC CONTR - BARGAINING COUNCIL"/>
    <n v="449"/>
    <n v="-141346.4"/>
    <n v="0"/>
    <n v="-848078.4"/>
    <n v="-563200.6"/>
    <n v="60.09"/>
    <n v="0"/>
    <n v="449"/>
    <n v="477.0625"/>
    <n v="510.45687499999997"/>
    <n v="546.18885624999996"/>
    <x v="1"/>
    <x v="1"/>
  </r>
  <r>
    <s v="50302130200EQMRCZZHO"/>
    <m/>
    <s v="MS: SOC CONTR - MEDICAL"/>
    <n v="161725"/>
    <n v="-141346.4"/>
    <n v="0"/>
    <n v="-848078.4"/>
    <n v="-563200.6"/>
    <n v="60.09"/>
    <n v="0"/>
    <n v="161725"/>
    <n v="171832.8125"/>
    <n v="183861.109375"/>
    <n v="196731.38703124999"/>
    <x v="1"/>
    <x v="1"/>
  </r>
  <r>
    <s v="50302130300EQMRCZZHO"/>
    <m/>
    <s v="MS: SOC CONTR - PENSION"/>
    <n v="371335"/>
    <n v="-141346.4"/>
    <n v="0"/>
    <n v="-848078.4"/>
    <n v="-563200.6"/>
    <n v="60.09"/>
    <n v="0"/>
    <n v="371335"/>
    <n v="394543.4375"/>
    <n v="422161.47812500002"/>
    <n v="451712.78159375"/>
    <x v="1"/>
    <x v="1"/>
  </r>
  <r>
    <s v="50302130400EQMRCZZHO"/>
    <m/>
    <s v="MS: SOC CONTR - UNEMPLOYMENT INSUR FUND"/>
    <n v="7140"/>
    <n v="-141346.4"/>
    <n v="0"/>
    <n v="-848078.4"/>
    <n v="-563200.6"/>
    <n v="60.09"/>
    <n v="0"/>
    <n v="7140"/>
    <n v="7586.25"/>
    <n v="8117.2875000000004"/>
    <n v="8685.497625"/>
    <x v="1"/>
    <x v="1"/>
  </r>
  <r>
    <s v="50302140020PRMRCZZHO"/>
    <m/>
    <s v="MS: PRB - MED: CURRENT SERVICE COST"/>
    <n v="32206"/>
    <n v="-141346.4"/>
    <n v="0"/>
    <n v="-848078.4"/>
    <n v="-563200.6"/>
    <n v="60.09"/>
    <n v="0"/>
    <n v="32206"/>
    <n v="34218.875"/>
    <n v="36614.196250000001"/>
    <n v="39177.189987500002"/>
    <x v="1"/>
    <x v="1"/>
  </r>
  <r>
    <s v="50302140040PRMRCZZHO"/>
    <m/>
    <s v="MS: PRB - MED: INTEREST COST"/>
    <n v="40124"/>
    <n v="-141346.4"/>
    <n v="0"/>
    <n v="-848078.4"/>
    <n v="-563200.6"/>
    <n v="60.09"/>
    <n v="0"/>
    <n v="40124"/>
    <n v="42631.75"/>
    <n v="45615.972500000003"/>
    <n v="48809.090575000002"/>
    <x v="1"/>
    <x v="1"/>
  </r>
  <r>
    <s v="50302142200PRMRCZZHO"/>
    <m/>
    <s v="MS: PRB - OTHER: LONG TERM SERVICE AWARD"/>
    <n v="29542"/>
    <n v="-141346.4"/>
    <n v="0"/>
    <n v="-848078.4"/>
    <n v="-563200.6"/>
    <n v="60.09"/>
    <n v="0"/>
    <n v="29542"/>
    <n v="31388.375"/>
    <n v="33585.561249999999"/>
    <n v="35936.550537499999"/>
    <x v="1"/>
    <x v="1"/>
  </r>
  <r>
    <s v="50302300400ORMRCZZHO"/>
    <m/>
    <s v="OC: BC/FAC/C FEES - BANK ACCOUNTS"/>
    <n v="402221"/>
    <n v="-141346.4"/>
    <n v="0"/>
    <n v="-848078.4"/>
    <n v="-563200.6"/>
    <n v="60.09"/>
    <n v="0"/>
    <n v="402221"/>
    <n v="420320.94500000001"/>
    <n v="439235.38752500003"/>
    <n v="459000.97996362502"/>
    <x v="1"/>
    <x v="3"/>
  </r>
  <r>
    <s v="50302301440ORMRCZZHO"/>
    <m/>
    <s v="OC: DEEDS"/>
    <n v="8917"/>
    <n v="-141346.4"/>
    <n v="0"/>
    <n v="-848078.4"/>
    <n v="-563200.6"/>
    <n v="60.09"/>
    <n v="0"/>
    <n v="8917"/>
    <n v="9318.2649999999994"/>
    <n v="9737.5869249999996"/>
    <n v="10175.778336624999"/>
    <x v="1"/>
    <x v="3"/>
  </r>
  <r>
    <s v="50302305410EQMRCZZHO"/>
    <m/>
    <s v="OC: SKILLS DEVELOPMENT FUND LEVY"/>
    <n v="0"/>
    <n v="-141346.4"/>
    <n v="0"/>
    <n v="-848078.4"/>
    <n v="-563200.6"/>
    <n v="60.09"/>
    <n v="30000"/>
    <n v="30000"/>
    <n v="31350"/>
    <n v="32760.75"/>
    <n v="34234.983749999999"/>
    <x v="1"/>
    <x v="3"/>
  </r>
  <r>
    <s v="50302305760EQMRCZZHO"/>
    <m/>
    <s v="OC: T&amp;S DOM - ACCOMMODATION"/>
    <n v="0"/>
    <n v="-141346.4"/>
    <n v="0"/>
    <n v="-848078.4"/>
    <n v="-563200.6"/>
    <n v="60.09"/>
    <n v="40000"/>
    <n v="40000"/>
    <n v="41800"/>
    <n v="43681"/>
    <n v="45646.644999999997"/>
    <x v="1"/>
    <x v="3"/>
  </r>
  <r>
    <s v="50302362420ORMRCZZHO"/>
    <m/>
    <s v="INT PAID BOR: ANNUITY LOANS"/>
    <n v="1255286"/>
    <n v="-141346.4"/>
    <n v="0"/>
    <n v="-848078.4"/>
    <n v="-563200.6"/>
    <n v="60.09"/>
    <n v="0"/>
    <n v="1255286"/>
    <n v="1311773.8700000001"/>
    <n v="1370803.6941500001"/>
    <n v="1432489.8603867502"/>
    <x v="1"/>
    <x v="10"/>
  </r>
  <r>
    <s v="50302720600PRMRCZZWM"/>
    <m/>
    <s v="DEPRECIATION COMPUTER EQUIPMENT"/>
    <n v="23297"/>
    <n v="-141346.4"/>
    <n v="0"/>
    <n v="-848078.4"/>
    <n v="-563200.6"/>
    <n v="60.09"/>
    <n v="0"/>
    <n v="23297"/>
    <n v="24345.365000000002"/>
    <n v="25440.906425000001"/>
    <n v="26585.747214125"/>
    <x v="1"/>
    <x v="6"/>
  </r>
  <r>
    <s v="50302721500PRMRCZZWM"/>
    <m/>
    <s v="DEPRECIATION FURNITURE &amp; OFFICE EQUIPM"/>
    <n v="18297"/>
    <n v="-141346.4"/>
    <n v="0"/>
    <n v="-848078.4"/>
    <n v="-563200.6"/>
    <n v="60.09"/>
    <n v="0"/>
    <n v="18297"/>
    <n v="19120.365000000002"/>
    <n v="19980.781425000001"/>
    <n v="20879.916589125001"/>
    <x v="1"/>
    <x v="6"/>
  </r>
  <r>
    <s v="55051178910F7ZZZZZHO"/>
    <m/>
    <s v="TS_O_M_NG_EPWP GRANT"/>
    <n v="-1167000"/>
    <n v="-290187"/>
    <n v="0"/>
    <n v="-524054"/>
    <n v="-642946"/>
    <n v="44.9"/>
    <n v="0"/>
    <n v="-1167000"/>
    <n v="-1304000"/>
    <n v="0"/>
    <n v="0"/>
    <x v="0"/>
    <x v="0"/>
  </r>
  <r>
    <s v="55052032050PRMRCZZHO"/>
    <m/>
    <s v="SM D04: SAL &amp; ALL -  BASIC SALARY"/>
    <n v="651161"/>
    <n v="-290187"/>
    <n v="0"/>
    <n v="-524054"/>
    <n v="-642946"/>
    <n v="44.9"/>
    <n v="0"/>
    <n v="651161"/>
    <n v="691858.5625"/>
    <n v="740288.66187499999"/>
    <n v="792108.86820625002"/>
    <x v="1"/>
    <x v="1"/>
  </r>
  <r>
    <s v="55052032060PRMRCZZHO"/>
    <m/>
    <s v="SM D04: SAL &amp; ALL -  PERFORM BASED BONUS"/>
    <n v="32558"/>
    <n v="-290187"/>
    <n v="0"/>
    <n v="-524054"/>
    <n v="-642946"/>
    <n v="44.9"/>
    <n v="0"/>
    <n v="32558"/>
    <n v="34592.875"/>
    <n v="37014.376250000001"/>
    <n v="39605.382587500004"/>
    <x v="1"/>
    <x v="1"/>
  </r>
  <r>
    <s v="55052032070PRMRCZZHO"/>
    <m/>
    <s v="SM D04: ALLOW - CELLULAR &amp; TELEPHONE"/>
    <n v="40000"/>
    <n v="-290187"/>
    <n v="0"/>
    <n v="-524054"/>
    <n v="-642946"/>
    <n v="44.9"/>
    <n v="0"/>
    <n v="40000"/>
    <n v="42500"/>
    <n v="45475"/>
    <n v="48658.25"/>
    <x v="1"/>
    <x v="1"/>
  </r>
  <r>
    <s v="55052032090PRMRCZZHO"/>
    <m/>
    <s v="SM D04: ALLOW - TRAVEL OR MOTOR VEHICLE"/>
    <n v="205628"/>
    <n v="-290187"/>
    <n v="0"/>
    <n v="-524054"/>
    <n v="-642946"/>
    <n v="44.9"/>
    <n v="0"/>
    <n v="205628"/>
    <n v="218479.75"/>
    <n v="233773.33249999999"/>
    <n v="250137.46577499999"/>
    <x v="1"/>
    <x v="1"/>
  </r>
  <r>
    <s v="55052032110EQMRCZZHO"/>
    <m/>
    <s v="SM D04: ALLOW - NON PENSIONABLE"/>
    <n v="17000"/>
    <n v="-290187"/>
    <n v="0"/>
    <n v="-524054"/>
    <n v="-642946"/>
    <n v="44.9"/>
    <n v="0"/>
    <n v="17000"/>
    <n v="18062.5"/>
    <n v="19326.875"/>
    <n v="20679.756249999999"/>
    <x v="1"/>
    <x v="1"/>
  </r>
  <r>
    <s v="55052032180PRMRCZZHO"/>
    <m/>
    <s v="SM D04: SRB - ACTING &amp; POST RELATE ALLOW"/>
    <n v="18580"/>
    <n v="-290187"/>
    <n v="0"/>
    <n v="-524054"/>
    <n v="-642946"/>
    <n v="44.9"/>
    <n v="-18580"/>
    <n v="0"/>
    <n v="0"/>
    <n v="0"/>
    <m/>
    <x v="1"/>
    <x v="1"/>
  </r>
  <r>
    <s v="55052110010EQMRCZZHO"/>
    <m/>
    <s v="MS: SAL &amp; ALL: BASIC SALARY &amp; WAGES"/>
    <n v="215677"/>
    <n v="-290187"/>
    <n v="0"/>
    <n v="-524054"/>
    <n v="-642946"/>
    <n v="44.9"/>
    <n v="0"/>
    <n v="215677"/>
    <n v="229156.8125"/>
    <n v="245197.78937499999"/>
    <n v="262361.63463125"/>
    <x v="1"/>
    <x v="1"/>
  </r>
  <r>
    <s v="55052110100EQMRCZZHO"/>
    <m/>
    <s v="MS: SAL &amp; ALL: PERFORMANCE BASED BONUSES"/>
    <n v="10078"/>
    <n v="-290187"/>
    <n v="0"/>
    <n v="-524054"/>
    <n v="-642946"/>
    <n v="44.9"/>
    <n v="-1610.9099999999999"/>
    <n v="8467.09"/>
    <n v="8996.2831249999999"/>
    <n v="9626.0229437500002"/>
    <n v="10299.8445498125"/>
    <x v="1"/>
    <x v="1"/>
  </r>
  <r>
    <s v="55052110320EQMRCZZHO"/>
    <m/>
    <s v="MS: ALL - LEAVE PAY"/>
    <n v="7157"/>
    <n v="-290187"/>
    <n v="0"/>
    <n v="-524054"/>
    <n v="-642946"/>
    <n v="44.9"/>
    <n v="0"/>
    <n v="7157"/>
    <n v="7604.3125"/>
    <n v="8136.6143750000001"/>
    <n v="8706.1773812499996"/>
    <x v="1"/>
    <x v="1"/>
  </r>
  <r>
    <s v="55052110360EQMRCZZHO"/>
    <m/>
    <s v="MS: OVERTIME - NON STRUCTURED"/>
    <n v="36901"/>
    <n v="-290187"/>
    <n v="0"/>
    <n v="-524054"/>
    <n v="-642946"/>
    <n v="44.9"/>
    <n v="0"/>
    <n v="36901"/>
    <n v="39207.3125"/>
    <n v="41951.824374999997"/>
    <n v="44888.452081249998"/>
    <x v="1"/>
    <x v="1"/>
  </r>
  <r>
    <s v="55052110460EQMRCZZHO"/>
    <m/>
    <s v="MS: SRB - ANNUAL BONUS"/>
    <n v="17973"/>
    <n v="-290187"/>
    <n v="0"/>
    <n v="-524054"/>
    <n v="-642946"/>
    <n v="44.9"/>
    <n v="0"/>
    <n v="17973"/>
    <n v="19096.3125"/>
    <n v="20433.054375"/>
    <n v="21863.36818125"/>
    <x v="1"/>
    <x v="1"/>
  </r>
  <r>
    <s v="55052110630EQMRCZZHO"/>
    <m/>
    <s v="MS: SRB - NON PENSIONABLE"/>
    <n v="32457"/>
    <n v="-290187"/>
    <n v="0"/>
    <n v="-524054"/>
    <n v="-642946"/>
    <n v="44.9"/>
    <n v="0"/>
    <n v="32457"/>
    <n v="34485.5625"/>
    <n v="36899.551874999997"/>
    <n v="39482.520506249995"/>
    <x v="1"/>
    <x v="1"/>
  </r>
  <r>
    <s v="55052130010EQMRCZZHO"/>
    <m/>
    <s v="MS: SOC CONTR - BARGAINING COUNCIL"/>
    <n v="112"/>
    <n v="-290187"/>
    <n v="0"/>
    <n v="-524054"/>
    <n v="-642946"/>
    <n v="44.9"/>
    <n v="0"/>
    <n v="112"/>
    <n v="119"/>
    <n v="127.33"/>
    <n v="136.2431"/>
    <x v="1"/>
    <x v="1"/>
  </r>
  <r>
    <s v="55052130200EQMRCZZHO"/>
    <m/>
    <s v="MS: SOC CONTR - MEDICAL"/>
    <n v="53908"/>
    <n v="-290187"/>
    <n v="0"/>
    <n v="-524054"/>
    <n v="-642946"/>
    <n v="44.9"/>
    <n v="-20000"/>
    <n v="33908"/>
    <n v="36027.25"/>
    <n v="38549.157500000001"/>
    <n v="41247.598525000001"/>
    <x v="1"/>
    <x v="1"/>
  </r>
  <r>
    <s v="55052130300EQMRCZZHO"/>
    <m/>
    <s v="MS: SOC CONTR - PENSION"/>
    <n v="47449"/>
    <n v="-290187"/>
    <n v="0"/>
    <n v="-524054"/>
    <n v="-642946"/>
    <n v="44.9"/>
    <n v="0"/>
    <n v="47449"/>
    <n v="50414.5625"/>
    <n v="53943.581875000003"/>
    <n v="57719.632606250001"/>
    <x v="1"/>
    <x v="1"/>
  </r>
  <r>
    <s v="55052130400EQMRCZZHO"/>
    <m/>
    <s v="MS: SOC CONTR - UNEMPLOYMENT INSUR FUND"/>
    <n v="1785"/>
    <n v="-290187"/>
    <n v="0"/>
    <n v="-524054"/>
    <n v="-642946"/>
    <n v="44.9"/>
    <n v="0"/>
    <n v="1785"/>
    <n v="1896.5625"/>
    <n v="2029.3218750000001"/>
    <n v="2171.37440625"/>
    <x v="1"/>
    <x v="1"/>
  </r>
  <r>
    <s v="55052140020ORMRCZZHO"/>
    <m/>
    <s v="MS: PRB - MED: CURRENT SERVICE COST"/>
    <n v="1667"/>
    <n v="-290187"/>
    <n v="0"/>
    <n v="-524054"/>
    <n v="-642946"/>
    <n v="44.9"/>
    <n v="0"/>
    <n v="1667"/>
    <n v="1771.1875"/>
    <n v="1895.170625"/>
    <n v="2027.8325687500001"/>
    <x v="1"/>
    <x v="1"/>
  </r>
  <r>
    <s v="55052140040ORMRCZZHO"/>
    <m/>
    <s v="MS: PRB - MED: INTEREST COST"/>
    <n v="978"/>
    <n v="-290187"/>
    <n v="0"/>
    <n v="-524054"/>
    <n v="-642946"/>
    <n v="44.9"/>
    <n v="0"/>
    <n v="978"/>
    <n v="1039.125"/>
    <n v="1111.86375"/>
    <n v="1189.6942125"/>
    <x v="1"/>
    <x v="1"/>
  </r>
  <r>
    <s v="55052142200ORMRCZZHO"/>
    <m/>
    <s v="MS: PRB - OTHER: LONG TERM SERVICE AWARD"/>
    <n v="2483"/>
    <n v="-290187"/>
    <n v="0"/>
    <n v="-524054"/>
    <n v="-642946"/>
    <n v="44.9"/>
    <n v="0"/>
    <n v="2483"/>
    <n v="2638.1875"/>
    <n v="2822.8606249999998"/>
    <n v="3020.4608687499999"/>
    <x v="1"/>
    <x v="1"/>
  </r>
  <r>
    <s v="55052283610ORR15ZZHO"/>
    <m/>
    <s v="CONTR: MAINTENANCE OF EQUIPMENT"/>
    <n v="120000"/>
    <n v="-290187"/>
    <n v="0"/>
    <n v="-524054"/>
    <n v="-642946"/>
    <n v="44.9"/>
    <n v="-50000"/>
    <n v="70000"/>
    <n v="73150"/>
    <n v="76514.899999999994"/>
    <n v="80034.585399999996"/>
    <x v="1"/>
    <x v="2"/>
  </r>
  <r>
    <s v="55052300120ORP12ZZHO"/>
    <m/>
    <s v="OC: ADV/PUB/MARK - CORP &amp; MUN ACTIVITIES"/>
    <n v="57680"/>
    <n v="-290187"/>
    <n v="0"/>
    <n v="-524054"/>
    <n v="-642946"/>
    <n v="44.9"/>
    <n v="-30000"/>
    <n v="27680"/>
    <n v="28925.599999999999"/>
    <n v="30256.177599999999"/>
    <n v="31647.961769599999"/>
    <x v="1"/>
    <x v="3"/>
  </r>
  <r>
    <s v="55052301600ORMRCZZHO"/>
    <m/>
    <s v="OC: ENTERTAINMENT - EXEC MAYOR"/>
    <n v="2000"/>
    <n v="-290187"/>
    <n v="0"/>
    <n v="-524054"/>
    <n v="-642946"/>
    <n v="44.9"/>
    <n v="0"/>
    <n v="2000"/>
    <n v="2000"/>
    <n v="2000"/>
    <n v="2000"/>
    <x v="1"/>
    <x v="3"/>
  </r>
  <r>
    <s v="55052304520ORMRCZZHO"/>
    <m/>
    <s v="OC: PROFESSIONAL BODIES M/SHIP &amp; SUBS"/>
    <n v="3147"/>
    <n v="-290187"/>
    <n v="0"/>
    <n v="-524054"/>
    <n v="-642946"/>
    <n v="44.9"/>
    <n v="0"/>
    <n v="3147"/>
    <n v="3288.6149999999998"/>
    <n v="3439.8912899999996"/>
    <n v="3598.1262893399994"/>
    <x v="1"/>
    <x v="3"/>
  </r>
  <r>
    <s v="5505230516FPRMRCZZWM"/>
    <m/>
    <s v="REHABILITATION COSTS"/>
    <n v="0"/>
    <n v="-290187"/>
    <n v="0"/>
    <n v="-524054"/>
    <n v="-642946"/>
    <n v="44.9"/>
    <n v="350000"/>
    <n v="350000"/>
    <n v="365750"/>
    <n v="382574.5"/>
    <n v="400172.92700000003"/>
    <x v="1"/>
    <x v="3"/>
  </r>
  <r>
    <s v="55052305410EQMRCZZHO"/>
    <m/>
    <s v="OC: SKILLS DEVELOPMENT FUND LEVY"/>
    <n v="214343"/>
    <n v="-290187"/>
    <n v="0"/>
    <n v="-524054"/>
    <n v="-642946"/>
    <n v="44.9"/>
    <n v="-190000"/>
    <n v="24343"/>
    <n v="25438.435000000001"/>
    <n v="26608.603010000003"/>
    <n v="27832.598748460001"/>
    <x v="1"/>
    <x v="3"/>
  </r>
  <r>
    <s v="55052305760EQMRCZZHO"/>
    <m/>
    <s v="OC: T&amp;S DOM - ACCOMMODATION"/>
    <n v="341356"/>
    <n v="-290187"/>
    <n v="0"/>
    <n v="-524054"/>
    <n v="-642946"/>
    <n v="44.9"/>
    <n v="-280000"/>
    <n v="61356"/>
    <n v="64117.02"/>
    <n v="67066.402919999993"/>
    <n v="70151.45745432"/>
    <x v="1"/>
    <x v="3"/>
  </r>
  <r>
    <s v="55052305760PRMRCZZHO"/>
    <m/>
    <s v="OC: T&amp;S DOM - ACCOMMODATION"/>
    <n v="299131"/>
    <n v="-290187"/>
    <n v="0"/>
    <n v="-524054"/>
    <n v="-642946"/>
    <n v="44.9"/>
    <n v="-150000"/>
    <n v="149131"/>
    <n v="155841.89499999999"/>
    <n v="163010.62216999999"/>
    <n v="170509.11078982"/>
    <x v="1"/>
    <x v="3"/>
  </r>
  <r>
    <s v="55052305800ORMRCZZHO"/>
    <m/>
    <s v="OC: T&amp;S DOM TRP - WITHOUT OPR CAR RENTAL"/>
    <n v="25440"/>
    <n v="-290187"/>
    <n v="0"/>
    <n v="-524054"/>
    <n v="-642946"/>
    <n v="44.9"/>
    <n v="-10000"/>
    <n v="15440"/>
    <n v="16134.8"/>
    <n v="16877.000799999998"/>
    <n v="17653.342836799999"/>
    <x v="1"/>
    <x v="3"/>
  </r>
  <r>
    <s v="55052306610ORMRCZZHO"/>
    <m/>
    <s v="OC: WET FUEL"/>
    <n v="20324"/>
    <n v="-290187"/>
    <n v="0"/>
    <n v="-524054"/>
    <n v="-642946"/>
    <n v="44.9"/>
    <n v="-15000"/>
    <n v="5324"/>
    <n v="5563.58"/>
    <n v="5819.50468"/>
    <n v="6087.2018952799999"/>
    <x v="1"/>
    <x v="3"/>
  </r>
  <r>
    <s v="55052320610ORMRCZZHO"/>
    <m/>
    <s v="INV - CONSUMABLE STORES - ZERO RATED"/>
    <n v="283871"/>
    <n v="-290187"/>
    <n v="0"/>
    <n v="-524054"/>
    <n v="-642946"/>
    <n v="44.9"/>
    <n v="0"/>
    <n v="283871"/>
    <n v="296645.19500000001"/>
    <n v="310290.87397000002"/>
    <n v="324564.25417262001"/>
    <x v="1"/>
    <x v="4"/>
  </r>
  <r>
    <s v="55052323600ORMRCZZHO"/>
    <m/>
    <s v="INVENTORY - MATERIALS &amp; SUPPLIES"/>
    <n v="94743"/>
    <n v="-290187"/>
    <n v="0"/>
    <n v="-524054"/>
    <n v="-642946"/>
    <n v="44.9"/>
    <n v="25257"/>
    <n v="120000"/>
    <n v="125400"/>
    <n v="131168.4"/>
    <n v="137202.1464"/>
    <x v="1"/>
    <x v="4"/>
  </r>
  <r>
    <s v="55052720600PRMRCZZWM"/>
    <m/>
    <s v="DEPRECIATION COMPUTER EQUIPMENT"/>
    <n v="3371"/>
    <n v="-290187"/>
    <n v="0"/>
    <n v="-524054"/>
    <n v="-642946"/>
    <n v="44.9"/>
    <n v="0"/>
    <n v="3371"/>
    <n v="3522.6950000000002"/>
    <n v="3684.7389700000003"/>
    <n v="3854.2369626200002"/>
    <x v="1"/>
    <x v="6"/>
  </r>
  <r>
    <s v="55052721500PRMRCZZWM"/>
    <m/>
    <s v="DEPRECIATION FURNITURE &amp; OFFICE EQUIPM"/>
    <n v="20133"/>
    <n v="-290187"/>
    <n v="0"/>
    <n v="-524054"/>
    <n v="-642946"/>
    <n v="44.9"/>
    <n v="0"/>
    <n v="20133"/>
    <n v="21038.985000000001"/>
    <n v="22006.778310000002"/>
    <n v="23019.090112260001"/>
    <x v="1"/>
    <x v="6"/>
  </r>
  <r>
    <s v="55052723600PRMRCZZWM"/>
    <m/>
    <s v="DEPRECIATION  MACHINERY &amp; EQUIPMENT"/>
    <n v="170617"/>
    <n v="-290187"/>
    <n v="0"/>
    <n v="-524054"/>
    <n v="-642946"/>
    <n v="44.9"/>
    <n v="0"/>
    <n v="170617"/>
    <n v="178294.76500000001"/>
    <n v="186496.32419000001"/>
    <n v="195075.15510274001"/>
    <x v="1"/>
    <x v="6"/>
  </r>
  <r>
    <s v="55052725700PRMRCZZWM"/>
    <m/>
    <s v="DEPRECIATION  TRANSPORT ASSETS"/>
    <n v="871352"/>
    <n v="-290187"/>
    <n v="0"/>
    <n v="-524054"/>
    <n v="-642946"/>
    <n v="44.9"/>
    <n v="0"/>
    <n v="871352"/>
    <n v="910562.84"/>
    <n v="952448.73063999997"/>
    <n v="996261.37224943994"/>
    <x v="1"/>
    <x v="6"/>
  </r>
  <r>
    <s v="55052728000PRMRCZZWM"/>
    <m/>
    <s v="DEPRECIATION ROADS"/>
    <n v="0"/>
    <n v="-290187"/>
    <n v="0"/>
    <n v="-524054"/>
    <n v="-642946"/>
    <n v="44.9"/>
    <n v="0"/>
    <n v="0"/>
    <n v="0"/>
    <n v="0"/>
    <n v="0"/>
    <x v="1"/>
    <x v="6"/>
  </r>
  <r>
    <s v="55052728020PRMRCZZWM"/>
    <m/>
    <s v="DEPRECIATION ROADS FURNITURE"/>
    <n v="5688"/>
    <n v="-290187"/>
    <n v="0"/>
    <n v="-524054"/>
    <n v="-642946"/>
    <n v="44.9"/>
    <n v="0"/>
    <n v="5688"/>
    <n v="5943.96"/>
    <n v="6217.3821600000001"/>
    <n v="6503.3817393600002"/>
    <x v="1"/>
    <x v="6"/>
  </r>
  <r>
    <s v="55052728800PRMRCZZWM"/>
    <m/>
    <s v="DEPRECIATION COMMUNITY HALLS"/>
    <n v="398294"/>
    <n v="-290187"/>
    <n v="0"/>
    <n v="-524054"/>
    <n v="-642946"/>
    <n v="44.9"/>
    <n v="0"/>
    <n v="398294"/>
    <n v="416217.23"/>
    <n v="435363.22258"/>
    <n v="455389.93081867998"/>
    <x v="1"/>
    <x v="6"/>
  </r>
  <r>
    <s v="55052729200PRMRCZZWM"/>
    <m/>
    <s v="DEPRECIATION OP BUILDING  MUNIC OFFICES"/>
    <n v="412489"/>
    <n v="-290187"/>
    <n v="0"/>
    <n v="-524054"/>
    <n v="-642946"/>
    <n v="44.9"/>
    <n v="0"/>
    <n v="412489"/>
    <n v="431051.005"/>
    <n v="450879.35123000003"/>
    <n v="471619.80138658005"/>
    <x v="1"/>
    <x v="6"/>
  </r>
  <r>
    <s v="55102110010EQMRCZZHO"/>
    <m/>
    <s v="MS: SAL &amp; ALL: BASIC SALARY &amp; WAGES"/>
    <n v="686133"/>
    <n v="-290187"/>
    <n v="0"/>
    <n v="-524054"/>
    <n v="-642946"/>
    <n v="44.9"/>
    <n v="0"/>
    <n v="686133"/>
    <n v="729016.3125"/>
    <n v="780047.45437499997"/>
    <n v="834650.77618125"/>
    <x v="1"/>
    <x v="1"/>
  </r>
  <r>
    <s v="55102110100EQMRCZZHO"/>
    <m/>
    <s v="MS: SAL &amp; ALL: PERFORMANCE BASED BONUSES"/>
    <n v="33502"/>
    <n v="-290187"/>
    <n v="0"/>
    <n v="-524054"/>
    <n v="-642946"/>
    <n v="44.9"/>
    <n v="-25034.91"/>
    <n v="8467.09"/>
    <n v="8996.2831249999999"/>
    <n v="9626.0229437500002"/>
    <n v="10299.8445498125"/>
    <x v="1"/>
    <x v="1"/>
  </r>
  <r>
    <s v="55102110220EQMRCZZHO"/>
    <m/>
    <s v="MS: ALL - CELLULAR &amp; TELEPHONE"/>
    <n v="14100"/>
    <n v="-290187"/>
    <n v="0"/>
    <n v="-524054"/>
    <n v="-642946"/>
    <n v="44.9"/>
    <n v="0"/>
    <n v="14100"/>
    <n v="14981.25"/>
    <n v="16029.9375"/>
    <n v="17152.033125000002"/>
    <x v="1"/>
    <x v="1"/>
  </r>
  <r>
    <s v="55102110320EQMRCZZHO"/>
    <m/>
    <s v="MS: ALL - LEAVE PAY"/>
    <n v="23791"/>
    <n v="-290187"/>
    <n v="0"/>
    <n v="-524054"/>
    <n v="-642946"/>
    <n v="44.9"/>
    <n v="0"/>
    <n v="23791"/>
    <n v="25277.9375"/>
    <n v="27047.393124999999"/>
    <n v="28940.710643749997"/>
    <x v="1"/>
    <x v="1"/>
  </r>
  <r>
    <s v="55102110340EQMRCZZHO"/>
    <m/>
    <s v="MS: ALL - TRAVEL OR MOTOR VEHICLE"/>
    <n v="97889"/>
    <n v="-290187"/>
    <n v="0"/>
    <n v="-524054"/>
    <n v="-642946"/>
    <n v="44.9"/>
    <n v="-97889"/>
    <n v="0"/>
    <n v="0"/>
    <n v="0"/>
    <n v="0"/>
    <x v="1"/>
    <x v="1"/>
  </r>
  <r>
    <s v="55102110460EQMRCZZHO"/>
    <m/>
    <s v="MS: SRB - ANNUAL BONUS"/>
    <n v="57178"/>
    <n v="-290187"/>
    <n v="0"/>
    <n v="-524054"/>
    <n v="-642946"/>
    <n v="44.9"/>
    <n v="0"/>
    <n v="57178"/>
    <n v="60751.625"/>
    <n v="65004.238750000004"/>
    <n v="69554.535462500004"/>
    <x v="1"/>
    <x v="1"/>
  </r>
  <r>
    <s v="55102110500EQMRCZZHO"/>
    <m/>
    <s v="MS: SRB - LONG SERVICE AWARD"/>
    <n v="57035"/>
    <n v="-290187"/>
    <n v="0"/>
    <n v="-524054"/>
    <n v="-642946"/>
    <n v="44.9"/>
    <n v="0"/>
    <n v="57035"/>
    <n v="60599.6875"/>
    <n v="64841.665625000001"/>
    <n v="69380.582218750002"/>
    <x v="1"/>
    <x v="1"/>
  </r>
  <r>
    <s v="55102130010EQMRCZZHO"/>
    <m/>
    <s v="MS: SOC CONTR - BARGAINING COUNCIL"/>
    <n v="225"/>
    <n v="-290187"/>
    <n v="0"/>
    <n v="-524054"/>
    <n v="-642946"/>
    <n v="44.9"/>
    <n v="0"/>
    <n v="225"/>
    <n v="239.0625"/>
    <n v="255.796875"/>
    <n v="273.70265625000002"/>
    <x v="1"/>
    <x v="1"/>
  </r>
  <r>
    <s v="55102130200EQMRCZZHO"/>
    <m/>
    <s v="MS: SOC CONTR - MEDICAL"/>
    <n v="107816"/>
    <n v="-290187"/>
    <n v="0"/>
    <n v="-524054"/>
    <n v="-642946"/>
    <n v="44.9"/>
    <n v="-80000"/>
    <n v="27816"/>
    <n v="29554.5"/>
    <n v="31623.314999999999"/>
    <n v="33836.947049999995"/>
    <x v="1"/>
    <x v="1"/>
  </r>
  <r>
    <s v="55102130300EQMRCZZHO"/>
    <m/>
    <s v="MS: SOC CONTR - PENSION"/>
    <n v="150949"/>
    <n v="-290187"/>
    <n v="0"/>
    <n v="-524054"/>
    <n v="-642946"/>
    <n v="44.9"/>
    <n v="0"/>
    <n v="150949"/>
    <n v="160383.3125"/>
    <n v="171610.144375"/>
    <n v="183622.85448124999"/>
    <x v="1"/>
    <x v="1"/>
  </r>
  <r>
    <s v="55102130400EQMRCZZHO"/>
    <m/>
    <s v="MS: SOC CONTR - UNEMPLOYMENT INSUR FUND"/>
    <n v="3570"/>
    <n v="-290187"/>
    <n v="0"/>
    <n v="-524054"/>
    <n v="-642946"/>
    <n v="44.9"/>
    <n v="0"/>
    <n v="3570"/>
    <n v="3793.125"/>
    <n v="4058.6437500000002"/>
    <n v="4342.7488125"/>
    <x v="1"/>
    <x v="1"/>
  </r>
  <r>
    <s v="55102140020PRMRCZZWM"/>
    <m/>
    <s v="MS: PRB - MED: CURRENT SERVICE COST"/>
    <n v="19440"/>
    <n v="-290187"/>
    <n v="0"/>
    <n v="-524054"/>
    <n v="-642946"/>
    <n v="44.9"/>
    <n v="0"/>
    <n v="19440"/>
    <n v="20655"/>
    <n v="22100.85"/>
    <n v="23647.909499999998"/>
    <x v="1"/>
    <x v="1"/>
  </r>
  <r>
    <s v="55102140040PRMRCZZWM"/>
    <m/>
    <s v="MS: PRB - MED: INTEREST COST"/>
    <n v="30812"/>
    <n v="-290187"/>
    <n v="0"/>
    <n v="-524054"/>
    <n v="-642946"/>
    <n v="44.9"/>
    <n v="0"/>
    <n v="30812"/>
    <n v="32737.75"/>
    <n v="35029.392500000002"/>
    <n v="37481.449975000003"/>
    <x v="1"/>
    <x v="1"/>
  </r>
  <r>
    <s v="55102142200PRMRCZZWM"/>
    <m/>
    <s v="MS: PRB - OTHER: LONG TERM SERVICE AWARD"/>
    <n v="8784"/>
    <n v="-290187"/>
    <n v="0"/>
    <n v="-524054"/>
    <n v="-642946"/>
    <n v="44.9"/>
    <n v="0"/>
    <n v="8784"/>
    <n v="9333"/>
    <n v="9986.31"/>
    <n v="10685.351699999999"/>
    <x v="1"/>
    <x v="1"/>
  </r>
  <r>
    <s v="55102305410EQMRCZZHO"/>
    <m/>
    <s v="OC: SKILLS DEVELOPMENT FUND LEVY"/>
    <n v="0"/>
    <n v="-290187"/>
    <n v="0"/>
    <n v="-524054"/>
    <n v="-642946"/>
    <n v="44.9"/>
    <n v="4000"/>
    <n v="4000"/>
    <n v="4180"/>
    <n v="4372.28"/>
    <n v="4573.40488"/>
    <x v="1"/>
    <x v="3"/>
  </r>
  <r>
    <s v="55102720600PRMRCZZWM"/>
    <m/>
    <s v="DEPRECIATION COMPUTER EQUIPMENT"/>
    <n v="3371"/>
    <n v="-290187"/>
    <n v="0"/>
    <n v="-524054"/>
    <n v="-642946"/>
    <n v="44.9"/>
    <n v="0"/>
    <n v="3371"/>
    <n v="3522.6950000000002"/>
    <n v="3684.7389700000003"/>
    <n v="3854.2369626200002"/>
    <x v="1"/>
    <x v="6"/>
  </r>
  <r>
    <s v="55102721500PRMRCZZWM"/>
    <m/>
    <s v="DEPRECIATION FURNITURE &amp; OFFICE EQUIPM"/>
    <n v="6582"/>
    <n v="-290187"/>
    <n v="0"/>
    <n v="-524054"/>
    <n v="-642946"/>
    <n v="44.9"/>
    <n v="0"/>
    <n v="6582"/>
    <n v="6878.19"/>
    <n v="7194.5867399999997"/>
    <n v="7525.5377300399996"/>
    <x v="1"/>
    <x v="6"/>
  </r>
  <r>
    <s v="55151040500F5ZZZZZWM"/>
    <m/>
    <s v="PENALTIES: COLLECTION"/>
    <n v="-827"/>
    <n v="-290187"/>
    <n v="0"/>
    <n v="-524054"/>
    <n v="-642946"/>
    <n v="44.9"/>
    <n v="0"/>
    <n v="-827"/>
    <n v="-864.21500000000003"/>
    <n v="-905.69731999999999"/>
    <n v="-947.35939671999995"/>
    <x v="0"/>
    <x v="0"/>
  </r>
  <r>
    <s v="55151380310ORZZZZZWM"/>
    <m/>
    <s v="BREAKAGES RECOVERED"/>
    <n v="-310"/>
    <n v="-290187"/>
    <n v="0"/>
    <n v="-524054"/>
    <n v="-642946"/>
    <n v="44.9"/>
    <n v="0"/>
    <n v="-310"/>
    <n v="-323.95"/>
    <n v="-338.85169999999999"/>
    <n v="-354.43887819999998"/>
    <x v="0"/>
    <x v="0"/>
  </r>
  <r>
    <s v="55151401090RFZZZZZHO"/>
    <m/>
    <s v="N-M-R PPE: AD HOC-COMMUNITY ASSETS"/>
    <n v="-283935"/>
    <n v="-290187"/>
    <n v="0"/>
    <n v="-524054"/>
    <n v="-642946"/>
    <n v="44.9"/>
    <n v="50000"/>
    <n v="-233935"/>
    <n v="-244462.07500000001"/>
    <n v="-255707.33045000001"/>
    <n v="-267469.86765070003"/>
    <x v="0"/>
    <x v="0"/>
  </r>
  <r>
    <s v="55151423330F2ZZZZZWM"/>
    <m/>
    <s v="LIBRARY FEES: MEMBERSHIP"/>
    <n v="-2200"/>
    <n v="-290187"/>
    <n v="0"/>
    <n v="-524054"/>
    <n v="-642946"/>
    <n v="44.9"/>
    <n v="0"/>
    <n v="-2200"/>
    <n v="-2299"/>
    <n v="-2404.7539999999999"/>
    <n v="-2515.3726839999999"/>
    <x v="0"/>
    <x v="0"/>
  </r>
  <r>
    <s v="55152110010EQMRCZZHO"/>
    <m/>
    <s v="MS: SAL &amp; ALL: BASIC SALARY &amp; WAGES"/>
    <n v="642046"/>
    <n v="-290187"/>
    <n v="0"/>
    <n v="-524054"/>
    <n v="-642946"/>
    <n v="44.9"/>
    <n v="0"/>
    <n v="642046"/>
    <n v="682173.875"/>
    <n v="729926.04625000001"/>
    <n v="781020.86948750005"/>
    <x v="1"/>
    <x v="1"/>
  </r>
  <r>
    <s v="55152110100EQMRCZZHO"/>
    <m/>
    <s v="MS: SAL &amp; ALL: PERFORMANCE BASED BONUSES"/>
    <n v="30002"/>
    <n v="-290187"/>
    <n v="0"/>
    <n v="-524054"/>
    <n v="-642946"/>
    <n v="44.9"/>
    <n v="-13067.82"/>
    <n v="16934.18"/>
    <n v="17992.56625"/>
    <n v="19252.0458875"/>
    <n v="20599.689099625"/>
    <x v="1"/>
    <x v="1"/>
  </r>
  <r>
    <s v="55152110220EQMRCZZHO"/>
    <m/>
    <s v="MS: ALL - CELLULAR &amp; TELEPHONE"/>
    <n v="24000"/>
    <n v="-290187"/>
    <n v="0"/>
    <n v="-524054"/>
    <n v="-642946"/>
    <n v="44.9"/>
    <n v="0"/>
    <n v="24000"/>
    <n v="25500"/>
    <n v="27285"/>
    <n v="29194.95"/>
    <x v="1"/>
    <x v="1"/>
  </r>
  <r>
    <s v="55152110260EQMRCZZHO"/>
    <m/>
    <s v="MS: HB &amp; INC: HOUSING BENEFITS"/>
    <n v="10893"/>
    <n v="-290187"/>
    <n v="0"/>
    <n v="-524054"/>
    <n v="-642946"/>
    <n v="44.9"/>
    <n v="0"/>
    <n v="10893"/>
    <n v="11573.8125"/>
    <n v="12383.979375000001"/>
    <n v="13250.857931250001"/>
    <x v="1"/>
    <x v="1"/>
  </r>
  <r>
    <s v="55152110320EQMRCZZHO"/>
    <m/>
    <s v="MS: ALL - LEAVE PAY"/>
    <n v="21306"/>
    <n v="-290187"/>
    <n v="0"/>
    <n v="-524054"/>
    <n v="-642946"/>
    <n v="44.9"/>
    <n v="0"/>
    <n v="21306"/>
    <n v="22637.625"/>
    <n v="24222.258750000001"/>
    <n v="25917.8168625"/>
    <x v="1"/>
    <x v="1"/>
  </r>
  <r>
    <s v="55152110340EQMRCZZHO"/>
    <m/>
    <s v="MS: ALL - TRAVEL OR MOTOR VEHICLE"/>
    <n v="160511"/>
    <n v="-290187"/>
    <n v="0"/>
    <n v="-524054"/>
    <n v="-642946"/>
    <n v="44.9"/>
    <n v="0"/>
    <n v="160511"/>
    <n v="170542.9375"/>
    <n v="182480.94312499999"/>
    <n v="195254.60914374999"/>
    <x v="1"/>
    <x v="1"/>
  </r>
  <r>
    <s v="55152110440EQMRCZZHO"/>
    <m/>
    <s v="MS: SRB - ACTING ALLOWANCE"/>
    <n v="12961"/>
    <n v="-290187"/>
    <n v="0"/>
    <n v="-524054"/>
    <n v="-642946"/>
    <n v="44.9"/>
    <n v="-12961"/>
    <n v="0"/>
    <n v="0"/>
    <n v="0"/>
    <n v="0"/>
    <x v="1"/>
    <x v="1"/>
  </r>
  <r>
    <s v="55152110460EQMRCZZHO"/>
    <m/>
    <s v="MS: SRB - ANNUAL BONUS"/>
    <n v="53504"/>
    <n v="-290187"/>
    <n v="0"/>
    <n v="-524054"/>
    <n v="-642946"/>
    <n v="44.9"/>
    <n v="0"/>
    <n v="53504"/>
    <n v="56848"/>
    <n v="60827.360000000001"/>
    <n v="65085.275200000004"/>
    <x v="1"/>
    <x v="1"/>
  </r>
  <r>
    <s v="55152110500EQMRCZZHO"/>
    <m/>
    <s v="MS: SRB - LONG SERVICE AWARD"/>
    <n v="81402"/>
    <n v="-290187"/>
    <n v="0"/>
    <n v="-524054"/>
    <n v="-642946"/>
    <n v="44.9"/>
    <n v="0"/>
    <n v="81402"/>
    <n v="86489.625"/>
    <n v="92543.898749999993"/>
    <n v="99021.9716625"/>
    <x v="1"/>
    <x v="1"/>
  </r>
  <r>
    <s v="55152110630EQMRCZZHO"/>
    <m/>
    <s v="MS: SRB - NON PENSIONABLE"/>
    <n v="15692"/>
    <n v="-290187"/>
    <n v="0"/>
    <n v="-524054"/>
    <n v="-642946"/>
    <n v="44.9"/>
    <n v="0"/>
    <n v="15692"/>
    <n v="16672.75"/>
    <n v="17839.842499999999"/>
    <n v="19088.631474999998"/>
    <x v="1"/>
    <x v="1"/>
  </r>
  <r>
    <s v="55152130010EQMRCZZHO"/>
    <m/>
    <s v="MS: SOC CONTR - BARGAINING COUNCIL"/>
    <n v="112"/>
    <n v="-290187"/>
    <n v="0"/>
    <n v="-524054"/>
    <n v="-642946"/>
    <n v="44.9"/>
    <n v="38"/>
    <n v="150"/>
    <n v="159.375"/>
    <n v="170.53125"/>
    <n v="182.46843749999999"/>
    <x v="1"/>
    <x v="1"/>
  </r>
  <r>
    <s v="55152130200EQMRCZZHO"/>
    <m/>
    <s v="MS: SOC CONTR - MEDICAL"/>
    <n v="53908"/>
    <n v="-290187"/>
    <n v="0"/>
    <n v="-524054"/>
    <n v="-642946"/>
    <n v="44.9"/>
    <n v="0"/>
    <n v="53908"/>
    <n v="57277.25"/>
    <n v="61286.657500000001"/>
    <n v="65576.723525000009"/>
    <x v="1"/>
    <x v="1"/>
  </r>
  <r>
    <s v="55152130300EQMRCZZHO"/>
    <m/>
    <s v="MS: SOC CONTR - PENSION"/>
    <n v="141250"/>
    <n v="-290187"/>
    <n v="0"/>
    <n v="-524054"/>
    <n v="-642946"/>
    <n v="44.9"/>
    <n v="0"/>
    <n v="141250"/>
    <n v="150078.125"/>
    <n v="160583.59375"/>
    <n v="171824.4453125"/>
    <x v="1"/>
    <x v="1"/>
  </r>
  <r>
    <s v="55152130400EQMRCZZHO"/>
    <m/>
    <s v="MS: SOC CONTR - UNEMPLOYMENT INSUR FUND"/>
    <n v="1785"/>
    <n v="-290187"/>
    <n v="0"/>
    <n v="-524054"/>
    <n v="-642946"/>
    <n v="44.9"/>
    <n v="715"/>
    <n v="2500"/>
    <n v="2656.25"/>
    <n v="2842.1875"/>
    <n v="3041.140625"/>
    <x v="1"/>
    <x v="1"/>
  </r>
  <r>
    <s v="55152140020PRMRCZZWM"/>
    <m/>
    <s v="MS: PRB - MED: CURRENT SERVICE COST"/>
    <n v="11869"/>
    <n v="-290187"/>
    <n v="0"/>
    <n v="-524054"/>
    <n v="-642946"/>
    <n v="44.9"/>
    <n v="0"/>
    <n v="11869"/>
    <n v="12610.8125"/>
    <n v="13493.569374999999"/>
    <n v="14438.119231249999"/>
    <x v="1"/>
    <x v="1"/>
  </r>
  <r>
    <s v="55152140040PRMRCZZWM"/>
    <m/>
    <s v="MS: PRB - MED: INTEREST COST"/>
    <n v="19452"/>
    <n v="-290187"/>
    <n v="0"/>
    <n v="-524054"/>
    <n v="-642946"/>
    <n v="44.9"/>
    <n v="0"/>
    <n v="19452"/>
    <n v="20667.75"/>
    <n v="22114.4925"/>
    <n v="23662.506975"/>
    <x v="1"/>
    <x v="1"/>
  </r>
  <r>
    <s v="55152142200PRMRCZZWM"/>
    <m/>
    <s v="MS: PRB - OTHER: LONG TERM SERVICE AWARD"/>
    <n v="13540"/>
    <n v="-290187"/>
    <n v="0"/>
    <n v="-524054"/>
    <n v="-642946"/>
    <n v="44.9"/>
    <n v="0"/>
    <n v="13540"/>
    <n v="14386.25"/>
    <n v="15393.2875"/>
    <n v="16470.817625"/>
    <x v="1"/>
    <x v="1"/>
  </r>
  <r>
    <s v="55152265400ORR88ZZHO"/>
    <s v="Library week"/>
    <s v="OS: SECURITY SERVICES"/>
    <n v="42400"/>
    <n v="-290187"/>
    <n v="0"/>
    <n v="-524054"/>
    <n v="-642946"/>
    <n v="44.9"/>
    <n v="0"/>
    <n v="42400"/>
    <n v="44308"/>
    <n v="46346.167999999998"/>
    <n v="48478.091727999999"/>
    <x v="1"/>
    <x v="2"/>
  </r>
  <r>
    <s v="55152270410ORMRCZZHO"/>
    <m/>
    <s v="C&amp;PS: B&amp;A PROJECT MANAGEMENT"/>
    <n v="59380"/>
    <n v="-290187"/>
    <n v="0"/>
    <n v="-524054"/>
    <n v="-642946"/>
    <n v="44.9"/>
    <n v="0"/>
    <n v="59380"/>
    <n v="62052.1"/>
    <n v="64906.496599999999"/>
    <n v="67892.195443599994"/>
    <x v="1"/>
    <x v="2"/>
  </r>
  <r>
    <s v="55152283600ORR69ZZHO"/>
    <m/>
    <s v="CONTR:  MAINT OF BUILDINGS &amp; FACILITIES"/>
    <n v="318000"/>
    <n v="-290187"/>
    <n v="0"/>
    <n v="-524054"/>
    <n v="-642946"/>
    <n v="44.9"/>
    <n v="0"/>
    <n v="318000"/>
    <n v="332310"/>
    <n v="347596.26"/>
    <n v="363585.68796000001"/>
    <x v="1"/>
    <x v="2"/>
  </r>
  <r>
    <s v="55152285420ORR99ZZHO"/>
    <m/>
    <s v="CONTR: SPORTS &amp; RECREATION"/>
    <n v="134336"/>
    <n v="-290187"/>
    <n v="0"/>
    <n v="-524054"/>
    <n v="-642946"/>
    <n v="44.9"/>
    <n v="0"/>
    <n v="134336"/>
    <n v="140381.12"/>
    <n v="146838.65151999998"/>
    <n v="153593.22948991999"/>
    <x v="1"/>
    <x v="2"/>
  </r>
  <r>
    <s v="55152300120ORS66ZZHO"/>
    <m/>
    <s v="OC: ADV/PUB/MARK - CORP &amp; MUN ACTIVITIES"/>
    <n v="31800"/>
    <n v="-290187"/>
    <n v="0"/>
    <n v="-524054"/>
    <n v="-642946"/>
    <n v="44.9"/>
    <n v="0"/>
    <n v="31800"/>
    <n v="33231"/>
    <n v="34759.625999999997"/>
    <n v="36358.568796"/>
    <x v="1"/>
    <x v="3"/>
  </r>
  <r>
    <s v="55152304510ORMRCZZHO"/>
    <m/>
    <s v="OC: PRINTING &amp; PUBLICATIONS"/>
    <n v="31800"/>
    <n v="-290187"/>
    <n v="0"/>
    <n v="-524054"/>
    <n v="-642946"/>
    <n v="44.9"/>
    <n v="0"/>
    <n v="31800"/>
    <n v="33231"/>
    <n v="34759.625999999997"/>
    <n v="36358.568796"/>
    <x v="1"/>
    <x v="3"/>
  </r>
  <r>
    <s v="55152305410EQMRCZZHO"/>
    <m/>
    <s v="OC: SKILLS DEVELOPMENT FUND LEVY"/>
    <n v="0"/>
    <n v="-290187"/>
    <n v="0"/>
    <n v="-524054"/>
    <n v="-642946"/>
    <n v="44.9"/>
    <n v="15000"/>
    <n v="15000"/>
    <n v="15675"/>
    <n v="16396.05"/>
    <n v="17150.2683"/>
    <x v="1"/>
    <x v="3"/>
  </r>
  <r>
    <s v="55152305760EQMRCZZHO"/>
    <m/>
    <s v="OC: T&amp;S DOM - ACCOMMODATION"/>
    <n v="0"/>
    <n v="-290187"/>
    <n v="0"/>
    <n v="-524054"/>
    <n v="-642946"/>
    <n v="44.9"/>
    <n v="110000"/>
    <n v="110000"/>
    <n v="114950"/>
    <n v="120237.7"/>
    <n v="125768.6342"/>
    <x v="1"/>
    <x v="3"/>
  </r>
  <r>
    <s v="55152721500PRMRCZZWM"/>
    <m/>
    <s v="DEPRECIATION FURNITURE &amp; OFFICE EQUIPM"/>
    <n v="2688"/>
    <n v="-290187"/>
    <n v="0"/>
    <n v="-524054"/>
    <n v="-642946"/>
    <n v="44.9"/>
    <n v="0"/>
    <n v="2688"/>
    <n v="2808.96"/>
    <n v="2938.1721600000001"/>
    <n v="3073.3280793600002"/>
    <x v="1"/>
    <x v="6"/>
  </r>
  <r>
    <s v="55152723600PRMRCZZWM"/>
    <m/>
    <s v="DEPRECIATION  MACHINERY &amp; EQUIPMENT"/>
    <n v="34540"/>
    <n v="-290187"/>
    <n v="0"/>
    <n v="-524054"/>
    <n v="-642946"/>
    <n v="44.9"/>
    <n v="0"/>
    <n v="34540"/>
    <n v="36094.300000000003"/>
    <n v="37754.637800000004"/>
    <n v="39491.351138800004"/>
    <x v="1"/>
    <x v="6"/>
  </r>
  <r>
    <s v="55152728800PRMRCZZWM"/>
    <m/>
    <s v="DEPRECIATION COMMUNITY HALLS"/>
    <n v="0"/>
    <n v="-290187"/>
    <n v="0"/>
    <n v="-524054"/>
    <n v="-642946"/>
    <n v="44.9"/>
    <n v="0"/>
    <n v="0"/>
    <n v="0"/>
    <n v="0"/>
    <n v="0"/>
    <x v="1"/>
    <x v="6"/>
  </r>
  <r>
    <s v="55152728930PRMRCZZWM"/>
    <m/>
    <s v="DEPRECIATION COMMUNITY PUBLIC OPEN SPACE"/>
    <n v="623329"/>
    <n v="-290187"/>
    <n v="0"/>
    <n v="-524054"/>
    <n v="-642946"/>
    <n v="44.9"/>
    <n v="0"/>
    <n v="623329"/>
    <n v="651378.80500000005"/>
    <n v="681342.23003000009"/>
    <n v="712683.97261138004"/>
    <x v="1"/>
    <x v="6"/>
  </r>
  <r>
    <s v="55152729200PRMRCZZWM"/>
    <m/>
    <s v="DEPRECIATION OP BUILDING  MUNIC OFFICES"/>
    <n v="12477"/>
    <n v="-290187"/>
    <n v="0"/>
    <n v="-524054"/>
    <n v="-642946"/>
    <n v="44.9"/>
    <n v="0"/>
    <n v="12477"/>
    <n v="13038.465"/>
    <n v="13638.23439"/>
    <n v="14265.59317194"/>
    <x v="1"/>
    <x v="6"/>
  </r>
  <r>
    <s v="5515642_new 1"/>
    <m/>
    <s v="6m3 BULK REFUSE CONTAINERS"/>
    <n v="0"/>
    <m/>
    <m/>
    <m/>
    <m/>
    <m/>
    <m/>
    <n v="0"/>
    <n v="0"/>
    <n v="500000"/>
    <n v="600000"/>
    <x v="2"/>
    <x v="0"/>
  </r>
  <r>
    <s v="5515642_new 2"/>
    <m/>
    <s v="TRACTOR GRASS CUTTER"/>
    <m/>
    <m/>
    <m/>
    <m/>
    <m/>
    <m/>
    <m/>
    <m/>
    <n v="0"/>
    <n v="400000"/>
    <n v="0"/>
    <x v="2"/>
    <x v="0"/>
  </r>
  <r>
    <s v="55156420420FCC80ZZWM"/>
    <m/>
    <s v="TLB"/>
    <n v="900000"/>
    <n v="-290187"/>
    <n v="0"/>
    <n v="-524054"/>
    <n v="-642946"/>
    <n v="44.9"/>
    <n v="-185724"/>
    <n v="714276"/>
    <n v="0"/>
    <n v="0"/>
    <m/>
    <x v="2"/>
    <x v="0"/>
  </r>
  <r>
    <s v="55156420420FCC81ZZWM"/>
    <m/>
    <s v="SKIP LOADER TRUCK"/>
    <n v="1200000"/>
    <n v="-290187"/>
    <n v="0"/>
    <n v="-524054"/>
    <n v="-642946"/>
    <n v="44.9"/>
    <n v="-1200000"/>
    <n v="0"/>
    <n v="0"/>
    <n v="0"/>
    <m/>
    <x v="2"/>
    <x v="0"/>
  </r>
  <r>
    <s v="55201040080F5ZZZZZWM"/>
    <m/>
    <s v="FINES: TRAFFIC - COURT FINES"/>
    <n v="-1200007"/>
    <n v="-290187"/>
    <n v="0"/>
    <n v="-524054"/>
    <n v="-642946"/>
    <n v="44.9"/>
    <n v="0"/>
    <n v="-1200007"/>
    <n v="-1254007.3149999999"/>
    <n v="-1314199.66612"/>
    <n v="-1374652.85076152"/>
    <x v="0"/>
    <x v="0"/>
  </r>
  <r>
    <s v="55201040520F5ZZZZZHO"/>
    <m/>
    <s v="PENALTIES: MOTOR VEHICLE LICENCE"/>
    <n v="0"/>
    <n v="-290187"/>
    <n v="0"/>
    <n v="-524054"/>
    <n v="-642946"/>
    <n v="44.9"/>
    <n v="0"/>
    <n v="0"/>
    <n v="0"/>
    <n v="0"/>
    <m/>
    <x v="0"/>
    <x v="0"/>
  </r>
  <r>
    <s v="55201482040F6ZZZZZWM"/>
    <m/>
    <s v="ROAD &amp; TRSP: DRIVERS LICENCE CERTIFICATE"/>
    <n v="-7065504"/>
    <n v="-290187"/>
    <n v="0"/>
    <n v="-524054"/>
    <n v="-642946"/>
    <n v="44.9"/>
    <n v="0"/>
    <n v="-7065504"/>
    <n v="-7383451.6799999997"/>
    <n v="-7723090.4572799997"/>
    <n v="-8078352.6183148799"/>
    <x v="0"/>
    <x v="0"/>
  </r>
  <r>
    <s v="55202110010EQMRCZZHO"/>
    <m/>
    <s v="MS: SAL &amp; ALL: BASIC SALARY &amp; WAGES"/>
    <n v="7800438"/>
    <n v="-290187"/>
    <n v="0"/>
    <n v="-524054"/>
    <n v="-642946"/>
    <n v="44.9"/>
    <n v="0"/>
    <n v="7800438"/>
    <n v="8287965.375"/>
    <n v="8868122.9512499999"/>
    <n v="9488891.5578374993"/>
    <x v="1"/>
    <x v="1"/>
  </r>
  <r>
    <s v="55202110100EQMRCZZHO"/>
    <m/>
    <s v="MS: SAL &amp; ALL: PERFORMANCE BASED BONUSES"/>
    <n v="364506"/>
    <n v="-290187"/>
    <n v="0"/>
    <n v="-524054"/>
    <n v="-642946"/>
    <n v="44.9"/>
    <n v="-144361.65999999992"/>
    <n v="220144.34000000008"/>
    <n v="233903.36125000007"/>
    <n v="250276.59653750007"/>
    <n v="267795.95829512505"/>
    <x v="1"/>
    <x v="1"/>
  </r>
  <r>
    <s v="55202110220EQMRCZZHO"/>
    <m/>
    <s v="MS: ALL - CELLULAR &amp; TELEPHONE"/>
    <n v="136800"/>
    <n v="-290187"/>
    <n v="0"/>
    <n v="-524054"/>
    <n v="-642946"/>
    <n v="44.9"/>
    <n v="0"/>
    <n v="136800"/>
    <n v="145350"/>
    <n v="155524.5"/>
    <n v="166411.215"/>
    <x v="1"/>
    <x v="1"/>
  </r>
  <r>
    <s v="55202110260EQMRCZZHO"/>
    <m/>
    <s v="MS: HB &amp; INC: HOUSING BENEFITS"/>
    <n v="0"/>
    <n v="-290187"/>
    <n v="0"/>
    <n v="-524054"/>
    <n v="-642946"/>
    <n v="44.9"/>
    <n v="65358.84"/>
    <n v="65358.84"/>
    <n v="69443.767500000002"/>
    <n v="74304.831225000002"/>
    <n v="79506.169410750008"/>
    <x v="1"/>
    <x v="1"/>
  </r>
  <r>
    <s v="55202110320EQMRCZZHO"/>
    <m/>
    <s v="MS: ALL - LEAVE PAY"/>
    <n v="258849"/>
    <n v="-290187"/>
    <n v="0"/>
    <n v="-524054"/>
    <n v="-642946"/>
    <n v="44.9"/>
    <n v="0"/>
    <n v="258849"/>
    <n v="275027.0625"/>
    <n v="294278.95687499997"/>
    <n v="314878.48385624995"/>
    <x v="1"/>
    <x v="1"/>
  </r>
  <r>
    <s v="55202110340EQMRCZZHO"/>
    <m/>
    <s v="MS: ALL - TRAVEL OR MOTOR VEHICLE"/>
    <n v="241565"/>
    <n v="-290187"/>
    <n v="0"/>
    <n v="-524054"/>
    <n v="-642946"/>
    <n v="44.9"/>
    <n v="457044.24"/>
    <n v="698609.24"/>
    <n v="742272.3175"/>
    <n v="794231.37972500001"/>
    <n v="849827.57630575006"/>
    <x v="1"/>
    <x v="1"/>
  </r>
  <r>
    <s v="55202110360EQMRCZZHO"/>
    <m/>
    <s v="MS: OVERTIME - NON STRUCTURED"/>
    <n v="258730"/>
    <n v="-290187"/>
    <n v="0"/>
    <n v="-524054"/>
    <n v="-642946"/>
    <n v="44.9"/>
    <n v="-258730"/>
    <n v="0"/>
    <n v="0"/>
    <n v="0"/>
    <n v="0"/>
    <x v="1"/>
    <x v="1"/>
  </r>
  <r>
    <s v="55202110440EQMRCZZHO"/>
    <m/>
    <s v="MS: SRB - ACTING ALLOWANCE"/>
    <n v="0"/>
    <n v="-290187"/>
    <n v="0"/>
    <n v="-524054"/>
    <n v="-642946"/>
    <n v="44.9"/>
    <n v="110000"/>
    <n v="110000"/>
    <n v="116875"/>
    <n v="125056.25"/>
    <n v="133810.1875"/>
    <x v="1"/>
    <x v="1"/>
  </r>
  <r>
    <s v="55202110460EQMRCZZHO"/>
    <m/>
    <s v="MS: SRB - ANNUAL BONUS"/>
    <n v="650036"/>
    <n v="-290187"/>
    <n v="0"/>
    <n v="-524054"/>
    <n v="-642946"/>
    <n v="44.9"/>
    <n v="0"/>
    <n v="650036"/>
    <n v="690663.25"/>
    <n v="739009.67749999999"/>
    <n v="790740.35492499999"/>
    <x v="1"/>
    <x v="1"/>
  </r>
  <r>
    <s v="55202110480EQMRCZZHO"/>
    <m/>
    <s v="MS: SRB - LIFEGUARD/DUTY SQUADS"/>
    <n v="115560"/>
    <n v="-290187"/>
    <n v="0"/>
    <n v="-524054"/>
    <n v="-642946"/>
    <n v="44.9"/>
    <n v="0"/>
    <n v="115560"/>
    <n v="122782.5"/>
    <n v="131377.27499999999"/>
    <n v="140573.68424999999"/>
    <x v="1"/>
    <x v="1"/>
  </r>
  <r>
    <s v="55202110630EQMRCZZHO"/>
    <m/>
    <s v="MS: SRB - NON PENSIONABLE"/>
    <n v="0"/>
    <n v="-290187"/>
    <n v="0"/>
    <n v="-524054"/>
    <n v="-642946"/>
    <n v="44.9"/>
    <n v="15692.4"/>
    <n v="15692.4"/>
    <n v="16673.174999999999"/>
    <n v="17840.29725"/>
    <n v="19089.1180575"/>
    <x v="1"/>
    <x v="1"/>
  </r>
  <r>
    <s v="55202130010EQMRCZZHO"/>
    <m/>
    <s v="MS: SOC CONTR - BARGAINING COUNCIL"/>
    <n v="2921"/>
    <n v="-290187"/>
    <n v="0"/>
    <n v="-524054"/>
    <n v="-642946"/>
    <n v="44.9"/>
    <n v="0"/>
    <n v="2921"/>
    <n v="3103.5625"/>
    <n v="3320.8118749999999"/>
    <n v="3553.2687062499999"/>
    <x v="1"/>
    <x v="1"/>
  </r>
  <r>
    <s v="55202130200EQMRCZZHO"/>
    <m/>
    <s v="MS: SOC CONTR - MEDICAL"/>
    <n v="1401613"/>
    <n v="-290187"/>
    <n v="0"/>
    <n v="-524054"/>
    <n v="-642946"/>
    <n v="44.9"/>
    <n v="-500000"/>
    <n v="901613"/>
    <n v="957963.8125"/>
    <n v="1025021.279375"/>
    <n v="1096772.7689312501"/>
    <x v="1"/>
    <x v="1"/>
  </r>
  <r>
    <s v="55202130300EQMRCZZHO"/>
    <m/>
    <s v="MS: SOC CONTR - PENSION"/>
    <n v="1716096"/>
    <n v="-290187"/>
    <n v="0"/>
    <n v="-524054"/>
    <n v="-642946"/>
    <n v="44.9"/>
    <n v="0"/>
    <n v="1716096"/>
    <n v="1823352"/>
    <n v="1950986.64"/>
    <n v="2087555.7047999999"/>
    <x v="1"/>
    <x v="1"/>
  </r>
  <r>
    <s v="55202130400EQMRCZZHO"/>
    <m/>
    <s v="MS: SOC CONTR - UNEMPLOYMENT INSUR FUND"/>
    <n v="46410"/>
    <n v="-290187"/>
    <n v="0"/>
    <n v="-524054"/>
    <n v="-642946"/>
    <n v="44.9"/>
    <n v="0"/>
    <n v="46410"/>
    <n v="49310.625"/>
    <n v="52762.368750000001"/>
    <n v="56455.734562500002"/>
    <x v="1"/>
    <x v="1"/>
  </r>
  <r>
    <s v="55202140020PRMRCZZWM"/>
    <m/>
    <s v="MS: PRB - MED: CURRENT SERVICE COST"/>
    <n v="111281"/>
    <n v="-290187"/>
    <n v="0"/>
    <n v="-524054"/>
    <n v="-642946"/>
    <n v="44.9"/>
    <n v="0"/>
    <n v="111281"/>
    <n v="118236.0625"/>
    <n v="126512.58687500001"/>
    <n v="135368.46795625001"/>
    <x v="1"/>
    <x v="1"/>
  </r>
  <r>
    <s v="55202140040PRMRCZZWM"/>
    <m/>
    <s v="MS: PRB - MED: INTEREST COST"/>
    <n v="84517"/>
    <n v="-290187"/>
    <n v="0"/>
    <n v="-524054"/>
    <n v="-642946"/>
    <n v="44.9"/>
    <n v="0"/>
    <n v="84517"/>
    <n v="89799.3125"/>
    <n v="96085.264374999999"/>
    <n v="102811.23288125001"/>
    <x v="1"/>
    <x v="1"/>
  </r>
  <r>
    <s v="55202142200PRMRCZZWM"/>
    <m/>
    <s v="MS: PRB - OTHER: LONG TERM SERVICE AWARD"/>
    <n v="120219"/>
    <n v="-290187"/>
    <n v="0"/>
    <n v="-524054"/>
    <n v="-642946"/>
    <n v="44.9"/>
    <n v="0"/>
    <n v="120219"/>
    <n v="127732.6875"/>
    <n v="136673.97562499999"/>
    <n v="146241.15391875"/>
    <x v="1"/>
    <x v="1"/>
  </r>
  <r>
    <s v="55202283610ORR21ZZHO"/>
    <m/>
    <s v="CONTR: MAINTENANCE OF EQUIPMENT"/>
    <n v="39987"/>
    <n v="-290187"/>
    <n v="0"/>
    <n v="-524054"/>
    <n v="-642946"/>
    <n v="44.9"/>
    <n v="0"/>
    <n v="39987"/>
    <n v="41786.415000000001"/>
    <n v="43708.590089999998"/>
    <n v="45719.185234140001"/>
    <x v="1"/>
    <x v="2"/>
  </r>
  <r>
    <s v="55202305410EQMRCZZHO"/>
    <m/>
    <s v="OC: SKILLS DEVELOPMENT FUND LEVY"/>
    <n v="0"/>
    <n v="-290187"/>
    <n v="0"/>
    <n v="-524054"/>
    <n v="-642946"/>
    <n v="44.9"/>
    <n v="174021.27"/>
    <n v="174021.27"/>
    <n v="181852.22714999999"/>
    <n v="190217.42959889999"/>
    <n v="198967.43136044941"/>
    <x v="1"/>
    <x v="3"/>
  </r>
  <r>
    <s v="55202305760EQMRCZZHO"/>
    <m/>
    <s v="OC: T&amp;S DOM - ACCOMMODATION"/>
    <n v="0"/>
    <n v="-290187"/>
    <n v="0"/>
    <n v="-524054"/>
    <n v="-642946"/>
    <n v="44.9"/>
    <n v="219649.7"/>
    <n v="219649.7"/>
    <n v="229533.93650000001"/>
    <n v="240092.49757900002"/>
    <n v="251136.75246763401"/>
    <x v="1"/>
    <x v="3"/>
  </r>
  <r>
    <s v="55202720040PRMRCZZWM"/>
    <m/>
    <s v="AMORTISATION INTANG COMPUTER SOFTWARE"/>
    <n v="3371"/>
    <n v="-290187"/>
    <n v="0"/>
    <n v="-524054"/>
    <n v="-642946"/>
    <n v="44.9"/>
    <n v="0"/>
    <n v="3371"/>
    <n v="3522.6950000000002"/>
    <n v="3684.7389700000003"/>
    <n v="3854.2369626200002"/>
    <x v="1"/>
    <x v="6"/>
  </r>
  <r>
    <s v="55202720600PRMRCZZWM"/>
    <m/>
    <s v="DEPRECIATION COMPUTER EQUIPMENT"/>
    <n v="3371"/>
    <n v="-290187"/>
    <n v="0"/>
    <n v="-524054"/>
    <n v="-642946"/>
    <n v="44.9"/>
    <n v="0"/>
    <n v="3371"/>
    <n v="3522.6950000000002"/>
    <n v="3684.7389700000003"/>
    <n v="3854.2369626200002"/>
    <x v="1"/>
    <x v="6"/>
  </r>
  <r>
    <s v="55202721500PRMRCZZWM"/>
    <m/>
    <s v="DEPRECIATION FURNITURE &amp; OFFICE EQUIPM"/>
    <n v="62309"/>
    <n v="-290187"/>
    <n v="0"/>
    <n v="-524054"/>
    <n v="-642946"/>
    <n v="44.9"/>
    <n v="0"/>
    <n v="62309"/>
    <n v="65112.904999999999"/>
    <n v="68108.098629999993"/>
    <n v="71241.071166979993"/>
    <x v="1"/>
    <x v="6"/>
  </r>
  <r>
    <s v="55202723600PRMRCZZWM"/>
    <m/>
    <s v="DEPRECIATION  MACHINERY &amp; EQUIPMENT"/>
    <n v="10426"/>
    <n v="-290187"/>
    <n v="0"/>
    <n v="-524054"/>
    <n v="-642946"/>
    <n v="44.9"/>
    <n v="0"/>
    <n v="10426"/>
    <n v="10895.17"/>
    <n v="11396.347820000001"/>
    <n v="11920.57981972"/>
    <x v="1"/>
    <x v="6"/>
  </r>
  <r>
    <s v="55202728800PRMRCZZWM"/>
    <m/>
    <s v="DEPRECIATION COMMUNITY HALLS"/>
    <n v="0"/>
    <n v="-290187"/>
    <n v="0"/>
    <n v="-524054"/>
    <n v="-642946"/>
    <n v="44.9"/>
    <n v="0"/>
    <n v="0"/>
    <n v="0"/>
    <n v="0"/>
    <n v="0"/>
    <x v="1"/>
    <x v="6"/>
  </r>
  <r>
    <s v="55202728850PRMRCZZWM"/>
    <m/>
    <s v="DEPRECIATION COMMUNITY TESTING STATIONS"/>
    <n v="11236"/>
    <n v="-290187"/>
    <n v="0"/>
    <n v="-524054"/>
    <n v="-642946"/>
    <n v="44.9"/>
    <n v="0"/>
    <n v="11236"/>
    <n v="11741.62"/>
    <n v="12281.73452"/>
    <n v="12846.694307919999"/>
    <x v="1"/>
    <x v="6"/>
  </r>
  <r>
    <s v="55206456420FCC66ZZHO"/>
    <m/>
    <s v="TRAFFIC EQUIPMENT"/>
    <n v="100000"/>
    <n v="-290187"/>
    <n v="0"/>
    <n v="-524054"/>
    <n v="-642946"/>
    <n v="44.9"/>
    <n v="-100000"/>
    <n v="0"/>
    <n v="300000"/>
    <n v="0"/>
    <m/>
    <x v="2"/>
    <x v="0"/>
  </r>
  <r>
    <s v="55251420610F2ZZZZZWM"/>
    <m/>
    <s v="CEMETERY &amp; BURIAL"/>
    <n v="-12565"/>
    <n v="-290187"/>
    <n v="0"/>
    <n v="-524054"/>
    <n v="-642946"/>
    <n v="44.9"/>
    <n v="0"/>
    <n v="-12565"/>
    <n v="-13130.424999999999"/>
    <n v="-13734.42455"/>
    <n v="-14366.2080793"/>
    <x v="0"/>
    <x v="0"/>
  </r>
  <r>
    <s v="55252110010EQMRCZZHO"/>
    <m/>
    <s v="MS: SAL &amp; ALL: BASIC SALARY &amp; WAGES"/>
    <n v="666935"/>
    <n v="-290187"/>
    <n v="0"/>
    <n v="-524054"/>
    <n v="-642946"/>
    <n v="44.9"/>
    <n v="0"/>
    <n v="666935"/>
    <n v="708618.4375"/>
    <n v="758221.72812500002"/>
    <n v="811297.24909375003"/>
    <x v="1"/>
    <x v="1"/>
  </r>
  <r>
    <s v="55252110100EQMRCZZHO"/>
    <m/>
    <s v="MS: SAL &amp; ALL: PERFORMANCE BASED BONUSES"/>
    <n v="30877"/>
    <n v="-290187"/>
    <n v="0"/>
    <n v="-524054"/>
    <n v="-642946"/>
    <n v="44.9"/>
    <n v="-13942.82"/>
    <n v="16934.18"/>
    <n v="17992.56625"/>
    <n v="19252.0458875"/>
    <n v="20599.689099625"/>
    <x v="1"/>
    <x v="1"/>
  </r>
  <r>
    <s v="55252110320EQMRCZZHO"/>
    <m/>
    <s v="MS: ALL - LEAVE PAY"/>
    <n v="21927"/>
    <n v="-290187"/>
    <n v="0"/>
    <n v="-524054"/>
    <n v="-642946"/>
    <n v="44.9"/>
    <n v="0"/>
    <n v="21927"/>
    <n v="23297.4375"/>
    <n v="24928.258125"/>
    <n v="26673.236193749999"/>
    <x v="1"/>
    <x v="1"/>
  </r>
  <r>
    <s v="55252110360EQMRCZZHO"/>
    <m/>
    <s v="MS: OVERTIME - NON STRUCTURED"/>
    <n v="58869"/>
    <n v="-290187"/>
    <n v="0"/>
    <n v="-524054"/>
    <n v="-642946"/>
    <n v="44.9"/>
    <n v="0"/>
    <n v="58869"/>
    <n v="62548.3125"/>
    <n v="66926.694375000006"/>
    <n v="71611.562981250012"/>
    <x v="1"/>
    <x v="1"/>
  </r>
  <r>
    <s v="55252110460EQMRCZZHO"/>
    <m/>
    <s v="MS: SRB - ANNUAL BONUS"/>
    <n v="55578"/>
    <n v="-290187"/>
    <n v="0"/>
    <n v="-524054"/>
    <n v="-642946"/>
    <n v="44.9"/>
    <n v="0"/>
    <n v="55578"/>
    <n v="59051.625"/>
    <n v="63185.238750000004"/>
    <n v="67608.205462500002"/>
    <x v="1"/>
    <x v="1"/>
  </r>
  <r>
    <s v="55252110500EQMRCZZHO"/>
    <m/>
    <s v="MS: SRB - LONG SERVICE AWARD"/>
    <n v="19114"/>
    <n v="-290187"/>
    <n v="0"/>
    <n v="-524054"/>
    <n v="-642946"/>
    <n v="44.9"/>
    <n v="0"/>
    <n v="19114"/>
    <n v="20308.625"/>
    <n v="21730.228749999998"/>
    <n v="23251.344762499997"/>
    <x v="1"/>
    <x v="1"/>
  </r>
  <r>
    <s v="55252110560EQMRCZZHO"/>
    <m/>
    <s v="MS: SRB - STANDBY ALLOWANCE"/>
    <n v="0"/>
    <n v="-290187"/>
    <n v="0"/>
    <n v="-524054"/>
    <n v="-642946"/>
    <n v="44.9"/>
    <n v="3000"/>
    <n v="3000"/>
    <n v="3187.5"/>
    <n v="3410.625"/>
    <n v="3649.3687500000001"/>
    <x v="1"/>
    <x v="1"/>
  </r>
  <r>
    <s v="55252130010EQMRCZZHO"/>
    <m/>
    <s v="MS: SOC CONTR - BARGAINING COUNCIL"/>
    <n v="449"/>
    <n v="-290187"/>
    <n v="0"/>
    <n v="-524054"/>
    <n v="-642946"/>
    <n v="44.9"/>
    <n v="0"/>
    <n v="449"/>
    <n v="477.0625"/>
    <n v="510.45687499999997"/>
    <n v="546.18885624999996"/>
    <x v="1"/>
    <x v="1"/>
  </r>
  <r>
    <s v="55252130200EQMRCZZHO"/>
    <m/>
    <s v="MS: SOC CONTR - MEDICAL"/>
    <n v="67191"/>
    <n v="-290187"/>
    <n v="0"/>
    <n v="-524054"/>
    <n v="-642946"/>
    <n v="44.9"/>
    <n v="0"/>
    <n v="67191"/>
    <n v="71390.4375"/>
    <n v="76387.768125000002"/>
    <n v="81734.911893750002"/>
    <x v="1"/>
    <x v="1"/>
  </r>
  <r>
    <s v="55252130300EQMRCZZHO"/>
    <m/>
    <s v="MS: SOC CONTR - PENSION"/>
    <n v="146726"/>
    <n v="-290187"/>
    <n v="0"/>
    <n v="-524054"/>
    <n v="-642946"/>
    <n v="44.9"/>
    <n v="0"/>
    <n v="146726"/>
    <n v="155896.375"/>
    <n v="166809.12125"/>
    <n v="178485.75973749999"/>
    <x v="1"/>
    <x v="1"/>
  </r>
  <r>
    <s v="55252130400EQMRCZZHO"/>
    <m/>
    <s v="MS: SOC CONTR - UNEMPLOYMENT INSUR FUND"/>
    <n v="7140"/>
    <n v="-290187"/>
    <n v="0"/>
    <n v="-524054"/>
    <n v="-642946"/>
    <n v="44.9"/>
    <n v="0"/>
    <n v="7140"/>
    <n v="7586.25"/>
    <n v="8117.2875000000004"/>
    <n v="8685.497625"/>
    <x v="1"/>
    <x v="1"/>
  </r>
  <r>
    <s v="55252140020PRMRCZZWM"/>
    <m/>
    <s v="MS: PRB - MED: CURRENT SERVICE COST"/>
    <n v="46893"/>
    <n v="-290187"/>
    <n v="0"/>
    <n v="-524054"/>
    <n v="-642946"/>
    <n v="44.9"/>
    <n v="0"/>
    <n v="46893"/>
    <n v="49823.8125"/>
    <n v="53311.479375000003"/>
    <n v="57043.282931250003"/>
    <x v="1"/>
    <x v="1"/>
  </r>
  <r>
    <s v="55252140040PRMRCZZWM"/>
    <m/>
    <s v="MS: PRB - MED: INTEREST COST"/>
    <n v="26482"/>
    <n v="-290187"/>
    <n v="0"/>
    <n v="-524054"/>
    <n v="-642946"/>
    <n v="44.9"/>
    <n v="0"/>
    <n v="26482"/>
    <n v="28137.125"/>
    <n v="30106.723750000001"/>
    <n v="32214.194412500001"/>
    <x v="1"/>
    <x v="1"/>
  </r>
  <r>
    <s v="55252142200PRMRCZZWM"/>
    <m/>
    <s v="MS: PRB - OTHER: LONG TERM SERVICE AWARD"/>
    <n v="4306"/>
    <n v="-290187"/>
    <n v="0"/>
    <n v="-524054"/>
    <n v="-642946"/>
    <n v="44.9"/>
    <n v="0"/>
    <n v="4306"/>
    <n v="4575.125"/>
    <n v="4895.38375"/>
    <n v="5238.0606124999995"/>
    <x v="1"/>
    <x v="1"/>
  </r>
  <r>
    <s v="55252283600ORR64ZZHO"/>
    <m/>
    <s v="CONTR:  MAINT OF BUILDINGS &amp; FACILITIES"/>
    <n v="159000"/>
    <n v="-290187"/>
    <n v="0"/>
    <n v="-524054"/>
    <n v="-642946"/>
    <n v="44.9"/>
    <n v="0"/>
    <n v="159000"/>
    <n v="166155"/>
    <n v="173798.13"/>
    <n v="181792.84398000001"/>
    <x v="1"/>
    <x v="2"/>
  </r>
  <r>
    <s v="55252305410EQMRCZZHO"/>
    <m/>
    <s v="OC: SKILLS DEVELOPMENT FUND LEVY"/>
    <n v="0"/>
    <n v="-290187"/>
    <n v="0"/>
    <n v="-524054"/>
    <n v="-642946"/>
    <n v="44.9"/>
    <n v="8562.4"/>
    <n v="8562.4"/>
    <n v="8947.7079999999987"/>
    <n v="9359.3025679999992"/>
    <n v="9789.8304861279994"/>
    <x v="1"/>
    <x v="3"/>
  </r>
  <r>
    <s v="55252723600PRMRCZZWM"/>
    <m/>
    <s v="DEPRECIATION  MACHINERY &amp; EQUIPMENT"/>
    <n v="0"/>
    <n v="-290187"/>
    <n v="0"/>
    <n v="-524054"/>
    <n v="-642946"/>
    <n v="44.9"/>
    <n v="0"/>
    <n v="0"/>
    <n v="0"/>
    <n v="0"/>
    <m/>
    <x v="1"/>
    <x v="6"/>
  </r>
  <r>
    <s v="55301322000F8ZZZZZWM"/>
    <m/>
    <s v="WASTE MANGEMENT: CARRIER BAGS"/>
    <n v="-2285558"/>
    <n v="-290187"/>
    <n v="0"/>
    <n v="-524054"/>
    <n v="-642946"/>
    <n v="44.9"/>
    <n v="0"/>
    <n v="-2285558"/>
    <n v="-2388408.11"/>
    <n v="-2498274.8830599999"/>
    <n v="-2613195.5276807598"/>
    <x v="0"/>
    <x v="0"/>
  </r>
  <r>
    <s v="55301322030F8ZZZZZWM"/>
    <m/>
    <s v="WASTE MANGEMENT: REFUSE REMOVAL"/>
    <n v="0"/>
    <n v="-290187"/>
    <n v="0"/>
    <n v="-524054"/>
    <n v="-642946"/>
    <n v="44.9"/>
    <n v="0"/>
    <n v="0"/>
    <n v="0"/>
    <n v="0"/>
    <m/>
    <x v="0"/>
    <x v="0"/>
  </r>
  <r>
    <s v="55301322040F8ZZZZZWM"/>
    <m/>
    <s v="WASTE MANGEMENT: WASTE BINS"/>
    <n v="-2779"/>
    <n v="-290187"/>
    <n v="0"/>
    <n v="-524054"/>
    <n v="-642946"/>
    <n v="44.9"/>
    <n v="0"/>
    <n v="-2779"/>
    <n v="-2904.0549999999998"/>
    <n v="-3037.6415299999999"/>
    <n v="-3177.37304038"/>
    <x v="0"/>
    <x v="0"/>
  </r>
  <r>
    <s v="55301341120IDZZZZZWM"/>
    <m/>
    <s v="INTER: RECEIV - WASTE MANAGEMENT"/>
    <n v="-219191"/>
    <n v="-17032.490000000002"/>
    <n v="0"/>
    <n v="-97021.84"/>
    <n v="-122169.16"/>
    <n v="44.26"/>
    <n v="0"/>
    <n v="-219191"/>
    <n v="-229931.359"/>
    <n v="-240968.064232"/>
    <n v="-252534.531315136"/>
    <x v="0"/>
    <x v="0"/>
  </r>
  <r>
    <s v="55302110010EQMRCZZHO"/>
    <m/>
    <s v="MS: SAL &amp; ALL: BASIC SALARY &amp; WAGES"/>
    <n v="3160845"/>
    <n v="-290187"/>
    <n v="0"/>
    <n v="-524054"/>
    <n v="-642946"/>
    <n v="44.9"/>
    <n v="0"/>
    <n v="3160845"/>
    <n v="3358397.8125"/>
    <n v="3593485.6593749998"/>
    <n v="3845029.6555312499"/>
    <x v="1"/>
    <x v="1"/>
  </r>
  <r>
    <s v="55302110100EQMRCZZHO"/>
    <m/>
    <s v="MS: SAL &amp; ALL: PERFORMANCE BASED BONUSES"/>
    <n v="146335"/>
    <n v="-290187"/>
    <n v="0"/>
    <n v="-524054"/>
    <n v="-642946"/>
    <n v="44.9"/>
    <n v="-27795.740000000049"/>
    <n v="118539.25999999995"/>
    <n v="125947.96374999995"/>
    <n v="134764.32121249996"/>
    <n v="144197.82369737496"/>
    <x v="1"/>
    <x v="1"/>
  </r>
  <r>
    <s v="55302110220EQMRCZZHO"/>
    <m/>
    <s v="MS: ALL - CELLULAR &amp; TELEPHONE"/>
    <n v="28200"/>
    <n v="-290187"/>
    <n v="0"/>
    <n v="-524054"/>
    <n v="-642946"/>
    <n v="44.9"/>
    <n v="0"/>
    <n v="28200"/>
    <n v="29962.5"/>
    <n v="32059.875"/>
    <n v="34304.066250000003"/>
    <x v="1"/>
    <x v="1"/>
  </r>
  <r>
    <s v="55302110320EQMRCZZHO"/>
    <m/>
    <s v="MS: ALL - LEAVE PAY"/>
    <n v="103918"/>
    <n v="-290187"/>
    <n v="0"/>
    <n v="-524054"/>
    <n v="-642946"/>
    <n v="44.9"/>
    <n v="0"/>
    <n v="103918"/>
    <n v="110412.875"/>
    <n v="118141.77625"/>
    <n v="126411.7005875"/>
    <x v="1"/>
    <x v="1"/>
  </r>
  <r>
    <s v="55302110340EQMRCZZHO"/>
    <m/>
    <s v="MS: ALL - TRAVEL OR MOTOR VEHICLE"/>
    <n v="199536"/>
    <n v="-290187"/>
    <n v="0"/>
    <n v="-524054"/>
    <n v="-642946"/>
    <n v="44.9"/>
    <n v="0"/>
    <n v="199536"/>
    <n v="212007"/>
    <n v="226847.49"/>
    <n v="242726.8143"/>
    <x v="1"/>
    <x v="1"/>
  </r>
  <r>
    <s v="55302110360EQMRCZZHO"/>
    <m/>
    <s v="MS: OVERTIME - NON STRUCTURED"/>
    <n v="249992"/>
    <n v="-290187"/>
    <n v="0"/>
    <n v="-524054"/>
    <n v="-642946"/>
    <n v="44.9"/>
    <n v="0"/>
    <n v="249992"/>
    <n v="265616.5"/>
    <n v="284209.65500000003"/>
    <n v="304104.33085000003"/>
    <x v="1"/>
    <x v="1"/>
  </r>
  <r>
    <s v="55302110460EQMRCZZHO"/>
    <m/>
    <s v="MS: SRB - ANNUAL BONUS"/>
    <n v="263404"/>
    <n v="-290187"/>
    <n v="0"/>
    <n v="-524054"/>
    <n v="-642946"/>
    <n v="44.9"/>
    <n v="0"/>
    <n v="263404"/>
    <n v="279866.75"/>
    <n v="299457.42249999999"/>
    <n v="320419.44207499997"/>
    <x v="1"/>
    <x v="1"/>
  </r>
  <r>
    <s v="55302110500EQMRCZZHO"/>
    <m/>
    <s v="MS: SRB - LONG SERVICE AWARD"/>
    <n v="56699"/>
    <n v="-290187"/>
    <n v="0"/>
    <n v="-524054"/>
    <n v="-642946"/>
    <n v="44.9"/>
    <n v="0"/>
    <n v="56699"/>
    <n v="60242.6875"/>
    <n v="64459.675625000003"/>
    <n v="68971.85291875001"/>
    <x v="1"/>
    <x v="1"/>
  </r>
  <r>
    <s v="55302110560EQMRCZZHO"/>
    <m/>
    <s v="MS: SRB - STANDBY ALLOWANCE"/>
    <n v="0"/>
    <n v="-290187"/>
    <n v="0"/>
    <n v="-524054"/>
    <n v="-642946"/>
    <n v="44.9"/>
    <n v="24000"/>
    <n v="24000"/>
    <n v="25500"/>
    <n v="27285"/>
    <n v="29194.95"/>
    <x v="1"/>
    <x v="1"/>
  </r>
  <r>
    <s v="55302130010EQMRCZZHO"/>
    <m/>
    <s v="MS: SOC CONTR - BARGAINING COUNCIL"/>
    <n v="1573"/>
    <n v="-290187"/>
    <n v="0"/>
    <n v="-524054"/>
    <n v="-642946"/>
    <n v="44.9"/>
    <n v="0"/>
    <n v="1573"/>
    <n v="1671.3125"/>
    <n v="1788.3043749999999"/>
    <n v="1913.48568125"/>
    <x v="1"/>
    <x v="1"/>
  </r>
  <r>
    <s v="55302130200EQMRCZZHO"/>
    <m/>
    <s v="MS: SOC CONTR - MEDICAL"/>
    <n v="268764"/>
    <n v="-290187"/>
    <n v="0"/>
    <n v="-524054"/>
    <n v="-642946"/>
    <n v="44.9"/>
    <n v="0"/>
    <n v="268764"/>
    <n v="285561.75"/>
    <n v="305551.07250000001"/>
    <n v="326939.64757500001"/>
    <x v="1"/>
    <x v="1"/>
  </r>
  <r>
    <s v="55302130300EQMRCZZHO"/>
    <m/>
    <s v="MS: SOC CONTR - PENSION"/>
    <n v="695386"/>
    <n v="-290187"/>
    <n v="0"/>
    <n v="-524054"/>
    <n v="-642946"/>
    <n v="44.9"/>
    <n v="0"/>
    <n v="695386"/>
    <n v="738847.625"/>
    <n v="790566.95874999999"/>
    <n v="845906.64586249995"/>
    <x v="1"/>
    <x v="1"/>
  </r>
  <r>
    <s v="55302130400EQMRCZZHO"/>
    <m/>
    <s v="MS: SOC CONTR - UNEMPLOYMENT INSUR FUND"/>
    <n v="24990"/>
    <n v="-290187"/>
    <n v="0"/>
    <n v="-524054"/>
    <n v="-642946"/>
    <n v="44.9"/>
    <n v="0"/>
    <n v="24990"/>
    <n v="26551.875"/>
    <n v="28410.506249999999"/>
    <n v="30399.241687499998"/>
    <x v="1"/>
    <x v="1"/>
  </r>
  <r>
    <s v="55302140020PRMRCZZWM"/>
    <m/>
    <s v="MS: PRB - MED: CURRENT SERVICE COST"/>
    <n v="56609"/>
    <n v="-290187"/>
    <n v="0"/>
    <n v="-524054"/>
    <n v="-642946"/>
    <n v="44.9"/>
    <n v="0"/>
    <n v="56609"/>
    <n v="60147.0625"/>
    <n v="64357.356874999998"/>
    <n v="68862.37185625"/>
    <x v="1"/>
    <x v="1"/>
  </r>
  <r>
    <s v="55302140040PRMRCZZWM"/>
    <m/>
    <s v="MS: PRB - MED: INTEREST COST"/>
    <n v="73319"/>
    <n v="-290187"/>
    <n v="0"/>
    <n v="-524054"/>
    <n v="-642946"/>
    <n v="44.9"/>
    <n v="0"/>
    <n v="73319"/>
    <n v="77901.4375"/>
    <n v="83354.538125000006"/>
    <n v="89189.355793750001"/>
    <x v="1"/>
    <x v="1"/>
  </r>
  <r>
    <s v="55302142200PRMRCZZWM"/>
    <m/>
    <s v="MS: PRB - OTHER: LONG TERM SERVICE AWARD"/>
    <n v="39991"/>
    <n v="-290187"/>
    <n v="0"/>
    <n v="-524054"/>
    <n v="-642946"/>
    <n v="44.9"/>
    <n v="0"/>
    <n v="39991"/>
    <n v="42490.4375"/>
    <n v="45464.768125000002"/>
    <n v="48647.301893750002"/>
    <x v="1"/>
    <x v="1"/>
  </r>
  <r>
    <s v="55302300220F7P57ZZHO"/>
    <m/>
    <s v="OC: ATMOSPHERIC EMISSION LECENCE"/>
    <n v="1167000"/>
    <n v="-290187"/>
    <n v="0"/>
    <n v="-524054"/>
    <n v="-642946"/>
    <n v="44.9"/>
    <n v="0"/>
    <n v="1167000"/>
    <n v="1304000"/>
    <n v="0"/>
    <m/>
    <x v="1"/>
    <x v="3"/>
  </r>
  <r>
    <s v="55302301860F8P50ZZHO"/>
    <m/>
    <s v="OC: HONORARIA (VOLUNTARILY WORKERS)"/>
    <n v="41566"/>
    <n v="-290187"/>
    <n v="0"/>
    <n v="-524054"/>
    <n v="-642946"/>
    <n v="44.9"/>
    <n v="0"/>
    <n v="41566"/>
    <n v="43436.47"/>
    <n v="45434.547619999998"/>
    <n v="47524.536810519996"/>
    <x v="1"/>
    <x v="3"/>
  </r>
  <r>
    <s v="55302301860F8S39ZZWM"/>
    <m/>
    <s v="OC: HONORARIA (VOLUNTARILY WORKERS)"/>
    <n v="41566"/>
    <n v="-290187"/>
    <n v="0"/>
    <n v="-524054"/>
    <n v="-642946"/>
    <n v="44.9"/>
    <n v="0"/>
    <n v="41566"/>
    <n v="43436.47"/>
    <n v="45434.547619999998"/>
    <n v="47524.536810519996"/>
    <x v="1"/>
    <x v="3"/>
  </r>
  <r>
    <s v="55302305410EQMRCZZHO"/>
    <m/>
    <s v="OC: SKILLS DEVELOPMENT FUND LEVY"/>
    <n v="0"/>
    <n v="-290187"/>
    <n v="0"/>
    <n v="-524054"/>
    <n v="-642946"/>
    <n v="44.9"/>
    <n v="40000"/>
    <n v="40000"/>
    <n v="41800"/>
    <n v="43722.8"/>
    <n v="45734.048800000004"/>
    <x v="1"/>
    <x v="3"/>
  </r>
  <r>
    <s v="55302305760EQMRCZZHO"/>
    <m/>
    <s v="OC: T&amp;S DOM - ACCOMMODATION"/>
    <n v="0"/>
    <n v="-290187"/>
    <n v="0"/>
    <n v="-524054"/>
    <n v="-642946"/>
    <n v="44.9"/>
    <n v="120000"/>
    <n v="120000"/>
    <n v="125400"/>
    <n v="131168.4"/>
    <n v="137202.1464"/>
    <x v="1"/>
    <x v="3"/>
  </r>
  <r>
    <s v="60022305410EQMRCZZHO"/>
    <m/>
    <s v="OC: SKILLS DEVELOPMENT FUND LEVY"/>
    <n v="0"/>
    <n v="0"/>
    <n v="0"/>
    <n v="1217.71"/>
    <n v="-1217.71"/>
    <n v="0"/>
    <n v="0"/>
    <n v="0"/>
    <n v="0"/>
    <n v="0"/>
    <m/>
    <x v="1"/>
    <x v="3"/>
  </r>
  <r>
    <s v="60022721500PRMRCZZWM"/>
    <m/>
    <s v="DEPRECIATION FURNITURE &amp; OFFICE EQUIPM"/>
    <n v="5806"/>
    <n v="0"/>
    <n v="0"/>
    <n v="1217.71"/>
    <n v="-1217.71"/>
    <n v="0"/>
    <n v="0"/>
    <n v="5806"/>
    <n v="6067.27"/>
    <n v="6346.3644200000008"/>
    <n v="6638.2971833200008"/>
    <x v="1"/>
    <x v="6"/>
  </r>
  <r>
    <s v="60022729200PRMRCZZWM"/>
    <m/>
    <s v="DEPRECIATION OP BUILDING  MUNIC OFFICES"/>
    <n v="63245"/>
    <n v="0"/>
    <n v="0"/>
    <n v="1217.71"/>
    <n v="-1217.71"/>
    <n v="0"/>
    <n v="0"/>
    <n v="63245"/>
    <n v="66091.024999999994"/>
    <n v="69131.212149999992"/>
    <n v="72311.247908899997"/>
    <x v="1"/>
    <x v="6"/>
  </r>
  <r>
    <s v="60052031650PRMRCZZHO"/>
    <m/>
    <s v="SM D03: SAL &amp; ALL -  BASIC SALARY"/>
    <n v="651161"/>
    <n v="0"/>
    <n v="0"/>
    <n v="1217.71"/>
    <n v="-1217.71"/>
    <n v="0"/>
    <n v="0"/>
    <n v="651161"/>
    <n v="691858.5625"/>
    <n v="740288.66187499999"/>
    <n v="792108.86820625002"/>
    <x v="1"/>
    <x v="1"/>
  </r>
  <r>
    <s v="60052031660PRMRCZZHO"/>
    <m/>
    <s v="SM D03: SAL &amp; ALL -  PERFORM BASED BONUS"/>
    <n v="32558"/>
    <n v="0"/>
    <n v="0"/>
    <n v="1217.71"/>
    <n v="-1217.71"/>
    <n v="0"/>
    <n v="0"/>
    <n v="32558"/>
    <n v="34592.875"/>
    <n v="37014.376250000001"/>
    <n v="39605.382587500004"/>
    <x v="1"/>
    <x v="1"/>
  </r>
  <r>
    <s v="60052031670PRMRCZZHO"/>
    <m/>
    <s v="SM D03: ALLOW - CELLULAR &amp; TELEPHONE"/>
    <n v="40000"/>
    <n v="0"/>
    <n v="0"/>
    <n v="1217.71"/>
    <n v="-1217.71"/>
    <n v="0"/>
    <n v="0"/>
    <n v="40000"/>
    <n v="42500"/>
    <n v="45475"/>
    <n v="48658.25"/>
    <x v="1"/>
    <x v="1"/>
  </r>
  <r>
    <s v="60052031690PRMRCZZHO"/>
    <m/>
    <s v="SM D03: ALLOW - TRAVEL OR MOTOR VEHICLE"/>
    <n v="206737"/>
    <n v="0"/>
    <n v="0"/>
    <n v="1217.71"/>
    <n v="-1217.71"/>
    <n v="0"/>
    <n v="0"/>
    <n v="206737"/>
    <n v="219658.0625"/>
    <n v="235034.12687499999"/>
    <n v="251486.51575624998"/>
    <x v="1"/>
    <x v="1"/>
  </r>
  <r>
    <s v="60052031710EQMRCZZHO"/>
    <m/>
    <s v="SM D03: ALLOW - NON PENSIONABLE"/>
    <n v="17000"/>
    <n v="0"/>
    <n v="0"/>
    <n v="1217.71"/>
    <n v="-1217.71"/>
    <n v="0"/>
    <n v="0"/>
    <n v="17000"/>
    <n v="18062.5"/>
    <n v="19326.875"/>
    <n v="20679.756249999999"/>
    <x v="1"/>
    <x v="1"/>
  </r>
  <r>
    <s v="60052031780PRMRCZZHO"/>
    <m/>
    <s v="SM D03: SRB - ACTING &amp; POST RELATE ALLOW"/>
    <n v="18580"/>
    <n v="0"/>
    <n v="0"/>
    <n v="1217.71"/>
    <n v="-1217.71"/>
    <n v="0"/>
    <n v="0"/>
    <n v="18580"/>
    <n v="19741.25"/>
    <n v="21123.137500000001"/>
    <n v="22601.757125"/>
    <x v="1"/>
    <x v="1"/>
  </r>
  <r>
    <s v="60052110630EQMRCZZHO"/>
    <m/>
    <s v="MS: SRB - NON PENSIONABLE"/>
    <n v="32457"/>
    <n v="0"/>
    <n v="0"/>
    <n v="1217.71"/>
    <n v="-1217.71"/>
    <n v="0"/>
    <n v="-32457"/>
    <n v="0"/>
    <n v="0"/>
    <n v="0"/>
    <n v="0"/>
    <x v="1"/>
    <x v="1"/>
  </r>
  <r>
    <s v="60052301600ORMRCZZHO"/>
    <m/>
    <s v="OC: ENTERTAINMENT - EXEC MAYOR"/>
    <n v="2000"/>
    <n v="0"/>
    <n v="0"/>
    <n v="1217.71"/>
    <n v="-1217.71"/>
    <n v="0"/>
    <n v="0"/>
    <n v="2000"/>
    <n v="2000"/>
    <n v="2000"/>
    <n v="2000"/>
    <x v="1"/>
    <x v="3"/>
  </r>
  <r>
    <s v="60052305410EQMRCZZHO"/>
    <m/>
    <s v="OC: SKILLS DEVELOPMENT FUND LEVY"/>
    <n v="0"/>
    <n v="0"/>
    <n v="0"/>
    <n v="1217.71"/>
    <n v="-1217.71"/>
    <n v="0"/>
    <n v="10000"/>
    <n v="10000"/>
    <n v="10450"/>
    <n v="10930.7"/>
    <n v="11433.512200000001"/>
    <x v="1"/>
    <x v="3"/>
  </r>
  <r>
    <s v="60052305760EQMRCZZHO"/>
    <m/>
    <s v="OC: T&amp;S DOM - ACCOMMODATION"/>
    <n v="80329"/>
    <n v="0"/>
    <n v="0"/>
    <n v="1217.71"/>
    <n v="-1217.71"/>
    <n v="0"/>
    <n v="40000"/>
    <n v="120329"/>
    <n v="125743.80499999999"/>
    <n v="131528.02002999999"/>
    <n v="137578.30895137999"/>
    <x v="1"/>
    <x v="3"/>
  </r>
  <r>
    <s v="60052305760PRMRCZZHO"/>
    <m/>
    <s v="OC: T&amp;S DOM - ACCOMMODATION"/>
    <n v="73677"/>
    <n v="0"/>
    <n v="0"/>
    <n v="1217.71"/>
    <n v="-1217.71"/>
    <n v="0"/>
    <n v="30000"/>
    <n v="103677"/>
    <n v="108342.465"/>
    <n v="113326.21838999999"/>
    <n v="118539.22443593999"/>
    <x v="1"/>
    <x v="3"/>
  </r>
  <r>
    <s v="60052305800ORMRCZZHO"/>
    <m/>
    <s v="OC: T&amp;S DOM TRP - WITHOUT OPR CAR RENTAL"/>
    <n v="21200"/>
    <n v="0"/>
    <n v="0"/>
    <n v="1217.71"/>
    <n v="-1217.71"/>
    <n v="0"/>
    <n v="-15000"/>
    <n v="6200"/>
    <n v="6479"/>
    <n v="6777.0339999999997"/>
    <n v="7088.777564"/>
    <x v="1"/>
    <x v="3"/>
  </r>
  <r>
    <s v="60052306610ORMRCZZHO"/>
    <m/>
    <s v="OC: WET FUEL"/>
    <n v="34896"/>
    <n v="0"/>
    <n v="0"/>
    <n v="1217.71"/>
    <n v="-1217.71"/>
    <n v="0"/>
    <n v="-15000"/>
    <n v="19896"/>
    <n v="20791.32"/>
    <n v="21747.720720000001"/>
    <n v="22748.115873120001"/>
    <x v="1"/>
    <x v="3"/>
  </r>
  <r>
    <s v="60052320610ORMRCZZHO"/>
    <m/>
    <s v="INV - CONSUMABLE STORES - ZERO RATED"/>
    <n v="1967760"/>
    <n v="0"/>
    <n v="0"/>
    <n v="1217.71"/>
    <n v="-1217.71"/>
    <n v="0"/>
    <n v="0"/>
    <n v="1967760"/>
    <n v="2056309.2"/>
    <n v="2150899.4232000001"/>
    <n v="2249840.7966672"/>
    <x v="1"/>
    <x v="4"/>
  </r>
  <r>
    <s v="60062110010EQMRCZZHO"/>
    <m/>
    <s v="MS: SAL &amp; ALL: BASIC SALARY &amp; WAGES"/>
    <n v="2357397"/>
    <n v="0"/>
    <n v="0"/>
    <n v="1217.71"/>
    <n v="-1217.71"/>
    <n v="0"/>
    <n v="0"/>
    <n v="2357397"/>
    <n v="2504734.3125"/>
    <n v="2680065.714375"/>
    <n v="2867670.3143812502"/>
    <x v="1"/>
    <x v="1"/>
  </r>
  <r>
    <s v="60062110100EQMRCZZHO"/>
    <m/>
    <s v="MS: SAL &amp; ALL: PERFORMANCE BASED BONUSES"/>
    <n v="107339"/>
    <n v="0"/>
    <n v="0"/>
    <n v="1217.71"/>
    <n v="-1217.71"/>
    <n v="0"/>
    <n v="-65003.549999999988"/>
    <n v="42335.450000000012"/>
    <n v="44981.415625000009"/>
    <n v="48130.11471875001"/>
    <n v="51499.222749062508"/>
    <x v="1"/>
    <x v="1"/>
  </r>
  <r>
    <s v="60062110220EQMRCZZHO"/>
    <m/>
    <s v="MS: ALL - CELLULAR &amp; TELEPHONE"/>
    <n v="14100"/>
    <n v="0"/>
    <n v="0"/>
    <n v="1217.71"/>
    <n v="-1217.71"/>
    <n v="0"/>
    <n v="0"/>
    <n v="14100"/>
    <n v="14981.25"/>
    <n v="16029.9375"/>
    <n v="17152.033125000002"/>
    <x v="1"/>
    <x v="1"/>
  </r>
  <r>
    <s v="60062110260EQMRCZZHO"/>
    <m/>
    <s v="MS: HB &amp; INC: HOUSING BENEFITS"/>
    <n v="21786"/>
    <n v="0"/>
    <n v="0"/>
    <n v="1217.71"/>
    <n v="-1217.71"/>
    <n v="0"/>
    <n v="0"/>
    <n v="21786"/>
    <n v="23147.625"/>
    <n v="24767.958750000002"/>
    <n v="26501.715862500001"/>
    <x v="1"/>
    <x v="1"/>
  </r>
  <r>
    <s v="60062110320EQMRCZZHO"/>
    <m/>
    <s v="MS: ALL - LEAVE PAY"/>
    <n v="76225"/>
    <n v="0"/>
    <n v="0"/>
    <n v="1217.71"/>
    <n v="-1217.71"/>
    <n v="0"/>
    <n v="0"/>
    <n v="76225"/>
    <n v="80989.0625"/>
    <n v="86658.296875"/>
    <n v="92724.377656249999"/>
    <x v="1"/>
    <x v="1"/>
  </r>
  <r>
    <s v="60062110340EQMRCZZHO"/>
    <m/>
    <s v="MS: ALL - TRAVEL OR MOTOR VEHICLE"/>
    <n v="91702"/>
    <n v="0"/>
    <n v="0"/>
    <n v="1217.71"/>
    <n v="-1217.71"/>
    <n v="0"/>
    <n v="0"/>
    <n v="91702"/>
    <n v="97433.375"/>
    <n v="104253.71124999999"/>
    <n v="111551.4710375"/>
    <x v="1"/>
    <x v="1"/>
  </r>
  <r>
    <s v="60062110360EQMRCZZHO"/>
    <m/>
    <s v="MS: OVERTIME - NON STRUCTURED"/>
    <n v="98324"/>
    <n v="0"/>
    <n v="0"/>
    <n v="1217.71"/>
    <n v="-1217.71"/>
    <n v="0"/>
    <n v="-60000"/>
    <n v="38324"/>
    <n v="40719.25"/>
    <n v="43569.597500000003"/>
    <n v="46619.469325000005"/>
    <x v="1"/>
    <x v="1"/>
  </r>
  <r>
    <s v="60062110460EQMRCZZHO"/>
    <m/>
    <s v="MS: SRB - ANNUAL BONUS"/>
    <n v="193210"/>
    <n v="0"/>
    <n v="0"/>
    <n v="1217.71"/>
    <n v="-1217.71"/>
    <n v="0"/>
    <n v="0"/>
    <n v="193210"/>
    <n v="205285.625"/>
    <n v="219655.61874999999"/>
    <n v="235031.5120625"/>
    <x v="1"/>
    <x v="1"/>
  </r>
  <r>
    <s v="60062110560EQMRCZZHO"/>
    <m/>
    <s v="MS: SRB - STANDBY ALLOWANCE"/>
    <n v="0"/>
    <n v="0"/>
    <n v="0"/>
    <n v="1217.71"/>
    <n v="-1217.71"/>
    <n v="0"/>
    <n v="60000"/>
    <n v="60000"/>
    <n v="63750"/>
    <n v="68212.5"/>
    <n v="72987.375"/>
    <x v="1"/>
    <x v="1"/>
  </r>
  <r>
    <s v="60062130010EQMRCZZHO"/>
    <m/>
    <s v="MS: SOC CONTR - BARGAINING COUNCIL"/>
    <n v="1124"/>
    <n v="0"/>
    <n v="0"/>
    <n v="1217.71"/>
    <n v="-1217.71"/>
    <n v="0"/>
    <n v="0"/>
    <n v="1124"/>
    <n v="1194.25"/>
    <n v="1277.8475000000001"/>
    <n v="1367.2968250000001"/>
    <x v="1"/>
    <x v="1"/>
  </r>
  <r>
    <s v="60062130200EQMRCZZHO"/>
    <m/>
    <s v="MS: SOC CONTR - MEDICAL"/>
    <n v="100786"/>
    <n v="0"/>
    <n v="0"/>
    <n v="1217.71"/>
    <n v="-1217.71"/>
    <n v="0"/>
    <n v="0"/>
    <n v="100786"/>
    <n v="107085.125"/>
    <n v="114581.08375000001"/>
    <n v="122601.7596125"/>
    <x v="1"/>
    <x v="1"/>
  </r>
  <r>
    <s v="60062130300EQMRCZZHO"/>
    <m/>
    <s v="MS: SOC CONTR - PENSION"/>
    <n v="510074"/>
    <n v="0"/>
    <n v="0"/>
    <n v="1217.71"/>
    <n v="-1217.71"/>
    <n v="0"/>
    <n v="0"/>
    <n v="510074"/>
    <n v="541953.625"/>
    <n v="579890.37875000003"/>
    <n v="620482.70526250009"/>
    <x v="1"/>
    <x v="1"/>
  </r>
  <r>
    <s v="60062130400EQMRCZZHO"/>
    <m/>
    <s v="MS: SOC CONTR - UNEMPLOYMENT INSUR FUND"/>
    <n v="19635"/>
    <n v="0"/>
    <n v="0"/>
    <n v="1217.71"/>
    <n v="-1217.71"/>
    <n v="0"/>
    <n v="0"/>
    <n v="19635"/>
    <n v="20862.1875"/>
    <n v="22322.540625000001"/>
    <n v="23885.118468750003"/>
    <x v="1"/>
    <x v="1"/>
  </r>
  <r>
    <s v="60062140020PRMRCZZHO"/>
    <m/>
    <s v="MS: PRB - MED: CURRENT SERVICE COST"/>
    <n v="13532"/>
    <n v="0"/>
    <n v="0"/>
    <n v="1217.71"/>
    <n v="-1217.71"/>
    <n v="0"/>
    <n v="0"/>
    <n v="13532"/>
    <n v="14377.75"/>
    <n v="15384.192499999999"/>
    <n v="16461.085974999998"/>
    <x v="1"/>
    <x v="1"/>
  </r>
  <r>
    <s v="60062140040PRMRCZZHO"/>
    <m/>
    <s v="MS: PRB - MED: INTEREST COST"/>
    <n v="8126"/>
    <n v="0"/>
    <n v="0"/>
    <n v="1217.71"/>
    <n v="-1217.71"/>
    <n v="0"/>
    <n v="0"/>
    <n v="8126"/>
    <n v="8633.875"/>
    <n v="9238.2462500000001"/>
    <n v="9884.9234875000002"/>
    <x v="1"/>
    <x v="1"/>
  </r>
  <r>
    <s v="60062142200PRMRCZZHO"/>
    <m/>
    <s v="MS: PRB - OTHER: LONG TERM SERVICE AWARD"/>
    <n v="23049"/>
    <n v="0"/>
    <n v="0"/>
    <n v="1217.71"/>
    <n v="-1217.71"/>
    <n v="0"/>
    <n v="0"/>
    <n v="23049"/>
    <n v="24489.5625"/>
    <n v="26203.831875"/>
    <n v="28038.10010625"/>
    <x v="1"/>
    <x v="1"/>
  </r>
  <r>
    <s v="60062283610ORR54ZZHO"/>
    <s v="mechanic p"/>
    <s v="CONTR: MAINTENANCE OF EQUIPMENT"/>
    <n v="2700000"/>
    <n v="0"/>
    <n v="0"/>
    <n v="1217.71"/>
    <n v="-1217.71"/>
    <n v="0"/>
    <n v="0"/>
    <n v="2700000"/>
    <n v="2000000"/>
    <n v="2092000"/>
    <n v="2188232"/>
    <x v="1"/>
    <x v="2"/>
  </r>
  <r>
    <s v="60062283610ORS54ZZWM"/>
    <m/>
    <s v="CONTR: MAINTENANCE OF EQUIPMENT"/>
    <n v="900000"/>
    <n v="0"/>
    <n v="0"/>
    <n v="1217.71"/>
    <n v="-1217.71"/>
    <n v="0"/>
    <n v="0"/>
    <n v="900000"/>
    <n v="0"/>
    <n v="0"/>
    <n v="0"/>
    <x v="1"/>
    <x v="2"/>
  </r>
  <r>
    <s v="60062283620ORR50ZZHO"/>
    <m/>
    <s v="CONTR: MAINTENANCE OF UNSPECIFIED ASSETS"/>
    <n v="1800000"/>
    <n v="0"/>
    <n v="0"/>
    <n v="1217.71"/>
    <n v="-1217.71"/>
    <n v="0"/>
    <n v="0"/>
    <n v="1800000"/>
    <n v="1881000"/>
    <n v="1967526"/>
    <n v="2058032.196"/>
    <x v="1"/>
    <x v="2"/>
  </r>
  <r>
    <s v="60062301870ORMRCZZHO"/>
    <m/>
    <s v="OC: HIRE CHARGES"/>
    <n v="36722"/>
    <n v="0"/>
    <n v="0"/>
    <n v="1217.71"/>
    <n v="-1217.71"/>
    <n v="0"/>
    <n v="0"/>
    <n v="36722"/>
    <n v="38374.49"/>
    <n v="40139.716540000001"/>
    <n v="41986.14350084"/>
    <x v="1"/>
    <x v="3"/>
  </r>
  <r>
    <s v="60062305410EQMRCZZHO"/>
    <m/>
    <s v="OC: SKILLS DEVELOPMENT FUND LEVY"/>
    <n v="48487"/>
    <n v="0"/>
    <n v="0"/>
    <n v="1217.71"/>
    <n v="-1217.71"/>
    <n v="0"/>
    <n v="0"/>
    <n v="48487"/>
    <n v="50668.915000000001"/>
    <n v="52999.685089999999"/>
    <n v="55437.670604139996"/>
    <x v="1"/>
    <x v="3"/>
  </r>
  <r>
    <s v="60062305760EQMRCZZHO"/>
    <m/>
    <s v="OC: T&amp;S DOM - ACCOMMODATION"/>
    <n v="0"/>
    <n v="0"/>
    <n v="0"/>
    <n v="1217.71"/>
    <n v="-1217.71"/>
    <n v="0"/>
    <n v="90000"/>
    <n v="90000"/>
    <n v="94050"/>
    <n v="98376.3"/>
    <n v="102901.60980000001"/>
    <x v="1"/>
    <x v="3"/>
  </r>
  <r>
    <s v="60062320600ORR54ZZHO"/>
    <m/>
    <s v="INV - CONSUMABLE STORES - STANDARD RATED"/>
    <n v="0"/>
    <n v="0"/>
    <n v="0"/>
    <n v="1217.71"/>
    <n v="-1217.71"/>
    <n v="0"/>
    <n v="95109"/>
    <n v="95109"/>
    <n v="99388.904999999999"/>
    <n v="103960.79463"/>
    <n v="108742.99118298001"/>
    <x v="1"/>
    <x v="4"/>
  </r>
  <r>
    <s v="60062720040PRMRCZZWM"/>
    <m/>
    <s v="AMORTISATION INTANG COMPUTER SOFTWARE"/>
    <n v="0"/>
    <n v="0"/>
    <n v="0"/>
    <n v="1217.71"/>
    <n v="-1217.71"/>
    <n v="0"/>
    <n v="0"/>
    <n v="0"/>
    <n v="0"/>
    <n v="0"/>
    <n v="0"/>
    <x v="1"/>
    <x v="6"/>
  </r>
  <r>
    <s v="60062720600PRMRCZZWM"/>
    <m/>
    <s v="DEPRECIATION COMPUTER EQUIPMENT"/>
    <n v="0"/>
    <n v="0"/>
    <n v="0"/>
    <n v="1217.71"/>
    <n v="-1217.71"/>
    <n v="0"/>
    <n v="0"/>
    <n v="0"/>
    <n v="0"/>
    <n v="0"/>
    <n v="0"/>
    <x v="1"/>
    <x v="6"/>
  </r>
  <r>
    <s v="60062721500PRMRCZZWM"/>
    <m/>
    <s v="DEPRECIATION FURNITURE &amp; OFFICE EQUIPM"/>
    <n v="476"/>
    <n v="0"/>
    <n v="0"/>
    <n v="1217.71"/>
    <n v="-1217.71"/>
    <n v="0"/>
    <n v="0"/>
    <n v="476"/>
    <n v="497.42"/>
    <n v="520.30132000000003"/>
    <n v="544.23518072000002"/>
    <x v="1"/>
    <x v="6"/>
  </r>
  <r>
    <s v="60062722490PRMRCZZWM"/>
    <m/>
    <s v="DEPRECIATION ELEC LV NETWORKS"/>
    <n v="0"/>
    <n v="0"/>
    <n v="0"/>
    <n v="1217.71"/>
    <n v="-1217.71"/>
    <n v="0"/>
    <n v="3513156.6700000199"/>
    <n v="3513156.6700000199"/>
    <n v="3671248.7201500209"/>
    <n v="3840126.1612769216"/>
    <n v="4016771.9646956599"/>
    <x v="1"/>
    <x v="6"/>
  </r>
  <r>
    <s v="60062723600PRMRCZZWM"/>
    <m/>
    <s v="DEPRECIATION  MACHINERY &amp; EQUIPMENT"/>
    <n v="530622"/>
    <n v="0"/>
    <n v="0"/>
    <n v="1217.71"/>
    <n v="-1217.71"/>
    <n v="0"/>
    <n v="0"/>
    <n v="530622"/>
    <n v="554499.99"/>
    <n v="580006.98953999998"/>
    <n v="606687.31105884002"/>
    <x v="1"/>
    <x v="6"/>
  </r>
  <r>
    <s v="60062725700PRMRCZZWM"/>
    <m/>
    <s v="DEPRECIATION  TRANSPORT ASSETS"/>
    <n v="168850"/>
    <n v="0"/>
    <n v="0"/>
    <n v="1217.71"/>
    <n v="-1217.71"/>
    <n v="0"/>
    <n v="0"/>
    <n v="168850"/>
    <n v="176448.25"/>
    <n v="184564.8695"/>
    <n v="193054.853497"/>
    <x v="1"/>
    <x v="6"/>
  </r>
  <r>
    <s v="60062728000PRMRCZZWM"/>
    <m/>
    <s v="DEPRECIATION ROADS"/>
    <n v="2276857"/>
    <n v="0"/>
    <n v="0"/>
    <n v="1217.71"/>
    <n v="-1217.71"/>
    <n v="0"/>
    <n v="2182253"/>
    <n v="4459110"/>
    <n v="4659769.95"/>
    <n v="4874119.3677000003"/>
    <n v="5098328.8586142007"/>
    <x v="1"/>
    <x v="6"/>
  </r>
  <r>
    <s v="60062729200PRMRCZZWM"/>
    <m/>
    <s v="DEPRECIATION OP BUILDING  MUNIC OFFICES"/>
    <n v="3371"/>
    <n v="0"/>
    <n v="0"/>
    <n v="1217.71"/>
    <n v="-1217.71"/>
    <n v="0"/>
    <n v="0"/>
    <n v="3371"/>
    <n v="3522.6950000000002"/>
    <n v="3684.7389700000003"/>
    <n v="3854.2369626200002"/>
    <x v="1"/>
    <x v="6"/>
  </r>
  <r>
    <s v="600664_ new1"/>
    <m/>
    <s v="Maupye Upgrading of Internal Streets"/>
    <n v="0"/>
    <m/>
    <m/>
    <m/>
    <m/>
    <m/>
    <m/>
    <m/>
    <m/>
    <n v="12259030"/>
    <n v="6000000"/>
    <x v="2"/>
    <x v="0"/>
  </r>
  <r>
    <s v="600664_new3"/>
    <m/>
    <s v="Upgrading of Marowe Internal Street from Gravel to Surface."/>
    <n v="0"/>
    <m/>
    <m/>
    <m/>
    <m/>
    <m/>
    <m/>
    <n v="0"/>
    <n v="0"/>
    <n v="2000000"/>
    <n v="6000000"/>
    <x v="2"/>
    <x v="0"/>
  </r>
  <r>
    <s v="600664_new4"/>
    <m/>
    <s v="Upgrading of Phaudi Park Internal Street from Gravel to Surface."/>
    <n v="0"/>
    <m/>
    <m/>
    <m/>
    <m/>
    <m/>
    <m/>
    <n v="0"/>
    <n v="0"/>
    <n v="2000000"/>
    <n v="6000000"/>
    <x v="2"/>
    <x v="0"/>
  </r>
  <r>
    <s v="600664_new5"/>
    <m/>
    <s v="Upgrading of Ga-Sako Park Internal Street from Gravel to Surface."/>
    <m/>
    <m/>
    <m/>
    <m/>
    <m/>
    <m/>
    <m/>
    <m/>
    <m/>
    <n v="2000000"/>
    <n v="5905050"/>
    <x v="2"/>
    <x v="0"/>
  </r>
  <r>
    <s v="600664_new6"/>
    <m/>
    <s v="Upgrading of Broekman Park Internal Street from Gravel to Surface."/>
    <n v="0"/>
    <m/>
    <m/>
    <m/>
    <m/>
    <m/>
    <m/>
    <n v="0"/>
    <n v="0"/>
    <n v="2500000"/>
    <n v="6897350"/>
    <x v="2"/>
    <x v="0"/>
  </r>
  <r>
    <s v="60066420420FCC83ZZWM"/>
    <m/>
    <s v="PROCUREMENT OF 2X TIPPER TRUCKS 10M3"/>
    <n v="1000000"/>
    <n v="0"/>
    <n v="0"/>
    <n v="1217.71"/>
    <n v="-1217.71"/>
    <n v="0"/>
    <n v="-37820"/>
    <n v="962180"/>
    <n v="0"/>
    <n v="0"/>
    <m/>
    <x v="2"/>
    <x v="0"/>
  </r>
  <r>
    <s v="60066450020MGC79ZZWM"/>
    <m/>
    <s v="CONSTRUCTION OF LANDFILL SITE"/>
    <n v="0"/>
    <n v="0"/>
    <n v="0"/>
    <n v="0"/>
    <n v="0"/>
    <n v="0"/>
    <n v="0"/>
    <m/>
    <n v="0"/>
    <n v="0"/>
    <m/>
    <x v="2"/>
    <x v="0"/>
  </r>
  <r>
    <s v="60066456020FCC87ZZWM"/>
    <m/>
    <s v="PROCUREMENT OF 2X GRADER"/>
    <n v="3000000"/>
    <n v="0"/>
    <n v="0"/>
    <n v="1217.71"/>
    <n v="-1217.71"/>
    <n v="0"/>
    <n v="-3000000"/>
    <n v="0"/>
    <n v="0"/>
    <n v="0"/>
    <m/>
    <x v="2"/>
    <x v="0"/>
  </r>
  <r>
    <s v="60066472420FCC77ZZ11"/>
    <m/>
    <s v="MOGWADI INTERNAL STREETS"/>
    <n v="0"/>
    <m/>
    <m/>
    <m/>
    <m/>
    <n v="0"/>
    <n v="0"/>
    <m/>
    <n v="0"/>
    <n v="4800000"/>
    <n v="8000000"/>
    <x v="2"/>
    <x v="0"/>
  </r>
  <r>
    <s v="60066472420FCC89ZZWM"/>
    <m/>
    <s v="20X CULVERT BRIDGES (CIRCULAR/BOX)"/>
    <n v="2220000"/>
    <n v="0"/>
    <n v="0"/>
    <n v="1217.71"/>
    <n v="-1217.71"/>
    <n v="0"/>
    <n v="-2220000"/>
    <n v="0"/>
    <n v="1260000"/>
    <n v="1260000"/>
    <n v="0"/>
    <x v="2"/>
    <x v="0"/>
  </r>
  <r>
    <s v="60066472420MGC30ZZ15"/>
    <m/>
    <s v="Mokgehle Upgrading of Internal Streets"/>
    <n v="0"/>
    <n v="0"/>
    <n v="0"/>
    <n v="1217.71"/>
    <n v="-1217.71"/>
    <n v="0"/>
    <n v="0"/>
    <n v="0"/>
    <n v="0"/>
    <n v="12105000"/>
    <n v="7000000"/>
    <x v="2"/>
    <x v="0"/>
  </r>
  <r>
    <s v="60066472420MGC33ZZ01"/>
    <m/>
    <s v="NTHABISENG INTERNAL STREET"/>
    <n v="17000000"/>
    <n v="0"/>
    <n v="0"/>
    <n v="1217.71"/>
    <n v="-1217.71"/>
    <n v="0"/>
    <n v="8110000"/>
    <n v="25110000"/>
    <n v="4172137.84"/>
    <n v="0"/>
    <m/>
    <x v="2"/>
    <x v="0"/>
  </r>
  <r>
    <s v="60066472420MGC35ZZ01"/>
    <m/>
    <s v="CAPRICON PARK INTERNAL STREET"/>
    <n v="16393450"/>
    <n v="0"/>
    <n v="0"/>
    <n v="1217.71"/>
    <n v="-1217.71"/>
    <n v="0"/>
    <n v="0"/>
    <n v="16393450"/>
    <n v="14152231.92"/>
    <n v="0"/>
    <m/>
    <x v="2"/>
    <x v="0"/>
  </r>
  <r>
    <s v="60066472420MGC69ZZ12"/>
    <m/>
    <s v="MOHODI INTERNAL STREET"/>
    <n v="0"/>
    <n v="0"/>
    <n v="0"/>
    <n v="1217.71"/>
    <n v="-1217.71"/>
    <n v="0"/>
    <n v="0"/>
    <n v="0"/>
    <n v="0"/>
    <n v="0"/>
    <n v="0"/>
    <x v="2"/>
    <x v="0"/>
  </r>
  <r>
    <s v="60066472420MGC70ZZ15"/>
    <m/>
    <s v="KGWADI INTERNAL STREET"/>
    <n v="0"/>
    <n v="0"/>
    <n v="0"/>
    <n v="1217.71"/>
    <n v="-1217.71"/>
    <n v="0"/>
    <n v="0"/>
    <n v="0"/>
    <n v="14861980.24"/>
    <n v="2988019.78"/>
    <m/>
    <x v="2"/>
    <x v="0"/>
  </r>
  <r>
    <s v="60066473520FCC93ZZ12"/>
    <m/>
    <s v="MOHODI SPORTS COMPLEX"/>
    <n v="3000000"/>
    <n v="0"/>
    <n v="0"/>
    <n v="1217.71"/>
    <n v="-1217.71"/>
    <n v="0"/>
    <n v="-1384000"/>
    <n v="1616000"/>
    <n v="3000000"/>
    <n v="0"/>
    <m/>
    <x v="2"/>
    <x v="0"/>
  </r>
  <r>
    <s v="60066473520FCC94ZZ03"/>
    <m/>
    <s v="RAMOKGOPA STADIUM"/>
    <n v="800000"/>
    <n v="0"/>
    <n v="0"/>
    <n v="1217.71"/>
    <n v="-1217.71"/>
    <n v="0"/>
    <n v="0"/>
    <n v="800000"/>
    <n v="0"/>
    <n v="0"/>
    <m/>
    <x v="2"/>
    <x v="0"/>
  </r>
  <r>
    <s v="60066473520MGC78ZZWM"/>
    <m/>
    <s v="CONSTRUCTION OF DLTC/VTS"/>
    <n v="0"/>
    <n v="0"/>
    <n v="0"/>
    <n v="0"/>
    <n v="0"/>
    <n v="0"/>
    <n v="0"/>
    <m/>
    <n v="0"/>
    <n v="0"/>
    <n v="0"/>
    <x v="2"/>
    <x v="0"/>
  </r>
  <r>
    <s v="60066474020FCC95ZZWM"/>
    <m/>
    <s v="CONSTRUCTION OF MOLETJI OFFICE"/>
    <n v="2127821"/>
    <n v="0"/>
    <n v="0"/>
    <n v="1217.71"/>
    <n v="-1217.71"/>
    <n v="0"/>
    <n v="0"/>
    <n v="2127821"/>
    <n v="0"/>
    <n v="0"/>
    <m/>
    <x v="2"/>
    <x v="0"/>
  </r>
  <r>
    <s v="60071178970F9ZZZZZHO"/>
    <m/>
    <s v="TS_O_M_NG_MIG GRANT"/>
    <n v="-1757550"/>
    <n v="-474821.9"/>
    <n v="0"/>
    <n v="-932309.88"/>
    <n v="-825240.12"/>
    <n v="53.04"/>
    <n v="0"/>
    <n v="-1757550"/>
    <n v="-1746650"/>
    <n v="-1886950"/>
    <n v="-1989600"/>
    <x v="0"/>
    <x v="0"/>
  </r>
  <r>
    <s v="60071258940MGZZZZZHO"/>
    <m/>
    <s v="TS_C_M_NG_MIG GRANT"/>
    <n v="-33393460"/>
    <n v="-16715989.720000001"/>
    <n v="0"/>
    <n v="-31038466.530000001"/>
    <n v="-2354993.4700000002"/>
    <n v="92.94"/>
    <n v="0"/>
    <n v="-43119460"/>
    <n v="-33186350"/>
    <n v="-35852050"/>
    <n v="-37802400"/>
    <x v="0"/>
    <x v="0"/>
  </r>
  <r>
    <s v="60072110010PRMRCZZHO"/>
    <m/>
    <s v="MS: SAL &amp; ALL: BASIC SALARY &amp; WAGES"/>
    <n v="1709823"/>
    <n v="0"/>
    <n v="0"/>
    <n v="1217.71"/>
    <n v="-1217.71"/>
    <n v="0"/>
    <n v="0"/>
    <n v="1709823"/>
    <n v="1746650"/>
    <n v="1886950"/>
    <n v="1989600"/>
    <x v="1"/>
    <x v="1"/>
  </r>
  <r>
    <s v="60072110100PRMRCZZHO"/>
    <m/>
    <s v="MS: SAL &amp; ALL: PERFORMANCE BASED BONUSES"/>
    <n v="0"/>
    <n v="0"/>
    <n v="0"/>
    <n v="1217.71"/>
    <n v="-1217.71"/>
    <n v="0"/>
    <n v="16934"/>
    <n v="16934"/>
    <n v="17992.375"/>
    <n v="19251.841250000001"/>
    <n v="20599.4701375"/>
    <x v="1"/>
    <x v="1"/>
  </r>
  <r>
    <s v="60072130400PRMRCZZHO"/>
    <m/>
    <s v="MS: SOC CONTR - UNEMPLOYMENT INSUR FUND"/>
    <n v="0"/>
    <n v="0"/>
    <n v="0"/>
    <n v="1217.71"/>
    <n v="-1217.71"/>
    <n v="0"/>
    <n v="1800"/>
    <n v="1800"/>
    <n v="1912.5"/>
    <n v="2046.375"/>
    <n v="2189.6212500000001"/>
    <x v="1"/>
    <x v="1"/>
  </r>
  <r>
    <s v="60072270410F9P90ZZHO"/>
    <m/>
    <s v="C&amp;PS: B&amp;A PROJECT MANAGEMENT"/>
    <n v="47727"/>
    <n v="0"/>
    <n v="0"/>
    <n v="1217.71"/>
    <n v="-1217.71"/>
    <n v="0"/>
    <n v="0"/>
    <n v="47727"/>
    <n v="49874.714999999997"/>
    <n v="52168.951889999997"/>
    <n v="54568.723676939997"/>
    <x v="1"/>
    <x v="2"/>
  </r>
  <r>
    <s v="60072270420ORS78ZZWM"/>
    <m/>
    <s v="C&amp;PS: B&amp;A RESEARCH &amp; ADVISORY"/>
    <n v="1000000"/>
    <n v="0"/>
    <n v="0"/>
    <n v="1217.71"/>
    <n v="-1217.71"/>
    <n v="0"/>
    <n v="-247025"/>
    <n v="752975"/>
    <n v="0"/>
    <n v="0"/>
    <n v="0"/>
    <x v="1"/>
    <x v="2"/>
  </r>
  <r>
    <s v="60072305410EQMRCZZHO"/>
    <m/>
    <s v="OC: SKILLS DEVELOPMENT FUND LEVY"/>
    <n v="0"/>
    <n v="0"/>
    <n v="0"/>
    <n v="1217.71"/>
    <n v="-1217.71"/>
    <n v="0"/>
    <n v="15000"/>
    <n v="15000"/>
    <n v="15937.5"/>
    <n v="17053.125"/>
    <n v="18246.84375"/>
    <x v="1"/>
    <x v="3"/>
  </r>
  <r>
    <s v="60072305760EQMRCZZHO"/>
    <m/>
    <s v="OC: T&amp;S DOM - ACCOMMODATION"/>
    <n v="0"/>
    <n v="0"/>
    <n v="0"/>
    <n v="1217.71"/>
    <n v="-1217.71"/>
    <n v="0"/>
    <n v="4000"/>
    <n v="4000"/>
    <n v="4250"/>
    <n v="4547.5"/>
    <n v="4865.8249999999998"/>
    <x v="1"/>
    <x v="3"/>
  </r>
  <r>
    <s v="60072720040PRMRCZZWM"/>
    <m/>
    <s v="AMORTISATION INTANG COMPUTER SOFTWARE"/>
    <n v="3371"/>
    <n v="0"/>
    <n v="0"/>
    <n v="1217.71"/>
    <n v="-1217.71"/>
    <n v="0"/>
    <n v="0"/>
    <n v="3371"/>
    <n v="3522.6950000000002"/>
    <n v="3684.7389700000003"/>
    <n v="3854.2369626200002"/>
    <x v="1"/>
    <x v="6"/>
  </r>
  <r>
    <s v="60072720600PRMRCZZWM"/>
    <m/>
    <s v="DEPRECIATION COMPUTER EQUIPMENT"/>
    <n v="46972"/>
    <n v="0"/>
    <n v="0"/>
    <n v="1217.71"/>
    <n v="-1217.71"/>
    <n v="0"/>
    <n v="0"/>
    <n v="46972"/>
    <n v="49085.74"/>
    <n v="51343.68404"/>
    <n v="53705.493505840001"/>
    <x v="1"/>
    <x v="6"/>
  </r>
  <r>
    <s v="60072721500PRMRCZZWM"/>
    <m/>
    <s v="DEPRECIATION FURNITURE &amp; OFFICE EQUIPM"/>
    <n v="15501"/>
    <n v="0"/>
    <n v="0"/>
    <n v="1217.71"/>
    <n v="-1217.71"/>
    <n v="0"/>
    <n v="0"/>
    <n v="15501"/>
    <n v="16198.545"/>
    <n v="16943.678070000002"/>
    <n v="17723.08726122"/>
    <x v="1"/>
    <x v="6"/>
  </r>
  <r>
    <s v="60081_new1"/>
    <m/>
    <s v="EF&amp;DSMG"/>
    <n v="0"/>
    <n v="0"/>
    <n v="0"/>
    <n v="0"/>
    <n v="0"/>
    <n v="0"/>
    <n v="0"/>
    <n v="0"/>
    <n v="-3000000"/>
    <n v="0"/>
    <n v="0"/>
    <x v="0"/>
    <x v="0"/>
  </r>
  <r>
    <s v="60081_new2"/>
    <m/>
    <s v="INEP"/>
    <n v="0"/>
    <n v="0"/>
    <n v="0"/>
    <n v="0"/>
    <n v="0"/>
    <n v="0"/>
    <n v="0"/>
    <n v="0"/>
    <n v="-13000000"/>
    <n v="-6000000"/>
    <n v="-7000000"/>
    <x v="0"/>
    <x v="0"/>
  </r>
  <r>
    <s v="60081040020F5ZZZZZWM"/>
    <m/>
    <s v="FINES: ILLEGAL CONNECTIONS - ELECTRICITY"/>
    <n v="-30535"/>
    <n v="0"/>
    <n v="0"/>
    <n v="0"/>
    <n v="-30535"/>
    <n v="0"/>
    <n v="0"/>
    <n v="0"/>
    <n v="-32367.1"/>
    <n v="-34632.796999999999"/>
    <n v="-37403.420760000001"/>
    <x v="0"/>
    <x v="0"/>
  </r>
  <r>
    <s v="60081321040F3ZZZZZWM"/>
    <m/>
    <s v="ELEC: CONNEC/RECON DISCONN/RECONN FEES"/>
    <n v="-56291"/>
    <n v="0"/>
    <n v="0"/>
    <n v="0"/>
    <n v="-56291"/>
    <n v="0"/>
    <n v="0"/>
    <n v="-56291"/>
    <n v="-60850.570999999996"/>
    <n v="-64014.800691999997"/>
    <n v="-69712.117953587993"/>
    <x v="0"/>
    <x v="0"/>
  </r>
  <r>
    <s v="60081321120F3ZZZZZWM"/>
    <m/>
    <s v="ELEC SALES: COMMERC CONVEN SINGLE PHASE"/>
    <n v="-3611799"/>
    <n v="0"/>
    <n v="0"/>
    <n v="0"/>
    <n v="-3611799"/>
    <n v="0"/>
    <n v="0"/>
    <n v="-3611799"/>
    <n v="-3904354.719"/>
    <n v="-4107381.164388"/>
    <n v="-4472938.0880185319"/>
    <x v="0"/>
    <x v="0"/>
  </r>
  <r>
    <s v="60081321130F3ZZZZZWM"/>
    <m/>
    <s v="ELEC SALES: COMMERCIAL CONVEN 3-PHASE"/>
    <n v="-4019609"/>
    <n v="-115264.58"/>
    <n v="0"/>
    <n v="-891425.05"/>
    <n v="-3128183.95"/>
    <n v="22.17"/>
    <n v="0"/>
    <n v="-4019609"/>
    <n v="-4345197.3289999999"/>
    <n v="-4571147.5901079997"/>
    <n v="-4977979.7256276114"/>
    <x v="0"/>
    <x v="0"/>
  </r>
  <r>
    <s v="60081321190EQFB1ZZWM"/>
    <m/>
    <s v="ELEC SALES: DOMESTIC LOW:  PREPAID"/>
    <n v="-1374256"/>
    <n v="-445577.79"/>
    <n v="0"/>
    <n v="-2911894.37"/>
    <n v="1537638.37"/>
    <n v="211.88"/>
    <n v="0"/>
    <n v="-1374256"/>
    <n v="-1485570.736"/>
    <n v="-1562820.4142720001"/>
    <n v="-1701911.4311422082"/>
    <x v="0"/>
    <x v="0"/>
  </r>
  <r>
    <s v="60081321200F3ZZZZZWM"/>
    <m/>
    <s v="ELEC SALES: DOMESTIC HIGH HOME POWER 1"/>
    <n v="-145390"/>
    <n v="5253.04"/>
    <n v="0"/>
    <n v="34823.17"/>
    <n v="-180213.17"/>
    <n v="-23.95"/>
    <n v="0"/>
    <n v="-145390"/>
    <n v="-157166.59"/>
    <n v="-165339.25268000001"/>
    <n v="-180054.44616852002"/>
    <x v="0"/>
    <x v="0"/>
  </r>
  <r>
    <s v="60081321260F3ZZZZZWM"/>
    <m/>
    <s v="ELEC SALES: INDUSTRIAL 400 VOLTS (LOW)"/>
    <n v="-17172"/>
    <n v="-975.62"/>
    <n v="0"/>
    <n v="-8489.01"/>
    <n v="-8682.99"/>
    <n v="49.43"/>
    <n v="0"/>
    <n v="-17172"/>
    <n v="-18562.932000000001"/>
    <n v="-19528.204464000002"/>
    <n v="-21266.214661296002"/>
    <x v="0"/>
    <x v="0"/>
  </r>
  <r>
    <s v="60081341010IDZZZZZWM"/>
    <m/>
    <s v="INTER: RECEIV - ELECTRICITY"/>
    <n v="-495509"/>
    <n v="-17545.96"/>
    <n v="0"/>
    <n v="-105597.6"/>
    <n v="-389911.4"/>
    <n v="21.31"/>
    <n v="0"/>
    <n v="-495509"/>
    <n v="-535645.22900000005"/>
    <n v="-563498.78090800007"/>
    <n v="-613650.1724088121"/>
    <x v="0"/>
    <x v="0"/>
  </r>
  <r>
    <s v="60082110010EQMRCZZHO"/>
    <m/>
    <s v="MS: SAL &amp; ALL: BASIC SALARY &amp; WAGES"/>
    <n v="1827794"/>
    <n v="0"/>
    <n v="0"/>
    <n v="1217.71"/>
    <n v="-1217.71"/>
    <n v="0"/>
    <n v="0"/>
    <n v="1827794"/>
    <n v="1942031.125"/>
    <n v="2077973.30375"/>
    <n v="2223431.4350124998"/>
    <x v="1"/>
    <x v="1"/>
  </r>
  <r>
    <s v="60082110100EQMRCZZHO"/>
    <m/>
    <s v="MS: SAL &amp; ALL: PERFORMANCE BASED BONUSES"/>
    <n v="84982"/>
    <n v="0"/>
    <n v="0"/>
    <n v="1217.71"/>
    <n v="-1217.71"/>
    <n v="0"/>
    <n v="-51113.639999999985"/>
    <n v="33868.360000000015"/>
    <n v="35985.132500000014"/>
    <n v="38504.091775000015"/>
    <n v="41199.378199250015"/>
    <x v="1"/>
    <x v="1"/>
  </r>
  <r>
    <s v="60082110220EQMRCZZHO"/>
    <m/>
    <s v="MS: ALL - CELLULAR &amp; TELEPHONE"/>
    <n v="66300"/>
    <n v="0"/>
    <n v="0"/>
    <n v="1217.71"/>
    <n v="-1217.71"/>
    <n v="0"/>
    <n v="0"/>
    <n v="66300"/>
    <n v="70443.75"/>
    <n v="75374.8125"/>
    <n v="80651.049375000002"/>
    <x v="1"/>
    <x v="1"/>
  </r>
  <r>
    <s v="60082110260EQMRCZZHO"/>
    <m/>
    <s v="MS: HB &amp; INC: HOUSING BENEFITS"/>
    <n v="10893"/>
    <n v="0"/>
    <n v="0"/>
    <n v="1217.71"/>
    <n v="-1217.71"/>
    <n v="0"/>
    <n v="0"/>
    <n v="10893"/>
    <n v="11573.8125"/>
    <n v="12383.979375000001"/>
    <n v="13250.857931250001"/>
    <x v="1"/>
    <x v="1"/>
  </r>
  <r>
    <s v="60082110320EQMRCZZHO"/>
    <m/>
    <s v="MS: ALL - LEAVE PAY"/>
    <n v="60349"/>
    <n v="0"/>
    <n v="0"/>
    <n v="1217.71"/>
    <n v="-1217.71"/>
    <n v="0"/>
    <n v="0"/>
    <n v="60349"/>
    <n v="64120.8125"/>
    <n v="68609.269375000003"/>
    <n v="73411.918231250005"/>
    <x v="1"/>
    <x v="1"/>
  </r>
  <r>
    <s v="60082110340EQMRCZZHO"/>
    <m/>
    <s v="MS: ALL - TRAVEL OR MOTOR VEHICLE"/>
    <n v="138573"/>
    <n v="0"/>
    <n v="0"/>
    <n v="1217.71"/>
    <n v="-1217.71"/>
    <n v="0"/>
    <n v="0"/>
    <n v="138573"/>
    <n v="147233.8125"/>
    <n v="157540.17937500001"/>
    <n v="168567.99193125"/>
    <x v="1"/>
    <x v="1"/>
  </r>
  <r>
    <s v="60082110360EQMRCZZHO"/>
    <m/>
    <s v="MS: OVERTIME - NON STRUCTURED"/>
    <n v="12290"/>
    <n v="0"/>
    <n v="0"/>
    <n v="1217.71"/>
    <n v="-1217.71"/>
    <n v="0"/>
    <n v="11242"/>
    <n v="23532"/>
    <n v="25002.75"/>
    <n v="26752.942500000001"/>
    <n v="28625.648475000002"/>
    <x v="1"/>
    <x v="1"/>
  </r>
  <r>
    <s v="60082110440EQMRCZZHO"/>
    <m/>
    <s v="MS: SRB - ACTING ALLOWANCE"/>
    <n v="11242"/>
    <n v="0"/>
    <n v="0"/>
    <n v="1217.71"/>
    <n v="-1217.71"/>
    <n v="0"/>
    <n v="-11242"/>
    <n v="0"/>
    <n v="0"/>
    <n v="0"/>
    <n v="0"/>
    <x v="1"/>
    <x v="1"/>
  </r>
  <r>
    <s v="60082110460EQMRCZZHO"/>
    <m/>
    <s v="MS: SRB - ANNUAL BONUS"/>
    <n v="152316"/>
    <n v="0"/>
    <n v="0"/>
    <n v="1217.71"/>
    <n v="-1217.71"/>
    <n v="0"/>
    <n v="0"/>
    <n v="152316"/>
    <n v="161835.75"/>
    <n v="173164.2525"/>
    <n v="185285.75017499999"/>
    <x v="1"/>
    <x v="1"/>
  </r>
  <r>
    <s v="60082110560EQMRCZZHO"/>
    <m/>
    <s v="MS: SRB - STANDBY ALLOWANCE"/>
    <n v="221161"/>
    <n v="0"/>
    <n v="0"/>
    <n v="1217.71"/>
    <n v="-1217.71"/>
    <n v="0"/>
    <n v="0"/>
    <n v="221161"/>
    <n v="234983.5625"/>
    <n v="251432.41187499999"/>
    <n v="269032.68070625002"/>
    <x v="1"/>
    <x v="1"/>
  </r>
  <r>
    <s v="60082110630EQMRCZZHO"/>
    <m/>
    <s v="MS: SRB - NON PENSIONABLE"/>
    <n v="15692"/>
    <n v="0"/>
    <n v="0"/>
    <n v="1217.71"/>
    <n v="-1217.71"/>
    <n v="0"/>
    <n v="0"/>
    <n v="15692"/>
    <n v="16672.75"/>
    <n v="17839.842499999999"/>
    <n v="19088.631474999998"/>
    <x v="1"/>
    <x v="1"/>
  </r>
  <r>
    <s v="60082130010EQMRCZZHO"/>
    <m/>
    <s v="MS: SOC CONTR - BARGAINING COUNCIL"/>
    <n v="562"/>
    <n v="0"/>
    <n v="0"/>
    <n v="1217.71"/>
    <n v="-1217.71"/>
    <n v="0"/>
    <n v="0"/>
    <n v="562"/>
    <n v="597.125"/>
    <n v="638.92375000000004"/>
    <n v="683.64841250000006"/>
    <x v="1"/>
    <x v="1"/>
  </r>
  <r>
    <s v="60082130200EQMRCZZHO"/>
    <m/>
    <s v="MS: SOC CONTR - MEDICAL"/>
    <n v="134382"/>
    <n v="0"/>
    <n v="0"/>
    <n v="1217.71"/>
    <n v="-1217.71"/>
    <n v="0"/>
    <n v="0"/>
    <n v="134382"/>
    <n v="142780.875"/>
    <n v="152775.53625"/>
    <n v="163469.8237875"/>
    <x v="1"/>
    <x v="1"/>
  </r>
  <r>
    <s v="60082130300EQMRCZZHO"/>
    <m/>
    <s v="MS: SOC CONTR - PENSION"/>
    <n v="402115"/>
    <n v="0"/>
    <n v="0"/>
    <n v="1217.71"/>
    <n v="-1217.71"/>
    <n v="0"/>
    <n v="0"/>
    <n v="402115"/>
    <n v="427247.1875"/>
    <n v="457154.49062499998"/>
    <n v="489155.30496874999"/>
    <x v="1"/>
    <x v="1"/>
  </r>
  <r>
    <s v="60082130400EQMRCZZHO"/>
    <m/>
    <s v="MS: SOC CONTR - UNEMPLOYMENT INSUR FUND"/>
    <n v="8925"/>
    <n v="0"/>
    <n v="0"/>
    <n v="1217.71"/>
    <n v="-1217.71"/>
    <n v="0"/>
    <n v="0"/>
    <n v="8925"/>
    <n v="9482.8125"/>
    <n v="10146.609375"/>
    <n v="10856.872031250001"/>
    <x v="1"/>
    <x v="1"/>
  </r>
  <r>
    <s v="60082140020PRMRCZZWM"/>
    <m/>
    <s v="MS: PRB - MED: CURRENT SERVICE COST"/>
    <n v="17907"/>
    <n v="0"/>
    <n v="0"/>
    <n v="1217.71"/>
    <n v="-1217.71"/>
    <n v="0"/>
    <n v="0"/>
    <n v="17907"/>
    <n v="19026.1875"/>
    <n v="20358.020625000001"/>
    <n v="21783.082068750002"/>
    <x v="1"/>
    <x v="1"/>
  </r>
  <r>
    <s v="60082140040PRMRCZZWM"/>
    <m/>
    <s v="MS: PRB - MED: INTEREST COST"/>
    <n v="14818"/>
    <n v="0"/>
    <n v="0"/>
    <n v="1217.71"/>
    <n v="-1217.71"/>
    <n v="0"/>
    <n v="0"/>
    <n v="14818"/>
    <n v="15744.125"/>
    <n v="16846.213749999999"/>
    <n v="18025.448712499998"/>
    <x v="1"/>
    <x v="1"/>
  </r>
  <r>
    <s v="60082142200PRMRCZZWM"/>
    <m/>
    <s v="MS: PRB - OTHER: LONG TERM SERVICE AWARD"/>
    <n v="31326"/>
    <n v="0"/>
    <n v="0"/>
    <n v="1217.71"/>
    <n v="-1217.71"/>
    <n v="0"/>
    <n v="0"/>
    <n v="31326"/>
    <n v="33283.875"/>
    <n v="35613.746249999997"/>
    <n v="38106.7084875"/>
    <x v="1"/>
    <x v="1"/>
  </r>
  <r>
    <s v="60082265110EQMRCZZHO"/>
    <m/>
    <s v="OS: CONNECT/DIS-CONNECTION: ELECTICITY"/>
    <n v="46033"/>
    <n v="0"/>
    <n v="0"/>
    <n v="1217.71"/>
    <n v="-1217.71"/>
    <n v="0"/>
    <n v="-46033"/>
    <n v="0"/>
    <m/>
    <n v="0"/>
    <m/>
    <x v="1"/>
    <x v="2"/>
  </r>
  <r>
    <s v="60082283620ORR44ZZHO"/>
    <m/>
    <s v="CONTR: MAINTENANCE OF UNSPECIFIED ASSETS"/>
    <n v="636000"/>
    <n v="0"/>
    <n v="0"/>
    <n v="1217.71"/>
    <n v="-1217.71"/>
    <n v="0"/>
    <n v="0"/>
    <n v="636000"/>
    <n v="664620"/>
    <n v="695192.52"/>
    <n v="727171.37592000002"/>
    <x v="1"/>
    <x v="2"/>
  </r>
  <r>
    <s v="60082305410EQMRCZZHO"/>
    <m/>
    <s v="OC: SKILLS DEVELOPMENT FUND LEVY"/>
    <n v="33129"/>
    <n v="0"/>
    <n v="0"/>
    <n v="1217.71"/>
    <n v="-1217.71"/>
    <n v="0"/>
    <n v="0"/>
    <n v="33129"/>
    <n v="34619.805"/>
    <n v="36212.316030000002"/>
    <n v="37878.082567379999"/>
    <x v="1"/>
    <x v="3"/>
  </r>
  <r>
    <s v="60082305760EQMRCZZHO"/>
    <m/>
    <s v="OC: T&amp;S DOM - ACCOMMODATION"/>
    <n v="76213"/>
    <n v="0"/>
    <n v="0"/>
    <n v="1217.71"/>
    <n v="-1217.71"/>
    <n v="0"/>
    <n v="0"/>
    <n v="76213"/>
    <n v="79642.585000000006"/>
    <n v="83306.143910000013"/>
    <n v="87138.22652986001"/>
    <x v="1"/>
    <x v="3"/>
  </r>
  <r>
    <s v="60082307020ORMRCZZHO"/>
    <m/>
    <s v="OC: INDIGENT RELIEF"/>
    <n v="4355626"/>
    <n v="0"/>
    <n v="0"/>
    <n v="1217.71"/>
    <n v="-1217.71"/>
    <n v="0"/>
    <n v="344539"/>
    <n v="4700165"/>
    <n v="5080878.3650000002"/>
    <n v="5345084.0399799999"/>
    <n v="5820796.51953822"/>
    <x v="1"/>
    <x v="3"/>
  </r>
  <r>
    <s v="60082340010F3MRCZZHO"/>
    <m/>
    <s v="ESKOM"/>
    <n v="8268000"/>
    <n v="0"/>
    <n v="0"/>
    <n v="1217.71"/>
    <n v="-1217.71"/>
    <n v="0"/>
    <n v="0"/>
    <n v="8268000"/>
    <n v="8937708"/>
    <n v="9402468.8159999996"/>
    <n v="10239288.540624"/>
    <x v="1"/>
    <x v="11"/>
  </r>
  <r>
    <s v="60082720600PRMRCZZWM"/>
    <m/>
    <s v="DEPRECIATION COMPUTER EQUIPMENT"/>
    <n v="3371"/>
    <n v="0"/>
    <n v="0"/>
    <n v="1217.71"/>
    <n v="-1217.71"/>
    <n v="0"/>
    <n v="0"/>
    <n v="3371"/>
    <n v="3522.6950000000002"/>
    <n v="3684.7389700000003"/>
    <n v="3854.2369626200002"/>
    <x v="1"/>
    <x v="6"/>
  </r>
  <r>
    <s v="60082721500PRMRCZZWM"/>
    <m/>
    <s v="DEPRECIATION FURNITURE &amp; OFFICE EQUIPM"/>
    <n v="5077"/>
    <n v="0"/>
    <n v="0"/>
    <n v="1217.71"/>
    <n v="-1217.71"/>
    <n v="0"/>
    <n v="0"/>
    <n v="5077"/>
    <n v="5305.4650000000001"/>
    <n v="5549.5163899999998"/>
    <n v="5804.7941439400001"/>
    <x v="1"/>
    <x v="6"/>
  </r>
  <r>
    <s v="60082722490PRMRCZZWM"/>
    <m/>
    <s v="DEPRECIATION ELEC LV NETWORKS"/>
    <n v="526309"/>
    <n v="0"/>
    <n v="0"/>
    <n v="1217.71"/>
    <n v="-1217.71"/>
    <n v="0"/>
    <n v="0"/>
    <n v="526309"/>
    <n v="549992.90500000003"/>
    <n v="575292.57863"/>
    <n v="601756.03724698001"/>
    <x v="1"/>
    <x v="6"/>
  </r>
  <r>
    <s v="60082723600PRMRCZZWM"/>
    <m/>
    <s v="DEPRECIATION  MACHINERY &amp; EQUIPMENT"/>
    <n v="25648"/>
    <n v="0"/>
    <n v="0"/>
    <n v="1217.71"/>
    <n v="-1217.71"/>
    <n v="0"/>
    <n v="0"/>
    <n v="25648"/>
    <n v="26802.16"/>
    <n v="28035.059359999999"/>
    <n v="29324.672090559998"/>
    <x v="1"/>
    <x v="6"/>
  </r>
  <r>
    <s v="60082725700PRMRCZZWM"/>
    <m/>
    <s v="DEPRECIATION  TRANSPORT ASSETS"/>
    <n v="116115"/>
    <n v="0"/>
    <n v="0"/>
    <n v="1217.71"/>
    <n v="-1217.71"/>
    <n v="0"/>
    <n v="0"/>
    <n v="116115"/>
    <n v="121340.175"/>
    <n v="126921.82305000001"/>
    <n v="132760.2269103"/>
    <x v="1"/>
    <x v="6"/>
  </r>
  <r>
    <s v="6008643_new1"/>
    <m/>
    <s v="SUPPLY &amp; INSTALLATION OF STREETS LIGHTS"/>
    <m/>
    <m/>
    <m/>
    <m/>
    <m/>
    <m/>
    <m/>
    <m/>
    <m/>
    <m/>
    <m/>
    <x v="2"/>
    <x v="0"/>
  </r>
  <r>
    <s v="6008643_new2"/>
    <m/>
    <s v="ELECTRIFICATION "/>
    <m/>
    <m/>
    <m/>
    <m/>
    <m/>
    <m/>
    <m/>
    <m/>
    <m/>
    <m/>
    <m/>
    <x v="2"/>
    <x v="0"/>
  </r>
  <r>
    <s v="6008643_new3"/>
    <m/>
    <s v="STANDY GENERATORS"/>
    <m/>
    <m/>
    <m/>
    <m/>
    <m/>
    <m/>
    <m/>
    <m/>
    <n v="500000"/>
    <n v="600000"/>
    <n v="0"/>
    <x v="2"/>
    <x v="0"/>
  </r>
  <r>
    <s v="6008643_new4"/>
    <m/>
    <s v="CONSTRUCTION OF MECHANICAL WORKSHOP"/>
    <n v="0"/>
    <m/>
    <m/>
    <m/>
    <m/>
    <m/>
    <m/>
    <n v="0"/>
    <n v="0"/>
    <n v="0"/>
    <n v="1500000"/>
    <x v="2"/>
    <x v="0"/>
  </r>
  <r>
    <s v="6008643_new5"/>
    <m/>
    <s v="EL IU C - NETWORKS: ACQUISITIONS"/>
    <n v="0"/>
    <m/>
    <m/>
    <m/>
    <m/>
    <m/>
    <n v="0"/>
    <n v="0"/>
    <n v="0"/>
    <n v="0"/>
    <n v="0"/>
    <x v="2"/>
    <x v="0"/>
  </r>
  <r>
    <s v="6008643_new6"/>
    <m/>
    <s v="Electrification of 1350 Households in Fatima Village Phase 1."/>
    <n v="0"/>
    <m/>
    <m/>
    <m/>
    <m/>
    <m/>
    <m/>
    <n v="0"/>
    <n v="13000000"/>
    <n v="6000000"/>
    <n v="7000000"/>
    <x v="2"/>
    <x v="0"/>
  </r>
  <r>
    <s v="6008643_new7"/>
    <m/>
    <s v="Upgrading of 300 Street Lights in Mogwadi and Morebeng"/>
    <n v="0"/>
    <m/>
    <m/>
    <m/>
    <m/>
    <m/>
    <m/>
    <n v="0"/>
    <n v="3000000"/>
    <n v="0"/>
    <n v="0"/>
    <x v="2"/>
    <x v="0"/>
  </r>
  <r>
    <s v="60086432420FCC54ZZWM"/>
    <s v="SMART METERS"/>
    <s v="ELECTRIFICATION CLUSTER 3 PROJECTS"/>
    <n v="2000000"/>
    <n v="0"/>
    <n v="0"/>
    <n v="1217.71"/>
    <n v="-1217.71"/>
    <n v="0"/>
    <n v="-787662.5"/>
    <n v="1212337.5"/>
    <n v="1200000"/>
    <n v="1000000"/>
    <n v="0"/>
    <x v="2"/>
    <x v="0"/>
  </r>
  <r>
    <s v="60086433020FCC84ZZWM"/>
    <s v="HIGHMASTS"/>
    <s v="SUPPLY &amp; INSTALLATION OF STREETS LIGHTS"/>
    <n v="3000000"/>
    <n v="0"/>
    <n v="0"/>
    <n v="1217.71"/>
    <n v="-1217.71"/>
    <n v="0"/>
    <n v="0"/>
    <n v="3000000"/>
    <n v="1700000"/>
    <n v="1200000"/>
    <n v="3500000"/>
    <x v="2"/>
    <x v="0"/>
  </r>
  <r>
    <s v="60151324020WTZZZZZWM"/>
    <m/>
    <s v="WATER: SALE - CONVENTIONAL"/>
    <n v="0"/>
    <n v="0"/>
    <n v="0"/>
    <n v="1217.71"/>
    <n v="-1217.71"/>
    <n v="0"/>
    <n v="0"/>
    <n v="0"/>
    <n v="0"/>
    <n v="0"/>
    <m/>
    <x v="0"/>
    <x v="0"/>
  </r>
  <r>
    <s v="60151324080WTZZZZZWM"/>
    <m/>
    <s v="WATER: SALE - FLAT RATE"/>
    <n v="0"/>
    <n v="0"/>
    <n v="0"/>
    <n v="1217.71"/>
    <n v="-1217.71"/>
    <n v="0"/>
    <n v="0"/>
    <n v="0"/>
    <n v="0"/>
    <n v="0"/>
    <m/>
    <x v="0"/>
    <x v="0"/>
  </r>
  <r>
    <s v="60151341140IDZZZZZWM"/>
    <m/>
    <s v="INTER: RECEIV - WATER"/>
    <n v="-315185"/>
    <n v="0"/>
    <n v="0"/>
    <n v="1217.71"/>
    <n v="-1217.71"/>
    <n v="0"/>
    <n v="315185"/>
    <n v="0"/>
    <n v="0"/>
    <n v="0"/>
    <m/>
    <x v="0"/>
    <x v="0"/>
  </r>
  <r>
    <s v="60151365000FAZZZZZWM"/>
    <m/>
    <s v="AGENCY SERV - DIST MUNI: LIMPOPO"/>
    <n v="-1696600"/>
    <n v="0"/>
    <n v="0"/>
    <n v="0"/>
    <n v="0"/>
    <n v="0"/>
    <n v="0"/>
    <n v="-403536"/>
    <n v="-421695.12"/>
    <n v="-441093.09551999997"/>
    <n v="-461383.37791391998"/>
    <x v="0"/>
    <x v="0"/>
  </r>
  <r>
    <s v="60151380620ORZZZZZWM"/>
    <m/>
    <s v="COMMISSION: TRANSACTION HANDLING FEES"/>
    <m/>
    <m/>
    <m/>
    <m/>
    <m/>
    <m/>
    <m/>
    <m/>
    <m/>
    <m/>
    <m/>
    <x v="0"/>
    <x v="0"/>
  </r>
  <r>
    <s v="60152110010EQMRCZZHO"/>
    <m/>
    <s v="MS: SAL &amp; ALL: BASIC SALARY &amp; WAGES"/>
    <n v="4209658"/>
    <n v="0"/>
    <n v="0"/>
    <n v="1217.71"/>
    <n v="-1217.71"/>
    <n v="0"/>
    <n v="0"/>
    <n v="4209658"/>
    <n v="4472761.625"/>
    <n v="4785854.9387499997"/>
    <n v="5120864.7844624994"/>
    <x v="1"/>
    <x v="1"/>
  </r>
  <r>
    <s v="60152110100EQMRCZZHO"/>
    <m/>
    <s v="MS: SAL &amp; ALL: PERFORMANCE BASED BONUSES"/>
    <n v="194892"/>
    <n v="0"/>
    <n v="0"/>
    <n v="1217.71"/>
    <n v="-1217.71"/>
    <n v="0"/>
    <n v="-59418.559999999998"/>
    <n v="135473.44"/>
    <n v="143940.53"/>
    <n v="154016.3671"/>
    <n v="164797.512797"/>
    <x v="1"/>
    <x v="1"/>
  </r>
  <r>
    <s v="60152110220EQMRCZZHO"/>
    <m/>
    <s v="MS: ALL - CELLULAR &amp; TELEPHONE"/>
    <n v="28200"/>
    <n v="0"/>
    <n v="0"/>
    <n v="1217.71"/>
    <n v="-1217.71"/>
    <n v="0"/>
    <n v="0"/>
    <n v="28200"/>
    <n v="29962.5"/>
    <n v="32059.875"/>
    <n v="34304.066250000003"/>
    <x v="1"/>
    <x v="1"/>
  </r>
  <r>
    <s v="60152110260EQMRCZZHO"/>
    <m/>
    <s v="MS: HB &amp; INC: HOUSING BENEFITS"/>
    <n v="0"/>
    <n v="0"/>
    <n v="0"/>
    <n v="1217.71"/>
    <n v="-1217.71"/>
    <n v="0"/>
    <n v="12000"/>
    <n v="12000"/>
    <n v="12750"/>
    <n v="13642.5"/>
    <n v="14597.475"/>
    <x v="1"/>
    <x v="1"/>
  </r>
  <r>
    <s v="60152110280EQMRCZZHO"/>
    <m/>
    <s v="MS: HB &amp; INC: LAUNDRY"/>
    <n v="6420"/>
    <n v="0"/>
    <n v="0"/>
    <n v="1217.71"/>
    <n v="-1217.71"/>
    <n v="0"/>
    <n v="0"/>
    <n v="6420"/>
    <n v="6821.25"/>
    <n v="7298.7375000000002"/>
    <n v="7809.6491249999999"/>
    <x v="1"/>
    <x v="1"/>
  </r>
  <r>
    <s v="60152110320EQMRCZZHO"/>
    <m/>
    <s v="MS: ALL - LEAVE PAY"/>
    <n v="138400"/>
    <n v="0"/>
    <n v="0"/>
    <n v="1217.71"/>
    <n v="-1217.71"/>
    <n v="0"/>
    <n v="0"/>
    <n v="138400"/>
    <n v="147050"/>
    <n v="157343.5"/>
    <n v="168357.54500000001"/>
    <x v="1"/>
    <x v="1"/>
  </r>
  <r>
    <s v="60152110340EQMRCZZHO"/>
    <m/>
    <s v="MS: ALL - TRAVEL OR MOTOR VEHICLE"/>
    <n v="185604"/>
    <n v="0"/>
    <n v="0"/>
    <n v="1217.71"/>
    <n v="-1217.71"/>
    <n v="0"/>
    <n v="0"/>
    <n v="185604"/>
    <n v="197204.25"/>
    <n v="211008.54749999999"/>
    <n v="225779.14582499999"/>
    <x v="1"/>
    <x v="1"/>
  </r>
  <r>
    <s v="60152110360EQMRCZZHO"/>
    <m/>
    <s v="MS: OVERTIME - NON STRUCTURED"/>
    <n v="416905"/>
    <n v="0"/>
    <n v="0"/>
    <n v="1217.71"/>
    <n v="-1217.71"/>
    <n v="0"/>
    <n v="-40000"/>
    <n v="376905"/>
    <n v="400461.5625"/>
    <n v="428493.87187500001"/>
    <n v="458488.44290625001"/>
    <x v="1"/>
    <x v="1"/>
  </r>
  <r>
    <s v="60152110460EQMRCZZHO"/>
    <m/>
    <s v="MS: SRB - ANNUAL BONUS"/>
    <n v="350805"/>
    <n v="0"/>
    <n v="0"/>
    <n v="1217.71"/>
    <n v="-1217.71"/>
    <n v="0"/>
    <n v="0"/>
    <n v="350805"/>
    <n v="372730.3125"/>
    <n v="398821.43437500001"/>
    <n v="426738.93478125002"/>
    <x v="1"/>
    <x v="1"/>
  </r>
  <r>
    <s v="60152110500EQMRCZZHO"/>
    <m/>
    <s v="MS: SRB - LONG SERVICE AWARD"/>
    <n v="37996"/>
    <n v="0"/>
    <n v="0"/>
    <n v="1217.71"/>
    <n v="-1217.71"/>
    <n v="0"/>
    <n v="0"/>
    <n v="37996"/>
    <n v="40370.75"/>
    <n v="43196.702499999999"/>
    <n v="46220.471675000001"/>
    <x v="1"/>
    <x v="1"/>
  </r>
  <r>
    <s v="60152110560EQMRCZZHO"/>
    <m/>
    <s v="MS: SRB - STANDBY ALLOWANCE"/>
    <n v="50197"/>
    <n v="0"/>
    <n v="0"/>
    <n v="1217.71"/>
    <n v="-1217.71"/>
    <n v="0"/>
    <n v="40000"/>
    <n v="90197"/>
    <n v="95834.3125"/>
    <n v="102542.714375"/>
    <n v="109720.70438124999"/>
    <x v="1"/>
    <x v="1"/>
  </r>
  <r>
    <s v="60152130010EQMRCZZHO"/>
    <m/>
    <s v="MS: SOC CONTR - BARGAINING COUNCIL"/>
    <n v="1910"/>
    <n v="0"/>
    <n v="0"/>
    <n v="1217.71"/>
    <n v="-1217.71"/>
    <n v="0"/>
    <n v="0"/>
    <n v="1910"/>
    <n v="2029.375"/>
    <n v="2171.4312500000001"/>
    <n v="2323.4314374999999"/>
    <x v="1"/>
    <x v="1"/>
  </r>
  <r>
    <s v="60152130200EQMRCZZHO"/>
    <m/>
    <s v="MS: SOC CONTR - MEDICAL"/>
    <n v="134382"/>
    <n v="0"/>
    <n v="0"/>
    <n v="1217.71"/>
    <n v="-1217.71"/>
    <n v="0"/>
    <n v="102160.79999999999"/>
    <n v="236542.8"/>
    <n v="251326.72499999998"/>
    <n v="268919.59574999998"/>
    <n v="287743.96745249996"/>
    <x v="1"/>
    <x v="1"/>
  </r>
  <r>
    <s v="60152130300EQMRCZZHO"/>
    <m/>
    <s v="MS: SOC CONTR - PENSION"/>
    <n v="926125"/>
    <n v="0"/>
    <n v="0"/>
    <n v="1217.71"/>
    <n v="-1217.71"/>
    <n v="0"/>
    <n v="0"/>
    <n v="926125"/>
    <n v="984007.8125"/>
    <n v="1052888.359375"/>
    <n v="1126590.5445312499"/>
    <x v="1"/>
    <x v="1"/>
  </r>
  <r>
    <s v="60152130400EQMRCZZHO"/>
    <m/>
    <s v="MS: SOC CONTR - UNEMPLOYMENT INSUR FUND"/>
    <n v="30345"/>
    <n v="0"/>
    <n v="0"/>
    <n v="1217.71"/>
    <n v="-1217.71"/>
    <n v="0"/>
    <n v="0"/>
    <n v="30345"/>
    <n v="32241.5625"/>
    <n v="34498.471875000003"/>
    <n v="36913.364906250004"/>
    <x v="1"/>
    <x v="1"/>
  </r>
  <r>
    <s v="60152140020PRMRCZZWM"/>
    <m/>
    <s v="MS: PRB - MED: CURRENT SERVICE COST"/>
    <n v="82612"/>
    <n v="0"/>
    <n v="0"/>
    <n v="1217.71"/>
    <n v="-1217.71"/>
    <n v="0"/>
    <n v="0"/>
    <n v="82612"/>
    <n v="87775.25"/>
    <n v="93919.517500000002"/>
    <n v="100493.88372500001"/>
    <x v="1"/>
    <x v="1"/>
  </r>
  <r>
    <s v="60152140040PRMRCZZWM"/>
    <m/>
    <s v="MS: PRB - MED: INTEREST COST"/>
    <n v="107209"/>
    <n v="0"/>
    <n v="0"/>
    <n v="1217.71"/>
    <n v="-1217.71"/>
    <n v="0"/>
    <n v="0"/>
    <n v="107209"/>
    <n v="113909.5625"/>
    <n v="121883.231875"/>
    <n v="130415.05810625"/>
    <x v="1"/>
    <x v="1"/>
  </r>
  <r>
    <s v="60152142200PRMRCZZWM"/>
    <m/>
    <s v="MS: PRB - OTHER: LONG TERM SERVICE AWARD"/>
    <n v="53913"/>
    <n v="0"/>
    <n v="0"/>
    <n v="1217.71"/>
    <n v="-1217.71"/>
    <n v="0"/>
    <n v="0"/>
    <n v="53913"/>
    <n v="57282.5625"/>
    <n v="61292.341874999998"/>
    <n v="65582.805806249991"/>
    <x v="1"/>
    <x v="1"/>
  </r>
  <r>
    <s v="60152305410EQMRCZZHO"/>
    <m/>
    <s v="OC: SKILLS DEVELOPMENT FUND LEVY"/>
    <n v="56387"/>
    <n v="0"/>
    <n v="0"/>
    <n v="1217.71"/>
    <n v="-1217.71"/>
    <n v="0"/>
    <n v="0"/>
    <n v="56387"/>
    <n v="58924.415000000001"/>
    <n v="61634.938090000003"/>
    <n v="64470.145242140003"/>
    <x v="1"/>
    <x v="3"/>
  </r>
  <r>
    <s v="60152305760EQMRCZZHO"/>
    <m/>
    <s v="OC: T&amp;S DOM - ACCOMMODATION"/>
    <n v="13448"/>
    <n v="0"/>
    <n v="0"/>
    <n v="1217.71"/>
    <n v="-1217.71"/>
    <n v="0"/>
    <n v="36267"/>
    <n v="49715"/>
    <n v="51952.175000000003"/>
    <n v="54341.975050000001"/>
    <n v="56841.705902300004"/>
    <x v="1"/>
    <x v="3"/>
  </r>
  <r>
    <s v="60152400010WTMRCZZWM"/>
    <m/>
    <s v="BAD DEBTS WRITTEN OFF"/>
    <n v="0"/>
    <n v="0"/>
    <n v="0"/>
    <n v="1217.71"/>
    <n v="-1217.71"/>
    <n v="0"/>
    <n v="0"/>
    <n v="0"/>
    <n v="0"/>
    <n v="0"/>
    <m/>
    <x v="1"/>
    <x v="9"/>
  </r>
  <r>
    <s v="60152720600PRMRCZZWM"/>
    <m/>
    <s v="DEPRECIATION COMPUTER EQUIPMENT"/>
    <n v="3371"/>
    <n v="0"/>
    <n v="0"/>
    <n v="1217.71"/>
    <n v="-1217.71"/>
    <n v="0"/>
    <n v="0"/>
    <n v="3371"/>
    <n v="3522.6950000000002"/>
    <n v="3684.7389700000003"/>
    <n v="3854.2369626200002"/>
    <x v="1"/>
    <x v="6"/>
  </r>
  <r>
    <s v="60152721500PRMRCZZWM"/>
    <m/>
    <s v="DEPRECIATION FURNITURE &amp; OFFICE EQUIPM"/>
    <n v="7219"/>
    <n v="0"/>
    <n v="0"/>
    <n v="1217.71"/>
    <n v="-1217.71"/>
    <n v="0"/>
    <n v="0"/>
    <n v="7219"/>
    <n v="7543.8549999999996"/>
    <n v="7890.8723299999992"/>
    <n v="8253.852457179999"/>
    <x v="1"/>
    <x v="6"/>
  </r>
  <r>
    <s v="60152725700PRMRCZZWM"/>
    <m/>
    <s v="DEPRECIATION  TRANSPORT ASSETS"/>
    <n v="3371"/>
    <n v="0"/>
    <n v="0"/>
    <n v="1217.71"/>
    <n v="-1217.71"/>
    <n v="0"/>
    <n v="0"/>
    <n v="3371"/>
    <n v="3522.6950000000002"/>
    <n v="3684.7389700000003"/>
    <n v="3854.2369626200002"/>
    <x v="1"/>
    <x v="6"/>
  </r>
  <r>
    <s v="60161323020WWZZZZZWM"/>
    <m/>
    <s v="WASTE WATER MANG: SANITATION CHARGES"/>
    <n v="0"/>
    <n v="0"/>
    <n v="0"/>
    <n v="1217.71"/>
    <n v="-1217.71"/>
    <n v="0"/>
    <n v="0"/>
    <n v="0"/>
    <n v="0"/>
    <n v="0"/>
    <m/>
    <x v="0"/>
    <x v="0"/>
  </r>
  <r>
    <s v="60161341130IDZZZZZWM"/>
    <m/>
    <s v="INTER: RECEIV - WASTE WATER MANAGEMENT"/>
    <n v="-88683"/>
    <n v="0"/>
    <n v="0"/>
    <n v="1217.71"/>
    <n v="-1217.71"/>
    <n v="0"/>
    <n v="88683"/>
    <n v="0"/>
    <n v="0"/>
    <n v="0"/>
    <m/>
    <x v="0"/>
    <x v="0"/>
  </r>
  <r>
    <s v="60161365000FAZZZZZWM"/>
    <m/>
    <s v="AGENCY SERV - DIST MUNI: LIMPOPO"/>
    <n v="-781881"/>
    <n v="-781881"/>
    <n v="-781881"/>
    <n v="-781881"/>
    <n v="-781881"/>
    <n v="-781881"/>
    <n v="-781881"/>
    <n v="-261169"/>
    <n v="-272921.60499999998"/>
    <n v="-285475.99883"/>
    <n v="-298607.89477617998"/>
    <x v="0"/>
    <x v="0"/>
  </r>
  <r>
    <s v="60162110010EQMRCZZHO"/>
    <m/>
    <s v="MS: SAL &amp; ALL: BASIC SALARY &amp; WAGES"/>
    <n v="1598343"/>
    <n v="0"/>
    <n v="0"/>
    <n v="1217.71"/>
    <n v="-1217.71"/>
    <n v="0"/>
    <n v="0"/>
    <n v="1598343"/>
    <n v="1698239.4375"/>
    <n v="1817116.1981250001"/>
    <n v="1944314.3319937501"/>
    <x v="1"/>
    <x v="1"/>
  </r>
  <r>
    <s v="60162110100EQMRCZZHO"/>
    <m/>
    <s v="MS: SAL &amp; ALL: PERFORMANCE BASED BONUSES"/>
    <n v="72197"/>
    <n v="0"/>
    <n v="0"/>
    <n v="1217.71"/>
    <n v="-1217.71"/>
    <n v="0"/>
    <n v="-21394.460000000006"/>
    <n v="50802.539999999994"/>
    <n v="53977.698749999996"/>
    <n v="57756.137662499998"/>
    <n v="61799.067298874994"/>
    <x v="1"/>
    <x v="1"/>
  </r>
  <r>
    <s v="60162110320EQMRCZZHO"/>
    <m/>
    <s v="MS: ALL - LEAVE PAY"/>
    <n v="51270"/>
    <n v="0"/>
    <n v="0"/>
    <n v="1217.71"/>
    <n v="-1217.71"/>
    <n v="0"/>
    <n v="0"/>
    <n v="51270"/>
    <n v="54474.375"/>
    <n v="58287.581250000003"/>
    <n v="62367.711937500004"/>
    <x v="1"/>
    <x v="1"/>
  </r>
  <r>
    <s v="60162110360EQMRCZZHO"/>
    <m/>
    <s v="MS: OVERTIME - NON STRUCTURED"/>
    <n v="75281"/>
    <n v="0"/>
    <n v="0"/>
    <n v="1217.71"/>
    <n v="-1217.71"/>
    <n v="0"/>
    <n v="-10000"/>
    <n v="65281"/>
    <n v="69361.0625"/>
    <n v="74216.336874999994"/>
    <n v="79411.480456249992"/>
    <x v="1"/>
    <x v="1"/>
  </r>
  <r>
    <s v="60162110460EQMRCZZHO"/>
    <m/>
    <s v="MS: SRB - ANNUAL BONUS"/>
    <n v="129955"/>
    <n v="0"/>
    <n v="0"/>
    <n v="1217.71"/>
    <n v="-1217.71"/>
    <n v="0"/>
    <n v="0"/>
    <n v="129955"/>
    <n v="138077.1875"/>
    <n v="147742.59062500001"/>
    <n v="158084.57196875001"/>
    <x v="1"/>
    <x v="1"/>
  </r>
  <r>
    <s v="60162110500EQMRCZZHO"/>
    <m/>
    <s v="MS: SRB - LONG SERVICE AWARD"/>
    <n v="22568"/>
    <n v="0"/>
    <n v="0"/>
    <n v="1217.71"/>
    <n v="-1217.71"/>
    <n v="0"/>
    <n v="0"/>
    <n v="22568"/>
    <n v="23978.5"/>
    <n v="25656.994999999999"/>
    <n v="27452.984649999999"/>
    <x v="1"/>
    <x v="1"/>
  </r>
  <r>
    <s v="60162110560EQMRCZZHO"/>
    <m/>
    <s v="MS: SRB - STANDBY ALLOWANCE"/>
    <n v="0"/>
    <n v="0"/>
    <n v="0"/>
    <n v="1217.71"/>
    <n v="-1217.71"/>
    <n v="0"/>
    <n v="10000"/>
    <n v="10000"/>
    <n v="10625"/>
    <n v="11368.75"/>
    <n v="12164.5625"/>
    <x v="1"/>
    <x v="1"/>
  </r>
  <r>
    <s v="60162130010EQMRCZZHO"/>
    <m/>
    <s v="MS: SOC CONTR - BARGAINING COUNCIL"/>
    <n v="674"/>
    <n v="0"/>
    <n v="0"/>
    <n v="1217.71"/>
    <n v="-1217.71"/>
    <n v="0"/>
    <n v="0"/>
    <n v="674"/>
    <n v="716.125"/>
    <n v="766.25374999999997"/>
    <n v="819.89151249999998"/>
    <x v="1"/>
    <x v="1"/>
  </r>
  <r>
    <s v="60162130200EQMRCZZHO"/>
    <m/>
    <s v="MS: SOC CONTR - MEDICAL"/>
    <n v="67191"/>
    <n v="0"/>
    <n v="0"/>
    <n v="1217.71"/>
    <n v="-1217.71"/>
    <n v="0"/>
    <n v="0"/>
    <n v="67191"/>
    <n v="71390.4375"/>
    <n v="76387.768125000002"/>
    <n v="81734.911893750002"/>
    <x v="1"/>
    <x v="1"/>
  </r>
  <r>
    <s v="60162130300EQMRCZZHO"/>
    <m/>
    <s v="MS: SOC CONTR - PENSION"/>
    <n v="343082"/>
    <n v="0"/>
    <n v="0"/>
    <n v="1217.71"/>
    <n v="-1217.71"/>
    <n v="0"/>
    <n v="0"/>
    <n v="343082"/>
    <n v="364524.625"/>
    <n v="390041.34875"/>
    <n v="417344.24316250003"/>
    <x v="1"/>
    <x v="1"/>
  </r>
  <r>
    <s v="60162130400EQMRCZZHO"/>
    <m/>
    <s v="MS: SOC CONTR - UNEMPLOYMENT INSUR FUND"/>
    <n v="12495"/>
    <n v="0"/>
    <n v="0"/>
    <n v="1217.71"/>
    <n v="-1217.71"/>
    <n v="0"/>
    <n v="0"/>
    <n v="12495"/>
    <n v="13275.9375"/>
    <n v="14205.253124999999"/>
    <n v="15199.620843749999"/>
    <x v="1"/>
    <x v="1"/>
  </r>
  <r>
    <s v="60162140020PRMRCZZWM"/>
    <m/>
    <s v="MS: PRB - MED: CURRENT SERVICE COST"/>
    <n v="30119"/>
    <n v="0"/>
    <n v="0"/>
    <n v="1217.71"/>
    <n v="-1217.71"/>
    <n v="0"/>
    <n v="0"/>
    <n v="30119"/>
    <n v="32001.4375"/>
    <n v="34241.538124999999"/>
    <n v="36638.445793749997"/>
    <x v="1"/>
    <x v="1"/>
  </r>
  <r>
    <s v="60162140040PRMRCZZWM"/>
    <m/>
    <s v="MS: PRB - MED: INTEREST COST"/>
    <n v="42336"/>
    <n v="0"/>
    <n v="0"/>
    <n v="1217.71"/>
    <n v="-1217.71"/>
    <n v="0"/>
    <n v="0"/>
    <n v="42336"/>
    <n v="44982"/>
    <n v="48130.74"/>
    <n v="51499.891799999998"/>
    <x v="1"/>
    <x v="1"/>
  </r>
  <r>
    <s v="60162142200PRMRCZZWM"/>
    <m/>
    <s v="MS: PRB - OTHER: LONG TERM SERVICE AWARD"/>
    <n v="28718"/>
    <n v="0"/>
    <n v="0"/>
    <n v="1217.71"/>
    <n v="-1217.71"/>
    <n v="0"/>
    <n v="0"/>
    <n v="28718"/>
    <n v="30512.875"/>
    <n v="32648.776249999999"/>
    <n v="34934.190587500001"/>
    <x v="1"/>
    <x v="1"/>
  </r>
  <r>
    <s v="60162305410EQMRCZZHO"/>
    <m/>
    <s v="OC: SKILLS DEVELOPMENT FUND LEVY"/>
    <n v="50136"/>
    <n v="0"/>
    <n v="0"/>
    <n v="1217.71"/>
    <n v="-1217.71"/>
    <n v="0"/>
    <n v="0"/>
    <n v="50136"/>
    <n v="52392.12"/>
    <n v="54802.157520000001"/>
    <n v="57323.056765920002"/>
    <x v="1"/>
    <x v="3"/>
  </r>
  <r>
    <s v="60162305760EQMRCZZHO"/>
    <m/>
    <s v="OC: T&amp;S DOM - ACCOMMODATION"/>
    <n v="11957"/>
    <n v="0"/>
    <n v="0"/>
    <n v="1217.71"/>
    <n v="-1217.71"/>
    <n v="0"/>
    <n v="-10000"/>
    <n v="1957"/>
    <n v="2045.0650000000001"/>
    <n v="2139.1379900000002"/>
    <n v="2237.5383375400002"/>
    <x v="1"/>
    <x v="3"/>
  </r>
  <r>
    <m/>
    <m/>
    <m/>
    <m/>
    <m/>
    <m/>
    <m/>
    <m/>
    <m/>
    <m/>
    <m/>
    <m/>
    <m/>
    <m/>
    <x v="4"/>
    <x v="12"/>
  </r>
  <r>
    <m/>
    <m/>
    <m/>
    <m/>
    <m/>
    <m/>
    <m/>
    <m/>
    <m/>
    <m/>
    <m/>
    <m/>
    <m/>
    <m/>
    <x v="4"/>
    <x v="12"/>
  </r>
  <r>
    <m/>
    <m/>
    <m/>
    <m/>
    <m/>
    <m/>
    <m/>
    <m/>
    <m/>
    <m/>
    <m/>
    <m/>
    <m/>
    <m/>
    <x v="4"/>
    <x v="12"/>
  </r>
  <r>
    <m/>
    <m/>
    <m/>
    <m/>
    <m/>
    <m/>
    <m/>
    <m/>
    <m/>
    <m/>
    <m/>
    <m/>
    <m/>
    <m/>
    <x v="4"/>
    <x v="12"/>
  </r>
  <r>
    <m/>
    <m/>
    <m/>
    <m/>
    <m/>
    <m/>
    <m/>
    <m/>
    <m/>
    <m/>
    <m/>
    <m/>
    <m/>
    <m/>
    <x v="4"/>
    <x v="12"/>
  </r>
  <r>
    <m/>
    <m/>
    <m/>
    <m/>
    <m/>
    <m/>
    <m/>
    <m/>
    <m/>
    <m/>
    <m/>
    <m/>
    <m/>
    <m/>
    <x v="4"/>
    <x v="12"/>
  </r>
  <r>
    <m/>
    <m/>
    <m/>
    <m/>
    <m/>
    <m/>
    <m/>
    <m/>
    <m/>
    <m/>
    <m/>
    <m/>
    <m/>
    <m/>
    <x v="4"/>
    <x v="12"/>
  </r>
  <r>
    <m/>
    <m/>
    <m/>
    <m/>
    <m/>
    <m/>
    <m/>
    <m/>
    <m/>
    <m/>
    <m/>
    <m/>
    <m/>
    <m/>
    <x v="4"/>
    <x v="12"/>
  </r>
  <r>
    <m/>
    <m/>
    <m/>
    <m/>
    <m/>
    <m/>
    <m/>
    <m/>
    <m/>
    <m/>
    <m/>
    <m/>
    <m/>
    <m/>
    <x v="4"/>
    <x v="12"/>
  </r>
  <r>
    <m/>
    <m/>
    <m/>
    <m/>
    <m/>
    <m/>
    <m/>
    <m/>
    <m/>
    <m/>
    <m/>
    <m/>
    <m/>
    <m/>
    <x v="4"/>
    <x v="12"/>
  </r>
  <r>
    <m/>
    <m/>
    <m/>
    <m/>
    <m/>
    <m/>
    <m/>
    <m/>
    <m/>
    <m/>
    <m/>
    <m/>
    <m/>
    <m/>
    <x v="4"/>
    <x v="12"/>
  </r>
  <r>
    <m/>
    <m/>
    <m/>
    <m/>
    <m/>
    <m/>
    <m/>
    <m/>
    <m/>
    <m/>
    <m/>
    <m/>
    <m/>
    <m/>
    <x v="4"/>
    <x v="12"/>
  </r>
  <r>
    <m/>
    <m/>
    <m/>
    <m/>
    <m/>
    <m/>
    <m/>
    <m/>
    <m/>
    <m/>
    <m/>
    <m/>
    <m/>
    <m/>
    <x v="4"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D23" firstHeaderRow="0" firstDataRow="1" firstDataCol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axis="axisRow" showAll="0">
      <items count="6">
        <item x="0"/>
        <item x="1"/>
        <item x="3"/>
        <item x="2"/>
        <item x="4"/>
        <item t="default"/>
      </items>
    </pivotField>
    <pivotField axis="axisRow" showAll="0">
      <items count="14">
        <item x="0"/>
        <item x="9"/>
        <item x="11"/>
        <item x="2"/>
        <item x="6"/>
        <item x="1"/>
        <item x="10"/>
        <item x="4"/>
        <item x="7"/>
        <item x="5"/>
        <item x="3"/>
        <item x="8"/>
        <item x="12"/>
        <item t="default"/>
      </items>
    </pivotField>
  </pivotFields>
  <rowFields count="2">
    <field x="14"/>
    <field x="15"/>
  </rowFields>
  <rowItems count="20">
    <i>
      <x/>
    </i>
    <i r="1">
      <x/>
    </i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>
      <x v="2"/>
    </i>
    <i r="1">
      <x v="8"/>
    </i>
    <i>
      <x v="3"/>
    </i>
    <i r="1">
      <x/>
    </i>
    <i>
      <x v="4"/>
    </i>
    <i r="1"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Draft Annual Budget 2020/21" fld="11" baseField="14" baseItem="0"/>
    <dataField name="Sum of Draft Annual Budget 2021/22" fld="12" baseField="14" baseItem="0"/>
    <dataField name="Sum of Draft Annual Budget 2022/23" fld="13" baseField="1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topLeftCell="A15" workbookViewId="0">
      <selection activeCell="A23" sqref="A23:E23"/>
    </sheetView>
  </sheetViews>
  <sheetFormatPr defaultRowHeight="23.25" x14ac:dyDescent="0.35"/>
  <cols>
    <col min="1" max="1" width="95" style="94" customWidth="1"/>
    <col min="2" max="256" width="9.140625" style="94"/>
    <col min="257" max="257" width="95" style="94" customWidth="1"/>
    <col min="258" max="512" width="9.140625" style="94"/>
    <col min="513" max="513" width="95" style="94" customWidth="1"/>
    <col min="514" max="768" width="9.140625" style="94"/>
    <col min="769" max="769" width="95" style="94" customWidth="1"/>
    <col min="770" max="1024" width="9.140625" style="94"/>
    <col min="1025" max="1025" width="95" style="94" customWidth="1"/>
    <col min="1026" max="1280" width="9.140625" style="94"/>
    <col min="1281" max="1281" width="95" style="94" customWidth="1"/>
    <col min="1282" max="1536" width="9.140625" style="94"/>
    <col min="1537" max="1537" width="95" style="94" customWidth="1"/>
    <col min="1538" max="1792" width="9.140625" style="94"/>
    <col min="1793" max="1793" width="95" style="94" customWidth="1"/>
    <col min="1794" max="2048" width="9.140625" style="94"/>
    <col min="2049" max="2049" width="95" style="94" customWidth="1"/>
    <col min="2050" max="2304" width="9.140625" style="94"/>
    <col min="2305" max="2305" width="95" style="94" customWidth="1"/>
    <col min="2306" max="2560" width="9.140625" style="94"/>
    <col min="2561" max="2561" width="95" style="94" customWidth="1"/>
    <col min="2562" max="2816" width="9.140625" style="94"/>
    <col min="2817" max="2817" width="95" style="94" customWidth="1"/>
    <col min="2818" max="3072" width="9.140625" style="94"/>
    <col min="3073" max="3073" width="95" style="94" customWidth="1"/>
    <col min="3074" max="3328" width="9.140625" style="94"/>
    <col min="3329" max="3329" width="95" style="94" customWidth="1"/>
    <col min="3330" max="3584" width="9.140625" style="94"/>
    <col min="3585" max="3585" width="95" style="94" customWidth="1"/>
    <col min="3586" max="3840" width="9.140625" style="94"/>
    <col min="3841" max="3841" width="95" style="94" customWidth="1"/>
    <col min="3842" max="4096" width="9.140625" style="94"/>
    <col min="4097" max="4097" width="95" style="94" customWidth="1"/>
    <col min="4098" max="4352" width="9.140625" style="94"/>
    <col min="4353" max="4353" width="95" style="94" customWidth="1"/>
    <col min="4354" max="4608" width="9.140625" style="94"/>
    <col min="4609" max="4609" width="95" style="94" customWidth="1"/>
    <col min="4610" max="4864" width="9.140625" style="94"/>
    <col min="4865" max="4865" width="95" style="94" customWidth="1"/>
    <col min="4866" max="5120" width="9.140625" style="94"/>
    <col min="5121" max="5121" width="95" style="94" customWidth="1"/>
    <col min="5122" max="5376" width="9.140625" style="94"/>
    <col min="5377" max="5377" width="95" style="94" customWidth="1"/>
    <col min="5378" max="5632" width="9.140625" style="94"/>
    <col min="5633" max="5633" width="95" style="94" customWidth="1"/>
    <col min="5634" max="5888" width="9.140625" style="94"/>
    <col min="5889" max="5889" width="95" style="94" customWidth="1"/>
    <col min="5890" max="6144" width="9.140625" style="94"/>
    <col min="6145" max="6145" width="95" style="94" customWidth="1"/>
    <col min="6146" max="6400" width="9.140625" style="94"/>
    <col min="6401" max="6401" width="95" style="94" customWidth="1"/>
    <col min="6402" max="6656" width="9.140625" style="94"/>
    <col min="6657" max="6657" width="95" style="94" customWidth="1"/>
    <col min="6658" max="6912" width="9.140625" style="94"/>
    <col min="6913" max="6913" width="95" style="94" customWidth="1"/>
    <col min="6914" max="7168" width="9.140625" style="94"/>
    <col min="7169" max="7169" width="95" style="94" customWidth="1"/>
    <col min="7170" max="7424" width="9.140625" style="94"/>
    <col min="7425" max="7425" width="95" style="94" customWidth="1"/>
    <col min="7426" max="7680" width="9.140625" style="94"/>
    <col min="7681" max="7681" width="95" style="94" customWidth="1"/>
    <col min="7682" max="7936" width="9.140625" style="94"/>
    <col min="7937" max="7937" width="95" style="94" customWidth="1"/>
    <col min="7938" max="8192" width="9.140625" style="94"/>
    <col min="8193" max="8193" width="95" style="94" customWidth="1"/>
    <col min="8194" max="8448" width="9.140625" style="94"/>
    <col min="8449" max="8449" width="95" style="94" customWidth="1"/>
    <col min="8450" max="8704" width="9.140625" style="94"/>
    <col min="8705" max="8705" width="95" style="94" customWidth="1"/>
    <col min="8706" max="8960" width="9.140625" style="94"/>
    <col min="8961" max="8961" width="95" style="94" customWidth="1"/>
    <col min="8962" max="9216" width="9.140625" style="94"/>
    <col min="9217" max="9217" width="95" style="94" customWidth="1"/>
    <col min="9218" max="9472" width="9.140625" style="94"/>
    <col min="9473" max="9473" width="95" style="94" customWidth="1"/>
    <col min="9474" max="9728" width="9.140625" style="94"/>
    <col min="9729" max="9729" width="95" style="94" customWidth="1"/>
    <col min="9730" max="9984" width="9.140625" style="94"/>
    <col min="9985" max="9985" width="95" style="94" customWidth="1"/>
    <col min="9986" max="10240" width="9.140625" style="94"/>
    <col min="10241" max="10241" width="95" style="94" customWidth="1"/>
    <col min="10242" max="10496" width="9.140625" style="94"/>
    <col min="10497" max="10497" width="95" style="94" customWidth="1"/>
    <col min="10498" max="10752" width="9.140625" style="94"/>
    <col min="10753" max="10753" width="95" style="94" customWidth="1"/>
    <col min="10754" max="11008" width="9.140625" style="94"/>
    <col min="11009" max="11009" width="95" style="94" customWidth="1"/>
    <col min="11010" max="11264" width="9.140625" style="94"/>
    <col min="11265" max="11265" width="95" style="94" customWidth="1"/>
    <col min="11266" max="11520" width="9.140625" style="94"/>
    <col min="11521" max="11521" width="95" style="94" customWidth="1"/>
    <col min="11522" max="11776" width="9.140625" style="94"/>
    <col min="11777" max="11777" width="95" style="94" customWidth="1"/>
    <col min="11778" max="12032" width="9.140625" style="94"/>
    <col min="12033" max="12033" width="95" style="94" customWidth="1"/>
    <col min="12034" max="12288" width="9.140625" style="94"/>
    <col min="12289" max="12289" width="95" style="94" customWidth="1"/>
    <col min="12290" max="12544" width="9.140625" style="94"/>
    <col min="12545" max="12545" width="95" style="94" customWidth="1"/>
    <col min="12546" max="12800" width="9.140625" style="94"/>
    <col min="12801" max="12801" width="95" style="94" customWidth="1"/>
    <col min="12802" max="13056" width="9.140625" style="94"/>
    <col min="13057" max="13057" width="95" style="94" customWidth="1"/>
    <col min="13058" max="13312" width="9.140625" style="94"/>
    <col min="13313" max="13313" width="95" style="94" customWidth="1"/>
    <col min="13314" max="13568" width="9.140625" style="94"/>
    <col min="13569" max="13569" width="95" style="94" customWidth="1"/>
    <col min="13570" max="13824" width="9.140625" style="94"/>
    <col min="13825" max="13825" width="95" style="94" customWidth="1"/>
    <col min="13826" max="14080" width="9.140625" style="94"/>
    <col min="14081" max="14081" width="95" style="94" customWidth="1"/>
    <col min="14082" max="14336" width="9.140625" style="94"/>
    <col min="14337" max="14337" width="95" style="94" customWidth="1"/>
    <col min="14338" max="14592" width="9.140625" style="94"/>
    <col min="14593" max="14593" width="95" style="94" customWidth="1"/>
    <col min="14594" max="14848" width="9.140625" style="94"/>
    <col min="14849" max="14849" width="95" style="94" customWidth="1"/>
    <col min="14850" max="15104" width="9.140625" style="94"/>
    <col min="15105" max="15105" width="95" style="94" customWidth="1"/>
    <col min="15106" max="15360" width="9.140625" style="94"/>
    <col min="15361" max="15361" width="95" style="94" customWidth="1"/>
    <col min="15362" max="15616" width="9.140625" style="94"/>
    <col min="15617" max="15617" width="95" style="94" customWidth="1"/>
    <col min="15618" max="15872" width="9.140625" style="94"/>
    <col min="15873" max="15873" width="95" style="94" customWidth="1"/>
    <col min="15874" max="16128" width="9.140625" style="94"/>
    <col min="16129" max="16129" width="95" style="94" customWidth="1"/>
    <col min="16130" max="16384" width="9.140625" style="94"/>
  </cols>
  <sheetData>
    <row r="1" spans="1:1" x14ac:dyDescent="0.35">
      <c r="A1" s="93"/>
    </row>
    <row r="2" spans="1:1" x14ac:dyDescent="0.35">
      <c r="A2" s="93"/>
    </row>
    <row r="3" spans="1:1" x14ac:dyDescent="0.35">
      <c r="A3" s="93"/>
    </row>
    <row r="5" spans="1:1" x14ac:dyDescent="0.35">
      <c r="A5" s="93"/>
    </row>
    <row r="6" spans="1:1" x14ac:dyDescent="0.35">
      <c r="A6" s="93"/>
    </row>
    <row r="7" spans="1:1" x14ac:dyDescent="0.35">
      <c r="A7" s="93"/>
    </row>
    <row r="8" spans="1:1" x14ac:dyDescent="0.35">
      <c r="A8" s="95"/>
    </row>
    <row r="9" spans="1:1" x14ac:dyDescent="0.35">
      <c r="A9" s="95"/>
    </row>
    <row r="10" spans="1:1" x14ac:dyDescent="0.35">
      <c r="A10" s="93"/>
    </row>
    <row r="11" spans="1:1" x14ac:dyDescent="0.35">
      <c r="A11" s="96"/>
    </row>
    <row r="13" spans="1:1" x14ac:dyDescent="0.35">
      <c r="A13" s="97"/>
    </row>
    <row r="21" spans="1:6" ht="26.25" x14ac:dyDescent="0.4">
      <c r="A21" s="257" t="s">
        <v>3010</v>
      </c>
      <c r="B21" s="257"/>
      <c r="C21" s="257"/>
      <c r="D21" s="257"/>
      <c r="E21" s="257"/>
      <c r="F21" s="257"/>
    </row>
    <row r="22" spans="1:6" ht="26.25" x14ac:dyDescent="0.4">
      <c r="A22" s="98" t="s">
        <v>2620</v>
      </c>
    </row>
    <row r="23" spans="1:6" s="99" customFormat="1" ht="26.25" x14ac:dyDescent="0.4">
      <c r="A23" s="257" t="s">
        <v>3011</v>
      </c>
      <c r="B23" s="257"/>
      <c r="C23" s="257"/>
      <c r="D23" s="257"/>
      <c r="E23" s="257"/>
    </row>
    <row r="24" spans="1:6" s="99" customFormat="1" x14ac:dyDescent="0.35">
      <c r="A24" s="100"/>
    </row>
    <row r="26" spans="1:6" x14ac:dyDescent="0.35">
      <c r="A26" s="99"/>
    </row>
    <row r="27" spans="1:6" x14ac:dyDescent="0.35">
      <c r="A27" s="99"/>
    </row>
    <row r="29" spans="1:6" x14ac:dyDescent="0.35">
      <c r="A29" s="99" t="s">
        <v>3009</v>
      </c>
    </row>
    <row r="33" spans="1:1" x14ac:dyDescent="0.35">
      <c r="A33" s="99"/>
    </row>
    <row r="34" spans="1:1" x14ac:dyDescent="0.35">
      <c r="A34" s="99"/>
    </row>
  </sheetData>
  <mergeCells count="2">
    <mergeCell ref="A21:F21"/>
    <mergeCell ref="A23:E2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303"/>
  <sheetViews>
    <sheetView zoomScaleNormal="100" workbookViewId="0">
      <pane xSplit="3" ySplit="1" topLeftCell="D287" activePane="bottomRight" state="frozen"/>
      <selection pane="topRight" activeCell="C1" sqref="C1"/>
      <selection pane="bottomLeft" activeCell="A2" sqref="A2"/>
      <selection pane="bottomRight" sqref="A1:N305"/>
    </sheetView>
  </sheetViews>
  <sheetFormatPr defaultColWidth="9.140625" defaultRowHeight="15" x14ac:dyDescent="0.25"/>
  <cols>
    <col min="1" max="1" width="28" style="30" bestFit="1" customWidth="1"/>
    <col min="2" max="2" width="24.5703125" style="30" customWidth="1"/>
    <col min="3" max="3" width="56.140625" style="30" bestFit="1" customWidth="1"/>
    <col min="4" max="4" width="13.28515625" style="76" customWidth="1"/>
    <col min="5" max="5" width="10.28515625" style="76" hidden="1" customWidth="1"/>
    <col min="6" max="6" width="14.85546875" style="76" hidden="1" customWidth="1"/>
    <col min="7" max="7" width="11.7109375" style="76" hidden="1" customWidth="1"/>
    <col min="8" max="8" width="17.28515625" style="76" hidden="1" customWidth="1"/>
    <col min="9" max="9" width="9.140625" style="76" hidden="1" customWidth="1"/>
    <col min="10" max="10" width="13.5703125" style="76" hidden="1" customWidth="1"/>
    <col min="11" max="11" width="13.5703125" style="76" customWidth="1"/>
    <col min="12" max="12" width="17.7109375" style="76" customWidth="1"/>
    <col min="13" max="13" width="16.28515625" style="76" customWidth="1"/>
    <col min="14" max="14" width="14.28515625" style="136" bestFit="1" customWidth="1"/>
    <col min="15" max="15" width="10.28515625" style="30" bestFit="1" customWidth="1"/>
    <col min="16" max="16384" width="9.140625" style="30"/>
  </cols>
  <sheetData>
    <row r="1" spans="1:14" s="24" customFormat="1" ht="60.75" thickBot="1" x14ac:dyDescent="0.3">
      <c r="A1" s="20" t="s">
        <v>0</v>
      </c>
      <c r="B1" s="20" t="s">
        <v>1356</v>
      </c>
      <c r="C1" s="21" t="s">
        <v>1</v>
      </c>
      <c r="D1" s="22" t="s">
        <v>2</v>
      </c>
      <c r="E1" s="142" t="s">
        <v>3</v>
      </c>
      <c r="F1" s="22" t="s">
        <v>4</v>
      </c>
      <c r="G1" s="142" t="s">
        <v>5</v>
      </c>
      <c r="H1" s="142" t="s">
        <v>6</v>
      </c>
      <c r="I1" s="22" t="s">
        <v>7</v>
      </c>
      <c r="J1" s="22" t="s">
        <v>1322</v>
      </c>
      <c r="K1" s="154" t="s">
        <v>3012</v>
      </c>
      <c r="L1" s="41" t="s">
        <v>3013</v>
      </c>
      <c r="M1" s="137" t="s">
        <v>3014</v>
      </c>
      <c r="N1" s="131" t="s">
        <v>3015</v>
      </c>
    </row>
    <row r="2" spans="1:14" s="24" customFormat="1" x14ac:dyDescent="0.25">
      <c r="A2" s="20"/>
      <c r="B2" s="20"/>
      <c r="C2" s="21"/>
      <c r="D2" s="22"/>
      <c r="E2" s="142"/>
      <c r="F2" s="22"/>
      <c r="G2" s="142"/>
      <c r="H2" s="142"/>
      <c r="I2" s="22"/>
      <c r="J2" s="22"/>
      <c r="K2" s="142"/>
      <c r="L2" s="142"/>
      <c r="M2" s="138"/>
      <c r="N2" s="132"/>
    </row>
    <row r="3" spans="1:14" s="24" customFormat="1" x14ac:dyDescent="0.25">
      <c r="A3" s="20"/>
      <c r="B3" s="20"/>
      <c r="C3" s="21" t="s">
        <v>476</v>
      </c>
      <c r="D3" s="22"/>
      <c r="E3" s="22"/>
      <c r="F3" s="22"/>
      <c r="G3" s="22"/>
      <c r="H3" s="22"/>
      <c r="I3" s="22"/>
      <c r="J3" s="22"/>
      <c r="K3" s="22"/>
      <c r="L3" s="22"/>
      <c r="M3" s="134"/>
      <c r="N3" s="132"/>
    </row>
    <row r="4" spans="1:14" s="24" customFormat="1" x14ac:dyDescent="0.25">
      <c r="A4" s="20"/>
      <c r="B4" s="20"/>
      <c r="C4" s="21" t="s">
        <v>96</v>
      </c>
      <c r="D4" s="22"/>
      <c r="E4" s="22"/>
      <c r="F4" s="22"/>
      <c r="G4" s="22"/>
      <c r="H4" s="22"/>
      <c r="I4" s="22"/>
      <c r="J4" s="22"/>
      <c r="K4" s="22"/>
      <c r="L4" s="22"/>
      <c r="M4" s="134"/>
      <c r="N4" s="132"/>
    </row>
    <row r="5" spans="1:14" s="24" customFormat="1" x14ac:dyDescent="0.25">
      <c r="A5" s="20"/>
      <c r="B5" s="20"/>
      <c r="C5" s="21" t="s">
        <v>97</v>
      </c>
      <c r="D5" s="22"/>
      <c r="E5" s="22"/>
      <c r="F5" s="22"/>
      <c r="G5" s="22"/>
      <c r="H5" s="22"/>
      <c r="I5" s="22"/>
      <c r="J5" s="22"/>
      <c r="K5" s="22"/>
      <c r="L5" s="22"/>
      <c r="M5" s="134"/>
      <c r="N5" s="132"/>
    </row>
    <row r="6" spans="1:14" s="24" customFormat="1" x14ac:dyDescent="0.25">
      <c r="A6" s="20"/>
      <c r="B6" s="20"/>
      <c r="C6" s="21" t="s">
        <v>98</v>
      </c>
      <c r="D6" s="22"/>
      <c r="E6" s="22"/>
      <c r="F6" s="22"/>
      <c r="G6" s="22"/>
      <c r="H6" s="22"/>
      <c r="I6" s="22"/>
      <c r="J6" s="22"/>
      <c r="K6" s="22"/>
      <c r="L6" s="22"/>
      <c r="M6" s="134"/>
      <c r="N6" s="132"/>
    </row>
    <row r="7" spans="1:14" s="24" customFormat="1" x14ac:dyDescent="0.25">
      <c r="A7" s="20"/>
      <c r="B7" s="20"/>
      <c r="C7" s="21" t="s">
        <v>99</v>
      </c>
      <c r="D7" s="22"/>
      <c r="E7" s="22"/>
      <c r="F7" s="22"/>
      <c r="G7" s="22"/>
      <c r="H7" s="22"/>
      <c r="I7" s="22"/>
      <c r="J7" s="22"/>
      <c r="K7" s="22"/>
      <c r="L7" s="22"/>
      <c r="M7" s="134"/>
      <c r="N7" s="132"/>
    </row>
    <row r="8" spans="1:14" s="24" customFormat="1" x14ac:dyDescent="0.25">
      <c r="A8" s="20"/>
      <c r="B8" s="20"/>
      <c r="C8" s="21" t="s">
        <v>123</v>
      </c>
      <c r="D8" s="22"/>
      <c r="E8" s="22"/>
      <c r="F8" s="22"/>
      <c r="G8" s="22"/>
      <c r="H8" s="22"/>
      <c r="I8" s="22"/>
      <c r="J8" s="22"/>
      <c r="K8" s="22"/>
      <c r="L8" s="22"/>
      <c r="M8" s="134"/>
      <c r="N8" s="132"/>
    </row>
    <row r="9" spans="1:14" s="28" customFormat="1" ht="14.25" x14ac:dyDescent="0.2">
      <c r="A9" s="25"/>
      <c r="B9" s="25"/>
      <c r="C9" s="26"/>
      <c r="D9" s="27"/>
      <c r="E9" s="27"/>
      <c r="F9" s="27"/>
      <c r="G9" s="27"/>
      <c r="H9" s="27"/>
      <c r="I9" s="27"/>
      <c r="J9" s="27"/>
      <c r="K9" s="27"/>
      <c r="L9" s="27"/>
      <c r="M9" s="107"/>
      <c r="N9" s="133"/>
    </row>
    <row r="10" spans="1:14" s="28" customFormat="1" ht="14.25" x14ac:dyDescent="0.2">
      <c r="A10" s="25" t="s">
        <v>477</v>
      </c>
      <c r="B10" s="25"/>
      <c r="C10" s="26" t="s">
        <v>124</v>
      </c>
      <c r="D10" s="27">
        <f>VLOOKUP(A10,fin,3,FALSE)</f>
        <v>928990</v>
      </c>
      <c r="E10" s="27">
        <v>0</v>
      </c>
      <c r="F10" s="27">
        <v>0</v>
      </c>
      <c r="G10" s="27">
        <v>0</v>
      </c>
      <c r="H10" s="27">
        <v>928990</v>
      </c>
      <c r="I10" s="27">
        <v>0</v>
      </c>
      <c r="J10" s="27">
        <f t="shared" ref="J10:J41" si="0">+K10-D10</f>
        <v>-464495</v>
      </c>
      <c r="K10" s="27">
        <f>VLOOKUP(A10,fin,4,FALSE)</f>
        <v>464495</v>
      </c>
      <c r="L10" s="27">
        <f>K10*6.25/100+K10</f>
        <v>493525.9375</v>
      </c>
      <c r="M10" s="107">
        <f>L10*7/100+L10</f>
        <v>528072.75312500005</v>
      </c>
      <c r="N10" s="133">
        <f>M10*7/100+M10</f>
        <v>565037.84584375005</v>
      </c>
    </row>
    <row r="11" spans="1:14" s="28" customFormat="1" ht="14.25" x14ac:dyDescent="0.2">
      <c r="A11" s="25" t="s">
        <v>478</v>
      </c>
      <c r="B11" s="25"/>
      <c r="C11" s="26" t="s">
        <v>125</v>
      </c>
      <c r="D11" s="27">
        <f>VLOOKUP(A11,fin,3,FALSE)</f>
        <v>46450</v>
      </c>
      <c r="E11" s="27">
        <v>0</v>
      </c>
      <c r="F11" s="27">
        <v>0</v>
      </c>
      <c r="G11" s="27">
        <v>0</v>
      </c>
      <c r="H11" s="27">
        <v>928990</v>
      </c>
      <c r="I11" s="27">
        <v>0</v>
      </c>
      <c r="J11" s="27">
        <f t="shared" si="0"/>
        <v>-23225</v>
      </c>
      <c r="K11" s="27">
        <f>VLOOKUP(A11,fin,4,FALSE)</f>
        <v>23225</v>
      </c>
      <c r="L11" s="27">
        <f t="shared" ref="L11:L14" si="1">K11*6.25/100+K11</f>
        <v>24676.5625</v>
      </c>
      <c r="M11" s="107">
        <f t="shared" ref="M11:N14" si="2">L11*7/100+L11</f>
        <v>26403.921875</v>
      </c>
      <c r="N11" s="133">
        <f t="shared" si="2"/>
        <v>28252.196406250001</v>
      </c>
    </row>
    <row r="12" spans="1:14" s="28" customFormat="1" ht="14.25" x14ac:dyDescent="0.2">
      <c r="A12" s="25" t="s">
        <v>479</v>
      </c>
      <c r="B12" s="25"/>
      <c r="C12" s="26" t="s">
        <v>126</v>
      </c>
      <c r="D12" s="27">
        <f>VLOOKUP(A12,fin,3,FALSE)</f>
        <v>40000</v>
      </c>
      <c r="E12" s="27">
        <v>0</v>
      </c>
      <c r="F12" s="27">
        <v>0</v>
      </c>
      <c r="G12" s="27">
        <v>0</v>
      </c>
      <c r="H12" s="27">
        <v>928990</v>
      </c>
      <c r="I12" s="27">
        <v>0</v>
      </c>
      <c r="J12" s="27">
        <f t="shared" si="0"/>
        <v>-20000</v>
      </c>
      <c r="K12" s="27">
        <f>VLOOKUP(A12,fin,4,FALSE)</f>
        <v>20000</v>
      </c>
      <c r="L12" s="27">
        <f t="shared" si="1"/>
        <v>21250</v>
      </c>
      <c r="M12" s="107">
        <f t="shared" si="2"/>
        <v>22737.5</v>
      </c>
      <c r="N12" s="133">
        <f t="shared" si="2"/>
        <v>24329.125</v>
      </c>
    </row>
    <row r="13" spans="1:14" s="28" customFormat="1" ht="14.25" x14ac:dyDescent="0.2">
      <c r="A13" s="25" t="s">
        <v>480</v>
      </c>
      <c r="B13" s="25"/>
      <c r="C13" s="26" t="s">
        <v>127</v>
      </c>
      <c r="D13" s="27">
        <f>VLOOKUP(A13,fin,3,FALSE)</f>
        <v>17000</v>
      </c>
      <c r="E13" s="27">
        <v>0</v>
      </c>
      <c r="F13" s="27">
        <v>0</v>
      </c>
      <c r="G13" s="27">
        <v>0</v>
      </c>
      <c r="H13" s="27">
        <v>928990</v>
      </c>
      <c r="I13" s="27">
        <v>0</v>
      </c>
      <c r="J13" s="27">
        <f t="shared" si="0"/>
        <v>-8500</v>
      </c>
      <c r="K13" s="27">
        <f>VLOOKUP(A13,fin,4,FALSE)</f>
        <v>8500</v>
      </c>
      <c r="L13" s="27">
        <f t="shared" si="1"/>
        <v>9031.25</v>
      </c>
      <c r="M13" s="107">
        <f t="shared" si="2"/>
        <v>9663.4375</v>
      </c>
      <c r="N13" s="133">
        <f t="shared" si="2"/>
        <v>10339.878124999999</v>
      </c>
    </row>
    <row r="14" spans="1:14" s="28" customFormat="1" ht="14.25" x14ac:dyDescent="0.2">
      <c r="A14" s="25" t="s">
        <v>481</v>
      </c>
      <c r="B14" s="25"/>
      <c r="C14" s="26" t="s">
        <v>128</v>
      </c>
      <c r="D14" s="27">
        <f>VLOOKUP(A14,fin,3,FALSE)</f>
        <v>18580</v>
      </c>
      <c r="E14" s="27">
        <v>0</v>
      </c>
      <c r="F14" s="27">
        <v>0</v>
      </c>
      <c r="G14" s="27">
        <v>0</v>
      </c>
      <c r="H14" s="27">
        <v>928990</v>
      </c>
      <c r="I14" s="27">
        <v>0</v>
      </c>
      <c r="J14" s="27">
        <f t="shared" si="0"/>
        <v>-18580</v>
      </c>
      <c r="K14" s="27">
        <f>VLOOKUP(A14,fin,4,FALSE)</f>
        <v>0</v>
      </c>
      <c r="L14" s="27">
        <f t="shared" si="1"/>
        <v>0</v>
      </c>
      <c r="M14" s="107">
        <f t="shared" si="2"/>
        <v>0</v>
      </c>
      <c r="N14" s="133">
        <f t="shared" si="2"/>
        <v>0</v>
      </c>
    </row>
    <row r="15" spans="1:14" s="28" customFormat="1" ht="14.25" x14ac:dyDescent="0.2">
      <c r="A15" s="25"/>
      <c r="B15" s="25"/>
      <c r="C15" s="26"/>
      <c r="D15" s="27"/>
      <c r="E15" s="27"/>
      <c r="F15" s="27"/>
      <c r="G15" s="27"/>
      <c r="H15" s="27"/>
      <c r="I15" s="27"/>
      <c r="J15" s="27">
        <f t="shared" si="0"/>
        <v>0</v>
      </c>
      <c r="K15" s="27"/>
      <c r="L15" s="27"/>
      <c r="M15" s="107"/>
      <c r="N15" s="133"/>
    </row>
    <row r="16" spans="1:14" s="24" customFormat="1" x14ac:dyDescent="0.25">
      <c r="A16" s="20"/>
      <c r="B16" s="20"/>
      <c r="C16" s="21" t="s">
        <v>129</v>
      </c>
      <c r="D16" s="22">
        <f>SUM(D10:D15)</f>
        <v>1051020</v>
      </c>
      <c r="E16" s="22">
        <f>SUM(E10:E15)</f>
        <v>0</v>
      </c>
      <c r="F16" s="22">
        <f>SUM(F10:F15)</f>
        <v>0</v>
      </c>
      <c r="G16" s="22">
        <f>SUM(G10:G15)</f>
        <v>0</v>
      </c>
      <c r="H16" s="22">
        <f>SUM(H10:H15)</f>
        <v>4644950</v>
      </c>
      <c r="I16" s="22">
        <v>0</v>
      </c>
      <c r="J16" s="22">
        <f t="shared" si="0"/>
        <v>-534800</v>
      </c>
      <c r="K16" s="22">
        <f>SUM(K10:K15)</f>
        <v>516220</v>
      </c>
      <c r="L16" s="22">
        <f>SUM(L10:L15)</f>
        <v>548483.75</v>
      </c>
      <c r="M16" s="134">
        <f>SUM(M10:M15)</f>
        <v>586877.61250000005</v>
      </c>
      <c r="N16" s="134">
        <f>SUM(N10:N15)</f>
        <v>627959.0453750001</v>
      </c>
    </row>
    <row r="17" spans="1:14" s="24" customFormat="1" x14ac:dyDescent="0.25">
      <c r="A17" s="20"/>
      <c r="B17" s="20"/>
      <c r="C17" s="21"/>
      <c r="D17" s="22"/>
      <c r="E17" s="22"/>
      <c r="F17" s="22"/>
      <c r="G17" s="22"/>
      <c r="H17" s="22"/>
      <c r="I17" s="22"/>
      <c r="J17" s="22"/>
      <c r="K17" s="22"/>
      <c r="L17" s="22"/>
      <c r="M17" s="134"/>
      <c r="N17" s="132"/>
    </row>
    <row r="18" spans="1:14" s="24" customFormat="1" x14ac:dyDescent="0.25">
      <c r="A18" s="20"/>
      <c r="B18" s="20"/>
      <c r="C18" s="21" t="s">
        <v>146</v>
      </c>
      <c r="D18" s="22">
        <f>D16</f>
        <v>1051020</v>
      </c>
      <c r="E18" s="22">
        <f t="shared" ref="E18:N18" si="3">E16</f>
        <v>0</v>
      </c>
      <c r="F18" s="22">
        <f t="shared" si="3"/>
        <v>0</v>
      </c>
      <c r="G18" s="22">
        <f t="shared" si="3"/>
        <v>0</v>
      </c>
      <c r="H18" s="22">
        <f t="shared" si="3"/>
        <v>4644950</v>
      </c>
      <c r="I18" s="22">
        <v>0</v>
      </c>
      <c r="J18" s="22">
        <f t="shared" si="0"/>
        <v>-534800</v>
      </c>
      <c r="K18" s="22">
        <f t="shared" si="3"/>
        <v>516220</v>
      </c>
      <c r="L18" s="22">
        <f t="shared" si="3"/>
        <v>548483.75</v>
      </c>
      <c r="M18" s="134">
        <f t="shared" si="3"/>
        <v>586877.61250000005</v>
      </c>
      <c r="N18" s="134">
        <f t="shared" si="3"/>
        <v>627959.0453750001</v>
      </c>
    </row>
    <row r="19" spans="1:14" s="24" customFormat="1" x14ac:dyDescent="0.25">
      <c r="A19" s="20"/>
      <c r="B19" s="20"/>
      <c r="C19" s="21"/>
      <c r="D19" s="22"/>
      <c r="E19" s="22"/>
      <c r="F19" s="22"/>
      <c r="G19" s="22"/>
      <c r="H19" s="22"/>
      <c r="I19" s="22"/>
      <c r="J19" s="22"/>
      <c r="K19" s="22"/>
      <c r="L19" s="22"/>
      <c r="M19" s="134"/>
      <c r="N19" s="132"/>
    </row>
    <row r="20" spans="1:14" s="24" customFormat="1" x14ac:dyDescent="0.25">
      <c r="A20" s="20"/>
      <c r="B20" s="20"/>
      <c r="C20" s="21" t="s">
        <v>147</v>
      </c>
      <c r="D20" s="22">
        <f>D18</f>
        <v>1051020</v>
      </c>
      <c r="E20" s="22">
        <f t="shared" ref="E20:N20" si="4">E18</f>
        <v>0</v>
      </c>
      <c r="F20" s="22">
        <f t="shared" si="4"/>
        <v>0</v>
      </c>
      <c r="G20" s="22">
        <f t="shared" si="4"/>
        <v>0</v>
      </c>
      <c r="H20" s="22">
        <f t="shared" si="4"/>
        <v>4644950</v>
      </c>
      <c r="I20" s="22">
        <v>0</v>
      </c>
      <c r="J20" s="22">
        <f t="shared" si="0"/>
        <v>-534800</v>
      </c>
      <c r="K20" s="22">
        <f t="shared" si="4"/>
        <v>516220</v>
      </c>
      <c r="L20" s="22">
        <f t="shared" si="4"/>
        <v>548483.75</v>
      </c>
      <c r="M20" s="134">
        <f t="shared" si="4"/>
        <v>586877.61250000005</v>
      </c>
      <c r="N20" s="134">
        <f t="shared" si="4"/>
        <v>627959.0453750001</v>
      </c>
    </row>
    <row r="21" spans="1:14" s="24" customFormat="1" x14ac:dyDescent="0.25">
      <c r="A21" s="20"/>
      <c r="B21" s="20"/>
      <c r="C21" s="21"/>
      <c r="D21" s="22"/>
      <c r="E21" s="22"/>
      <c r="F21" s="22"/>
      <c r="G21" s="22"/>
      <c r="H21" s="22"/>
      <c r="I21" s="22"/>
      <c r="J21" s="27">
        <f t="shared" si="0"/>
        <v>0</v>
      </c>
      <c r="K21" s="27"/>
      <c r="L21" s="22"/>
      <c r="M21" s="134"/>
      <c r="N21" s="132"/>
    </row>
    <row r="22" spans="1:14" s="24" customFormat="1" x14ac:dyDescent="0.25">
      <c r="A22" s="20"/>
      <c r="B22" s="20"/>
      <c r="C22" s="21" t="s">
        <v>148</v>
      </c>
      <c r="D22" s="22"/>
      <c r="E22" s="22"/>
      <c r="F22" s="22"/>
      <c r="G22" s="22"/>
      <c r="H22" s="22"/>
      <c r="I22" s="22"/>
      <c r="J22" s="27">
        <f t="shared" si="0"/>
        <v>0</v>
      </c>
      <c r="K22" s="27"/>
      <c r="L22" s="22"/>
      <c r="M22" s="134"/>
      <c r="N22" s="132"/>
    </row>
    <row r="23" spans="1:14" s="24" customFormat="1" x14ac:dyDescent="0.25">
      <c r="A23" s="20"/>
      <c r="B23" s="20"/>
      <c r="C23" s="21" t="s">
        <v>149</v>
      </c>
      <c r="D23" s="22"/>
      <c r="E23" s="22"/>
      <c r="F23" s="22"/>
      <c r="G23" s="22"/>
      <c r="H23" s="22"/>
      <c r="I23" s="22"/>
      <c r="J23" s="27">
        <f t="shared" si="0"/>
        <v>0</v>
      </c>
      <c r="K23" s="27"/>
      <c r="L23" s="22"/>
      <c r="M23" s="134"/>
      <c r="N23" s="132"/>
    </row>
    <row r="24" spans="1:14" s="24" customFormat="1" x14ac:dyDescent="0.25">
      <c r="A24" s="20"/>
      <c r="B24" s="20"/>
      <c r="C24" s="21"/>
      <c r="D24" s="22"/>
      <c r="E24" s="22"/>
      <c r="F24" s="22"/>
      <c r="G24" s="22"/>
      <c r="H24" s="22"/>
      <c r="I24" s="22"/>
      <c r="J24" s="27">
        <f t="shared" si="0"/>
        <v>0</v>
      </c>
      <c r="K24" s="27"/>
      <c r="L24" s="22"/>
      <c r="M24" s="134"/>
      <c r="N24" s="132"/>
    </row>
    <row r="25" spans="1:14" s="28" customFormat="1" ht="14.25" x14ac:dyDescent="0.2">
      <c r="A25" s="25" t="s">
        <v>482</v>
      </c>
      <c r="B25" s="25"/>
      <c r="C25" s="26" t="s">
        <v>150</v>
      </c>
      <c r="D25" s="27">
        <f t="shared" ref="D25:D34" si="5">VLOOKUP(A25,fin,3,FALSE)</f>
        <v>627000</v>
      </c>
      <c r="E25" s="27">
        <v>0</v>
      </c>
      <c r="F25" s="27">
        <v>0</v>
      </c>
      <c r="G25" s="27">
        <v>0</v>
      </c>
      <c r="H25" s="27">
        <v>928990</v>
      </c>
      <c r="I25" s="27">
        <v>0</v>
      </c>
      <c r="J25" s="27">
        <f t="shared" si="0"/>
        <v>0</v>
      </c>
      <c r="K25" s="27">
        <f t="shared" ref="K25:K34" si="6">VLOOKUP(A25,fin,4,FALSE)</f>
        <v>627000</v>
      </c>
      <c r="L25" s="27">
        <f t="shared" ref="L25:L34" si="7">K25*6.25/100+K25</f>
        <v>666187.5</v>
      </c>
      <c r="M25" s="107">
        <f>L25*7/100+L25</f>
        <v>712820.625</v>
      </c>
      <c r="N25" s="133">
        <f>M25*7/100+M25</f>
        <v>762718.06874999998</v>
      </c>
    </row>
    <row r="26" spans="1:14" s="28" customFormat="1" ht="14.25" x14ac:dyDescent="0.2">
      <c r="A26" s="25" t="s">
        <v>483</v>
      </c>
      <c r="B26" s="25"/>
      <c r="C26" s="26" t="s">
        <v>151</v>
      </c>
      <c r="D26" s="27">
        <f t="shared" si="5"/>
        <v>29299</v>
      </c>
      <c r="E26" s="27">
        <v>0</v>
      </c>
      <c r="F26" s="27">
        <v>0</v>
      </c>
      <c r="G26" s="27">
        <v>0</v>
      </c>
      <c r="H26" s="27">
        <v>928990</v>
      </c>
      <c r="I26" s="27">
        <v>0</v>
      </c>
      <c r="J26" s="27">
        <f t="shared" si="0"/>
        <v>-12364.82</v>
      </c>
      <c r="K26" s="27">
        <f t="shared" si="6"/>
        <v>16934.18</v>
      </c>
      <c r="L26" s="27">
        <f t="shared" si="7"/>
        <v>17992.56625</v>
      </c>
      <c r="M26" s="107">
        <f t="shared" ref="M26:M34" si="8">L26*7/100+L26</f>
        <v>19252.0458875</v>
      </c>
      <c r="N26" s="133">
        <f t="shared" ref="N26:N34" si="9">M26*7/100+M26</f>
        <v>20599.689099625</v>
      </c>
    </row>
    <row r="27" spans="1:14" s="28" customFormat="1" ht="14.25" x14ac:dyDescent="0.2">
      <c r="A27" s="25" t="s">
        <v>484</v>
      </c>
      <c r="B27" s="25"/>
      <c r="C27" s="26" t="s">
        <v>152</v>
      </c>
      <c r="D27" s="27">
        <f t="shared" si="5"/>
        <v>24000</v>
      </c>
      <c r="E27" s="27">
        <v>0</v>
      </c>
      <c r="F27" s="27">
        <v>0</v>
      </c>
      <c r="G27" s="27">
        <v>0</v>
      </c>
      <c r="H27" s="27">
        <v>928990</v>
      </c>
      <c r="I27" s="27">
        <v>0</v>
      </c>
      <c r="J27" s="27">
        <f t="shared" si="0"/>
        <v>0</v>
      </c>
      <c r="K27" s="27">
        <f t="shared" si="6"/>
        <v>24000</v>
      </c>
      <c r="L27" s="27">
        <f t="shared" si="7"/>
        <v>25500</v>
      </c>
      <c r="M27" s="107">
        <f t="shared" si="8"/>
        <v>27285</v>
      </c>
      <c r="N27" s="133">
        <f t="shared" si="9"/>
        <v>29194.95</v>
      </c>
    </row>
    <row r="28" spans="1:14" s="28" customFormat="1" ht="14.25" x14ac:dyDescent="0.2">
      <c r="A28" s="25" t="s">
        <v>485</v>
      </c>
      <c r="B28" s="25"/>
      <c r="C28" s="26" t="s">
        <v>153</v>
      </c>
      <c r="D28" s="27">
        <f t="shared" si="5"/>
        <v>10893</v>
      </c>
      <c r="E28" s="27">
        <v>0</v>
      </c>
      <c r="F28" s="27">
        <v>0</v>
      </c>
      <c r="G28" s="27">
        <v>0</v>
      </c>
      <c r="H28" s="27">
        <v>928990</v>
      </c>
      <c r="I28" s="27">
        <v>0</v>
      </c>
      <c r="J28" s="27">
        <f t="shared" si="0"/>
        <v>0</v>
      </c>
      <c r="K28" s="27">
        <f t="shared" si="6"/>
        <v>10893</v>
      </c>
      <c r="L28" s="27">
        <f t="shared" si="7"/>
        <v>11573.8125</v>
      </c>
      <c r="M28" s="107">
        <f t="shared" si="8"/>
        <v>12383.979375000001</v>
      </c>
      <c r="N28" s="133">
        <f t="shared" si="9"/>
        <v>13250.857931250001</v>
      </c>
    </row>
    <row r="29" spans="1:14" s="28" customFormat="1" ht="14.25" x14ac:dyDescent="0.2">
      <c r="A29" s="25" t="s">
        <v>486</v>
      </c>
      <c r="B29" s="25"/>
      <c r="C29" s="26" t="s">
        <v>155</v>
      </c>
      <c r="D29" s="27">
        <f t="shared" si="5"/>
        <v>20806</v>
      </c>
      <c r="E29" s="27">
        <v>0</v>
      </c>
      <c r="F29" s="27">
        <v>0</v>
      </c>
      <c r="G29" s="27">
        <v>0</v>
      </c>
      <c r="H29" s="27">
        <v>928990</v>
      </c>
      <c r="I29" s="27">
        <v>0</v>
      </c>
      <c r="J29" s="27">
        <f t="shared" si="0"/>
        <v>0</v>
      </c>
      <c r="K29" s="27">
        <f t="shared" si="6"/>
        <v>20806</v>
      </c>
      <c r="L29" s="27">
        <f t="shared" si="7"/>
        <v>22106.375</v>
      </c>
      <c r="M29" s="107">
        <f t="shared" si="8"/>
        <v>23653.821250000001</v>
      </c>
      <c r="N29" s="133">
        <f t="shared" si="9"/>
        <v>25309.588737500002</v>
      </c>
    </row>
    <row r="30" spans="1:14" s="28" customFormat="1" ht="14.25" x14ac:dyDescent="0.2">
      <c r="A30" s="25" t="s">
        <v>487</v>
      </c>
      <c r="B30" s="25"/>
      <c r="C30" s="26" t="s">
        <v>156</v>
      </c>
      <c r="D30" s="27">
        <f t="shared" si="5"/>
        <v>156750</v>
      </c>
      <c r="E30" s="27">
        <v>0</v>
      </c>
      <c r="F30" s="27">
        <v>0</v>
      </c>
      <c r="G30" s="27">
        <v>0</v>
      </c>
      <c r="H30" s="27">
        <v>928990</v>
      </c>
      <c r="I30" s="27">
        <v>0</v>
      </c>
      <c r="J30" s="27">
        <f t="shared" si="0"/>
        <v>0</v>
      </c>
      <c r="K30" s="27">
        <f t="shared" si="6"/>
        <v>156750</v>
      </c>
      <c r="L30" s="27">
        <f t="shared" si="7"/>
        <v>166546.875</v>
      </c>
      <c r="M30" s="107">
        <f t="shared" si="8"/>
        <v>178205.15625</v>
      </c>
      <c r="N30" s="133">
        <f t="shared" si="9"/>
        <v>190679.51718749999</v>
      </c>
    </row>
    <row r="31" spans="1:14" s="28" customFormat="1" ht="14.25" x14ac:dyDescent="0.2">
      <c r="A31" s="25" t="s">
        <v>488</v>
      </c>
      <c r="B31" s="25"/>
      <c r="C31" s="26" t="s">
        <v>158</v>
      </c>
      <c r="D31" s="27">
        <f t="shared" si="5"/>
        <v>12657</v>
      </c>
      <c r="E31" s="27">
        <v>0</v>
      </c>
      <c r="F31" s="27">
        <v>0</v>
      </c>
      <c r="G31" s="27">
        <v>0</v>
      </c>
      <c r="H31" s="27">
        <v>928990</v>
      </c>
      <c r="I31" s="27">
        <v>0</v>
      </c>
      <c r="J31" s="27">
        <f t="shared" si="0"/>
        <v>-12657</v>
      </c>
      <c r="K31" s="27">
        <f t="shared" si="6"/>
        <v>0</v>
      </c>
      <c r="L31" s="27">
        <f t="shared" si="7"/>
        <v>0</v>
      </c>
      <c r="M31" s="107">
        <f t="shared" si="8"/>
        <v>0</v>
      </c>
      <c r="N31" s="133">
        <f t="shared" si="9"/>
        <v>0</v>
      </c>
    </row>
    <row r="32" spans="1:14" s="28" customFormat="1" ht="14.25" x14ac:dyDescent="0.2">
      <c r="A32" s="25" t="s">
        <v>489</v>
      </c>
      <c r="B32" s="25"/>
      <c r="C32" s="26" t="s">
        <v>159</v>
      </c>
      <c r="D32" s="27">
        <f t="shared" si="5"/>
        <v>52250</v>
      </c>
      <c r="E32" s="27">
        <v>0</v>
      </c>
      <c r="F32" s="27">
        <v>0</v>
      </c>
      <c r="G32" s="27">
        <v>0</v>
      </c>
      <c r="H32" s="27">
        <v>928990</v>
      </c>
      <c r="I32" s="27">
        <v>0</v>
      </c>
      <c r="J32" s="27">
        <f t="shared" si="0"/>
        <v>0</v>
      </c>
      <c r="K32" s="27">
        <f t="shared" si="6"/>
        <v>52250</v>
      </c>
      <c r="L32" s="27">
        <f t="shared" si="7"/>
        <v>55515.625</v>
      </c>
      <c r="M32" s="107">
        <f t="shared" si="8"/>
        <v>59401.71875</v>
      </c>
      <c r="N32" s="133">
        <f t="shared" si="9"/>
        <v>63559.839062500003</v>
      </c>
    </row>
    <row r="33" spans="1:14" s="28" customFormat="1" ht="14.25" x14ac:dyDescent="0.2">
      <c r="A33" s="25" t="s">
        <v>490</v>
      </c>
      <c r="B33" s="25"/>
      <c r="C33" s="26" t="s">
        <v>163</v>
      </c>
      <c r="D33" s="27">
        <f t="shared" si="5"/>
        <v>15692</v>
      </c>
      <c r="E33" s="27">
        <v>0</v>
      </c>
      <c r="F33" s="27">
        <v>0</v>
      </c>
      <c r="G33" s="27">
        <v>0</v>
      </c>
      <c r="H33" s="27">
        <v>928990</v>
      </c>
      <c r="I33" s="27">
        <v>0</v>
      </c>
      <c r="J33" s="27">
        <f t="shared" si="0"/>
        <v>0</v>
      </c>
      <c r="K33" s="27">
        <f t="shared" si="6"/>
        <v>15692</v>
      </c>
      <c r="L33" s="27">
        <f t="shared" si="7"/>
        <v>16672.75</v>
      </c>
      <c r="M33" s="107">
        <f t="shared" si="8"/>
        <v>17839.842499999999</v>
      </c>
      <c r="N33" s="133">
        <f t="shared" si="9"/>
        <v>19088.631474999998</v>
      </c>
    </row>
    <row r="34" spans="1:14" s="28" customFormat="1" ht="14.25" x14ac:dyDescent="0.2">
      <c r="A34" s="25" t="s">
        <v>491</v>
      </c>
      <c r="B34" s="25"/>
      <c r="C34" s="26" t="s">
        <v>164</v>
      </c>
      <c r="D34" s="27">
        <f t="shared" si="5"/>
        <v>37160</v>
      </c>
      <c r="E34" s="27">
        <v>0</v>
      </c>
      <c r="F34" s="27">
        <v>0</v>
      </c>
      <c r="G34" s="27">
        <v>0</v>
      </c>
      <c r="H34" s="27">
        <v>928990</v>
      </c>
      <c r="I34" s="27">
        <v>0</v>
      </c>
      <c r="J34" s="27">
        <f t="shared" si="0"/>
        <v>0</v>
      </c>
      <c r="K34" s="27">
        <f t="shared" si="6"/>
        <v>37160</v>
      </c>
      <c r="L34" s="27">
        <f t="shared" si="7"/>
        <v>39482.5</v>
      </c>
      <c r="M34" s="107">
        <f t="shared" si="8"/>
        <v>42246.275000000001</v>
      </c>
      <c r="N34" s="133">
        <f t="shared" si="9"/>
        <v>45203.51425</v>
      </c>
    </row>
    <row r="35" spans="1:14" s="28" customFormat="1" ht="14.25" x14ac:dyDescent="0.2">
      <c r="A35" s="25"/>
      <c r="B35" s="25"/>
      <c r="C35" s="26"/>
      <c r="D35" s="27"/>
      <c r="E35" s="27"/>
      <c r="F35" s="27"/>
      <c r="G35" s="27"/>
      <c r="H35" s="27"/>
      <c r="I35" s="27"/>
      <c r="J35" s="27">
        <f t="shared" si="0"/>
        <v>0</v>
      </c>
      <c r="K35" s="27"/>
      <c r="L35" s="27"/>
      <c r="M35" s="107"/>
      <c r="N35" s="133"/>
    </row>
    <row r="36" spans="1:14" s="24" customFormat="1" x14ac:dyDescent="0.25">
      <c r="A36" s="20"/>
      <c r="B36" s="20"/>
      <c r="C36" s="21" t="s">
        <v>165</v>
      </c>
      <c r="D36" s="22">
        <f>SUM(D25:D35)</f>
        <v>986507</v>
      </c>
      <c r="E36" s="22">
        <f>SUM(E25:E35)</f>
        <v>0</v>
      </c>
      <c r="F36" s="22">
        <f>SUM(F25:F35)</f>
        <v>0</v>
      </c>
      <c r="G36" s="22">
        <f>SUM(G25:G35)</f>
        <v>0</v>
      </c>
      <c r="H36" s="22">
        <f>SUM(H25:H35)</f>
        <v>9289900</v>
      </c>
      <c r="I36" s="22">
        <v>59.55</v>
      </c>
      <c r="J36" s="27">
        <f t="shared" si="0"/>
        <v>-25021.819999999949</v>
      </c>
      <c r="K36" s="22">
        <f>SUM(K25:K35)</f>
        <v>961485.18</v>
      </c>
      <c r="L36" s="22">
        <f>SUM(L25:L35)</f>
        <v>1021578.00375</v>
      </c>
      <c r="M36" s="134">
        <f>SUM(M25:M35)</f>
        <v>1093088.4640124999</v>
      </c>
      <c r="N36" s="134">
        <f>SUM(N25:N35)</f>
        <v>1169604.6564933748</v>
      </c>
    </row>
    <row r="37" spans="1:14" s="24" customFormat="1" x14ac:dyDescent="0.25">
      <c r="A37" s="20"/>
      <c r="B37" s="20"/>
      <c r="C37" s="21"/>
      <c r="D37" s="22"/>
      <c r="E37" s="22"/>
      <c r="F37" s="22"/>
      <c r="G37" s="22"/>
      <c r="H37" s="22"/>
      <c r="I37" s="22"/>
      <c r="J37" s="27">
        <f t="shared" si="0"/>
        <v>0</v>
      </c>
      <c r="K37" s="27"/>
      <c r="L37" s="22"/>
      <c r="M37" s="134"/>
      <c r="N37" s="132"/>
    </row>
    <row r="38" spans="1:14" s="24" customFormat="1" x14ac:dyDescent="0.25">
      <c r="A38" s="20"/>
      <c r="B38" s="20"/>
      <c r="C38" s="21" t="s">
        <v>166</v>
      </c>
      <c r="D38" s="22"/>
      <c r="E38" s="22"/>
      <c r="F38" s="22"/>
      <c r="G38" s="22"/>
      <c r="H38" s="22"/>
      <c r="I38" s="22"/>
      <c r="J38" s="27">
        <f t="shared" si="0"/>
        <v>0</v>
      </c>
      <c r="K38" s="27"/>
      <c r="L38" s="22"/>
      <c r="M38" s="134"/>
      <c r="N38" s="132"/>
    </row>
    <row r="39" spans="1:14" s="28" customFormat="1" ht="14.25" x14ac:dyDescent="0.2">
      <c r="A39" s="25"/>
      <c r="B39" s="25"/>
      <c r="C39" s="26"/>
      <c r="D39" s="27"/>
      <c r="E39" s="27"/>
      <c r="F39" s="27"/>
      <c r="G39" s="27"/>
      <c r="H39" s="27"/>
      <c r="I39" s="27"/>
      <c r="J39" s="27">
        <f t="shared" si="0"/>
        <v>0</v>
      </c>
      <c r="K39" s="27"/>
      <c r="L39" s="27"/>
      <c r="M39" s="107"/>
      <c r="N39" s="133"/>
    </row>
    <row r="40" spans="1:14" s="28" customFormat="1" ht="14.25" x14ac:dyDescent="0.2">
      <c r="A40" s="25" t="s">
        <v>492</v>
      </c>
      <c r="B40" s="25"/>
      <c r="C40" s="26" t="s">
        <v>167</v>
      </c>
      <c r="D40" s="27">
        <f>VLOOKUP(A40,fin,3,FALSE)</f>
        <v>112</v>
      </c>
      <c r="E40" s="27">
        <v>0</v>
      </c>
      <c r="F40" s="27">
        <v>0</v>
      </c>
      <c r="G40" s="27">
        <v>0</v>
      </c>
      <c r="H40" s="27">
        <v>928990</v>
      </c>
      <c r="I40" s="27">
        <v>0</v>
      </c>
      <c r="J40" s="27">
        <f t="shared" si="0"/>
        <v>188</v>
      </c>
      <c r="K40" s="27">
        <f>VLOOKUP(A40,fin,4,FALSE)</f>
        <v>300</v>
      </c>
      <c r="L40" s="27">
        <f t="shared" ref="L40:L43" si="10">K40*6.25/100+K40</f>
        <v>318.75</v>
      </c>
      <c r="M40" s="107">
        <f t="shared" ref="M40:N43" si="11">L40*7/100+L40</f>
        <v>341.0625</v>
      </c>
      <c r="N40" s="133">
        <f t="shared" si="11"/>
        <v>364.93687499999999</v>
      </c>
    </row>
    <row r="41" spans="1:14" s="28" customFormat="1" ht="14.25" x14ac:dyDescent="0.2">
      <c r="A41" s="25" t="s">
        <v>493</v>
      </c>
      <c r="B41" s="25"/>
      <c r="C41" s="26" t="s">
        <v>168</v>
      </c>
      <c r="D41" s="27">
        <f>VLOOKUP(A41,fin,3,FALSE)</f>
        <v>53908</v>
      </c>
      <c r="E41" s="27">
        <v>0</v>
      </c>
      <c r="F41" s="27">
        <v>0</v>
      </c>
      <c r="G41" s="27">
        <v>0</v>
      </c>
      <c r="H41" s="27">
        <v>928990</v>
      </c>
      <c r="I41" s="27">
        <v>0</v>
      </c>
      <c r="J41" s="27">
        <f t="shared" si="0"/>
        <v>0</v>
      </c>
      <c r="K41" s="27">
        <f>VLOOKUP(A41,fin,4,FALSE)</f>
        <v>53908</v>
      </c>
      <c r="L41" s="27">
        <f t="shared" si="10"/>
        <v>57277.25</v>
      </c>
      <c r="M41" s="107">
        <f t="shared" si="11"/>
        <v>61286.657500000001</v>
      </c>
      <c r="N41" s="133">
        <f t="shared" si="11"/>
        <v>65576.723525000009</v>
      </c>
    </row>
    <row r="42" spans="1:14" s="28" customFormat="1" ht="14.25" x14ac:dyDescent="0.2">
      <c r="A42" s="25" t="s">
        <v>494</v>
      </c>
      <c r="B42" s="25"/>
      <c r="C42" s="26" t="s">
        <v>169</v>
      </c>
      <c r="D42" s="27">
        <f>VLOOKUP(A42,fin,3,FALSE)</f>
        <v>137940</v>
      </c>
      <c r="E42" s="27">
        <v>0</v>
      </c>
      <c r="F42" s="27">
        <v>0</v>
      </c>
      <c r="G42" s="27">
        <v>0</v>
      </c>
      <c r="H42" s="27">
        <v>928990</v>
      </c>
      <c r="I42" s="27">
        <v>0</v>
      </c>
      <c r="J42" s="27">
        <f t="shared" ref="J42:J73" si="12">+K42-D42</f>
        <v>0</v>
      </c>
      <c r="K42" s="27">
        <f>VLOOKUP(A42,fin,4,FALSE)</f>
        <v>137940</v>
      </c>
      <c r="L42" s="27">
        <f t="shared" si="10"/>
        <v>146561.25</v>
      </c>
      <c r="M42" s="107">
        <f t="shared" si="11"/>
        <v>156820.53750000001</v>
      </c>
      <c r="N42" s="133">
        <f t="shared" si="11"/>
        <v>167797.975125</v>
      </c>
    </row>
    <row r="43" spans="1:14" s="28" customFormat="1" ht="14.25" x14ac:dyDescent="0.2">
      <c r="A43" s="25" t="s">
        <v>495</v>
      </c>
      <c r="B43" s="25"/>
      <c r="C43" s="26" t="s">
        <v>170</v>
      </c>
      <c r="D43" s="27">
        <f>VLOOKUP(A43,fin,3,FALSE)</f>
        <v>1785</v>
      </c>
      <c r="E43" s="27">
        <v>0</v>
      </c>
      <c r="F43" s="27">
        <v>0</v>
      </c>
      <c r="G43" s="27">
        <v>0</v>
      </c>
      <c r="H43" s="27">
        <v>928990</v>
      </c>
      <c r="I43" s="27">
        <v>0</v>
      </c>
      <c r="J43" s="27">
        <f t="shared" si="12"/>
        <v>1215</v>
      </c>
      <c r="K43" s="27">
        <f>VLOOKUP(A43,fin,4,FALSE)</f>
        <v>3000</v>
      </c>
      <c r="L43" s="27">
        <f t="shared" si="10"/>
        <v>3187.5</v>
      </c>
      <c r="M43" s="107">
        <f t="shared" si="11"/>
        <v>3410.625</v>
      </c>
      <c r="N43" s="133">
        <f t="shared" si="11"/>
        <v>3649.3687500000001</v>
      </c>
    </row>
    <row r="44" spans="1:14" s="28" customFormat="1" ht="14.25" x14ac:dyDescent="0.2">
      <c r="A44" s="25"/>
      <c r="B44" s="25"/>
      <c r="C44" s="26"/>
      <c r="D44" s="27"/>
      <c r="E44" s="27"/>
      <c r="F44" s="27"/>
      <c r="G44" s="27"/>
      <c r="H44" s="27"/>
      <c r="I44" s="27"/>
      <c r="J44" s="27">
        <f t="shared" si="12"/>
        <v>0</v>
      </c>
      <c r="K44" s="27"/>
      <c r="L44" s="27"/>
      <c r="M44" s="107"/>
      <c r="N44" s="133"/>
    </row>
    <row r="45" spans="1:14" s="24" customFormat="1" ht="15.75" customHeight="1" x14ac:dyDescent="0.25">
      <c r="A45" s="20"/>
      <c r="B45" s="20"/>
      <c r="C45" s="21" t="s">
        <v>171</v>
      </c>
      <c r="D45" s="22">
        <f>SUM(D40:D44)</f>
        <v>193745</v>
      </c>
      <c r="E45" s="22">
        <f>SUM(E40:E44)</f>
        <v>0</v>
      </c>
      <c r="F45" s="22">
        <f>SUM(F40:F44)</f>
        <v>0</v>
      </c>
      <c r="G45" s="22">
        <f>SUM(G40:G44)</f>
        <v>0</v>
      </c>
      <c r="H45" s="22">
        <f>SUM(H40:H44)</f>
        <v>3715960</v>
      </c>
      <c r="I45" s="22">
        <v>60.96</v>
      </c>
      <c r="J45" s="27">
        <f t="shared" si="12"/>
        <v>1403</v>
      </c>
      <c r="K45" s="22">
        <f>SUM(K40:K44)</f>
        <v>195148</v>
      </c>
      <c r="L45" s="22">
        <f>SUM(L40:L44)</f>
        <v>207344.75</v>
      </c>
      <c r="M45" s="134">
        <f>SUM(M40:M44)</f>
        <v>221858.88250000001</v>
      </c>
      <c r="N45" s="134">
        <f>SUM(N40:N44)</f>
        <v>237389.00427499998</v>
      </c>
    </row>
    <row r="46" spans="1:14" s="24" customFormat="1" x14ac:dyDescent="0.25">
      <c r="A46" s="20"/>
      <c r="B46" s="20"/>
      <c r="C46" s="21"/>
      <c r="D46" s="22"/>
      <c r="E46" s="22"/>
      <c r="F46" s="22"/>
      <c r="G46" s="22"/>
      <c r="H46" s="22"/>
      <c r="I46" s="22"/>
      <c r="J46" s="27">
        <f t="shared" si="12"/>
        <v>0</v>
      </c>
      <c r="K46" s="27"/>
      <c r="L46" s="22"/>
      <c r="M46" s="134"/>
      <c r="N46" s="132"/>
    </row>
    <row r="47" spans="1:14" s="24" customFormat="1" x14ac:dyDescent="0.25">
      <c r="A47" s="20"/>
      <c r="B47" s="20"/>
      <c r="C47" s="21" t="s">
        <v>172</v>
      </c>
      <c r="D47" s="22"/>
      <c r="E47" s="22"/>
      <c r="F47" s="22"/>
      <c r="G47" s="22"/>
      <c r="H47" s="22"/>
      <c r="I47" s="22"/>
      <c r="J47" s="27">
        <f t="shared" si="12"/>
        <v>0</v>
      </c>
      <c r="K47" s="27"/>
      <c r="L47" s="22"/>
      <c r="M47" s="134"/>
      <c r="N47" s="132"/>
    </row>
    <row r="48" spans="1:14" s="24" customFormat="1" x14ac:dyDescent="0.25">
      <c r="A48" s="20"/>
      <c r="B48" s="20"/>
      <c r="C48" s="21"/>
      <c r="D48" s="22"/>
      <c r="E48" s="22"/>
      <c r="F48" s="22"/>
      <c r="G48" s="22"/>
      <c r="H48" s="22"/>
      <c r="I48" s="22"/>
      <c r="J48" s="27">
        <f t="shared" si="12"/>
        <v>0</v>
      </c>
      <c r="K48" s="27"/>
      <c r="L48" s="22"/>
      <c r="M48" s="134"/>
      <c r="N48" s="132"/>
    </row>
    <row r="49" spans="1:14" s="28" customFormat="1" ht="14.25" x14ac:dyDescent="0.2">
      <c r="A49" s="25" t="s">
        <v>496</v>
      </c>
      <c r="B49" s="25"/>
      <c r="C49" s="26" t="s">
        <v>173</v>
      </c>
      <c r="D49" s="27">
        <f>VLOOKUP(A49,fin,3,FALSE)</f>
        <v>2151</v>
      </c>
      <c r="E49" s="27">
        <v>0</v>
      </c>
      <c r="F49" s="27">
        <v>0</v>
      </c>
      <c r="G49" s="27">
        <v>0</v>
      </c>
      <c r="H49" s="27">
        <v>928990</v>
      </c>
      <c r="I49" s="27">
        <v>0</v>
      </c>
      <c r="J49" s="27">
        <f t="shared" si="12"/>
        <v>0</v>
      </c>
      <c r="K49" s="27">
        <f>VLOOKUP(A49,fin,4,FALSE)</f>
        <v>2151</v>
      </c>
      <c r="L49" s="27">
        <f t="shared" ref="L49:L51" si="13">K49*6.25/100+K49</f>
        <v>2285.4375</v>
      </c>
      <c r="M49" s="107">
        <f t="shared" ref="M49:N51" si="14">L49*7/100+L49</f>
        <v>2445.4181250000001</v>
      </c>
      <c r="N49" s="133">
        <f t="shared" si="14"/>
        <v>2616.5973937500003</v>
      </c>
    </row>
    <row r="50" spans="1:14" s="28" customFormat="1" ht="14.25" x14ac:dyDescent="0.2">
      <c r="A50" s="25" t="s">
        <v>497</v>
      </c>
      <c r="B50" s="25"/>
      <c r="C50" s="26" t="s">
        <v>174</v>
      </c>
      <c r="D50" s="27">
        <f>VLOOKUP(A50,fin,3,FALSE)</f>
        <v>1460</v>
      </c>
      <c r="E50" s="27">
        <v>0</v>
      </c>
      <c r="F50" s="27">
        <v>0</v>
      </c>
      <c r="G50" s="27">
        <v>0</v>
      </c>
      <c r="H50" s="27">
        <v>928990</v>
      </c>
      <c r="I50" s="27">
        <v>0</v>
      </c>
      <c r="J50" s="27">
        <f t="shared" si="12"/>
        <v>0</v>
      </c>
      <c r="K50" s="27">
        <f>VLOOKUP(A50,fin,4,FALSE)</f>
        <v>1460</v>
      </c>
      <c r="L50" s="27">
        <f t="shared" si="13"/>
        <v>1551.25</v>
      </c>
      <c r="M50" s="107">
        <f t="shared" si="14"/>
        <v>1659.8375000000001</v>
      </c>
      <c r="N50" s="133">
        <f t="shared" si="14"/>
        <v>1776.0261250000001</v>
      </c>
    </row>
    <row r="51" spans="1:14" s="28" customFormat="1" ht="14.25" x14ac:dyDescent="0.2">
      <c r="A51" s="25" t="s">
        <v>498</v>
      </c>
      <c r="B51" s="25"/>
      <c r="C51" s="26" t="s">
        <v>175</v>
      </c>
      <c r="D51" s="27">
        <f>VLOOKUP(A51,fin,3,FALSE)</f>
        <v>14285</v>
      </c>
      <c r="E51" s="27">
        <v>0</v>
      </c>
      <c r="F51" s="27">
        <v>0</v>
      </c>
      <c r="G51" s="27">
        <v>0</v>
      </c>
      <c r="H51" s="27">
        <v>928990</v>
      </c>
      <c r="I51" s="27">
        <v>0</v>
      </c>
      <c r="J51" s="27">
        <f t="shared" si="12"/>
        <v>0</v>
      </c>
      <c r="K51" s="27">
        <f>VLOOKUP(A51,fin,4,FALSE)</f>
        <v>14285</v>
      </c>
      <c r="L51" s="27">
        <f t="shared" si="13"/>
        <v>15177.8125</v>
      </c>
      <c r="M51" s="107">
        <f t="shared" si="14"/>
        <v>16240.259375</v>
      </c>
      <c r="N51" s="133">
        <f t="shared" si="14"/>
        <v>17377.077531250001</v>
      </c>
    </row>
    <row r="52" spans="1:14" s="28" customFormat="1" ht="14.25" x14ac:dyDescent="0.2">
      <c r="A52" s="25"/>
      <c r="B52" s="25"/>
      <c r="C52" s="26"/>
      <c r="D52" s="27"/>
      <c r="E52" s="27"/>
      <c r="F52" s="27"/>
      <c r="G52" s="27"/>
      <c r="H52" s="27"/>
      <c r="I52" s="27"/>
      <c r="J52" s="27">
        <f t="shared" si="12"/>
        <v>0</v>
      </c>
      <c r="K52" s="27"/>
      <c r="L52" s="27"/>
      <c r="M52" s="107"/>
      <c r="N52" s="133"/>
    </row>
    <row r="53" spans="1:14" s="24" customFormat="1" x14ac:dyDescent="0.25">
      <c r="A53" s="20"/>
      <c r="B53" s="20"/>
      <c r="C53" s="21" t="s">
        <v>176</v>
      </c>
      <c r="D53" s="22">
        <f>SUM(D49:D52)</f>
        <v>17896</v>
      </c>
      <c r="E53" s="22">
        <f>SUM(E49:E52)</f>
        <v>0</v>
      </c>
      <c r="F53" s="22">
        <f>SUM(F49:F52)</f>
        <v>0</v>
      </c>
      <c r="G53" s="22">
        <f>SUM(G49:G52)</f>
        <v>0</v>
      </c>
      <c r="H53" s="22">
        <f>SUM(H49:H52)</f>
        <v>2786970</v>
      </c>
      <c r="I53" s="22">
        <v>0</v>
      </c>
      <c r="J53" s="27">
        <f t="shared" si="12"/>
        <v>0</v>
      </c>
      <c r="K53" s="22">
        <f>SUM(K49:K52)</f>
        <v>17896</v>
      </c>
      <c r="L53" s="22">
        <f>SUM(L49:L52)</f>
        <v>19014.5</v>
      </c>
      <c r="M53" s="134">
        <f>SUM(M49:M52)</f>
        <v>20345.514999999999</v>
      </c>
      <c r="N53" s="134">
        <f>SUM(N49:N52)</f>
        <v>21769.701050000003</v>
      </c>
    </row>
    <row r="54" spans="1:14" s="24" customFormat="1" x14ac:dyDescent="0.25">
      <c r="A54" s="20"/>
      <c r="B54" s="20"/>
      <c r="C54" s="21"/>
      <c r="D54" s="22"/>
      <c r="E54" s="22"/>
      <c r="F54" s="22"/>
      <c r="G54" s="22"/>
      <c r="H54" s="22"/>
      <c r="I54" s="22"/>
      <c r="J54" s="27">
        <f t="shared" si="12"/>
        <v>0</v>
      </c>
      <c r="K54" s="22"/>
      <c r="L54" s="22"/>
      <c r="M54" s="134"/>
      <c r="N54" s="132"/>
    </row>
    <row r="55" spans="1:14" s="24" customFormat="1" x14ac:dyDescent="0.25">
      <c r="A55" s="20"/>
      <c r="B55" s="20"/>
      <c r="C55" s="21" t="s">
        <v>177</v>
      </c>
      <c r="D55" s="22">
        <f>D36+D45+D53</f>
        <v>1198148</v>
      </c>
      <c r="E55" s="22">
        <f t="shared" ref="E55:N55" si="15">E36+E45+E53</f>
        <v>0</v>
      </c>
      <c r="F55" s="22">
        <f t="shared" si="15"/>
        <v>0</v>
      </c>
      <c r="G55" s="22">
        <f t="shared" si="15"/>
        <v>0</v>
      </c>
      <c r="H55" s="22">
        <f t="shared" si="15"/>
        <v>15792830</v>
      </c>
      <c r="I55" s="22">
        <v>58.89</v>
      </c>
      <c r="J55" s="27">
        <f t="shared" si="12"/>
        <v>-23618.819999999832</v>
      </c>
      <c r="K55" s="22">
        <f t="shared" si="15"/>
        <v>1174529.1800000002</v>
      </c>
      <c r="L55" s="22">
        <f t="shared" si="15"/>
        <v>1247937.2537500001</v>
      </c>
      <c r="M55" s="134">
        <f t="shared" si="15"/>
        <v>1335292.8615124999</v>
      </c>
      <c r="N55" s="134">
        <f t="shared" si="15"/>
        <v>1428763.3618183748</v>
      </c>
    </row>
    <row r="56" spans="1:14" s="24" customFormat="1" x14ac:dyDescent="0.25">
      <c r="A56" s="20"/>
      <c r="B56" s="20"/>
      <c r="C56" s="21"/>
      <c r="D56" s="22"/>
      <c r="E56" s="22"/>
      <c r="F56" s="22"/>
      <c r="G56" s="22"/>
      <c r="H56" s="22"/>
      <c r="I56" s="22"/>
      <c r="J56" s="27">
        <f t="shared" si="12"/>
        <v>0</v>
      </c>
      <c r="K56" s="22"/>
      <c r="L56" s="22"/>
      <c r="M56" s="134"/>
      <c r="N56" s="132"/>
    </row>
    <row r="57" spans="1:14" s="24" customFormat="1" x14ac:dyDescent="0.25">
      <c r="A57" s="20"/>
      <c r="B57" s="20"/>
      <c r="C57" s="21" t="s">
        <v>178</v>
      </c>
      <c r="D57" s="22">
        <f>D20+D55</f>
        <v>2249168</v>
      </c>
      <c r="E57" s="22">
        <f t="shared" ref="E57:N57" si="16">E20+E55</f>
        <v>0</v>
      </c>
      <c r="F57" s="22">
        <f t="shared" si="16"/>
        <v>0</v>
      </c>
      <c r="G57" s="22">
        <f t="shared" si="16"/>
        <v>0</v>
      </c>
      <c r="H57" s="22">
        <f t="shared" si="16"/>
        <v>20437780</v>
      </c>
      <c r="I57" s="22">
        <v>31.37</v>
      </c>
      <c r="J57" s="27">
        <f t="shared" si="12"/>
        <v>-558418.81999999983</v>
      </c>
      <c r="K57" s="22">
        <f t="shared" si="16"/>
        <v>1690749.1800000002</v>
      </c>
      <c r="L57" s="22">
        <f t="shared" si="16"/>
        <v>1796421.0037500001</v>
      </c>
      <c r="M57" s="134">
        <f t="shared" si="16"/>
        <v>1922170.4740124999</v>
      </c>
      <c r="N57" s="134">
        <f t="shared" si="16"/>
        <v>2056722.4071933748</v>
      </c>
    </row>
    <row r="58" spans="1:14" s="24" customFormat="1" x14ac:dyDescent="0.25">
      <c r="A58" s="20"/>
      <c r="B58" s="20"/>
      <c r="C58" s="21"/>
      <c r="D58" s="22"/>
      <c r="E58" s="22"/>
      <c r="F58" s="22"/>
      <c r="G58" s="22"/>
      <c r="H58" s="22"/>
      <c r="I58" s="22"/>
      <c r="J58" s="27">
        <f t="shared" si="12"/>
        <v>0</v>
      </c>
      <c r="K58" s="27"/>
      <c r="L58" s="22"/>
      <c r="M58" s="134"/>
      <c r="N58" s="132"/>
    </row>
    <row r="59" spans="1:14" s="24" customFormat="1" x14ac:dyDescent="0.25">
      <c r="A59" s="20"/>
      <c r="B59" s="20"/>
      <c r="C59" s="21" t="s">
        <v>241</v>
      </c>
      <c r="D59" s="22"/>
      <c r="E59" s="22"/>
      <c r="F59" s="22"/>
      <c r="G59" s="22"/>
      <c r="H59" s="22"/>
      <c r="I59" s="22"/>
      <c r="J59" s="27">
        <f t="shared" si="12"/>
        <v>0</v>
      </c>
      <c r="K59" s="27"/>
      <c r="L59" s="22"/>
      <c r="M59" s="134"/>
      <c r="N59" s="132"/>
    </row>
    <row r="60" spans="1:14" s="24" customFormat="1" x14ac:dyDescent="0.25">
      <c r="A60" s="20"/>
      <c r="B60" s="20"/>
      <c r="C60" s="21"/>
      <c r="D60" s="22"/>
      <c r="E60" s="22"/>
      <c r="F60" s="22"/>
      <c r="G60" s="22"/>
      <c r="H60" s="22"/>
      <c r="I60" s="22"/>
      <c r="J60" s="27">
        <f t="shared" si="12"/>
        <v>0</v>
      </c>
      <c r="K60" s="27"/>
      <c r="L60" s="22"/>
      <c r="M60" s="134"/>
      <c r="N60" s="132"/>
    </row>
    <row r="61" spans="1:14" s="28" customFormat="1" ht="14.25" x14ac:dyDescent="0.2">
      <c r="A61" s="25" t="s">
        <v>499</v>
      </c>
      <c r="B61" s="25"/>
      <c r="C61" s="26" t="s">
        <v>242</v>
      </c>
      <c r="D61" s="27">
        <f t="shared" ref="D61:D66" si="17">VLOOKUP(A61,fin,3,FALSE)</f>
        <v>84029</v>
      </c>
      <c r="E61" s="27">
        <v>0</v>
      </c>
      <c r="F61" s="27">
        <v>0</v>
      </c>
      <c r="G61" s="27">
        <v>0</v>
      </c>
      <c r="H61" s="27">
        <v>928990</v>
      </c>
      <c r="I61" s="27">
        <v>0</v>
      </c>
      <c r="J61" s="27">
        <f t="shared" si="12"/>
        <v>-60000</v>
      </c>
      <c r="K61" s="27">
        <f t="shared" ref="K61:K66" si="18">VLOOKUP(A61,fin,4,FALSE)</f>
        <v>24029</v>
      </c>
      <c r="L61" s="27">
        <f>K61*4.5/100+K61</f>
        <v>25110.305</v>
      </c>
      <c r="M61" s="107">
        <f>L61*4.6/100+L61</f>
        <v>26265.37903</v>
      </c>
      <c r="N61" s="133">
        <f>M61*4.6/100+M61</f>
        <v>27473.586465380002</v>
      </c>
    </row>
    <row r="62" spans="1:14" s="28" customFormat="1" ht="14.25" x14ac:dyDescent="0.2">
      <c r="A62" s="25" t="s">
        <v>500</v>
      </c>
      <c r="B62" s="25"/>
      <c r="C62" s="26" t="s">
        <v>253</v>
      </c>
      <c r="D62" s="27">
        <f t="shared" si="17"/>
        <v>2000</v>
      </c>
      <c r="E62" s="27">
        <v>0</v>
      </c>
      <c r="F62" s="27">
        <v>0</v>
      </c>
      <c r="G62" s="27">
        <v>0</v>
      </c>
      <c r="H62" s="27">
        <v>928990</v>
      </c>
      <c r="I62" s="27">
        <v>0</v>
      </c>
      <c r="J62" s="27">
        <f t="shared" si="12"/>
        <v>0</v>
      </c>
      <c r="K62" s="27">
        <f t="shared" si="18"/>
        <v>2000</v>
      </c>
      <c r="L62" s="27">
        <f>VLOOKUP(A62,fin,5,FALSE)</f>
        <v>2000</v>
      </c>
      <c r="M62" s="107">
        <f>VLOOKUP(A62,fin,6,FALSE)</f>
        <v>2000</v>
      </c>
      <c r="N62" s="133">
        <v>2000</v>
      </c>
    </row>
    <row r="63" spans="1:14" s="28" customFormat="1" ht="14.25" x14ac:dyDescent="0.2">
      <c r="A63" s="25" t="s">
        <v>501</v>
      </c>
      <c r="B63" s="25"/>
      <c r="C63" s="26" t="s">
        <v>258</v>
      </c>
      <c r="D63" s="27">
        <f t="shared" si="17"/>
        <v>480000</v>
      </c>
      <c r="E63" s="27">
        <v>0</v>
      </c>
      <c r="F63" s="27">
        <v>0</v>
      </c>
      <c r="G63" s="27">
        <v>0</v>
      </c>
      <c r="H63" s="27">
        <v>928990</v>
      </c>
      <c r="I63" s="27">
        <v>0</v>
      </c>
      <c r="J63" s="27">
        <f t="shared" si="12"/>
        <v>0</v>
      </c>
      <c r="K63" s="27">
        <f t="shared" si="18"/>
        <v>480000</v>
      </c>
      <c r="L63" s="27">
        <v>0</v>
      </c>
      <c r="M63" s="107">
        <v>0</v>
      </c>
      <c r="N63" s="133">
        <v>0</v>
      </c>
    </row>
    <row r="64" spans="1:14" s="28" customFormat="1" ht="14.25" x14ac:dyDescent="0.2">
      <c r="A64" s="25" t="s">
        <v>502</v>
      </c>
      <c r="B64" s="25"/>
      <c r="C64" s="26" t="s">
        <v>265</v>
      </c>
      <c r="D64" s="27">
        <f t="shared" si="17"/>
        <v>64698</v>
      </c>
      <c r="E64" s="27">
        <v>0</v>
      </c>
      <c r="F64" s="27">
        <v>0</v>
      </c>
      <c r="G64" s="27">
        <v>0</v>
      </c>
      <c r="H64" s="27">
        <v>928990</v>
      </c>
      <c r="I64" s="27">
        <v>0</v>
      </c>
      <c r="J64" s="27">
        <f t="shared" si="12"/>
        <v>-50000</v>
      </c>
      <c r="K64" s="27">
        <f t="shared" si="18"/>
        <v>14698</v>
      </c>
      <c r="L64" s="27">
        <f t="shared" ref="L64:L66" si="19">K64*4.5/100+K64</f>
        <v>15359.41</v>
      </c>
      <c r="M64" s="107">
        <f t="shared" ref="M64:N64" si="20">L64*4.6/100+L64</f>
        <v>16065.942859999999</v>
      </c>
      <c r="N64" s="133">
        <f t="shared" si="20"/>
        <v>16804.976231559998</v>
      </c>
    </row>
    <row r="65" spans="1:14" s="28" customFormat="1" ht="14.25" x14ac:dyDescent="0.2">
      <c r="A65" s="25" t="s">
        <v>503</v>
      </c>
      <c r="B65" s="25"/>
      <c r="C65" s="26" t="s">
        <v>268</v>
      </c>
      <c r="D65" s="27">
        <f t="shared" si="17"/>
        <v>156818</v>
      </c>
      <c r="E65" s="27">
        <v>0</v>
      </c>
      <c r="F65" s="27">
        <v>0</v>
      </c>
      <c r="G65" s="27">
        <v>0</v>
      </c>
      <c r="H65" s="27">
        <v>928990</v>
      </c>
      <c r="I65" s="27">
        <v>0</v>
      </c>
      <c r="J65" s="27">
        <f t="shared" si="12"/>
        <v>-49000</v>
      </c>
      <c r="K65" s="27">
        <f t="shared" si="18"/>
        <v>107818</v>
      </c>
      <c r="L65" s="27">
        <f t="shared" si="19"/>
        <v>112669.81</v>
      </c>
      <c r="M65" s="107">
        <f t="shared" ref="M65:N65" si="21">L65*4.6/100+L65</f>
        <v>117852.62126</v>
      </c>
      <c r="N65" s="133">
        <f t="shared" si="21"/>
        <v>123273.84183796</v>
      </c>
    </row>
    <row r="66" spans="1:14" s="28" customFormat="1" ht="14.25" x14ac:dyDescent="0.2">
      <c r="A66" s="25" t="s">
        <v>504</v>
      </c>
      <c r="B66" s="25"/>
      <c r="C66" s="26" t="s">
        <v>269</v>
      </c>
      <c r="D66" s="27">
        <f t="shared" si="17"/>
        <v>50000</v>
      </c>
      <c r="E66" s="27">
        <v>0</v>
      </c>
      <c r="F66" s="27">
        <v>0</v>
      </c>
      <c r="G66" s="27">
        <v>0</v>
      </c>
      <c r="H66" s="27">
        <v>928990</v>
      </c>
      <c r="I66" s="27">
        <v>0</v>
      </c>
      <c r="J66" s="27">
        <f t="shared" si="12"/>
        <v>-30000</v>
      </c>
      <c r="K66" s="27">
        <f t="shared" si="18"/>
        <v>20000</v>
      </c>
      <c r="L66" s="27">
        <f t="shared" si="19"/>
        <v>20900</v>
      </c>
      <c r="M66" s="107">
        <f t="shared" ref="M66:N66" si="22">L66*4.6/100+L66</f>
        <v>21861.4</v>
      </c>
      <c r="N66" s="133">
        <f t="shared" si="22"/>
        <v>22867.024400000002</v>
      </c>
    </row>
    <row r="67" spans="1:14" s="28" customFormat="1" ht="14.25" x14ac:dyDescent="0.2">
      <c r="A67" s="25"/>
      <c r="B67" s="25"/>
      <c r="C67" s="26"/>
      <c r="D67" s="27"/>
      <c r="E67" s="27"/>
      <c r="F67" s="27"/>
      <c r="G67" s="27"/>
      <c r="H67" s="27"/>
      <c r="I67" s="27"/>
      <c r="J67" s="27">
        <f t="shared" si="12"/>
        <v>0</v>
      </c>
      <c r="K67" s="27"/>
      <c r="L67" s="27"/>
      <c r="M67" s="107"/>
      <c r="N67" s="133"/>
    </row>
    <row r="68" spans="1:14" s="24" customFormat="1" x14ac:dyDescent="0.25">
      <c r="A68" s="20"/>
      <c r="B68" s="20"/>
      <c r="C68" s="21" t="s">
        <v>274</v>
      </c>
      <c r="D68" s="22">
        <f>SUM(D61:D67)</f>
        <v>837545</v>
      </c>
      <c r="E68" s="22">
        <f>SUM(E61:E67)</f>
        <v>0</v>
      </c>
      <c r="F68" s="22">
        <f>SUM(F61:F67)</f>
        <v>0</v>
      </c>
      <c r="G68" s="22">
        <f>SUM(G61:G67)</f>
        <v>0</v>
      </c>
      <c r="H68" s="22">
        <f>SUM(H61:H67)</f>
        <v>5573940</v>
      </c>
      <c r="I68" s="22">
        <v>18.190000000000001</v>
      </c>
      <c r="J68" s="27">
        <f t="shared" si="12"/>
        <v>-189000</v>
      </c>
      <c r="K68" s="22">
        <f>SUM(K61:K67)</f>
        <v>648545</v>
      </c>
      <c r="L68" s="22">
        <f>SUM(L61:L67)</f>
        <v>176039.52499999999</v>
      </c>
      <c r="M68" s="134">
        <f>SUM(M61:M67)</f>
        <v>184045.34315</v>
      </c>
      <c r="N68" s="134">
        <f>SUM(N61:N67)</f>
        <v>192419.4289349</v>
      </c>
    </row>
    <row r="69" spans="1:14" s="28" customFormat="1" ht="14.25" x14ac:dyDescent="0.2">
      <c r="A69" s="25"/>
      <c r="B69" s="25"/>
      <c r="C69" s="26"/>
      <c r="D69" s="27"/>
      <c r="E69" s="27"/>
      <c r="F69" s="27"/>
      <c r="G69" s="27"/>
      <c r="H69" s="27"/>
      <c r="I69" s="27"/>
      <c r="J69" s="27">
        <f t="shared" si="12"/>
        <v>0</v>
      </c>
      <c r="K69" s="27"/>
      <c r="L69" s="27"/>
      <c r="M69" s="107"/>
      <c r="N69" s="133"/>
    </row>
    <row r="70" spans="1:14" s="24" customFormat="1" x14ac:dyDescent="0.25">
      <c r="A70" s="20"/>
      <c r="B70" s="20"/>
      <c r="C70" s="21" t="s">
        <v>290</v>
      </c>
      <c r="D70" s="22"/>
      <c r="E70" s="22"/>
      <c r="F70" s="22"/>
      <c r="G70" s="22"/>
      <c r="H70" s="22"/>
      <c r="I70" s="22"/>
      <c r="J70" s="27">
        <f t="shared" si="12"/>
        <v>0</v>
      </c>
      <c r="K70" s="27"/>
      <c r="L70" s="22"/>
      <c r="M70" s="134"/>
      <c r="N70" s="132"/>
    </row>
    <row r="71" spans="1:14" s="28" customFormat="1" ht="14.25" x14ac:dyDescent="0.2">
      <c r="A71" s="25"/>
      <c r="B71" s="25"/>
      <c r="C71" s="26"/>
      <c r="D71" s="27"/>
      <c r="E71" s="27"/>
      <c r="F71" s="27"/>
      <c r="G71" s="27"/>
      <c r="H71" s="27"/>
      <c r="I71" s="27"/>
      <c r="J71" s="27">
        <f t="shared" si="12"/>
        <v>0</v>
      </c>
      <c r="K71" s="27"/>
      <c r="L71" s="27"/>
      <c r="M71" s="107"/>
      <c r="N71" s="133"/>
    </row>
    <row r="72" spans="1:14" s="28" customFormat="1" ht="14.25" x14ac:dyDescent="0.2">
      <c r="A72" s="25" t="s">
        <v>505</v>
      </c>
      <c r="B72" s="25"/>
      <c r="C72" s="26" t="s">
        <v>292</v>
      </c>
      <c r="D72" s="27">
        <f>VLOOKUP(A72,fin,3,FALSE)</f>
        <v>549</v>
      </c>
      <c r="E72" s="27">
        <v>0</v>
      </c>
      <c r="F72" s="27">
        <v>0</v>
      </c>
      <c r="G72" s="27">
        <v>0</v>
      </c>
      <c r="H72" s="27">
        <v>928990</v>
      </c>
      <c r="I72" s="27">
        <v>0</v>
      </c>
      <c r="J72" s="27">
        <f t="shared" si="12"/>
        <v>0</v>
      </c>
      <c r="K72" s="27">
        <f>VLOOKUP(A72,fin,4,FALSE)</f>
        <v>549</v>
      </c>
      <c r="L72" s="27">
        <f t="shared" ref="L72:L74" si="23">K72*4.5/100+K72</f>
        <v>573.70500000000004</v>
      </c>
      <c r="M72" s="107">
        <f t="shared" ref="M72:N72" si="24">L72*4.6/100+L72</f>
        <v>600.09543000000008</v>
      </c>
      <c r="N72" s="133">
        <f t="shared" si="24"/>
        <v>627.6998197800001</v>
      </c>
    </row>
    <row r="73" spans="1:14" s="28" customFormat="1" ht="14.25" x14ac:dyDescent="0.2">
      <c r="A73" s="25" t="s">
        <v>506</v>
      </c>
      <c r="B73" s="25"/>
      <c r="C73" s="26" t="s">
        <v>293</v>
      </c>
      <c r="D73" s="27">
        <f>VLOOKUP(A73,fin,3,FALSE)</f>
        <v>12600</v>
      </c>
      <c r="E73" s="27">
        <v>0</v>
      </c>
      <c r="F73" s="27">
        <v>0</v>
      </c>
      <c r="G73" s="27">
        <v>0</v>
      </c>
      <c r="H73" s="27">
        <v>928990</v>
      </c>
      <c r="I73" s="27">
        <v>0</v>
      </c>
      <c r="J73" s="27">
        <f t="shared" si="12"/>
        <v>0</v>
      </c>
      <c r="K73" s="27">
        <f>VLOOKUP(A73,fin,4,FALSE)</f>
        <v>12600</v>
      </c>
      <c r="L73" s="27">
        <f t="shared" si="23"/>
        <v>13167</v>
      </c>
      <c r="M73" s="107">
        <f t="shared" ref="M73:N73" si="25">L73*4.6/100+L73</f>
        <v>13772.682000000001</v>
      </c>
      <c r="N73" s="133">
        <f t="shared" si="25"/>
        <v>14406.225372000001</v>
      </c>
    </row>
    <row r="74" spans="1:14" s="28" customFormat="1" ht="14.25" x14ac:dyDescent="0.2">
      <c r="A74" s="25" t="s">
        <v>507</v>
      </c>
      <c r="B74" s="25"/>
      <c r="C74" s="26" t="s">
        <v>300</v>
      </c>
      <c r="D74" s="27">
        <f>VLOOKUP(A74,fin,3,FALSE)</f>
        <v>22976</v>
      </c>
      <c r="E74" s="27">
        <v>0</v>
      </c>
      <c r="F74" s="27">
        <v>0</v>
      </c>
      <c r="G74" s="27">
        <v>0</v>
      </c>
      <c r="H74" s="27">
        <v>928990</v>
      </c>
      <c r="I74" s="27">
        <v>0</v>
      </c>
      <c r="J74" s="27">
        <f t="shared" ref="J74:J99" si="26">+K74-D74</f>
        <v>0</v>
      </c>
      <c r="K74" s="27">
        <f>VLOOKUP(A74,fin,4,FALSE)</f>
        <v>22976</v>
      </c>
      <c r="L74" s="27">
        <f t="shared" si="23"/>
        <v>24009.919999999998</v>
      </c>
      <c r="M74" s="107">
        <f t="shared" ref="M74:N74" si="27">L74*4.6/100+L74</f>
        <v>25114.376319999999</v>
      </c>
      <c r="N74" s="133">
        <f t="shared" si="27"/>
        <v>26269.637630720001</v>
      </c>
    </row>
    <row r="75" spans="1:14" s="28" customFormat="1" ht="14.25" x14ac:dyDescent="0.2">
      <c r="A75" s="25"/>
      <c r="B75" s="25"/>
      <c r="C75" s="26"/>
      <c r="D75" s="27"/>
      <c r="E75" s="27"/>
      <c r="F75" s="27"/>
      <c r="G75" s="27"/>
      <c r="H75" s="27"/>
      <c r="I75" s="27"/>
      <c r="J75" s="27">
        <f t="shared" si="26"/>
        <v>0</v>
      </c>
      <c r="K75" s="27"/>
      <c r="L75" s="27"/>
      <c r="M75" s="107"/>
      <c r="N75" s="133"/>
    </row>
    <row r="76" spans="1:14" s="24" customFormat="1" x14ac:dyDescent="0.25">
      <c r="A76" s="20"/>
      <c r="B76" s="20"/>
      <c r="C76" s="21" t="s">
        <v>304</v>
      </c>
      <c r="D76" s="22">
        <f>SUM(D72:D75)</f>
        <v>36125</v>
      </c>
      <c r="E76" s="22">
        <f>SUM(E72:E75)</f>
        <v>0</v>
      </c>
      <c r="F76" s="22">
        <f>SUM(F72:F75)</f>
        <v>0</v>
      </c>
      <c r="G76" s="22">
        <f>SUM(G72:G75)</f>
        <v>0</v>
      </c>
      <c r="H76" s="22">
        <f>SUM(H72:H75)</f>
        <v>2786970</v>
      </c>
      <c r="I76" s="22">
        <v>25.47</v>
      </c>
      <c r="J76" s="27">
        <f t="shared" si="26"/>
        <v>0</v>
      </c>
      <c r="K76" s="22">
        <f>SUM(K72:K75)</f>
        <v>36125</v>
      </c>
      <c r="L76" s="22">
        <f>SUM(L72:L75)</f>
        <v>37750.625</v>
      </c>
      <c r="M76" s="134">
        <f>SUM(M72:M75)</f>
        <v>39487.153749999998</v>
      </c>
      <c r="N76" s="134">
        <f>SUM(N72:N75)</f>
        <v>41303.562822500004</v>
      </c>
    </row>
    <row r="77" spans="1:14" s="24" customFormat="1" x14ac:dyDescent="0.25">
      <c r="A77" s="20"/>
      <c r="B77" s="20"/>
      <c r="C77" s="21"/>
      <c r="D77" s="22"/>
      <c r="E77" s="22"/>
      <c r="F77" s="22"/>
      <c r="G77" s="22"/>
      <c r="H77" s="22"/>
      <c r="I77" s="22"/>
      <c r="J77" s="27">
        <f t="shared" si="26"/>
        <v>0</v>
      </c>
      <c r="K77" s="22"/>
      <c r="L77" s="22"/>
      <c r="M77" s="134"/>
      <c r="N77" s="132"/>
    </row>
    <row r="78" spans="1:14" s="24" customFormat="1" x14ac:dyDescent="0.25">
      <c r="A78" s="20"/>
      <c r="B78" s="20"/>
      <c r="C78" s="21" t="s">
        <v>305</v>
      </c>
      <c r="D78" s="22">
        <f>D57+D68+D76</f>
        <v>3122838</v>
      </c>
      <c r="E78" s="22">
        <f t="shared" ref="E78:N78" si="28">E57+E68+E76</f>
        <v>0</v>
      </c>
      <c r="F78" s="22">
        <f t="shared" si="28"/>
        <v>0</v>
      </c>
      <c r="G78" s="22">
        <f t="shared" si="28"/>
        <v>0</v>
      </c>
      <c r="H78" s="22">
        <f t="shared" si="28"/>
        <v>28798690</v>
      </c>
      <c r="I78" s="22">
        <v>27.76</v>
      </c>
      <c r="J78" s="27">
        <f t="shared" si="26"/>
        <v>-747418.81999999983</v>
      </c>
      <c r="K78" s="22">
        <f t="shared" si="28"/>
        <v>2375419.1800000002</v>
      </c>
      <c r="L78" s="22">
        <f t="shared" si="28"/>
        <v>2010211.1537500001</v>
      </c>
      <c r="M78" s="134">
        <f t="shared" si="28"/>
        <v>2145702.9709124998</v>
      </c>
      <c r="N78" s="134">
        <f t="shared" si="28"/>
        <v>2290445.3989507747</v>
      </c>
    </row>
    <row r="79" spans="1:14" s="24" customFormat="1" x14ac:dyDescent="0.25">
      <c r="A79" s="20"/>
      <c r="B79" s="20"/>
      <c r="C79" s="21"/>
      <c r="D79" s="22"/>
      <c r="E79" s="22"/>
      <c r="F79" s="22"/>
      <c r="G79" s="22"/>
      <c r="H79" s="22"/>
      <c r="I79" s="22"/>
      <c r="J79" s="27">
        <f t="shared" si="26"/>
        <v>0</v>
      </c>
      <c r="K79" s="22"/>
      <c r="L79" s="22"/>
      <c r="M79" s="134"/>
      <c r="N79" s="132"/>
    </row>
    <row r="80" spans="1:14" s="24" customFormat="1" x14ac:dyDescent="0.25">
      <c r="A80" s="20"/>
      <c r="B80" s="20"/>
      <c r="C80" s="21" t="s">
        <v>306</v>
      </c>
      <c r="D80" s="22">
        <f>D78</f>
        <v>3122838</v>
      </c>
      <c r="E80" s="22">
        <f t="shared" ref="E80:N80" si="29">E78</f>
        <v>0</v>
      </c>
      <c r="F80" s="22">
        <f t="shared" si="29"/>
        <v>0</v>
      </c>
      <c r="G80" s="22">
        <f t="shared" si="29"/>
        <v>0</v>
      </c>
      <c r="H80" s="22">
        <f t="shared" si="29"/>
        <v>28798690</v>
      </c>
      <c r="I80" s="22">
        <v>27.76</v>
      </c>
      <c r="J80" s="27">
        <f t="shared" si="26"/>
        <v>-747418.81999999983</v>
      </c>
      <c r="K80" s="22">
        <f t="shared" si="29"/>
        <v>2375419.1800000002</v>
      </c>
      <c r="L80" s="22">
        <f t="shared" si="29"/>
        <v>2010211.1537500001</v>
      </c>
      <c r="M80" s="134">
        <f t="shared" si="29"/>
        <v>2145702.9709124998</v>
      </c>
      <c r="N80" s="134">
        <f t="shared" si="29"/>
        <v>2290445.3989507747</v>
      </c>
    </row>
    <row r="81" spans="1:14" s="24" customFormat="1" x14ac:dyDescent="0.25">
      <c r="A81" s="20"/>
      <c r="B81" s="20"/>
      <c r="C81" s="21"/>
      <c r="D81" s="22"/>
      <c r="E81" s="22"/>
      <c r="F81" s="22"/>
      <c r="G81" s="22"/>
      <c r="H81" s="22"/>
      <c r="I81" s="22"/>
      <c r="J81" s="27">
        <f t="shared" si="26"/>
        <v>0</v>
      </c>
      <c r="K81" s="27"/>
      <c r="L81" s="22"/>
      <c r="M81" s="134"/>
      <c r="N81" s="132"/>
    </row>
    <row r="82" spans="1:14" s="24" customFormat="1" x14ac:dyDescent="0.25">
      <c r="A82" s="20"/>
      <c r="B82" s="20"/>
      <c r="C82" s="21" t="s">
        <v>508</v>
      </c>
      <c r="D82" s="22"/>
      <c r="E82" s="22"/>
      <c r="F82" s="22"/>
      <c r="G82" s="22"/>
      <c r="H82" s="22"/>
      <c r="I82" s="22"/>
      <c r="J82" s="27">
        <f t="shared" si="26"/>
        <v>0</v>
      </c>
      <c r="K82" s="27"/>
      <c r="L82" s="22"/>
      <c r="M82" s="134"/>
      <c r="N82" s="132"/>
    </row>
    <row r="83" spans="1:14" s="24" customFormat="1" x14ac:dyDescent="0.25">
      <c r="A83" s="20"/>
      <c r="B83" s="20"/>
      <c r="C83" s="21" t="s">
        <v>9</v>
      </c>
      <c r="D83" s="22"/>
      <c r="E83" s="22"/>
      <c r="F83" s="22"/>
      <c r="G83" s="22"/>
      <c r="H83" s="22"/>
      <c r="I83" s="22"/>
      <c r="J83" s="27">
        <f t="shared" si="26"/>
        <v>0</v>
      </c>
      <c r="K83" s="27"/>
      <c r="L83" s="22"/>
      <c r="M83" s="134"/>
      <c r="N83" s="132"/>
    </row>
    <row r="84" spans="1:14" s="28" customFormat="1" ht="14.25" x14ac:dyDescent="0.2">
      <c r="A84" s="25"/>
      <c r="B84" s="25"/>
      <c r="C84" s="26"/>
      <c r="D84" s="27"/>
      <c r="E84" s="27"/>
      <c r="F84" s="27"/>
      <c r="G84" s="27"/>
      <c r="H84" s="27"/>
      <c r="I84" s="27"/>
      <c r="J84" s="27">
        <f t="shared" si="26"/>
        <v>0</v>
      </c>
      <c r="K84" s="27"/>
      <c r="L84" s="27"/>
      <c r="M84" s="107"/>
      <c r="N84" s="133"/>
    </row>
    <row r="85" spans="1:14" s="24" customFormat="1" x14ac:dyDescent="0.25">
      <c r="A85" s="20"/>
      <c r="B85" s="20"/>
      <c r="C85" s="21" t="s">
        <v>56</v>
      </c>
      <c r="D85" s="22"/>
      <c r="E85" s="22"/>
      <c r="F85" s="22"/>
      <c r="G85" s="22"/>
      <c r="H85" s="22"/>
      <c r="I85" s="22"/>
      <c r="J85" s="27">
        <f t="shared" si="26"/>
        <v>0</v>
      </c>
      <c r="K85" s="27"/>
      <c r="L85" s="22"/>
      <c r="M85" s="134"/>
      <c r="N85" s="132"/>
    </row>
    <row r="86" spans="1:14" s="28" customFormat="1" ht="14.25" x14ac:dyDescent="0.2">
      <c r="A86" s="25"/>
      <c r="B86" s="25"/>
      <c r="C86" s="26"/>
      <c r="D86" s="27"/>
      <c r="E86" s="27"/>
      <c r="F86" s="27"/>
      <c r="G86" s="27"/>
      <c r="H86" s="27"/>
      <c r="I86" s="27"/>
      <c r="J86" s="27">
        <f t="shared" si="26"/>
        <v>0</v>
      </c>
      <c r="K86" s="27"/>
      <c r="L86" s="27"/>
      <c r="M86" s="107"/>
      <c r="N86" s="133"/>
    </row>
    <row r="87" spans="1:14" s="28" customFormat="1" ht="14.25" x14ac:dyDescent="0.2">
      <c r="A87" s="25" t="s">
        <v>509</v>
      </c>
      <c r="B87" s="25"/>
      <c r="C87" s="26" t="s">
        <v>63</v>
      </c>
      <c r="D87" s="27">
        <f>'Revenue per source'!C78</f>
        <v>0</v>
      </c>
      <c r="E87" s="27">
        <f>'Revenue per source'!D78</f>
        <v>-3359.36</v>
      </c>
      <c r="F87" s="27">
        <f>'Revenue per source'!E78</f>
        <v>0</v>
      </c>
      <c r="G87" s="27">
        <f>'Revenue per source'!F78</f>
        <v>-23178.240000000002</v>
      </c>
      <c r="H87" s="27">
        <f>'Revenue per source'!G78</f>
        <v>23178.240000000002</v>
      </c>
      <c r="I87" s="27">
        <f>'Revenue per source'!H78</f>
        <v>0</v>
      </c>
      <c r="J87" s="27">
        <f>'Revenue per source'!I78</f>
        <v>0</v>
      </c>
      <c r="K87" s="27">
        <f>'Revenue per source'!J78</f>
        <v>-50000</v>
      </c>
      <c r="L87" s="27">
        <f>'Revenue per source'!K78</f>
        <v>-52450</v>
      </c>
      <c r="M87" s="27">
        <f>'Revenue per source'!L78</f>
        <v>-54967.6</v>
      </c>
      <c r="N87" s="27">
        <f>'Revenue per source'!M78</f>
        <v>-57606.044799999996</v>
      </c>
    </row>
    <row r="88" spans="1:14" s="28" customFormat="1" ht="14.25" x14ac:dyDescent="0.2">
      <c r="A88" s="25"/>
      <c r="B88" s="25"/>
      <c r="C88" s="26"/>
      <c r="D88" s="27"/>
      <c r="E88" s="27"/>
      <c r="F88" s="27"/>
      <c r="G88" s="27"/>
      <c r="H88" s="27"/>
      <c r="I88" s="27"/>
      <c r="J88" s="27">
        <f t="shared" si="26"/>
        <v>0</v>
      </c>
      <c r="K88" s="27"/>
      <c r="L88" s="27"/>
      <c r="M88" s="107"/>
      <c r="N88" s="133"/>
    </row>
    <row r="89" spans="1:14" s="24" customFormat="1" x14ac:dyDescent="0.25">
      <c r="A89" s="20"/>
      <c r="B89" s="20"/>
      <c r="C89" s="21" t="s">
        <v>64</v>
      </c>
      <c r="D89" s="22">
        <f>SUM(D87:D88)</f>
        <v>0</v>
      </c>
      <c r="E89" s="22">
        <f t="shared" ref="E89:L89" si="30">SUM(E87:E88)</f>
        <v>-3359.36</v>
      </c>
      <c r="F89" s="22">
        <f t="shared" si="30"/>
        <v>0</v>
      </c>
      <c r="G89" s="22">
        <f t="shared" si="30"/>
        <v>-23178.240000000002</v>
      </c>
      <c r="H89" s="22">
        <f t="shared" si="30"/>
        <v>23178.240000000002</v>
      </c>
      <c r="I89" s="22">
        <f t="shared" si="30"/>
        <v>0</v>
      </c>
      <c r="J89" s="22">
        <f t="shared" si="30"/>
        <v>0</v>
      </c>
      <c r="K89" s="22">
        <f t="shared" si="30"/>
        <v>-50000</v>
      </c>
      <c r="L89" s="22">
        <f t="shared" si="30"/>
        <v>-52450</v>
      </c>
      <c r="M89" s="134">
        <f>SUM(M87:M88)</f>
        <v>-54967.6</v>
      </c>
      <c r="N89" s="134">
        <f>SUM(N87:N88)</f>
        <v>-57606.044799999996</v>
      </c>
    </row>
    <row r="90" spans="1:14" s="24" customFormat="1" x14ac:dyDescent="0.25">
      <c r="A90" s="20"/>
      <c r="B90" s="20"/>
      <c r="C90" s="21"/>
      <c r="D90" s="22"/>
      <c r="E90" s="22"/>
      <c r="F90" s="22"/>
      <c r="G90" s="22"/>
      <c r="H90" s="22"/>
      <c r="I90" s="22"/>
      <c r="J90" s="27">
        <f t="shared" si="26"/>
        <v>0</v>
      </c>
      <c r="K90" s="27"/>
      <c r="L90" s="22"/>
      <c r="M90" s="134"/>
      <c r="N90" s="132"/>
    </row>
    <row r="91" spans="1:14" s="24" customFormat="1" x14ac:dyDescent="0.25">
      <c r="A91" s="20"/>
      <c r="B91" s="20"/>
      <c r="C91" s="21" t="s">
        <v>70</v>
      </c>
      <c r="D91" s="22"/>
      <c r="E91" s="22"/>
      <c r="F91" s="22"/>
      <c r="G91" s="22"/>
      <c r="H91" s="22"/>
      <c r="I91" s="22"/>
      <c r="J91" s="27">
        <f t="shared" si="26"/>
        <v>0</v>
      </c>
      <c r="K91" s="27"/>
      <c r="L91" s="22"/>
      <c r="M91" s="134"/>
      <c r="N91" s="132"/>
    </row>
    <row r="92" spans="1:14" s="28" customFormat="1" ht="14.25" x14ac:dyDescent="0.2">
      <c r="A92" s="25"/>
      <c r="B92" s="25"/>
      <c r="C92" s="26"/>
      <c r="D92" s="27"/>
      <c r="E92" s="27"/>
      <c r="F92" s="27"/>
      <c r="G92" s="27"/>
      <c r="H92" s="27"/>
      <c r="I92" s="27"/>
      <c r="J92" s="27">
        <f t="shared" si="26"/>
        <v>0</v>
      </c>
      <c r="K92" s="27"/>
      <c r="L92" s="27"/>
      <c r="M92" s="107"/>
      <c r="N92" s="133"/>
    </row>
    <row r="93" spans="1:14" s="24" customFormat="1" x14ac:dyDescent="0.25">
      <c r="A93" s="20"/>
      <c r="B93" s="20"/>
      <c r="C93" s="21" t="s">
        <v>81</v>
      </c>
      <c r="D93" s="22"/>
      <c r="E93" s="22"/>
      <c r="F93" s="22"/>
      <c r="G93" s="22"/>
      <c r="H93" s="22"/>
      <c r="I93" s="22"/>
      <c r="J93" s="27">
        <f t="shared" si="26"/>
        <v>0</v>
      </c>
      <c r="K93" s="27"/>
      <c r="L93" s="22"/>
      <c r="M93" s="134"/>
      <c r="N93" s="132"/>
    </row>
    <row r="94" spans="1:14" s="28" customFormat="1" ht="14.25" x14ac:dyDescent="0.2">
      <c r="A94" s="25"/>
      <c r="B94" s="25"/>
      <c r="C94" s="26"/>
      <c r="D94" s="27"/>
      <c r="E94" s="27"/>
      <c r="F94" s="27"/>
      <c r="G94" s="27"/>
      <c r="H94" s="27"/>
      <c r="I94" s="27"/>
      <c r="J94" s="27">
        <f t="shared" si="26"/>
        <v>0</v>
      </c>
      <c r="K94" s="27"/>
      <c r="L94" s="27"/>
      <c r="M94" s="107"/>
      <c r="N94" s="133"/>
    </row>
    <row r="95" spans="1:14" s="28" customFormat="1" ht="14.25" x14ac:dyDescent="0.2">
      <c r="A95" s="25" t="s">
        <v>510</v>
      </c>
      <c r="B95" s="25"/>
      <c r="C95" s="26" t="s">
        <v>86</v>
      </c>
      <c r="D95" s="27">
        <f>'Revenue per source'!C119</f>
        <v>-10462</v>
      </c>
      <c r="E95" s="27">
        <f>'Revenue per source'!D119</f>
        <v>0</v>
      </c>
      <c r="F95" s="27">
        <f>'Revenue per source'!E119</f>
        <v>0</v>
      </c>
      <c r="G95" s="27">
        <f>'Revenue per source'!F119</f>
        <v>-9352.99</v>
      </c>
      <c r="H95" s="27">
        <f>'Revenue per source'!G119</f>
        <v>-1109.01</v>
      </c>
      <c r="I95" s="27">
        <f>'Revenue per source'!H119</f>
        <v>89.39</v>
      </c>
      <c r="J95" s="27">
        <f>'Revenue per source'!I119</f>
        <v>0</v>
      </c>
      <c r="K95" s="27">
        <f>'Revenue per source'!J119</f>
        <v>-30462</v>
      </c>
      <c r="L95" s="27">
        <f>'Revenue per source'!K119</f>
        <v>-31832.79</v>
      </c>
      <c r="M95" s="27">
        <f>'Revenue per source'!L119</f>
        <v>-33297.098340000004</v>
      </c>
      <c r="N95" s="27">
        <f>'Revenue per source'!M119</f>
        <v>-34828.764863640004</v>
      </c>
    </row>
    <row r="96" spans="1:14" s="28" customFormat="1" ht="14.25" x14ac:dyDescent="0.2">
      <c r="A96" s="25"/>
      <c r="B96" s="25"/>
      <c r="C96" s="26"/>
      <c r="D96" s="27"/>
      <c r="E96" s="27"/>
      <c r="F96" s="27"/>
      <c r="G96" s="27"/>
      <c r="H96" s="27"/>
      <c r="I96" s="27"/>
      <c r="J96" s="27"/>
      <c r="K96" s="27"/>
      <c r="L96" s="27"/>
      <c r="M96" s="107"/>
      <c r="N96" s="133"/>
    </row>
    <row r="97" spans="1:14" s="24" customFormat="1" x14ac:dyDescent="0.25">
      <c r="A97" s="20"/>
      <c r="B97" s="20"/>
      <c r="C97" s="21" t="s">
        <v>90</v>
      </c>
      <c r="D97" s="22">
        <f>SUM(D95:D96)</f>
        <v>-10462</v>
      </c>
      <c r="E97" s="22">
        <f>SUM(E95:E96)</f>
        <v>0</v>
      </c>
      <c r="F97" s="22">
        <f>SUM(F95:F96)</f>
        <v>0</v>
      </c>
      <c r="G97" s="22">
        <f>SUM(G95:G96)</f>
        <v>-9352.99</v>
      </c>
      <c r="H97" s="22">
        <f>SUM(H95:H96)</f>
        <v>-1109.01</v>
      </c>
      <c r="I97" s="22">
        <v>0</v>
      </c>
      <c r="J97" s="27"/>
      <c r="K97" s="22">
        <f>SUM(K95:K96)</f>
        <v>-30462</v>
      </c>
      <c r="L97" s="22">
        <f>SUM(L95:L96)</f>
        <v>-31832.79</v>
      </c>
      <c r="M97" s="22">
        <f>SUM(M95:M96)</f>
        <v>-33297.098340000004</v>
      </c>
      <c r="N97" s="22">
        <f>SUM(N95:N96)</f>
        <v>-34828.764863640004</v>
      </c>
    </row>
    <row r="98" spans="1:14" s="24" customFormat="1" x14ac:dyDescent="0.25">
      <c r="A98" s="20"/>
      <c r="B98" s="20"/>
      <c r="C98" s="21"/>
      <c r="D98" s="22"/>
      <c r="E98" s="22"/>
      <c r="F98" s="22"/>
      <c r="G98" s="22"/>
      <c r="H98" s="22"/>
      <c r="I98" s="22"/>
      <c r="J98" s="27"/>
      <c r="K98" s="22"/>
      <c r="L98" s="22"/>
      <c r="M98" s="134"/>
      <c r="N98" s="132"/>
    </row>
    <row r="99" spans="1:14" s="24" customFormat="1" x14ac:dyDescent="0.25">
      <c r="A99" s="20"/>
      <c r="B99" s="20"/>
      <c r="C99" s="21" t="s">
        <v>95</v>
      </c>
      <c r="D99" s="22">
        <f>D89+D97</f>
        <v>-10462</v>
      </c>
      <c r="E99" s="22">
        <f t="shared" ref="E99:N99" si="31">E89+E97</f>
        <v>-3359.36</v>
      </c>
      <c r="F99" s="22">
        <f t="shared" si="31"/>
        <v>0</v>
      </c>
      <c r="G99" s="22">
        <f t="shared" si="31"/>
        <v>-32531.230000000003</v>
      </c>
      <c r="H99" s="22">
        <f t="shared" si="31"/>
        <v>22069.230000000003</v>
      </c>
      <c r="I99" s="22">
        <v>221.54</v>
      </c>
      <c r="J99" s="27">
        <f t="shared" si="26"/>
        <v>-70000</v>
      </c>
      <c r="K99" s="22">
        <f t="shared" si="31"/>
        <v>-80462</v>
      </c>
      <c r="L99" s="22">
        <f t="shared" si="31"/>
        <v>-84282.790000000008</v>
      </c>
      <c r="M99" s="22">
        <f t="shared" si="31"/>
        <v>-88264.698340000003</v>
      </c>
      <c r="N99" s="22">
        <f t="shared" si="31"/>
        <v>-92434.809663640001</v>
      </c>
    </row>
    <row r="100" spans="1:14" s="24" customFormat="1" x14ac:dyDescent="0.25">
      <c r="A100" s="20"/>
      <c r="B100" s="20"/>
      <c r="C100" s="21"/>
      <c r="D100" s="22"/>
      <c r="E100" s="22"/>
      <c r="F100" s="22"/>
      <c r="G100" s="22"/>
      <c r="H100" s="22"/>
      <c r="I100" s="22"/>
      <c r="J100" s="27"/>
      <c r="K100" s="27"/>
      <c r="L100" s="22"/>
      <c r="M100" s="134"/>
      <c r="N100" s="132"/>
    </row>
    <row r="101" spans="1:14" s="24" customFormat="1" x14ac:dyDescent="0.25">
      <c r="A101" s="20"/>
      <c r="B101" s="20"/>
      <c r="C101" s="21" t="s">
        <v>96</v>
      </c>
      <c r="D101" s="22"/>
      <c r="E101" s="22"/>
      <c r="F101" s="22"/>
      <c r="G101" s="22"/>
      <c r="H101" s="22"/>
      <c r="I101" s="22"/>
      <c r="J101" s="27"/>
      <c r="K101" s="27"/>
      <c r="L101" s="22"/>
      <c r="M101" s="134"/>
      <c r="N101" s="132"/>
    </row>
    <row r="102" spans="1:14" s="24" customFormat="1" x14ac:dyDescent="0.25">
      <c r="A102" s="20"/>
      <c r="B102" s="20"/>
      <c r="C102" s="21" t="s">
        <v>97</v>
      </c>
      <c r="D102" s="22"/>
      <c r="E102" s="22"/>
      <c r="F102" s="22"/>
      <c r="G102" s="22"/>
      <c r="H102" s="22"/>
      <c r="I102" s="22"/>
      <c r="J102" s="27"/>
      <c r="K102" s="27"/>
      <c r="L102" s="22"/>
      <c r="M102" s="134"/>
      <c r="N102" s="132"/>
    </row>
    <row r="103" spans="1:14" s="24" customFormat="1" x14ac:dyDescent="0.25">
      <c r="A103" s="20"/>
      <c r="B103" s="20"/>
      <c r="C103" s="21" t="s">
        <v>148</v>
      </c>
      <c r="D103" s="22"/>
      <c r="E103" s="22"/>
      <c r="F103" s="22"/>
      <c r="G103" s="22"/>
      <c r="H103" s="22"/>
      <c r="I103" s="22"/>
      <c r="J103" s="27"/>
      <c r="K103" s="27"/>
      <c r="L103" s="22"/>
      <c r="M103" s="134"/>
      <c r="N103" s="132"/>
    </row>
    <row r="104" spans="1:14" s="24" customFormat="1" x14ac:dyDescent="0.25">
      <c r="A104" s="20"/>
      <c r="B104" s="20"/>
      <c r="C104" s="21" t="s">
        <v>149</v>
      </c>
      <c r="D104" s="22"/>
      <c r="E104" s="22"/>
      <c r="F104" s="22"/>
      <c r="G104" s="22"/>
      <c r="H104" s="22"/>
      <c r="I104" s="22"/>
      <c r="J104" s="27"/>
      <c r="K104" s="27"/>
      <c r="L104" s="22"/>
      <c r="M104" s="134"/>
      <c r="N104" s="132"/>
    </row>
    <row r="105" spans="1:14" s="24" customFormat="1" x14ac:dyDescent="0.25">
      <c r="A105" s="20"/>
      <c r="B105" s="20"/>
      <c r="C105" s="21"/>
      <c r="D105" s="22"/>
      <c r="E105" s="22"/>
      <c r="F105" s="22"/>
      <c r="G105" s="22"/>
      <c r="H105" s="22"/>
      <c r="I105" s="22"/>
      <c r="J105" s="27"/>
      <c r="K105" s="27"/>
      <c r="L105" s="22"/>
      <c r="M105" s="134"/>
      <c r="N105" s="132"/>
    </row>
    <row r="106" spans="1:14" s="28" customFormat="1" ht="14.25" x14ac:dyDescent="0.2">
      <c r="A106" s="25" t="s">
        <v>511</v>
      </c>
      <c r="B106" s="25"/>
      <c r="C106" s="26" t="s">
        <v>150</v>
      </c>
      <c r="D106" s="27">
        <f t="shared" ref="D106:D114" si="32">VLOOKUP(A106,fin,3,FALSE)</f>
        <v>663000</v>
      </c>
      <c r="E106" s="27">
        <v>0</v>
      </c>
      <c r="F106" s="27">
        <v>0</v>
      </c>
      <c r="G106" s="27">
        <v>0</v>
      </c>
      <c r="H106" s="27">
        <v>928990</v>
      </c>
      <c r="I106" s="27">
        <v>0</v>
      </c>
      <c r="J106" s="27">
        <f t="shared" ref="J106:J137" si="33">+K106-D106</f>
        <v>0</v>
      </c>
      <c r="K106" s="27">
        <f t="shared" ref="K106:K114" si="34">VLOOKUP(A106,fin,4,FALSE)</f>
        <v>663000</v>
      </c>
      <c r="L106" s="27">
        <f t="shared" ref="L106:L114" si="35">K106*6.25/100+K106</f>
        <v>704437.5</v>
      </c>
      <c r="M106" s="107">
        <f>L106*7/100+L106</f>
        <v>753748.125</v>
      </c>
      <c r="N106" s="133">
        <f>M106*7/100+M106</f>
        <v>806510.49375000002</v>
      </c>
    </row>
    <row r="107" spans="1:14" s="28" customFormat="1" ht="14.25" x14ac:dyDescent="0.2">
      <c r="A107" s="25" t="s">
        <v>512</v>
      </c>
      <c r="B107" s="25"/>
      <c r="C107" s="26" t="s">
        <v>151</v>
      </c>
      <c r="D107" s="27">
        <f t="shared" si="32"/>
        <v>29299</v>
      </c>
      <c r="E107" s="27">
        <v>0</v>
      </c>
      <c r="F107" s="27">
        <v>0</v>
      </c>
      <c r="G107" s="27">
        <v>0</v>
      </c>
      <c r="H107" s="27">
        <v>928990</v>
      </c>
      <c r="I107" s="27">
        <v>0</v>
      </c>
      <c r="J107" s="27">
        <f t="shared" si="33"/>
        <v>-20831.909999999996</v>
      </c>
      <c r="K107" s="27">
        <f t="shared" si="34"/>
        <v>8467.0900000000038</v>
      </c>
      <c r="L107" s="27">
        <f t="shared" si="35"/>
        <v>8996.2831250000036</v>
      </c>
      <c r="M107" s="107">
        <f t="shared" ref="M107:N114" si="36">L107*7/100+L107</f>
        <v>9626.0229437500038</v>
      </c>
      <c r="N107" s="133">
        <f t="shared" si="36"/>
        <v>10299.844549812504</v>
      </c>
    </row>
    <row r="108" spans="1:14" s="28" customFormat="1" ht="14.25" x14ac:dyDescent="0.2">
      <c r="A108" s="25" t="s">
        <v>513</v>
      </c>
      <c r="B108" s="25"/>
      <c r="C108" s="26" t="s">
        <v>152</v>
      </c>
      <c r="D108" s="27">
        <f t="shared" si="32"/>
        <v>24000</v>
      </c>
      <c r="E108" s="27">
        <v>0</v>
      </c>
      <c r="F108" s="27">
        <v>0</v>
      </c>
      <c r="G108" s="27">
        <v>0</v>
      </c>
      <c r="H108" s="27">
        <v>928990</v>
      </c>
      <c r="I108" s="27">
        <v>0</v>
      </c>
      <c r="J108" s="27">
        <f t="shared" si="33"/>
        <v>0</v>
      </c>
      <c r="K108" s="27">
        <f t="shared" si="34"/>
        <v>24000</v>
      </c>
      <c r="L108" s="27">
        <f t="shared" si="35"/>
        <v>25500</v>
      </c>
      <c r="M108" s="107">
        <f t="shared" si="36"/>
        <v>27285</v>
      </c>
      <c r="N108" s="133">
        <f t="shared" si="36"/>
        <v>29194.95</v>
      </c>
    </row>
    <row r="109" spans="1:14" s="28" customFormat="1" ht="14.25" x14ac:dyDescent="0.2">
      <c r="A109" s="25" t="s">
        <v>514</v>
      </c>
      <c r="B109" s="25"/>
      <c r="C109" s="26" t="s">
        <v>153</v>
      </c>
      <c r="D109" s="27">
        <f t="shared" si="32"/>
        <v>10893</v>
      </c>
      <c r="E109" s="27">
        <v>0</v>
      </c>
      <c r="F109" s="27">
        <v>0</v>
      </c>
      <c r="G109" s="27">
        <v>0</v>
      </c>
      <c r="H109" s="27">
        <v>928990</v>
      </c>
      <c r="I109" s="27">
        <v>0</v>
      </c>
      <c r="J109" s="27">
        <f t="shared" si="33"/>
        <v>0</v>
      </c>
      <c r="K109" s="27">
        <f t="shared" si="34"/>
        <v>10893</v>
      </c>
      <c r="L109" s="27">
        <f t="shared" si="35"/>
        <v>11573.8125</v>
      </c>
      <c r="M109" s="107">
        <f t="shared" si="36"/>
        <v>12383.979375000001</v>
      </c>
      <c r="N109" s="133">
        <f t="shared" si="36"/>
        <v>13250.857931250001</v>
      </c>
    </row>
    <row r="110" spans="1:14" s="28" customFormat="1" ht="14.25" x14ac:dyDescent="0.2">
      <c r="A110" s="25" t="s">
        <v>515</v>
      </c>
      <c r="B110" s="25"/>
      <c r="C110" s="26" t="s">
        <v>155</v>
      </c>
      <c r="D110" s="27">
        <f t="shared" si="32"/>
        <v>20806</v>
      </c>
      <c r="E110" s="27">
        <v>0</v>
      </c>
      <c r="F110" s="27">
        <v>0</v>
      </c>
      <c r="G110" s="27">
        <v>0</v>
      </c>
      <c r="H110" s="27">
        <v>928990</v>
      </c>
      <c r="I110" s="27">
        <v>0</v>
      </c>
      <c r="J110" s="27">
        <f t="shared" si="33"/>
        <v>101194</v>
      </c>
      <c r="K110" s="27">
        <f t="shared" si="34"/>
        <v>122000</v>
      </c>
      <c r="L110" s="27">
        <f t="shared" si="35"/>
        <v>129625</v>
      </c>
      <c r="M110" s="107">
        <f t="shared" si="36"/>
        <v>138698.75</v>
      </c>
      <c r="N110" s="133">
        <f t="shared" si="36"/>
        <v>148407.66250000001</v>
      </c>
    </row>
    <row r="111" spans="1:14" s="28" customFormat="1" ht="14.25" x14ac:dyDescent="0.2">
      <c r="A111" s="25" t="s">
        <v>516</v>
      </c>
      <c r="B111" s="25"/>
      <c r="C111" s="26" t="s">
        <v>156</v>
      </c>
      <c r="D111" s="27">
        <f t="shared" si="32"/>
        <v>156750</v>
      </c>
      <c r="E111" s="27">
        <v>0</v>
      </c>
      <c r="F111" s="27">
        <v>0</v>
      </c>
      <c r="G111" s="27">
        <v>0</v>
      </c>
      <c r="H111" s="27">
        <v>928990</v>
      </c>
      <c r="I111" s="27">
        <v>0</v>
      </c>
      <c r="J111" s="27">
        <f t="shared" si="33"/>
        <v>0</v>
      </c>
      <c r="K111" s="27">
        <f t="shared" si="34"/>
        <v>156750</v>
      </c>
      <c r="L111" s="27">
        <f t="shared" si="35"/>
        <v>166546.875</v>
      </c>
      <c r="M111" s="107">
        <f t="shared" si="36"/>
        <v>178205.15625</v>
      </c>
      <c r="N111" s="133">
        <f t="shared" si="36"/>
        <v>190679.51718749999</v>
      </c>
    </row>
    <row r="112" spans="1:14" s="28" customFormat="1" ht="14.25" x14ac:dyDescent="0.2">
      <c r="A112" s="25" t="s">
        <v>517</v>
      </c>
      <c r="B112" s="25"/>
      <c r="C112" s="26" t="s">
        <v>158</v>
      </c>
      <c r="D112" s="27">
        <f t="shared" si="32"/>
        <v>12657</v>
      </c>
      <c r="E112" s="27">
        <v>0</v>
      </c>
      <c r="F112" s="27">
        <v>0</v>
      </c>
      <c r="G112" s="27">
        <v>0</v>
      </c>
      <c r="H112" s="27">
        <v>928990</v>
      </c>
      <c r="I112" s="27">
        <v>0</v>
      </c>
      <c r="J112" s="27">
        <f t="shared" si="33"/>
        <v>-12657</v>
      </c>
      <c r="K112" s="27">
        <f t="shared" si="34"/>
        <v>0</v>
      </c>
      <c r="L112" s="27">
        <f t="shared" si="35"/>
        <v>0</v>
      </c>
      <c r="M112" s="107">
        <f t="shared" si="36"/>
        <v>0</v>
      </c>
      <c r="N112" s="133">
        <f t="shared" si="36"/>
        <v>0</v>
      </c>
    </row>
    <row r="113" spans="1:14" s="28" customFormat="1" ht="14.25" x14ac:dyDescent="0.2">
      <c r="A113" s="25" t="s">
        <v>518</v>
      </c>
      <c r="B113" s="25"/>
      <c r="C113" s="26" t="s">
        <v>159</v>
      </c>
      <c r="D113" s="27">
        <f t="shared" si="32"/>
        <v>52250</v>
      </c>
      <c r="E113" s="27">
        <v>0</v>
      </c>
      <c r="F113" s="27">
        <v>0</v>
      </c>
      <c r="G113" s="27">
        <v>0</v>
      </c>
      <c r="H113" s="27">
        <v>928990</v>
      </c>
      <c r="I113" s="27">
        <v>0</v>
      </c>
      <c r="J113" s="27">
        <f t="shared" si="33"/>
        <v>0</v>
      </c>
      <c r="K113" s="27">
        <f t="shared" si="34"/>
        <v>52250</v>
      </c>
      <c r="L113" s="27">
        <f t="shared" si="35"/>
        <v>55515.625</v>
      </c>
      <c r="M113" s="107">
        <f t="shared" si="36"/>
        <v>59401.71875</v>
      </c>
      <c r="N113" s="133">
        <f t="shared" si="36"/>
        <v>63559.839062500003</v>
      </c>
    </row>
    <row r="114" spans="1:14" s="28" customFormat="1" ht="14.25" x14ac:dyDescent="0.2">
      <c r="A114" s="25" t="s">
        <v>519</v>
      </c>
      <c r="B114" s="25"/>
      <c r="C114" s="26" t="s">
        <v>164</v>
      </c>
      <c r="D114" s="27">
        <f t="shared" si="32"/>
        <v>15692</v>
      </c>
      <c r="E114" s="27">
        <v>0</v>
      </c>
      <c r="F114" s="27">
        <v>0</v>
      </c>
      <c r="G114" s="27">
        <v>0</v>
      </c>
      <c r="H114" s="27">
        <v>928990</v>
      </c>
      <c r="I114" s="27">
        <v>0</v>
      </c>
      <c r="J114" s="27">
        <f t="shared" si="33"/>
        <v>0</v>
      </c>
      <c r="K114" s="27">
        <f t="shared" si="34"/>
        <v>15692</v>
      </c>
      <c r="L114" s="27">
        <f t="shared" si="35"/>
        <v>16672.75</v>
      </c>
      <c r="M114" s="107">
        <f t="shared" si="36"/>
        <v>17839.842499999999</v>
      </c>
      <c r="N114" s="133">
        <f t="shared" si="36"/>
        <v>19088.631474999998</v>
      </c>
    </row>
    <row r="115" spans="1:14" s="28" customFormat="1" x14ac:dyDescent="0.25">
      <c r="A115" s="25"/>
      <c r="B115" s="25"/>
      <c r="C115" s="26"/>
      <c r="D115" s="27"/>
      <c r="E115" s="27"/>
      <c r="F115" s="27"/>
      <c r="G115" s="27"/>
      <c r="H115" s="27"/>
      <c r="I115" s="27"/>
      <c r="J115" s="27">
        <f t="shared" si="33"/>
        <v>0</v>
      </c>
      <c r="K115" s="27"/>
      <c r="L115" s="22"/>
      <c r="M115" s="134"/>
      <c r="N115" s="133"/>
    </row>
    <row r="116" spans="1:14" s="24" customFormat="1" x14ac:dyDescent="0.25">
      <c r="A116" s="20"/>
      <c r="B116" s="20"/>
      <c r="C116" s="21" t="s">
        <v>165</v>
      </c>
      <c r="D116" s="22">
        <f>SUM(D106:D115)</f>
        <v>985347</v>
      </c>
      <c r="E116" s="22">
        <v>78342.05</v>
      </c>
      <c r="F116" s="22">
        <v>0</v>
      </c>
      <c r="G116" s="22">
        <v>442716.85</v>
      </c>
      <c r="H116" s="22">
        <v>542630.15</v>
      </c>
      <c r="I116" s="22">
        <v>44.93</v>
      </c>
      <c r="J116" s="27">
        <f t="shared" si="33"/>
        <v>67705.089999999851</v>
      </c>
      <c r="K116" s="22">
        <f>SUM(K106:K115)</f>
        <v>1053052.0899999999</v>
      </c>
      <c r="L116" s="22">
        <f>SUM(L106:L115)</f>
        <v>1118867.8456250001</v>
      </c>
      <c r="M116" s="134">
        <f>SUM(M106:M115)</f>
        <v>1197188.5948187502</v>
      </c>
      <c r="N116" s="134">
        <f>SUM(N106:N115)</f>
        <v>1280991.7964560625</v>
      </c>
    </row>
    <row r="117" spans="1:14" s="24" customFormat="1" x14ac:dyDescent="0.25">
      <c r="A117" s="20"/>
      <c r="B117" s="20"/>
      <c r="C117" s="21"/>
      <c r="D117" s="22"/>
      <c r="E117" s="22"/>
      <c r="F117" s="22"/>
      <c r="G117" s="22"/>
      <c r="H117" s="22"/>
      <c r="I117" s="22"/>
      <c r="J117" s="27">
        <f t="shared" si="33"/>
        <v>0</v>
      </c>
      <c r="K117" s="27"/>
      <c r="L117" s="152"/>
      <c r="M117" s="152"/>
      <c r="N117" s="132"/>
    </row>
    <row r="118" spans="1:14" s="24" customFormat="1" x14ac:dyDescent="0.25">
      <c r="A118" s="20"/>
      <c r="B118" s="20"/>
      <c r="C118" s="21" t="s">
        <v>166</v>
      </c>
      <c r="D118" s="22"/>
      <c r="E118" s="22"/>
      <c r="F118" s="22"/>
      <c r="G118" s="22"/>
      <c r="H118" s="22"/>
      <c r="I118" s="22"/>
      <c r="J118" s="27">
        <f t="shared" si="33"/>
        <v>0</v>
      </c>
      <c r="K118" s="27"/>
      <c r="L118" s="22"/>
      <c r="M118" s="134"/>
      <c r="N118" s="132"/>
    </row>
    <row r="119" spans="1:14" s="28" customFormat="1" ht="14.25" x14ac:dyDescent="0.2">
      <c r="A119" s="25"/>
      <c r="B119" s="25"/>
      <c r="C119" s="26"/>
      <c r="D119" s="27"/>
      <c r="E119" s="27"/>
      <c r="F119" s="27"/>
      <c r="G119" s="27"/>
      <c r="H119" s="27"/>
      <c r="I119" s="27"/>
      <c r="J119" s="27">
        <f t="shared" si="33"/>
        <v>0</v>
      </c>
      <c r="K119" s="27"/>
      <c r="L119" s="27"/>
      <c r="M119" s="107"/>
      <c r="N119" s="133"/>
    </row>
    <row r="120" spans="1:14" s="28" customFormat="1" ht="14.25" x14ac:dyDescent="0.2">
      <c r="A120" s="25" t="s">
        <v>520</v>
      </c>
      <c r="B120" s="25"/>
      <c r="C120" s="26" t="s">
        <v>167</v>
      </c>
      <c r="D120" s="27">
        <f>VLOOKUP(A120,fin,3,FALSE)</f>
        <v>112</v>
      </c>
      <c r="E120" s="27">
        <v>0</v>
      </c>
      <c r="F120" s="27">
        <v>0</v>
      </c>
      <c r="G120" s="27">
        <v>0</v>
      </c>
      <c r="H120" s="27">
        <v>928990</v>
      </c>
      <c r="I120" s="27">
        <v>0</v>
      </c>
      <c r="J120" s="27">
        <f t="shared" si="33"/>
        <v>0</v>
      </c>
      <c r="K120" s="27">
        <f>VLOOKUP(A120,fin,4,FALSE)</f>
        <v>112</v>
      </c>
      <c r="L120" s="27">
        <f t="shared" ref="L120:L123" si="37">K120*6.25/100+K120</f>
        <v>119</v>
      </c>
      <c r="M120" s="107">
        <f t="shared" ref="M120:N123" si="38">L120*7/100+L120</f>
        <v>127.33</v>
      </c>
      <c r="N120" s="133">
        <f t="shared" si="38"/>
        <v>136.2431</v>
      </c>
    </row>
    <row r="121" spans="1:14" s="28" customFormat="1" ht="14.25" x14ac:dyDescent="0.2">
      <c r="A121" s="25" t="s">
        <v>521</v>
      </c>
      <c r="B121" s="25"/>
      <c r="C121" s="26" t="s">
        <v>168</v>
      </c>
      <c r="D121" s="27">
        <f>VLOOKUP(A121,fin,3,FALSE)</f>
        <v>53908</v>
      </c>
      <c r="E121" s="27">
        <v>0</v>
      </c>
      <c r="F121" s="27">
        <v>0</v>
      </c>
      <c r="G121" s="27">
        <v>0</v>
      </c>
      <c r="H121" s="27">
        <v>928990</v>
      </c>
      <c r="I121" s="27">
        <v>0</v>
      </c>
      <c r="J121" s="27">
        <f t="shared" si="33"/>
        <v>0</v>
      </c>
      <c r="K121" s="27">
        <f>VLOOKUP(A121,fin,4,FALSE)</f>
        <v>53908</v>
      </c>
      <c r="L121" s="27">
        <f t="shared" si="37"/>
        <v>57277.25</v>
      </c>
      <c r="M121" s="107">
        <f t="shared" si="38"/>
        <v>61286.657500000001</v>
      </c>
      <c r="N121" s="133">
        <f t="shared" si="38"/>
        <v>65576.723525000009</v>
      </c>
    </row>
    <row r="122" spans="1:14" s="28" customFormat="1" ht="14.25" x14ac:dyDescent="0.2">
      <c r="A122" s="25" t="s">
        <v>522</v>
      </c>
      <c r="B122" s="25"/>
      <c r="C122" s="26" t="s">
        <v>169</v>
      </c>
      <c r="D122" s="27">
        <f>VLOOKUP(A122,fin,3,FALSE)</f>
        <v>137940</v>
      </c>
      <c r="E122" s="27">
        <v>0</v>
      </c>
      <c r="F122" s="27">
        <v>0</v>
      </c>
      <c r="G122" s="27">
        <v>0</v>
      </c>
      <c r="H122" s="27">
        <v>928990</v>
      </c>
      <c r="I122" s="27">
        <v>0</v>
      </c>
      <c r="J122" s="27">
        <f t="shared" si="33"/>
        <v>0</v>
      </c>
      <c r="K122" s="27">
        <f>VLOOKUP(A122,fin,4,FALSE)</f>
        <v>137940</v>
      </c>
      <c r="L122" s="27">
        <f t="shared" si="37"/>
        <v>146561.25</v>
      </c>
      <c r="M122" s="107">
        <f t="shared" si="38"/>
        <v>156820.53750000001</v>
      </c>
      <c r="N122" s="133">
        <f t="shared" si="38"/>
        <v>167797.975125</v>
      </c>
    </row>
    <row r="123" spans="1:14" s="28" customFormat="1" ht="14.25" x14ac:dyDescent="0.2">
      <c r="A123" s="25" t="s">
        <v>523</v>
      </c>
      <c r="B123" s="25"/>
      <c r="C123" s="26" t="s">
        <v>170</v>
      </c>
      <c r="D123" s="27">
        <f>VLOOKUP(A123,fin,3,FALSE)</f>
        <v>3570</v>
      </c>
      <c r="E123" s="27">
        <v>0</v>
      </c>
      <c r="F123" s="27">
        <v>0</v>
      </c>
      <c r="G123" s="27">
        <v>0</v>
      </c>
      <c r="H123" s="27">
        <v>928990</v>
      </c>
      <c r="I123" s="27">
        <v>0</v>
      </c>
      <c r="J123" s="27">
        <f t="shared" si="33"/>
        <v>0</v>
      </c>
      <c r="K123" s="27">
        <f>VLOOKUP(A123,fin,4,FALSE)</f>
        <v>3570</v>
      </c>
      <c r="L123" s="27">
        <f t="shared" si="37"/>
        <v>3793.125</v>
      </c>
      <c r="M123" s="107">
        <f t="shared" si="38"/>
        <v>4058.6437500000002</v>
      </c>
      <c r="N123" s="133">
        <f t="shared" si="38"/>
        <v>4342.7488125</v>
      </c>
    </row>
    <row r="124" spans="1:14" s="28" customFormat="1" ht="14.25" x14ac:dyDescent="0.2">
      <c r="A124" s="25"/>
      <c r="B124" s="25"/>
      <c r="C124" s="26"/>
      <c r="D124" s="27"/>
      <c r="E124" s="27"/>
      <c r="F124" s="27"/>
      <c r="G124" s="27"/>
      <c r="H124" s="27"/>
      <c r="I124" s="27"/>
      <c r="J124" s="27">
        <f t="shared" si="33"/>
        <v>0</v>
      </c>
      <c r="K124" s="27"/>
      <c r="L124" s="27"/>
      <c r="M124" s="107"/>
      <c r="N124" s="133"/>
    </row>
    <row r="125" spans="1:14" s="24" customFormat="1" x14ac:dyDescent="0.25">
      <c r="A125" s="20"/>
      <c r="B125" s="20"/>
      <c r="C125" s="21" t="s">
        <v>171</v>
      </c>
      <c r="D125" s="22">
        <f>SUM(D120:D124)</f>
        <v>195530</v>
      </c>
      <c r="E125" s="22">
        <f>SUM(E120:E124)</f>
        <v>0</v>
      </c>
      <c r="F125" s="22">
        <f>SUM(F120:F124)</f>
        <v>0</v>
      </c>
      <c r="G125" s="22">
        <f>SUM(G120:G124)</f>
        <v>0</v>
      </c>
      <c r="H125" s="22">
        <f>SUM(H120:H124)</f>
        <v>3715960</v>
      </c>
      <c r="I125" s="22">
        <v>50.29</v>
      </c>
      <c r="J125" s="27">
        <f t="shared" si="33"/>
        <v>0</v>
      </c>
      <c r="K125" s="22">
        <f>SUM(K120:K124)</f>
        <v>195530</v>
      </c>
      <c r="L125" s="22">
        <f>SUM(L120:L124)</f>
        <v>207750.625</v>
      </c>
      <c r="M125" s="134">
        <f>SUM(M120:M124)</f>
        <v>222293.16875000001</v>
      </c>
      <c r="N125" s="134">
        <f>SUM(N120:N124)</f>
        <v>237853.69056250001</v>
      </c>
    </row>
    <row r="126" spans="1:14" s="24" customFormat="1" x14ac:dyDescent="0.25">
      <c r="A126" s="20"/>
      <c r="B126" s="20"/>
      <c r="C126" s="21"/>
      <c r="D126" s="22"/>
      <c r="E126" s="22"/>
      <c r="F126" s="22"/>
      <c r="G126" s="22"/>
      <c r="H126" s="22"/>
      <c r="I126" s="22"/>
      <c r="J126" s="27">
        <f t="shared" si="33"/>
        <v>0</v>
      </c>
      <c r="K126" s="27"/>
      <c r="L126" s="22"/>
      <c r="M126" s="134"/>
      <c r="N126" s="132"/>
    </row>
    <row r="127" spans="1:14" s="24" customFormat="1" x14ac:dyDescent="0.25">
      <c r="A127" s="20"/>
      <c r="B127" s="20"/>
      <c r="C127" s="21" t="s">
        <v>172</v>
      </c>
      <c r="D127" s="22"/>
      <c r="E127" s="22"/>
      <c r="F127" s="22"/>
      <c r="G127" s="22"/>
      <c r="H127" s="22"/>
      <c r="I127" s="22"/>
      <c r="J127" s="27">
        <f t="shared" si="33"/>
        <v>0</v>
      </c>
      <c r="K127" s="27"/>
      <c r="L127" s="22"/>
      <c r="M127" s="134"/>
      <c r="N127" s="132"/>
    </row>
    <row r="128" spans="1:14" s="28" customFormat="1" ht="14.25" x14ac:dyDescent="0.2">
      <c r="A128" s="25"/>
      <c r="B128" s="25"/>
      <c r="C128" s="26"/>
      <c r="D128" s="27"/>
      <c r="E128" s="27"/>
      <c r="F128" s="27"/>
      <c r="G128" s="27"/>
      <c r="H128" s="27"/>
      <c r="I128" s="27"/>
      <c r="J128" s="27">
        <f t="shared" si="33"/>
        <v>0</v>
      </c>
      <c r="K128" s="27"/>
      <c r="L128" s="27"/>
      <c r="M128" s="107"/>
      <c r="N128" s="133"/>
    </row>
    <row r="129" spans="1:14" s="28" customFormat="1" ht="14.25" x14ac:dyDescent="0.2">
      <c r="A129" s="25" t="s">
        <v>524</v>
      </c>
      <c r="B129" s="25"/>
      <c r="C129" s="26" t="s">
        <v>173</v>
      </c>
      <c r="D129" s="27">
        <f>VLOOKUP(A129,fin,3,FALSE)</f>
        <v>5543</v>
      </c>
      <c r="E129" s="27">
        <v>0</v>
      </c>
      <c r="F129" s="27">
        <v>0</v>
      </c>
      <c r="G129" s="27">
        <v>0</v>
      </c>
      <c r="H129" s="27">
        <v>928990</v>
      </c>
      <c r="I129" s="27">
        <v>0</v>
      </c>
      <c r="J129" s="27">
        <f t="shared" si="33"/>
        <v>0</v>
      </c>
      <c r="K129" s="27">
        <f>VLOOKUP(A129,fin,4,FALSE)</f>
        <v>5543</v>
      </c>
      <c r="L129" s="27">
        <f t="shared" ref="L129:L131" si="39">K129*6.25/100+K129</f>
        <v>5889.4375</v>
      </c>
      <c r="M129" s="107">
        <f t="shared" ref="M129:N131" si="40">L129*7/100+L129</f>
        <v>6301.6981249999999</v>
      </c>
      <c r="N129" s="133">
        <f t="shared" si="40"/>
        <v>6742.8169937499997</v>
      </c>
    </row>
    <row r="130" spans="1:14" s="28" customFormat="1" ht="14.25" x14ac:dyDescent="0.2">
      <c r="A130" s="25" t="s">
        <v>525</v>
      </c>
      <c r="B130" s="25"/>
      <c r="C130" s="26" t="s">
        <v>174</v>
      </c>
      <c r="D130" s="27">
        <f>VLOOKUP(A130,fin,3,FALSE)</f>
        <v>8283</v>
      </c>
      <c r="E130" s="27">
        <v>0</v>
      </c>
      <c r="F130" s="27">
        <v>0</v>
      </c>
      <c r="G130" s="27">
        <v>0</v>
      </c>
      <c r="H130" s="27">
        <v>928990</v>
      </c>
      <c r="I130" s="27">
        <v>0</v>
      </c>
      <c r="J130" s="27">
        <f t="shared" si="33"/>
        <v>0</v>
      </c>
      <c r="K130" s="27">
        <f>VLOOKUP(A130,fin,4,FALSE)</f>
        <v>8283</v>
      </c>
      <c r="L130" s="27">
        <f t="shared" si="39"/>
        <v>8800.6875</v>
      </c>
      <c r="M130" s="107">
        <f t="shared" si="40"/>
        <v>9416.7356249999993</v>
      </c>
      <c r="N130" s="133">
        <f t="shared" si="40"/>
        <v>10075.907118749999</v>
      </c>
    </row>
    <row r="131" spans="1:14" s="28" customFormat="1" ht="14.25" x14ac:dyDescent="0.2">
      <c r="A131" s="25" t="s">
        <v>526</v>
      </c>
      <c r="B131" s="25"/>
      <c r="C131" s="26" t="s">
        <v>175</v>
      </c>
      <c r="D131" s="27">
        <f>VLOOKUP(A131,fin,3,FALSE)</f>
        <v>10931</v>
      </c>
      <c r="E131" s="27">
        <v>0</v>
      </c>
      <c r="F131" s="27">
        <v>0</v>
      </c>
      <c r="G131" s="27">
        <v>0</v>
      </c>
      <c r="H131" s="27">
        <v>928990</v>
      </c>
      <c r="I131" s="27">
        <v>0</v>
      </c>
      <c r="J131" s="27">
        <f t="shared" si="33"/>
        <v>0</v>
      </c>
      <c r="K131" s="27">
        <f>VLOOKUP(A131,fin,4,FALSE)</f>
        <v>10931</v>
      </c>
      <c r="L131" s="27">
        <f t="shared" si="39"/>
        <v>11614.1875</v>
      </c>
      <c r="M131" s="107">
        <f t="shared" si="40"/>
        <v>12427.180625000001</v>
      </c>
      <c r="N131" s="133">
        <f t="shared" si="40"/>
        <v>13297.083268750001</v>
      </c>
    </row>
    <row r="132" spans="1:14" s="28" customFormat="1" ht="14.25" x14ac:dyDescent="0.2">
      <c r="A132" s="25"/>
      <c r="B132" s="25"/>
      <c r="C132" s="26"/>
      <c r="D132" s="27"/>
      <c r="E132" s="27"/>
      <c r="F132" s="27"/>
      <c r="G132" s="27"/>
      <c r="H132" s="27"/>
      <c r="I132" s="27"/>
      <c r="J132" s="27">
        <f t="shared" si="33"/>
        <v>0</v>
      </c>
      <c r="K132" s="27"/>
      <c r="L132" s="27"/>
      <c r="M132" s="107"/>
      <c r="N132" s="133"/>
    </row>
    <row r="133" spans="1:14" s="24" customFormat="1" x14ac:dyDescent="0.25">
      <c r="A133" s="20"/>
      <c r="B133" s="20"/>
      <c r="C133" s="21" t="s">
        <v>176</v>
      </c>
      <c r="D133" s="22">
        <f>SUM(D129:D132)</f>
        <v>24757</v>
      </c>
      <c r="E133" s="22">
        <f>SUM(E129:E132)</f>
        <v>0</v>
      </c>
      <c r="F133" s="22">
        <f>SUM(F129:F132)</f>
        <v>0</v>
      </c>
      <c r="G133" s="22">
        <f>SUM(G129:G132)</f>
        <v>0</v>
      </c>
      <c r="H133" s="22">
        <f>SUM(H129:H132)</f>
        <v>2786970</v>
      </c>
      <c r="I133" s="22">
        <v>0</v>
      </c>
      <c r="J133" s="27">
        <f t="shared" si="33"/>
        <v>0</v>
      </c>
      <c r="K133" s="22">
        <f>SUM(K129:K132)</f>
        <v>24757</v>
      </c>
      <c r="L133" s="22">
        <f>SUM(L129:L132)</f>
        <v>26304.3125</v>
      </c>
      <c r="M133" s="134">
        <f>SUM(M129:M132)</f>
        <v>28145.614375000001</v>
      </c>
      <c r="N133" s="134">
        <f>SUM(N129:N132)</f>
        <v>30115.807381250001</v>
      </c>
    </row>
    <row r="134" spans="1:14" s="24" customFormat="1" x14ac:dyDescent="0.25">
      <c r="A134" s="20"/>
      <c r="B134" s="20"/>
      <c r="C134" s="21"/>
      <c r="D134" s="22"/>
      <c r="E134" s="22"/>
      <c r="F134" s="22"/>
      <c r="G134" s="22"/>
      <c r="H134" s="22"/>
      <c r="I134" s="22"/>
      <c r="J134" s="27">
        <f t="shared" si="33"/>
        <v>0</v>
      </c>
      <c r="K134" s="22"/>
      <c r="L134" s="22"/>
      <c r="M134" s="134"/>
      <c r="N134" s="132"/>
    </row>
    <row r="135" spans="1:14" s="24" customFormat="1" x14ac:dyDescent="0.25">
      <c r="A135" s="20"/>
      <c r="B135" s="20"/>
      <c r="C135" s="21" t="s">
        <v>177</v>
      </c>
      <c r="D135" s="22">
        <f>D116+D125+D133</f>
        <v>1205634</v>
      </c>
      <c r="E135" s="22">
        <f t="shared" ref="E135:N135" si="41">E116+E125+E133</f>
        <v>78342.05</v>
      </c>
      <c r="F135" s="22">
        <f t="shared" si="41"/>
        <v>0</v>
      </c>
      <c r="G135" s="22">
        <f t="shared" si="41"/>
        <v>442716.85</v>
      </c>
      <c r="H135" s="22">
        <f t="shared" si="41"/>
        <v>7045560.1500000004</v>
      </c>
      <c r="I135" s="22">
        <v>44.87</v>
      </c>
      <c r="J135" s="27">
        <f t="shared" si="33"/>
        <v>67705.089999999851</v>
      </c>
      <c r="K135" s="22">
        <f t="shared" si="41"/>
        <v>1273339.0899999999</v>
      </c>
      <c r="L135" s="22">
        <f t="shared" si="41"/>
        <v>1352922.7831250001</v>
      </c>
      <c r="M135" s="134">
        <f t="shared" si="41"/>
        <v>1447627.37794375</v>
      </c>
      <c r="N135" s="134">
        <f t="shared" si="41"/>
        <v>1548961.2943998124</v>
      </c>
    </row>
    <row r="136" spans="1:14" s="24" customFormat="1" x14ac:dyDescent="0.25">
      <c r="A136" s="20"/>
      <c r="B136" s="20"/>
      <c r="C136" s="21"/>
      <c r="D136" s="22"/>
      <c r="E136" s="22"/>
      <c r="F136" s="22"/>
      <c r="G136" s="22"/>
      <c r="H136" s="22"/>
      <c r="I136" s="22"/>
      <c r="J136" s="27">
        <f t="shared" si="33"/>
        <v>0</v>
      </c>
      <c r="K136" s="22"/>
      <c r="L136" s="22"/>
      <c r="M136" s="134"/>
      <c r="N136" s="132"/>
    </row>
    <row r="137" spans="1:14" s="24" customFormat="1" x14ac:dyDescent="0.25">
      <c r="A137" s="20"/>
      <c r="B137" s="20"/>
      <c r="C137" s="21" t="s">
        <v>178</v>
      </c>
      <c r="D137" s="22">
        <f>D135</f>
        <v>1205634</v>
      </c>
      <c r="E137" s="22">
        <f t="shared" ref="E137:L137" si="42">E135</f>
        <v>78342.05</v>
      </c>
      <c r="F137" s="22">
        <f t="shared" si="42"/>
        <v>0</v>
      </c>
      <c r="G137" s="22">
        <f t="shared" si="42"/>
        <v>442716.85</v>
      </c>
      <c r="H137" s="22">
        <f t="shared" si="42"/>
        <v>7045560.1500000004</v>
      </c>
      <c r="I137" s="22">
        <v>44.87</v>
      </c>
      <c r="J137" s="27">
        <f t="shared" si="33"/>
        <v>67705.089999999851</v>
      </c>
      <c r="K137" s="22">
        <f t="shared" si="42"/>
        <v>1273339.0899999999</v>
      </c>
      <c r="L137" s="22">
        <f t="shared" si="42"/>
        <v>1352922.7831250001</v>
      </c>
      <c r="M137" s="134">
        <f>M135</f>
        <v>1447627.37794375</v>
      </c>
      <c r="N137" s="134">
        <f>N135</f>
        <v>1548961.2943998124</v>
      </c>
    </row>
    <row r="138" spans="1:14" s="24" customFormat="1" x14ac:dyDescent="0.25">
      <c r="A138" s="20"/>
      <c r="B138" s="20"/>
      <c r="C138" s="21"/>
      <c r="D138" s="22"/>
      <c r="E138" s="22"/>
      <c r="F138" s="22"/>
      <c r="G138" s="22"/>
      <c r="H138" s="22"/>
      <c r="I138" s="22"/>
      <c r="J138" s="27">
        <f t="shared" ref="J138:J155" si="43">+K138-D138</f>
        <v>0</v>
      </c>
      <c r="K138" s="27"/>
      <c r="L138" s="22"/>
      <c r="M138" s="134"/>
      <c r="N138" s="132"/>
    </row>
    <row r="139" spans="1:14" s="24" customFormat="1" x14ac:dyDescent="0.25">
      <c r="A139" s="20"/>
      <c r="B139" s="20"/>
      <c r="C139" s="21" t="s">
        <v>208</v>
      </c>
      <c r="D139" s="22"/>
      <c r="E139" s="22"/>
      <c r="F139" s="22"/>
      <c r="G139" s="22"/>
      <c r="H139" s="22"/>
      <c r="I139" s="22"/>
      <c r="J139" s="27">
        <f t="shared" si="43"/>
        <v>0</v>
      </c>
      <c r="K139" s="27"/>
      <c r="L139" s="22"/>
      <c r="M139" s="134"/>
      <c r="N139" s="132"/>
    </row>
    <row r="140" spans="1:14" s="24" customFormat="1" x14ac:dyDescent="0.25">
      <c r="A140" s="20"/>
      <c r="B140" s="20"/>
      <c r="C140" s="21"/>
      <c r="D140" s="22"/>
      <c r="E140" s="22"/>
      <c r="F140" s="22"/>
      <c r="G140" s="22"/>
      <c r="H140" s="22"/>
      <c r="I140" s="22"/>
      <c r="J140" s="27">
        <f t="shared" si="43"/>
        <v>0</v>
      </c>
      <c r="K140" s="27"/>
      <c r="L140" s="22"/>
      <c r="M140" s="134"/>
      <c r="N140" s="132"/>
    </row>
    <row r="141" spans="1:14" s="24" customFormat="1" x14ac:dyDescent="0.25">
      <c r="A141" s="20"/>
      <c r="B141" s="20"/>
      <c r="C141" s="21" t="s">
        <v>209</v>
      </c>
      <c r="D141" s="22"/>
      <c r="E141" s="22"/>
      <c r="F141" s="22"/>
      <c r="G141" s="22"/>
      <c r="H141" s="22"/>
      <c r="I141" s="22"/>
      <c r="J141" s="27">
        <f t="shared" si="43"/>
        <v>0</v>
      </c>
      <c r="K141" s="27"/>
      <c r="L141" s="22"/>
      <c r="M141" s="134"/>
      <c r="N141" s="132"/>
    </row>
    <row r="142" spans="1:14" s="24" customFormat="1" x14ac:dyDescent="0.25">
      <c r="A142" s="20"/>
      <c r="B142" s="20"/>
      <c r="C142" s="21"/>
      <c r="D142" s="22"/>
      <c r="E142" s="22"/>
      <c r="F142" s="22"/>
      <c r="G142" s="22"/>
      <c r="H142" s="22"/>
      <c r="I142" s="22"/>
      <c r="J142" s="27">
        <f t="shared" si="43"/>
        <v>0</v>
      </c>
      <c r="K142" s="27"/>
      <c r="L142" s="22"/>
      <c r="M142" s="134"/>
      <c r="N142" s="132"/>
    </row>
    <row r="143" spans="1:14" s="28" customFormat="1" ht="14.25" x14ac:dyDescent="0.2">
      <c r="A143" s="25" t="s">
        <v>527</v>
      </c>
      <c r="B143" s="25"/>
      <c r="C143" s="26" t="s">
        <v>212</v>
      </c>
      <c r="D143" s="27">
        <f>VLOOKUP(A143,fin,3,FALSE)</f>
        <v>802176</v>
      </c>
      <c r="E143" s="27">
        <v>0</v>
      </c>
      <c r="F143" s="27">
        <v>0</v>
      </c>
      <c r="G143" s="27">
        <v>0</v>
      </c>
      <c r="H143" s="27">
        <v>928990</v>
      </c>
      <c r="I143" s="27">
        <v>0</v>
      </c>
      <c r="J143" s="27">
        <f t="shared" si="43"/>
        <v>-100000</v>
      </c>
      <c r="K143" s="27">
        <f>VLOOKUP(A143,fin,4,FALSE)</f>
        <v>702176</v>
      </c>
      <c r="L143" s="27">
        <f>K143*4.5/100+K143</f>
        <v>733773.92</v>
      </c>
      <c r="M143" s="107">
        <f>L143*4.6/100+L143</f>
        <v>767527.52032000001</v>
      </c>
      <c r="N143" s="133">
        <f>M143*4.6/100+M143</f>
        <v>802833.78625472006</v>
      </c>
    </row>
    <row r="144" spans="1:14" s="28" customFormat="1" ht="14.25" x14ac:dyDescent="0.2">
      <c r="A144" s="25"/>
      <c r="B144" s="25"/>
      <c r="C144" s="26"/>
      <c r="D144" s="27"/>
      <c r="E144" s="27"/>
      <c r="F144" s="27"/>
      <c r="G144" s="27"/>
      <c r="H144" s="27"/>
      <c r="I144" s="27"/>
      <c r="J144" s="27">
        <f t="shared" si="43"/>
        <v>0</v>
      </c>
      <c r="K144" s="27"/>
      <c r="L144" s="27"/>
      <c r="M144" s="107"/>
      <c r="N144" s="133"/>
    </row>
    <row r="145" spans="1:15" s="24" customFormat="1" x14ac:dyDescent="0.25">
      <c r="A145" s="20"/>
      <c r="B145" s="20"/>
      <c r="C145" s="21" t="s">
        <v>217</v>
      </c>
      <c r="D145" s="22">
        <f>SUM(D143:D144)</f>
        <v>802176</v>
      </c>
      <c r="E145" s="22">
        <v>0</v>
      </c>
      <c r="F145" s="22">
        <v>32745</v>
      </c>
      <c r="G145" s="22">
        <v>100692</v>
      </c>
      <c r="H145" s="22">
        <v>701484</v>
      </c>
      <c r="I145" s="22">
        <v>12.55</v>
      </c>
      <c r="J145" s="27">
        <f t="shared" si="43"/>
        <v>-100000</v>
      </c>
      <c r="K145" s="22">
        <f>SUM(K143:K144)</f>
        <v>702176</v>
      </c>
      <c r="L145" s="22">
        <f>SUM(L143:L144)</f>
        <v>733773.92</v>
      </c>
      <c r="M145" s="134">
        <f>SUM(M143:M144)</f>
        <v>767527.52032000001</v>
      </c>
      <c r="N145" s="134">
        <f>SUM(N143:N144)</f>
        <v>802833.78625472006</v>
      </c>
    </row>
    <row r="146" spans="1:15" s="24" customFormat="1" x14ac:dyDescent="0.25">
      <c r="A146" s="20"/>
      <c r="B146" s="20"/>
      <c r="C146" s="21"/>
      <c r="D146" s="22"/>
      <c r="E146" s="22"/>
      <c r="F146" s="22"/>
      <c r="G146" s="22"/>
      <c r="H146" s="22"/>
      <c r="I146" s="22"/>
      <c r="J146" s="27">
        <f t="shared" si="43"/>
        <v>0</v>
      </c>
      <c r="K146" s="27"/>
      <c r="L146" s="22"/>
      <c r="M146" s="134"/>
      <c r="N146" s="132"/>
    </row>
    <row r="147" spans="1:15" s="24" customFormat="1" x14ac:dyDescent="0.25">
      <c r="A147" s="20"/>
      <c r="B147" s="20"/>
      <c r="C147" s="21" t="s">
        <v>218</v>
      </c>
      <c r="D147" s="22"/>
      <c r="E147" s="22"/>
      <c r="F147" s="22"/>
      <c r="G147" s="22"/>
      <c r="H147" s="22"/>
      <c r="I147" s="22"/>
      <c r="J147" s="27">
        <f t="shared" si="43"/>
        <v>0</v>
      </c>
      <c r="K147" s="27"/>
      <c r="L147" s="22"/>
      <c r="M147" s="134"/>
      <c r="N147" s="132"/>
    </row>
    <row r="148" spans="1:15" s="28" customFormat="1" ht="14.25" x14ac:dyDescent="0.2">
      <c r="A148" s="25"/>
      <c r="B148" s="25"/>
      <c r="C148" s="26"/>
      <c r="D148" s="27"/>
      <c r="E148" s="27"/>
      <c r="F148" s="27"/>
      <c r="G148" s="27"/>
      <c r="H148" s="27"/>
      <c r="I148" s="27"/>
      <c r="J148" s="27">
        <f t="shared" si="43"/>
        <v>0</v>
      </c>
      <c r="K148" s="27"/>
      <c r="L148" s="27"/>
      <c r="M148" s="107"/>
      <c r="N148" s="133"/>
    </row>
    <row r="149" spans="1:15" s="28" customFormat="1" ht="14.25" x14ac:dyDescent="0.2">
      <c r="A149" s="25" t="s">
        <v>528</v>
      </c>
      <c r="B149" s="25" t="s">
        <v>1396</v>
      </c>
      <c r="C149" s="26" t="s">
        <v>224</v>
      </c>
      <c r="D149" s="27">
        <f t="shared" ref="D149:D154" si="44">VLOOKUP(A149,fin,3,FALSE)</f>
        <v>1200000</v>
      </c>
      <c r="E149" s="27">
        <v>0</v>
      </c>
      <c r="F149" s="27">
        <v>0</v>
      </c>
      <c r="G149" s="27">
        <v>0</v>
      </c>
      <c r="H149" s="27">
        <v>928990</v>
      </c>
      <c r="I149" s="27">
        <v>0</v>
      </c>
      <c r="J149" s="27">
        <f t="shared" si="43"/>
        <v>-200000</v>
      </c>
      <c r="K149" s="27">
        <f t="shared" ref="K149:K154" si="45">VLOOKUP(A149,fin,4,FALSE)</f>
        <v>1000000</v>
      </c>
      <c r="L149" s="27">
        <f t="shared" ref="L149:L152" si="46">VLOOKUP(A149,fin,5,FALSE)</f>
        <v>0</v>
      </c>
      <c r="M149" s="107">
        <f t="shared" ref="M149:M152" si="47">VLOOKUP(A149,fin,6,FALSE)</f>
        <v>0</v>
      </c>
      <c r="N149" s="133">
        <v>0</v>
      </c>
    </row>
    <row r="150" spans="1:15" s="28" customFormat="1" ht="14.25" x14ac:dyDescent="0.2">
      <c r="A150" s="25" t="s">
        <v>529</v>
      </c>
      <c r="C150" s="26" t="s">
        <v>225</v>
      </c>
      <c r="D150" s="27">
        <f t="shared" si="44"/>
        <v>600000</v>
      </c>
      <c r="E150" s="27">
        <v>0</v>
      </c>
      <c r="F150" s="27">
        <v>0</v>
      </c>
      <c r="G150" s="27">
        <v>0</v>
      </c>
      <c r="H150" s="27">
        <v>928990</v>
      </c>
      <c r="I150" s="27">
        <v>0</v>
      </c>
      <c r="J150" s="27">
        <f t="shared" si="43"/>
        <v>-100000</v>
      </c>
      <c r="K150" s="27">
        <f t="shared" si="45"/>
        <v>500000</v>
      </c>
      <c r="L150" s="27">
        <v>0</v>
      </c>
      <c r="M150" s="107">
        <v>0</v>
      </c>
      <c r="N150" s="133">
        <v>0</v>
      </c>
    </row>
    <row r="151" spans="1:15" s="28" customFormat="1" ht="14.25" x14ac:dyDescent="0.2">
      <c r="A151" s="25" t="s">
        <v>530</v>
      </c>
      <c r="B151" s="25"/>
      <c r="C151" s="26" t="s">
        <v>225</v>
      </c>
      <c r="D151" s="27">
        <f t="shared" si="44"/>
        <v>500000</v>
      </c>
      <c r="E151" s="27">
        <v>0</v>
      </c>
      <c r="F151" s="27">
        <v>0</v>
      </c>
      <c r="G151" s="27">
        <v>0</v>
      </c>
      <c r="H151" s="27">
        <v>928990</v>
      </c>
      <c r="I151" s="27">
        <v>0</v>
      </c>
      <c r="J151" s="27">
        <f t="shared" si="43"/>
        <v>-15000</v>
      </c>
      <c r="K151" s="27">
        <f t="shared" si="45"/>
        <v>485000</v>
      </c>
      <c r="L151" s="27">
        <v>500000</v>
      </c>
      <c r="M151" s="107">
        <v>0</v>
      </c>
      <c r="N151" s="133">
        <v>500000</v>
      </c>
    </row>
    <row r="152" spans="1:15" s="28" customFormat="1" ht="14.25" x14ac:dyDescent="0.2">
      <c r="A152" s="25" t="s">
        <v>531</v>
      </c>
      <c r="B152" s="25"/>
      <c r="C152" s="26" t="s">
        <v>225</v>
      </c>
      <c r="D152" s="27">
        <f t="shared" si="44"/>
        <v>80000</v>
      </c>
      <c r="E152" s="27">
        <v>0</v>
      </c>
      <c r="F152" s="27">
        <v>0</v>
      </c>
      <c r="G152" s="27">
        <v>0</v>
      </c>
      <c r="H152" s="27">
        <v>928990</v>
      </c>
      <c r="I152" s="27">
        <v>0</v>
      </c>
      <c r="J152" s="27">
        <f t="shared" si="43"/>
        <v>0</v>
      </c>
      <c r="K152" s="27">
        <f t="shared" si="45"/>
        <v>80000</v>
      </c>
      <c r="L152" s="27">
        <f t="shared" si="46"/>
        <v>100000</v>
      </c>
      <c r="M152" s="107">
        <f t="shared" si="47"/>
        <v>0</v>
      </c>
      <c r="N152" s="133">
        <v>0</v>
      </c>
    </row>
    <row r="153" spans="1:15" s="28" customFormat="1" ht="14.25" x14ac:dyDescent="0.2">
      <c r="A153" s="25" t="s">
        <v>532</v>
      </c>
      <c r="B153" s="25"/>
      <c r="C153" s="26" t="s">
        <v>225</v>
      </c>
      <c r="D153" s="27">
        <f t="shared" si="44"/>
        <v>1000000</v>
      </c>
      <c r="E153" s="27">
        <v>0</v>
      </c>
      <c r="F153" s="27">
        <v>0</v>
      </c>
      <c r="G153" s="27">
        <v>0</v>
      </c>
      <c r="H153" s="27">
        <v>928990</v>
      </c>
      <c r="I153" s="27">
        <v>0</v>
      </c>
      <c r="J153" s="27">
        <f t="shared" si="43"/>
        <v>-106650</v>
      </c>
      <c r="K153" s="27">
        <f t="shared" si="45"/>
        <v>893350</v>
      </c>
      <c r="L153" s="27">
        <v>540000</v>
      </c>
      <c r="M153" s="107">
        <v>0</v>
      </c>
      <c r="N153" s="133">
        <v>0</v>
      </c>
    </row>
    <row r="154" spans="1:15" s="28" customFormat="1" ht="14.25" x14ac:dyDescent="0.2">
      <c r="A154" s="25" t="s">
        <v>1339</v>
      </c>
      <c r="B154" s="25"/>
      <c r="C154" s="26" t="s">
        <v>225</v>
      </c>
      <c r="D154" s="27">
        <f t="shared" si="44"/>
        <v>0</v>
      </c>
      <c r="E154" s="27">
        <v>0</v>
      </c>
      <c r="F154" s="27">
        <v>0</v>
      </c>
      <c r="G154" s="27">
        <v>0</v>
      </c>
      <c r="H154" s="27">
        <v>928990</v>
      </c>
      <c r="I154" s="27">
        <v>0</v>
      </c>
      <c r="J154" s="27">
        <f t="shared" si="43"/>
        <v>0</v>
      </c>
      <c r="K154" s="27">
        <f t="shared" si="45"/>
        <v>0</v>
      </c>
      <c r="L154" s="27">
        <v>0</v>
      </c>
      <c r="M154" s="107">
        <v>200000</v>
      </c>
      <c r="N154" s="133">
        <v>200000</v>
      </c>
    </row>
    <row r="155" spans="1:15" s="28" customFormat="1" ht="14.25" x14ac:dyDescent="0.2">
      <c r="A155" s="25" t="s">
        <v>2746</v>
      </c>
      <c r="B155" s="25"/>
      <c r="C155" s="26" t="s">
        <v>1340</v>
      </c>
      <c r="D155" s="27"/>
      <c r="E155" s="27"/>
      <c r="F155" s="27"/>
      <c r="G155" s="27"/>
      <c r="H155" s="27"/>
      <c r="I155" s="27"/>
      <c r="J155" s="27">
        <f t="shared" si="43"/>
        <v>0</v>
      </c>
      <c r="K155" s="27">
        <v>0</v>
      </c>
      <c r="L155" s="27">
        <v>180000</v>
      </c>
      <c r="M155" s="107">
        <v>125000</v>
      </c>
      <c r="N155" s="133">
        <v>0</v>
      </c>
    </row>
    <row r="156" spans="1:15" s="28" customFormat="1" ht="14.25" x14ac:dyDescent="0.2">
      <c r="A156" s="25"/>
      <c r="B156" s="25"/>
      <c r="C156" s="26"/>
      <c r="D156" s="27"/>
      <c r="E156" s="27"/>
      <c r="F156" s="27"/>
      <c r="G156" s="27"/>
      <c r="H156" s="27"/>
      <c r="I156" s="27"/>
      <c r="J156" s="27"/>
      <c r="K156" s="27"/>
      <c r="L156" s="27"/>
      <c r="M156" s="107"/>
      <c r="N156" s="133"/>
    </row>
    <row r="157" spans="1:15" s="24" customFormat="1" x14ac:dyDescent="0.25">
      <c r="A157" s="20"/>
      <c r="B157" s="20"/>
      <c r="C157" s="21" t="s">
        <v>227</v>
      </c>
      <c r="D157" s="22">
        <f>SUM(D149:D156)</f>
        <v>3380000</v>
      </c>
      <c r="E157" s="22">
        <f>SUM(E149:E156)</f>
        <v>0</v>
      </c>
      <c r="F157" s="22">
        <f>SUM(F149:F156)</f>
        <v>0</v>
      </c>
      <c r="G157" s="22">
        <f>SUM(G149:G156)</f>
        <v>0</v>
      </c>
      <c r="H157" s="22">
        <f>SUM(H149:H156)</f>
        <v>5573940</v>
      </c>
      <c r="I157" s="22">
        <v>2.5499999999999998</v>
      </c>
      <c r="J157" s="27">
        <f>+K157-D157</f>
        <v>-421650</v>
      </c>
      <c r="K157" s="22">
        <f>SUM(K149:K156)</f>
        <v>2958350</v>
      </c>
      <c r="L157" s="22">
        <f>SUM(L149:L156)</f>
        <v>1320000</v>
      </c>
      <c r="M157" s="134">
        <f>SUM(M149:M156)</f>
        <v>325000</v>
      </c>
      <c r="N157" s="134">
        <f>SUM(N149:N156)</f>
        <v>700000</v>
      </c>
      <c r="O157" s="72"/>
    </row>
    <row r="158" spans="1:15" s="24" customFormat="1" x14ac:dyDescent="0.25">
      <c r="A158" s="20"/>
      <c r="B158" s="20"/>
      <c r="C158" s="21"/>
      <c r="D158" s="22"/>
      <c r="E158" s="22"/>
      <c r="F158" s="22"/>
      <c r="G158" s="22"/>
      <c r="H158" s="22"/>
      <c r="I158" s="22"/>
      <c r="J158" s="27"/>
      <c r="K158" s="27"/>
      <c r="L158" s="22"/>
      <c r="M158" s="134"/>
      <c r="N158" s="132"/>
    </row>
    <row r="159" spans="1:15" s="24" customFormat="1" x14ac:dyDescent="0.25">
      <c r="A159" s="20"/>
      <c r="B159" s="20"/>
      <c r="C159" s="21" t="s">
        <v>228</v>
      </c>
      <c r="D159" s="22"/>
      <c r="E159" s="22"/>
      <c r="F159" s="22"/>
      <c r="G159" s="22"/>
      <c r="H159" s="22"/>
      <c r="I159" s="22"/>
      <c r="J159" s="27">
        <f>+K159-D159</f>
        <v>0</v>
      </c>
      <c r="K159" s="27"/>
      <c r="L159" s="22"/>
      <c r="M159" s="134"/>
      <c r="N159" s="132"/>
    </row>
    <row r="160" spans="1:15" s="28" customFormat="1" ht="14.25" x14ac:dyDescent="0.2">
      <c r="A160" s="25"/>
      <c r="B160" s="25"/>
      <c r="C160" s="26"/>
      <c r="D160" s="27"/>
      <c r="E160" s="27"/>
      <c r="F160" s="27"/>
      <c r="G160" s="27"/>
      <c r="H160" s="27"/>
      <c r="I160" s="27"/>
      <c r="J160" s="27"/>
      <c r="K160" s="27"/>
      <c r="L160" s="27"/>
      <c r="M160" s="107"/>
      <c r="N160" s="133"/>
    </row>
    <row r="161" spans="1:14" s="28" customFormat="1" ht="14.25" x14ac:dyDescent="0.2">
      <c r="A161" s="25" t="s">
        <v>533</v>
      </c>
      <c r="B161" s="25" t="s">
        <v>3057</v>
      </c>
      <c r="C161" s="26" t="s">
        <v>238</v>
      </c>
      <c r="D161" s="27">
        <f>VLOOKUP(A161,fin,3,FALSE)</f>
        <v>74600</v>
      </c>
      <c r="E161" s="27">
        <v>0</v>
      </c>
      <c r="F161" s="27">
        <v>0</v>
      </c>
      <c r="G161" s="27">
        <v>0</v>
      </c>
      <c r="H161" s="27">
        <v>928990</v>
      </c>
      <c r="I161" s="27">
        <v>0</v>
      </c>
      <c r="J161" s="27">
        <f>+K161-D161</f>
        <v>0</v>
      </c>
      <c r="K161" s="27">
        <f>VLOOKUP(A161,fin,4,FALSE)</f>
        <v>74600</v>
      </c>
      <c r="L161" s="27">
        <v>80000</v>
      </c>
      <c r="M161" s="107">
        <f>L161*4.6/100+L161</f>
        <v>83680</v>
      </c>
      <c r="N161" s="133">
        <f>M161*4.6/100+M161</f>
        <v>87529.279999999999</v>
      </c>
    </row>
    <row r="162" spans="1:14" s="28" customFormat="1" ht="14.25" x14ac:dyDescent="0.2">
      <c r="A162" s="25"/>
      <c r="B162" s="25"/>
      <c r="C162" s="26"/>
      <c r="D162" s="27"/>
      <c r="E162" s="27"/>
      <c r="F162" s="27"/>
      <c r="G162" s="27"/>
      <c r="H162" s="27"/>
      <c r="I162" s="27"/>
      <c r="J162" s="27">
        <f>+K162-D162</f>
        <v>0</v>
      </c>
      <c r="K162" s="27"/>
      <c r="L162" s="27"/>
      <c r="M162" s="107"/>
      <c r="N162" s="133"/>
    </row>
    <row r="163" spans="1:14" s="24" customFormat="1" x14ac:dyDescent="0.25">
      <c r="A163" s="20"/>
      <c r="B163" s="20"/>
      <c r="C163" s="21" t="s">
        <v>239</v>
      </c>
      <c r="D163" s="22">
        <f>SUM(D161:D162)</f>
        <v>74600</v>
      </c>
      <c r="E163" s="22">
        <v>3500</v>
      </c>
      <c r="F163" s="22">
        <v>0</v>
      </c>
      <c r="G163" s="22">
        <v>21200</v>
      </c>
      <c r="H163" s="22">
        <v>53400</v>
      </c>
      <c r="I163" s="22">
        <v>28.41</v>
      </c>
      <c r="J163" s="27">
        <f>+K163-D163</f>
        <v>0</v>
      </c>
      <c r="K163" s="22">
        <f>SUM(K161:K162)</f>
        <v>74600</v>
      </c>
      <c r="L163" s="22">
        <f>SUM(L161:L162)</f>
        <v>80000</v>
      </c>
      <c r="M163" s="134">
        <f>SUM(M161:M162)</f>
        <v>83680</v>
      </c>
      <c r="N163" s="134">
        <f>SUM(N161:N162)</f>
        <v>87529.279999999999</v>
      </c>
    </row>
    <row r="164" spans="1:14" s="24" customFormat="1" x14ac:dyDescent="0.25">
      <c r="A164" s="20"/>
      <c r="B164" s="20"/>
      <c r="C164" s="21"/>
      <c r="D164" s="22"/>
      <c r="E164" s="22"/>
      <c r="F164" s="22"/>
      <c r="G164" s="22"/>
      <c r="H164" s="22"/>
      <c r="I164" s="22"/>
      <c r="J164" s="27">
        <f>+K164-D164</f>
        <v>0</v>
      </c>
      <c r="K164" s="22"/>
      <c r="L164" s="22"/>
      <c r="M164" s="134"/>
      <c r="N164" s="132"/>
    </row>
    <row r="165" spans="1:14" s="24" customFormat="1" x14ac:dyDescent="0.25">
      <c r="A165" s="20"/>
      <c r="B165" s="20"/>
      <c r="C165" s="21" t="s">
        <v>240</v>
      </c>
      <c r="D165" s="22">
        <f>+D145+D157+D163</f>
        <v>4256776</v>
      </c>
      <c r="E165" s="22">
        <v>3500</v>
      </c>
      <c r="F165" s="22">
        <v>37745</v>
      </c>
      <c r="G165" s="22">
        <v>208152.87</v>
      </c>
      <c r="H165" s="22">
        <v>4048623.13</v>
      </c>
      <c r="I165" s="22">
        <v>4.88</v>
      </c>
      <c r="J165" s="27">
        <f>+K165-D165</f>
        <v>-521650</v>
      </c>
      <c r="K165" s="22">
        <f>+K145+K157+K163</f>
        <v>3735126</v>
      </c>
      <c r="L165" s="22">
        <f>+L145+L157+L163</f>
        <v>2133773.92</v>
      </c>
      <c r="M165" s="134">
        <f>+M145+M157+M163</f>
        <v>1176207.5203200001</v>
      </c>
      <c r="N165" s="134">
        <f>+N145+N157+N163</f>
        <v>1590363.0662547201</v>
      </c>
    </row>
    <row r="166" spans="1:14" s="24" customFormat="1" x14ac:dyDescent="0.25">
      <c r="A166" s="20"/>
      <c r="B166" s="20"/>
      <c r="C166" s="21"/>
      <c r="D166" s="22"/>
      <c r="E166" s="22"/>
      <c r="F166" s="22"/>
      <c r="G166" s="22"/>
      <c r="H166" s="22"/>
      <c r="I166" s="22"/>
      <c r="J166" s="27"/>
      <c r="K166" s="27"/>
      <c r="L166" s="22"/>
      <c r="M166" s="134"/>
      <c r="N166" s="132"/>
    </row>
    <row r="167" spans="1:14" s="24" customFormat="1" x14ac:dyDescent="0.25">
      <c r="A167" s="20"/>
      <c r="B167" s="20"/>
      <c r="C167" s="21" t="s">
        <v>241</v>
      </c>
      <c r="D167" s="22"/>
      <c r="E167" s="22"/>
      <c r="F167" s="22"/>
      <c r="G167" s="22"/>
      <c r="H167" s="22"/>
      <c r="I167" s="22"/>
      <c r="J167" s="27">
        <f t="shared" ref="J167:J197" si="48">+K167-D167</f>
        <v>0</v>
      </c>
      <c r="K167" s="27"/>
      <c r="L167" s="22"/>
      <c r="M167" s="134"/>
      <c r="N167" s="132"/>
    </row>
    <row r="168" spans="1:14" s="28" customFormat="1" ht="14.25" x14ac:dyDescent="0.2">
      <c r="A168" s="25"/>
      <c r="B168" s="25"/>
      <c r="C168" s="26"/>
      <c r="D168" s="27"/>
      <c r="E168" s="27"/>
      <c r="F168" s="27"/>
      <c r="G168" s="27"/>
      <c r="H168" s="27"/>
      <c r="I168" s="27"/>
      <c r="J168" s="27">
        <f t="shared" si="48"/>
        <v>0</v>
      </c>
      <c r="K168" s="27"/>
      <c r="L168" s="27"/>
      <c r="M168" s="107"/>
      <c r="N168" s="133"/>
    </row>
    <row r="169" spans="1:14" s="28" customFormat="1" ht="14.25" x14ac:dyDescent="0.2">
      <c r="A169" s="25" t="s">
        <v>534</v>
      </c>
      <c r="B169" s="25"/>
      <c r="C169" s="26" t="s">
        <v>242</v>
      </c>
      <c r="D169" s="27">
        <f>VLOOKUP(A169,fin,3,FALSE)</f>
        <v>105566</v>
      </c>
      <c r="E169" s="27">
        <v>0</v>
      </c>
      <c r="F169" s="27">
        <v>0</v>
      </c>
      <c r="G169" s="27">
        <v>0</v>
      </c>
      <c r="H169" s="27">
        <v>928990</v>
      </c>
      <c r="I169" s="27">
        <v>0</v>
      </c>
      <c r="J169" s="27">
        <f t="shared" si="48"/>
        <v>0</v>
      </c>
      <c r="K169" s="27">
        <f>VLOOKUP(A169,fin,4,FALSE)</f>
        <v>105566</v>
      </c>
      <c r="L169" s="27">
        <v>560000</v>
      </c>
      <c r="M169" s="107">
        <f t="shared" ref="M169:N170" si="49">L169*4.6/100+L169</f>
        <v>585760</v>
      </c>
      <c r="N169" s="133">
        <f t="shared" si="49"/>
        <v>612704.96</v>
      </c>
    </row>
    <row r="170" spans="1:14" s="185" customFormat="1" ht="14.25" x14ac:dyDescent="0.2">
      <c r="A170" s="182"/>
      <c r="B170" s="182"/>
      <c r="C170" s="183" t="s">
        <v>3059</v>
      </c>
      <c r="D170" s="184"/>
      <c r="E170" s="184"/>
      <c r="F170" s="184"/>
      <c r="G170" s="184"/>
      <c r="H170" s="184"/>
      <c r="I170" s="184"/>
      <c r="J170" s="184"/>
      <c r="K170" s="184">
        <v>0</v>
      </c>
      <c r="L170" s="184">
        <v>150000</v>
      </c>
      <c r="M170" s="220">
        <f t="shared" si="49"/>
        <v>156900</v>
      </c>
      <c r="N170" s="221">
        <f t="shared" si="49"/>
        <v>164117.4</v>
      </c>
    </row>
    <row r="171" spans="1:14" s="28" customFormat="1" ht="14.25" x14ac:dyDescent="0.2">
      <c r="A171" s="25" t="s">
        <v>535</v>
      </c>
      <c r="B171" s="25"/>
      <c r="C171" s="26" t="s">
        <v>265</v>
      </c>
      <c r="D171" s="27">
        <f>VLOOKUP(A171,fin,3,FALSE)</f>
        <v>0</v>
      </c>
      <c r="E171" s="27">
        <v>0</v>
      </c>
      <c r="F171" s="27">
        <v>0</v>
      </c>
      <c r="G171" s="27">
        <v>0</v>
      </c>
      <c r="H171" s="27">
        <v>928990</v>
      </c>
      <c r="I171" s="27">
        <v>0</v>
      </c>
      <c r="J171" s="27">
        <f t="shared" si="48"/>
        <v>10000</v>
      </c>
      <c r="K171" s="27">
        <f>VLOOKUP(A171,fin,4,FALSE)</f>
        <v>10000</v>
      </c>
      <c r="L171" s="27">
        <f t="shared" ref="L171:L173" si="50">K171*4.5/100+K171</f>
        <v>10450</v>
      </c>
      <c r="M171" s="107">
        <f t="shared" ref="M171:N171" si="51">L171*4.6/100+L171</f>
        <v>10930.7</v>
      </c>
      <c r="N171" s="133">
        <f t="shared" si="51"/>
        <v>11433.512200000001</v>
      </c>
    </row>
    <row r="172" spans="1:14" s="185" customFormat="1" ht="14.25" x14ac:dyDescent="0.2">
      <c r="A172" s="182" t="s">
        <v>536</v>
      </c>
      <c r="B172" s="25" t="s">
        <v>3058</v>
      </c>
      <c r="C172" s="183" t="s">
        <v>266</v>
      </c>
      <c r="D172" s="184">
        <f>VLOOKUP(A172,fin,3,FALSE)</f>
        <v>500000</v>
      </c>
      <c r="E172" s="184">
        <v>0</v>
      </c>
      <c r="F172" s="184">
        <v>0</v>
      </c>
      <c r="G172" s="184">
        <v>0</v>
      </c>
      <c r="H172" s="184">
        <v>928990</v>
      </c>
      <c r="I172" s="184">
        <v>0</v>
      </c>
      <c r="J172" s="184">
        <f t="shared" si="48"/>
        <v>-80000</v>
      </c>
      <c r="K172" s="184">
        <f>VLOOKUP(A172,fin,4,FALSE)</f>
        <v>420000</v>
      </c>
      <c r="L172" s="184">
        <v>700000</v>
      </c>
      <c r="M172" s="220">
        <v>700000</v>
      </c>
      <c r="N172" s="221">
        <v>700000</v>
      </c>
    </row>
    <row r="173" spans="1:14" s="28" customFormat="1" ht="14.25" x14ac:dyDescent="0.2">
      <c r="A173" s="25" t="s">
        <v>537</v>
      </c>
      <c r="B173" s="25"/>
      <c r="C173" s="26" t="s">
        <v>268</v>
      </c>
      <c r="D173" s="27">
        <f>VLOOKUP(A173,fin,3,FALSE)</f>
        <v>78000</v>
      </c>
      <c r="E173" s="27">
        <v>0</v>
      </c>
      <c r="F173" s="27">
        <v>0</v>
      </c>
      <c r="G173" s="27">
        <v>0</v>
      </c>
      <c r="H173" s="27">
        <v>928990</v>
      </c>
      <c r="I173" s="27">
        <v>0</v>
      </c>
      <c r="J173" s="27">
        <f t="shared" si="48"/>
        <v>-50000</v>
      </c>
      <c r="K173" s="27">
        <f>VLOOKUP(A173,fin,4,FALSE)</f>
        <v>28000</v>
      </c>
      <c r="L173" s="27">
        <f t="shared" si="50"/>
        <v>29260</v>
      </c>
      <c r="M173" s="107">
        <f t="shared" ref="M173:N173" si="52">L173*4.6/100+L173</f>
        <v>30605.96</v>
      </c>
      <c r="N173" s="133">
        <f t="shared" si="52"/>
        <v>32013.834159999999</v>
      </c>
    </row>
    <row r="174" spans="1:14" s="28" customFormat="1" ht="14.25" x14ac:dyDescent="0.2">
      <c r="A174" s="25"/>
      <c r="B174" s="25"/>
      <c r="C174" s="26"/>
      <c r="D174" s="27"/>
      <c r="E174" s="27"/>
      <c r="F174" s="27"/>
      <c r="G174" s="27"/>
      <c r="H174" s="27"/>
      <c r="I174" s="27"/>
      <c r="J174" s="27">
        <f t="shared" si="48"/>
        <v>0</v>
      </c>
      <c r="K174" s="27"/>
      <c r="L174" s="27"/>
      <c r="M174" s="107"/>
      <c r="N174" s="133"/>
    </row>
    <row r="175" spans="1:14" s="24" customFormat="1" x14ac:dyDescent="0.25">
      <c r="A175" s="20"/>
      <c r="B175" s="20"/>
      <c r="C175" s="21" t="s">
        <v>274</v>
      </c>
      <c r="D175" s="22">
        <f>SUM(D169:D174)</f>
        <v>683566</v>
      </c>
      <c r="E175" s="22">
        <v>761.78</v>
      </c>
      <c r="F175" s="22">
        <v>0</v>
      </c>
      <c r="G175" s="22">
        <v>7292.53</v>
      </c>
      <c r="H175" s="22">
        <v>676273.47</v>
      </c>
      <c r="I175" s="22">
        <v>1.06</v>
      </c>
      <c r="J175" s="27">
        <f t="shared" si="48"/>
        <v>-120000</v>
      </c>
      <c r="K175" s="22">
        <f>SUM(K169:K174)</f>
        <v>563566</v>
      </c>
      <c r="L175" s="22">
        <f>SUM(L169:L174)</f>
        <v>1449710</v>
      </c>
      <c r="M175" s="134">
        <f>SUM(M169:M174)</f>
        <v>1484196.66</v>
      </c>
      <c r="N175" s="134">
        <f>SUM(N169:N174)</f>
        <v>1520269.7063600002</v>
      </c>
    </row>
    <row r="176" spans="1:14" s="24" customFormat="1" x14ac:dyDescent="0.25">
      <c r="A176" s="20"/>
      <c r="B176" s="20"/>
      <c r="C176" s="21"/>
      <c r="D176" s="22"/>
      <c r="E176" s="22"/>
      <c r="F176" s="22"/>
      <c r="G176" s="22"/>
      <c r="H176" s="22"/>
      <c r="I176" s="22"/>
      <c r="J176" s="27">
        <f t="shared" si="48"/>
        <v>0</v>
      </c>
      <c r="K176" s="27"/>
      <c r="L176" s="22"/>
      <c r="M176" s="134"/>
      <c r="N176" s="132"/>
    </row>
    <row r="177" spans="1:15" s="24" customFormat="1" x14ac:dyDescent="0.25">
      <c r="A177" s="20"/>
      <c r="B177" s="20"/>
      <c r="C177" s="21" t="s">
        <v>290</v>
      </c>
      <c r="D177" s="22"/>
      <c r="E177" s="22"/>
      <c r="F177" s="22"/>
      <c r="G177" s="22"/>
      <c r="H177" s="22"/>
      <c r="I177" s="22"/>
      <c r="J177" s="27">
        <f t="shared" si="48"/>
        <v>0</v>
      </c>
      <c r="K177" s="27"/>
      <c r="L177" s="22"/>
      <c r="M177" s="134"/>
      <c r="N177" s="132"/>
    </row>
    <row r="178" spans="1:15" s="24" customFormat="1" x14ac:dyDescent="0.25">
      <c r="A178" s="20"/>
      <c r="B178" s="20"/>
      <c r="C178" s="21"/>
      <c r="D178" s="22"/>
      <c r="E178" s="22"/>
      <c r="F178" s="22"/>
      <c r="G178" s="22"/>
      <c r="H178" s="22"/>
      <c r="I178" s="22"/>
      <c r="J178" s="27">
        <f t="shared" si="48"/>
        <v>0</v>
      </c>
      <c r="K178" s="27"/>
      <c r="L178" s="22"/>
      <c r="M178" s="134"/>
      <c r="N178" s="132"/>
    </row>
    <row r="179" spans="1:15" s="28" customFormat="1" ht="14.25" x14ac:dyDescent="0.2">
      <c r="A179" s="25" t="s">
        <v>538</v>
      </c>
      <c r="B179" s="25"/>
      <c r="C179" s="26" t="s">
        <v>293</v>
      </c>
      <c r="D179" s="27">
        <f>VLOOKUP(A179,fin,3,FALSE)</f>
        <v>10946</v>
      </c>
      <c r="E179" s="27">
        <v>0</v>
      </c>
      <c r="F179" s="27">
        <v>0</v>
      </c>
      <c r="G179" s="27">
        <v>0</v>
      </c>
      <c r="H179" s="27">
        <v>928990</v>
      </c>
      <c r="I179" s="27">
        <v>0</v>
      </c>
      <c r="J179" s="27">
        <f t="shared" si="48"/>
        <v>0</v>
      </c>
      <c r="K179" s="27">
        <f>VLOOKUP(A179,fin,4,FALSE)</f>
        <v>10946</v>
      </c>
      <c r="L179" s="27">
        <f>K179*4.5/100+K179</f>
        <v>11438.57</v>
      </c>
      <c r="M179" s="107">
        <f>L179*4.6/100+L179</f>
        <v>11964.74422</v>
      </c>
      <c r="N179" s="133">
        <f>M179*4.6/100+M179</f>
        <v>12515.122454120001</v>
      </c>
    </row>
    <row r="180" spans="1:15" s="28" customFormat="1" ht="14.25" x14ac:dyDescent="0.2">
      <c r="A180" s="25"/>
      <c r="B180" s="25"/>
      <c r="C180" s="26"/>
      <c r="D180" s="27"/>
      <c r="E180" s="27"/>
      <c r="F180" s="27"/>
      <c r="G180" s="27"/>
      <c r="H180" s="27"/>
      <c r="I180" s="27"/>
      <c r="J180" s="27">
        <f t="shared" si="48"/>
        <v>0</v>
      </c>
      <c r="K180" s="27"/>
      <c r="L180" s="27"/>
      <c r="M180" s="107"/>
      <c r="N180" s="133"/>
    </row>
    <row r="181" spans="1:15" s="24" customFormat="1" x14ac:dyDescent="0.25">
      <c r="A181" s="20"/>
      <c r="B181" s="20"/>
      <c r="C181" s="21" t="s">
        <v>304</v>
      </c>
      <c r="D181" s="22">
        <f>SUM(D179:D180)</f>
        <v>10946</v>
      </c>
      <c r="E181" s="22">
        <v>1257.5</v>
      </c>
      <c r="F181" s="22">
        <v>0</v>
      </c>
      <c r="G181" s="22">
        <v>3131.54</v>
      </c>
      <c r="H181" s="22">
        <v>7814.46</v>
      </c>
      <c r="I181" s="22">
        <v>28.6</v>
      </c>
      <c r="J181" s="27">
        <f t="shared" si="48"/>
        <v>0</v>
      </c>
      <c r="K181" s="22">
        <f>SUM(K179:K180)</f>
        <v>10946</v>
      </c>
      <c r="L181" s="22">
        <f>SUM(L179:L180)</f>
        <v>11438.57</v>
      </c>
      <c r="M181" s="134">
        <f>SUM(M179:M180)</f>
        <v>11964.74422</v>
      </c>
      <c r="N181" s="134">
        <f>SUM(N179:N180)</f>
        <v>12515.122454120001</v>
      </c>
    </row>
    <row r="182" spans="1:15" s="24" customFormat="1" x14ac:dyDescent="0.25">
      <c r="A182" s="20"/>
      <c r="B182" s="20"/>
      <c r="C182" s="21"/>
      <c r="D182" s="22"/>
      <c r="E182" s="22"/>
      <c r="F182" s="22"/>
      <c r="G182" s="22"/>
      <c r="H182" s="22"/>
      <c r="I182" s="22"/>
      <c r="J182" s="27">
        <f t="shared" si="48"/>
        <v>0</v>
      </c>
      <c r="K182" s="22"/>
      <c r="L182" s="22"/>
      <c r="M182" s="134"/>
      <c r="N182" s="132"/>
    </row>
    <row r="183" spans="1:15" s="24" customFormat="1" x14ac:dyDescent="0.25">
      <c r="A183" s="20"/>
      <c r="B183" s="20"/>
      <c r="C183" s="21" t="s">
        <v>305</v>
      </c>
      <c r="D183" s="22">
        <f>+D137+D145+D157+D163+D175+D181</f>
        <v>6156922</v>
      </c>
      <c r="E183" s="22">
        <v>100227.56</v>
      </c>
      <c r="F183" s="22">
        <v>37745</v>
      </c>
      <c r="G183" s="22">
        <v>759641.17</v>
      </c>
      <c r="H183" s="22">
        <v>5397280.8300000001</v>
      </c>
      <c r="I183" s="22">
        <v>12.33</v>
      </c>
      <c r="J183" s="27">
        <f t="shared" si="48"/>
        <v>-573944.91000000015</v>
      </c>
      <c r="K183" s="22">
        <f>+K137+K145+K157+K163+K175+K181</f>
        <v>5582977.0899999999</v>
      </c>
      <c r="L183" s="22">
        <f>+L137+L145+L157+L163+L175+L181</f>
        <v>4947845.2731250003</v>
      </c>
      <c r="M183" s="134">
        <f>+M137+M145+M157+M163+M175+M181</f>
        <v>4119996.30248375</v>
      </c>
      <c r="N183" s="134">
        <f>+N137+N145+N157+N163+N175+N181</f>
        <v>4672109.189468652</v>
      </c>
      <c r="O183" s="72"/>
    </row>
    <row r="184" spans="1:15" s="28" customFormat="1" ht="14.25" x14ac:dyDescent="0.2">
      <c r="A184" s="25"/>
      <c r="B184" s="25"/>
      <c r="C184" s="26"/>
      <c r="D184" s="27"/>
      <c r="E184" s="27"/>
      <c r="F184" s="27"/>
      <c r="G184" s="27"/>
      <c r="H184" s="27"/>
      <c r="I184" s="27"/>
      <c r="J184" s="27">
        <f t="shared" si="48"/>
        <v>0</v>
      </c>
      <c r="K184" s="27"/>
      <c r="L184" s="27"/>
      <c r="M184" s="107"/>
      <c r="N184" s="133"/>
    </row>
    <row r="185" spans="1:15" s="24" customFormat="1" x14ac:dyDescent="0.25">
      <c r="A185" s="20"/>
      <c r="B185" s="20"/>
      <c r="C185" s="21" t="s">
        <v>539</v>
      </c>
      <c r="D185" s="22"/>
      <c r="E185" s="22"/>
      <c r="F185" s="22"/>
      <c r="G185" s="22"/>
      <c r="H185" s="22"/>
      <c r="I185" s="22"/>
      <c r="J185" s="27">
        <f t="shared" si="48"/>
        <v>0</v>
      </c>
      <c r="K185" s="27"/>
      <c r="L185" s="22"/>
      <c r="M185" s="134"/>
      <c r="N185" s="132"/>
    </row>
    <row r="186" spans="1:15" s="24" customFormat="1" x14ac:dyDescent="0.25">
      <c r="A186" s="20"/>
      <c r="B186" s="20"/>
      <c r="C186" s="21" t="s">
        <v>9</v>
      </c>
      <c r="D186" s="22"/>
      <c r="E186" s="22"/>
      <c r="F186" s="22"/>
      <c r="G186" s="22"/>
      <c r="H186" s="22"/>
      <c r="I186" s="22"/>
      <c r="J186" s="27">
        <f t="shared" si="48"/>
        <v>0</v>
      </c>
      <c r="K186" s="27"/>
      <c r="L186" s="22"/>
      <c r="M186" s="134"/>
      <c r="N186" s="132"/>
    </row>
    <row r="187" spans="1:15" s="24" customFormat="1" x14ac:dyDescent="0.25">
      <c r="A187" s="20"/>
      <c r="B187" s="20"/>
      <c r="C187" s="21" t="s">
        <v>70</v>
      </c>
      <c r="D187" s="22"/>
      <c r="E187" s="22"/>
      <c r="F187" s="22"/>
      <c r="G187" s="22"/>
      <c r="H187" s="22"/>
      <c r="I187" s="22"/>
      <c r="J187" s="27">
        <f t="shared" si="48"/>
        <v>0</v>
      </c>
      <c r="K187" s="27"/>
      <c r="L187" s="22"/>
      <c r="M187" s="134"/>
      <c r="N187" s="132"/>
    </row>
    <row r="188" spans="1:15" s="28" customFormat="1" ht="14.25" x14ac:dyDescent="0.2">
      <c r="A188" s="25"/>
      <c r="B188" s="25"/>
      <c r="C188" s="26"/>
      <c r="D188" s="27"/>
      <c r="E188" s="27"/>
      <c r="F188" s="27"/>
      <c r="G188" s="27"/>
      <c r="H188" s="27"/>
      <c r="I188" s="27"/>
      <c r="J188" s="27">
        <f t="shared" si="48"/>
        <v>0</v>
      </c>
      <c r="K188" s="27"/>
      <c r="L188" s="27"/>
      <c r="M188" s="107"/>
      <c r="N188" s="133"/>
    </row>
    <row r="189" spans="1:15" s="28" customFormat="1" ht="14.25" x14ac:dyDescent="0.2">
      <c r="A189" s="25" t="s">
        <v>540</v>
      </c>
      <c r="B189" s="25"/>
      <c r="C189" s="26" t="s">
        <v>75</v>
      </c>
      <c r="D189" s="27">
        <f>'Revenue per source'!C102</f>
        <v>-15000000</v>
      </c>
      <c r="E189" s="27">
        <f>'Revenue per source'!D102</f>
        <v>0</v>
      </c>
      <c r="F189" s="27">
        <f>'Revenue per source'!E102</f>
        <v>0</v>
      </c>
      <c r="G189" s="27">
        <f>'Revenue per source'!F102</f>
        <v>0</v>
      </c>
      <c r="H189" s="27">
        <f>'Revenue per source'!G102</f>
        <v>-15000000</v>
      </c>
      <c r="I189" s="27">
        <f>'Revenue per source'!H102</f>
        <v>0</v>
      </c>
      <c r="J189" s="27">
        <f>'Revenue per source'!I102</f>
        <v>0</v>
      </c>
      <c r="K189" s="27">
        <f>'Revenue per source'!J102</f>
        <v>-7500000</v>
      </c>
      <c r="L189" s="27">
        <f>'Revenue per source'!K102</f>
        <v>-7500000</v>
      </c>
      <c r="M189" s="107">
        <f>'Revenue per source'!L102</f>
        <v>-7500000</v>
      </c>
      <c r="N189" s="133">
        <f>'Revenue per source'!M102</f>
        <v>-7500000</v>
      </c>
    </row>
    <row r="190" spans="1:15" s="28" customFormat="1" ht="14.25" x14ac:dyDescent="0.2">
      <c r="A190" s="25"/>
      <c r="B190" s="25"/>
      <c r="C190" s="26"/>
      <c r="D190" s="27"/>
      <c r="E190" s="27"/>
      <c r="F190" s="27"/>
      <c r="G190" s="27"/>
      <c r="H190" s="27"/>
      <c r="I190" s="27"/>
      <c r="J190" s="27">
        <f t="shared" si="48"/>
        <v>0</v>
      </c>
      <c r="K190" s="27"/>
      <c r="L190" s="27"/>
      <c r="M190" s="107"/>
      <c r="N190" s="133"/>
    </row>
    <row r="191" spans="1:15" s="24" customFormat="1" x14ac:dyDescent="0.25">
      <c r="A191" s="20"/>
      <c r="B191" s="20"/>
      <c r="C191" s="21" t="s">
        <v>77</v>
      </c>
      <c r="D191" s="22">
        <f>SUM(D189:D190)</f>
        <v>-15000000</v>
      </c>
      <c r="E191" s="22">
        <f t="shared" ref="E191:N191" si="53">SUM(E189:E190)</f>
        <v>0</v>
      </c>
      <c r="F191" s="22">
        <f t="shared" si="53"/>
        <v>0</v>
      </c>
      <c r="G191" s="22">
        <f t="shared" si="53"/>
        <v>0</v>
      </c>
      <c r="H191" s="22">
        <f t="shared" si="53"/>
        <v>-15000000</v>
      </c>
      <c r="I191" s="22">
        <f t="shared" si="53"/>
        <v>0</v>
      </c>
      <c r="J191" s="22">
        <f t="shared" si="53"/>
        <v>0</v>
      </c>
      <c r="K191" s="22">
        <f t="shared" si="53"/>
        <v>-7500000</v>
      </c>
      <c r="L191" s="22">
        <f t="shared" si="53"/>
        <v>-7500000</v>
      </c>
      <c r="M191" s="22">
        <f t="shared" si="53"/>
        <v>-7500000</v>
      </c>
      <c r="N191" s="22">
        <f t="shared" si="53"/>
        <v>-7500000</v>
      </c>
    </row>
    <row r="192" spans="1:15" s="24" customFormat="1" x14ac:dyDescent="0.25">
      <c r="A192" s="20"/>
      <c r="B192" s="20"/>
      <c r="C192" s="21"/>
      <c r="D192" s="22"/>
      <c r="E192" s="22"/>
      <c r="F192" s="22"/>
      <c r="G192" s="22"/>
      <c r="H192" s="22"/>
      <c r="I192" s="22"/>
      <c r="J192" s="27">
        <f t="shared" si="48"/>
        <v>0</v>
      </c>
      <c r="K192" s="27"/>
      <c r="L192" s="22"/>
      <c r="M192" s="134"/>
      <c r="N192" s="132"/>
    </row>
    <row r="193" spans="1:14" s="24" customFormat="1" x14ac:dyDescent="0.25">
      <c r="A193" s="20"/>
      <c r="B193" s="20"/>
      <c r="C193" s="21" t="s">
        <v>81</v>
      </c>
      <c r="D193" s="22"/>
      <c r="E193" s="22"/>
      <c r="F193" s="22"/>
      <c r="G193" s="22"/>
      <c r="H193" s="22"/>
      <c r="I193" s="22"/>
      <c r="J193" s="27">
        <f t="shared" si="48"/>
        <v>0</v>
      </c>
      <c r="K193" s="27"/>
      <c r="L193" s="22"/>
      <c r="M193" s="134"/>
      <c r="N193" s="132"/>
    </row>
    <row r="194" spans="1:14" s="28" customFormat="1" ht="14.25" x14ac:dyDescent="0.2">
      <c r="A194" s="25"/>
      <c r="B194" s="25"/>
      <c r="C194" s="26"/>
      <c r="D194" s="27"/>
      <c r="E194" s="27"/>
      <c r="F194" s="27"/>
      <c r="G194" s="27"/>
      <c r="H194" s="27"/>
      <c r="I194" s="27"/>
      <c r="J194" s="27">
        <f t="shared" si="48"/>
        <v>0</v>
      </c>
      <c r="K194" s="27"/>
      <c r="L194" s="27"/>
      <c r="M194" s="107"/>
      <c r="N194" s="133"/>
    </row>
    <row r="195" spans="1:14" s="28" customFormat="1" ht="14.25" x14ac:dyDescent="0.2">
      <c r="A195" s="25" t="s">
        <v>541</v>
      </c>
      <c r="B195" s="25"/>
      <c r="C195" s="26" t="s">
        <v>82</v>
      </c>
      <c r="D195" s="27">
        <f>'Revenue per source'!C115</f>
        <v>-4640</v>
      </c>
      <c r="E195" s="27">
        <f>'Revenue per source'!D115</f>
        <v>0</v>
      </c>
      <c r="F195" s="27">
        <f>'Revenue per source'!E115</f>
        <v>0</v>
      </c>
      <c r="G195" s="27">
        <f>'Revenue per source'!F115</f>
        <v>0</v>
      </c>
      <c r="H195" s="27">
        <f>'Revenue per source'!G115</f>
        <v>-4640</v>
      </c>
      <c r="I195" s="27">
        <f>'Revenue per source'!H115</f>
        <v>0</v>
      </c>
      <c r="J195" s="27">
        <f>'Revenue per source'!I115</f>
        <v>0</v>
      </c>
      <c r="K195" s="27">
        <f>'Revenue per source'!J115</f>
        <v>-4640</v>
      </c>
      <c r="L195" s="27">
        <f>'Revenue per source'!K115</f>
        <v>-4848.8</v>
      </c>
      <c r="M195" s="27">
        <f>'Revenue per source'!L115</f>
        <v>-5071.8447999999999</v>
      </c>
      <c r="N195" s="27">
        <f>'Revenue per source'!M115</f>
        <v>-5305.1496607999998</v>
      </c>
    </row>
    <row r="196" spans="1:14" s="28" customFormat="1" ht="14.25" x14ac:dyDescent="0.2">
      <c r="A196" s="25" t="s">
        <v>542</v>
      </c>
      <c r="B196" s="25"/>
      <c r="C196" s="26" t="s">
        <v>85</v>
      </c>
      <c r="D196" s="27">
        <f>'Revenue per source'!C118</f>
        <v>-41011</v>
      </c>
      <c r="E196" s="27">
        <f>'Revenue per source'!D118</f>
        <v>0</v>
      </c>
      <c r="F196" s="27">
        <f>'Revenue per source'!E118</f>
        <v>0</v>
      </c>
      <c r="G196" s="27">
        <f>'Revenue per source'!F118</f>
        <v>-13216.23</v>
      </c>
      <c r="H196" s="27">
        <f>'Revenue per source'!G118</f>
        <v>-27794.77</v>
      </c>
      <c r="I196" s="27">
        <f>'Revenue per source'!H118</f>
        <v>32.22</v>
      </c>
      <c r="J196" s="27">
        <f>'Revenue per source'!I118</f>
        <v>0</v>
      </c>
      <c r="K196" s="27">
        <f>'Revenue per source'!J118</f>
        <v>-41011</v>
      </c>
      <c r="L196" s="27">
        <f>'Revenue per source'!K118</f>
        <v>-42856.495000000003</v>
      </c>
      <c r="M196" s="27">
        <f>'Revenue per source'!L118</f>
        <v>-44827.893770000002</v>
      </c>
      <c r="N196" s="27">
        <f>'Revenue per source'!M118</f>
        <v>-46889.97688342</v>
      </c>
    </row>
    <row r="197" spans="1:14" s="28" customFormat="1" ht="14.25" x14ac:dyDescent="0.2">
      <c r="A197" s="25" t="s">
        <v>543</v>
      </c>
      <c r="B197" s="25"/>
      <c r="C197" s="26" t="s">
        <v>86</v>
      </c>
      <c r="D197" s="27">
        <v>0</v>
      </c>
      <c r="E197" s="27">
        <v>0</v>
      </c>
      <c r="F197" s="27">
        <v>0</v>
      </c>
      <c r="G197" s="27">
        <v>0</v>
      </c>
      <c r="H197" s="27">
        <v>928990</v>
      </c>
      <c r="I197" s="27">
        <v>0</v>
      </c>
      <c r="J197" s="27">
        <f t="shared" si="48"/>
        <v>0</v>
      </c>
      <c r="K197" s="27">
        <v>0</v>
      </c>
      <c r="L197" s="27">
        <v>0</v>
      </c>
      <c r="M197" s="107">
        <v>0</v>
      </c>
      <c r="N197" s="27">
        <v>0</v>
      </c>
    </row>
    <row r="198" spans="1:14" s="28" customFormat="1" ht="14.25" x14ac:dyDescent="0.2">
      <c r="A198" s="25" t="s">
        <v>544</v>
      </c>
      <c r="B198" s="25"/>
      <c r="C198" s="26" t="s">
        <v>87</v>
      </c>
      <c r="D198" s="27">
        <f>'Revenue per source'!C120</f>
        <v>-4715</v>
      </c>
      <c r="E198" s="27">
        <f>'Revenue per source'!D120</f>
        <v>-1881.4</v>
      </c>
      <c r="F198" s="27">
        <f>'Revenue per source'!E120</f>
        <v>0</v>
      </c>
      <c r="G198" s="27">
        <f>'Revenue per source'!F120</f>
        <v>-2020.53</v>
      </c>
      <c r="H198" s="27">
        <f>'Revenue per source'!G120</f>
        <v>-2694.47</v>
      </c>
      <c r="I198" s="27">
        <f>'Revenue per source'!H120</f>
        <v>42.85</v>
      </c>
      <c r="J198" s="27">
        <f>'Revenue per source'!I120</f>
        <v>0</v>
      </c>
      <c r="K198" s="27">
        <f>'Revenue per source'!J120</f>
        <v>-4715</v>
      </c>
      <c r="L198" s="27">
        <f>'Revenue per source'!K120</f>
        <v>-4927.1750000000002</v>
      </c>
      <c r="M198" s="27">
        <f>'Revenue per source'!L120</f>
        <v>-5153.8250500000004</v>
      </c>
      <c r="N198" s="27">
        <f>'Revenue per source'!M120</f>
        <v>-5390.9010023000001</v>
      </c>
    </row>
    <row r="199" spans="1:14" s="28" customFormat="1" ht="14.25" x14ac:dyDescent="0.2">
      <c r="A199" s="25" t="s">
        <v>545</v>
      </c>
      <c r="B199" s="25"/>
      <c r="C199" s="26" t="s">
        <v>88</v>
      </c>
      <c r="D199" s="27">
        <f>'Revenue per source'!C121</f>
        <v>-58934</v>
      </c>
      <c r="E199" s="27">
        <f>'Revenue per source'!D121</f>
        <v>0</v>
      </c>
      <c r="F199" s="27">
        <f>'Revenue per source'!E121</f>
        <v>0</v>
      </c>
      <c r="G199" s="27">
        <f>'Revenue per source'!F121</f>
        <v>0</v>
      </c>
      <c r="H199" s="27">
        <f>'Revenue per source'!G121</f>
        <v>-58934</v>
      </c>
      <c r="I199" s="27">
        <f>'Revenue per source'!H121</f>
        <v>0</v>
      </c>
      <c r="J199" s="27">
        <f>'Revenue per source'!I121</f>
        <v>0</v>
      </c>
      <c r="K199" s="27">
        <f>'Revenue per source'!J121</f>
        <v>-58934</v>
      </c>
      <c r="L199" s="27">
        <f>'Revenue per source'!K121</f>
        <v>-61586.03</v>
      </c>
      <c r="M199" s="27">
        <f>'Revenue per source'!L121</f>
        <v>-64418.987379999999</v>
      </c>
      <c r="N199" s="27">
        <f>'Revenue per source'!M121</f>
        <v>-67382.260799479991</v>
      </c>
    </row>
    <row r="200" spans="1:14" s="28" customFormat="1" ht="14.25" x14ac:dyDescent="0.2">
      <c r="A200" s="25"/>
      <c r="B200" s="25"/>
      <c r="C200" s="26"/>
      <c r="D200" s="27"/>
      <c r="E200" s="27"/>
      <c r="F200" s="27"/>
      <c r="G200" s="27"/>
      <c r="H200" s="27"/>
      <c r="I200" s="27"/>
      <c r="J200" s="27">
        <f t="shared" ref="J200:J231" si="54">+K200-D200</f>
        <v>0</v>
      </c>
      <c r="K200" s="27"/>
      <c r="L200" s="27"/>
      <c r="M200" s="107"/>
      <c r="N200" s="133"/>
    </row>
    <row r="201" spans="1:14" s="24" customFormat="1" x14ac:dyDescent="0.25">
      <c r="A201" s="20"/>
      <c r="B201" s="20"/>
      <c r="C201" s="21" t="s">
        <v>90</v>
      </c>
      <c r="D201" s="22">
        <f>SUM(D195:D200)</f>
        <v>-109300</v>
      </c>
      <c r="E201" s="22">
        <v>-1881.4</v>
      </c>
      <c r="F201" s="22">
        <v>0</v>
      </c>
      <c r="G201" s="22">
        <v>-24589.75</v>
      </c>
      <c r="H201" s="22">
        <v>-84710.25</v>
      </c>
      <c r="I201" s="22">
        <v>22.49</v>
      </c>
      <c r="J201" s="27">
        <f t="shared" si="54"/>
        <v>0</v>
      </c>
      <c r="K201" s="22">
        <f>SUM(K195:K200)</f>
        <v>-109300</v>
      </c>
      <c r="L201" s="22">
        <f>SUM(L195:L200)</f>
        <v>-114218.5</v>
      </c>
      <c r="M201" s="134">
        <f>SUM(M195:M200)</f>
        <v>-119472.55100000001</v>
      </c>
      <c r="N201" s="134">
        <f>SUM(N195:N200)</f>
        <v>-124968.28834599999</v>
      </c>
    </row>
    <row r="202" spans="1:14" s="24" customFormat="1" x14ac:dyDescent="0.25">
      <c r="A202" s="20"/>
      <c r="B202" s="20"/>
      <c r="C202" s="21"/>
      <c r="D202" s="22"/>
      <c r="E202" s="22"/>
      <c r="F202" s="22"/>
      <c r="G202" s="22"/>
      <c r="H202" s="22"/>
      <c r="I202" s="22"/>
      <c r="J202" s="27">
        <f t="shared" si="54"/>
        <v>0</v>
      </c>
      <c r="K202" s="22"/>
      <c r="L202" s="22"/>
      <c r="M202" s="134"/>
      <c r="N202" s="132"/>
    </row>
    <row r="203" spans="1:14" s="24" customFormat="1" x14ac:dyDescent="0.25">
      <c r="A203" s="20"/>
      <c r="B203" s="20"/>
      <c r="C203" s="21" t="s">
        <v>94</v>
      </c>
      <c r="D203" s="22">
        <f>+D191+D201</f>
        <v>-15109300</v>
      </c>
      <c r="E203" s="22">
        <v>-1881.4</v>
      </c>
      <c r="F203" s="22">
        <v>0</v>
      </c>
      <c r="G203" s="22">
        <v>-24589.75</v>
      </c>
      <c r="H203" s="22">
        <v>-15084710.25</v>
      </c>
      <c r="I203" s="22">
        <v>0.16</v>
      </c>
      <c r="J203" s="27">
        <f t="shared" si="54"/>
        <v>7500000</v>
      </c>
      <c r="K203" s="22">
        <f>+K191+K201</f>
        <v>-7609300</v>
      </c>
      <c r="L203" s="22">
        <f>+L191+L201</f>
        <v>-7614218.5</v>
      </c>
      <c r="M203" s="134">
        <f>+M191+M201</f>
        <v>-7619472.551</v>
      </c>
      <c r="N203" s="134">
        <f>+N191+N201</f>
        <v>-7624968.288346</v>
      </c>
    </row>
    <row r="204" spans="1:14" s="24" customFormat="1" x14ac:dyDescent="0.25">
      <c r="A204" s="20"/>
      <c r="B204" s="20"/>
      <c r="C204" s="21"/>
      <c r="D204" s="22"/>
      <c r="E204" s="22"/>
      <c r="F204" s="22"/>
      <c r="G204" s="22"/>
      <c r="H204" s="22"/>
      <c r="I204" s="22"/>
      <c r="J204" s="27">
        <f t="shared" si="54"/>
        <v>0</v>
      </c>
      <c r="K204" s="22"/>
      <c r="L204" s="22"/>
      <c r="M204" s="134"/>
      <c r="N204" s="132"/>
    </row>
    <row r="205" spans="1:14" s="24" customFormat="1" x14ac:dyDescent="0.25">
      <c r="A205" s="20"/>
      <c r="B205" s="20"/>
      <c r="C205" s="21" t="s">
        <v>95</v>
      </c>
      <c r="D205" s="22">
        <f>D203</f>
        <v>-15109300</v>
      </c>
      <c r="E205" s="22">
        <v>-1881.4</v>
      </c>
      <c r="F205" s="22">
        <v>0</v>
      </c>
      <c r="G205" s="22">
        <v>-24589.75</v>
      </c>
      <c r="H205" s="22">
        <v>-15084710.25</v>
      </c>
      <c r="I205" s="22">
        <v>0.16</v>
      </c>
      <c r="J205" s="27">
        <f t="shared" si="54"/>
        <v>7500000</v>
      </c>
      <c r="K205" s="22">
        <f>K203</f>
        <v>-7609300</v>
      </c>
      <c r="L205" s="22">
        <f>L203</f>
        <v>-7614218.5</v>
      </c>
      <c r="M205" s="134">
        <f>M203</f>
        <v>-7619472.551</v>
      </c>
      <c r="N205" s="134">
        <f>N203</f>
        <v>-7624968.288346</v>
      </c>
    </row>
    <row r="206" spans="1:14" s="24" customFormat="1" x14ac:dyDescent="0.25">
      <c r="A206" s="20"/>
      <c r="B206" s="20"/>
      <c r="C206" s="21"/>
      <c r="D206" s="22"/>
      <c r="E206" s="22"/>
      <c r="F206" s="22"/>
      <c r="G206" s="22"/>
      <c r="H206" s="22"/>
      <c r="I206" s="22"/>
      <c r="J206" s="27">
        <f t="shared" si="54"/>
        <v>0</v>
      </c>
      <c r="K206" s="27"/>
      <c r="L206" s="22"/>
      <c r="M206" s="134"/>
      <c r="N206" s="132"/>
    </row>
    <row r="207" spans="1:14" s="24" customFormat="1" x14ac:dyDescent="0.25">
      <c r="A207" s="20"/>
      <c r="B207" s="20"/>
      <c r="C207" s="21" t="s">
        <v>96</v>
      </c>
      <c r="D207" s="22"/>
      <c r="E207" s="22"/>
      <c r="F207" s="22"/>
      <c r="G207" s="22"/>
      <c r="H207" s="22"/>
      <c r="I207" s="22"/>
      <c r="J207" s="27">
        <f t="shared" si="54"/>
        <v>0</v>
      </c>
      <c r="K207" s="27"/>
      <c r="L207" s="22"/>
      <c r="M207" s="134"/>
      <c r="N207" s="132"/>
    </row>
    <row r="208" spans="1:14" s="24" customFormat="1" x14ac:dyDescent="0.25">
      <c r="A208" s="20"/>
      <c r="B208" s="20"/>
      <c r="C208" s="21" t="s">
        <v>97</v>
      </c>
      <c r="D208" s="22"/>
      <c r="E208" s="22"/>
      <c r="F208" s="22"/>
      <c r="G208" s="22"/>
      <c r="H208" s="22"/>
      <c r="I208" s="22"/>
      <c r="J208" s="27">
        <f t="shared" si="54"/>
        <v>0</v>
      </c>
      <c r="K208" s="27"/>
      <c r="L208" s="22"/>
      <c r="M208" s="134"/>
      <c r="N208" s="132"/>
    </row>
    <row r="209" spans="1:14" s="24" customFormat="1" x14ac:dyDescent="0.25">
      <c r="A209" s="20"/>
      <c r="B209" s="20"/>
      <c r="C209" s="21" t="s">
        <v>148</v>
      </c>
      <c r="D209" s="22"/>
      <c r="E209" s="22"/>
      <c r="F209" s="22"/>
      <c r="G209" s="22"/>
      <c r="H209" s="22"/>
      <c r="I209" s="22"/>
      <c r="J209" s="27">
        <f t="shared" si="54"/>
        <v>0</v>
      </c>
      <c r="K209" s="27"/>
      <c r="L209" s="22"/>
      <c r="M209" s="134"/>
      <c r="N209" s="132"/>
    </row>
    <row r="210" spans="1:14" s="24" customFormat="1" x14ac:dyDescent="0.25">
      <c r="A210" s="20"/>
      <c r="B210" s="20"/>
      <c r="C210" s="21" t="s">
        <v>149</v>
      </c>
      <c r="D210" s="22"/>
      <c r="E210" s="22"/>
      <c r="F210" s="22"/>
      <c r="G210" s="22"/>
      <c r="H210" s="22"/>
      <c r="I210" s="22"/>
      <c r="J210" s="27">
        <f t="shared" si="54"/>
        <v>0</v>
      </c>
      <c r="K210" s="27"/>
      <c r="L210" s="22"/>
      <c r="M210" s="134"/>
      <c r="N210" s="132"/>
    </row>
    <row r="211" spans="1:14" s="28" customFormat="1" ht="14.25" x14ac:dyDescent="0.2">
      <c r="A211" s="25"/>
      <c r="B211" s="25"/>
      <c r="C211" s="26"/>
      <c r="D211" s="27"/>
      <c r="E211" s="27"/>
      <c r="F211" s="27"/>
      <c r="G211" s="27"/>
      <c r="H211" s="27"/>
      <c r="I211" s="27"/>
      <c r="J211" s="27">
        <f t="shared" si="54"/>
        <v>0</v>
      </c>
      <c r="K211" s="27"/>
      <c r="L211" s="27"/>
      <c r="M211" s="107"/>
      <c r="N211" s="133"/>
    </row>
    <row r="212" spans="1:14" s="28" customFormat="1" ht="14.25" x14ac:dyDescent="0.2">
      <c r="A212" s="25" t="s">
        <v>546</v>
      </c>
      <c r="B212" s="25"/>
      <c r="C212" s="26" t="s">
        <v>150</v>
      </c>
      <c r="D212" s="27">
        <f t="shared" ref="D212:D220" si="55">VLOOKUP(A212,fin,3,FALSE)</f>
        <v>1017319</v>
      </c>
      <c r="E212" s="27">
        <v>0</v>
      </c>
      <c r="F212" s="27">
        <v>0</v>
      </c>
      <c r="G212" s="27">
        <v>0</v>
      </c>
      <c r="H212" s="27">
        <v>928990</v>
      </c>
      <c r="I212" s="27">
        <v>0</v>
      </c>
      <c r="J212" s="27">
        <f t="shared" si="54"/>
        <v>0</v>
      </c>
      <c r="K212" s="27">
        <f t="shared" ref="K212:K220" si="56">VLOOKUP(A212,fin,4,FALSE)</f>
        <v>1017319</v>
      </c>
      <c r="L212" s="27">
        <f t="shared" ref="L212:L221" si="57">K212*6.25/100+K212</f>
        <v>1080901.4375</v>
      </c>
      <c r="M212" s="107">
        <f>L212*7/100+L212</f>
        <v>1156564.538125</v>
      </c>
      <c r="N212" s="133">
        <f>M212*7/100+M212</f>
        <v>1237524.0557937499</v>
      </c>
    </row>
    <row r="213" spans="1:14" s="28" customFormat="1" ht="14.25" x14ac:dyDescent="0.2">
      <c r="A213" s="25" t="s">
        <v>547</v>
      </c>
      <c r="B213" s="25"/>
      <c r="C213" s="26" t="s">
        <v>151</v>
      </c>
      <c r="D213" s="27">
        <f t="shared" si="55"/>
        <v>45594</v>
      </c>
      <c r="E213" s="27">
        <v>0</v>
      </c>
      <c r="F213" s="27">
        <v>0</v>
      </c>
      <c r="G213" s="27">
        <v>0</v>
      </c>
      <c r="H213" s="27">
        <v>928990</v>
      </c>
      <c r="I213" s="27">
        <v>0</v>
      </c>
      <c r="J213" s="27">
        <f t="shared" si="54"/>
        <v>-28659.82</v>
      </c>
      <c r="K213" s="27">
        <f t="shared" si="56"/>
        <v>16934.18</v>
      </c>
      <c r="L213" s="27">
        <f t="shared" si="57"/>
        <v>17992.56625</v>
      </c>
      <c r="M213" s="107">
        <f t="shared" ref="M213:N220" si="58">L213*7/100+L213</f>
        <v>19252.0458875</v>
      </c>
      <c r="N213" s="133">
        <f t="shared" si="58"/>
        <v>20599.689099625</v>
      </c>
    </row>
    <row r="214" spans="1:14" s="28" customFormat="1" ht="14.25" x14ac:dyDescent="0.2">
      <c r="A214" s="25" t="s">
        <v>548</v>
      </c>
      <c r="B214" s="25"/>
      <c r="C214" s="26" t="s">
        <v>152</v>
      </c>
      <c r="D214" s="27">
        <f t="shared" si="55"/>
        <v>38100</v>
      </c>
      <c r="E214" s="27">
        <v>0</v>
      </c>
      <c r="F214" s="27">
        <v>0</v>
      </c>
      <c r="G214" s="27">
        <v>0</v>
      </c>
      <c r="H214" s="27">
        <v>928990</v>
      </c>
      <c r="I214" s="27">
        <v>0</v>
      </c>
      <c r="J214" s="27">
        <f t="shared" si="54"/>
        <v>0</v>
      </c>
      <c r="K214" s="27">
        <f t="shared" si="56"/>
        <v>38100</v>
      </c>
      <c r="L214" s="27">
        <f t="shared" si="57"/>
        <v>40481.25</v>
      </c>
      <c r="M214" s="107">
        <f t="shared" si="58"/>
        <v>43314.9375</v>
      </c>
      <c r="N214" s="133">
        <f t="shared" si="58"/>
        <v>46346.983124999999</v>
      </c>
    </row>
    <row r="215" spans="1:14" s="28" customFormat="1" ht="14.25" x14ac:dyDescent="0.2">
      <c r="A215" s="25" t="s">
        <v>549</v>
      </c>
      <c r="B215" s="25"/>
      <c r="C215" s="26" t="s">
        <v>153</v>
      </c>
      <c r="D215" s="27">
        <f t="shared" si="55"/>
        <v>10893</v>
      </c>
      <c r="E215" s="27">
        <v>0</v>
      </c>
      <c r="F215" s="27">
        <v>0</v>
      </c>
      <c r="G215" s="27">
        <v>0</v>
      </c>
      <c r="H215" s="27">
        <v>928990</v>
      </c>
      <c r="I215" s="27">
        <v>0</v>
      </c>
      <c r="J215" s="27">
        <f t="shared" si="54"/>
        <v>0</v>
      </c>
      <c r="K215" s="27">
        <f t="shared" si="56"/>
        <v>10893</v>
      </c>
      <c r="L215" s="27">
        <f t="shared" si="57"/>
        <v>11573.8125</v>
      </c>
      <c r="M215" s="107">
        <f t="shared" si="58"/>
        <v>12383.979375000001</v>
      </c>
      <c r="N215" s="133">
        <f t="shared" si="58"/>
        <v>13250.857931250001</v>
      </c>
    </row>
    <row r="216" spans="1:14" s="28" customFormat="1" ht="14.25" x14ac:dyDescent="0.2">
      <c r="A216" s="25" t="s">
        <v>550</v>
      </c>
      <c r="B216" s="25"/>
      <c r="C216" s="26" t="s">
        <v>155</v>
      </c>
      <c r="D216" s="27">
        <f t="shared" si="55"/>
        <v>32378</v>
      </c>
      <c r="E216" s="27">
        <v>0</v>
      </c>
      <c r="F216" s="27">
        <v>0</v>
      </c>
      <c r="G216" s="27">
        <v>0</v>
      </c>
      <c r="H216" s="27">
        <v>928990</v>
      </c>
      <c r="I216" s="27">
        <v>0</v>
      </c>
      <c r="J216" s="27">
        <f t="shared" si="54"/>
        <v>0</v>
      </c>
      <c r="K216" s="27">
        <f t="shared" si="56"/>
        <v>32378</v>
      </c>
      <c r="L216" s="27">
        <f t="shared" si="57"/>
        <v>34401.625</v>
      </c>
      <c r="M216" s="107">
        <f t="shared" si="58"/>
        <v>36809.738749999997</v>
      </c>
      <c r="N216" s="133">
        <f t="shared" si="58"/>
        <v>39386.420462499998</v>
      </c>
    </row>
    <row r="217" spans="1:14" s="28" customFormat="1" ht="14.25" x14ac:dyDescent="0.2">
      <c r="A217" s="25" t="s">
        <v>551</v>
      </c>
      <c r="B217" s="25"/>
      <c r="C217" s="26" t="s">
        <v>156</v>
      </c>
      <c r="D217" s="27">
        <f t="shared" si="55"/>
        <v>243929</v>
      </c>
      <c r="E217" s="27">
        <v>0</v>
      </c>
      <c r="F217" s="27">
        <v>0</v>
      </c>
      <c r="G217" s="27">
        <v>0</v>
      </c>
      <c r="H217" s="27">
        <v>928990</v>
      </c>
      <c r="I217" s="27">
        <v>0</v>
      </c>
      <c r="J217" s="27">
        <f t="shared" si="54"/>
        <v>0</v>
      </c>
      <c r="K217" s="27">
        <f t="shared" si="56"/>
        <v>243929</v>
      </c>
      <c r="L217" s="27">
        <f t="shared" si="57"/>
        <v>259174.5625</v>
      </c>
      <c r="M217" s="107">
        <f t="shared" si="58"/>
        <v>277316.78187499999</v>
      </c>
      <c r="N217" s="133">
        <f t="shared" si="58"/>
        <v>296728.95660624997</v>
      </c>
    </row>
    <row r="218" spans="1:14" s="28" customFormat="1" ht="14.25" x14ac:dyDescent="0.2">
      <c r="A218" s="25" t="s">
        <v>552</v>
      </c>
      <c r="B218" s="25"/>
      <c r="C218" s="26" t="s">
        <v>158</v>
      </c>
      <c r="D218" s="27">
        <f t="shared" si="55"/>
        <v>0</v>
      </c>
      <c r="E218" s="27">
        <v>0</v>
      </c>
      <c r="F218" s="27">
        <v>0</v>
      </c>
      <c r="G218" s="27">
        <v>0</v>
      </c>
      <c r="H218" s="27">
        <v>928990</v>
      </c>
      <c r="I218" s="27">
        <v>0</v>
      </c>
      <c r="J218" s="27">
        <f t="shared" si="54"/>
        <v>0</v>
      </c>
      <c r="K218" s="27">
        <f t="shared" si="56"/>
        <v>0</v>
      </c>
      <c r="L218" s="27">
        <f t="shared" si="57"/>
        <v>0</v>
      </c>
      <c r="M218" s="107">
        <f t="shared" si="58"/>
        <v>0</v>
      </c>
      <c r="N218" s="133">
        <f t="shared" si="58"/>
        <v>0</v>
      </c>
    </row>
    <row r="219" spans="1:14" s="28" customFormat="1" ht="14.25" x14ac:dyDescent="0.2">
      <c r="A219" s="25" t="s">
        <v>553</v>
      </c>
      <c r="B219" s="25"/>
      <c r="C219" s="26" t="s">
        <v>159</v>
      </c>
      <c r="D219" s="27">
        <f t="shared" si="55"/>
        <v>81310</v>
      </c>
      <c r="E219" s="27">
        <v>0</v>
      </c>
      <c r="F219" s="27">
        <v>0</v>
      </c>
      <c r="G219" s="27">
        <v>0</v>
      </c>
      <c r="H219" s="27">
        <v>928990</v>
      </c>
      <c r="I219" s="27">
        <v>0</v>
      </c>
      <c r="J219" s="27">
        <f t="shared" si="54"/>
        <v>0</v>
      </c>
      <c r="K219" s="27">
        <f t="shared" si="56"/>
        <v>81310</v>
      </c>
      <c r="L219" s="27">
        <f t="shared" si="57"/>
        <v>86391.875</v>
      </c>
      <c r="M219" s="107">
        <f t="shared" si="58"/>
        <v>92439.306249999994</v>
      </c>
      <c r="N219" s="133">
        <f t="shared" si="58"/>
        <v>98910.057687499997</v>
      </c>
    </row>
    <row r="220" spans="1:14" s="28" customFormat="1" ht="14.25" x14ac:dyDescent="0.2">
      <c r="A220" s="25" t="s">
        <v>554</v>
      </c>
      <c r="B220" s="25"/>
      <c r="C220" s="26" t="s">
        <v>164</v>
      </c>
      <c r="D220" s="27">
        <f t="shared" si="55"/>
        <v>15692</v>
      </c>
      <c r="E220" s="27">
        <v>0</v>
      </c>
      <c r="F220" s="27">
        <v>0</v>
      </c>
      <c r="G220" s="27">
        <v>0</v>
      </c>
      <c r="H220" s="27">
        <v>928990</v>
      </c>
      <c r="I220" s="27">
        <v>0</v>
      </c>
      <c r="J220" s="27">
        <f t="shared" si="54"/>
        <v>0</v>
      </c>
      <c r="K220" s="27">
        <f t="shared" si="56"/>
        <v>15692</v>
      </c>
      <c r="L220" s="27">
        <f t="shared" si="57"/>
        <v>16672.75</v>
      </c>
      <c r="M220" s="107">
        <f t="shared" si="58"/>
        <v>17839.842499999999</v>
      </c>
      <c r="N220" s="133">
        <f t="shared" si="58"/>
        <v>19088.631474999998</v>
      </c>
    </row>
    <row r="221" spans="1:14" s="28" customFormat="1" ht="14.25" x14ac:dyDescent="0.2">
      <c r="A221" s="25"/>
      <c r="B221" s="25"/>
      <c r="C221" s="26"/>
      <c r="D221" s="27"/>
      <c r="E221" s="27"/>
      <c r="F221" s="27"/>
      <c r="G221" s="27"/>
      <c r="H221" s="27"/>
      <c r="I221" s="27"/>
      <c r="J221" s="27">
        <f t="shared" si="54"/>
        <v>0</v>
      </c>
      <c r="K221" s="27"/>
      <c r="L221" s="27">
        <f t="shared" si="57"/>
        <v>0</v>
      </c>
      <c r="M221" s="107"/>
      <c r="N221" s="133"/>
    </row>
    <row r="222" spans="1:14" s="24" customFormat="1" x14ac:dyDescent="0.25">
      <c r="A222" s="20"/>
      <c r="B222" s="20"/>
      <c r="C222" s="21" t="s">
        <v>165</v>
      </c>
      <c r="D222" s="22">
        <f>SUM(D212:D221)</f>
        <v>1485215</v>
      </c>
      <c r="E222" s="22">
        <v>125004.59</v>
      </c>
      <c r="F222" s="22">
        <v>0</v>
      </c>
      <c r="G222" s="22">
        <v>699742.98</v>
      </c>
      <c r="H222" s="22">
        <v>785472.02</v>
      </c>
      <c r="I222" s="22">
        <v>47.11</v>
      </c>
      <c r="J222" s="27">
        <f t="shared" si="54"/>
        <v>-28659.819999999832</v>
      </c>
      <c r="K222" s="22">
        <f>SUM(K212:K221)</f>
        <v>1456555.1800000002</v>
      </c>
      <c r="L222" s="22">
        <f>SUM(L212:L221)</f>
        <v>1547589.8787499999</v>
      </c>
      <c r="M222" s="134">
        <f>SUM(M212:M221)</f>
        <v>1655921.1702624999</v>
      </c>
      <c r="N222" s="134">
        <f>SUM(N212:N221)</f>
        <v>1771835.652180875</v>
      </c>
    </row>
    <row r="223" spans="1:14" s="24" customFormat="1" x14ac:dyDescent="0.25">
      <c r="A223" s="20"/>
      <c r="B223" s="20"/>
      <c r="C223" s="21"/>
      <c r="D223" s="22"/>
      <c r="E223" s="22"/>
      <c r="F223" s="22"/>
      <c r="G223" s="22"/>
      <c r="H223" s="22"/>
      <c r="I223" s="22"/>
      <c r="J223" s="27">
        <f t="shared" si="54"/>
        <v>0</v>
      </c>
      <c r="K223" s="27"/>
      <c r="L223" s="22"/>
      <c r="M223" s="134"/>
      <c r="N223" s="132"/>
    </row>
    <row r="224" spans="1:14" s="24" customFormat="1" x14ac:dyDescent="0.25">
      <c r="A224" s="20"/>
      <c r="B224" s="20"/>
      <c r="C224" s="21" t="s">
        <v>166</v>
      </c>
      <c r="D224" s="22"/>
      <c r="E224" s="22"/>
      <c r="F224" s="22"/>
      <c r="G224" s="22"/>
      <c r="H224" s="22"/>
      <c r="I224" s="22"/>
      <c r="J224" s="27">
        <f t="shared" si="54"/>
        <v>0</v>
      </c>
      <c r="K224" s="27"/>
      <c r="L224" s="22"/>
      <c r="M224" s="134"/>
      <c r="N224" s="132"/>
    </row>
    <row r="225" spans="1:14" s="24" customFormat="1" x14ac:dyDescent="0.25">
      <c r="A225" s="20"/>
      <c r="B225" s="20"/>
      <c r="C225" s="21"/>
      <c r="D225" s="22"/>
      <c r="E225" s="22"/>
      <c r="F225" s="22"/>
      <c r="G225" s="22"/>
      <c r="H225" s="22"/>
      <c r="I225" s="22"/>
      <c r="J225" s="27">
        <f t="shared" si="54"/>
        <v>0</v>
      </c>
      <c r="K225" s="27"/>
      <c r="L225" s="22"/>
      <c r="M225" s="134"/>
      <c r="N225" s="132"/>
    </row>
    <row r="226" spans="1:14" s="28" customFormat="1" ht="14.25" x14ac:dyDescent="0.2">
      <c r="A226" s="25" t="s">
        <v>555</v>
      </c>
      <c r="B226" s="25"/>
      <c r="C226" s="26" t="s">
        <v>167</v>
      </c>
      <c r="D226" s="27">
        <f>VLOOKUP(A226,fin,3,FALSE)</f>
        <v>225</v>
      </c>
      <c r="E226" s="27">
        <v>0</v>
      </c>
      <c r="F226" s="27">
        <v>0</v>
      </c>
      <c r="G226" s="27">
        <v>0</v>
      </c>
      <c r="H226" s="27">
        <v>928990</v>
      </c>
      <c r="I226" s="27">
        <v>0</v>
      </c>
      <c r="J226" s="27">
        <f t="shared" si="54"/>
        <v>0</v>
      </c>
      <c r="K226" s="27">
        <f>VLOOKUP(A226,fin,4,FALSE)</f>
        <v>225</v>
      </c>
      <c r="L226" s="27">
        <f t="shared" ref="L226:L229" si="59">K226*6.25/100+K226</f>
        <v>239.0625</v>
      </c>
      <c r="M226" s="107">
        <f t="shared" ref="M226:N229" si="60">L226*7/100+L226</f>
        <v>255.796875</v>
      </c>
      <c r="N226" s="133">
        <f t="shared" si="60"/>
        <v>273.70265625000002</v>
      </c>
    </row>
    <row r="227" spans="1:14" s="28" customFormat="1" ht="14.25" x14ac:dyDescent="0.2">
      <c r="A227" s="25" t="s">
        <v>556</v>
      </c>
      <c r="B227" s="25"/>
      <c r="C227" s="26" t="s">
        <v>168</v>
      </c>
      <c r="D227" s="27">
        <f>VLOOKUP(A227,fin,3,FALSE)</f>
        <v>107816</v>
      </c>
      <c r="E227" s="27">
        <v>0</v>
      </c>
      <c r="F227" s="27">
        <v>0</v>
      </c>
      <c r="G227" s="27">
        <v>0</v>
      </c>
      <c r="H227" s="27">
        <v>928990</v>
      </c>
      <c r="I227" s="27">
        <v>0</v>
      </c>
      <c r="J227" s="27">
        <f t="shared" si="54"/>
        <v>0</v>
      </c>
      <c r="K227" s="27">
        <f>VLOOKUP(A227,fin,4,FALSE)</f>
        <v>107816</v>
      </c>
      <c r="L227" s="27">
        <f t="shared" si="59"/>
        <v>114554.5</v>
      </c>
      <c r="M227" s="107">
        <f t="shared" si="60"/>
        <v>122573.315</v>
      </c>
      <c r="N227" s="133">
        <f t="shared" si="60"/>
        <v>131153.44705000002</v>
      </c>
    </row>
    <row r="228" spans="1:14" s="28" customFormat="1" ht="14.25" x14ac:dyDescent="0.2">
      <c r="A228" s="25" t="s">
        <v>557</v>
      </c>
      <c r="B228" s="25"/>
      <c r="C228" s="26" t="s">
        <v>169</v>
      </c>
      <c r="D228" s="27">
        <f>VLOOKUP(A228,fin,3,FALSE)</f>
        <v>214658</v>
      </c>
      <c r="E228" s="27">
        <v>0</v>
      </c>
      <c r="F228" s="27">
        <v>0</v>
      </c>
      <c r="G228" s="27">
        <v>0</v>
      </c>
      <c r="H228" s="27">
        <v>928990</v>
      </c>
      <c r="I228" s="27">
        <v>0</v>
      </c>
      <c r="J228" s="27">
        <f t="shared" si="54"/>
        <v>0</v>
      </c>
      <c r="K228" s="27">
        <f>VLOOKUP(A228,fin,4,FALSE)</f>
        <v>214658</v>
      </c>
      <c r="L228" s="27">
        <f t="shared" si="59"/>
        <v>228074.125</v>
      </c>
      <c r="M228" s="107">
        <f t="shared" si="60"/>
        <v>244039.31375</v>
      </c>
      <c r="N228" s="133">
        <f t="shared" si="60"/>
        <v>261122.06571250001</v>
      </c>
    </row>
    <row r="229" spans="1:14" s="28" customFormat="1" ht="14.25" x14ac:dyDescent="0.2">
      <c r="A229" s="25" t="s">
        <v>558</v>
      </c>
      <c r="B229" s="25"/>
      <c r="C229" s="26" t="s">
        <v>170</v>
      </c>
      <c r="D229" s="27">
        <f>VLOOKUP(A229,fin,3,FALSE)</f>
        <v>5355</v>
      </c>
      <c r="E229" s="27">
        <v>0</v>
      </c>
      <c r="F229" s="27">
        <v>0</v>
      </c>
      <c r="G229" s="27">
        <v>0</v>
      </c>
      <c r="H229" s="27">
        <v>928990</v>
      </c>
      <c r="I229" s="27">
        <v>0</v>
      </c>
      <c r="J229" s="27">
        <f t="shared" si="54"/>
        <v>0</v>
      </c>
      <c r="K229" s="27">
        <f>VLOOKUP(A229,fin,4,FALSE)</f>
        <v>5355</v>
      </c>
      <c r="L229" s="27">
        <f t="shared" si="59"/>
        <v>5689.6875</v>
      </c>
      <c r="M229" s="107">
        <f t="shared" si="60"/>
        <v>6087.9656249999998</v>
      </c>
      <c r="N229" s="133">
        <f t="shared" si="60"/>
        <v>6514.12321875</v>
      </c>
    </row>
    <row r="230" spans="1:14" s="28" customFormat="1" ht="14.25" x14ac:dyDescent="0.2">
      <c r="A230" s="25"/>
      <c r="B230" s="25"/>
      <c r="C230" s="26"/>
      <c r="D230" s="27"/>
      <c r="E230" s="27"/>
      <c r="F230" s="27"/>
      <c r="G230" s="27"/>
      <c r="H230" s="27"/>
      <c r="I230" s="27"/>
      <c r="J230" s="27">
        <f t="shared" si="54"/>
        <v>0</v>
      </c>
      <c r="K230" s="27"/>
      <c r="L230" s="27"/>
      <c r="M230" s="107"/>
      <c r="N230" s="133"/>
    </row>
    <row r="231" spans="1:14" s="24" customFormat="1" x14ac:dyDescent="0.25">
      <c r="A231" s="20"/>
      <c r="B231" s="20"/>
      <c r="C231" s="21" t="s">
        <v>171</v>
      </c>
      <c r="D231" s="22">
        <f>SUM(D226:D230)</f>
        <v>328054</v>
      </c>
      <c r="E231" s="22">
        <v>21701.040000000001</v>
      </c>
      <c r="F231" s="22">
        <v>0</v>
      </c>
      <c r="G231" s="22">
        <v>129945.8</v>
      </c>
      <c r="H231" s="22">
        <v>198108.2</v>
      </c>
      <c r="I231" s="22">
        <v>39.61</v>
      </c>
      <c r="J231" s="27">
        <f t="shared" si="54"/>
        <v>0</v>
      </c>
      <c r="K231" s="22">
        <f>SUM(K226:K230)</f>
        <v>328054</v>
      </c>
      <c r="L231" s="22">
        <f>SUM(L226:L230)</f>
        <v>348557.375</v>
      </c>
      <c r="M231" s="134">
        <f>SUM(M226:M230)</f>
        <v>372956.39125000004</v>
      </c>
      <c r="N231" s="134">
        <f>SUM(N226:N230)</f>
        <v>399063.33863750007</v>
      </c>
    </row>
    <row r="232" spans="1:14" s="24" customFormat="1" x14ac:dyDescent="0.25">
      <c r="A232" s="20"/>
      <c r="B232" s="20"/>
      <c r="C232" s="21"/>
      <c r="D232" s="22"/>
      <c r="E232" s="22"/>
      <c r="F232" s="22"/>
      <c r="G232" s="22"/>
      <c r="H232" s="22"/>
      <c r="I232" s="22"/>
      <c r="J232" s="27">
        <f t="shared" ref="J232:J263" si="61">+K232-D232</f>
        <v>0</v>
      </c>
      <c r="K232" s="27"/>
      <c r="L232" s="22"/>
      <c r="M232" s="134"/>
      <c r="N232" s="132"/>
    </row>
    <row r="233" spans="1:14" s="24" customFormat="1" x14ac:dyDescent="0.25">
      <c r="A233" s="20"/>
      <c r="B233" s="20"/>
      <c r="C233" s="21" t="s">
        <v>172</v>
      </c>
      <c r="D233" s="22"/>
      <c r="E233" s="22"/>
      <c r="F233" s="22"/>
      <c r="G233" s="22"/>
      <c r="H233" s="22"/>
      <c r="I233" s="22"/>
      <c r="J233" s="27">
        <f t="shared" si="61"/>
        <v>0</v>
      </c>
      <c r="K233" s="27"/>
      <c r="L233" s="22"/>
      <c r="M233" s="134"/>
      <c r="N233" s="132"/>
    </row>
    <row r="234" spans="1:14" s="28" customFormat="1" ht="14.25" x14ac:dyDescent="0.2">
      <c r="A234" s="25"/>
      <c r="B234" s="25"/>
      <c r="C234" s="26"/>
      <c r="D234" s="27"/>
      <c r="E234" s="27"/>
      <c r="F234" s="27"/>
      <c r="G234" s="27"/>
      <c r="H234" s="27"/>
      <c r="I234" s="27"/>
      <c r="J234" s="27">
        <f t="shared" si="61"/>
        <v>0</v>
      </c>
      <c r="K234" s="27"/>
      <c r="L234" s="27"/>
      <c r="M234" s="107"/>
      <c r="N234" s="133"/>
    </row>
    <row r="235" spans="1:14" s="28" customFormat="1" ht="14.25" x14ac:dyDescent="0.2">
      <c r="A235" s="25" t="s">
        <v>559</v>
      </c>
      <c r="B235" s="25"/>
      <c r="C235" s="26" t="s">
        <v>173</v>
      </c>
      <c r="D235" s="27">
        <f>VLOOKUP(A235,fin,3,FALSE)</f>
        <v>881</v>
      </c>
      <c r="E235" s="27">
        <v>0</v>
      </c>
      <c r="F235" s="27">
        <v>0</v>
      </c>
      <c r="G235" s="27">
        <v>0</v>
      </c>
      <c r="H235" s="27">
        <v>928990</v>
      </c>
      <c r="I235" s="27">
        <v>0</v>
      </c>
      <c r="J235" s="27">
        <f t="shared" si="61"/>
        <v>0</v>
      </c>
      <c r="K235" s="27">
        <f>VLOOKUP(A235,fin,4,FALSE)</f>
        <v>881</v>
      </c>
      <c r="L235" s="27">
        <f t="shared" ref="L235:L237" si="62">K235*6.25/100+K235</f>
        <v>936.0625</v>
      </c>
      <c r="M235" s="107">
        <f t="shared" ref="M235:N237" si="63">L235*7/100+L235</f>
        <v>1001.586875</v>
      </c>
      <c r="N235" s="133">
        <f t="shared" si="63"/>
        <v>1071.6979562500001</v>
      </c>
    </row>
    <row r="236" spans="1:14" s="28" customFormat="1" ht="14.25" x14ac:dyDescent="0.2">
      <c r="A236" s="25" t="s">
        <v>560</v>
      </c>
      <c r="B236" s="25"/>
      <c r="C236" s="26" t="s">
        <v>174</v>
      </c>
      <c r="D236" s="27">
        <f>VLOOKUP(A236,fin,3,FALSE)</f>
        <v>275</v>
      </c>
      <c r="E236" s="27">
        <v>0</v>
      </c>
      <c r="F236" s="27">
        <v>0</v>
      </c>
      <c r="G236" s="27">
        <v>0</v>
      </c>
      <c r="H236" s="27">
        <v>928990</v>
      </c>
      <c r="I236" s="27">
        <v>0</v>
      </c>
      <c r="J236" s="27">
        <f t="shared" si="61"/>
        <v>0</v>
      </c>
      <c r="K236" s="27">
        <f>VLOOKUP(A236,fin,4,FALSE)</f>
        <v>275</v>
      </c>
      <c r="L236" s="27">
        <f t="shared" si="62"/>
        <v>292.1875</v>
      </c>
      <c r="M236" s="107">
        <f t="shared" si="63"/>
        <v>312.640625</v>
      </c>
      <c r="N236" s="133">
        <f t="shared" si="63"/>
        <v>334.52546875000002</v>
      </c>
    </row>
    <row r="237" spans="1:14" s="28" customFormat="1" ht="14.25" x14ac:dyDescent="0.2">
      <c r="A237" s="25" t="s">
        <v>561</v>
      </c>
      <c r="B237" s="25"/>
      <c r="C237" s="26" t="s">
        <v>175</v>
      </c>
      <c r="D237" s="27">
        <f>VLOOKUP(A237,fin,3,FALSE)</f>
        <v>10931</v>
      </c>
      <c r="E237" s="27">
        <v>0</v>
      </c>
      <c r="F237" s="27">
        <v>0</v>
      </c>
      <c r="G237" s="27">
        <v>0</v>
      </c>
      <c r="H237" s="27">
        <v>928990</v>
      </c>
      <c r="I237" s="27">
        <v>0</v>
      </c>
      <c r="J237" s="27">
        <f t="shared" si="61"/>
        <v>0</v>
      </c>
      <c r="K237" s="27">
        <f>VLOOKUP(A237,fin,4,FALSE)</f>
        <v>10931</v>
      </c>
      <c r="L237" s="27">
        <f t="shared" si="62"/>
        <v>11614.1875</v>
      </c>
      <c r="M237" s="107">
        <f t="shared" si="63"/>
        <v>12427.180625000001</v>
      </c>
      <c r="N237" s="133">
        <f t="shared" si="63"/>
        <v>13297.083268750001</v>
      </c>
    </row>
    <row r="238" spans="1:14" s="28" customFormat="1" ht="14.25" x14ac:dyDescent="0.2">
      <c r="A238" s="25"/>
      <c r="B238" s="25"/>
      <c r="C238" s="26"/>
      <c r="D238" s="27"/>
      <c r="E238" s="27"/>
      <c r="F238" s="27"/>
      <c r="G238" s="27"/>
      <c r="H238" s="27"/>
      <c r="I238" s="27"/>
      <c r="J238" s="27">
        <f t="shared" si="61"/>
        <v>0</v>
      </c>
      <c r="K238" s="27"/>
      <c r="L238" s="27"/>
      <c r="M238" s="107"/>
      <c r="N238" s="133"/>
    </row>
    <row r="239" spans="1:14" s="24" customFormat="1" x14ac:dyDescent="0.25">
      <c r="A239" s="20"/>
      <c r="B239" s="20"/>
      <c r="C239" s="21" t="s">
        <v>176</v>
      </c>
      <c r="D239" s="22">
        <f>SUM(D235:D238)</f>
        <v>12087</v>
      </c>
      <c r="E239" s="22">
        <v>0</v>
      </c>
      <c r="F239" s="22">
        <v>0</v>
      </c>
      <c r="G239" s="22">
        <v>0</v>
      </c>
      <c r="H239" s="22">
        <v>12087</v>
      </c>
      <c r="I239" s="22">
        <v>0</v>
      </c>
      <c r="J239" s="27">
        <f t="shared" si="61"/>
        <v>0</v>
      </c>
      <c r="K239" s="22">
        <f>SUM(K235:K238)</f>
        <v>12087</v>
      </c>
      <c r="L239" s="22">
        <f>SUM(L235:L238)</f>
        <v>12842.4375</v>
      </c>
      <c r="M239" s="134">
        <f>SUM(M235:M238)</f>
        <v>13741.408125000002</v>
      </c>
      <c r="N239" s="134">
        <f>SUM(N235:N238)</f>
        <v>14703.306693750001</v>
      </c>
    </row>
    <row r="240" spans="1:14" s="24" customFormat="1" x14ac:dyDescent="0.25">
      <c r="A240" s="20"/>
      <c r="B240" s="20"/>
      <c r="C240" s="21"/>
      <c r="D240" s="22"/>
      <c r="E240" s="22"/>
      <c r="F240" s="22"/>
      <c r="G240" s="22"/>
      <c r="H240" s="22"/>
      <c r="I240" s="22"/>
      <c r="J240" s="27">
        <f t="shared" si="61"/>
        <v>0</v>
      </c>
      <c r="K240" s="22"/>
      <c r="L240" s="22"/>
      <c r="M240" s="134"/>
      <c r="N240" s="132"/>
    </row>
    <row r="241" spans="1:14" s="24" customFormat="1" x14ac:dyDescent="0.25">
      <c r="A241" s="20"/>
      <c r="B241" s="20"/>
      <c r="C241" s="21" t="s">
        <v>177</v>
      </c>
      <c r="D241" s="22">
        <f>+D222+D231+D239</f>
        <v>1825356</v>
      </c>
      <c r="E241" s="22">
        <v>146705.63</v>
      </c>
      <c r="F241" s="22">
        <v>0</v>
      </c>
      <c r="G241" s="22">
        <v>829688.78</v>
      </c>
      <c r="H241" s="22">
        <v>995667.22</v>
      </c>
      <c r="I241" s="22">
        <v>45.45</v>
      </c>
      <c r="J241" s="27">
        <f t="shared" si="61"/>
        <v>-28659.819999999832</v>
      </c>
      <c r="K241" s="22">
        <f>+K222+K231+K239</f>
        <v>1796696.1800000002</v>
      </c>
      <c r="L241" s="22">
        <f>+L222+L231+L239</f>
        <v>1908989.6912499999</v>
      </c>
      <c r="M241" s="134">
        <f>+M222+M231+M239</f>
        <v>2042618.9696375001</v>
      </c>
      <c r="N241" s="134">
        <f>+N222+N231+N239</f>
        <v>2185602.2975121248</v>
      </c>
    </row>
    <row r="242" spans="1:14" s="24" customFormat="1" x14ac:dyDescent="0.25">
      <c r="A242" s="20"/>
      <c r="B242" s="20"/>
      <c r="C242" s="21"/>
      <c r="D242" s="22"/>
      <c r="E242" s="22"/>
      <c r="F242" s="22"/>
      <c r="G242" s="22"/>
      <c r="H242" s="22"/>
      <c r="I242" s="22"/>
      <c r="J242" s="27">
        <f t="shared" si="61"/>
        <v>0</v>
      </c>
      <c r="K242" s="22"/>
      <c r="L242" s="22"/>
      <c r="M242" s="134"/>
      <c r="N242" s="132"/>
    </row>
    <row r="243" spans="1:14" s="24" customFormat="1" x14ac:dyDescent="0.25">
      <c r="A243" s="20"/>
      <c r="B243" s="20"/>
      <c r="C243" s="21" t="s">
        <v>178</v>
      </c>
      <c r="D243" s="22">
        <f>D241</f>
        <v>1825356</v>
      </c>
      <c r="E243" s="22">
        <v>146705.63</v>
      </c>
      <c r="F243" s="22">
        <v>0</v>
      </c>
      <c r="G243" s="22">
        <v>829688.78</v>
      </c>
      <c r="H243" s="22">
        <v>995667.22</v>
      </c>
      <c r="I243" s="22">
        <v>45.45</v>
      </c>
      <c r="J243" s="27">
        <f t="shared" si="61"/>
        <v>-28659.819999999832</v>
      </c>
      <c r="K243" s="22">
        <f>K241</f>
        <v>1796696.1800000002</v>
      </c>
      <c r="L243" s="22">
        <f>L241</f>
        <v>1908989.6912499999</v>
      </c>
      <c r="M243" s="134">
        <f>M241</f>
        <v>2042618.9696375001</v>
      </c>
      <c r="N243" s="134">
        <f>N241</f>
        <v>2185602.2975121248</v>
      </c>
    </row>
    <row r="244" spans="1:14" s="24" customFormat="1" x14ac:dyDescent="0.25">
      <c r="A244" s="20"/>
      <c r="B244" s="20"/>
      <c r="C244" s="21"/>
      <c r="D244" s="22"/>
      <c r="E244" s="22"/>
      <c r="F244" s="22"/>
      <c r="G244" s="22"/>
      <c r="H244" s="22"/>
      <c r="I244" s="22"/>
      <c r="J244" s="27">
        <f t="shared" si="61"/>
        <v>0</v>
      </c>
      <c r="K244" s="27"/>
      <c r="L244" s="22"/>
      <c r="M244" s="134"/>
      <c r="N244" s="132"/>
    </row>
    <row r="245" spans="1:14" s="24" customFormat="1" x14ac:dyDescent="0.25">
      <c r="A245" s="20"/>
      <c r="B245" s="20"/>
      <c r="C245" s="21" t="s">
        <v>241</v>
      </c>
      <c r="D245" s="22"/>
      <c r="E245" s="22"/>
      <c r="F245" s="22"/>
      <c r="G245" s="22"/>
      <c r="H245" s="22"/>
      <c r="I245" s="22"/>
      <c r="J245" s="27">
        <f t="shared" si="61"/>
        <v>0</v>
      </c>
      <c r="K245" s="27"/>
      <c r="L245" s="22"/>
      <c r="M245" s="134"/>
      <c r="N245" s="132"/>
    </row>
    <row r="246" spans="1:14" s="28" customFormat="1" ht="14.25" x14ac:dyDescent="0.2">
      <c r="A246" s="25"/>
      <c r="B246" s="25"/>
      <c r="C246" s="26"/>
      <c r="D246" s="27"/>
      <c r="E246" s="27"/>
      <c r="F246" s="27"/>
      <c r="G246" s="27"/>
      <c r="H246" s="27"/>
      <c r="I246" s="27"/>
      <c r="J246" s="27">
        <f t="shared" si="61"/>
        <v>0</v>
      </c>
      <c r="K246" s="27"/>
      <c r="L246" s="27"/>
      <c r="M246" s="107"/>
      <c r="N246" s="133"/>
    </row>
    <row r="247" spans="1:14" s="28" customFormat="1" ht="14.25" x14ac:dyDescent="0.2">
      <c r="A247" s="25" t="s">
        <v>562</v>
      </c>
      <c r="B247" s="25"/>
      <c r="C247" s="26" t="s">
        <v>265</v>
      </c>
      <c r="D247" s="27">
        <f>VLOOKUP(A247,fin,3,FALSE)</f>
        <v>0</v>
      </c>
      <c r="E247" s="27">
        <v>0</v>
      </c>
      <c r="F247" s="27">
        <v>0</v>
      </c>
      <c r="G247" s="27">
        <v>0</v>
      </c>
      <c r="H247" s="27">
        <v>928990</v>
      </c>
      <c r="I247" s="27">
        <v>0</v>
      </c>
      <c r="J247" s="27">
        <f t="shared" si="61"/>
        <v>20000</v>
      </c>
      <c r="K247" s="27">
        <f>VLOOKUP(A247,fin,4,FALSE)</f>
        <v>20000</v>
      </c>
      <c r="L247" s="27">
        <f t="shared" ref="L247:L248" si="64">K247*4.5/100+K247</f>
        <v>20900</v>
      </c>
      <c r="M247" s="107">
        <f t="shared" ref="M247:N247" si="65">L247*4.6/100+L247</f>
        <v>21861.4</v>
      </c>
      <c r="N247" s="133">
        <f t="shared" si="65"/>
        <v>22867.024400000002</v>
      </c>
    </row>
    <row r="248" spans="1:14" s="28" customFormat="1" ht="14.25" x14ac:dyDescent="0.2">
      <c r="A248" s="25" t="s">
        <v>563</v>
      </c>
      <c r="B248" s="25"/>
      <c r="C248" s="26" t="s">
        <v>268</v>
      </c>
      <c r="D248" s="27">
        <f>VLOOKUP(A248,fin,3,FALSE)</f>
        <v>0</v>
      </c>
      <c r="E248" s="27">
        <v>0</v>
      </c>
      <c r="F248" s="27">
        <v>0</v>
      </c>
      <c r="G248" s="27">
        <v>0</v>
      </c>
      <c r="H248" s="27">
        <v>928990</v>
      </c>
      <c r="I248" s="27">
        <v>0</v>
      </c>
      <c r="J248" s="27">
        <f t="shared" si="61"/>
        <v>120000</v>
      </c>
      <c r="K248" s="27">
        <f>VLOOKUP(A248,fin,4,FALSE)</f>
        <v>120000</v>
      </c>
      <c r="L248" s="27">
        <f t="shared" si="64"/>
        <v>125400</v>
      </c>
      <c r="M248" s="107">
        <f t="shared" ref="M248:N248" si="66">L248*4.6/100+L248</f>
        <v>131168.4</v>
      </c>
      <c r="N248" s="133">
        <f t="shared" si="66"/>
        <v>137202.1464</v>
      </c>
    </row>
    <row r="249" spans="1:14" s="28" customFormat="1" ht="14.25" x14ac:dyDescent="0.2">
      <c r="A249" s="25"/>
      <c r="B249" s="25"/>
      <c r="C249" s="26"/>
      <c r="D249" s="27"/>
      <c r="E249" s="27"/>
      <c r="F249" s="27"/>
      <c r="G249" s="27"/>
      <c r="H249" s="27"/>
      <c r="I249" s="27"/>
      <c r="J249" s="27">
        <f t="shared" si="61"/>
        <v>0</v>
      </c>
      <c r="K249" s="27"/>
      <c r="L249" s="27"/>
      <c r="M249" s="107"/>
      <c r="N249" s="133"/>
    </row>
    <row r="250" spans="1:14" s="24" customFormat="1" x14ac:dyDescent="0.25">
      <c r="A250" s="20"/>
      <c r="B250" s="20"/>
      <c r="C250" s="21" t="s">
        <v>274</v>
      </c>
      <c r="D250" s="22">
        <f>SUM(D247:D249)</f>
        <v>0</v>
      </c>
      <c r="E250" s="22">
        <v>21528.59</v>
      </c>
      <c r="F250" s="22">
        <v>0</v>
      </c>
      <c r="G250" s="22">
        <v>66246.38</v>
      </c>
      <c r="H250" s="22">
        <v>-66246.38</v>
      </c>
      <c r="I250" s="22">
        <v>0</v>
      </c>
      <c r="J250" s="27">
        <f t="shared" si="61"/>
        <v>140000</v>
      </c>
      <c r="K250" s="22">
        <f>SUM(K247:K249)</f>
        <v>140000</v>
      </c>
      <c r="L250" s="22">
        <f>SUM(L247:L249)</f>
        <v>146300</v>
      </c>
      <c r="M250" s="134">
        <f>SUM(M247:M249)</f>
        <v>153029.79999999999</v>
      </c>
      <c r="N250" s="134">
        <f>SUM(N247:N249)</f>
        <v>160069.17079999999</v>
      </c>
    </row>
    <row r="251" spans="1:14" s="24" customFormat="1" x14ac:dyDescent="0.25">
      <c r="A251" s="20"/>
      <c r="B251" s="20"/>
      <c r="C251" s="21"/>
      <c r="D251" s="22"/>
      <c r="E251" s="22"/>
      <c r="F251" s="22"/>
      <c r="G251" s="22"/>
      <c r="H251" s="22"/>
      <c r="I251" s="22"/>
      <c r="J251" s="27">
        <f t="shared" si="61"/>
        <v>0</v>
      </c>
      <c r="K251" s="27"/>
      <c r="L251" s="22"/>
      <c r="M251" s="134"/>
      <c r="N251" s="132"/>
    </row>
    <row r="252" spans="1:14" s="24" customFormat="1" x14ac:dyDescent="0.25">
      <c r="A252" s="20"/>
      <c r="B252" s="20"/>
      <c r="C252" s="21" t="s">
        <v>290</v>
      </c>
      <c r="D252" s="22"/>
      <c r="E252" s="22"/>
      <c r="F252" s="22"/>
      <c r="G252" s="22"/>
      <c r="H252" s="22"/>
      <c r="I252" s="22"/>
      <c r="J252" s="27">
        <f t="shared" si="61"/>
        <v>0</v>
      </c>
      <c r="K252" s="27"/>
      <c r="L252" s="22"/>
      <c r="M252" s="134"/>
      <c r="N252" s="132"/>
    </row>
    <row r="253" spans="1:14" s="28" customFormat="1" ht="14.25" x14ac:dyDescent="0.2">
      <c r="A253" s="25"/>
      <c r="B253" s="25"/>
      <c r="C253" s="26"/>
      <c r="D253" s="27"/>
      <c r="E253" s="27"/>
      <c r="F253" s="27"/>
      <c r="G253" s="27"/>
      <c r="H253" s="27"/>
      <c r="I253" s="27"/>
      <c r="J253" s="27">
        <f t="shared" si="61"/>
        <v>0</v>
      </c>
      <c r="K253" s="27"/>
      <c r="L253" s="27"/>
      <c r="M253" s="107"/>
      <c r="N253" s="133"/>
    </row>
    <row r="254" spans="1:14" s="28" customFormat="1" ht="14.25" x14ac:dyDescent="0.2">
      <c r="A254" s="25" t="s">
        <v>564</v>
      </c>
      <c r="B254" s="25"/>
      <c r="C254" s="26" t="s">
        <v>291</v>
      </c>
      <c r="D254" s="27">
        <f>VLOOKUP(A254,fin,3,FALSE)</f>
        <v>4770</v>
      </c>
      <c r="E254" s="27">
        <v>0</v>
      </c>
      <c r="F254" s="27">
        <v>0</v>
      </c>
      <c r="G254" s="27">
        <v>0</v>
      </c>
      <c r="H254" s="27">
        <v>928990</v>
      </c>
      <c r="I254" s="27">
        <v>0</v>
      </c>
      <c r="J254" s="27">
        <f t="shared" si="61"/>
        <v>-4770</v>
      </c>
      <c r="K254" s="27">
        <f>VLOOKUP(A254,fin,4,FALSE)</f>
        <v>0</v>
      </c>
      <c r="L254" s="27">
        <f t="shared" ref="L254:L257" si="67">K254*4.5/100+K254</f>
        <v>0</v>
      </c>
      <c r="M254" s="107">
        <f t="shared" ref="M254:N254" si="68">L254*4.6/100+L254</f>
        <v>0</v>
      </c>
      <c r="N254" s="133">
        <f t="shared" si="68"/>
        <v>0</v>
      </c>
    </row>
    <row r="255" spans="1:14" s="28" customFormat="1" ht="14.25" x14ac:dyDescent="0.2">
      <c r="A255" s="25" t="s">
        <v>565</v>
      </c>
      <c r="B255" s="25"/>
      <c r="C255" s="26" t="s">
        <v>292</v>
      </c>
      <c r="D255" s="27">
        <f>VLOOKUP(A255,fin,3,FALSE)</f>
        <v>4770</v>
      </c>
      <c r="E255" s="27">
        <v>0</v>
      </c>
      <c r="F255" s="27">
        <v>0</v>
      </c>
      <c r="G255" s="27">
        <v>0</v>
      </c>
      <c r="H255" s="27">
        <v>928990</v>
      </c>
      <c r="I255" s="27">
        <v>0</v>
      </c>
      <c r="J255" s="27">
        <f t="shared" si="61"/>
        <v>0</v>
      </c>
      <c r="K255" s="27">
        <f>VLOOKUP(A255,fin,4,FALSE)</f>
        <v>4770</v>
      </c>
      <c r="L255" s="27">
        <f t="shared" si="67"/>
        <v>4984.6499999999996</v>
      </c>
      <c r="M255" s="107">
        <f t="shared" ref="M255:N255" si="69">L255*4.6/100+L255</f>
        <v>5213.9438999999993</v>
      </c>
      <c r="N255" s="133">
        <f t="shared" si="69"/>
        <v>5453.785319399999</v>
      </c>
    </row>
    <row r="256" spans="1:14" s="28" customFormat="1" ht="14.25" x14ac:dyDescent="0.2">
      <c r="A256" s="25" t="s">
        <v>566</v>
      </c>
      <c r="B256" s="25"/>
      <c r="C256" s="26" t="s">
        <v>293</v>
      </c>
      <c r="D256" s="27">
        <f>VLOOKUP(A256,fin,3,FALSE)</f>
        <v>19904</v>
      </c>
      <c r="E256" s="27">
        <v>0</v>
      </c>
      <c r="F256" s="27">
        <v>0</v>
      </c>
      <c r="G256" s="27">
        <v>0</v>
      </c>
      <c r="H256" s="27">
        <v>928990</v>
      </c>
      <c r="I256" s="27">
        <v>0</v>
      </c>
      <c r="J256" s="27">
        <f t="shared" si="61"/>
        <v>0</v>
      </c>
      <c r="K256" s="27">
        <f>VLOOKUP(A256,fin,4,FALSE)</f>
        <v>19904</v>
      </c>
      <c r="L256" s="27">
        <f t="shared" si="67"/>
        <v>20799.68</v>
      </c>
      <c r="M256" s="107">
        <f t="shared" ref="M256:N256" si="70">L256*4.6/100+L256</f>
        <v>21756.46528</v>
      </c>
      <c r="N256" s="133">
        <f t="shared" si="70"/>
        <v>22757.262682880002</v>
      </c>
    </row>
    <row r="257" spans="1:14" s="28" customFormat="1" ht="14.25" x14ac:dyDescent="0.2">
      <c r="A257" s="25" t="s">
        <v>567</v>
      </c>
      <c r="B257" s="25"/>
      <c r="C257" s="26" t="s">
        <v>297</v>
      </c>
      <c r="D257" s="27">
        <f>VLOOKUP(A257,fin,3,FALSE)</f>
        <v>0</v>
      </c>
      <c r="E257" s="27">
        <v>0</v>
      </c>
      <c r="F257" s="27">
        <v>0</v>
      </c>
      <c r="G257" s="27">
        <v>0</v>
      </c>
      <c r="H257" s="27">
        <v>928990</v>
      </c>
      <c r="I257" s="27">
        <v>0</v>
      </c>
      <c r="J257" s="27">
        <f t="shared" si="61"/>
        <v>0</v>
      </c>
      <c r="K257" s="27">
        <f>VLOOKUP(A257,fin,4,FALSE)</f>
        <v>0</v>
      </c>
      <c r="L257" s="27">
        <f t="shared" si="67"/>
        <v>0</v>
      </c>
      <c r="M257" s="107">
        <f t="shared" ref="M257:N257" si="71">L257*4.6/100+L257</f>
        <v>0</v>
      </c>
      <c r="N257" s="133">
        <f t="shared" si="71"/>
        <v>0</v>
      </c>
    </row>
    <row r="258" spans="1:14" s="28" customFormat="1" ht="14.25" x14ac:dyDescent="0.2">
      <c r="A258" s="25"/>
      <c r="B258" s="25"/>
      <c r="C258" s="26"/>
      <c r="D258" s="27"/>
      <c r="E258" s="27"/>
      <c r="F258" s="27"/>
      <c r="G258" s="27"/>
      <c r="H258" s="27"/>
      <c r="I258" s="27"/>
      <c r="J258" s="27">
        <f t="shared" si="61"/>
        <v>0</v>
      </c>
      <c r="K258" s="27"/>
      <c r="L258" s="78"/>
      <c r="M258" s="78"/>
      <c r="N258" s="133"/>
    </row>
    <row r="259" spans="1:14" s="24" customFormat="1" x14ac:dyDescent="0.25">
      <c r="A259" s="20"/>
      <c r="B259" s="20"/>
      <c r="C259" s="21" t="s">
        <v>304</v>
      </c>
      <c r="D259" s="22">
        <f>SUM(D254:D258)</f>
        <v>29444</v>
      </c>
      <c r="E259" s="22">
        <f>SUM(E254:E258)</f>
        <v>0</v>
      </c>
      <c r="F259" s="22">
        <f>SUM(F254:F258)</f>
        <v>0</v>
      </c>
      <c r="G259" s="22">
        <f>SUM(G254:G258)</f>
        <v>0</v>
      </c>
      <c r="H259" s="22">
        <f>SUM(H254:H258)</f>
        <v>3715960</v>
      </c>
      <c r="I259" s="22">
        <v>163.22999999999999</v>
      </c>
      <c r="J259" s="27">
        <f t="shared" si="61"/>
        <v>-4770</v>
      </c>
      <c r="K259" s="22">
        <f>SUM(K254:K258)</f>
        <v>24674</v>
      </c>
      <c r="L259" s="22">
        <f>SUM(L254:L258)</f>
        <v>25784.33</v>
      </c>
      <c r="M259" s="134">
        <f>SUM(M254:M258)</f>
        <v>26970.409179999999</v>
      </c>
      <c r="N259" s="134">
        <f>SUM(N254:N258)</f>
        <v>28211.04800228</v>
      </c>
    </row>
    <row r="260" spans="1:14" s="24" customFormat="1" x14ac:dyDescent="0.25">
      <c r="A260" s="20"/>
      <c r="B260" s="20"/>
      <c r="C260" s="21"/>
      <c r="D260" s="22"/>
      <c r="E260" s="22"/>
      <c r="F260" s="22"/>
      <c r="G260" s="22"/>
      <c r="H260" s="22"/>
      <c r="I260" s="22"/>
      <c r="J260" s="27">
        <f t="shared" si="61"/>
        <v>0</v>
      </c>
      <c r="K260" s="22"/>
      <c r="L260" s="22"/>
      <c r="M260" s="134"/>
      <c r="N260" s="132"/>
    </row>
    <row r="261" spans="1:14" s="24" customFormat="1" x14ac:dyDescent="0.25">
      <c r="A261" s="20"/>
      <c r="B261" s="20"/>
      <c r="C261" s="21" t="s">
        <v>305</v>
      </c>
      <c r="D261" s="22">
        <f>D243+D250+D259</f>
        <v>1854800</v>
      </c>
      <c r="E261" s="22">
        <f t="shared" ref="E261:N261" si="72">E243+E250+E259</f>
        <v>168234.22</v>
      </c>
      <c r="F261" s="22">
        <f t="shared" si="72"/>
        <v>0</v>
      </c>
      <c r="G261" s="22">
        <f t="shared" si="72"/>
        <v>895935.16</v>
      </c>
      <c r="H261" s="22">
        <f t="shared" si="72"/>
        <v>4645380.84</v>
      </c>
      <c r="I261" s="22">
        <f t="shared" si="72"/>
        <v>208.68</v>
      </c>
      <c r="J261" s="22">
        <f t="shared" si="72"/>
        <v>106570.18000000017</v>
      </c>
      <c r="K261" s="22">
        <f t="shared" si="72"/>
        <v>1961370.1800000002</v>
      </c>
      <c r="L261" s="22">
        <f t="shared" si="72"/>
        <v>2081074.02125</v>
      </c>
      <c r="M261" s="22">
        <f t="shared" si="72"/>
        <v>2222619.1788174999</v>
      </c>
      <c r="N261" s="22">
        <f t="shared" si="72"/>
        <v>2373882.5163144046</v>
      </c>
    </row>
    <row r="262" spans="1:14" s="24" customFormat="1" x14ac:dyDescent="0.25">
      <c r="A262" s="20"/>
      <c r="B262" s="20"/>
      <c r="C262" s="21"/>
      <c r="D262" s="22"/>
      <c r="E262" s="22"/>
      <c r="F262" s="22"/>
      <c r="G262" s="22"/>
      <c r="H262" s="22"/>
      <c r="I262" s="22"/>
      <c r="J262" s="27">
        <f t="shared" si="61"/>
        <v>0</v>
      </c>
      <c r="K262" s="27"/>
      <c r="L262" s="22"/>
      <c r="M262" s="134"/>
      <c r="N262" s="132"/>
    </row>
    <row r="263" spans="1:14" s="24" customFormat="1" x14ac:dyDescent="0.25">
      <c r="A263" s="20"/>
      <c r="B263" s="20"/>
      <c r="C263" s="21" t="s">
        <v>568</v>
      </c>
      <c r="D263" s="22"/>
      <c r="E263" s="22"/>
      <c r="F263" s="22"/>
      <c r="G263" s="22"/>
      <c r="H263" s="22"/>
      <c r="I263" s="22"/>
      <c r="J263" s="27">
        <f t="shared" si="61"/>
        <v>0</v>
      </c>
      <c r="K263" s="27"/>
      <c r="L263" s="22"/>
      <c r="M263" s="134"/>
      <c r="N263" s="132"/>
    </row>
    <row r="264" spans="1:14" s="24" customFormat="1" x14ac:dyDescent="0.25">
      <c r="A264" s="20"/>
      <c r="B264" s="20"/>
      <c r="C264" s="21" t="s">
        <v>96</v>
      </c>
      <c r="D264" s="22"/>
      <c r="E264" s="22"/>
      <c r="F264" s="22"/>
      <c r="G264" s="22"/>
      <c r="H264" s="22"/>
      <c r="I264" s="22"/>
      <c r="J264" s="27">
        <f t="shared" ref="J264:J295" si="73">+K264-D264</f>
        <v>0</v>
      </c>
      <c r="K264" s="27"/>
      <c r="L264" s="22"/>
      <c r="M264" s="134"/>
      <c r="N264" s="132"/>
    </row>
    <row r="265" spans="1:14" s="24" customFormat="1" x14ac:dyDescent="0.25">
      <c r="A265" s="20"/>
      <c r="B265" s="20"/>
      <c r="C265" s="21" t="s">
        <v>97</v>
      </c>
      <c r="D265" s="22"/>
      <c r="E265" s="22"/>
      <c r="F265" s="22"/>
      <c r="G265" s="22"/>
      <c r="H265" s="22"/>
      <c r="I265" s="22"/>
      <c r="J265" s="27">
        <f t="shared" si="73"/>
        <v>0</v>
      </c>
      <c r="K265" s="27"/>
      <c r="L265" s="22"/>
      <c r="M265" s="134"/>
      <c r="N265" s="132"/>
    </row>
    <row r="266" spans="1:14" s="24" customFormat="1" x14ac:dyDescent="0.25">
      <c r="A266" s="20"/>
      <c r="B266" s="20"/>
      <c r="C266" s="21" t="s">
        <v>148</v>
      </c>
      <c r="D266" s="22"/>
      <c r="E266" s="22"/>
      <c r="F266" s="22"/>
      <c r="G266" s="22"/>
      <c r="H266" s="22"/>
      <c r="I266" s="22"/>
      <c r="J266" s="27">
        <f t="shared" si="73"/>
        <v>0</v>
      </c>
      <c r="K266" s="27"/>
      <c r="L266" s="22"/>
      <c r="M266" s="134"/>
      <c r="N266" s="132"/>
    </row>
    <row r="267" spans="1:14" s="24" customFormat="1" x14ac:dyDescent="0.25">
      <c r="A267" s="20"/>
      <c r="B267" s="20"/>
      <c r="C267" s="21" t="s">
        <v>149</v>
      </c>
      <c r="D267" s="22"/>
      <c r="E267" s="22"/>
      <c r="F267" s="22"/>
      <c r="G267" s="22"/>
      <c r="H267" s="22"/>
      <c r="I267" s="22"/>
      <c r="J267" s="27">
        <f t="shared" si="73"/>
        <v>0</v>
      </c>
      <c r="K267" s="27"/>
      <c r="L267" s="22"/>
      <c r="M267" s="134"/>
      <c r="N267" s="132"/>
    </row>
    <row r="268" spans="1:14" s="28" customFormat="1" ht="14.25" x14ac:dyDescent="0.2">
      <c r="A268" s="25"/>
      <c r="B268" s="25"/>
      <c r="C268" s="26"/>
      <c r="D268" s="27"/>
      <c r="E268" s="27"/>
      <c r="F268" s="27"/>
      <c r="G268" s="27"/>
      <c r="H268" s="27"/>
      <c r="I268" s="27"/>
      <c r="J268" s="27">
        <f t="shared" si="73"/>
        <v>0</v>
      </c>
      <c r="K268" s="27"/>
      <c r="L268" s="27"/>
      <c r="M268" s="107"/>
      <c r="N268" s="133"/>
    </row>
    <row r="269" spans="1:14" s="28" customFormat="1" ht="14.25" x14ac:dyDescent="0.2">
      <c r="A269" s="25" t="s">
        <v>569</v>
      </c>
      <c r="B269" s="25"/>
      <c r="C269" s="26" t="s">
        <v>150</v>
      </c>
      <c r="D269" s="27">
        <f t="shared" ref="D269:D274" si="74">VLOOKUP(A269,fin,3,FALSE)</f>
        <v>210622</v>
      </c>
      <c r="E269" s="27">
        <v>0</v>
      </c>
      <c r="F269" s="27">
        <v>0</v>
      </c>
      <c r="G269" s="27">
        <v>0</v>
      </c>
      <c r="H269" s="27">
        <v>928990</v>
      </c>
      <c r="I269" s="27">
        <v>0</v>
      </c>
      <c r="J269" s="27">
        <f t="shared" si="73"/>
        <v>0</v>
      </c>
      <c r="K269" s="27">
        <f t="shared" ref="K269:K274" si="75">VLOOKUP(A269,fin,4,FALSE)</f>
        <v>210622</v>
      </c>
      <c r="L269" s="27">
        <f t="shared" ref="L269:L274" si="76">K269*6.25/100+K269</f>
        <v>223785.875</v>
      </c>
      <c r="M269" s="107">
        <f t="shared" ref="M269:N274" si="77">L269*7/100+L269</f>
        <v>239450.88625000001</v>
      </c>
      <c r="N269" s="133">
        <f t="shared" si="77"/>
        <v>256212.44828750001</v>
      </c>
    </row>
    <row r="270" spans="1:14" s="28" customFormat="1" ht="14.25" x14ac:dyDescent="0.2">
      <c r="A270" s="25" t="s">
        <v>570</v>
      </c>
      <c r="B270" s="25"/>
      <c r="C270" s="26" t="s">
        <v>151</v>
      </c>
      <c r="D270" s="27">
        <f t="shared" si="74"/>
        <v>9842</v>
      </c>
      <c r="E270" s="27">
        <v>0</v>
      </c>
      <c r="F270" s="27">
        <v>0</v>
      </c>
      <c r="G270" s="27">
        <v>0</v>
      </c>
      <c r="H270" s="27">
        <v>928990</v>
      </c>
      <c r="I270" s="27">
        <v>0</v>
      </c>
      <c r="J270" s="27">
        <f t="shared" si="73"/>
        <v>0</v>
      </c>
      <c r="K270" s="27">
        <f t="shared" si="75"/>
        <v>9842</v>
      </c>
      <c r="L270" s="27">
        <f t="shared" si="76"/>
        <v>10457.125</v>
      </c>
      <c r="M270" s="107">
        <f t="shared" si="77"/>
        <v>11189.123750000001</v>
      </c>
      <c r="N270" s="133">
        <f t="shared" si="77"/>
        <v>11972.362412500001</v>
      </c>
    </row>
    <row r="271" spans="1:14" s="28" customFormat="1" ht="14.25" x14ac:dyDescent="0.2">
      <c r="A271" s="25" t="s">
        <v>571</v>
      </c>
      <c r="B271" s="25"/>
      <c r="C271" s="26" t="s">
        <v>153</v>
      </c>
      <c r="D271" s="27">
        <f t="shared" si="74"/>
        <v>10893</v>
      </c>
      <c r="E271" s="27">
        <v>0</v>
      </c>
      <c r="F271" s="27">
        <v>0</v>
      </c>
      <c r="G271" s="27">
        <v>0</v>
      </c>
      <c r="H271" s="27">
        <v>928990</v>
      </c>
      <c r="I271" s="27">
        <v>0</v>
      </c>
      <c r="J271" s="27">
        <f t="shared" si="73"/>
        <v>0</v>
      </c>
      <c r="K271" s="27">
        <f t="shared" si="75"/>
        <v>10893</v>
      </c>
      <c r="L271" s="27">
        <f t="shared" si="76"/>
        <v>11573.8125</v>
      </c>
      <c r="M271" s="107">
        <f t="shared" si="77"/>
        <v>12383.979375000001</v>
      </c>
      <c r="N271" s="133">
        <f t="shared" si="77"/>
        <v>13250.857931250001</v>
      </c>
    </row>
    <row r="272" spans="1:14" s="28" customFormat="1" ht="14.25" x14ac:dyDescent="0.2">
      <c r="A272" s="25" t="s">
        <v>572</v>
      </c>
      <c r="B272" s="25"/>
      <c r="C272" s="26" t="s">
        <v>155</v>
      </c>
      <c r="D272" s="27">
        <f t="shared" si="74"/>
        <v>6989</v>
      </c>
      <c r="E272" s="27">
        <v>0</v>
      </c>
      <c r="F272" s="27">
        <v>0</v>
      </c>
      <c r="G272" s="27">
        <v>0</v>
      </c>
      <c r="H272" s="27">
        <v>928990</v>
      </c>
      <c r="I272" s="27">
        <v>0</v>
      </c>
      <c r="J272" s="27">
        <f t="shared" si="73"/>
        <v>0</v>
      </c>
      <c r="K272" s="27">
        <f t="shared" si="75"/>
        <v>6989</v>
      </c>
      <c r="L272" s="27">
        <f t="shared" si="76"/>
        <v>7425.8125</v>
      </c>
      <c r="M272" s="107">
        <f t="shared" si="77"/>
        <v>7945.6193750000002</v>
      </c>
      <c r="N272" s="133">
        <f t="shared" si="77"/>
        <v>8501.8127312500001</v>
      </c>
    </row>
    <row r="273" spans="1:14" s="28" customFormat="1" ht="14.25" x14ac:dyDescent="0.2">
      <c r="A273" s="25" t="s">
        <v>573</v>
      </c>
      <c r="B273" s="25"/>
      <c r="C273" s="26" t="s">
        <v>157</v>
      </c>
      <c r="D273" s="27">
        <f t="shared" si="74"/>
        <v>7374</v>
      </c>
      <c r="E273" s="27">
        <v>0</v>
      </c>
      <c r="F273" s="27">
        <v>0</v>
      </c>
      <c r="G273" s="27">
        <v>0</v>
      </c>
      <c r="H273" s="27">
        <v>928990</v>
      </c>
      <c r="I273" s="27">
        <v>0</v>
      </c>
      <c r="J273" s="27">
        <f t="shared" si="73"/>
        <v>0</v>
      </c>
      <c r="K273" s="27">
        <f t="shared" si="75"/>
        <v>7374</v>
      </c>
      <c r="L273" s="27">
        <f t="shared" si="76"/>
        <v>7834.875</v>
      </c>
      <c r="M273" s="107">
        <f t="shared" si="77"/>
        <v>8383.3162499999999</v>
      </c>
      <c r="N273" s="133">
        <f t="shared" si="77"/>
        <v>8970.1483874999994</v>
      </c>
    </row>
    <row r="274" spans="1:14" s="28" customFormat="1" ht="14.25" x14ac:dyDescent="0.2">
      <c r="A274" s="25" t="s">
        <v>574</v>
      </c>
      <c r="B274" s="25"/>
      <c r="C274" s="26" t="s">
        <v>159</v>
      </c>
      <c r="D274" s="27">
        <f t="shared" si="74"/>
        <v>17552</v>
      </c>
      <c r="E274" s="27">
        <v>0</v>
      </c>
      <c r="F274" s="27">
        <v>0</v>
      </c>
      <c r="G274" s="27">
        <v>0</v>
      </c>
      <c r="H274" s="27">
        <v>928990</v>
      </c>
      <c r="I274" s="27">
        <v>0</v>
      </c>
      <c r="J274" s="27">
        <f t="shared" si="73"/>
        <v>0</v>
      </c>
      <c r="K274" s="27">
        <f t="shared" si="75"/>
        <v>17552</v>
      </c>
      <c r="L274" s="27">
        <f t="shared" si="76"/>
        <v>18649</v>
      </c>
      <c r="M274" s="107">
        <f t="shared" si="77"/>
        <v>19954.43</v>
      </c>
      <c r="N274" s="133">
        <f t="shared" si="77"/>
        <v>21351.240099999999</v>
      </c>
    </row>
    <row r="275" spans="1:14" s="28" customFormat="1" ht="14.25" x14ac:dyDescent="0.2">
      <c r="A275" s="25"/>
      <c r="B275" s="25"/>
      <c r="C275" s="26"/>
      <c r="D275" s="27"/>
      <c r="E275" s="27"/>
      <c r="F275" s="27"/>
      <c r="G275" s="27"/>
      <c r="H275" s="27"/>
      <c r="I275" s="27"/>
      <c r="J275" s="27">
        <f t="shared" si="73"/>
        <v>0</v>
      </c>
      <c r="K275" s="27"/>
      <c r="L275" s="27"/>
      <c r="M275" s="107"/>
      <c r="N275" s="133"/>
    </row>
    <row r="276" spans="1:14" s="24" customFormat="1" x14ac:dyDescent="0.25">
      <c r="A276" s="20"/>
      <c r="B276" s="20"/>
      <c r="C276" s="21" t="s">
        <v>165</v>
      </c>
      <c r="D276" s="22">
        <f>SUM(D269:D275)</f>
        <v>263272</v>
      </c>
      <c r="E276" s="22">
        <v>0</v>
      </c>
      <c r="F276" s="22">
        <v>0</v>
      </c>
      <c r="G276" s="22">
        <v>0</v>
      </c>
      <c r="H276" s="22">
        <v>263272</v>
      </c>
      <c r="I276" s="22">
        <v>0</v>
      </c>
      <c r="J276" s="27">
        <f t="shared" si="73"/>
        <v>0</v>
      </c>
      <c r="K276" s="22">
        <f>SUM(K269:K275)</f>
        <v>263272</v>
      </c>
      <c r="L276" s="22">
        <f>SUM(L269:L275)</f>
        <v>279726.5</v>
      </c>
      <c r="M276" s="134">
        <f>SUM(M269:M275)</f>
        <v>299307.35499999998</v>
      </c>
      <c r="N276" s="134">
        <f>SUM(N269:N275)</f>
        <v>320258.86985000008</v>
      </c>
    </row>
    <row r="277" spans="1:14" s="24" customFormat="1" x14ac:dyDescent="0.25">
      <c r="A277" s="20"/>
      <c r="B277" s="20"/>
      <c r="C277" s="21"/>
      <c r="D277" s="22"/>
      <c r="E277" s="22"/>
      <c r="F277" s="22"/>
      <c r="G277" s="22"/>
      <c r="H277" s="22"/>
      <c r="I277" s="22"/>
      <c r="J277" s="27">
        <f t="shared" si="73"/>
        <v>0</v>
      </c>
      <c r="K277" s="27"/>
      <c r="L277" s="22"/>
      <c r="M277" s="134"/>
      <c r="N277" s="132"/>
    </row>
    <row r="278" spans="1:14" s="24" customFormat="1" x14ac:dyDescent="0.25">
      <c r="A278" s="20"/>
      <c r="B278" s="20"/>
      <c r="C278" s="21" t="s">
        <v>166</v>
      </c>
      <c r="D278" s="22"/>
      <c r="E278" s="22"/>
      <c r="F278" s="22"/>
      <c r="G278" s="22"/>
      <c r="H278" s="22"/>
      <c r="I278" s="22"/>
      <c r="J278" s="27">
        <f t="shared" si="73"/>
        <v>0</v>
      </c>
      <c r="K278" s="27"/>
      <c r="L278" s="22"/>
      <c r="M278" s="134"/>
      <c r="N278" s="132"/>
    </row>
    <row r="279" spans="1:14" s="28" customFormat="1" ht="14.25" x14ac:dyDescent="0.2">
      <c r="A279" s="25"/>
      <c r="B279" s="25"/>
      <c r="C279" s="26"/>
      <c r="D279" s="27"/>
      <c r="E279" s="27"/>
      <c r="F279" s="27"/>
      <c r="G279" s="27"/>
      <c r="H279" s="27"/>
      <c r="I279" s="27"/>
      <c r="J279" s="27">
        <f t="shared" si="73"/>
        <v>0</v>
      </c>
      <c r="K279" s="27"/>
      <c r="L279" s="27"/>
      <c r="M279" s="107"/>
      <c r="N279" s="133"/>
    </row>
    <row r="280" spans="1:14" s="28" customFormat="1" ht="14.25" x14ac:dyDescent="0.2">
      <c r="A280" s="25" t="s">
        <v>575</v>
      </c>
      <c r="B280" s="25"/>
      <c r="C280" s="26" t="s">
        <v>167</v>
      </c>
      <c r="D280" s="27">
        <f>VLOOKUP(A280,fin,3,FALSE)</f>
        <v>112</v>
      </c>
      <c r="E280" s="27">
        <v>0</v>
      </c>
      <c r="F280" s="27">
        <v>0</v>
      </c>
      <c r="G280" s="27">
        <v>0</v>
      </c>
      <c r="H280" s="27">
        <v>928990</v>
      </c>
      <c r="I280" s="27">
        <v>0</v>
      </c>
      <c r="J280" s="27">
        <f t="shared" si="73"/>
        <v>0</v>
      </c>
      <c r="K280" s="27">
        <f>VLOOKUP(A280,fin,4,FALSE)</f>
        <v>112</v>
      </c>
      <c r="L280" s="27">
        <f t="shared" ref="L280:L283" si="78">K280*6.25/100+K280</f>
        <v>119</v>
      </c>
      <c r="M280" s="107">
        <f t="shared" ref="M280:N283" si="79">L280*7/100+L280</f>
        <v>127.33</v>
      </c>
      <c r="N280" s="133">
        <f t="shared" si="79"/>
        <v>136.2431</v>
      </c>
    </row>
    <row r="281" spans="1:14" s="28" customFormat="1" ht="14.25" x14ac:dyDescent="0.2">
      <c r="A281" s="25" t="s">
        <v>576</v>
      </c>
      <c r="B281" s="25"/>
      <c r="C281" s="26" t="s">
        <v>168</v>
      </c>
      <c r="D281" s="27">
        <f>VLOOKUP(A281,fin,3,FALSE)</f>
        <v>53908</v>
      </c>
      <c r="E281" s="27">
        <v>0</v>
      </c>
      <c r="F281" s="27">
        <v>0</v>
      </c>
      <c r="G281" s="27">
        <v>0</v>
      </c>
      <c r="H281" s="27">
        <v>928990</v>
      </c>
      <c r="I281" s="27">
        <v>0</v>
      </c>
      <c r="J281" s="27">
        <f t="shared" si="73"/>
        <v>0</v>
      </c>
      <c r="K281" s="27">
        <f>VLOOKUP(A281,fin,4,FALSE)</f>
        <v>53908</v>
      </c>
      <c r="L281" s="27">
        <f t="shared" si="78"/>
        <v>57277.25</v>
      </c>
      <c r="M281" s="107">
        <f t="shared" si="79"/>
        <v>61286.657500000001</v>
      </c>
      <c r="N281" s="133">
        <f t="shared" si="79"/>
        <v>65576.723525000009</v>
      </c>
    </row>
    <row r="282" spans="1:14" s="28" customFormat="1" ht="14.25" x14ac:dyDescent="0.2">
      <c r="A282" s="25" t="s">
        <v>577</v>
      </c>
      <c r="B282" s="25"/>
      <c r="C282" s="26" t="s">
        <v>169</v>
      </c>
      <c r="D282" s="27">
        <f>VLOOKUP(A282,fin,3,FALSE)</f>
        <v>46337</v>
      </c>
      <c r="E282" s="27">
        <v>0</v>
      </c>
      <c r="F282" s="27">
        <v>0</v>
      </c>
      <c r="G282" s="27">
        <v>0</v>
      </c>
      <c r="H282" s="27">
        <v>928990</v>
      </c>
      <c r="I282" s="27">
        <v>0</v>
      </c>
      <c r="J282" s="27">
        <f t="shared" si="73"/>
        <v>0</v>
      </c>
      <c r="K282" s="27">
        <f>VLOOKUP(A282,fin,4,FALSE)</f>
        <v>46337</v>
      </c>
      <c r="L282" s="27">
        <f t="shared" si="78"/>
        <v>49233.0625</v>
      </c>
      <c r="M282" s="107">
        <f t="shared" si="79"/>
        <v>52679.376875000002</v>
      </c>
      <c r="N282" s="133">
        <f t="shared" si="79"/>
        <v>56366.933256249999</v>
      </c>
    </row>
    <row r="283" spans="1:14" s="28" customFormat="1" ht="14.25" x14ac:dyDescent="0.2">
      <c r="A283" s="25" t="s">
        <v>578</v>
      </c>
      <c r="B283" s="25"/>
      <c r="C283" s="26" t="s">
        <v>170</v>
      </c>
      <c r="D283" s="27">
        <f>VLOOKUP(A283,fin,3,FALSE)</f>
        <v>1785</v>
      </c>
      <c r="E283" s="27">
        <v>0</v>
      </c>
      <c r="F283" s="27">
        <v>0</v>
      </c>
      <c r="G283" s="27">
        <v>0</v>
      </c>
      <c r="H283" s="27">
        <v>928990</v>
      </c>
      <c r="I283" s="27">
        <v>0</v>
      </c>
      <c r="J283" s="27">
        <f t="shared" si="73"/>
        <v>0</v>
      </c>
      <c r="K283" s="27">
        <f>VLOOKUP(A283,fin,4,FALSE)</f>
        <v>1785</v>
      </c>
      <c r="L283" s="27">
        <f t="shared" si="78"/>
        <v>1896.5625</v>
      </c>
      <c r="M283" s="107">
        <f t="shared" si="79"/>
        <v>2029.3218750000001</v>
      </c>
      <c r="N283" s="133">
        <f t="shared" si="79"/>
        <v>2171.37440625</v>
      </c>
    </row>
    <row r="284" spans="1:14" s="28" customFormat="1" ht="14.25" x14ac:dyDescent="0.2">
      <c r="A284" s="25"/>
      <c r="B284" s="25"/>
      <c r="C284" s="26"/>
      <c r="D284" s="27"/>
      <c r="E284" s="27"/>
      <c r="F284" s="27"/>
      <c r="G284" s="27"/>
      <c r="H284" s="27"/>
      <c r="I284" s="27"/>
      <c r="J284" s="27">
        <f t="shared" si="73"/>
        <v>0</v>
      </c>
      <c r="K284" s="27"/>
      <c r="L284" s="27"/>
      <c r="M284" s="107"/>
      <c r="N284" s="133"/>
    </row>
    <row r="285" spans="1:14" s="24" customFormat="1" x14ac:dyDescent="0.25">
      <c r="A285" s="20"/>
      <c r="B285" s="20"/>
      <c r="C285" s="21" t="s">
        <v>171</v>
      </c>
      <c r="D285" s="22">
        <f>SUM(D280:D284)</f>
        <v>102142</v>
      </c>
      <c r="E285" s="22">
        <v>0</v>
      </c>
      <c r="F285" s="22">
        <v>0</v>
      </c>
      <c r="G285" s="22">
        <v>0</v>
      </c>
      <c r="H285" s="22">
        <v>102142</v>
      </c>
      <c r="I285" s="22">
        <v>0</v>
      </c>
      <c r="J285" s="27">
        <f t="shared" si="73"/>
        <v>0</v>
      </c>
      <c r="K285" s="22">
        <f>SUM(K280:K284)</f>
        <v>102142</v>
      </c>
      <c r="L285" s="22">
        <f>SUM(L280:L284)</f>
        <v>108525.875</v>
      </c>
      <c r="M285" s="134">
        <f>SUM(M280:M284)</f>
        <v>116122.68625</v>
      </c>
      <c r="N285" s="134">
        <f>SUM(N280:N284)</f>
        <v>124251.27428750003</v>
      </c>
    </row>
    <row r="286" spans="1:14" s="24" customFormat="1" x14ac:dyDescent="0.25">
      <c r="A286" s="20"/>
      <c r="B286" s="20"/>
      <c r="C286" s="21"/>
      <c r="D286" s="22"/>
      <c r="E286" s="22"/>
      <c r="F286" s="22"/>
      <c r="G286" s="22"/>
      <c r="H286" s="22"/>
      <c r="I286" s="22"/>
      <c r="J286" s="27">
        <f t="shared" si="73"/>
        <v>0</v>
      </c>
      <c r="K286" s="27"/>
      <c r="L286" s="22"/>
      <c r="M286" s="134"/>
      <c r="N286" s="132"/>
    </row>
    <row r="287" spans="1:14" s="24" customFormat="1" x14ac:dyDescent="0.25">
      <c r="A287" s="20"/>
      <c r="B287" s="20"/>
      <c r="C287" s="21" t="s">
        <v>172</v>
      </c>
      <c r="D287" s="22"/>
      <c r="E287" s="22"/>
      <c r="F287" s="22"/>
      <c r="G287" s="22"/>
      <c r="H287" s="22"/>
      <c r="I287" s="22"/>
      <c r="J287" s="27">
        <f t="shared" si="73"/>
        <v>0</v>
      </c>
      <c r="K287" s="27"/>
      <c r="L287" s="22"/>
      <c r="M287" s="134"/>
      <c r="N287" s="132"/>
    </row>
    <row r="288" spans="1:14" s="28" customFormat="1" ht="14.25" x14ac:dyDescent="0.2">
      <c r="A288" s="25"/>
      <c r="B288" s="25"/>
      <c r="C288" s="26"/>
      <c r="D288" s="27"/>
      <c r="E288" s="27"/>
      <c r="F288" s="27"/>
      <c r="G288" s="27"/>
      <c r="H288" s="27"/>
      <c r="I288" s="27"/>
      <c r="J288" s="27">
        <f t="shared" si="73"/>
        <v>0</v>
      </c>
      <c r="K288" s="27"/>
      <c r="L288" s="27"/>
      <c r="M288" s="107"/>
      <c r="N288" s="133"/>
    </row>
    <row r="289" spans="1:14" s="28" customFormat="1" ht="14.25" x14ac:dyDescent="0.2">
      <c r="A289" s="25" t="s">
        <v>579</v>
      </c>
      <c r="B289" s="25"/>
      <c r="C289" s="26" t="s">
        <v>173</v>
      </c>
      <c r="D289" s="27">
        <f>VLOOKUP(A289,fin,3,FALSE)</f>
        <v>312</v>
      </c>
      <c r="E289" s="27">
        <v>0</v>
      </c>
      <c r="F289" s="27">
        <v>0</v>
      </c>
      <c r="G289" s="27">
        <v>0</v>
      </c>
      <c r="H289" s="27">
        <v>928990</v>
      </c>
      <c r="I289" s="27">
        <v>0</v>
      </c>
      <c r="J289" s="27">
        <f t="shared" si="73"/>
        <v>0</v>
      </c>
      <c r="K289" s="27">
        <f>VLOOKUP(A289,fin,4,FALSE)</f>
        <v>312</v>
      </c>
      <c r="L289" s="27">
        <f t="shared" ref="L289:L291" si="80">K289*6.25/100+K289</f>
        <v>331.5</v>
      </c>
      <c r="M289" s="107">
        <f t="shared" ref="M289:N291" si="81">L289*7/100+L289</f>
        <v>354.70499999999998</v>
      </c>
      <c r="N289" s="133">
        <f t="shared" si="81"/>
        <v>379.53434999999996</v>
      </c>
    </row>
    <row r="290" spans="1:14" s="28" customFormat="1" ht="14.25" x14ac:dyDescent="0.2">
      <c r="A290" s="25" t="s">
        <v>580</v>
      </c>
      <c r="B290" s="25"/>
      <c r="C290" s="26" t="s">
        <v>174</v>
      </c>
      <c r="D290" s="27">
        <f>VLOOKUP(A290,fin,3,FALSE)</f>
        <v>113</v>
      </c>
      <c r="E290" s="27">
        <v>0</v>
      </c>
      <c r="F290" s="27">
        <v>0</v>
      </c>
      <c r="G290" s="27">
        <v>0</v>
      </c>
      <c r="H290" s="27">
        <v>928990</v>
      </c>
      <c r="I290" s="27">
        <v>0</v>
      </c>
      <c r="J290" s="27">
        <f t="shared" si="73"/>
        <v>0</v>
      </c>
      <c r="K290" s="27">
        <f>VLOOKUP(A290,fin,4,FALSE)</f>
        <v>113</v>
      </c>
      <c r="L290" s="27">
        <f t="shared" si="80"/>
        <v>120.0625</v>
      </c>
      <c r="M290" s="107">
        <f t="shared" si="81"/>
        <v>128.46687499999999</v>
      </c>
      <c r="N290" s="133">
        <f t="shared" si="81"/>
        <v>137.45955624999999</v>
      </c>
    </row>
    <row r="291" spans="1:14" s="28" customFormat="1" ht="14.25" x14ac:dyDescent="0.2">
      <c r="A291" s="25" t="s">
        <v>581</v>
      </c>
      <c r="B291" s="25"/>
      <c r="C291" s="26" t="s">
        <v>175</v>
      </c>
      <c r="D291" s="27">
        <f>VLOOKUP(A291,fin,3,FALSE)</f>
        <v>944</v>
      </c>
      <c r="E291" s="27">
        <v>0</v>
      </c>
      <c r="F291" s="27">
        <v>0</v>
      </c>
      <c r="G291" s="27">
        <v>0</v>
      </c>
      <c r="H291" s="27">
        <v>928990</v>
      </c>
      <c r="I291" s="27">
        <v>0</v>
      </c>
      <c r="J291" s="27">
        <f t="shared" si="73"/>
        <v>0</v>
      </c>
      <c r="K291" s="27">
        <f>VLOOKUP(A291,fin,4,FALSE)</f>
        <v>944</v>
      </c>
      <c r="L291" s="27">
        <f t="shared" si="80"/>
        <v>1003</v>
      </c>
      <c r="M291" s="107">
        <f t="shared" si="81"/>
        <v>1073.21</v>
      </c>
      <c r="N291" s="133">
        <f t="shared" si="81"/>
        <v>1148.3347000000001</v>
      </c>
    </row>
    <row r="292" spans="1:14" s="28" customFormat="1" ht="14.25" x14ac:dyDescent="0.2">
      <c r="A292" s="25"/>
      <c r="B292" s="25"/>
      <c r="C292" s="26"/>
      <c r="D292" s="27"/>
      <c r="E292" s="27"/>
      <c r="F292" s="27"/>
      <c r="G292" s="27"/>
      <c r="H292" s="27"/>
      <c r="I292" s="27"/>
      <c r="J292" s="27">
        <f t="shared" si="73"/>
        <v>0</v>
      </c>
      <c r="K292" s="27"/>
      <c r="L292" s="27"/>
      <c r="M292" s="107"/>
      <c r="N292" s="133"/>
    </row>
    <row r="293" spans="1:14" s="24" customFormat="1" x14ac:dyDescent="0.25">
      <c r="A293" s="20"/>
      <c r="B293" s="20"/>
      <c r="C293" s="21" t="s">
        <v>176</v>
      </c>
      <c r="D293" s="22">
        <f>SUM(D289:D292)</f>
        <v>1369</v>
      </c>
      <c r="E293" s="22">
        <v>0</v>
      </c>
      <c r="F293" s="22">
        <v>0</v>
      </c>
      <c r="G293" s="22">
        <v>0</v>
      </c>
      <c r="H293" s="22">
        <v>1369</v>
      </c>
      <c r="I293" s="22">
        <v>0</v>
      </c>
      <c r="J293" s="27">
        <f t="shared" si="73"/>
        <v>0</v>
      </c>
      <c r="K293" s="22">
        <f>SUM(K289:K292)</f>
        <v>1369</v>
      </c>
      <c r="L293" s="22">
        <f>SUM(L289:L292)</f>
        <v>1454.5625</v>
      </c>
      <c r="M293" s="134">
        <f>SUM(M289:M292)</f>
        <v>1556.381875</v>
      </c>
      <c r="N293" s="134">
        <f>SUM(N289:N292)</f>
        <v>1665.3286062500001</v>
      </c>
    </row>
    <row r="294" spans="1:14" s="24" customFormat="1" x14ac:dyDescent="0.25">
      <c r="A294" s="20"/>
      <c r="B294" s="20"/>
      <c r="C294" s="21"/>
      <c r="D294" s="22"/>
      <c r="E294" s="22"/>
      <c r="F294" s="22"/>
      <c r="G294" s="22"/>
      <c r="H294" s="22"/>
      <c r="I294" s="22"/>
      <c r="J294" s="27">
        <f t="shared" si="73"/>
        <v>0</v>
      </c>
      <c r="K294" s="22"/>
      <c r="L294" s="22"/>
      <c r="M294" s="134"/>
      <c r="N294" s="132"/>
    </row>
    <row r="295" spans="1:14" s="24" customFormat="1" x14ac:dyDescent="0.25">
      <c r="A295" s="20"/>
      <c r="B295" s="20"/>
      <c r="C295" s="21" t="s">
        <v>177</v>
      </c>
      <c r="D295" s="22">
        <f>+D276+D285+D293</f>
        <v>366783</v>
      </c>
      <c r="E295" s="22">
        <v>0</v>
      </c>
      <c r="F295" s="22">
        <v>0</v>
      </c>
      <c r="G295" s="22">
        <v>0</v>
      </c>
      <c r="H295" s="22">
        <v>366783</v>
      </c>
      <c r="I295" s="22">
        <v>0</v>
      </c>
      <c r="J295" s="27">
        <f t="shared" si="73"/>
        <v>0</v>
      </c>
      <c r="K295" s="22">
        <f>+K276+K285+K293</f>
        <v>366783</v>
      </c>
      <c r="L295" s="22">
        <f>+L276+L285+L293</f>
        <v>389706.9375</v>
      </c>
      <c r="M295" s="134">
        <f>+M276+M285+M293</f>
        <v>416986.42312500003</v>
      </c>
      <c r="N295" s="134">
        <f>+N276+N285+N293</f>
        <v>446175.47274375008</v>
      </c>
    </row>
    <row r="296" spans="1:14" s="24" customFormat="1" x14ac:dyDescent="0.25">
      <c r="A296" s="20"/>
      <c r="B296" s="20"/>
      <c r="C296" s="21"/>
      <c r="D296" s="22"/>
      <c r="E296" s="22"/>
      <c r="F296" s="22"/>
      <c r="G296" s="22"/>
      <c r="H296" s="22"/>
      <c r="I296" s="22"/>
      <c r="J296" s="27">
        <f>+K296-D296</f>
        <v>0</v>
      </c>
      <c r="K296" s="22"/>
      <c r="L296" s="22"/>
      <c r="M296" s="134"/>
      <c r="N296" s="132"/>
    </row>
    <row r="297" spans="1:14" s="24" customFormat="1" x14ac:dyDescent="0.25">
      <c r="A297" s="20"/>
      <c r="B297" s="20"/>
      <c r="C297" s="21" t="s">
        <v>178</v>
      </c>
      <c r="D297" s="22">
        <f>D295</f>
        <v>366783</v>
      </c>
      <c r="E297" s="22">
        <v>0</v>
      </c>
      <c r="F297" s="22">
        <v>0</v>
      </c>
      <c r="G297" s="22">
        <v>0</v>
      </c>
      <c r="H297" s="22">
        <v>366783</v>
      </c>
      <c r="I297" s="22">
        <v>0</v>
      </c>
      <c r="J297" s="27">
        <f>+K297-D297</f>
        <v>0</v>
      </c>
      <c r="K297" s="22">
        <f>K295</f>
        <v>366783</v>
      </c>
      <c r="L297" s="22">
        <f>L295</f>
        <v>389706.9375</v>
      </c>
      <c r="M297" s="134">
        <f>M295</f>
        <v>416986.42312500003</v>
      </c>
      <c r="N297" s="134">
        <f>N295</f>
        <v>446175.47274375008</v>
      </c>
    </row>
    <row r="298" spans="1:14" s="24" customFormat="1" x14ac:dyDescent="0.25">
      <c r="A298" s="20"/>
      <c r="B298" s="20"/>
      <c r="C298" s="21"/>
      <c r="D298" s="22"/>
      <c r="E298" s="22"/>
      <c r="F298" s="22"/>
      <c r="G298" s="22"/>
      <c r="H298" s="22"/>
      <c r="I298" s="22"/>
      <c r="J298" s="27">
        <f>+K298-D298</f>
        <v>0</v>
      </c>
      <c r="K298" s="22"/>
      <c r="L298" s="22"/>
      <c r="M298" s="134"/>
      <c r="N298" s="132"/>
    </row>
    <row r="299" spans="1:14" s="24" customFormat="1" x14ac:dyDescent="0.25">
      <c r="A299" s="20"/>
      <c r="B299" s="20"/>
      <c r="C299" s="21" t="s">
        <v>305</v>
      </c>
      <c r="D299" s="22">
        <f>D297</f>
        <v>366783</v>
      </c>
      <c r="E299" s="22">
        <v>0</v>
      </c>
      <c r="F299" s="22">
        <v>0</v>
      </c>
      <c r="G299" s="22">
        <v>0</v>
      </c>
      <c r="H299" s="22">
        <v>366783</v>
      </c>
      <c r="I299" s="22">
        <v>0</v>
      </c>
      <c r="J299" s="27">
        <f>+K299-D299</f>
        <v>0</v>
      </c>
      <c r="K299" s="22">
        <f>K297</f>
        <v>366783</v>
      </c>
      <c r="L299" s="22">
        <f>L297</f>
        <v>389706.9375</v>
      </c>
      <c r="M299" s="134">
        <f>M297</f>
        <v>416986.42312500003</v>
      </c>
      <c r="N299" s="134">
        <f>N297</f>
        <v>446175.47274375008</v>
      </c>
    </row>
    <row r="300" spans="1:14" x14ac:dyDescent="0.25">
      <c r="A300" s="73"/>
      <c r="B300" s="73"/>
      <c r="C300" s="73"/>
      <c r="D300" s="74"/>
      <c r="E300" s="74"/>
      <c r="F300" s="74"/>
      <c r="G300" s="74"/>
      <c r="H300" s="74"/>
      <c r="I300" s="74"/>
      <c r="J300" s="74"/>
      <c r="K300" s="27"/>
      <c r="L300" s="74"/>
      <c r="M300" s="153"/>
      <c r="N300" s="135"/>
    </row>
    <row r="301" spans="1:14" x14ac:dyDescent="0.25">
      <c r="C301" s="24" t="s">
        <v>3038</v>
      </c>
      <c r="D301" s="152">
        <f>LEDP!C17+D99+D205</f>
        <v>-15119762</v>
      </c>
      <c r="E301" s="152">
        <f>LEDP!D17+E99+E205</f>
        <v>-5240.76</v>
      </c>
      <c r="F301" s="152">
        <f>LEDP!E17+F99+F205</f>
        <v>0</v>
      </c>
      <c r="G301" s="152">
        <f>LEDP!F17+G99+G205</f>
        <v>-57120.98</v>
      </c>
      <c r="H301" s="152">
        <f>LEDP!G17+H99+H205</f>
        <v>-15062641.02</v>
      </c>
      <c r="I301" s="152">
        <f>LEDP!H17+I99+I205</f>
        <v>221.7</v>
      </c>
      <c r="J301" s="152">
        <f>LEDP!I17+J99+J205</f>
        <v>7430000</v>
      </c>
      <c r="K301" s="152">
        <f>LEDP!J17+K99+K205</f>
        <v>-7689762</v>
      </c>
      <c r="L301" s="152">
        <f>LEDP!K17+L99+L205</f>
        <v>-7698501.29</v>
      </c>
      <c r="M301" s="152">
        <f>LEDP!L17+M99+M205</f>
        <v>-7707737.2493399996</v>
      </c>
      <c r="N301" s="152">
        <f>LEDP!M17+N99+N205</f>
        <v>-7717403.0980096404</v>
      </c>
    </row>
    <row r="302" spans="1:14" x14ac:dyDescent="0.25">
      <c r="C302" s="24" t="s">
        <v>3052</v>
      </c>
      <c r="D302" s="152">
        <f>D78+D183+D261+D299</f>
        <v>11501343</v>
      </c>
      <c r="E302" s="152">
        <f t="shared" ref="E302:N302" si="82">E78+E183+E261+E299</f>
        <v>268461.78000000003</v>
      </c>
      <c r="F302" s="152">
        <f t="shared" si="82"/>
        <v>37745</v>
      </c>
      <c r="G302" s="152">
        <f t="shared" si="82"/>
        <v>1655576.33</v>
      </c>
      <c r="H302" s="152">
        <f t="shared" si="82"/>
        <v>39208134.670000002</v>
      </c>
      <c r="I302" s="152">
        <f t="shared" si="82"/>
        <v>248.77</v>
      </c>
      <c r="J302" s="152">
        <f t="shared" si="82"/>
        <v>-1214793.5499999998</v>
      </c>
      <c r="K302" s="152">
        <f t="shared" si="82"/>
        <v>10286549.449999999</v>
      </c>
      <c r="L302" s="152">
        <f t="shared" si="82"/>
        <v>9428837.385625001</v>
      </c>
      <c r="M302" s="152">
        <f t="shared" si="82"/>
        <v>8905304.87533875</v>
      </c>
      <c r="N302" s="152">
        <f t="shared" si="82"/>
        <v>9782612.5774775799</v>
      </c>
    </row>
    <row r="303" spans="1:14" x14ac:dyDescent="0.25">
      <c r="C303" s="24" t="s">
        <v>3053</v>
      </c>
      <c r="D303" s="152"/>
      <c r="E303" s="152"/>
      <c r="F303" s="152"/>
      <c r="G303" s="152"/>
      <c r="H303" s="152"/>
      <c r="I303" s="152"/>
      <c r="J303" s="152"/>
      <c r="K303" s="152"/>
      <c r="L303" s="152"/>
      <c r="M303" s="152"/>
      <c r="N303" s="223"/>
    </row>
  </sheetData>
  <autoFilter ref="A1:M301"/>
  <pageMargins left="0.7" right="0.7" top="0.75" bottom="0.75" header="0.3" footer="0.3"/>
  <pageSetup paperSize="9" orientation="landscape" horizontalDpi="4294967293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371"/>
  <sheetViews>
    <sheetView zoomScaleNormal="100" workbookViewId="0">
      <pane xSplit="3" ySplit="1" topLeftCell="D391" activePane="bottomRight" state="frozen"/>
      <selection pane="topRight" activeCell="C1" sqref="C1"/>
      <selection pane="bottomLeft" activeCell="A2" sqref="A2"/>
      <selection pane="bottomRight" sqref="A1:N412"/>
    </sheetView>
  </sheetViews>
  <sheetFormatPr defaultColWidth="9.140625" defaultRowHeight="15" x14ac:dyDescent="0.25"/>
  <cols>
    <col min="1" max="1" width="26" style="30" customWidth="1"/>
    <col min="2" max="2" width="24.7109375" style="30" customWidth="1"/>
    <col min="3" max="3" width="56.140625" style="30" bestFit="1" customWidth="1"/>
    <col min="4" max="4" width="14" style="30" customWidth="1"/>
    <col min="5" max="5" width="12" style="30" hidden="1" customWidth="1"/>
    <col min="6" max="6" width="14.85546875" style="30" hidden="1" customWidth="1"/>
    <col min="7" max="7" width="12" style="30" hidden="1" customWidth="1"/>
    <col min="8" max="8" width="15.140625" style="30" hidden="1" customWidth="1"/>
    <col min="9" max="9" width="7.28515625" style="30" hidden="1" customWidth="1"/>
    <col min="10" max="10" width="12.28515625" style="76" hidden="1" customWidth="1"/>
    <col min="11" max="11" width="13.42578125" style="76" customWidth="1"/>
    <col min="12" max="12" width="17" style="76" customWidth="1"/>
    <col min="13" max="13" width="14.5703125" style="76" customWidth="1"/>
    <col min="14" max="14" width="15.42578125" style="136" bestFit="1" customWidth="1"/>
    <col min="15" max="15" width="11.28515625" style="30" bestFit="1" customWidth="1"/>
    <col min="16" max="16384" width="9.140625" style="30"/>
  </cols>
  <sheetData>
    <row r="1" spans="1:14" s="24" customFormat="1" ht="60.75" thickBot="1" x14ac:dyDescent="0.3">
      <c r="A1" s="20" t="s">
        <v>0</v>
      </c>
      <c r="B1" s="20" t="s">
        <v>1356</v>
      </c>
      <c r="C1" s="21" t="s">
        <v>1</v>
      </c>
      <c r="D1" s="29" t="s">
        <v>2</v>
      </c>
      <c r="E1" s="70" t="s">
        <v>3</v>
      </c>
      <c r="F1" s="29" t="s">
        <v>4</v>
      </c>
      <c r="G1" s="70" t="s">
        <v>5</v>
      </c>
      <c r="H1" s="70" t="s">
        <v>6</v>
      </c>
      <c r="I1" s="29" t="s">
        <v>7</v>
      </c>
      <c r="J1" s="22" t="s">
        <v>1322</v>
      </c>
      <c r="K1" s="154" t="s">
        <v>3012</v>
      </c>
      <c r="L1" s="41" t="s">
        <v>3013</v>
      </c>
      <c r="M1" s="137" t="s">
        <v>3014</v>
      </c>
      <c r="N1" s="131" t="s">
        <v>3015</v>
      </c>
    </row>
    <row r="2" spans="1:14" s="24" customFormat="1" x14ac:dyDescent="0.25">
      <c r="A2" s="20"/>
      <c r="B2" s="20"/>
      <c r="C2" s="21"/>
      <c r="D2" s="29"/>
      <c r="E2" s="70"/>
      <c r="F2" s="29"/>
      <c r="G2" s="70"/>
      <c r="H2" s="70"/>
      <c r="I2" s="29"/>
      <c r="J2" s="22"/>
      <c r="K2" s="142"/>
      <c r="L2" s="142"/>
      <c r="M2" s="142"/>
      <c r="N2" s="132"/>
    </row>
    <row r="3" spans="1:14" s="24" customFormat="1" x14ac:dyDescent="0.25">
      <c r="A3" s="20"/>
      <c r="B3" s="20"/>
      <c r="C3" s="21" t="s">
        <v>582</v>
      </c>
      <c r="D3" s="29"/>
      <c r="E3" s="29"/>
      <c r="F3" s="29"/>
      <c r="G3" s="29"/>
      <c r="H3" s="29"/>
      <c r="I3" s="29"/>
      <c r="J3" s="22"/>
      <c r="K3" s="22"/>
      <c r="L3" s="22"/>
      <c r="M3" s="22"/>
      <c r="N3" s="132"/>
    </row>
    <row r="4" spans="1:14" s="24" customFormat="1" x14ac:dyDescent="0.25">
      <c r="A4" s="20"/>
      <c r="B4" s="20"/>
      <c r="C4" s="21" t="s">
        <v>96</v>
      </c>
      <c r="D4" s="29"/>
      <c r="E4" s="29"/>
      <c r="F4" s="29"/>
      <c r="G4" s="29"/>
      <c r="H4" s="29"/>
      <c r="I4" s="29"/>
      <c r="J4" s="22"/>
      <c r="K4" s="22"/>
      <c r="L4" s="22"/>
      <c r="M4" s="22"/>
      <c r="N4" s="132"/>
    </row>
    <row r="5" spans="1:14" s="24" customFormat="1" x14ac:dyDescent="0.25">
      <c r="A5" s="20"/>
      <c r="B5" s="20"/>
      <c r="C5" s="21" t="s">
        <v>97</v>
      </c>
      <c r="D5" s="29"/>
      <c r="E5" s="29"/>
      <c r="F5" s="29"/>
      <c r="G5" s="29"/>
      <c r="H5" s="29"/>
      <c r="I5" s="29"/>
      <c r="J5" s="22"/>
      <c r="K5" s="22"/>
      <c r="L5" s="22"/>
      <c r="M5" s="22"/>
      <c r="N5" s="132"/>
    </row>
    <row r="6" spans="1:14" s="24" customFormat="1" x14ac:dyDescent="0.25">
      <c r="A6" s="20"/>
      <c r="B6" s="20"/>
      <c r="C6" s="21" t="s">
        <v>98</v>
      </c>
      <c r="D6" s="29"/>
      <c r="E6" s="29"/>
      <c r="F6" s="29"/>
      <c r="G6" s="29"/>
      <c r="H6" s="29"/>
      <c r="I6" s="29"/>
      <c r="J6" s="22"/>
      <c r="K6" s="22"/>
      <c r="L6" s="22"/>
      <c r="M6" s="22"/>
      <c r="N6" s="132"/>
    </row>
    <row r="7" spans="1:14" s="24" customFormat="1" x14ac:dyDescent="0.25">
      <c r="A7" s="20"/>
      <c r="B7" s="20"/>
      <c r="C7" s="21" t="s">
        <v>99</v>
      </c>
      <c r="D7" s="29"/>
      <c r="E7" s="29"/>
      <c r="F7" s="29"/>
      <c r="G7" s="29"/>
      <c r="H7" s="29"/>
      <c r="I7" s="29"/>
      <c r="J7" s="22"/>
      <c r="K7" s="22"/>
      <c r="L7" s="22"/>
      <c r="M7" s="22"/>
      <c r="N7" s="132"/>
    </row>
    <row r="8" spans="1:14" s="28" customFormat="1" ht="14.25" x14ac:dyDescent="0.2">
      <c r="A8" s="25"/>
      <c r="B8" s="25"/>
      <c r="C8" s="26"/>
      <c r="D8" s="23"/>
      <c r="E8" s="23"/>
      <c r="F8" s="23"/>
      <c r="G8" s="23"/>
      <c r="H8" s="23"/>
      <c r="I8" s="23"/>
      <c r="J8" s="27"/>
      <c r="K8" s="27"/>
      <c r="L8" s="27"/>
      <c r="M8" s="27"/>
      <c r="N8" s="133"/>
    </row>
    <row r="9" spans="1:14" s="28" customFormat="1" ht="14.25" x14ac:dyDescent="0.2">
      <c r="A9" s="25" t="s">
        <v>583</v>
      </c>
      <c r="B9" s="25"/>
      <c r="C9" s="26" t="s">
        <v>100</v>
      </c>
      <c r="D9" s="23">
        <f t="shared" ref="D9:D14" si="0">VLOOKUP(A9,fin,3,FALSE)</f>
        <v>891108</v>
      </c>
      <c r="E9" s="23">
        <v>91950.73</v>
      </c>
      <c r="F9" s="23">
        <v>0</v>
      </c>
      <c r="G9" s="23">
        <v>551704.38</v>
      </c>
      <c r="H9" s="23">
        <v>339403.62</v>
      </c>
      <c r="I9" s="23">
        <v>61.91</v>
      </c>
      <c r="J9" s="27">
        <f t="shared" ref="J9:J14" si="1">+K9-D9</f>
        <v>0</v>
      </c>
      <c r="K9" s="27">
        <f t="shared" ref="K9:K14" si="2">VLOOKUP(A9,fin,4,FALSE)</f>
        <v>891108</v>
      </c>
      <c r="L9" s="27">
        <f>K9*6.25/100+K9</f>
        <v>946802.25</v>
      </c>
      <c r="M9" s="27">
        <f>L9*7/100+L9</f>
        <v>1013078.4075</v>
      </c>
      <c r="N9" s="133">
        <f>M9*7/100+M9</f>
        <v>1083993.8960249999</v>
      </c>
    </row>
    <row r="10" spans="1:14" s="28" customFormat="1" ht="14.25" x14ac:dyDescent="0.2">
      <c r="A10" s="25" t="s">
        <v>584</v>
      </c>
      <c r="B10" s="25"/>
      <c r="C10" s="26" t="s">
        <v>101</v>
      </c>
      <c r="D10" s="23">
        <f t="shared" si="0"/>
        <v>44555</v>
      </c>
      <c r="E10" s="23">
        <v>91950.73</v>
      </c>
      <c r="F10" s="23">
        <v>0</v>
      </c>
      <c r="G10" s="23">
        <v>551704.38</v>
      </c>
      <c r="H10" s="23">
        <v>339403.62</v>
      </c>
      <c r="I10" s="23">
        <v>61.91</v>
      </c>
      <c r="J10" s="27">
        <f t="shared" si="1"/>
        <v>0</v>
      </c>
      <c r="K10" s="27">
        <f t="shared" si="2"/>
        <v>44555</v>
      </c>
      <c r="L10" s="27">
        <f t="shared" ref="L10:L14" si="3">K10*6.25/100+K10</f>
        <v>47339.6875</v>
      </c>
      <c r="M10" s="27">
        <f t="shared" ref="M10:N14" si="4">L10*7/100+L10</f>
        <v>50653.465624999997</v>
      </c>
      <c r="N10" s="133">
        <f t="shared" si="4"/>
        <v>54199.208218749998</v>
      </c>
    </row>
    <row r="11" spans="1:14" s="28" customFormat="1" ht="14.25" x14ac:dyDescent="0.2">
      <c r="A11" s="25" t="s">
        <v>585</v>
      </c>
      <c r="B11" s="25"/>
      <c r="C11" s="26" t="s">
        <v>102</v>
      </c>
      <c r="D11" s="23">
        <f t="shared" si="0"/>
        <v>40000</v>
      </c>
      <c r="E11" s="23">
        <v>91950.73</v>
      </c>
      <c r="F11" s="23">
        <v>0</v>
      </c>
      <c r="G11" s="23">
        <v>551704.38</v>
      </c>
      <c r="H11" s="23">
        <v>339403.62</v>
      </c>
      <c r="I11" s="23">
        <v>61.91</v>
      </c>
      <c r="J11" s="27">
        <f t="shared" si="1"/>
        <v>0</v>
      </c>
      <c r="K11" s="27">
        <f t="shared" si="2"/>
        <v>40000</v>
      </c>
      <c r="L11" s="27">
        <f t="shared" si="3"/>
        <v>42500</v>
      </c>
      <c r="M11" s="27">
        <f t="shared" si="4"/>
        <v>45475</v>
      </c>
      <c r="N11" s="133">
        <f t="shared" si="4"/>
        <v>48658.25</v>
      </c>
    </row>
    <row r="12" spans="1:14" s="28" customFormat="1" ht="14.25" x14ac:dyDescent="0.2">
      <c r="A12" s="25" t="s">
        <v>586</v>
      </c>
      <c r="B12" s="25"/>
      <c r="C12" s="26" t="s">
        <v>103</v>
      </c>
      <c r="D12" s="23">
        <f t="shared" si="0"/>
        <v>253608</v>
      </c>
      <c r="E12" s="23">
        <v>91950.73</v>
      </c>
      <c r="F12" s="23">
        <v>0</v>
      </c>
      <c r="G12" s="23">
        <v>551704.38</v>
      </c>
      <c r="H12" s="23">
        <v>339403.62</v>
      </c>
      <c r="I12" s="23">
        <v>61.91</v>
      </c>
      <c r="J12" s="27">
        <f t="shared" si="1"/>
        <v>0</v>
      </c>
      <c r="K12" s="27">
        <f t="shared" si="2"/>
        <v>253608</v>
      </c>
      <c r="L12" s="27">
        <f t="shared" si="3"/>
        <v>269458.5</v>
      </c>
      <c r="M12" s="27">
        <f t="shared" si="4"/>
        <v>288320.59499999997</v>
      </c>
      <c r="N12" s="133">
        <f t="shared" si="4"/>
        <v>308503.03664999997</v>
      </c>
    </row>
    <row r="13" spans="1:14" s="28" customFormat="1" ht="14.25" x14ac:dyDescent="0.2">
      <c r="A13" s="25" t="s">
        <v>587</v>
      </c>
      <c r="B13" s="25"/>
      <c r="C13" s="26" t="s">
        <v>104</v>
      </c>
      <c r="D13" s="23">
        <f t="shared" si="0"/>
        <v>31385</v>
      </c>
      <c r="E13" s="23">
        <v>91950.73</v>
      </c>
      <c r="F13" s="23">
        <v>0</v>
      </c>
      <c r="G13" s="23">
        <v>551704.38</v>
      </c>
      <c r="H13" s="23">
        <v>339403.62</v>
      </c>
      <c r="I13" s="23">
        <v>61.91</v>
      </c>
      <c r="J13" s="27">
        <f t="shared" si="1"/>
        <v>0</v>
      </c>
      <c r="K13" s="27">
        <f t="shared" si="2"/>
        <v>31385</v>
      </c>
      <c r="L13" s="27">
        <f t="shared" si="3"/>
        <v>33346.5625</v>
      </c>
      <c r="M13" s="27">
        <f t="shared" si="4"/>
        <v>35680.821875000001</v>
      </c>
      <c r="N13" s="133">
        <f t="shared" si="4"/>
        <v>38178.47940625</v>
      </c>
    </row>
    <row r="14" spans="1:14" s="28" customFormat="1" ht="14.25" x14ac:dyDescent="0.2">
      <c r="A14" s="25" t="s">
        <v>588</v>
      </c>
      <c r="B14" s="25"/>
      <c r="C14" s="26" t="s">
        <v>105</v>
      </c>
      <c r="D14" s="23">
        <f t="shared" si="0"/>
        <v>17004</v>
      </c>
      <c r="E14" s="23">
        <v>91950.73</v>
      </c>
      <c r="F14" s="23">
        <v>0</v>
      </c>
      <c r="G14" s="23">
        <v>551704.38</v>
      </c>
      <c r="H14" s="23">
        <v>339403.62</v>
      </c>
      <c r="I14" s="23">
        <v>61.91</v>
      </c>
      <c r="J14" s="27">
        <f t="shared" si="1"/>
        <v>0</v>
      </c>
      <c r="K14" s="27">
        <f t="shared" si="2"/>
        <v>17004</v>
      </c>
      <c r="L14" s="27">
        <f t="shared" si="3"/>
        <v>18066.75</v>
      </c>
      <c r="M14" s="27">
        <f t="shared" si="4"/>
        <v>19331.422500000001</v>
      </c>
      <c r="N14" s="133">
        <f t="shared" si="4"/>
        <v>20684.622074999999</v>
      </c>
    </row>
    <row r="15" spans="1:14" s="28" customFormat="1" ht="14.25" x14ac:dyDescent="0.2">
      <c r="A15" s="25"/>
      <c r="B15" s="25"/>
      <c r="C15" s="26"/>
      <c r="D15" s="23"/>
      <c r="E15" s="23"/>
      <c r="F15" s="23"/>
      <c r="G15" s="23"/>
      <c r="H15" s="23"/>
      <c r="I15" s="23"/>
      <c r="J15" s="27"/>
      <c r="K15" s="27"/>
      <c r="L15" s="27"/>
      <c r="M15" s="27"/>
      <c r="N15" s="133"/>
    </row>
    <row r="16" spans="1:14" s="24" customFormat="1" x14ac:dyDescent="0.25">
      <c r="A16" s="20"/>
      <c r="B16" s="20"/>
      <c r="C16" s="21" t="s">
        <v>106</v>
      </c>
      <c r="D16" s="29">
        <f>SUM(D9:D15)</f>
        <v>1277660</v>
      </c>
      <c r="E16" s="29">
        <v>95284.06</v>
      </c>
      <c r="F16" s="29">
        <v>0</v>
      </c>
      <c r="G16" s="29">
        <f>SUM(G9:G14)</f>
        <v>3310226.28</v>
      </c>
      <c r="H16" s="29">
        <v>705955.64</v>
      </c>
      <c r="I16" s="29">
        <v>44.74</v>
      </c>
      <c r="J16" s="27">
        <f>+K16-D16</f>
        <v>0</v>
      </c>
      <c r="K16" s="22">
        <f>SUM(K9:K15)</f>
        <v>1277660</v>
      </c>
      <c r="L16" s="22">
        <f>SUM(L9:L15)</f>
        <v>1357513.75</v>
      </c>
      <c r="M16" s="22">
        <f>SUM(M9:M15)</f>
        <v>1452539.7124999999</v>
      </c>
      <c r="N16" s="22">
        <f>SUM(N9:N15)</f>
        <v>1554217.4923749999</v>
      </c>
    </row>
    <row r="17" spans="1:14" s="24" customFormat="1" x14ac:dyDescent="0.25">
      <c r="A17" s="20"/>
      <c r="B17" s="20"/>
      <c r="C17" s="21"/>
      <c r="D17" s="29"/>
      <c r="E17" s="29"/>
      <c r="F17" s="29"/>
      <c r="G17" s="29"/>
      <c r="H17" s="29"/>
      <c r="I17" s="29"/>
      <c r="J17" s="27"/>
      <c r="K17" s="22"/>
      <c r="L17" s="22"/>
      <c r="M17" s="22"/>
      <c r="N17" s="132"/>
    </row>
    <row r="18" spans="1:14" s="24" customFormat="1" x14ac:dyDescent="0.25">
      <c r="A18" s="20"/>
      <c r="B18" s="20"/>
      <c r="C18" s="21" t="s">
        <v>146</v>
      </c>
      <c r="D18" s="29">
        <f>D16</f>
        <v>1277660</v>
      </c>
      <c r="E18" s="29">
        <v>95284.06</v>
      </c>
      <c r="F18" s="29">
        <v>0</v>
      </c>
      <c r="G18" s="29">
        <v>571704.36</v>
      </c>
      <c r="H18" s="29">
        <v>705955.64</v>
      </c>
      <c r="I18" s="29">
        <v>44.74</v>
      </c>
      <c r="J18" s="27">
        <f>+K18-D18</f>
        <v>0</v>
      </c>
      <c r="K18" s="22">
        <f>K16</f>
        <v>1277660</v>
      </c>
      <c r="L18" s="22">
        <f>L16</f>
        <v>1357513.75</v>
      </c>
      <c r="M18" s="22">
        <f>M16</f>
        <v>1452539.7124999999</v>
      </c>
      <c r="N18" s="22">
        <f>N16</f>
        <v>1554217.4923749999</v>
      </c>
    </row>
    <row r="19" spans="1:14" s="24" customFormat="1" x14ac:dyDescent="0.25">
      <c r="A19" s="20"/>
      <c r="B19" s="20"/>
      <c r="C19" s="21"/>
      <c r="D19" s="29"/>
      <c r="E19" s="29"/>
      <c r="F19" s="29"/>
      <c r="G19" s="29"/>
      <c r="H19" s="29"/>
      <c r="I19" s="29"/>
      <c r="J19" s="27"/>
      <c r="K19" s="22"/>
      <c r="L19" s="22"/>
      <c r="M19" s="22"/>
      <c r="N19" s="132"/>
    </row>
    <row r="20" spans="1:14" s="24" customFormat="1" x14ac:dyDescent="0.25">
      <c r="A20" s="20"/>
      <c r="B20" s="20"/>
      <c r="C20" s="21" t="s">
        <v>147</v>
      </c>
      <c r="D20" s="29">
        <f>D18</f>
        <v>1277660</v>
      </c>
      <c r="E20" s="29">
        <v>95284.06</v>
      </c>
      <c r="F20" s="29">
        <v>0</v>
      </c>
      <c r="G20" s="29">
        <v>571704.36</v>
      </c>
      <c r="H20" s="29">
        <v>705955.64</v>
      </c>
      <c r="I20" s="29">
        <v>44.74</v>
      </c>
      <c r="J20" s="27">
        <f>+K20-D20</f>
        <v>0</v>
      </c>
      <c r="K20" s="22">
        <f>K18</f>
        <v>1277660</v>
      </c>
      <c r="L20" s="22">
        <f>L18</f>
        <v>1357513.75</v>
      </c>
      <c r="M20" s="22">
        <f>M18</f>
        <v>1452539.7124999999</v>
      </c>
      <c r="N20" s="22">
        <f>N18</f>
        <v>1554217.4923749999</v>
      </c>
    </row>
    <row r="21" spans="1:14" s="24" customFormat="1" x14ac:dyDescent="0.25">
      <c r="A21" s="20"/>
      <c r="B21" s="20"/>
      <c r="C21" s="21"/>
      <c r="D21" s="29"/>
      <c r="E21" s="29"/>
      <c r="F21" s="29"/>
      <c r="G21" s="29"/>
      <c r="H21" s="29"/>
      <c r="I21" s="29"/>
      <c r="J21" s="27"/>
      <c r="K21" s="27"/>
      <c r="L21" s="22"/>
      <c r="M21" s="22"/>
      <c r="N21" s="132"/>
    </row>
    <row r="22" spans="1:14" s="24" customFormat="1" x14ac:dyDescent="0.25">
      <c r="A22" s="20"/>
      <c r="B22" s="20"/>
      <c r="C22" s="21" t="s">
        <v>148</v>
      </c>
      <c r="D22" s="29"/>
      <c r="E22" s="29"/>
      <c r="F22" s="29"/>
      <c r="G22" s="29"/>
      <c r="H22" s="29"/>
      <c r="I22" s="29"/>
      <c r="J22" s="27">
        <f ca="1">+K22-D22</f>
        <v>276424</v>
      </c>
      <c r="K22" s="27">
        <f ca="1">D22+J22</f>
        <v>0</v>
      </c>
      <c r="L22" s="22"/>
      <c r="M22" s="22"/>
      <c r="N22" s="132"/>
    </row>
    <row r="23" spans="1:14" s="24" customFormat="1" x14ac:dyDescent="0.25">
      <c r="A23" s="20"/>
      <c r="B23" s="20"/>
      <c r="C23" s="21"/>
      <c r="D23" s="29"/>
      <c r="E23" s="29"/>
      <c r="F23" s="29"/>
      <c r="G23" s="29"/>
      <c r="H23" s="29"/>
      <c r="I23" s="29"/>
      <c r="J23" s="27"/>
      <c r="K23" s="27"/>
      <c r="L23" s="22"/>
      <c r="M23" s="22"/>
      <c r="N23" s="132"/>
    </row>
    <row r="24" spans="1:14" s="24" customFormat="1" x14ac:dyDescent="0.25">
      <c r="A24" s="20"/>
      <c r="B24" s="20"/>
      <c r="C24" s="21" t="s">
        <v>149</v>
      </c>
      <c r="D24" s="29"/>
      <c r="E24" s="29"/>
      <c r="F24" s="29"/>
      <c r="G24" s="29"/>
      <c r="H24" s="29"/>
      <c r="I24" s="29"/>
      <c r="J24" s="27">
        <f ca="1">+K24-D24</f>
        <v>276424</v>
      </c>
      <c r="K24" s="27">
        <f ca="1">D24+J24</f>
        <v>0</v>
      </c>
      <c r="L24" s="22"/>
      <c r="M24" s="22"/>
      <c r="N24" s="132"/>
    </row>
    <row r="25" spans="1:14" s="28" customFormat="1" ht="14.25" x14ac:dyDescent="0.2">
      <c r="A25" s="25"/>
      <c r="B25" s="25"/>
      <c r="C25" s="26"/>
      <c r="D25" s="23"/>
      <c r="E25" s="23"/>
      <c r="F25" s="23"/>
      <c r="G25" s="23"/>
      <c r="H25" s="23"/>
      <c r="I25" s="23"/>
      <c r="J25" s="27"/>
      <c r="K25" s="27"/>
      <c r="L25" s="27"/>
      <c r="M25" s="27"/>
      <c r="N25" s="133"/>
    </row>
    <row r="26" spans="1:14" s="28" customFormat="1" ht="14.25" x14ac:dyDescent="0.2">
      <c r="A26" s="25" t="s">
        <v>589</v>
      </c>
      <c r="B26" s="25"/>
      <c r="C26" s="26" t="s">
        <v>150</v>
      </c>
      <c r="D26" s="23">
        <f t="shared" ref="D26:D34" si="5">VLOOKUP(A26,fin,3,FALSE)</f>
        <v>1773819</v>
      </c>
      <c r="E26" s="23">
        <v>91950.73</v>
      </c>
      <c r="F26" s="23">
        <v>0</v>
      </c>
      <c r="G26" s="23">
        <v>551704.38</v>
      </c>
      <c r="H26" s="23">
        <v>339403.62</v>
      </c>
      <c r="I26" s="23">
        <v>61.91</v>
      </c>
      <c r="J26" s="27">
        <f t="shared" ref="J26:J34" si="6">+K26-D26</f>
        <v>0</v>
      </c>
      <c r="K26" s="27">
        <f t="shared" ref="K26:K34" si="7">VLOOKUP(A26,fin,4,FALSE)</f>
        <v>1773819</v>
      </c>
      <c r="L26" s="27">
        <f t="shared" ref="L26:L34" si="8">K26*6.25/100+K26</f>
        <v>1884682.6875</v>
      </c>
      <c r="M26" s="27">
        <f t="shared" ref="M26:N34" si="9">L26*7/100+L26</f>
        <v>2016610.475625</v>
      </c>
      <c r="N26" s="133">
        <f t="shared" si="9"/>
        <v>2157773.2089187498</v>
      </c>
    </row>
    <row r="27" spans="1:14" s="28" customFormat="1" ht="14.25" x14ac:dyDescent="0.2">
      <c r="A27" s="25" t="s">
        <v>590</v>
      </c>
      <c r="B27" s="25"/>
      <c r="C27" s="26" t="s">
        <v>151</v>
      </c>
      <c r="D27" s="23">
        <f t="shared" si="5"/>
        <v>88691</v>
      </c>
      <c r="E27" s="23">
        <v>91950.73</v>
      </c>
      <c r="F27" s="23">
        <v>0</v>
      </c>
      <c r="G27" s="23">
        <v>551704.38</v>
      </c>
      <c r="H27" s="23">
        <v>339403.62</v>
      </c>
      <c r="I27" s="23">
        <v>61.91</v>
      </c>
      <c r="J27" s="27">
        <f t="shared" si="6"/>
        <v>-63289.729999999996</v>
      </c>
      <c r="K27" s="27">
        <f t="shared" si="7"/>
        <v>25401.270000000004</v>
      </c>
      <c r="L27" s="27">
        <f t="shared" si="8"/>
        <v>26988.849375000005</v>
      </c>
      <c r="M27" s="27">
        <f t="shared" si="9"/>
        <v>28878.068831250006</v>
      </c>
      <c r="N27" s="133">
        <f t="shared" si="9"/>
        <v>30899.533649437508</v>
      </c>
    </row>
    <row r="28" spans="1:14" s="28" customFormat="1" ht="14.25" x14ac:dyDescent="0.2">
      <c r="A28" s="25" t="s">
        <v>591</v>
      </c>
      <c r="B28" s="25"/>
      <c r="C28" s="26" t="s">
        <v>152</v>
      </c>
      <c r="D28" s="23">
        <f t="shared" si="5"/>
        <v>62100</v>
      </c>
      <c r="E28" s="23">
        <v>91950.73</v>
      </c>
      <c r="F28" s="23">
        <v>0</v>
      </c>
      <c r="G28" s="23">
        <v>551704.38</v>
      </c>
      <c r="H28" s="23">
        <v>339403.62</v>
      </c>
      <c r="I28" s="23">
        <v>61.91</v>
      </c>
      <c r="J28" s="27">
        <f t="shared" si="6"/>
        <v>0</v>
      </c>
      <c r="K28" s="27">
        <f t="shared" si="7"/>
        <v>62100</v>
      </c>
      <c r="L28" s="27">
        <f t="shared" si="8"/>
        <v>65981.25</v>
      </c>
      <c r="M28" s="27">
        <f t="shared" si="9"/>
        <v>70599.9375</v>
      </c>
      <c r="N28" s="133">
        <f t="shared" si="9"/>
        <v>75541.933124999996</v>
      </c>
    </row>
    <row r="29" spans="1:14" s="28" customFormat="1" ht="14.25" x14ac:dyDescent="0.2">
      <c r="A29" s="25" t="s">
        <v>592</v>
      </c>
      <c r="B29" s="25"/>
      <c r="C29" s="26" t="s">
        <v>153</v>
      </c>
      <c r="D29" s="23">
        <f t="shared" si="5"/>
        <v>21786</v>
      </c>
      <c r="E29" s="23">
        <v>91950.73</v>
      </c>
      <c r="F29" s="23">
        <v>0</v>
      </c>
      <c r="G29" s="23">
        <v>551704.38</v>
      </c>
      <c r="H29" s="23">
        <v>339403.62</v>
      </c>
      <c r="I29" s="23">
        <v>61.91</v>
      </c>
      <c r="J29" s="27">
        <f t="shared" si="6"/>
        <v>0</v>
      </c>
      <c r="K29" s="27">
        <f t="shared" si="7"/>
        <v>21786</v>
      </c>
      <c r="L29" s="27">
        <f t="shared" si="8"/>
        <v>23147.625</v>
      </c>
      <c r="M29" s="27">
        <f t="shared" si="9"/>
        <v>24767.958750000002</v>
      </c>
      <c r="N29" s="133">
        <f t="shared" si="9"/>
        <v>26501.715862500001</v>
      </c>
    </row>
    <row r="30" spans="1:14" s="28" customFormat="1" ht="14.25" x14ac:dyDescent="0.2">
      <c r="A30" s="25" t="s">
        <v>593</v>
      </c>
      <c r="B30" s="25"/>
      <c r="C30" s="26" t="s">
        <v>155</v>
      </c>
      <c r="D30" s="23">
        <f t="shared" si="5"/>
        <v>58863</v>
      </c>
      <c r="E30" s="23">
        <v>91950.73</v>
      </c>
      <c r="F30" s="23">
        <v>0</v>
      </c>
      <c r="G30" s="23">
        <v>551704.38</v>
      </c>
      <c r="H30" s="23">
        <v>339403.62</v>
      </c>
      <c r="I30" s="23">
        <v>61.91</v>
      </c>
      <c r="J30" s="27">
        <f t="shared" si="6"/>
        <v>0</v>
      </c>
      <c r="K30" s="27">
        <f t="shared" si="7"/>
        <v>58863</v>
      </c>
      <c r="L30" s="27">
        <f t="shared" si="8"/>
        <v>62541.9375</v>
      </c>
      <c r="M30" s="27">
        <f t="shared" si="9"/>
        <v>66919.873124999998</v>
      </c>
      <c r="N30" s="133">
        <f t="shared" si="9"/>
        <v>71604.264243750004</v>
      </c>
    </row>
    <row r="31" spans="1:14" s="28" customFormat="1" ht="14.25" x14ac:dyDescent="0.2">
      <c r="A31" s="25" t="s">
        <v>594</v>
      </c>
      <c r="B31" s="25"/>
      <c r="C31" s="26" t="s">
        <v>156</v>
      </c>
      <c r="D31" s="23">
        <f t="shared" si="5"/>
        <v>443455</v>
      </c>
      <c r="E31" s="23">
        <v>91950.73</v>
      </c>
      <c r="F31" s="23">
        <v>0</v>
      </c>
      <c r="G31" s="23">
        <v>551704.38</v>
      </c>
      <c r="H31" s="23">
        <v>339403.62</v>
      </c>
      <c r="I31" s="23">
        <v>61.91</v>
      </c>
      <c r="J31" s="27">
        <f t="shared" si="6"/>
        <v>0</v>
      </c>
      <c r="K31" s="27">
        <f t="shared" si="7"/>
        <v>443455</v>
      </c>
      <c r="L31" s="27">
        <f t="shared" si="8"/>
        <v>471170.9375</v>
      </c>
      <c r="M31" s="27">
        <f t="shared" si="9"/>
        <v>504152.90312500001</v>
      </c>
      <c r="N31" s="133">
        <f t="shared" si="9"/>
        <v>539443.60634375003</v>
      </c>
    </row>
    <row r="32" spans="1:14" s="28" customFormat="1" ht="14.25" x14ac:dyDescent="0.2">
      <c r="A32" s="25" t="s">
        <v>595</v>
      </c>
      <c r="B32" s="25"/>
      <c r="C32" s="26" t="s">
        <v>158</v>
      </c>
      <c r="D32" s="23">
        <f t="shared" si="5"/>
        <v>35475</v>
      </c>
      <c r="E32" s="23">
        <v>91950.73</v>
      </c>
      <c r="F32" s="23">
        <v>0</v>
      </c>
      <c r="G32" s="23">
        <v>551704.38</v>
      </c>
      <c r="H32" s="23">
        <v>339403.62</v>
      </c>
      <c r="I32" s="23">
        <v>61.91</v>
      </c>
      <c r="J32" s="27">
        <f t="shared" si="6"/>
        <v>-35475</v>
      </c>
      <c r="K32" s="27">
        <f t="shared" si="7"/>
        <v>0</v>
      </c>
      <c r="L32" s="27">
        <f t="shared" si="8"/>
        <v>0</v>
      </c>
      <c r="M32" s="27">
        <f t="shared" si="9"/>
        <v>0</v>
      </c>
      <c r="N32" s="133">
        <f t="shared" si="9"/>
        <v>0</v>
      </c>
    </row>
    <row r="33" spans="1:14" s="28" customFormat="1" ht="14.25" x14ac:dyDescent="0.2">
      <c r="A33" s="25" t="s">
        <v>596</v>
      </c>
      <c r="B33" s="25"/>
      <c r="C33" s="26" t="s">
        <v>159</v>
      </c>
      <c r="D33" s="23">
        <f t="shared" si="5"/>
        <v>147818</v>
      </c>
      <c r="E33" s="23">
        <v>91950.73</v>
      </c>
      <c r="F33" s="23">
        <v>0</v>
      </c>
      <c r="G33" s="23">
        <v>551704.38</v>
      </c>
      <c r="H33" s="23">
        <v>339403.62</v>
      </c>
      <c r="I33" s="23">
        <v>61.91</v>
      </c>
      <c r="J33" s="27">
        <f t="shared" si="6"/>
        <v>0</v>
      </c>
      <c r="K33" s="27">
        <f t="shared" si="7"/>
        <v>147818</v>
      </c>
      <c r="L33" s="27">
        <f t="shared" si="8"/>
        <v>157056.625</v>
      </c>
      <c r="M33" s="27">
        <f t="shared" si="9"/>
        <v>168050.58875</v>
      </c>
      <c r="N33" s="133">
        <f t="shared" si="9"/>
        <v>179814.12996249998</v>
      </c>
    </row>
    <row r="34" spans="1:14" s="28" customFormat="1" ht="14.25" x14ac:dyDescent="0.2">
      <c r="A34" s="25" t="s">
        <v>597</v>
      </c>
      <c r="B34" s="25"/>
      <c r="C34" s="26" t="s">
        <v>164</v>
      </c>
      <c r="D34" s="23">
        <f t="shared" si="5"/>
        <v>44412</v>
      </c>
      <c r="E34" s="23">
        <v>91950.73</v>
      </c>
      <c r="F34" s="23">
        <v>0</v>
      </c>
      <c r="G34" s="23">
        <v>551704.38</v>
      </c>
      <c r="H34" s="23">
        <v>339403.62</v>
      </c>
      <c r="I34" s="23">
        <v>61.91</v>
      </c>
      <c r="J34" s="27">
        <f t="shared" si="6"/>
        <v>149534.76</v>
      </c>
      <c r="K34" s="27">
        <f t="shared" si="7"/>
        <v>193946.76</v>
      </c>
      <c r="L34" s="27">
        <f t="shared" si="8"/>
        <v>206068.4325</v>
      </c>
      <c r="M34" s="27">
        <f t="shared" si="9"/>
        <v>220493.222775</v>
      </c>
      <c r="N34" s="133">
        <f t="shared" si="9"/>
        <v>235927.74836925001</v>
      </c>
    </row>
    <row r="35" spans="1:14" s="28" customFormat="1" ht="14.25" x14ac:dyDescent="0.2">
      <c r="A35" s="25"/>
      <c r="B35" s="25"/>
      <c r="C35" s="26"/>
      <c r="D35" s="23"/>
      <c r="E35" s="23"/>
      <c r="F35" s="23"/>
      <c r="G35" s="23"/>
      <c r="H35" s="23"/>
      <c r="I35" s="23"/>
      <c r="J35" s="27"/>
      <c r="K35" s="27"/>
      <c r="L35" s="27"/>
      <c r="M35" s="27"/>
      <c r="N35" s="133"/>
    </row>
    <row r="36" spans="1:14" s="24" customFormat="1" x14ac:dyDescent="0.25">
      <c r="A36" s="20"/>
      <c r="B36" s="20"/>
      <c r="C36" s="21" t="s">
        <v>165</v>
      </c>
      <c r="D36" s="29">
        <f>SUM(D26:D35)</f>
        <v>2676419</v>
      </c>
      <c r="E36" s="29">
        <v>153223.46</v>
      </c>
      <c r="F36" s="29">
        <v>0</v>
      </c>
      <c r="G36" s="29">
        <v>806654.96</v>
      </c>
      <c r="H36" s="29">
        <v>1869764.04</v>
      </c>
      <c r="I36" s="29">
        <v>30.13</v>
      </c>
      <c r="J36" s="27">
        <f>+K36-D36</f>
        <v>50770.030000000261</v>
      </c>
      <c r="K36" s="22">
        <f>SUM(K26:K35)</f>
        <v>2727189.0300000003</v>
      </c>
      <c r="L36" s="22">
        <f>SUM(L26:L35)</f>
        <v>2897638.3443750003</v>
      </c>
      <c r="M36" s="22">
        <f>SUM(M26:M35)</f>
        <v>3100473.0284812506</v>
      </c>
      <c r="N36" s="22">
        <f>SUM(N26:N35)</f>
        <v>3317506.1404749374</v>
      </c>
    </row>
    <row r="37" spans="1:14" s="24" customFormat="1" x14ac:dyDescent="0.25">
      <c r="A37" s="20"/>
      <c r="B37" s="20"/>
      <c r="C37" s="21"/>
      <c r="D37" s="29"/>
      <c r="E37" s="29"/>
      <c r="F37" s="29"/>
      <c r="G37" s="29"/>
      <c r="H37" s="29"/>
      <c r="I37" s="29"/>
      <c r="J37" s="27"/>
      <c r="K37" s="27"/>
      <c r="L37" s="22"/>
      <c r="M37" s="22"/>
      <c r="N37" s="132"/>
    </row>
    <row r="38" spans="1:14" s="24" customFormat="1" x14ac:dyDescent="0.25">
      <c r="A38" s="20"/>
      <c r="B38" s="20"/>
      <c r="C38" s="21" t="s">
        <v>166</v>
      </c>
      <c r="D38" s="29"/>
      <c r="E38" s="29"/>
      <c r="F38" s="29"/>
      <c r="G38" s="29"/>
      <c r="H38" s="29"/>
      <c r="I38" s="29"/>
      <c r="J38" s="27">
        <f>+K38-D38</f>
        <v>0</v>
      </c>
      <c r="K38" s="27"/>
      <c r="L38" s="22"/>
      <c r="M38" s="22"/>
      <c r="N38" s="132"/>
    </row>
    <row r="39" spans="1:14" s="28" customFormat="1" ht="14.25" x14ac:dyDescent="0.2">
      <c r="A39" s="25"/>
      <c r="B39" s="25"/>
      <c r="C39" s="26"/>
      <c r="D39" s="23"/>
      <c r="E39" s="23"/>
      <c r="F39" s="23"/>
      <c r="G39" s="23"/>
      <c r="H39" s="23"/>
      <c r="I39" s="23"/>
      <c r="J39" s="27"/>
      <c r="K39" s="27"/>
      <c r="L39" s="27"/>
      <c r="M39" s="27"/>
      <c r="N39" s="133"/>
    </row>
    <row r="40" spans="1:14" s="28" customFormat="1" ht="14.25" x14ac:dyDescent="0.2">
      <c r="A40" s="25" t="s">
        <v>598</v>
      </c>
      <c r="B40" s="25"/>
      <c r="C40" s="26" t="s">
        <v>167</v>
      </c>
      <c r="D40" s="23">
        <f>VLOOKUP(A40,fin,3,FALSE)</f>
        <v>449</v>
      </c>
      <c r="E40" s="23">
        <v>91950.73</v>
      </c>
      <c r="F40" s="23">
        <v>0</v>
      </c>
      <c r="G40" s="23">
        <v>551704.38</v>
      </c>
      <c r="H40" s="23">
        <v>339403.62</v>
      </c>
      <c r="I40" s="23">
        <v>61.91</v>
      </c>
      <c r="J40" s="27">
        <f>+K40-D40</f>
        <v>0</v>
      </c>
      <c r="K40" s="27">
        <f>VLOOKUP(A40,fin,4,FALSE)</f>
        <v>449</v>
      </c>
      <c r="L40" s="27">
        <f t="shared" ref="L40:L43" si="10">K40*6.25/100+K40</f>
        <v>477.0625</v>
      </c>
      <c r="M40" s="27">
        <f t="shared" ref="M40:N43" si="11">L40*7/100+L40</f>
        <v>510.45687499999997</v>
      </c>
      <c r="N40" s="133">
        <f t="shared" si="11"/>
        <v>546.18885624999996</v>
      </c>
    </row>
    <row r="41" spans="1:14" s="28" customFormat="1" ht="14.25" x14ac:dyDescent="0.2">
      <c r="A41" s="25" t="s">
        <v>599</v>
      </c>
      <c r="B41" s="25"/>
      <c r="C41" s="26" t="s">
        <v>168</v>
      </c>
      <c r="D41" s="23">
        <f>VLOOKUP(A41,fin,3,FALSE)</f>
        <v>215633</v>
      </c>
      <c r="E41" s="23">
        <v>91950.73</v>
      </c>
      <c r="F41" s="23">
        <v>0</v>
      </c>
      <c r="G41" s="23">
        <v>551704.38</v>
      </c>
      <c r="H41" s="23">
        <v>339403.62</v>
      </c>
      <c r="I41" s="23">
        <v>61.91</v>
      </c>
      <c r="J41" s="27">
        <f>+K41-D41</f>
        <v>0</v>
      </c>
      <c r="K41" s="27">
        <f>VLOOKUP(A41,fin,4,FALSE)</f>
        <v>215633</v>
      </c>
      <c r="L41" s="27">
        <f t="shared" si="10"/>
        <v>229110.0625</v>
      </c>
      <c r="M41" s="27">
        <f t="shared" si="11"/>
        <v>245147.766875</v>
      </c>
      <c r="N41" s="133">
        <f t="shared" si="11"/>
        <v>262308.11055624997</v>
      </c>
    </row>
    <row r="42" spans="1:14" s="28" customFormat="1" ht="14.25" x14ac:dyDescent="0.2">
      <c r="A42" s="25" t="s">
        <v>600</v>
      </c>
      <c r="B42" s="25"/>
      <c r="C42" s="26" t="s">
        <v>169</v>
      </c>
      <c r="D42" s="23">
        <f>VLOOKUP(A42,fin,3,FALSE)</f>
        <v>390240</v>
      </c>
      <c r="E42" s="23">
        <v>91950.73</v>
      </c>
      <c r="F42" s="23">
        <v>0</v>
      </c>
      <c r="G42" s="23">
        <v>551704.38</v>
      </c>
      <c r="H42" s="23">
        <v>339403.62</v>
      </c>
      <c r="I42" s="23">
        <v>61.91</v>
      </c>
      <c r="J42" s="27">
        <f>+K42-D42</f>
        <v>0</v>
      </c>
      <c r="K42" s="27">
        <f>VLOOKUP(A42,fin,4,FALSE)</f>
        <v>390240</v>
      </c>
      <c r="L42" s="27">
        <f t="shared" si="10"/>
        <v>414630</v>
      </c>
      <c r="M42" s="27">
        <f t="shared" si="11"/>
        <v>443654.1</v>
      </c>
      <c r="N42" s="133">
        <f t="shared" si="11"/>
        <v>474709.88699999999</v>
      </c>
    </row>
    <row r="43" spans="1:14" s="28" customFormat="1" ht="14.25" x14ac:dyDescent="0.2">
      <c r="A43" s="25" t="s">
        <v>601</v>
      </c>
      <c r="B43" s="25"/>
      <c r="C43" s="26" t="s">
        <v>170</v>
      </c>
      <c r="D43" s="23">
        <f>VLOOKUP(A43,fin,3,FALSE)</f>
        <v>7140</v>
      </c>
      <c r="E43" s="23">
        <v>91950.73</v>
      </c>
      <c r="F43" s="23">
        <v>0</v>
      </c>
      <c r="G43" s="23">
        <v>551704.38</v>
      </c>
      <c r="H43" s="23">
        <v>339403.62</v>
      </c>
      <c r="I43" s="23">
        <v>61.91</v>
      </c>
      <c r="J43" s="27">
        <f>+K43-D43</f>
        <v>0</v>
      </c>
      <c r="K43" s="27">
        <f>VLOOKUP(A43,fin,4,FALSE)</f>
        <v>7140</v>
      </c>
      <c r="L43" s="27">
        <f t="shared" si="10"/>
        <v>7586.25</v>
      </c>
      <c r="M43" s="27">
        <f t="shared" si="11"/>
        <v>8117.2875000000004</v>
      </c>
      <c r="N43" s="133">
        <f t="shared" si="11"/>
        <v>8685.497625</v>
      </c>
    </row>
    <row r="44" spans="1:14" s="28" customFormat="1" ht="14.25" x14ac:dyDescent="0.2">
      <c r="A44" s="25"/>
      <c r="B44" s="25"/>
      <c r="C44" s="26"/>
      <c r="D44" s="23"/>
      <c r="E44" s="23"/>
      <c r="F44" s="23"/>
      <c r="G44" s="23"/>
      <c r="H44" s="23"/>
      <c r="I44" s="23"/>
      <c r="J44" s="27"/>
      <c r="K44" s="27"/>
      <c r="L44" s="27"/>
      <c r="M44" s="27"/>
      <c r="N44" s="133"/>
    </row>
    <row r="45" spans="1:14" s="24" customFormat="1" x14ac:dyDescent="0.25">
      <c r="A45" s="20"/>
      <c r="B45" s="20"/>
      <c r="C45" s="21" t="s">
        <v>171</v>
      </c>
      <c r="D45" s="29">
        <f>SUM(D40:D44)</f>
        <v>613462</v>
      </c>
      <c r="E45" s="29">
        <v>27707.32</v>
      </c>
      <c r="F45" s="29">
        <v>0</v>
      </c>
      <c r="G45" s="29">
        <v>165892.92000000001</v>
      </c>
      <c r="H45" s="29">
        <v>447569.08</v>
      </c>
      <c r="I45" s="29">
        <v>27.04</v>
      </c>
      <c r="J45" s="27">
        <f>+K45-D45</f>
        <v>0</v>
      </c>
      <c r="K45" s="22">
        <f>SUM(K40:K44)</f>
        <v>613462</v>
      </c>
      <c r="L45" s="22">
        <f>SUM(L40:L44)</f>
        <v>651803.375</v>
      </c>
      <c r="M45" s="22">
        <f>SUM(M40:M44)</f>
        <v>697429.61124999996</v>
      </c>
      <c r="N45" s="22">
        <f>SUM(N40:N44)</f>
        <v>746249.68403749994</v>
      </c>
    </row>
    <row r="46" spans="1:14" s="24" customFormat="1" x14ac:dyDescent="0.25">
      <c r="A46" s="20"/>
      <c r="B46" s="20"/>
      <c r="C46" s="21"/>
      <c r="D46" s="29"/>
      <c r="E46" s="29"/>
      <c r="F46" s="29"/>
      <c r="G46" s="29"/>
      <c r="H46" s="29"/>
      <c r="I46" s="29"/>
      <c r="J46" s="27"/>
      <c r="K46" s="27"/>
      <c r="L46" s="22"/>
      <c r="M46" s="22"/>
      <c r="N46" s="132"/>
    </row>
    <row r="47" spans="1:14" s="24" customFormat="1" x14ac:dyDescent="0.25">
      <c r="A47" s="20"/>
      <c r="B47" s="20"/>
      <c r="C47" s="21" t="s">
        <v>172</v>
      </c>
      <c r="D47" s="29"/>
      <c r="E47" s="29"/>
      <c r="F47" s="29"/>
      <c r="G47" s="29"/>
      <c r="H47" s="29"/>
      <c r="I47" s="29"/>
      <c r="J47" s="27">
        <f>+K47-D47</f>
        <v>0</v>
      </c>
      <c r="K47" s="27"/>
      <c r="L47" s="22"/>
      <c r="M47" s="22"/>
      <c r="N47" s="132"/>
    </row>
    <row r="48" spans="1:14" s="28" customFormat="1" ht="14.25" x14ac:dyDescent="0.2">
      <c r="A48" s="25"/>
      <c r="B48" s="25"/>
      <c r="C48" s="26"/>
      <c r="D48" s="23"/>
      <c r="E48" s="23"/>
      <c r="F48" s="23"/>
      <c r="G48" s="23"/>
      <c r="H48" s="23"/>
      <c r="I48" s="23"/>
      <c r="J48" s="27"/>
      <c r="K48" s="27"/>
      <c r="L48" s="27"/>
      <c r="M48" s="27"/>
      <c r="N48" s="133"/>
    </row>
    <row r="49" spans="1:15" s="28" customFormat="1" ht="14.25" x14ac:dyDescent="0.2">
      <c r="A49" s="25" t="s">
        <v>602</v>
      </c>
      <c r="B49" s="25"/>
      <c r="C49" s="26" t="s">
        <v>173</v>
      </c>
      <c r="D49" s="23">
        <f>VLOOKUP(A49,fin,3,FALSE)</f>
        <v>15638</v>
      </c>
      <c r="E49" s="23">
        <v>91950.73</v>
      </c>
      <c r="F49" s="23">
        <v>0</v>
      </c>
      <c r="G49" s="23">
        <v>551704.38</v>
      </c>
      <c r="H49" s="23">
        <v>339403.62</v>
      </c>
      <c r="I49" s="23">
        <v>61.91</v>
      </c>
      <c r="J49" s="27">
        <f>+K49-D49</f>
        <v>0</v>
      </c>
      <c r="K49" s="27">
        <f>VLOOKUP(A49,fin,4,FALSE)</f>
        <v>15638</v>
      </c>
      <c r="L49" s="27">
        <f t="shared" ref="L49:L51" si="12">K49*6.25/100+K49</f>
        <v>16615.375</v>
      </c>
      <c r="M49" s="27">
        <f t="shared" ref="M49:N51" si="13">L49*7/100+L49</f>
        <v>17778.451249999998</v>
      </c>
      <c r="N49" s="133">
        <f t="shared" si="13"/>
        <v>19022.942837499999</v>
      </c>
    </row>
    <row r="50" spans="1:15" s="28" customFormat="1" ht="14.25" x14ac:dyDescent="0.2">
      <c r="A50" s="25" t="s">
        <v>603</v>
      </c>
      <c r="B50" s="25"/>
      <c r="C50" s="26" t="s">
        <v>174</v>
      </c>
      <c r="D50" s="23">
        <f>VLOOKUP(A50,fin,3,FALSE)</f>
        <v>19697</v>
      </c>
      <c r="E50" s="23">
        <v>91950.73</v>
      </c>
      <c r="F50" s="23">
        <v>0</v>
      </c>
      <c r="G50" s="23">
        <v>551704.38</v>
      </c>
      <c r="H50" s="23">
        <v>339403.62</v>
      </c>
      <c r="I50" s="23">
        <v>61.91</v>
      </c>
      <c r="J50" s="27">
        <f>+K50-D50</f>
        <v>0</v>
      </c>
      <c r="K50" s="27">
        <f>VLOOKUP(A50,fin,4,FALSE)</f>
        <v>19697</v>
      </c>
      <c r="L50" s="27">
        <f t="shared" si="12"/>
        <v>20928.0625</v>
      </c>
      <c r="M50" s="27">
        <f t="shared" si="13"/>
        <v>22393.026875</v>
      </c>
      <c r="N50" s="133">
        <f t="shared" si="13"/>
        <v>23960.53875625</v>
      </c>
    </row>
    <row r="51" spans="1:15" s="28" customFormat="1" ht="14.25" x14ac:dyDescent="0.2">
      <c r="A51" s="25" t="s">
        <v>604</v>
      </c>
      <c r="B51" s="25"/>
      <c r="C51" s="26" t="s">
        <v>175</v>
      </c>
      <c r="D51" s="23">
        <f>VLOOKUP(A51,fin,3,FALSE)</f>
        <v>16419</v>
      </c>
      <c r="E51" s="23">
        <v>91950.73</v>
      </c>
      <c r="F51" s="23">
        <v>0</v>
      </c>
      <c r="G51" s="23">
        <v>551704.38</v>
      </c>
      <c r="H51" s="23">
        <v>339403.62</v>
      </c>
      <c r="I51" s="23">
        <v>61.91</v>
      </c>
      <c r="J51" s="27">
        <f>+K51-D51</f>
        <v>0</v>
      </c>
      <c r="K51" s="27">
        <f>VLOOKUP(A51,fin,4,FALSE)</f>
        <v>16419</v>
      </c>
      <c r="L51" s="27">
        <f t="shared" si="12"/>
        <v>17445.1875</v>
      </c>
      <c r="M51" s="27">
        <f t="shared" si="13"/>
        <v>18666.350624999999</v>
      </c>
      <c r="N51" s="133">
        <f t="shared" si="13"/>
        <v>19972.99516875</v>
      </c>
    </row>
    <row r="52" spans="1:15" s="28" customFormat="1" ht="14.25" x14ac:dyDescent="0.2">
      <c r="A52" s="25"/>
      <c r="B52" s="25"/>
      <c r="C52" s="26"/>
      <c r="D52" s="23"/>
      <c r="E52" s="23"/>
      <c r="F52" s="23"/>
      <c r="G52" s="23"/>
      <c r="H52" s="23"/>
      <c r="I52" s="23"/>
      <c r="J52" s="27"/>
      <c r="K52" s="27"/>
      <c r="L52" s="27"/>
      <c r="M52" s="27"/>
      <c r="N52" s="133"/>
    </row>
    <row r="53" spans="1:15" s="24" customFormat="1" x14ac:dyDescent="0.25">
      <c r="A53" s="20"/>
      <c r="B53" s="20"/>
      <c r="C53" s="21" t="s">
        <v>176</v>
      </c>
      <c r="D53" s="29">
        <f>SUM(D49:D52)</f>
        <v>51754</v>
      </c>
      <c r="E53" s="29">
        <v>0</v>
      </c>
      <c r="F53" s="29">
        <v>0</v>
      </c>
      <c r="G53" s="29">
        <v>0</v>
      </c>
      <c r="H53" s="29">
        <v>51754</v>
      </c>
      <c r="I53" s="29">
        <v>0</v>
      </c>
      <c r="J53" s="27">
        <f>+K53-D53</f>
        <v>0</v>
      </c>
      <c r="K53" s="22">
        <f>SUM(K49:K52)</f>
        <v>51754</v>
      </c>
      <c r="L53" s="22">
        <f>SUM(L49:L52)</f>
        <v>54988.625</v>
      </c>
      <c r="M53" s="22">
        <f>SUM(M49:M52)</f>
        <v>58837.828749999993</v>
      </c>
      <c r="N53" s="22">
        <f>SUM(N49:N52)</f>
        <v>62956.476762499995</v>
      </c>
    </row>
    <row r="54" spans="1:15" s="24" customFormat="1" x14ac:dyDescent="0.25">
      <c r="A54" s="20"/>
      <c r="B54" s="20"/>
      <c r="C54" s="21"/>
      <c r="D54" s="29"/>
      <c r="E54" s="29"/>
      <c r="F54" s="29"/>
      <c r="G54" s="29"/>
      <c r="H54" s="29"/>
      <c r="I54" s="29"/>
      <c r="J54" s="27"/>
      <c r="K54" s="22"/>
      <c r="L54" s="22"/>
      <c r="M54" s="22"/>
      <c r="N54" s="132"/>
    </row>
    <row r="55" spans="1:15" s="24" customFormat="1" x14ac:dyDescent="0.25">
      <c r="A55" s="20"/>
      <c r="B55" s="20"/>
      <c r="C55" s="21" t="s">
        <v>177</v>
      </c>
      <c r="D55" s="29">
        <f>+D36+D45+D53</f>
        <v>3341635</v>
      </c>
      <c r="E55" s="29">
        <v>180930.78</v>
      </c>
      <c r="F55" s="29">
        <v>0</v>
      </c>
      <c r="G55" s="29">
        <v>972547.88</v>
      </c>
      <c r="H55" s="29">
        <v>2369087.12</v>
      </c>
      <c r="I55" s="29">
        <v>29.1</v>
      </c>
      <c r="J55" s="27">
        <f>+K55-D55</f>
        <v>50770.030000000261</v>
      </c>
      <c r="K55" s="22">
        <f>+K36+K45+K53</f>
        <v>3392405.0300000003</v>
      </c>
      <c r="L55" s="22">
        <f>+L36+L45+L53</f>
        <v>3604430.3443750003</v>
      </c>
      <c r="M55" s="22">
        <f>+M36+M45+M53</f>
        <v>3856740.4684812506</v>
      </c>
      <c r="N55" s="22">
        <f>+N36+N45+N53</f>
        <v>4126712.3012749376</v>
      </c>
    </row>
    <row r="56" spans="1:15" s="24" customFormat="1" x14ac:dyDescent="0.25">
      <c r="A56" s="20"/>
      <c r="B56" s="20"/>
      <c r="C56" s="21"/>
      <c r="D56" s="29"/>
      <c r="E56" s="29"/>
      <c r="F56" s="29"/>
      <c r="G56" s="29"/>
      <c r="H56" s="29"/>
      <c r="I56" s="29"/>
      <c r="J56" s="27"/>
      <c r="K56" s="22"/>
      <c r="L56" s="22"/>
      <c r="M56" s="22"/>
      <c r="N56" s="132"/>
    </row>
    <row r="57" spans="1:15" s="24" customFormat="1" x14ac:dyDescent="0.25">
      <c r="A57" s="20"/>
      <c r="B57" s="20"/>
      <c r="C57" s="21" t="s">
        <v>178</v>
      </c>
      <c r="D57" s="29">
        <f>+D55+D20</f>
        <v>4619295</v>
      </c>
      <c r="E57" s="29">
        <v>276214.84000000003</v>
      </c>
      <c r="F57" s="29">
        <v>0</v>
      </c>
      <c r="G57" s="29">
        <v>1544252.24</v>
      </c>
      <c r="H57" s="29">
        <v>3075042.76</v>
      </c>
      <c r="I57" s="29">
        <v>33.43</v>
      </c>
      <c r="J57" s="27">
        <f>+K57-D57</f>
        <v>50770.030000000261</v>
      </c>
      <c r="K57" s="22">
        <f>+K55+K20</f>
        <v>4670065.03</v>
      </c>
      <c r="L57" s="22">
        <f>+L55+L20</f>
        <v>4961944.0943750003</v>
      </c>
      <c r="M57" s="22">
        <f>+M55+M20</f>
        <v>5309280.1809812505</v>
      </c>
      <c r="N57" s="22">
        <f>+N55+N20</f>
        <v>5680929.793649938</v>
      </c>
      <c r="O57" s="72"/>
    </row>
    <row r="58" spans="1:15" s="24" customFormat="1" x14ac:dyDescent="0.25">
      <c r="A58" s="20"/>
      <c r="B58" s="20"/>
      <c r="C58" s="21"/>
      <c r="D58" s="29"/>
      <c r="E58" s="29"/>
      <c r="F58" s="29"/>
      <c r="G58" s="29"/>
      <c r="H58" s="29"/>
      <c r="I58" s="29"/>
      <c r="J58" s="27"/>
      <c r="K58" s="27"/>
      <c r="L58" s="22"/>
      <c r="M58" s="22"/>
      <c r="N58" s="132"/>
    </row>
    <row r="59" spans="1:15" s="24" customFormat="1" x14ac:dyDescent="0.25">
      <c r="A59" s="20"/>
      <c r="B59" s="20"/>
      <c r="C59" s="21" t="s">
        <v>208</v>
      </c>
      <c r="D59" s="29"/>
      <c r="E59" s="29"/>
      <c r="F59" s="29"/>
      <c r="G59" s="29"/>
      <c r="H59" s="29"/>
      <c r="I59" s="29"/>
      <c r="J59" s="27"/>
      <c r="K59" s="27"/>
      <c r="L59" s="22"/>
      <c r="M59" s="22"/>
      <c r="N59" s="132"/>
    </row>
    <row r="60" spans="1:15" s="24" customFormat="1" x14ac:dyDescent="0.25">
      <c r="A60" s="20"/>
      <c r="B60" s="20"/>
      <c r="C60" s="21" t="s">
        <v>209</v>
      </c>
      <c r="D60" s="29"/>
      <c r="E60" s="29"/>
      <c r="F60" s="29"/>
      <c r="G60" s="29"/>
      <c r="H60" s="29"/>
      <c r="I60" s="29"/>
      <c r="J60" s="27"/>
      <c r="K60" s="27"/>
      <c r="L60" s="22"/>
      <c r="M60" s="22"/>
      <c r="N60" s="132"/>
    </row>
    <row r="61" spans="1:15" s="28" customFormat="1" ht="14.25" x14ac:dyDescent="0.2">
      <c r="A61" s="25"/>
      <c r="B61" s="25"/>
      <c r="C61" s="26"/>
      <c r="D61" s="23"/>
      <c r="E61" s="23"/>
      <c r="F61" s="23"/>
      <c r="G61" s="23"/>
      <c r="H61" s="23"/>
      <c r="I61" s="23"/>
      <c r="J61" s="27"/>
      <c r="K61" s="27"/>
      <c r="L61" s="27"/>
      <c r="M61" s="27"/>
      <c r="N61" s="133"/>
    </row>
    <row r="62" spans="1:15" s="28" customFormat="1" ht="14.25" x14ac:dyDescent="0.2">
      <c r="A62" s="25" t="s">
        <v>605</v>
      </c>
      <c r="B62" s="25"/>
      <c r="C62" s="26" t="s">
        <v>214</v>
      </c>
      <c r="D62" s="23">
        <f>VLOOKUP(A62,fin,3,FALSE)</f>
        <v>200000</v>
      </c>
      <c r="E62" s="23">
        <v>91950.73</v>
      </c>
      <c r="F62" s="23">
        <v>0</v>
      </c>
      <c r="G62" s="23">
        <v>551704.38</v>
      </c>
      <c r="H62" s="23">
        <v>339403.62</v>
      </c>
      <c r="I62" s="23">
        <v>61.91</v>
      </c>
      <c r="J62" s="27">
        <f>+K62-D62</f>
        <v>-30000</v>
      </c>
      <c r="K62" s="27">
        <f>VLOOKUP(A62,fin,4,FALSE)</f>
        <v>170000</v>
      </c>
      <c r="L62" s="27">
        <f>K62*4.5/100+K62</f>
        <v>177650</v>
      </c>
      <c r="M62" s="27">
        <f>L62*4.6/100+L62</f>
        <v>185821.9</v>
      </c>
      <c r="N62" s="133">
        <f>M62*4.6/100+M62</f>
        <v>194369.70739999998</v>
      </c>
    </row>
    <row r="63" spans="1:15" s="28" customFormat="1" ht="14.25" x14ac:dyDescent="0.2">
      <c r="A63" s="25"/>
      <c r="B63" s="25"/>
      <c r="C63" s="26"/>
      <c r="D63" s="23"/>
      <c r="E63" s="23"/>
      <c r="F63" s="23"/>
      <c r="G63" s="23"/>
      <c r="H63" s="23"/>
      <c r="I63" s="23"/>
      <c r="J63" s="27"/>
      <c r="K63" s="27"/>
      <c r="L63" s="27"/>
      <c r="M63" s="27"/>
      <c r="N63" s="133"/>
    </row>
    <row r="64" spans="1:15" s="24" customFormat="1" x14ac:dyDescent="0.25">
      <c r="A64" s="20"/>
      <c r="B64" s="20"/>
      <c r="C64" s="21" t="s">
        <v>217</v>
      </c>
      <c r="D64" s="29">
        <f>SUM(D62:D63)</f>
        <v>200000</v>
      </c>
      <c r="E64" s="29">
        <v>0</v>
      </c>
      <c r="F64" s="29">
        <v>2500</v>
      </c>
      <c r="G64" s="29">
        <v>53108.62</v>
      </c>
      <c r="H64" s="29">
        <v>146891.38</v>
      </c>
      <c r="I64" s="29">
        <v>26.55</v>
      </c>
      <c r="J64" s="27">
        <f>+K64-D64</f>
        <v>-30000</v>
      </c>
      <c r="K64" s="22">
        <f>SUM(K62:K63)</f>
        <v>170000</v>
      </c>
      <c r="L64" s="22">
        <f>SUM(L62:L63)</f>
        <v>177650</v>
      </c>
      <c r="M64" s="22">
        <f>SUM(M62:M63)</f>
        <v>185821.9</v>
      </c>
      <c r="N64" s="22">
        <f>SUM(N62:N63)</f>
        <v>194369.70739999998</v>
      </c>
    </row>
    <row r="65" spans="1:14" s="24" customFormat="1" x14ac:dyDescent="0.25">
      <c r="A65" s="20"/>
      <c r="B65" s="20"/>
      <c r="C65" s="21"/>
      <c r="D65" s="29"/>
      <c r="E65" s="29"/>
      <c r="F65" s="29"/>
      <c r="G65" s="29"/>
      <c r="H65" s="29"/>
      <c r="I65" s="29"/>
      <c r="J65" s="27"/>
      <c r="K65" s="27"/>
      <c r="L65" s="22"/>
      <c r="M65" s="22"/>
      <c r="N65" s="132"/>
    </row>
    <row r="66" spans="1:14" s="24" customFormat="1" x14ac:dyDescent="0.25">
      <c r="A66" s="20"/>
      <c r="B66" s="20"/>
      <c r="C66" s="21" t="s">
        <v>218</v>
      </c>
      <c r="D66" s="29"/>
      <c r="E66" s="29"/>
      <c r="F66" s="29"/>
      <c r="G66" s="29"/>
      <c r="H66" s="29"/>
      <c r="I66" s="29"/>
      <c r="J66" s="27"/>
      <c r="K66" s="27"/>
      <c r="L66" s="22"/>
      <c r="M66" s="22"/>
      <c r="N66" s="132"/>
    </row>
    <row r="67" spans="1:14" s="24" customFormat="1" x14ac:dyDescent="0.25">
      <c r="A67" s="20"/>
      <c r="B67" s="20"/>
      <c r="C67" s="21"/>
      <c r="D67" s="29"/>
      <c r="E67" s="29"/>
      <c r="F67" s="29"/>
      <c r="G67" s="29"/>
      <c r="H67" s="29"/>
      <c r="I67" s="29"/>
      <c r="J67" s="27"/>
      <c r="K67" s="27"/>
      <c r="L67" s="22"/>
      <c r="M67" s="22"/>
      <c r="N67" s="132"/>
    </row>
    <row r="68" spans="1:14" s="24" customFormat="1" x14ac:dyDescent="0.25">
      <c r="A68" s="20"/>
      <c r="B68" s="20"/>
      <c r="C68" s="21" t="s">
        <v>228</v>
      </c>
      <c r="D68" s="29"/>
      <c r="E68" s="29"/>
      <c r="F68" s="29"/>
      <c r="G68" s="29"/>
      <c r="H68" s="29"/>
      <c r="I68" s="29"/>
      <c r="J68" s="27"/>
      <c r="K68" s="27"/>
      <c r="L68" s="22"/>
      <c r="M68" s="22"/>
      <c r="N68" s="132"/>
    </row>
    <row r="69" spans="1:14" s="24" customFormat="1" x14ac:dyDescent="0.25">
      <c r="A69" s="20"/>
      <c r="B69" s="20"/>
      <c r="C69" s="21"/>
      <c r="D69" s="29"/>
      <c r="E69" s="29"/>
      <c r="F69" s="29"/>
      <c r="G69" s="29"/>
      <c r="H69" s="29"/>
      <c r="I69" s="29"/>
      <c r="J69" s="27"/>
      <c r="K69" s="27"/>
      <c r="L69" s="22"/>
      <c r="M69" s="22"/>
      <c r="N69" s="132"/>
    </row>
    <row r="70" spans="1:14" s="24" customFormat="1" x14ac:dyDescent="0.25">
      <c r="A70" s="20"/>
      <c r="B70" s="20"/>
      <c r="C70" s="21" t="s">
        <v>240</v>
      </c>
      <c r="D70" s="29">
        <f>D64</f>
        <v>200000</v>
      </c>
      <c r="E70" s="29">
        <v>0</v>
      </c>
      <c r="F70" s="29">
        <v>2500</v>
      </c>
      <c r="G70" s="29">
        <v>53108.62</v>
      </c>
      <c r="H70" s="29">
        <v>146891.38</v>
      </c>
      <c r="I70" s="29">
        <v>26.55</v>
      </c>
      <c r="J70" s="27">
        <f>+K70-D70</f>
        <v>-30000</v>
      </c>
      <c r="K70" s="22">
        <f>K64</f>
        <v>170000</v>
      </c>
      <c r="L70" s="22">
        <f>L64</f>
        <v>177650</v>
      </c>
      <c r="M70" s="22">
        <f>M64</f>
        <v>185821.9</v>
      </c>
      <c r="N70" s="22">
        <f>N64</f>
        <v>194369.70739999998</v>
      </c>
    </row>
    <row r="71" spans="1:14" s="24" customFormat="1" x14ac:dyDescent="0.25">
      <c r="A71" s="20"/>
      <c r="B71" s="20"/>
      <c r="C71" s="21"/>
      <c r="D71" s="29"/>
      <c r="E71" s="29"/>
      <c r="F71" s="29"/>
      <c r="G71" s="29"/>
      <c r="H71" s="29"/>
      <c r="I71" s="29"/>
      <c r="J71" s="27"/>
      <c r="K71" s="27"/>
      <c r="L71" s="22"/>
      <c r="M71" s="22"/>
      <c r="N71" s="132"/>
    </row>
    <row r="72" spans="1:14" s="24" customFormat="1" x14ac:dyDescent="0.25">
      <c r="A72" s="20"/>
      <c r="B72" s="20"/>
      <c r="C72" s="21" t="s">
        <v>241</v>
      </c>
      <c r="D72" s="29"/>
      <c r="E72" s="29"/>
      <c r="F72" s="29"/>
      <c r="G72" s="29"/>
      <c r="H72" s="29"/>
      <c r="I72" s="29"/>
      <c r="J72" s="27"/>
      <c r="K72" s="27"/>
      <c r="L72" s="22"/>
      <c r="M72" s="22"/>
      <c r="N72" s="132"/>
    </row>
    <row r="73" spans="1:14" s="28" customFormat="1" ht="14.25" x14ac:dyDescent="0.2">
      <c r="A73" s="25"/>
      <c r="B73" s="25"/>
      <c r="C73" s="26"/>
      <c r="D73" s="23"/>
      <c r="E73" s="23"/>
      <c r="F73" s="23"/>
      <c r="G73" s="23"/>
      <c r="H73" s="23"/>
      <c r="I73" s="23"/>
      <c r="J73" s="27"/>
      <c r="K73" s="27"/>
      <c r="L73" s="27"/>
      <c r="M73" s="27"/>
      <c r="N73" s="133"/>
    </row>
    <row r="74" spans="1:14" s="28" customFormat="1" ht="14.25" x14ac:dyDescent="0.2">
      <c r="A74" s="25" t="s">
        <v>606</v>
      </c>
      <c r="B74" s="25" t="s">
        <v>1359</v>
      </c>
      <c r="C74" s="26" t="s">
        <v>242</v>
      </c>
      <c r="D74" s="23">
        <f t="shared" ref="D74:D82" si="14">VLOOKUP(A74,fin,3,FALSE)</f>
        <v>50473</v>
      </c>
      <c r="E74" s="23">
        <v>91950.73</v>
      </c>
      <c r="F74" s="23">
        <v>0</v>
      </c>
      <c r="G74" s="23">
        <v>551704.38</v>
      </c>
      <c r="H74" s="23">
        <v>339403.62</v>
      </c>
      <c r="I74" s="23">
        <v>61.91</v>
      </c>
      <c r="J74" s="27">
        <f t="shared" ref="J74:J82" si="15">+K74-D74</f>
        <v>-20000</v>
      </c>
      <c r="K74" s="27">
        <f t="shared" ref="K74:K82" si="16">VLOOKUP(A74,fin,4,FALSE)</f>
        <v>30473</v>
      </c>
      <c r="L74" s="27">
        <f t="shared" ref="L74:L82" si="17">K74*4.5/100+K74</f>
        <v>31844.285</v>
      </c>
      <c r="M74" s="27">
        <f t="shared" ref="M74:N74" si="18">L74*4.6/100+L74</f>
        <v>33309.122109999997</v>
      </c>
      <c r="N74" s="133">
        <f t="shared" si="18"/>
        <v>34841.341727059997</v>
      </c>
    </row>
    <row r="75" spans="1:14" s="28" customFormat="1" ht="14.25" x14ac:dyDescent="0.2">
      <c r="A75" s="25" t="s">
        <v>607</v>
      </c>
      <c r="B75" s="25" t="s">
        <v>1358</v>
      </c>
      <c r="C75" s="26" t="s">
        <v>242</v>
      </c>
      <c r="D75" s="23">
        <f t="shared" si="14"/>
        <v>950000</v>
      </c>
      <c r="E75" s="23">
        <v>91950.73</v>
      </c>
      <c r="F75" s="23">
        <v>0</v>
      </c>
      <c r="G75" s="23">
        <v>551704.38</v>
      </c>
      <c r="H75" s="23">
        <v>339403.62</v>
      </c>
      <c r="I75" s="23">
        <v>61.91</v>
      </c>
      <c r="J75" s="27">
        <f t="shared" si="15"/>
        <v>0</v>
      </c>
      <c r="K75" s="27">
        <f t="shared" si="16"/>
        <v>950000</v>
      </c>
      <c r="L75" s="27">
        <f t="shared" si="17"/>
        <v>992750</v>
      </c>
      <c r="M75" s="27">
        <f t="shared" ref="M75:N75" si="19">L75*4.6/100+L75</f>
        <v>1038416.5</v>
      </c>
      <c r="N75" s="133">
        <f t="shared" si="19"/>
        <v>1086183.659</v>
      </c>
    </row>
    <row r="76" spans="1:14" s="28" customFormat="1" ht="14.25" x14ac:dyDescent="0.2">
      <c r="A76" s="25" t="s">
        <v>608</v>
      </c>
      <c r="B76" s="25" t="s">
        <v>1357</v>
      </c>
      <c r="C76" s="26" t="s">
        <v>242</v>
      </c>
      <c r="D76" s="23">
        <f t="shared" si="14"/>
        <v>236200</v>
      </c>
      <c r="E76" s="23">
        <v>91950.73</v>
      </c>
      <c r="F76" s="23">
        <v>0</v>
      </c>
      <c r="G76" s="23">
        <v>551704.38</v>
      </c>
      <c r="H76" s="23">
        <v>339403.62</v>
      </c>
      <c r="I76" s="23">
        <v>61.91</v>
      </c>
      <c r="J76" s="27">
        <f t="shared" si="15"/>
        <v>30000</v>
      </c>
      <c r="K76" s="27">
        <f t="shared" si="16"/>
        <v>266200</v>
      </c>
      <c r="L76" s="27">
        <f t="shared" si="17"/>
        <v>278179</v>
      </c>
      <c r="M76" s="27">
        <f t="shared" ref="M76:N76" si="20">L76*4.6/100+L76</f>
        <v>290975.234</v>
      </c>
      <c r="N76" s="133">
        <f t="shared" si="20"/>
        <v>304360.09476399998</v>
      </c>
    </row>
    <row r="77" spans="1:14" s="28" customFormat="1" ht="14.25" x14ac:dyDescent="0.2">
      <c r="A77" s="25" t="s">
        <v>609</v>
      </c>
      <c r="B77" s="25"/>
      <c r="C77" s="26" t="s">
        <v>253</v>
      </c>
      <c r="D77" s="23">
        <f t="shared" si="14"/>
        <v>2000</v>
      </c>
      <c r="E77" s="23">
        <v>91950.73</v>
      </c>
      <c r="F77" s="23">
        <v>0</v>
      </c>
      <c r="G77" s="23">
        <v>551704.38</v>
      </c>
      <c r="H77" s="23">
        <v>339403.62</v>
      </c>
      <c r="I77" s="23">
        <v>61.91</v>
      </c>
      <c r="J77" s="27">
        <f t="shared" si="15"/>
        <v>0</v>
      </c>
      <c r="K77" s="27">
        <f t="shared" si="16"/>
        <v>2000</v>
      </c>
      <c r="L77" s="27">
        <f t="shared" si="17"/>
        <v>2090</v>
      </c>
      <c r="M77" s="27">
        <f t="shared" ref="M77:N77" si="21">L77*4.6/100+L77</f>
        <v>2186.14</v>
      </c>
      <c r="N77" s="133">
        <f t="shared" si="21"/>
        <v>2286.70244</v>
      </c>
    </row>
    <row r="78" spans="1:14" s="28" customFormat="1" ht="14.25" x14ac:dyDescent="0.2">
      <c r="A78" s="25" t="s">
        <v>610</v>
      </c>
      <c r="B78" s="25" t="s">
        <v>1360</v>
      </c>
      <c r="C78" s="26" t="s">
        <v>254</v>
      </c>
      <c r="D78" s="23">
        <f t="shared" si="14"/>
        <v>1000</v>
      </c>
      <c r="E78" s="23">
        <v>91950.73</v>
      </c>
      <c r="F78" s="23">
        <v>0</v>
      </c>
      <c r="G78" s="23">
        <v>551704.38</v>
      </c>
      <c r="H78" s="23">
        <v>339403.62</v>
      </c>
      <c r="I78" s="23">
        <v>61.91</v>
      </c>
      <c r="J78" s="27">
        <f t="shared" si="15"/>
        <v>0</v>
      </c>
      <c r="K78" s="27">
        <f t="shared" si="16"/>
        <v>1000</v>
      </c>
      <c r="L78" s="27">
        <f t="shared" si="17"/>
        <v>1045</v>
      </c>
      <c r="M78" s="27">
        <f t="shared" ref="M78:N78" si="22">L78*4.6/100+L78</f>
        <v>1093.07</v>
      </c>
      <c r="N78" s="133">
        <f t="shared" si="22"/>
        <v>1143.35122</v>
      </c>
    </row>
    <row r="79" spans="1:14" s="28" customFormat="1" ht="14.25" x14ac:dyDescent="0.2">
      <c r="A79" s="25" t="s">
        <v>611</v>
      </c>
      <c r="B79" s="25"/>
      <c r="C79" s="26" t="s">
        <v>265</v>
      </c>
      <c r="D79" s="23">
        <f t="shared" si="14"/>
        <v>238204</v>
      </c>
      <c r="E79" s="23">
        <v>91950.73</v>
      </c>
      <c r="F79" s="23">
        <v>0</v>
      </c>
      <c r="G79" s="23">
        <v>551704.38</v>
      </c>
      <c r="H79" s="23">
        <v>339403.62</v>
      </c>
      <c r="I79" s="23">
        <v>61.91</v>
      </c>
      <c r="J79" s="27">
        <f t="shared" si="15"/>
        <v>-200000</v>
      </c>
      <c r="K79" s="27">
        <f t="shared" si="16"/>
        <v>38204</v>
      </c>
      <c r="L79" s="27">
        <f t="shared" si="17"/>
        <v>39923.18</v>
      </c>
      <c r="M79" s="27">
        <f t="shared" ref="M79:N79" si="23">L79*4.6/100+L79</f>
        <v>41759.646280000001</v>
      </c>
      <c r="N79" s="133">
        <f t="shared" si="23"/>
        <v>43680.590008879997</v>
      </c>
    </row>
    <row r="80" spans="1:14" s="28" customFormat="1" ht="14.25" x14ac:dyDescent="0.2">
      <c r="A80" s="25" t="s">
        <v>612</v>
      </c>
      <c r="B80" s="25" t="s">
        <v>1361</v>
      </c>
      <c r="C80" s="26" t="s">
        <v>268</v>
      </c>
      <c r="D80" s="23">
        <f t="shared" si="14"/>
        <v>380000</v>
      </c>
      <c r="E80" s="23">
        <v>91950.73</v>
      </c>
      <c r="F80" s="23">
        <v>0</v>
      </c>
      <c r="G80" s="23">
        <v>551704.38</v>
      </c>
      <c r="H80" s="23">
        <v>339403.62</v>
      </c>
      <c r="I80" s="23">
        <v>61.91</v>
      </c>
      <c r="J80" s="27">
        <f t="shared" si="15"/>
        <v>-100000</v>
      </c>
      <c r="K80" s="27">
        <f t="shared" si="16"/>
        <v>280000</v>
      </c>
      <c r="L80" s="27">
        <f t="shared" si="17"/>
        <v>292600</v>
      </c>
      <c r="M80" s="27">
        <f t="shared" ref="M80:N80" si="24">L80*4.6/100+L80</f>
        <v>306059.59999999998</v>
      </c>
      <c r="N80" s="133">
        <f t="shared" si="24"/>
        <v>320138.34159999999</v>
      </c>
    </row>
    <row r="81" spans="1:14" s="28" customFormat="1" ht="14.25" x14ac:dyDescent="0.2">
      <c r="A81" s="25" t="s">
        <v>613</v>
      </c>
      <c r="B81" s="25"/>
      <c r="C81" s="26" t="s">
        <v>268</v>
      </c>
      <c r="D81" s="23">
        <f t="shared" si="14"/>
        <v>300000</v>
      </c>
      <c r="E81" s="23">
        <v>91950.73</v>
      </c>
      <c r="F81" s="23">
        <v>0</v>
      </c>
      <c r="G81" s="23">
        <v>551704.38</v>
      </c>
      <c r="H81" s="23">
        <v>339403.62</v>
      </c>
      <c r="I81" s="23">
        <v>61.91</v>
      </c>
      <c r="J81" s="27">
        <f t="shared" si="15"/>
        <v>-100000</v>
      </c>
      <c r="K81" s="27">
        <f t="shared" si="16"/>
        <v>200000</v>
      </c>
      <c r="L81" s="27">
        <f t="shared" si="17"/>
        <v>209000</v>
      </c>
      <c r="M81" s="27">
        <f t="shared" ref="M81:N81" si="25">L81*4.6/100+L81</f>
        <v>218614</v>
      </c>
      <c r="N81" s="133">
        <f t="shared" si="25"/>
        <v>228670.24400000001</v>
      </c>
    </row>
    <row r="82" spans="1:14" s="28" customFormat="1" ht="14.25" x14ac:dyDescent="0.2">
      <c r="A82" s="25" t="s">
        <v>614</v>
      </c>
      <c r="B82" s="25"/>
      <c r="C82" s="26" t="s">
        <v>269</v>
      </c>
      <c r="D82" s="23">
        <f t="shared" si="14"/>
        <v>70000</v>
      </c>
      <c r="E82" s="23">
        <v>91950.73</v>
      </c>
      <c r="F82" s="23">
        <v>0</v>
      </c>
      <c r="G82" s="23">
        <v>551704.38</v>
      </c>
      <c r="H82" s="23">
        <v>339403.62</v>
      </c>
      <c r="I82" s="23">
        <v>61.91</v>
      </c>
      <c r="J82" s="27">
        <f t="shared" si="15"/>
        <v>-40000</v>
      </c>
      <c r="K82" s="27">
        <f t="shared" si="16"/>
        <v>30000</v>
      </c>
      <c r="L82" s="27">
        <f t="shared" si="17"/>
        <v>31350</v>
      </c>
      <c r="M82" s="27">
        <f t="shared" ref="M82:N82" si="26">L82*4.6/100+L82</f>
        <v>32792.1</v>
      </c>
      <c r="N82" s="133">
        <f t="shared" si="26"/>
        <v>34300.536599999999</v>
      </c>
    </row>
    <row r="83" spans="1:14" s="28" customFormat="1" ht="14.25" x14ac:dyDescent="0.2">
      <c r="A83" s="25"/>
      <c r="B83" s="25"/>
      <c r="C83" s="26"/>
      <c r="D83" s="23"/>
      <c r="E83" s="23"/>
      <c r="F83" s="23"/>
      <c r="G83" s="23"/>
      <c r="H83" s="23"/>
      <c r="I83" s="23"/>
      <c r="J83" s="27"/>
      <c r="K83" s="27"/>
      <c r="L83" s="27"/>
      <c r="M83" s="27"/>
      <c r="N83" s="133"/>
    </row>
    <row r="84" spans="1:14" s="24" customFormat="1" x14ac:dyDescent="0.25">
      <c r="A84" s="20"/>
      <c r="B84" s="20"/>
      <c r="C84" s="21" t="s">
        <v>274</v>
      </c>
      <c r="D84" s="29">
        <f>SUM(D74:D83)</f>
        <v>2227877</v>
      </c>
      <c r="E84" s="29">
        <f>SUM(E74:E83)</f>
        <v>827556.57</v>
      </c>
      <c r="F84" s="29">
        <f>SUM(F74:F83)</f>
        <v>0</v>
      </c>
      <c r="G84" s="29">
        <f>SUM(G74:G83)</f>
        <v>4965339.42</v>
      </c>
      <c r="H84" s="29">
        <f>SUM(H74:H83)</f>
        <v>3054632.5800000005</v>
      </c>
      <c r="I84" s="29">
        <f>G84/D84*100</f>
        <v>222.87313976489727</v>
      </c>
      <c r="J84" s="27">
        <f>+K84-D84</f>
        <v>-430000</v>
      </c>
      <c r="K84" s="22">
        <f>SUM(K74:K83)</f>
        <v>1797877</v>
      </c>
      <c r="L84" s="22">
        <f>SUM(L74:L83)</f>
        <v>1878781.4650000001</v>
      </c>
      <c r="M84" s="22">
        <f>SUM(M74:M83)</f>
        <v>1965205.4123899997</v>
      </c>
      <c r="N84" s="22">
        <f>SUM(N74:N83)</f>
        <v>2055604.8613599399</v>
      </c>
    </row>
    <row r="85" spans="1:14" s="24" customFormat="1" x14ac:dyDescent="0.25">
      <c r="A85" s="20"/>
      <c r="B85" s="20"/>
      <c r="C85" s="21"/>
      <c r="D85" s="29"/>
      <c r="E85" s="29"/>
      <c r="F85" s="29"/>
      <c r="G85" s="29"/>
      <c r="H85" s="29"/>
      <c r="I85" s="29"/>
      <c r="J85" s="27"/>
      <c r="K85" s="27"/>
      <c r="L85" s="22"/>
      <c r="M85" s="22"/>
      <c r="N85" s="132"/>
    </row>
    <row r="86" spans="1:14" s="24" customFormat="1" x14ac:dyDescent="0.25">
      <c r="A86" s="20"/>
      <c r="B86" s="20"/>
      <c r="C86" s="21" t="s">
        <v>290</v>
      </c>
      <c r="D86" s="29"/>
      <c r="E86" s="29"/>
      <c r="F86" s="29"/>
      <c r="G86" s="29"/>
      <c r="H86" s="29"/>
      <c r="I86" s="29"/>
      <c r="J86" s="27"/>
      <c r="K86" s="27"/>
      <c r="L86" s="22"/>
      <c r="M86" s="22"/>
      <c r="N86" s="132"/>
    </row>
    <row r="87" spans="1:14" s="28" customFormat="1" ht="14.25" x14ac:dyDescent="0.2">
      <c r="A87" s="25"/>
      <c r="B87" s="25"/>
      <c r="C87" s="26"/>
      <c r="D87" s="23"/>
      <c r="E87" s="23"/>
      <c r="F87" s="23"/>
      <c r="G87" s="23"/>
      <c r="H87" s="23"/>
      <c r="I87" s="23"/>
      <c r="J87" s="27"/>
      <c r="K87" s="27"/>
      <c r="L87" s="27"/>
      <c r="M87" s="27"/>
      <c r="N87" s="133"/>
    </row>
    <row r="88" spans="1:14" s="28" customFormat="1" ht="14.25" x14ac:dyDescent="0.2">
      <c r="A88" s="25" t="s">
        <v>615</v>
      </c>
      <c r="B88" s="25"/>
      <c r="C88" s="26" t="s">
        <v>292</v>
      </c>
      <c r="D88" s="23">
        <f t="shared" ref="D88:D96" si="27">VLOOKUP(A88,fin,3,FALSE)</f>
        <v>3371</v>
      </c>
      <c r="E88" s="23">
        <v>91950.73</v>
      </c>
      <c r="F88" s="23">
        <v>0</v>
      </c>
      <c r="G88" s="23">
        <v>551704.38</v>
      </c>
      <c r="H88" s="23">
        <v>339403.62</v>
      </c>
      <c r="I88" s="23">
        <v>61.91</v>
      </c>
      <c r="J88" s="27">
        <f>+K88-D88</f>
        <v>0</v>
      </c>
      <c r="K88" s="27">
        <f t="shared" ref="K88:K96" si="28">VLOOKUP(A88,fin,4,FALSE)</f>
        <v>3371</v>
      </c>
      <c r="L88" s="27">
        <f t="shared" ref="L88:L96" si="29">K88*4.5/100+K88</f>
        <v>3522.6950000000002</v>
      </c>
      <c r="M88" s="27">
        <f t="shared" ref="M88:N88" si="30">L88*4.6/100+L88</f>
        <v>3684.7389700000003</v>
      </c>
      <c r="N88" s="133">
        <f t="shared" si="30"/>
        <v>3854.2369626200002</v>
      </c>
    </row>
    <row r="89" spans="1:14" s="28" customFormat="1" ht="14.25" x14ac:dyDescent="0.2">
      <c r="A89" s="25" t="s">
        <v>616</v>
      </c>
      <c r="B89" s="25"/>
      <c r="C89" s="26" t="s">
        <v>293</v>
      </c>
      <c r="D89" s="23">
        <f t="shared" si="27"/>
        <v>7399</v>
      </c>
      <c r="E89" s="23">
        <v>91950.73</v>
      </c>
      <c r="F89" s="23">
        <v>0</v>
      </c>
      <c r="G89" s="23">
        <v>551704.38</v>
      </c>
      <c r="H89" s="23">
        <v>339403.62</v>
      </c>
      <c r="I89" s="23">
        <v>61.91</v>
      </c>
      <c r="J89" s="27">
        <f>+K89-D89</f>
        <v>0</v>
      </c>
      <c r="K89" s="27">
        <f t="shared" si="28"/>
        <v>7399</v>
      </c>
      <c r="L89" s="27">
        <f t="shared" si="29"/>
        <v>7731.9549999999999</v>
      </c>
      <c r="M89" s="27">
        <f t="shared" ref="M89:N89" si="31">L89*4.6/100+L89</f>
        <v>8087.6249299999999</v>
      </c>
      <c r="N89" s="133">
        <f t="shared" si="31"/>
        <v>8459.6556767799993</v>
      </c>
    </row>
    <row r="90" spans="1:14" s="28" customFormat="1" ht="14.25" x14ac:dyDescent="0.2">
      <c r="A90" s="25" t="s">
        <v>617</v>
      </c>
      <c r="B90" s="25"/>
      <c r="C90" s="26" t="s">
        <v>295</v>
      </c>
      <c r="D90" s="23">
        <f t="shared" si="27"/>
        <v>48688</v>
      </c>
      <c r="E90" s="23">
        <v>91950.73</v>
      </c>
      <c r="F90" s="23">
        <v>0</v>
      </c>
      <c r="G90" s="23">
        <v>551704.38</v>
      </c>
      <c r="H90" s="23">
        <v>339403.62</v>
      </c>
      <c r="I90" s="23">
        <v>61.91</v>
      </c>
      <c r="J90" s="27">
        <f>+K90-D90</f>
        <v>0</v>
      </c>
      <c r="K90" s="27">
        <f t="shared" si="28"/>
        <v>48688</v>
      </c>
      <c r="L90" s="27">
        <f t="shared" si="29"/>
        <v>50878.96</v>
      </c>
      <c r="M90" s="27">
        <f t="shared" ref="M90:N90" si="32">L90*4.6/100+L90</f>
        <v>53219.392159999996</v>
      </c>
      <c r="N90" s="133">
        <f t="shared" si="32"/>
        <v>55667.484199359998</v>
      </c>
    </row>
    <row r="91" spans="1:14" s="28" customFormat="1" ht="14.25" x14ac:dyDescent="0.2">
      <c r="A91" s="25" t="s">
        <v>618</v>
      </c>
      <c r="B91" s="25"/>
      <c r="C91" s="26" t="s">
        <v>296</v>
      </c>
      <c r="D91" s="23">
        <f t="shared" si="27"/>
        <v>38659</v>
      </c>
      <c r="E91" s="23">
        <v>91950.73</v>
      </c>
      <c r="F91" s="23">
        <v>0</v>
      </c>
      <c r="G91" s="23">
        <v>551704.38</v>
      </c>
      <c r="H91" s="23">
        <v>339403.62</v>
      </c>
      <c r="I91" s="23">
        <v>61.91</v>
      </c>
      <c r="J91" s="27">
        <f>+K91-D91</f>
        <v>0</v>
      </c>
      <c r="K91" s="27">
        <f t="shared" si="28"/>
        <v>38659</v>
      </c>
      <c r="L91" s="27">
        <f t="shared" si="29"/>
        <v>40398.654999999999</v>
      </c>
      <c r="M91" s="27">
        <f t="shared" ref="M91:N91" si="33">L91*4.6/100+L91</f>
        <v>42256.993129999995</v>
      </c>
      <c r="N91" s="133">
        <f t="shared" si="33"/>
        <v>44200.814813979996</v>
      </c>
    </row>
    <row r="92" spans="1:14" s="28" customFormat="1" ht="14.25" x14ac:dyDescent="0.2">
      <c r="A92" s="25" t="s">
        <v>1394</v>
      </c>
      <c r="B92" s="25"/>
      <c r="C92" s="26"/>
      <c r="D92" s="23"/>
      <c r="E92" s="23">
        <v>91950.73</v>
      </c>
      <c r="F92" s="23">
        <v>0</v>
      </c>
      <c r="G92" s="23">
        <v>551704.38</v>
      </c>
      <c r="H92" s="23">
        <v>339403.62</v>
      </c>
      <c r="I92" s="23">
        <v>61.91</v>
      </c>
      <c r="J92" s="27"/>
      <c r="K92" s="27"/>
      <c r="L92" s="27">
        <f t="shared" si="29"/>
        <v>0</v>
      </c>
      <c r="M92" s="27">
        <f t="shared" ref="M92:N92" si="34">L92*4.6/100+L92</f>
        <v>0</v>
      </c>
      <c r="N92" s="133">
        <f t="shared" si="34"/>
        <v>0</v>
      </c>
    </row>
    <row r="93" spans="1:14" s="28" customFormat="1" ht="14.25" x14ac:dyDescent="0.2">
      <c r="A93" s="25" t="s">
        <v>619</v>
      </c>
      <c r="B93" s="25"/>
      <c r="C93" s="26" t="s">
        <v>298</v>
      </c>
      <c r="D93" s="23">
        <f t="shared" si="27"/>
        <v>0</v>
      </c>
      <c r="E93" s="23">
        <v>91950.73</v>
      </c>
      <c r="F93" s="23">
        <v>0</v>
      </c>
      <c r="G93" s="23">
        <v>551704.38</v>
      </c>
      <c r="H93" s="23">
        <v>339403.62</v>
      </c>
      <c r="I93" s="23">
        <v>61.91</v>
      </c>
      <c r="J93" s="27">
        <f>+K93-D93</f>
        <v>0</v>
      </c>
      <c r="K93" s="27">
        <f t="shared" si="28"/>
        <v>0</v>
      </c>
      <c r="L93" s="27">
        <f t="shared" si="29"/>
        <v>0</v>
      </c>
      <c r="M93" s="27">
        <f t="shared" ref="M93:N93" si="35">L93*4.6/100+L93</f>
        <v>0</v>
      </c>
      <c r="N93" s="133">
        <f t="shared" si="35"/>
        <v>0</v>
      </c>
    </row>
    <row r="94" spans="1:14" s="28" customFormat="1" ht="14.25" x14ac:dyDescent="0.2">
      <c r="A94" s="25" t="s">
        <v>620</v>
      </c>
      <c r="B94" s="25"/>
      <c r="C94" s="26" t="s">
        <v>299</v>
      </c>
      <c r="D94" s="23">
        <f t="shared" si="27"/>
        <v>1701</v>
      </c>
      <c r="E94" s="23">
        <v>91950.73</v>
      </c>
      <c r="F94" s="23">
        <v>0</v>
      </c>
      <c r="G94" s="23">
        <v>551704.38</v>
      </c>
      <c r="H94" s="23">
        <v>339403.62</v>
      </c>
      <c r="I94" s="23">
        <v>61.91</v>
      </c>
      <c r="J94" s="27">
        <f>+K94-D94</f>
        <v>0</v>
      </c>
      <c r="K94" s="27">
        <f t="shared" si="28"/>
        <v>1701</v>
      </c>
      <c r="L94" s="27">
        <f t="shared" si="29"/>
        <v>1777.5450000000001</v>
      </c>
      <c r="M94" s="27">
        <f t="shared" ref="M94:N94" si="36">L94*4.6/100+L94</f>
        <v>1859.3120699999999</v>
      </c>
      <c r="N94" s="133">
        <f t="shared" si="36"/>
        <v>1944.84042522</v>
      </c>
    </row>
    <row r="95" spans="1:14" s="28" customFormat="1" ht="14.25" x14ac:dyDescent="0.2">
      <c r="A95" s="25" t="s">
        <v>621</v>
      </c>
      <c r="B95" s="25"/>
      <c r="C95" s="26" t="s">
        <v>300</v>
      </c>
      <c r="D95" s="23">
        <f t="shared" si="27"/>
        <v>148336</v>
      </c>
      <c r="E95" s="23">
        <v>91950.73</v>
      </c>
      <c r="F95" s="23">
        <v>0</v>
      </c>
      <c r="G95" s="23">
        <v>551704.38</v>
      </c>
      <c r="H95" s="23">
        <v>339403.62</v>
      </c>
      <c r="I95" s="23">
        <v>61.91</v>
      </c>
      <c r="J95" s="27">
        <f>+K95-D95</f>
        <v>0</v>
      </c>
      <c r="K95" s="27">
        <f t="shared" si="28"/>
        <v>148336</v>
      </c>
      <c r="L95" s="27">
        <f t="shared" si="29"/>
        <v>155011.12</v>
      </c>
      <c r="M95" s="27">
        <f t="shared" ref="M95:N95" si="37">L95*4.6/100+L95</f>
        <v>162141.63152</v>
      </c>
      <c r="N95" s="133">
        <f t="shared" si="37"/>
        <v>169600.14656992001</v>
      </c>
    </row>
    <row r="96" spans="1:14" s="28" customFormat="1" ht="14.25" x14ac:dyDescent="0.2">
      <c r="A96" s="25" t="s">
        <v>622</v>
      </c>
      <c r="B96" s="25"/>
      <c r="C96" s="26" t="s">
        <v>303</v>
      </c>
      <c r="D96" s="23">
        <f t="shared" si="27"/>
        <v>594034</v>
      </c>
      <c r="E96" s="23">
        <v>91950.73</v>
      </c>
      <c r="F96" s="23">
        <v>0</v>
      </c>
      <c r="G96" s="23">
        <v>551704.38</v>
      </c>
      <c r="H96" s="23">
        <v>339403.62</v>
      </c>
      <c r="I96" s="23">
        <v>61.91</v>
      </c>
      <c r="J96" s="27">
        <f>+K96-D96</f>
        <v>0</v>
      </c>
      <c r="K96" s="27">
        <f t="shared" si="28"/>
        <v>594034</v>
      </c>
      <c r="L96" s="27">
        <f t="shared" si="29"/>
        <v>620765.53</v>
      </c>
      <c r="M96" s="27">
        <f t="shared" ref="M96:N96" si="38">L96*4.6/100+L96</f>
        <v>649320.74438000005</v>
      </c>
      <c r="N96" s="133">
        <f t="shared" si="38"/>
        <v>679189.49862148007</v>
      </c>
    </row>
    <row r="97" spans="1:14" s="28" customFormat="1" ht="14.25" x14ac:dyDescent="0.2">
      <c r="A97" s="25"/>
      <c r="B97" s="25"/>
      <c r="C97" s="26"/>
      <c r="D97" s="23"/>
      <c r="E97" s="23"/>
      <c r="F97" s="23"/>
      <c r="G97" s="23"/>
      <c r="H97" s="23"/>
      <c r="I97" s="23"/>
      <c r="J97" s="27"/>
      <c r="K97" s="27"/>
      <c r="L97" s="27"/>
      <c r="M97" s="27"/>
      <c r="N97" s="133"/>
    </row>
    <row r="98" spans="1:14" s="24" customFormat="1" x14ac:dyDescent="0.25">
      <c r="A98" s="20"/>
      <c r="B98" s="20"/>
      <c r="C98" s="21" t="s">
        <v>304</v>
      </c>
      <c r="D98" s="29">
        <f>SUM(D88:D96)</f>
        <v>842188</v>
      </c>
      <c r="E98" s="29">
        <v>1981896.84</v>
      </c>
      <c r="F98" s="29">
        <v>0</v>
      </c>
      <c r="G98" s="29">
        <v>3990655.83</v>
      </c>
      <c r="H98" s="29">
        <v>-3148467.83</v>
      </c>
      <c r="I98" s="29">
        <v>473.84</v>
      </c>
      <c r="J98" s="27">
        <f>+K98-D98</f>
        <v>0</v>
      </c>
      <c r="K98" s="22">
        <f>SUM(K88:K96)</f>
        <v>842188</v>
      </c>
      <c r="L98" s="22">
        <f>SUM(L88:L96)</f>
        <v>880086.46</v>
      </c>
      <c r="M98" s="22">
        <f>SUM(M88:M96)</f>
        <v>920570.43715999997</v>
      </c>
      <c r="N98" s="22">
        <f>SUM(N88:N96)</f>
        <v>962916.67726936005</v>
      </c>
    </row>
    <row r="99" spans="1:14" s="24" customFormat="1" x14ac:dyDescent="0.25">
      <c r="A99" s="20"/>
      <c r="B99" s="20"/>
      <c r="C99" s="21"/>
      <c r="D99" s="29"/>
      <c r="E99" s="29"/>
      <c r="F99" s="29"/>
      <c r="G99" s="29"/>
      <c r="H99" s="29"/>
      <c r="I99" s="29"/>
      <c r="J99" s="27"/>
      <c r="K99" s="22"/>
      <c r="L99" s="22"/>
      <c r="M99" s="22"/>
      <c r="N99" s="132"/>
    </row>
    <row r="100" spans="1:14" s="24" customFormat="1" x14ac:dyDescent="0.25">
      <c r="A100" s="20"/>
      <c r="B100" s="20"/>
      <c r="C100" s="21" t="s">
        <v>305</v>
      </c>
      <c r="D100" s="29">
        <f>+D57+D70+D84+D98</f>
        <v>7889360</v>
      </c>
      <c r="E100" s="29">
        <v>2430220.75</v>
      </c>
      <c r="F100" s="29">
        <v>64825.02</v>
      </c>
      <c r="G100" s="29">
        <v>6142653.6500000004</v>
      </c>
      <c r="H100" s="29">
        <v>1746706.35</v>
      </c>
      <c r="I100" s="29">
        <v>77.849999999999994</v>
      </c>
      <c r="J100" s="27">
        <f>+K100-D100</f>
        <v>-409229.96999999974</v>
      </c>
      <c r="K100" s="22">
        <f>+K57+K70+K84+K98</f>
        <v>7480130.0300000003</v>
      </c>
      <c r="L100" s="22">
        <f>+L57+L70+L84+L98</f>
        <v>7898462.0193750001</v>
      </c>
      <c r="M100" s="22">
        <f>+M57+M70+M84+M98</f>
        <v>8380877.9305312503</v>
      </c>
      <c r="N100" s="22">
        <f>+N57+N70+N84+N98</f>
        <v>8893821.0396792367</v>
      </c>
    </row>
    <row r="101" spans="1:14" s="24" customFormat="1" x14ac:dyDescent="0.25">
      <c r="A101" s="20"/>
      <c r="B101" s="20"/>
      <c r="C101" s="21"/>
      <c r="D101" s="29"/>
      <c r="E101" s="29"/>
      <c r="F101" s="29"/>
      <c r="G101" s="29"/>
      <c r="H101" s="29"/>
      <c r="I101" s="29"/>
      <c r="J101" s="27"/>
      <c r="K101" s="22"/>
      <c r="L101" s="22"/>
      <c r="M101" s="22"/>
      <c r="N101" s="132"/>
    </row>
    <row r="102" spans="1:14" s="24" customFormat="1" x14ac:dyDescent="0.25">
      <c r="A102" s="20"/>
      <c r="B102" s="20"/>
      <c r="C102" s="21" t="s">
        <v>306</v>
      </c>
      <c r="D102" s="29">
        <f>D100</f>
        <v>7889360</v>
      </c>
      <c r="E102" s="29">
        <v>2430220.75</v>
      </c>
      <c r="F102" s="29">
        <v>64825.02</v>
      </c>
      <c r="G102" s="29">
        <v>6142653.6500000004</v>
      </c>
      <c r="H102" s="29">
        <v>1746706.35</v>
      </c>
      <c r="I102" s="29">
        <v>77.849999999999994</v>
      </c>
      <c r="J102" s="27">
        <f>+K102-D102</f>
        <v>-409229.96999999974</v>
      </c>
      <c r="K102" s="22">
        <f>K100</f>
        <v>7480130.0300000003</v>
      </c>
      <c r="L102" s="22">
        <f>L100</f>
        <v>7898462.0193750001</v>
      </c>
      <c r="M102" s="22">
        <f>M100</f>
        <v>8380877.9305312503</v>
      </c>
      <c r="N102" s="22">
        <f>N100</f>
        <v>8893821.0396792367</v>
      </c>
    </row>
    <row r="103" spans="1:14" s="28" customFormat="1" ht="14.25" x14ac:dyDescent="0.2">
      <c r="A103" s="25"/>
      <c r="B103" s="25"/>
      <c r="C103" s="26"/>
      <c r="D103" s="23"/>
      <c r="E103" s="23"/>
      <c r="F103" s="23"/>
      <c r="G103" s="23"/>
      <c r="H103" s="23"/>
      <c r="I103" s="23"/>
      <c r="J103" s="27"/>
      <c r="K103" s="27"/>
      <c r="L103" s="27"/>
      <c r="M103" s="27"/>
      <c r="N103" s="133"/>
    </row>
    <row r="104" spans="1:14" s="24" customFormat="1" x14ac:dyDescent="0.25">
      <c r="A104" s="20"/>
      <c r="B104" s="20"/>
      <c r="C104" s="21" t="s">
        <v>623</v>
      </c>
      <c r="D104" s="29"/>
      <c r="E104" s="29"/>
      <c r="F104" s="29"/>
      <c r="G104" s="29"/>
      <c r="H104" s="29"/>
      <c r="I104" s="29"/>
      <c r="J104" s="27"/>
      <c r="K104" s="27"/>
      <c r="L104" s="22"/>
      <c r="M104" s="22"/>
      <c r="N104" s="132"/>
    </row>
    <row r="105" spans="1:14" s="24" customFormat="1" x14ac:dyDescent="0.25">
      <c r="A105" s="20"/>
      <c r="B105" s="20"/>
      <c r="C105" s="21" t="s">
        <v>96</v>
      </c>
      <c r="D105" s="29"/>
      <c r="E105" s="29"/>
      <c r="F105" s="29"/>
      <c r="G105" s="29"/>
      <c r="H105" s="29"/>
      <c r="I105" s="29"/>
      <c r="J105" s="27"/>
      <c r="K105" s="27"/>
      <c r="L105" s="22"/>
      <c r="M105" s="22"/>
      <c r="N105" s="132"/>
    </row>
    <row r="106" spans="1:14" s="24" customFormat="1" x14ac:dyDescent="0.25">
      <c r="A106" s="20"/>
      <c r="B106" s="20"/>
      <c r="C106" s="21" t="s">
        <v>97</v>
      </c>
      <c r="D106" s="29"/>
      <c r="E106" s="29"/>
      <c r="F106" s="29"/>
      <c r="G106" s="29"/>
      <c r="H106" s="29"/>
      <c r="I106" s="29"/>
      <c r="J106" s="27"/>
      <c r="K106" s="27"/>
      <c r="L106" s="22"/>
      <c r="M106" s="22"/>
      <c r="N106" s="132"/>
    </row>
    <row r="107" spans="1:14" s="24" customFormat="1" x14ac:dyDescent="0.25">
      <c r="A107" s="20"/>
      <c r="B107" s="20"/>
      <c r="C107" s="21" t="s">
        <v>148</v>
      </c>
      <c r="D107" s="29"/>
      <c r="E107" s="29"/>
      <c r="F107" s="29"/>
      <c r="G107" s="29"/>
      <c r="H107" s="29"/>
      <c r="I107" s="29"/>
      <c r="J107" s="27"/>
      <c r="K107" s="27"/>
      <c r="L107" s="22"/>
      <c r="M107" s="22"/>
      <c r="N107" s="132"/>
    </row>
    <row r="108" spans="1:14" s="24" customFormat="1" x14ac:dyDescent="0.25">
      <c r="A108" s="20"/>
      <c r="B108" s="20"/>
      <c r="C108" s="21" t="s">
        <v>149</v>
      </c>
      <c r="D108" s="29"/>
      <c r="E108" s="29"/>
      <c r="F108" s="29"/>
      <c r="G108" s="29"/>
      <c r="H108" s="29"/>
      <c r="I108" s="29"/>
      <c r="J108" s="27"/>
      <c r="K108" s="27"/>
      <c r="L108" s="22"/>
      <c r="M108" s="22"/>
      <c r="N108" s="132"/>
    </row>
    <row r="109" spans="1:14" s="28" customFormat="1" ht="14.25" x14ac:dyDescent="0.2">
      <c r="A109" s="25"/>
      <c r="B109" s="25"/>
      <c r="C109" s="26"/>
      <c r="D109" s="23"/>
      <c r="E109" s="23"/>
      <c r="F109" s="23"/>
      <c r="G109" s="23"/>
      <c r="H109" s="23"/>
      <c r="I109" s="23"/>
      <c r="J109" s="27"/>
      <c r="K109" s="27"/>
      <c r="L109" s="27"/>
      <c r="M109" s="27"/>
      <c r="N109" s="133"/>
    </row>
    <row r="110" spans="1:14" s="28" customFormat="1" ht="14.25" x14ac:dyDescent="0.2">
      <c r="A110" s="25" t="s">
        <v>624</v>
      </c>
      <c r="B110" s="25"/>
      <c r="C110" s="26" t="s">
        <v>150</v>
      </c>
      <c r="D110" s="23">
        <f t="shared" ref="D110:D118" si="39">VLOOKUP(A110,fin,3,FALSE)</f>
        <v>570271</v>
      </c>
      <c r="E110" s="23">
        <v>91950.73</v>
      </c>
      <c r="F110" s="23">
        <v>0</v>
      </c>
      <c r="G110" s="23">
        <v>551704.38</v>
      </c>
      <c r="H110" s="23">
        <v>339403.62</v>
      </c>
      <c r="I110" s="23">
        <v>61.91</v>
      </c>
      <c r="J110" s="27">
        <f t="shared" ref="J110:J118" si="40">+K110-D110</f>
        <v>0</v>
      </c>
      <c r="K110" s="27">
        <f t="shared" ref="K110:K118" si="41">VLOOKUP(A110,fin,4,FALSE)</f>
        <v>570271</v>
      </c>
      <c r="L110" s="27">
        <f t="shared" ref="L110:L118" si="42">K110*6.25/100+K110</f>
        <v>605912.9375</v>
      </c>
      <c r="M110" s="27">
        <f t="shared" ref="M110:N118" si="43">L110*7/100+L110</f>
        <v>648326.84312500001</v>
      </c>
      <c r="N110" s="133">
        <f t="shared" si="43"/>
        <v>693709.72214375006</v>
      </c>
    </row>
    <row r="111" spans="1:14" s="28" customFormat="1" ht="14.25" x14ac:dyDescent="0.2">
      <c r="A111" s="25" t="s">
        <v>625</v>
      </c>
      <c r="B111" s="25"/>
      <c r="C111" s="26" t="s">
        <v>151</v>
      </c>
      <c r="D111" s="23">
        <f t="shared" si="39"/>
        <v>28514</v>
      </c>
      <c r="E111" s="23">
        <v>91950.73</v>
      </c>
      <c r="F111" s="23">
        <v>0</v>
      </c>
      <c r="G111" s="23">
        <v>551704.38</v>
      </c>
      <c r="H111" s="23">
        <v>339403.62</v>
      </c>
      <c r="I111" s="23">
        <v>61.91</v>
      </c>
      <c r="J111" s="27">
        <f t="shared" si="40"/>
        <v>-20046.909999999996</v>
      </c>
      <c r="K111" s="27">
        <f t="shared" si="41"/>
        <v>8467.0900000000038</v>
      </c>
      <c r="L111" s="27">
        <f t="shared" si="42"/>
        <v>8996.2831250000036</v>
      </c>
      <c r="M111" s="27">
        <f t="shared" si="43"/>
        <v>9626.0229437500038</v>
      </c>
      <c r="N111" s="133">
        <f t="shared" si="43"/>
        <v>10299.844549812504</v>
      </c>
    </row>
    <row r="112" spans="1:14" s="28" customFormat="1" ht="14.25" x14ac:dyDescent="0.2">
      <c r="A112" s="25" t="s">
        <v>626</v>
      </c>
      <c r="B112" s="25"/>
      <c r="C112" s="26" t="s">
        <v>152</v>
      </c>
      <c r="D112" s="23">
        <f t="shared" si="39"/>
        <v>24000</v>
      </c>
      <c r="E112" s="23">
        <v>91950.73</v>
      </c>
      <c r="F112" s="23">
        <v>0</v>
      </c>
      <c r="G112" s="23">
        <v>551704.38</v>
      </c>
      <c r="H112" s="23">
        <v>339403.62</v>
      </c>
      <c r="I112" s="23">
        <v>61.91</v>
      </c>
      <c r="J112" s="27">
        <f t="shared" si="40"/>
        <v>0</v>
      </c>
      <c r="K112" s="27">
        <f t="shared" si="41"/>
        <v>24000</v>
      </c>
      <c r="L112" s="27">
        <f t="shared" si="42"/>
        <v>25500</v>
      </c>
      <c r="M112" s="27">
        <f t="shared" si="43"/>
        <v>27285</v>
      </c>
      <c r="N112" s="133">
        <f t="shared" si="43"/>
        <v>29194.95</v>
      </c>
    </row>
    <row r="113" spans="1:14" s="28" customFormat="1" ht="14.25" x14ac:dyDescent="0.2">
      <c r="A113" s="25" t="s">
        <v>627</v>
      </c>
      <c r="B113" s="25"/>
      <c r="C113" s="26" t="s">
        <v>153</v>
      </c>
      <c r="D113" s="23">
        <f t="shared" si="39"/>
        <v>10893</v>
      </c>
      <c r="E113" s="23">
        <v>91950.73</v>
      </c>
      <c r="F113" s="23">
        <v>0</v>
      </c>
      <c r="G113" s="23">
        <v>551704.38</v>
      </c>
      <c r="H113" s="23">
        <v>339403.62</v>
      </c>
      <c r="I113" s="23">
        <v>61.91</v>
      </c>
      <c r="J113" s="27">
        <f t="shared" si="40"/>
        <v>0</v>
      </c>
      <c r="K113" s="27">
        <f t="shared" si="41"/>
        <v>10893</v>
      </c>
      <c r="L113" s="27">
        <f t="shared" si="42"/>
        <v>11573.8125</v>
      </c>
      <c r="M113" s="27">
        <f t="shared" si="43"/>
        <v>12383.979375000001</v>
      </c>
      <c r="N113" s="133">
        <f t="shared" si="43"/>
        <v>13250.857931250001</v>
      </c>
    </row>
    <row r="114" spans="1:14" s="28" customFormat="1" ht="14.25" x14ac:dyDescent="0.2">
      <c r="A114" s="25" t="s">
        <v>628</v>
      </c>
      <c r="B114" s="25"/>
      <c r="C114" s="26" t="s">
        <v>155</v>
      </c>
      <c r="D114" s="23">
        <f t="shared" si="39"/>
        <v>18924</v>
      </c>
      <c r="E114" s="23">
        <v>91950.73</v>
      </c>
      <c r="F114" s="23">
        <v>0</v>
      </c>
      <c r="G114" s="23">
        <v>551704.38</v>
      </c>
      <c r="H114" s="23">
        <v>339403.62</v>
      </c>
      <c r="I114" s="23">
        <v>61.91</v>
      </c>
      <c r="J114" s="27">
        <f t="shared" si="40"/>
        <v>0</v>
      </c>
      <c r="K114" s="27">
        <f t="shared" si="41"/>
        <v>18924</v>
      </c>
      <c r="L114" s="27">
        <f t="shared" si="42"/>
        <v>20106.75</v>
      </c>
      <c r="M114" s="27">
        <f t="shared" si="43"/>
        <v>21514.2225</v>
      </c>
      <c r="N114" s="133">
        <f t="shared" si="43"/>
        <v>23020.218075000001</v>
      </c>
    </row>
    <row r="115" spans="1:14" s="28" customFormat="1" ht="14.25" x14ac:dyDescent="0.2">
      <c r="A115" s="25" t="s">
        <v>629</v>
      </c>
      <c r="B115" s="25"/>
      <c r="C115" s="26" t="s">
        <v>156</v>
      </c>
      <c r="D115" s="23">
        <f t="shared" si="39"/>
        <v>142568</v>
      </c>
      <c r="E115" s="23">
        <v>91950.73</v>
      </c>
      <c r="F115" s="23">
        <v>0</v>
      </c>
      <c r="G115" s="23">
        <v>551704.38</v>
      </c>
      <c r="H115" s="23">
        <v>339403.62</v>
      </c>
      <c r="I115" s="23">
        <v>61.91</v>
      </c>
      <c r="J115" s="27">
        <f t="shared" si="40"/>
        <v>0</v>
      </c>
      <c r="K115" s="27">
        <f t="shared" si="41"/>
        <v>142568</v>
      </c>
      <c r="L115" s="27">
        <f t="shared" si="42"/>
        <v>151478.5</v>
      </c>
      <c r="M115" s="27">
        <f t="shared" si="43"/>
        <v>162081.995</v>
      </c>
      <c r="N115" s="133">
        <f t="shared" si="43"/>
        <v>173427.73465</v>
      </c>
    </row>
    <row r="116" spans="1:14" s="28" customFormat="1" ht="14.25" x14ac:dyDescent="0.2">
      <c r="A116" s="25" t="s">
        <v>630</v>
      </c>
      <c r="B116" s="25"/>
      <c r="C116" s="26" t="s">
        <v>158</v>
      </c>
      <c r="D116" s="23">
        <f t="shared" si="39"/>
        <v>11405</v>
      </c>
      <c r="E116" s="23">
        <v>91950.73</v>
      </c>
      <c r="F116" s="23">
        <v>0</v>
      </c>
      <c r="G116" s="23">
        <v>551704.38</v>
      </c>
      <c r="H116" s="23">
        <v>339403.62</v>
      </c>
      <c r="I116" s="23">
        <v>61.91</v>
      </c>
      <c r="J116" s="27">
        <f t="shared" si="40"/>
        <v>0</v>
      </c>
      <c r="K116" s="27">
        <f t="shared" si="41"/>
        <v>11405</v>
      </c>
      <c r="L116" s="27">
        <f t="shared" si="42"/>
        <v>12117.8125</v>
      </c>
      <c r="M116" s="27">
        <f t="shared" si="43"/>
        <v>12966.059375000001</v>
      </c>
      <c r="N116" s="133">
        <f t="shared" si="43"/>
        <v>13873.683531250001</v>
      </c>
    </row>
    <row r="117" spans="1:14" s="28" customFormat="1" ht="14.25" x14ac:dyDescent="0.2">
      <c r="A117" s="25" t="s">
        <v>631</v>
      </c>
      <c r="B117" s="25"/>
      <c r="C117" s="26" t="s">
        <v>159</v>
      </c>
      <c r="D117" s="23">
        <f t="shared" si="39"/>
        <v>47523</v>
      </c>
      <c r="E117" s="23">
        <v>91950.73</v>
      </c>
      <c r="F117" s="23">
        <v>0</v>
      </c>
      <c r="G117" s="23">
        <v>551704.38</v>
      </c>
      <c r="H117" s="23">
        <v>339403.62</v>
      </c>
      <c r="I117" s="23">
        <v>61.91</v>
      </c>
      <c r="J117" s="27">
        <f t="shared" si="40"/>
        <v>0</v>
      </c>
      <c r="K117" s="27">
        <f t="shared" si="41"/>
        <v>47523</v>
      </c>
      <c r="L117" s="27">
        <f t="shared" si="42"/>
        <v>50493.1875</v>
      </c>
      <c r="M117" s="27">
        <f t="shared" si="43"/>
        <v>54027.710625</v>
      </c>
      <c r="N117" s="133">
        <f t="shared" si="43"/>
        <v>57809.650368750001</v>
      </c>
    </row>
    <row r="118" spans="1:14" s="28" customFormat="1" ht="14.25" x14ac:dyDescent="0.2">
      <c r="A118" s="25" t="s">
        <v>632</v>
      </c>
      <c r="B118" s="25"/>
      <c r="C118" s="26" t="s">
        <v>164</v>
      </c>
      <c r="D118" s="23">
        <f t="shared" si="39"/>
        <v>15692</v>
      </c>
      <c r="E118" s="23">
        <v>91950.73</v>
      </c>
      <c r="F118" s="23">
        <v>0</v>
      </c>
      <c r="G118" s="23">
        <v>551704.38</v>
      </c>
      <c r="H118" s="23">
        <v>339403.62</v>
      </c>
      <c r="I118" s="23">
        <v>61.91</v>
      </c>
      <c r="J118" s="27">
        <f t="shared" si="40"/>
        <v>0</v>
      </c>
      <c r="K118" s="27">
        <f t="shared" si="41"/>
        <v>15692</v>
      </c>
      <c r="L118" s="27">
        <f t="shared" si="42"/>
        <v>16672.75</v>
      </c>
      <c r="M118" s="27">
        <f t="shared" si="43"/>
        <v>17839.842499999999</v>
      </c>
      <c r="N118" s="133">
        <f t="shared" si="43"/>
        <v>19088.631474999998</v>
      </c>
    </row>
    <row r="119" spans="1:14" s="28" customFormat="1" ht="14.25" x14ac:dyDescent="0.2">
      <c r="A119" s="25"/>
      <c r="B119" s="25"/>
      <c r="C119" s="26"/>
      <c r="D119" s="23"/>
      <c r="E119" s="23"/>
      <c r="F119" s="23"/>
      <c r="G119" s="23"/>
      <c r="H119" s="23"/>
      <c r="I119" s="23"/>
      <c r="J119" s="27"/>
      <c r="K119" s="27"/>
      <c r="L119" s="27"/>
      <c r="M119" s="27"/>
      <c r="N119" s="133"/>
    </row>
    <row r="120" spans="1:14" s="24" customFormat="1" x14ac:dyDescent="0.25">
      <c r="A120" s="20"/>
      <c r="B120" s="20"/>
      <c r="C120" s="21" t="s">
        <v>165</v>
      </c>
      <c r="D120" s="29">
        <f>SUM(D110:D119)</f>
        <v>869790</v>
      </c>
      <c r="E120" s="29">
        <v>72319.05</v>
      </c>
      <c r="F120" s="29">
        <v>0</v>
      </c>
      <c r="G120" s="29">
        <v>434623.54</v>
      </c>
      <c r="H120" s="29">
        <v>435166.46</v>
      </c>
      <c r="I120" s="29">
        <v>49.96</v>
      </c>
      <c r="J120" s="27">
        <f>+K120-D120</f>
        <v>-20046.910000000033</v>
      </c>
      <c r="K120" s="22">
        <f>SUM(K110:K119)</f>
        <v>849743.09</v>
      </c>
      <c r="L120" s="22">
        <f>SUM(L110:L119)</f>
        <v>902852.03312499996</v>
      </c>
      <c r="M120" s="22">
        <f>SUM(M110:M119)</f>
        <v>966051.67544374999</v>
      </c>
      <c r="N120" s="22">
        <f>SUM(N110:N119)</f>
        <v>1033675.2927248124</v>
      </c>
    </row>
    <row r="121" spans="1:14" s="24" customFormat="1" x14ac:dyDescent="0.25">
      <c r="A121" s="20"/>
      <c r="B121" s="20"/>
      <c r="C121" s="21"/>
      <c r="D121" s="29"/>
      <c r="E121" s="29"/>
      <c r="F121" s="29"/>
      <c r="G121" s="29"/>
      <c r="H121" s="29"/>
      <c r="I121" s="29"/>
      <c r="J121" s="27"/>
      <c r="K121" s="27"/>
      <c r="L121" s="22"/>
      <c r="M121" s="22"/>
      <c r="N121" s="132"/>
    </row>
    <row r="122" spans="1:14" s="24" customFormat="1" x14ac:dyDescent="0.25">
      <c r="A122" s="20"/>
      <c r="B122" s="20"/>
      <c r="C122" s="21" t="s">
        <v>166</v>
      </c>
      <c r="D122" s="29"/>
      <c r="E122" s="29"/>
      <c r="F122" s="29"/>
      <c r="G122" s="29"/>
      <c r="H122" s="29"/>
      <c r="I122" s="29"/>
      <c r="J122" s="27"/>
      <c r="K122" s="27"/>
      <c r="L122" s="22"/>
      <c r="M122" s="22"/>
      <c r="N122" s="132"/>
    </row>
    <row r="123" spans="1:14" s="28" customFormat="1" ht="14.25" x14ac:dyDescent="0.2">
      <c r="A123" s="25"/>
      <c r="B123" s="25"/>
      <c r="C123" s="26"/>
      <c r="D123" s="23"/>
      <c r="E123" s="23"/>
      <c r="F123" s="23"/>
      <c r="G123" s="23"/>
      <c r="H123" s="23"/>
      <c r="I123" s="23"/>
      <c r="J123" s="27"/>
      <c r="K123" s="27"/>
      <c r="L123" s="27"/>
      <c r="M123" s="27"/>
      <c r="N123" s="133"/>
    </row>
    <row r="124" spans="1:14" s="28" customFormat="1" ht="14.25" x14ac:dyDescent="0.2">
      <c r="A124" s="25" t="s">
        <v>633</v>
      </c>
      <c r="B124" s="25"/>
      <c r="C124" s="26" t="s">
        <v>167</v>
      </c>
      <c r="D124" s="23">
        <f>VLOOKUP(A124,fin,3,FALSE)</f>
        <v>112</v>
      </c>
      <c r="E124" s="23">
        <v>91950.73</v>
      </c>
      <c r="F124" s="23">
        <v>0</v>
      </c>
      <c r="G124" s="23">
        <v>551704.38</v>
      </c>
      <c r="H124" s="23">
        <v>339403.62</v>
      </c>
      <c r="I124" s="23">
        <v>61.91</v>
      </c>
      <c r="J124" s="27">
        <f>+K124-D124</f>
        <v>0</v>
      </c>
      <c r="K124" s="27">
        <f>VLOOKUP(A124,fin,4,FALSE)</f>
        <v>112</v>
      </c>
      <c r="L124" s="27">
        <f t="shared" ref="L124:L127" si="44">K124*6.25/100+K124</f>
        <v>119</v>
      </c>
      <c r="M124" s="27">
        <f t="shared" ref="M124:N127" si="45">L124*7/100+L124</f>
        <v>127.33</v>
      </c>
      <c r="N124" s="133">
        <f t="shared" si="45"/>
        <v>136.2431</v>
      </c>
    </row>
    <row r="125" spans="1:14" s="28" customFormat="1" ht="14.25" x14ac:dyDescent="0.2">
      <c r="A125" s="25" t="s">
        <v>634</v>
      </c>
      <c r="B125" s="25"/>
      <c r="C125" s="26" t="s">
        <v>168</v>
      </c>
      <c r="D125" s="23">
        <f>VLOOKUP(A125,fin,3,FALSE)</f>
        <v>0</v>
      </c>
      <c r="E125" s="23">
        <v>91950.73</v>
      </c>
      <c r="F125" s="23">
        <v>0</v>
      </c>
      <c r="G125" s="23">
        <v>551704.38</v>
      </c>
      <c r="H125" s="23">
        <v>339403.62</v>
      </c>
      <c r="I125" s="23">
        <v>61.91</v>
      </c>
      <c r="J125" s="27">
        <f>+K125-D125</f>
        <v>50000</v>
      </c>
      <c r="K125" s="27">
        <f>VLOOKUP(A125,fin,4,FALSE)</f>
        <v>50000</v>
      </c>
      <c r="L125" s="27">
        <f t="shared" si="44"/>
        <v>53125</v>
      </c>
      <c r="M125" s="27">
        <f t="shared" si="45"/>
        <v>56843.75</v>
      </c>
      <c r="N125" s="133">
        <f t="shared" si="45"/>
        <v>60822.8125</v>
      </c>
    </row>
    <row r="126" spans="1:14" s="28" customFormat="1" ht="14.25" x14ac:dyDescent="0.2">
      <c r="A126" s="25" t="s">
        <v>635</v>
      </c>
      <c r="B126" s="25"/>
      <c r="C126" s="26" t="s">
        <v>169</v>
      </c>
      <c r="D126" s="23">
        <f>VLOOKUP(A126,fin,3,FALSE)</f>
        <v>125460</v>
      </c>
      <c r="E126" s="23">
        <v>91950.73</v>
      </c>
      <c r="F126" s="23">
        <v>0</v>
      </c>
      <c r="G126" s="23">
        <v>551704.38</v>
      </c>
      <c r="H126" s="23">
        <v>339403.62</v>
      </c>
      <c r="I126" s="23">
        <v>61.91</v>
      </c>
      <c r="J126" s="27">
        <f>+K126-D126</f>
        <v>0</v>
      </c>
      <c r="K126" s="27">
        <f>VLOOKUP(A126,fin,4,FALSE)</f>
        <v>125460</v>
      </c>
      <c r="L126" s="27">
        <f t="shared" si="44"/>
        <v>133301.25</v>
      </c>
      <c r="M126" s="27">
        <f t="shared" si="45"/>
        <v>142632.33749999999</v>
      </c>
      <c r="N126" s="133">
        <f t="shared" si="45"/>
        <v>152616.60112499999</v>
      </c>
    </row>
    <row r="127" spans="1:14" s="28" customFormat="1" ht="14.25" x14ac:dyDescent="0.2">
      <c r="A127" s="25" t="s">
        <v>636</v>
      </c>
      <c r="B127" s="25"/>
      <c r="C127" s="26" t="s">
        <v>170</v>
      </c>
      <c r="D127" s="23">
        <f>VLOOKUP(A127,fin,3,FALSE)</f>
        <v>1785</v>
      </c>
      <c r="E127" s="23">
        <v>91950.73</v>
      </c>
      <c r="F127" s="23">
        <v>0</v>
      </c>
      <c r="G127" s="23">
        <v>551704.38</v>
      </c>
      <c r="H127" s="23">
        <v>339403.62</v>
      </c>
      <c r="I127" s="23">
        <v>61.91</v>
      </c>
      <c r="J127" s="27">
        <f>+K127-D127</f>
        <v>0</v>
      </c>
      <c r="K127" s="27">
        <f>VLOOKUP(A127,fin,4,FALSE)</f>
        <v>1785</v>
      </c>
      <c r="L127" s="27">
        <f t="shared" si="44"/>
        <v>1896.5625</v>
      </c>
      <c r="M127" s="27">
        <f t="shared" si="45"/>
        <v>2029.3218750000001</v>
      </c>
      <c r="N127" s="133">
        <f t="shared" si="45"/>
        <v>2171.37440625</v>
      </c>
    </row>
    <row r="128" spans="1:14" s="28" customFormat="1" ht="14.25" x14ac:dyDescent="0.2">
      <c r="A128" s="25"/>
      <c r="B128" s="25"/>
      <c r="C128" s="26"/>
      <c r="D128" s="23"/>
      <c r="E128" s="23"/>
      <c r="F128" s="23"/>
      <c r="G128" s="23"/>
      <c r="H128" s="23"/>
      <c r="I128" s="23"/>
      <c r="J128" s="27"/>
      <c r="K128" s="27"/>
      <c r="L128" s="27"/>
      <c r="M128" s="27"/>
      <c r="N128" s="133"/>
    </row>
    <row r="129" spans="1:14" s="24" customFormat="1" x14ac:dyDescent="0.25">
      <c r="A129" s="20"/>
      <c r="B129" s="20"/>
      <c r="C129" s="21" t="s">
        <v>171</v>
      </c>
      <c r="D129" s="29">
        <f>SUM(D124:D128)</f>
        <v>127357</v>
      </c>
      <c r="E129" s="29">
        <v>12322.81</v>
      </c>
      <c r="F129" s="29">
        <v>0</v>
      </c>
      <c r="G129" s="29">
        <v>73324.02</v>
      </c>
      <c r="H129" s="29">
        <v>54032.98</v>
      </c>
      <c r="I129" s="29">
        <v>57.57</v>
      </c>
      <c r="J129" s="27">
        <f>+K129-D129</f>
        <v>50000</v>
      </c>
      <c r="K129" s="22">
        <f>SUM(K124:K128)</f>
        <v>177357</v>
      </c>
      <c r="L129" s="22">
        <f>SUM(L124:L128)</f>
        <v>188441.8125</v>
      </c>
      <c r="M129" s="22">
        <f>SUM(M124:M128)</f>
        <v>201632.73937499998</v>
      </c>
      <c r="N129" s="22">
        <f>SUM(N124:N128)</f>
        <v>215747.03113124997</v>
      </c>
    </row>
    <row r="130" spans="1:14" s="24" customFormat="1" x14ac:dyDescent="0.25">
      <c r="A130" s="20"/>
      <c r="B130" s="20"/>
      <c r="C130" s="21"/>
      <c r="D130" s="29"/>
      <c r="E130" s="29"/>
      <c r="F130" s="29"/>
      <c r="G130" s="29"/>
      <c r="H130" s="29"/>
      <c r="I130" s="29"/>
      <c r="J130" s="27"/>
      <c r="K130" s="27"/>
      <c r="L130" s="22"/>
      <c r="M130" s="22"/>
      <c r="N130" s="132"/>
    </row>
    <row r="131" spans="1:14" s="24" customFormat="1" x14ac:dyDescent="0.25">
      <c r="A131" s="20"/>
      <c r="B131" s="20"/>
      <c r="C131" s="21" t="s">
        <v>172</v>
      </c>
      <c r="D131" s="29"/>
      <c r="E131" s="29"/>
      <c r="F131" s="29"/>
      <c r="G131" s="29"/>
      <c r="H131" s="29"/>
      <c r="I131" s="29"/>
      <c r="J131" s="27"/>
      <c r="K131" s="27"/>
      <c r="L131" s="22"/>
      <c r="M131" s="22"/>
      <c r="N131" s="132"/>
    </row>
    <row r="132" spans="1:14" s="24" customFormat="1" x14ac:dyDescent="0.25">
      <c r="A132" s="20"/>
      <c r="B132" s="20"/>
      <c r="C132" s="21"/>
      <c r="D132" s="29"/>
      <c r="E132" s="29"/>
      <c r="F132" s="29"/>
      <c r="G132" s="29"/>
      <c r="H132" s="29"/>
      <c r="I132" s="29"/>
      <c r="J132" s="27"/>
      <c r="K132" s="27"/>
      <c r="L132" s="22"/>
      <c r="M132" s="22"/>
      <c r="N132" s="132"/>
    </row>
    <row r="133" spans="1:14" s="28" customFormat="1" ht="14.25" x14ac:dyDescent="0.2">
      <c r="A133" s="25" t="s">
        <v>637</v>
      </c>
      <c r="B133" s="25"/>
      <c r="C133" s="26" t="s">
        <v>173</v>
      </c>
      <c r="D133" s="23">
        <f>VLOOKUP(A133,fin,3,FALSE)</f>
        <v>4563</v>
      </c>
      <c r="E133" s="23">
        <v>91950.73</v>
      </c>
      <c r="F133" s="23">
        <v>0</v>
      </c>
      <c r="G133" s="23">
        <v>551704.38</v>
      </c>
      <c r="H133" s="23">
        <v>339403.62</v>
      </c>
      <c r="I133" s="23">
        <v>61.91</v>
      </c>
      <c r="J133" s="27">
        <f>+K133-D133</f>
        <v>0</v>
      </c>
      <c r="K133" s="27">
        <f>VLOOKUP(A133,fin,4,FALSE)</f>
        <v>4563</v>
      </c>
      <c r="L133" s="27">
        <f t="shared" ref="L133:L135" si="46">K133*6.25/100+K133</f>
        <v>4848.1875</v>
      </c>
      <c r="M133" s="27">
        <f t="shared" ref="M133:N135" si="47">L133*7/100+L133</f>
        <v>5187.5606250000001</v>
      </c>
      <c r="N133" s="133">
        <f t="shared" si="47"/>
        <v>5550.6898687499997</v>
      </c>
    </row>
    <row r="134" spans="1:14" s="28" customFormat="1" ht="14.25" x14ac:dyDescent="0.2">
      <c r="A134" s="25" t="s">
        <v>638</v>
      </c>
      <c r="B134" s="25"/>
      <c r="C134" s="26" t="s">
        <v>174</v>
      </c>
      <c r="D134" s="23">
        <f>VLOOKUP(A134,fin,3,FALSE)</f>
        <v>7289</v>
      </c>
      <c r="E134" s="23">
        <v>91950.73</v>
      </c>
      <c r="F134" s="23">
        <v>0</v>
      </c>
      <c r="G134" s="23">
        <v>551704.38</v>
      </c>
      <c r="H134" s="23">
        <v>339403.62</v>
      </c>
      <c r="I134" s="23">
        <v>61.91</v>
      </c>
      <c r="J134" s="27">
        <f>+K134-D134</f>
        <v>0</v>
      </c>
      <c r="K134" s="27">
        <f>VLOOKUP(A134,fin,4,FALSE)</f>
        <v>7289</v>
      </c>
      <c r="L134" s="27">
        <f t="shared" si="46"/>
        <v>7744.5625</v>
      </c>
      <c r="M134" s="27">
        <f t="shared" si="47"/>
        <v>8286.6818750000002</v>
      </c>
      <c r="N134" s="133">
        <f t="shared" si="47"/>
        <v>8866.7496062499995</v>
      </c>
    </row>
    <row r="135" spans="1:14" s="28" customFormat="1" ht="14.25" x14ac:dyDescent="0.2">
      <c r="A135" s="25" t="s">
        <v>639</v>
      </c>
      <c r="B135" s="25"/>
      <c r="C135" s="26" t="s">
        <v>175</v>
      </c>
      <c r="D135" s="23">
        <f>VLOOKUP(A135,fin,3,FALSE)</f>
        <v>4874</v>
      </c>
      <c r="E135" s="23">
        <v>91950.73</v>
      </c>
      <c r="F135" s="23">
        <v>0</v>
      </c>
      <c r="G135" s="23">
        <v>551704.38</v>
      </c>
      <c r="H135" s="23">
        <v>339403.62</v>
      </c>
      <c r="I135" s="23">
        <v>61.91</v>
      </c>
      <c r="J135" s="27">
        <f>+K135-D135</f>
        <v>0</v>
      </c>
      <c r="K135" s="27">
        <f>VLOOKUP(A135,fin,4,FALSE)</f>
        <v>4874</v>
      </c>
      <c r="L135" s="27">
        <f t="shared" si="46"/>
        <v>5178.625</v>
      </c>
      <c r="M135" s="27">
        <f t="shared" si="47"/>
        <v>5541.1287499999999</v>
      </c>
      <c r="N135" s="133">
        <f t="shared" si="47"/>
        <v>5929.0077624999994</v>
      </c>
    </row>
    <row r="136" spans="1:14" s="28" customFormat="1" ht="14.25" x14ac:dyDescent="0.2">
      <c r="A136" s="25"/>
      <c r="B136" s="25"/>
      <c r="C136" s="26"/>
      <c r="D136" s="23"/>
      <c r="E136" s="23"/>
      <c r="F136" s="23"/>
      <c r="G136" s="23"/>
      <c r="H136" s="23"/>
      <c r="I136" s="23"/>
      <c r="J136" s="27"/>
      <c r="K136" s="27"/>
      <c r="L136" s="27"/>
      <c r="M136" s="27"/>
      <c r="N136" s="133"/>
    </row>
    <row r="137" spans="1:14" s="24" customFormat="1" x14ac:dyDescent="0.25">
      <c r="A137" s="20"/>
      <c r="B137" s="20"/>
      <c r="C137" s="21" t="s">
        <v>176</v>
      </c>
      <c r="D137" s="29">
        <f>SUM(D133:D136)</f>
        <v>16726</v>
      </c>
      <c r="E137" s="29">
        <v>0</v>
      </c>
      <c r="F137" s="29">
        <v>0</v>
      </c>
      <c r="G137" s="29">
        <v>0</v>
      </c>
      <c r="H137" s="29">
        <v>16726</v>
      </c>
      <c r="I137" s="29">
        <v>0</v>
      </c>
      <c r="J137" s="27">
        <f>+K137-D137</f>
        <v>0</v>
      </c>
      <c r="K137" s="22">
        <f>SUM(K133:K136)</f>
        <v>16726</v>
      </c>
      <c r="L137" s="22">
        <f>SUM(L133:L136)</f>
        <v>17771.375</v>
      </c>
      <c r="M137" s="22">
        <f>SUM(M133:M136)</f>
        <v>19015.37125</v>
      </c>
      <c r="N137" s="22">
        <f>SUM(N133:N136)</f>
        <v>20346.447237499997</v>
      </c>
    </row>
    <row r="138" spans="1:14" s="24" customFormat="1" x14ac:dyDescent="0.25">
      <c r="A138" s="20"/>
      <c r="B138" s="20"/>
      <c r="C138" s="21"/>
      <c r="D138" s="29"/>
      <c r="E138" s="29"/>
      <c r="F138" s="29"/>
      <c r="G138" s="29"/>
      <c r="H138" s="29"/>
      <c r="I138" s="29"/>
      <c r="J138" s="27"/>
      <c r="K138" s="27"/>
      <c r="L138" s="22"/>
      <c r="M138" s="22"/>
      <c r="N138" s="132"/>
    </row>
    <row r="139" spans="1:14" s="24" customFormat="1" x14ac:dyDescent="0.25">
      <c r="A139" s="20"/>
      <c r="B139" s="20"/>
      <c r="C139" s="21" t="s">
        <v>177</v>
      </c>
      <c r="D139" s="29">
        <f>+D120+D129+D137</f>
        <v>1013873</v>
      </c>
      <c r="E139" s="29">
        <v>84641.86</v>
      </c>
      <c r="F139" s="29">
        <v>0</v>
      </c>
      <c r="G139" s="29">
        <v>507947.56</v>
      </c>
      <c r="H139" s="29">
        <v>505925.44</v>
      </c>
      <c r="I139" s="29">
        <v>50.09</v>
      </c>
      <c r="J139" s="27">
        <f>+K139-D139</f>
        <v>29953.089999999967</v>
      </c>
      <c r="K139" s="22">
        <f>+K120+K129+K137</f>
        <v>1043826.09</v>
      </c>
      <c r="L139" s="22">
        <f>+L120+L129+L137</f>
        <v>1109065.2206250001</v>
      </c>
      <c r="M139" s="22">
        <f>+M120+M129+M137</f>
        <v>1186699.7860687501</v>
      </c>
      <c r="N139" s="22">
        <f>+N120+N129+N137</f>
        <v>1269768.7710935622</v>
      </c>
    </row>
    <row r="140" spans="1:14" s="24" customFormat="1" x14ac:dyDescent="0.25">
      <c r="A140" s="20"/>
      <c r="B140" s="20"/>
      <c r="C140" s="21"/>
      <c r="D140" s="29"/>
      <c r="E140" s="29"/>
      <c r="F140" s="29"/>
      <c r="G140" s="29"/>
      <c r="H140" s="29"/>
      <c r="I140" s="29"/>
      <c r="J140" s="27"/>
      <c r="K140" s="22"/>
      <c r="L140" s="22"/>
      <c r="M140" s="22"/>
      <c r="N140" s="132"/>
    </row>
    <row r="141" spans="1:14" s="24" customFormat="1" x14ac:dyDescent="0.25">
      <c r="A141" s="20"/>
      <c r="B141" s="20"/>
      <c r="C141" s="21" t="s">
        <v>178</v>
      </c>
      <c r="D141" s="29">
        <f>D139</f>
        <v>1013873</v>
      </c>
      <c r="E141" s="29">
        <v>84641.86</v>
      </c>
      <c r="F141" s="29">
        <v>0</v>
      </c>
      <c r="G141" s="29">
        <v>507947.56</v>
      </c>
      <c r="H141" s="29">
        <v>505925.44</v>
      </c>
      <c r="I141" s="29">
        <v>50.09</v>
      </c>
      <c r="J141" s="27">
        <f>+K141-D141</f>
        <v>29953.089999999967</v>
      </c>
      <c r="K141" s="22">
        <f>K139</f>
        <v>1043826.09</v>
      </c>
      <c r="L141" s="22">
        <f>L139</f>
        <v>1109065.2206250001</v>
      </c>
      <c r="M141" s="22">
        <f>M139</f>
        <v>1186699.7860687501</v>
      </c>
      <c r="N141" s="22">
        <f>N139</f>
        <v>1269768.7710935622</v>
      </c>
    </row>
    <row r="142" spans="1:14" s="24" customFormat="1" x14ac:dyDescent="0.25">
      <c r="A142" s="20"/>
      <c r="B142" s="20"/>
      <c r="C142" s="21"/>
      <c r="D142" s="29"/>
      <c r="E142" s="29"/>
      <c r="F142" s="29"/>
      <c r="G142" s="29"/>
      <c r="H142" s="29"/>
      <c r="I142" s="29"/>
      <c r="J142" s="27"/>
      <c r="K142" s="27"/>
      <c r="L142" s="22"/>
      <c r="M142" s="22"/>
      <c r="N142" s="132"/>
    </row>
    <row r="143" spans="1:14" s="24" customFormat="1" x14ac:dyDescent="0.25">
      <c r="A143" s="20"/>
      <c r="B143" s="20"/>
      <c r="C143" s="21" t="s">
        <v>208</v>
      </c>
      <c r="D143" s="29"/>
      <c r="E143" s="29"/>
      <c r="F143" s="29"/>
      <c r="G143" s="29"/>
      <c r="H143" s="29"/>
      <c r="I143" s="29"/>
      <c r="J143" s="27"/>
      <c r="K143" s="27"/>
      <c r="L143" s="22"/>
      <c r="M143" s="22"/>
      <c r="N143" s="132"/>
    </row>
    <row r="144" spans="1:14" s="24" customFormat="1" x14ac:dyDescent="0.25">
      <c r="A144" s="20"/>
      <c r="B144" s="20"/>
      <c r="C144" s="21"/>
      <c r="D144" s="29"/>
      <c r="E144" s="29"/>
      <c r="F144" s="29"/>
      <c r="G144" s="29"/>
      <c r="H144" s="29"/>
      <c r="I144" s="29"/>
      <c r="J144" s="27"/>
      <c r="K144" s="27"/>
      <c r="L144" s="22"/>
      <c r="M144" s="22"/>
      <c r="N144" s="132"/>
    </row>
    <row r="145" spans="1:14" s="24" customFormat="1" x14ac:dyDescent="0.25">
      <c r="A145" s="20"/>
      <c r="B145" s="20"/>
      <c r="C145" s="21" t="s">
        <v>209</v>
      </c>
      <c r="D145" s="29"/>
      <c r="E145" s="29"/>
      <c r="F145" s="29"/>
      <c r="G145" s="29"/>
      <c r="H145" s="29"/>
      <c r="I145" s="29"/>
      <c r="J145" s="27"/>
      <c r="K145" s="27"/>
      <c r="L145" s="22"/>
      <c r="M145" s="22"/>
      <c r="N145" s="132"/>
    </row>
    <row r="146" spans="1:14" s="24" customFormat="1" x14ac:dyDescent="0.25">
      <c r="A146" s="20"/>
      <c r="B146" s="20"/>
      <c r="C146" s="21"/>
      <c r="D146" s="29"/>
      <c r="E146" s="29"/>
      <c r="F146" s="29"/>
      <c r="G146" s="29"/>
      <c r="H146" s="29"/>
      <c r="I146" s="29"/>
      <c r="J146" s="27"/>
      <c r="K146" s="27"/>
      <c r="L146" s="22"/>
      <c r="M146" s="22"/>
      <c r="N146" s="132"/>
    </row>
    <row r="147" spans="1:14" s="28" customFormat="1" ht="14.25" x14ac:dyDescent="0.2">
      <c r="A147" s="25" t="s">
        <v>640</v>
      </c>
      <c r="B147" s="25" t="s">
        <v>1362</v>
      </c>
      <c r="C147" s="26" t="s">
        <v>212</v>
      </c>
      <c r="D147" s="23">
        <f>VLOOKUP(A147,fin,3,FALSE)</f>
        <v>300000</v>
      </c>
      <c r="E147" s="23">
        <v>91950.73</v>
      </c>
      <c r="F147" s="23">
        <v>0</v>
      </c>
      <c r="G147" s="23">
        <v>551704.38</v>
      </c>
      <c r="H147" s="23">
        <v>339403.62</v>
      </c>
      <c r="I147" s="23">
        <v>61.91</v>
      </c>
      <c r="J147" s="27">
        <f>+K147-D147</f>
        <v>0</v>
      </c>
      <c r="K147" s="27">
        <f>VLOOKUP(A147,fin,4,FALSE)</f>
        <v>300000</v>
      </c>
      <c r="L147" s="27">
        <f>K147*4.5/100+K147</f>
        <v>313500</v>
      </c>
      <c r="M147" s="27">
        <f>L147*4.6/100+L147</f>
        <v>327921</v>
      </c>
      <c r="N147" s="133">
        <f>M147*4.6/100+M147</f>
        <v>343005.36599999998</v>
      </c>
    </row>
    <row r="148" spans="1:14" s="28" customFormat="1" ht="14.25" x14ac:dyDescent="0.2">
      <c r="A148" s="25"/>
      <c r="B148" s="25"/>
      <c r="C148" s="26"/>
      <c r="D148" s="23"/>
      <c r="E148" s="23"/>
      <c r="F148" s="23"/>
      <c r="G148" s="23"/>
      <c r="H148" s="23"/>
      <c r="I148" s="23"/>
      <c r="J148" s="27"/>
      <c r="K148" s="27"/>
      <c r="L148" s="27"/>
      <c r="M148" s="27"/>
      <c r="N148" s="133"/>
    </row>
    <row r="149" spans="1:14" s="24" customFormat="1" x14ac:dyDescent="0.25">
      <c r="A149" s="20"/>
      <c r="B149" s="20"/>
      <c r="C149" s="21" t="s">
        <v>217</v>
      </c>
      <c r="D149" s="29">
        <f>SUM(D147:D148)</f>
        <v>300000</v>
      </c>
      <c r="E149" s="29">
        <v>0</v>
      </c>
      <c r="F149" s="29">
        <v>0</v>
      </c>
      <c r="G149" s="29">
        <v>108913.5</v>
      </c>
      <c r="H149" s="29">
        <v>191086.5</v>
      </c>
      <c r="I149" s="29">
        <v>36.299999999999997</v>
      </c>
      <c r="J149" s="27">
        <f>+K149-D149</f>
        <v>0</v>
      </c>
      <c r="K149" s="22">
        <f>SUM(K147:K148)</f>
        <v>300000</v>
      </c>
      <c r="L149" s="22">
        <f>SUM(L147:L148)</f>
        <v>313500</v>
      </c>
      <c r="M149" s="22">
        <f>SUM(M147:M148)</f>
        <v>327921</v>
      </c>
      <c r="N149" s="22">
        <f>SUM(N147:N148)</f>
        <v>343005.36599999998</v>
      </c>
    </row>
    <row r="150" spans="1:14" s="24" customFormat="1" x14ac:dyDescent="0.25">
      <c r="A150" s="20"/>
      <c r="B150" s="20"/>
      <c r="C150" s="21"/>
      <c r="D150" s="29"/>
      <c r="E150" s="29"/>
      <c r="F150" s="29"/>
      <c r="G150" s="29"/>
      <c r="H150" s="29"/>
      <c r="I150" s="29"/>
      <c r="J150" s="27"/>
      <c r="K150" s="27"/>
      <c r="L150" s="22"/>
      <c r="M150" s="22"/>
      <c r="N150" s="132"/>
    </row>
    <row r="151" spans="1:14" s="24" customFormat="1" x14ac:dyDescent="0.25">
      <c r="A151" s="20"/>
      <c r="B151" s="20"/>
      <c r="C151" s="21" t="s">
        <v>218</v>
      </c>
      <c r="D151" s="29"/>
      <c r="E151" s="29"/>
      <c r="F151" s="29"/>
      <c r="G151" s="29"/>
      <c r="H151" s="29"/>
      <c r="I151" s="29"/>
      <c r="J151" s="27"/>
      <c r="K151" s="27"/>
      <c r="L151" s="22"/>
      <c r="M151" s="22"/>
      <c r="N151" s="132"/>
    </row>
    <row r="152" spans="1:14" s="24" customFormat="1" x14ac:dyDescent="0.25">
      <c r="A152" s="20"/>
      <c r="B152" s="20"/>
      <c r="C152" s="21"/>
      <c r="D152" s="29"/>
      <c r="E152" s="29"/>
      <c r="F152" s="29"/>
      <c r="G152" s="29"/>
      <c r="H152" s="29"/>
      <c r="I152" s="29"/>
      <c r="J152" s="27"/>
      <c r="K152" s="27"/>
      <c r="L152" s="22"/>
      <c r="M152" s="22"/>
      <c r="N152" s="132"/>
    </row>
    <row r="153" spans="1:14" s="28" customFormat="1" ht="14.25" x14ac:dyDescent="0.2">
      <c r="A153" s="25" t="s">
        <v>641</v>
      </c>
      <c r="B153" s="25"/>
      <c r="C153" s="26" t="s">
        <v>226</v>
      </c>
      <c r="D153" s="23">
        <f>VLOOKUP(A153,fin,3,FALSE)</f>
        <v>1200000</v>
      </c>
      <c r="E153" s="23">
        <v>91950.73</v>
      </c>
      <c r="F153" s="23">
        <v>0</v>
      </c>
      <c r="G153" s="23">
        <v>551704.38</v>
      </c>
      <c r="H153" s="23">
        <v>339403.62</v>
      </c>
      <c r="I153" s="23">
        <v>61.91</v>
      </c>
      <c r="J153" s="27">
        <f>+K153-D153</f>
        <v>0</v>
      </c>
      <c r="K153" s="27">
        <f>VLOOKUP(A153,fin,4,FALSE)</f>
        <v>1200000</v>
      </c>
      <c r="L153" s="27">
        <f>K153*4.5/100+K153</f>
        <v>1254000</v>
      </c>
      <c r="M153" s="27">
        <f>L153*4.6/100+L153</f>
        <v>1311684</v>
      </c>
      <c r="N153" s="133">
        <f>M153*4.6/100+M153</f>
        <v>1372021.4639999999</v>
      </c>
    </row>
    <row r="154" spans="1:14" s="28" customFormat="1" ht="14.25" x14ac:dyDescent="0.2">
      <c r="A154" s="25"/>
      <c r="B154" s="25"/>
      <c r="C154" s="26"/>
      <c r="D154" s="23"/>
      <c r="E154" s="23"/>
      <c r="F154" s="23"/>
      <c r="G154" s="23"/>
      <c r="H154" s="23"/>
      <c r="I154" s="23"/>
      <c r="J154" s="27"/>
      <c r="K154" s="27"/>
      <c r="L154" s="27"/>
      <c r="M154" s="27"/>
      <c r="N154" s="133"/>
    </row>
    <row r="155" spans="1:14" s="24" customFormat="1" x14ac:dyDescent="0.25">
      <c r="A155" s="20"/>
      <c r="B155" s="20"/>
      <c r="C155" s="21" t="s">
        <v>227</v>
      </c>
      <c r="D155" s="29">
        <f>SUM(D153:D154)</f>
        <v>1200000</v>
      </c>
      <c r="E155" s="29">
        <v>212960.86</v>
      </c>
      <c r="F155" s="29">
        <v>0</v>
      </c>
      <c r="G155" s="29">
        <v>300304.96999999997</v>
      </c>
      <c r="H155" s="29">
        <v>899695.03</v>
      </c>
      <c r="I155" s="29">
        <v>25.02</v>
      </c>
      <c r="J155" s="27">
        <f>+K155-D155</f>
        <v>0</v>
      </c>
      <c r="K155" s="22">
        <f>SUM(K153:K154)</f>
        <v>1200000</v>
      </c>
      <c r="L155" s="22">
        <f>SUM(L153:L154)</f>
        <v>1254000</v>
      </c>
      <c r="M155" s="22">
        <f>SUM(M153:M154)</f>
        <v>1311684</v>
      </c>
      <c r="N155" s="22">
        <f>SUM(N153:N154)</f>
        <v>1372021.4639999999</v>
      </c>
    </row>
    <row r="156" spans="1:14" s="24" customFormat="1" x14ac:dyDescent="0.25">
      <c r="A156" s="20"/>
      <c r="B156" s="20"/>
      <c r="C156" s="21"/>
      <c r="D156" s="29"/>
      <c r="E156" s="29"/>
      <c r="F156" s="29"/>
      <c r="G156" s="29"/>
      <c r="H156" s="29"/>
      <c r="I156" s="29"/>
      <c r="J156" s="27"/>
      <c r="K156" s="22"/>
      <c r="L156" s="22"/>
      <c r="M156" s="22"/>
      <c r="N156" s="132"/>
    </row>
    <row r="157" spans="1:14" s="24" customFormat="1" x14ac:dyDescent="0.25">
      <c r="A157" s="20"/>
      <c r="B157" s="20"/>
      <c r="C157" s="21" t="s">
        <v>240</v>
      </c>
      <c r="D157" s="29">
        <f>+D149+D155</f>
        <v>1500000</v>
      </c>
      <c r="E157" s="29">
        <v>212960.86</v>
      </c>
      <c r="F157" s="29">
        <v>0</v>
      </c>
      <c r="G157" s="29">
        <v>409218.47</v>
      </c>
      <c r="H157" s="29">
        <v>1090781.53</v>
      </c>
      <c r="I157" s="29">
        <v>27.28</v>
      </c>
      <c r="J157" s="27">
        <f>+K157-D157</f>
        <v>0</v>
      </c>
      <c r="K157" s="22">
        <f>+K149+K155</f>
        <v>1500000</v>
      </c>
      <c r="L157" s="22">
        <f>+L149+L155</f>
        <v>1567500</v>
      </c>
      <c r="M157" s="22">
        <f>+M149+M155</f>
        <v>1639605</v>
      </c>
      <c r="N157" s="22">
        <f>+N149+N155</f>
        <v>1715026.8299999998</v>
      </c>
    </row>
    <row r="158" spans="1:14" s="24" customFormat="1" x14ac:dyDescent="0.25">
      <c r="A158" s="20"/>
      <c r="B158" s="20"/>
      <c r="C158" s="21"/>
      <c r="D158" s="29"/>
      <c r="E158" s="29"/>
      <c r="F158" s="29"/>
      <c r="G158" s="29"/>
      <c r="H158" s="29"/>
      <c r="I158" s="29"/>
      <c r="J158" s="27"/>
      <c r="K158" s="27"/>
      <c r="L158" s="22"/>
      <c r="M158" s="22"/>
      <c r="N158" s="132"/>
    </row>
    <row r="159" spans="1:14" s="24" customFormat="1" x14ac:dyDescent="0.25">
      <c r="A159" s="20"/>
      <c r="B159" s="20"/>
      <c r="C159" s="21" t="s">
        <v>241</v>
      </c>
      <c r="D159" s="29"/>
      <c r="E159" s="29"/>
      <c r="F159" s="29"/>
      <c r="G159" s="29"/>
      <c r="H159" s="29"/>
      <c r="I159" s="29"/>
      <c r="J159" s="27"/>
      <c r="K159" s="27"/>
      <c r="L159" s="22"/>
      <c r="M159" s="22"/>
      <c r="N159" s="132"/>
    </row>
    <row r="160" spans="1:14" s="28" customFormat="1" ht="14.25" x14ac:dyDescent="0.2">
      <c r="A160" s="25"/>
      <c r="B160" s="25"/>
      <c r="C160" s="26"/>
      <c r="D160" s="23"/>
      <c r="E160" s="23"/>
      <c r="F160" s="23"/>
      <c r="G160" s="23"/>
      <c r="H160" s="23"/>
      <c r="I160" s="23"/>
      <c r="J160" s="27"/>
      <c r="K160" s="27"/>
      <c r="L160" s="27"/>
      <c r="M160" s="27"/>
      <c r="N160" s="133"/>
    </row>
    <row r="161" spans="1:14" s="28" customFormat="1" ht="14.25" x14ac:dyDescent="0.2">
      <c r="A161" s="25" t="s">
        <v>642</v>
      </c>
      <c r="B161" s="25"/>
      <c r="C161" s="26" t="s">
        <v>265</v>
      </c>
      <c r="D161" s="23">
        <f>VLOOKUP(A161,fin,3,FALSE)</f>
        <v>0</v>
      </c>
      <c r="E161" s="23">
        <v>91950.73</v>
      </c>
      <c r="F161" s="23">
        <v>0</v>
      </c>
      <c r="G161" s="23">
        <v>551704.38</v>
      </c>
      <c r="H161" s="23">
        <v>339403.62</v>
      </c>
      <c r="I161" s="23">
        <v>61.91</v>
      </c>
      <c r="J161" s="27">
        <f>+K161-D161</f>
        <v>10000</v>
      </c>
      <c r="K161" s="27">
        <f>VLOOKUP(A161,fin,4,FALSE)</f>
        <v>10000</v>
      </c>
      <c r="L161" s="27">
        <f t="shared" ref="L161:L162" si="48">K161*4.5/100+K161</f>
        <v>10450</v>
      </c>
      <c r="M161" s="27">
        <f t="shared" ref="M161:N161" si="49">L161*4.6/100+L161</f>
        <v>10930.7</v>
      </c>
      <c r="N161" s="133">
        <f t="shared" si="49"/>
        <v>11433.512200000001</v>
      </c>
    </row>
    <row r="162" spans="1:14" s="28" customFormat="1" ht="14.25" x14ac:dyDescent="0.2">
      <c r="A162" s="25" t="s">
        <v>643</v>
      </c>
      <c r="B162" s="25" t="s">
        <v>1361</v>
      </c>
      <c r="C162" s="26" t="s">
        <v>268</v>
      </c>
      <c r="D162" s="23">
        <f>VLOOKUP(A162,fin,3,FALSE)</f>
        <v>0</v>
      </c>
      <c r="E162" s="23">
        <v>91950.73</v>
      </c>
      <c r="F162" s="23">
        <v>0</v>
      </c>
      <c r="G162" s="23">
        <v>551704.38</v>
      </c>
      <c r="H162" s="23">
        <v>339403.62</v>
      </c>
      <c r="I162" s="23">
        <v>61.91</v>
      </c>
      <c r="J162" s="27">
        <f>+K162-D162</f>
        <v>20000</v>
      </c>
      <c r="K162" s="27">
        <f>VLOOKUP(A162,fin,4,FALSE)</f>
        <v>20000</v>
      </c>
      <c r="L162" s="27">
        <f t="shared" si="48"/>
        <v>20900</v>
      </c>
      <c r="M162" s="27">
        <f t="shared" ref="M162:N162" si="50">L162*4.6/100+L162</f>
        <v>21861.4</v>
      </c>
      <c r="N162" s="133">
        <f t="shared" si="50"/>
        <v>22867.024400000002</v>
      </c>
    </row>
    <row r="163" spans="1:14" s="28" customFormat="1" ht="14.25" x14ac:dyDescent="0.2">
      <c r="A163" s="25"/>
      <c r="B163" s="25"/>
      <c r="C163" s="26"/>
      <c r="D163" s="23"/>
      <c r="E163" s="23"/>
      <c r="F163" s="23"/>
      <c r="G163" s="23"/>
      <c r="H163" s="23"/>
      <c r="I163" s="23"/>
      <c r="J163" s="27"/>
      <c r="K163" s="27"/>
      <c r="L163" s="27"/>
      <c r="M163" s="27"/>
      <c r="N163" s="133"/>
    </row>
    <row r="164" spans="1:14" s="24" customFormat="1" x14ac:dyDescent="0.25">
      <c r="A164" s="20"/>
      <c r="B164" s="20"/>
      <c r="C164" s="21" t="s">
        <v>274</v>
      </c>
      <c r="D164" s="29">
        <f>SUM(D161:D163)</f>
        <v>0</v>
      </c>
      <c r="E164" s="29">
        <v>5682.77</v>
      </c>
      <c r="F164" s="29">
        <v>0</v>
      </c>
      <c r="G164" s="29">
        <v>13907.24</v>
      </c>
      <c r="H164" s="29">
        <v>-13907.24</v>
      </c>
      <c r="I164" s="29">
        <v>0</v>
      </c>
      <c r="J164" s="27">
        <f>+K164-D164</f>
        <v>30000</v>
      </c>
      <c r="K164" s="22">
        <f>SUM(K161:K163)</f>
        <v>30000</v>
      </c>
      <c r="L164" s="22">
        <f>SUM(L161:L163)</f>
        <v>31350</v>
      </c>
      <c r="M164" s="22">
        <f>SUM(M161:M163)</f>
        <v>32792.100000000006</v>
      </c>
      <c r="N164" s="22">
        <f>SUM(N161:N163)</f>
        <v>34300.536600000007</v>
      </c>
    </row>
    <row r="165" spans="1:14" s="24" customFormat="1" x14ac:dyDescent="0.25">
      <c r="A165" s="20"/>
      <c r="B165" s="20"/>
      <c r="C165" s="21"/>
      <c r="D165" s="29"/>
      <c r="E165" s="29"/>
      <c r="F165" s="29"/>
      <c r="G165" s="29"/>
      <c r="H165" s="29"/>
      <c r="I165" s="29"/>
      <c r="J165" s="27"/>
      <c r="K165" s="22"/>
      <c r="L165" s="22"/>
      <c r="M165" s="22"/>
      <c r="N165" s="132"/>
    </row>
    <row r="166" spans="1:14" s="24" customFormat="1" x14ac:dyDescent="0.25">
      <c r="A166" s="20"/>
      <c r="B166" s="20"/>
      <c r="C166" s="21" t="s">
        <v>305</v>
      </c>
      <c r="D166" s="29">
        <f>D141+D157+D164</f>
        <v>2513873</v>
      </c>
      <c r="E166" s="29">
        <f t="shared" ref="E166:N166" si="51">E141+E157+E164</f>
        <v>303285.49</v>
      </c>
      <c r="F166" s="29">
        <f t="shared" si="51"/>
        <v>0</v>
      </c>
      <c r="G166" s="29">
        <f t="shared" si="51"/>
        <v>931073.27</v>
      </c>
      <c r="H166" s="29">
        <f t="shared" si="51"/>
        <v>1582799.73</v>
      </c>
      <c r="I166" s="29">
        <f t="shared" si="51"/>
        <v>77.37</v>
      </c>
      <c r="J166" s="29">
        <f t="shared" si="51"/>
        <v>59953.089999999967</v>
      </c>
      <c r="K166" s="29">
        <f t="shared" si="51"/>
        <v>2573826.09</v>
      </c>
      <c r="L166" s="29">
        <f t="shared" si="51"/>
        <v>2707915.2206250001</v>
      </c>
      <c r="M166" s="29">
        <f t="shared" si="51"/>
        <v>2859096.8860687502</v>
      </c>
      <c r="N166" s="29">
        <f t="shared" si="51"/>
        <v>3019096.1376935625</v>
      </c>
    </row>
    <row r="167" spans="1:14" s="28" customFormat="1" ht="14.25" x14ac:dyDescent="0.2">
      <c r="A167" s="25"/>
      <c r="B167" s="25"/>
      <c r="C167" s="26"/>
      <c r="D167" s="23"/>
      <c r="E167" s="23"/>
      <c r="F167" s="23"/>
      <c r="G167" s="23"/>
      <c r="H167" s="23"/>
      <c r="I167" s="23"/>
      <c r="J167" s="27"/>
      <c r="K167" s="27"/>
      <c r="L167" s="27"/>
      <c r="M167" s="27"/>
      <c r="N167" s="133"/>
    </row>
    <row r="168" spans="1:14" s="24" customFormat="1" x14ac:dyDescent="0.25">
      <c r="A168" s="20"/>
      <c r="B168" s="20"/>
      <c r="C168" s="21" t="s">
        <v>1325</v>
      </c>
      <c r="D168" s="29"/>
      <c r="E168" s="29"/>
      <c r="F168" s="29"/>
      <c r="G168" s="29"/>
      <c r="H168" s="29"/>
      <c r="I168" s="29"/>
      <c r="J168" s="27"/>
      <c r="K168" s="27"/>
      <c r="L168" s="22"/>
      <c r="M168" s="22"/>
      <c r="N168" s="132"/>
    </row>
    <row r="169" spans="1:14" s="24" customFormat="1" x14ac:dyDescent="0.25">
      <c r="A169" s="20"/>
      <c r="B169" s="20"/>
      <c r="C169" s="21"/>
      <c r="D169" s="29"/>
      <c r="E169" s="29"/>
      <c r="F169" s="29"/>
      <c r="G169" s="29"/>
      <c r="H169" s="29"/>
      <c r="I169" s="29"/>
      <c r="J169" s="27"/>
      <c r="K169" s="27"/>
      <c r="L169" s="22"/>
      <c r="M169" s="22"/>
      <c r="N169" s="132"/>
    </row>
    <row r="170" spans="1:14" s="24" customFormat="1" x14ac:dyDescent="0.25">
      <c r="A170" s="20"/>
      <c r="B170" s="20"/>
      <c r="C170" s="21" t="s">
        <v>96</v>
      </c>
      <c r="D170" s="29"/>
      <c r="E170" s="29"/>
      <c r="F170" s="29"/>
      <c r="G170" s="29"/>
      <c r="H170" s="29"/>
      <c r="I170" s="29"/>
      <c r="J170" s="27"/>
      <c r="K170" s="27"/>
      <c r="L170" s="22"/>
      <c r="M170" s="22"/>
      <c r="N170" s="132"/>
    </row>
    <row r="171" spans="1:14" s="24" customFormat="1" x14ac:dyDescent="0.25">
      <c r="A171" s="20"/>
      <c r="B171" s="20"/>
      <c r="C171" s="21" t="s">
        <v>97</v>
      </c>
      <c r="D171" s="29"/>
      <c r="E171" s="29"/>
      <c r="F171" s="29"/>
      <c r="G171" s="29"/>
      <c r="H171" s="29"/>
      <c r="I171" s="29"/>
      <c r="J171" s="27"/>
      <c r="K171" s="27"/>
      <c r="L171" s="22"/>
      <c r="M171" s="22"/>
      <c r="N171" s="132"/>
    </row>
    <row r="172" spans="1:14" s="24" customFormat="1" x14ac:dyDescent="0.25">
      <c r="A172" s="20"/>
      <c r="B172" s="20"/>
      <c r="C172" s="21" t="s">
        <v>148</v>
      </c>
      <c r="D172" s="29"/>
      <c r="E172" s="29"/>
      <c r="F172" s="29"/>
      <c r="G172" s="29"/>
      <c r="H172" s="29"/>
      <c r="I172" s="29"/>
      <c r="J172" s="27"/>
      <c r="K172" s="27"/>
      <c r="L172" s="22"/>
      <c r="M172" s="22"/>
      <c r="N172" s="132"/>
    </row>
    <row r="173" spans="1:14" s="24" customFormat="1" x14ac:dyDescent="0.25">
      <c r="A173" s="20"/>
      <c r="B173" s="20"/>
      <c r="C173" s="21" t="s">
        <v>149</v>
      </c>
      <c r="D173" s="29"/>
      <c r="E173" s="29"/>
      <c r="F173" s="29"/>
      <c r="G173" s="29"/>
      <c r="H173" s="29"/>
      <c r="I173" s="29"/>
      <c r="J173" s="27"/>
      <c r="K173" s="27"/>
      <c r="L173" s="22"/>
      <c r="M173" s="22"/>
      <c r="N173" s="132"/>
    </row>
    <row r="174" spans="1:14" s="28" customFormat="1" ht="14.25" x14ac:dyDescent="0.2">
      <c r="A174" s="25"/>
      <c r="B174" s="25"/>
      <c r="C174" s="26"/>
      <c r="D174" s="23"/>
      <c r="E174" s="23"/>
      <c r="F174" s="23"/>
      <c r="G174" s="23"/>
      <c r="H174" s="23"/>
      <c r="I174" s="23"/>
      <c r="J174" s="27"/>
      <c r="K174" s="27"/>
      <c r="L174" s="27"/>
      <c r="M174" s="27"/>
      <c r="N174" s="133"/>
    </row>
    <row r="175" spans="1:14" s="28" customFormat="1" ht="14.25" x14ac:dyDescent="0.2">
      <c r="A175" s="25" t="s">
        <v>644</v>
      </c>
      <c r="B175" s="25"/>
      <c r="C175" s="26" t="s">
        <v>150</v>
      </c>
      <c r="D175" s="23">
        <f t="shared" ref="D175:D182" si="52">VLOOKUP(A175,fin,3,FALSE)</f>
        <v>390877</v>
      </c>
      <c r="E175" s="23">
        <v>91950.73</v>
      </c>
      <c r="F175" s="23">
        <v>0</v>
      </c>
      <c r="G175" s="23">
        <v>551704.38</v>
      </c>
      <c r="H175" s="23">
        <v>339403.62</v>
      </c>
      <c r="I175" s="23">
        <v>61.91</v>
      </c>
      <c r="J175" s="27">
        <f t="shared" ref="J175:J182" si="53">+K175-D175</f>
        <v>0</v>
      </c>
      <c r="K175" s="27">
        <f t="shared" ref="K175:K182" si="54">VLOOKUP(A175,fin,4,FALSE)</f>
        <v>390877</v>
      </c>
      <c r="L175" s="27">
        <f t="shared" ref="L175:L182" si="55">K175*6.25/100+K175</f>
        <v>415306.8125</v>
      </c>
      <c r="M175" s="27">
        <f t="shared" ref="M175:N182" si="56">L175*7/100+L175</f>
        <v>444378.28937499999</v>
      </c>
      <c r="N175" s="133">
        <f t="shared" si="56"/>
        <v>475484.76963125</v>
      </c>
    </row>
    <row r="176" spans="1:14" s="28" customFormat="1" ht="14.25" x14ac:dyDescent="0.2">
      <c r="A176" s="25" t="s">
        <v>645</v>
      </c>
      <c r="B176" s="25"/>
      <c r="C176" s="26" t="s">
        <v>151</v>
      </c>
      <c r="D176" s="23">
        <f t="shared" si="52"/>
        <v>17744</v>
      </c>
      <c r="E176" s="23">
        <v>91950.73</v>
      </c>
      <c r="F176" s="23">
        <v>0</v>
      </c>
      <c r="G176" s="23">
        <v>551704.38</v>
      </c>
      <c r="H176" s="23">
        <v>339403.62</v>
      </c>
      <c r="I176" s="23">
        <v>61.91</v>
      </c>
      <c r="J176" s="27">
        <f t="shared" si="53"/>
        <v>-9276.9100000000035</v>
      </c>
      <c r="K176" s="27">
        <f t="shared" si="54"/>
        <v>8467.0899999999965</v>
      </c>
      <c r="L176" s="27">
        <f t="shared" si="55"/>
        <v>8996.2831249999963</v>
      </c>
      <c r="M176" s="27">
        <f t="shared" si="56"/>
        <v>9626.0229437499966</v>
      </c>
      <c r="N176" s="133">
        <f t="shared" si="56"/>
        <v>10299.844549812497</v>
      </c>
    </row>
    <row r="177" spans="1:14" s="28" customFormat="1" ht="14.25" x14ac:dyDescent="0.2">
      <c r="A177" s="25" t="s">
        <v>646</v>
      </c>
      <c r="B177" s="25"/>
      <c r="C177" s="26" t="s">
        <v>152</v>
      </c>
      <c r="D177" s="23">
        <f t="shared" si="52"/>
        <v>14100</v>
      </c>
      <c r="E177" s="23">
        <v>91950.73</v>
      </c>
      <c r="F177" s="23">
        <v>0</v>
      </c>
      <c r="G177" s="23">
        <v>551704.38</v>
      </c>
      <c r="H177" s="23">
        <v>339403.62</v>
      </c>
      <c r="I177" s="23">
        <v>61.91</v>
      </c>
      <c r="J177" s="27">
        <f t="shared" si="53"/>
        <v>0</v>
      </c>
      <c r="K177" s="27">
        <f t="shared" si="54"/>
        <v>14100</v>
      </c>
      <c r="L177" s="27">
        <f t="shared" si="55"/>
        <v>14981.25</v>
      </c>
      <c r="M177" s="27">
        <f t="shared" si="56"/>
        <v>16029.9375</v>
      </c>
      <c r="N177" s="133">
        <f t="shared" si="56"/>
        <v>17152.033125000002</v>
      </c>
    </row>
    <row r="178" spans="1:14" s="28" customFormat="1" ht="14.25" x14ac:dyDescent="0.2">
      <c r="A178" s="25" t="s">
        <v>647</v>
      </c>
      <c r="B178" s="25"/>
      <c r="C178" s="26" t="s">
        <v>155</v>
      </c>
      <c r="D178" s="23">
        <f t="shared" si="52"/>
        <v>11776</v>
      </c>
      <c r="E178" s="23">
        <v>91950.73</v>
      </c>
      <c r="F178" s="23">
        <v>0</v>
      </c>
      <c r="G178" s="23">
        <v>551704.38</v>
      </c>
      <c r="H178" s="23">
        <v>339403.62</v>
      </c>
      <c r="I178" s="23">
        <v>61.91</v>
      </c>
      <c r="J178" s="27">
        <f t="shared" si="53"/>
        <v>0</v>
      </c>
      <c r="K178" s="27">
        <f t="shared" si="54"/>
        <v>11776</v>
      </c>
      <c r="L178" s="27">
        <f t="shared" si="55"/>
        <v>12512</v>
      </c>
      <c r="M178" s="27">
        <f t="shared" si="56"/>
        <v>13387.84</v>
      </c>
      <c r="N178" s="133">
        <f t="shared" si="56"/>
        <v>14324.988800000001</v>
      </c>
    </row>
    <row r="179" spans="1:14" s="28" customFormat="1" ht="14.25" x14ac:dyDescent="0.2">
      <c r="A179" s="25" t="s">
        <v>648</v>
      </c>
      <c r="B179" s="25"/>
      <c r="C179" s="26" t="s">
        <v>156</v>
      </c>
      <c r="D179" s="23">
        <f t="shared" si="52"/>
        <v>88719</v>
      </c>
      <c r="E179" s="23">
        <v>91950.73</v>
      </c>
      <c r="F179" s="23">
        <v>0</v>
      </c>
      <c r="G179" s="23">
        <v>551704.38</v>
      </c>
      <c r="H179" s="23">
        <v>339403.62</v>
      </c>
      <c r="I179" s="23">
        <v>61.91</v>
      </c>
      <c r="J179" s="27">
        <f t="shared" si="53"/>
        <v>0</v>
      </c>
      <c r="K179" s="27">
        <f t="shared" si="54"/>
        <v>88719</v>
      </c>
      <c r="L179" s="27">
        <f t="shared" si="55"/>
        <v>94263.9375</v>
      </c>
      <c r="M179" s="27">
        <f t="shared" si="56"/>
        <v>100862.41312500001</v>
      </c>
      <c r="N179" s="133">
        <f t="shared" si="56"/>
        <v>107922.78204375</v>
      </c>
    </row>
    <row r="180" spans="1:14" s="28" customFormat="1" ht="14.25" x14ac:dyDescent="0.2">
      <c r="A180" s="25" t="s">
        <v>649</v>
      </c>
      <c r="B180" s="25"/>
      <c r="C180" s="26" t="s">
        <v>158</v>
      </c>
      <c r="D180" s="23">
        <f t="shared" si="52"/>
        <v>7098</v>
      </c>
      <c r="E180" s="23">
        <v>91950.73</v>
      </c>
      <c r="F180" s="23">
        <v>0</v>
      </c>
      <c r="G180" s="23">
        <v>551704.38</v>
      </c>
      <c r="H180" s="23">
        <v>339403.62</v>
      </c>
      <c r="I180" s="23">
        <v>61.91</v>
      </c>
      <c r="J180" s="27">
        <f t="shared" si="53"/>
        <v>0</v>
      </c>
      <c r="K180" s="27">
        <f t="shared" si="54"/>
        <v>7098</v>
      </c>
      <c r="L180" s="27">
        <f t="shared" si="55"/>
        <v>7541.625</v>
      </c>
      <c r="M180" s="27">
        <f t="shared" si="56"/>
        <v>8069.5387499999997</v>
      </c>
      <c r="N180" s="133">
        <f t="shared" si="56"/>
        <v>8634.4064624999992</v>
      </c>
    </row>
    <row r="181" spans="1:14" s="28" customFormat="1" ht="14.25" x14ac:dyDescent="0.2">
      <c r="A181" s="25" t="s">
        <v>650</v>
      </c>
      <c r="B181" s="25"/>
      <c r="C181" s="26" t="s">
        <v>159</v>
      </c>
      <c r="D181" s="23">
        <f t="shared" si="52"/>
        <v>29573</v>
      </c>
      <c r="E181" s="23">
        <v>91950.73</v>
      </c>
      <c r="F181" s="23">
        <v>0</v>
      </c>
      <c r="G181" s="23">
        <v>551704.38</v>
      </c>
      <c r="H181" s="23">
        <v>339403.62</v>
      </c>
      <c r="I181" s="23">
        <v>61.91</v>
      </c>
      <c r="J181" s="27">
        <f t="shared" si="53"/>
        <v>0</v>
      </c>
      <c r="K181" s="27">
        <f t="shared" si="54"/>
        <v>29573</v>
      </c>
      <c r="L181" s="27">
        <f t="shared" si="55"/>
        <v>31421.3125</v>
      </c>
      <c r="M181" s="27">
        <f t="shared" si="56"/>
        <v>33620.804375</v>
      </c>
      <c r="N181" s="133">
        <f t="shared" si="56"/>
        <v>35974.260681250002</v>
      </c>
    </row>
    <row r="182" spans="1:14" s="28" customFormat="1" ht="14.25" x14ac:dyDescent="0.2">
      <c r="A182" s="25" t="s">
        <v>651</v>
      </c>
      <c r="B182" s="25"/>
      <c r="C182" s="26" t="s">
        <v>164</v>
      </c>
      <c r="D182" s="23">
        <f t="shared" si="52"/>
        <v>15692</v>
      </c>
      <c r="E182" s="23">
        <v>91950.73</v>
      </c>
      <c r="F182" s="23">
        <v>0</v>
      </c>
      <c r="G182" s="23">
        <v>551704.38</v>
      </c>
      <c r="H182" s="23">
        <v>339403.62</v>
      </c>
      <c r="I182" s="23">
        <v>61.91</v>
      </c>
      <c r="J182" s="27">
        <f t="shared" si="53"/>
        <v>0</v>
      </c>
      <c r="K182" s="27">
        <f t="shared" si="54"/>
        <v>15692</v>
      </c>
      <c r="L182" s="27">
        <f t="shared" si="55"/>
        <v>16672.75</v>
      </c>
      <c r="M182" s="27">
        <f t="shared" si="56"/>
        <v>17839.842499999999</v>
      </c>
      <c r="N182" s="133">
        <f t="shared" si="56"/>
        <v>19088.631474999998</v>
      </c>
    </row>
    <row r="183" spans="1:14" s="28" customFormat="1" ht="14.25" x14ac:dyDescent="0.2">
      <c r="A183" s="25"/>
      <c r="B183" s="25"/>
      <c r="C183" s="26"/>
      <c r="D183" s="23"/>
      <c r="E183" s="23"/>
      <c r="F183" s="23"/>
      <c r="G183" s="23"/>
      <c r="H183" s="23"/>
      <c r="I183" s="23"/>
      <c r="J183" s="27"/>
      <c r="K183" s="27"/>
      <c r="L183" s="27"/>
      <c r="M183" s="27"/>
      <c r="N183" s="133"/>
    </row>
    <row r="184" spans="1:14" s="24" customFormat="1" x14ac:dyDescent="0.25">
      <c r="A184" s="20"/>
      <c r="B184" s="20"/>
      <c r="C184" s="21" t="s">
        <v>165</v>
      </c>
      <c r="D184" s="29">
        <f>SUM(D175:D183)</f>
        <v>575579</v>
      </c>
      <c r="E184" s="29">
        <v>47318.239999999998</v>
      </c>
      <c r="F184" s="29">
        <v>0</v>
      </c>
      <c r="G184" s="29">
        <v>269239.21000000002</v>
      </c>
      <c r="H184" s="29">
        <v>306339.78999999998</v>
      </c>
      <c r="I184" s="29">
        <v>46.77</v>
      </c>
      <c r="J184" s="27">
        <f>+K184-D184</f>
        <v>-9276.9100000000326</v>
      </c>
      <c r="K184" s="22">
        <f>SUM(K175:K183)</f>
        <v>566302.09</v>
      </c>
      <c r="L184" s="22">
        <f>SUM(L175:L183)</f>
        <v>601695.97062500007</v>
      </c>
      <c r="M184" s="22">
        <f>SUM(M175:M183)</f>
        <v>643814.68856874993</v>
      </c>
      <c r="N184" s="22">
        <f>SUM(N175:N183)</f>
        <v>688881.71676856244</v>
      </c>
    </row>
    <row r="185" spans="1:14" s="24" customFormat="1" x14ac:dyDescent="0.25">
      <c r="A185" s="20"/>
      <c r="B185" s="20"/>
      <c r="C185" s="21"/>
      <c r="D185" s="29"/>
      <c r="E185" s="29"/>
      <c r="F185" s="29"/>
      <c r="G185" s="29"/>
      <c r="H185" s="29"/>
      <c r="I185" s="29"/>
      <c r="J185" s="27"/>
      <c r="K185" s="27"/>
      <c r="L185" s="22"/>
      <c r="M185" s="22"/>
      <c r="N185" s="132"/>
    </row>
    <row r="186" spans="1:14" s="24" customFormat="1" x14ac:dyDescent="0.25">
      <c r="A186" s="20"/>
      <c r="B186" s="20"/>
      <c r="C186" s="21" t="s">
        <v>166</v>
      </c>
      <c r="D186" s="29"/>
      <c r="E186" s="29"/>
      <c r="F186" s="29"/>
      <c r="G186" s="29"/>
      <c r="H186" s="29"/>
      <c r="I186" s="29"/>
      <c r="J186" s="27"/>
      <c r="K186" s="27"/>
      <c r="L186" s="22"/>
      <c r="M186" s="22"/>
      <c r="N186" s="132"/>
    </row>
    <row r="187" spans="1:14" s="28" customFormat="1" ht="14.25" x14ac:dyDescent="0.2">
      <c r="A187" s="25"/>
      <c r="B187" s="25"/>
      <c r="C187" s="26"/>
      <c r="D187" s="23"/>
      <c r="E187" s="23"/>
      <c r="F187" s="23"/>
      <c r="G187" s="23"/>
      <c r="H187" s="23"/>
      <c r="I187" s="23"/>
      <c r="J187" s="27"/>
      <c r="K187" s="27"/>
      <c r="L187" s="27"/>
      <c r="M187" s="27"/>
      <c r="N187" s="133"/>
    </row>
    <row r="188" spans="1:14" s="28" customFormat="1" ht="14.25" x14ac:dyDescent="0.2">
      <c r="A188" s="25" t="s">
        <v>652</v>
      </c>
      <c r="B188" s="25"/>
      <c r="C188" s="26" t="s">
        <v>167</v>
      </c>
      <c r="D188" s="23">
        <f>VLOOKUP(A188,fin,3,FALSE)</f>
        <v>112</v>
      </c>
      <c r="E188" s="23">
        <v>91950.73</v>
      </c>
      <c r="F188" s="23">
        <v>0</v>
      </c>
      <c r="G188" s="23">
        <v>551704.38</v>
      </c>
      <c r="H188" s="23">
        <v>339403.62</v>
      </c>
      <c r="I188" s="23">
        <v>61.91</v>
      </c>
      <c r="J188" s="27">
        <f>+K188-D188</f>
        <v>0</v>
      </c>
      <c r="K188" s="27">
        <f>VLOOKUP(A188,fin,4,FALSE)</f>
        <v>112</v>
      </c>
      <c r="L188" s="27">
        <f t="shared" ref="L188:L191" si="57">K188*6.25/100+K188</f>
        <v>119</v>
      </c>
      <c r="M188" s="27">
        <f t="shared" ref="M188:N191" si="58">L188*7/100+L188</f>
        <v>127.33</v>
      </c>
      <c r="N188" s="133">
        <f t="shared" si="58"/>
        <v>136.2431</v>
      </c>
    </row>
    <row r="189" spans="1:14" s="28" customFormat="1" ht="14.25" x14ac:dyDescent="0.2">
      <c r="A189" s="25" t="s">
        <v>653</v>
      </c>
      <c r="B189" s="25"/>
      <c r="C189" s="26" t="s">
        <v>168</v>
      </c>
      <c r="D189" s="23">
        <f>VLOOKUP(A189,fin,3,FALSE)</f>
        <v>53908</v>
      </c>
      <c r="E189" s="23">
        <v>91950.73</v>
      </c>
      <c r="F189" s="23">
        <v>0</v>
      </c>
      <c r="G189" s="23">
        <v>551704.38</v>
      </c>
      <c r="H189" s="23">
        <v>339403.62</v>
      </c>
      <c r="I189" s="23">
        <v>61.91</v>
      </c>
      <c r="J189" s="27">
        <f>+K189-D189</f>
        <v>0</v>
      </c>
      <c r="K189" s="27">
        <f>VLOOKUP(A189,fin,4,FALSE)</f>
        <v>53908</v>
      </c>
      <c r="L189" s="27">
        <f t="shared" si="57"/>
        <v>57277.25</v>
      </c>
      <c r="M189" s="27">
        <f t="shared" si="58"/>
        <v>61286.657500000001</v>
      </c>
      <c r="N189" s="133">
        <f t="shared" si="58"/>
        <v>65576.723525000009</v>
      </c>
    </row>
    <row r="190" spans="1:14" s="28" customFormat="1" ht="14.25" x14ac:dyDescent="0.2">
      <c r="A190" s="25" t="s">
        <v>654</v>
      </c>
      <c r="B190" s="25"/>
      <c r="C190" s="26" t="s">
        <v>169</v>
      </c>
      <c r="D190" s="23">
        <f>VLOOKUP(A190,fin,3,FALSE)</f>
        <v>78073</v>
      </c>
      <c r="E190" s="23">
        <v>91950.73</v>
      </c>
      <c r="F190" s="23">
        <v>0</v>
      </c>
      <c r="G190" s="23">
        <v>551704.38</v>
      </c>
      <c r="H190" s="23">
        <v>339403.62</v>
      </c>
      <c r="I190" s="23">
        <v>61.91</v>
      </c>
      <c r="J190" s="27">
        <f>+K190-D190</f>
        <v>0</v>
      </c>
      <c r="K190" s="27">
        <f>VLOOKUP(A190,fin,4,FALSE)</f>
        <v>78073</v>
      </c>
      <c r="L190" s="27">
        <f t="shared" si="57"/>
        <v>82952.5625</v>
      </c>
      <c r="M190" s="27">
        <f t="shared" si="58"/>
        <v>88759.241875000007</v>
      </c>
      <c r="N190" s="133">
        <f t="shared" si="58"/>
        <v>94972.388806250005</v>
      </c>
    </row>
    <row r="191" spans="1:14" s="28" customFormat="1" ht="14.25" x14ac:dyDescent="0.2">
      <c r="A191" s="25" t="s">
        <v>655</v>
      </c>
      <c r="B191" s="25"/>
      <c r="C191" s="26" t="s">
        <v>170</v>
      </c>
      <c r="D191" s="23">
        <f>VLOOKUP(A191,fin,3,FALSE)</f>
        <v>1785</v>
      </c>
      <c r="E191" s="23">
        <v>91950.73</v>
      </c>
      <c r="F191" s="23">
        <v>0</v>
      </c>
      <c r="G191" s="23">
        <v>551704.38</v>
      </c>
      <c r="H191" s="23">
        <v>339403.62</v>
      </c>
      <c r="I191" s="23">
        <v>61.91</v>
      </c>
      <c r="J191" s="27">
        <f>+K191-D191</f>
        <v>0</v>
      </c>
      <c r="K191" s="27">
        <f>VLOOKUP(A191,fin,4,FALSE)</f>
        <v>1785</v>
      </c>
      <c r="L191" s="27">
        <f t="shared" si="57"/>
        <v>1896.5625</v>
      </c>
      <c r="M191" s="27">
        <f t="shared" si="58"/>
        <v>2029.3218750000001</v>
      </c>
      <c r="N191" s="133">
        <f t="shared" si="58"/>
        <v>2171.37440625</v>
      </c>
    </row>
    <row r="192" spans="1:14" s="28" customFormat="1" ht="14.25" x14ac:dyDescent="0.2">
      <c r="A192" s="25"/>
      <c r="B192" s="25"/>
      <c r="C192" s="26"/>
      <c r="D192" s="23"/>
      <c r="E192" s="23"/>
      <c r="F192" s="23"/>
      <c r="G192" s="23"/>
      <c r="H192" s="23"/>
      <c r="I192" s="23"/>
      <c r="J192" s="27"/>
      <c r="K192" s="27"/>
      <c r="L192" s="27"/>
      <c r="M192" s="27"/>
      <c r="N192" s="133"/>
    </row>
    <row r="193" spans="1:14" s="24" customFormat="1" x14ac:dyDescent="0.25">
      <c r="A193" s="20"/>
      <c r="B193" s="20"/>
      <c r="C193" s="21" t="s">
        <v>171</v>
      </c>
      <c r="D193" s="29">
        <f>SUM(D188:D192)</f>
        <v>133878</v>
      </c>
      <c r="E193" s="29">
        <v>8343.1299999999992</v>
      </c>
      <c r="F193" s="29">
        <v>0</v>
      </c>
      <c r="G193" s="29">
        <v>49803.94</v>
      </c>
      <c r="H193" s="29">
        <v>84074.06</v>
      </c>
      <c r="I193" s="29">
        <v>37.200000000000003</v>
      </c>
      <c r="J193" s="27">
        <f>+K193-D193</f>
        <v>0</v>
      </c>
      <c r="K193" s="22">
        <f>SUM(K188:K192)</f>
        <v>133878</v>
      </c>
      <c r="L193" s="22">
        <f>SUM(L188:L192)</f>
        <v>142245.375</v>
      </c>
      <c r="M193" s="22">
        <f>SUM(M188:M192)</f>
        <v>152202.55124999999</v>
      </c>
      <c r="N193" s="22">
        <f>SUM(N188:N192)</f>
        <v>162856.7298375</v>
      </c>
    </row>
    <row r="194" spans="1:14" s="24" customFormat="1" x14ac:dyDescent="0.25">
      <c r="A194" s="20"/>
      <c r="B194" s="20"/>
      <c r="C194" s="21"/>
      <c r="D194" s="29"/>
      <c r="E194" s="29"/>
      <c r="F194" s="29"/>
      <c r="G194" s="29"/>
      <c r="H194" s="29"/>
      <c r="I194" s="29"/>
      <c r="J194" s="27"/>
      <c r="K194" s="27"/>
      <c r="L194" s="22"/>
      <c r="M194" s="22"/>
      <c r="N194" s="132"/>
    </row>
    <row r="195" spans="1:14" s="24" customFormat="1" x14ac:dyDescent="0.25">
      <c r="A195" s="20"/>
      <c r="B195" s="20"/>
      <c r="C195" s="21" t="s">
        <v>172</v>
      </c>
      <c r="D195" s="29"/>
      <c r="E195" s="29"/>
      <c r="F195" s="29"/>
      <c r="G195" s="29"/>
      <c r="H195" s="29"/>
      <c r="I195" s="29"/>
      <c r="J195" s="27"/>
      <c r="K195" s="27"/>
      <c r="L195" s="22"/>
      <c r="M195" s="22"/>
      <c r="N195" s="132"/>
    </row>
    <row r="196" spans="1:14" s="28" customFormat="1" ht="14.25" x14ac:dyDescent="0.2">
      <c r="A196" s="25"/>
      <c r="B196" s="25"/>
      <c r="C196" s="26"/>
      <c r="D196" s="23"/>
      <c r="E196" s="23"/>
      <c r="F196" s="23"/>
      <c r="G196" s="23"/>
      <c r="H196" s="23"/>
      <c r="I196" s="23"/>
      <c r="J196" s="27"/>
      <c r="K196" s="27"/>
      <c r="L196" s="27"/>
      <c r="M196" s="27"/>
      <c r="N196" s="133"/>
    </row>
    <row r="197" spans="1:14" s="28" customFormat="1" ht="14.25" x14ac:dyDescent="0.2">
      <c r="A197" s="25" t="s">
        <v>656</v>
      </c>
      <c r="B197" s="25"/>
      <c r="C197" s="26" t="s">
        <v>173</v>
      </c>
      <c r="D197" s="23">
        <f>VLOOKUP(A197,fin,3,FALSE)</f>
        <v>753</v>
      </c>
      <c r="E197" s="23">
        <v>91950.73</v>
      </c>
      <c r="F197" s="23">
        <v>0</v>
      </c>
      <c r="G197" s="23">
        <v>551704.38</v>
      </c>
      <c r="H197" s="23">
        <v>339403.62</v>
      </c>
      <c r="I197" s="23">
        <v>61.91</v>
      </c>
      <c r="J197" s="27">
        <f>+K197-D197</f>
        <v>0</v>
      </c>
      <c r="K197" s="27">
        <f>VLOOKUP(A197,fin,4,FALSE)</f>
        <v>753</v>
      </c>
      <c r="L197" s="27">
        <f t="shared" ref="L197:L199" si="59">K197*6.25/100+K197</f>
        <v>800.0625</v>
      </c>
      <c r="M197" s="27">
        <f t="shared" ref="M197:N199" si="60">L197*7/100+L197</f>
        <v>856.06687499999998</v>
      </c>
      <c r="N197" s="133">
        <f t="shared" si="60"/>
        <v>915.99155625000003</v>
      </c>
    </row>
    <row r="198" spans="1:14" s="28" customFormat="1" ht="14.25" x14ac:dyDescent="0.2">
      <c r="A198" s="25" t="s">
        <v>657</v>
      </c>
      <c r="B198" s="25"/>
      <c r="C198" s="26" t="s">
        <v>174</v>
      </c>
      <c r="D198" s="23">
        <f>VLOOKUP(A198,fin,3,FALSE)</f>
        <v>398</v>
      </c>
      <c r="E198" s="23">
        <v>91950.73</v>
      </c>
      <c r="F198" s="23">
        <v>0</v>
      </c>
      <c r="G198" s="23">
        <v>551704.38</v>
      </c>
      <c r="H198" s="23">
        <v>339403.62</v>
      </c>
      <c r="I198" s="23">
        <v>61.91</v>
      </c>
      <c r="J198" s="27">
        <f>+K198-D198</f>
        <v>0</v>
      </c>
      <c r="K198" s="27">
        <f>VLOOKUP(A198,fin,4,FALSE)</f>
        <v>398</v>
      </c>
      <c r="L198" s="27">
        <f t="shared" si="59"/>
        <v>422.875</v>
      </c>
      <c r="M198" s="27">
        <f t="shared" si="60"/>
        <v>452.47624999999999</v>
      </c>
      <c r="N198" s="133">
        <f t="shared" si="60"/>
        <v>484.1495875</v>
      </c>
    </row>
    <row r="199" spans="1:14" s="28" customFormat="1" ht="14.25" x14ac:dyDescent="0.2">
      <c r="A199" s="25" t="s">
        <v>658</v>
      </c>
      <c r="B199" s="25"/>
      <c r="C199" s="26" t="s">
        <v>175</v>
      </c>
      <c r="D199" s="23">
        <f>VLOOKUP(A199,fin,3,FALSE)</f>
        <v>2789</v>
      </c>
      <c r="E199" s="23">
        <v>91950.73</v>
      </c>
      <c r="F199" s="23">
        <v>0</v>
      </c>
      <c r="G199" s="23">
        <v>551704.38</v>
      </c>
      <c r="H199" s="23">
        <v>339403.62</v>
      </c>
      <c r="I199" s="23">
        <v>61.91</v>
      </c>
      <c r="J199" s="27">
        <f>+K199-D199</f>
        <v>0</v>
      </c>
      <c r="K199" s="27">
        <f>VLOOKUP(A199,fin,4,FALSE)</f>
        <v>2789</v>
      </c>
      <c r="L199" s="27">
        <f t="shared" si="59"/>
        <v>2963.3125</v>
      </c>
      <c r="M199" s="27">
        <f t="shared" si="60"/>
        <v>3170.7443750000002</v>
      </c>
      <c r="N199" s="133">
        <f t="shared" si="60"/>
        <v>3392.69648125</v>
      </c>
    </row>
    <row r="200" spans="1:14" s="28" customFormat="1" ht="14.25" x14ac:dyDescent="0.2">
      <c r="A200" s="25"/>
      <c r="B200" s="25"/>
      <c r="C200" s="26"/>
      <c r="D200" s="23"/>
      <c r="E200" s="23"/>
      <c r="F200" s="23"/>
      <c r="G200" s="23"/>
      <c r="H200" s="23"/>
      <c r="I200" s="23"/>
      <c r="J200" s="27"/>
      <c r="K200" s="27"/>
      <c r="L200" s="27"/>
      <c r="M200" s="27"/>
      <c r="N200" s="133"/>
    </row>
    <row r="201" spans="1:14" s="24" customFormat="1" x14ac:dyDescent="0.25">
      <c r="A201" s="20"/>
      <c r="B201" s="20"/>
      <c r="C201" s="21" t="s">
        <v>176</v>
      </c>
      <c r="D201" s="29">
        <f>SUM(D197:D200)</f>
        <v>3940</v>
      </c>
      <c r="E201" s="29">
        <v>0</v>
      </c>
      <c r="F201" s="29">
        <v>0</v>
      </c>
      <c r="G201" s="29">
        <v>0</v>
      </c>
      <c r="H201" s="29">
        <v>3940</v>
      </c>
      <c r="I201" s="29">
        <v>0</v>
      </c>
      <c r="J201" s="27">
        <f>+K201-D201</f>
        <v>0</v>
      </c>
      <c r="K201" s="22">
        <f>SUM(K197:K200)</f>
        <v>3940</v>
      </c>
      <c r="L201" s="22">
        <f>SUM(L197:L200)</f>
        <v>4186.25</v>
      </c>
      <c r="M201" s="22">
        <f>SUM(M197:M200)</f>
        <v>4479.2875000000004</v>
      </c>
      <c r="N201" s="22">
        <f>SUM(N197:N200)</f>
        <v>4792.8376250000001</v>
      </c>
    </row>
    <row r="202" spans="1:14" s="24" customFormat="1" x14ac:dyDescent="0.25">
      <c r="A202" s="20"/>
      <c r="B202" s="20"/>
      <c r="C202" s="21"/>
      <c r="D202" s="29"/>
      <c r="E202" s="29"/>
      <c r="F202" s="29"/>
      <c r="G202" s="29"/>
      <c r="H202" s="29"/>
      <c r="I202" s="29"/>
      <c r="J202" s="27"/>
      <c r="K202" s="22"/>
      <c r="L202" s="22"/>
      <c r="M202" s="22"/>
      <c r="N202" s="132"/>
    </row>
    <row r="203" spans="1:14" s="24" customFormat="1" x14ac:dyDescent="0.25">
      <c r="A203" s="20"/>
      <c r="B203" s="20"/>
      <c r="C203" s="21" t="s">
        <v>177</v>
      </c>
      <c r="D203" s="29">
        <f>+D184+D193+D201</f>
        <v>713397</v>
      </c>
      <c r="E203" s="29">
        <v>55661.37</v>
      </c>
      <c r="F203" s="29">
        <v>0</v>
      </c>
      <c r="G203" s="29">
        <v>319043.15000000002</v>
      </c>
      <c r="H203" s="29">
        <v>394353.85</v>
      </c>
      <c r="I203" s="29">
        <v>44.72</v>
      </c>
      <c r="J203" s="27">
        <f>+K203-D203</f>
        <v>-9276.9100000000326</v>
      </c>
      <c r="K203" s="22">
        <f>+K184+K193+K201</f>
        <v>704120.09</v>
      </c>
      <c r="L203" s="22">
        <f>+L184+L193+L201</f>
        <v>748127.59562500007</v>
      </c>
      <c r="M203" s="22">
        <f>+M184+M193+M201</f>
        <v>800496.52731874993</v>
      </c>
      <c r="N203" s="22">
        <f>+N184+N193+N201</f>
        <v>856531.28423106251</v>
      </c>
    </row>
    <row r="204" spans="1:14" s="24" customFormat="1" x14ac:dyDescent="0.25">
      <c r="A204" s="20"/>
      <c r="B204" s="20"/>
      <c r="C204" s="21"/>
      <c r="D204" s="29"/>
      <c r="E204" s="29"/>
      <c r="F204" s="29"/>
      <c r="G204" s="29"/>
      <c r="H204" s="29"/>
      <c r="I204" s="29"/>
      <c r="J204" s="27"/>
      <c r="K204" s="22"/>
      <c r="L204" s="22"/>
      <c r="M204" s="22"/>
      <c r="N204" s="132"/>
    </row>
    <row r="205" spans="1:14" s="24" customFormat="1" x14ac:dyDescent="0.25">
      <c r="A205" s="20"/>
      <c r="B205" s="20"/>
      <c r="C205" s="21" t="s">
        <v>178</v>
      </c>
      <c r="D205" s="29">
        <f>D203</f>
        <v>713397</v>
      </c>
      <c r="E205" s="29">
        <v>55661.37</v>
      </c>
      <c r="F205" s="29">
        <v>0</v>
      </c>
      <c r="G205" s="29">
        <v>319043.15000000002</v>
      </c>
      <c r="H205" s="29">
        <v>394353.85</v>
      </c>
      <c r="I205" s="29">
        <v>44.72</v>
      </c>
      <c r="J205" s="27">
        <f>+K205-D205</f>
        <v>-9276.9100000000326</v>
      </c>
      <c r="K205" s="22">
        <f>K203</f>
        <v>704120.09</v>
      </c>
      <c r="L205" s="22">
        <f>L203</f>
        <v>748127.59562500007</v>
      </c>
      <c r="M205" s="22">
        <f>M203</f>
        <v>800496.52731874993</v>
      </c>
      <c r="N205" s="22">
        <f>N203</f>
        <v>856531.28423106251</v>
      </c>
    </row>
    <row r="206" spans="1:14" s="24" customFormat="1" x14ac:dyDescent="0.25">
      <c r="A206" s="20"/>
      <c r="B206" s="20"/>
      <c r="C206" s="21"/>
      <c r="D206" s="29"/>
      <c r="E206" s="29"/>
      <c r="F206" s="29"/>
      <c r="G206" s="29"/>
      <c r="H206" s="29"/>
      <c r="I206" s="29"/>
      <c r="J206" s="27"/>
      <c r="K206" s="27"/>
      <c r="L206" s="22"/>
      <c r="M206" s="22"/>
      <c r="N206" s="132"/>
    </row>
    <row r="207" spans="1:14" s="24" customFormat="1" x14ac:dyDescent="0.25">
      <c r="A207" s="20"/>
      <c r="B207" s="20"/>
      <c r="C207" s="21" t="s">
        <v>241</v>
      </c>
      <c r="D207" s="29"/>
      <c r="E207" s="29"/>
      <c r="F207" s="29"/>
      <c r="G207" s="29"/>
      <c r="H207" s="29"/>
      <c r="I207" s="29"/>
      <c r="J207" s="27"/>
      <c r="K207" s="27"/>
      <c r="L207" s="22"/>
      <c r="M207" s="22"/>
      <c r="N207" s="132"/>
    </row>
    <row r="208" spans="1:14" s="28" customFormat="1" ht="14.25" x14ac:dyDescent="0.2">
      <c r="A208" s="25"/>
      <c r="B208" s="25"/>
      <c r="C208" s="26"/>
      <c r="D208" s="23"/>
      <c r="E208" s="23"/>
      <c r="F208" s="23"/>
      <c r="G208" s="23"/>
      <c r="H208" s="23"/>
      <c r="I208" s="23"/>
      <c r="J208" s="27"/>
      <c r="K208" s="27"/>
      <c r="L208" s="27"/>
      <c r="M208" s="27"/>
      <c r="N208" s="133"/>
    </row>
    <row r="209" spans="1:14" s="28" customFormat="1" ht="14.25" x14ac:dyDescent="0.2">
      <c r="A209" s="25" t="s">
        <v>659</v>
      </c>
      <c r="B209" s="25" t="s">
        <v>1363</v>
      </c>
      <c r="C209" s="26" t="s">
        <v>242</v>
      </c>
      <c r="D209" s="23">
        <f>VLOOKUP(A209,fin,3,FALSE)</f>
        <v>521759</v>
      </c>
      <c r="E209" s="23">
        <v>91950.73</v>
      </c>
      <c r="F209" s="23">
        <v>0</v>
      </c>
      <c r="G209" s="23">
        <v>551704.38</v>
      </c>
      <c r="H209" s="23">
        <v>339403.62</v>
      </c>
      <c r="I209" s="23">
        <v>61.91</v>
      </c>
      <c r="J209" s="27">
        <f>+K209-D209</f>
        <v>21280</v>
      </c>
      <c r="K209" s="27">
        <f>VLOOKUP(A209,fin,4,FALSE)</f>
        <v>543039</v>
      </c>
      <c r="L209" s="27">
        <v>553064</v>
      </c>
      <c r="M209" s="27">
        <v>582929</v>
      </c>
      <c r="N209" s="133">
        <v>620819</v>
      </c>
    </row>
    <row r="210" spans="1:14" s="185" customFormat="1" ht="14.25" x14ac:dyDescent="0.2">
      <c r="A210" s="182"/>
      <c r="B210" s="182"/>
      <c r="C210" s="183" t="s">
        <v>3054</v>
      </c>
      <c r="D210" s="222">
        <v>0</v>
      </c>
      <c r="E210" s="222"/>
      <c r="F210" s="222"/>
      <c r="G210" s="222"/>
      <c r="H210" s="222"/>
      <c r="I210" s="222"/>
      <c r="J210" s="184"/>
      <c r="K210" s="184"/>
      <c r="L210" s="184">
        <v>106000</v>
      </c>
      <c r="M210" s="184">
        <v>111724</v>
      </c>
      <c r="N210" s="221">
        <v>118986</v>
      </c>
    </row>
    <row r="211" spans="1:14" s="28" customFormat="1" ht="14.25" x14ac:dyDescent="0.2">
      <c r="A211" s="25" t="s">
        <v>660</v>
      </c>
      <c r="B211" s="25"/>
      <c r="C211" s="26" t="s">
        <v>260</v>
      </c>
      <c r="D211" s="23">
        <f>VLOOKUP(A211,fin,3,FALSE)</f>
        <v>1101000</v>
      </c>
      <c r="E211" s="23">
        <v>91950.73</v>
      </c>
      <c r="F211" s="23">
        <v>0</v>
      </c>
      <c r="G211" s="23">
        <v>551704.38</v>
      </c>
      <c r="H211" s="23">
        <v>339403.62</v>
      </c>
      <c r="I211" s="23">
        <v>61.91</v>
      </c>
      <c r="J211" s="27">
        <f>+K211-D211</f>
        <v>100000</v>
      </c>
      <c r="K211" s="27">
        <f>VLOOKUP(A211,fin,4,FALSE)</f>
        <v>1201000</v>
      </c>
      <c r="L211" s="27">
        <v>1167060</v>
      </c>
      <c r="M211" s="27">
        <v>1230081</v>
      </c>
      <c r="N211" s="133">
        <v>1310000</v>
      </c>
    </row>
    <row r="212" spans="1:14" s="28" customFormat="1" ht="14.25" x14ac:dyDescent="0.2">
      <c r="A212" s="25" t="s">
        <v>661</v>
      </c>
      <c r="B212" s="25"/>
      <c r="C212" s="26" t="s">
        <v>265</v>
      </c>
      <c r="D212" s="23">
        <f>VLOOKUP(A212,fin,3,FALSE)</f>
        <v>0</v>
      </c>
      <c r="E212" s="23">
        <v>91950.73</v>
      </c>
      <c r="F212" s="23">
        <v>0</v>
      </c>
      <c r="G212" s="23">
        <v>551704.38</v>
      </c>
      <c r="H212" s="23">
        <v>339403.62</v>
      </c>
      <c r="I212" s="23">
        <v>61.91</v>
      </c>
      <c r="J212" s="27">
        <f>+K212-D212</f>
        <v>6000</v>
      </c>
      <c r="K212" s="27">
        <f>VLOOKUP(A212,fin,4,FALSE)</f>
        <v>6000</v>
      </c>
      <c r="L212" s="27">
        <f t="shared" ref="L212:L213" si="61">K212*4.5/100+K212</f>
        <v>6270</v>
      </c>
      <c r="M212" s="27">
        <f t="shared" ref="M212:N212" si="62">L212*4.6/100+L212</f>
        <v>6558.42</v>
      </c>
      <c r="N212" s="133">
        <f t="shared" si="62"/>
        <v>6860.1073200000001</v>
      </c>
    </row>
    <row r="213" spans="1:14" s="28" customFormat="1" ht="14.25" x14ac:dyDescent="0.2">
      <c r="A213" s="25" t="s">
        <v>662</v>
      </c>
      <c r="B213" s="25" t="s">
        <v>1361</v>
      </c>
      <c r="C213" s="26" t="s">
        <v>268</v>
      </c>
      <c r="D213" s="23">
        <f>VLOOKUP(A213,fin,3,FALSE)</f>
        <v>0</v>
      </c>
      <c r="E213" s="23">
        <v>91950.73</v>
      </c>
      <c r="F213" s="23">
        <v>0</v>
      </c>
      <c r="G213" s="23">
        <v>551704.38</v>
      </c>
      <c r="H213" s="23">
        <v>339403.62</v>
      </c>
      <c r="I213" s="23">
        <v>61.91</v>
      </c>
      <c r="J213" s="27">
        <f>+K213-D213</f>
        <v>40000</v>
      </c>
      <c r="K213" s="27">
        <f>VLOOKUP(A213,fin,4,FALSE)</f>
        <v>40000</v>
      </c>
      <c r="L213" s="27">
        <f t="shared" si="61"/>
        <v>41800</v>
      </c>
      <c r="M213" s="27">
        <f t="shared" ref="M213:N213" si="63">L213*4.6/100+L213</f>
        <v>43722.8</v>
      </c>
      <c r="N213" s="133">
        <f t="shared" si="63"/>
        <v>45734.048800000004</v>
      </c>
    </row>
    <row r="214" spans="1:14" s="28" customFormat="1" ht="14.25" x14ac:dyDescent="0.2">
      <c r="A214" s="25"/>
      <c r="B214" s="25"/>
      <c r="C214" s="26"/>
      <c r="D214" s="23"/>
      <c r="E214" s="23"/>
      <c r="F214" s="23"/>
      <c r="G214" s="23"/>
      <c r="H214" s="23"/>
      <c r="I214" s="23"/>
      <c r="J214" s="27"/>
      <c r="K214" s="27"/>
      <c r="L214" s="27"/>
      <c r="M214" s="27"/>
      <c r="N214" s="133"/>
    </row>
    <row r="215" spans="1:14" s="24" customFormat="1" x14ac:dyDescent="0.25">
      <c r="A215" s="20"/>
      <c r="B215" s="20"/>
      <c r="C215" s="21" t="s">
        <v>274</v>
      </c>
      <c r="D215" s="29">
        <f>SUM(D209:D214)</f>
        <v>1622759</v>
      </c>
      <c r="E215" s="29">
        <f>SUM(E209:E214)</f>
        <v>367802.92</v>
      </c>
      <c r="F215" s="29">
        <f>SUM(F209:F214)</f>
        <v>0</v>
      </c>
      <c r="G215" s="29">
        <f>SUM(G209:G214)</f>
        <v>2206817.52</v>
      </c>
      <c r="H215" s="29">
        <f>SUM(H209:H214)</f>
        <v>1357614.48</v>
      </c>
      <c r="I215" s="29">
        <v>44.49</v>
      </c>
      <c r="J215" s="27">
        <f>+K215-D215</f>
        <v>167280</v>
      </c>
      <c r="K215" s="22">
        <f>SUM(K209:K214)</f>
        <v>1790039</v>
      </c>
      <c r="L215" s="22">
        <f>SUM(L209:L214)</f>
        <v>1874194</v>
      </c>
      <c r="M215" s="22">
        <f>SUM(M209:M214)</f>
        <v>1975015.22</v>
      </c>
      <c r="N215" s="22">
        <f>SUM(N209:N214)</f>
        <v>2102399.1561199999</v>
      </c>
    </row>
    <row r="216" spans="1:14" s="24" customFormat="1" x14ac:dyDescent="0.25">
      <c r="A216" s="20"/>
      <c r="B216" s="20"/>
      <c r="C216" s="21"/>
      <c r="D216" s="29"/>
      <c r="E216" s="29"/>
      <c r="F216" s="29"/>
      <c r="G216" s="29"/>
      <c r="H216" s="29"/>
      <c r="I216" s="29"/>
      <c r="J216" s="27"/>
      <c r="K216" s="27"/>
      <c r="L216" s="22"/>
      <c r="M216" s="22"/>
      <c r="N216" s="132"/>
    </row>
    <row r="217" spans="1:14" s="24" customFormat="1" x14ac:dyDescent="0.25">
      <c r="A217" s="20"/>
      <c r="B217" s="20"/>
      <c r="C217" s="21" t="s">
        <v>305</v>
      </c>
      <c r="D217" s="29">
        <f>+D205+D215</f>
        <v>2336156</v>
      </c>
      <c r="E217" s="29">
        <f>E205+E215</f>
        <v>423464.29</v>
      </c>
      <c r="F217" s="29">
        <f>F205+F215</f>
        <v>0</v>
      </c>
      <c r="G217" s="29">
        <f>G205+G215</f>
        <v>2525860.67</v>
      </c>
      <c r="H217" s="29">
        <f>H205+H215</f>
        <v>1751968.33</v>
      </c>
      <c r="I217" s="29">
        <v>44.49</v>
      </c>
      <c r="J217" s="27">
        <f>+K217-D217</f>
        <v>158003.08999999985</v>
      </c>
      <c r="K217" s="22">
        <f>+K205+K215</f>
        <v>2494159.09</v>
      </c>
      <c r="L217" s="22">
        <f>+L205+L215</f>
        <v>2622321.5956250001</v>
      </c>
      <c r="M217" s="22">
        <f>+M205+M215</f>
        <v>2775511.7473187498</v>
      </c>
      <c r="N217" s="22">
        <f>+N205+N215</f>
        <v>2958930.4403510625</v>
      </c>
    </row>
    <row r="218" spans="1:14" s="24" customFormat="1" x14ac:dyDescent="0.25">
      <c r="A218" s="20"/>
      <c r="B218" s="20"/>
      <c r="C218" s="21"/>
      <c r="D218" s="29"/>
      <c r="E218" s="29"/>
      <c r="F218" s="29"/>
      <c r="G218" s="29"/>
      <c r="H218" s="29"/>
      <c r="I218" s="29"/>
      <c r="J218" s="27"/>
      <c r="K218" s="27"/>
      <c r="L218" s="22"/>
      <c r="M218" s="22"/>
      <c r="N218" s="132"/>
    </row>
    <row r="219" spans="1:14" s="24" customFormat="1" x14ac:dyDescent="0.25">
      <c r="A219" s="20"/>
      <c r="B219" s="20"/>
      <c r="C219" s="21" t="s">
        <v>306</v>
      </c>
      <c r="D219" s="29">
        <f>D217</f>
        <v>2336156</v>
      </c>
      <c r="E219" s="29">
        <f t="shared" ref="E219:N219" si="64">E217</f>
        <v>423464.29</v>
      </c>
      <c r="F219" s="29">
        <f t="shared" si="64"/>
        <v>0</v>
      </c>
      <c r="G219" s="29">
        <f t="shared" si="64"/>
        <v>2525860.67</v>
      </c>
      <c r="H219" s="29">
        <f t="shared" si="64"/>
        <v>1751968.33</v>
      </c>
      <c r="I219" s="29">
        <v>44.49</v>
      </c>
      <c r="J219" s="27">
        <f>+K219-D219</f>
        <v>158003.08999999985</v>
      </c>
      <c r="K219" s="22">
        <f t="shared" si="64"/>
        <v>2494159.09</v>
      </c>
      <c r="L219" s="22">
        <f t="shared" si="64"/>
        <v>2622321.5956250001</v>
      </c>
      <c r="M219" s="22">
        <f t="shared" si="64"/>
        <v>2775511.7473187498</v>
      </c>
      <c r="N219" s="22">
        <f t="shared" si="64"/>
        <v>2958930.4403510625</v>
      </c>
    </row>
    <row r="220" spans="1:14" s="24" customFormat="1" x14ac:dyDescent="0.25">
      <c r="A220" s="20"/>
      <c r="B220" s="20"/>
      <c r="C220" s="21"/>
      <c r="D220" s="29"/>
      <c r="E220" s="29"/>
      <c r="F220" s="29"/>
      <c r="G220" s="29"/>
      <c r="H220" s="29"/>
      <c r="I220" s="29"/>
      <c r="J220" s="27"/>
      <c r="K220" s="27"/>
      <c r="L220" s="22"/>
      <c r="M220" s="22"/>
      <c r="N220" s="132"/>
    </row>
    <row r="221" spans="1:14" s="24" customFormat="1" x14ac:dyDescent="0.25">
      <c r="A221" s="20"/>
      <c r="B221" s="20"/>
      <c r="C221" s="21" t="s">
        <v>308</v>
      </c>
      <c r="D221" s="22"/>
      <c r="E221" s="22"/>
      <c r="F221" s="22"/>
      <c r="G221" s="22"/>
      <c r="H221" s="22"/>
      <c r="I221" s="23"/>
      <c r="J221" s="27"/>
      <c r="K221" s="27"/>
      <c r="L221" s="27"/>
      <c r="M221" s="22"/>
      <c r="N221" s="132"/>
    </row>
    <row r="222" spans="1:14" s="28" customFormat="1" ht="14.25" x14ac:dyDescent="0.2">
      <c r="A222" s="25"/>
      <c r="B222" s="25"/>
      <c r="C222" s="26"/>
      <c r="D222" s="27"/>
      <c r="E222" s="27"/>
      <c r="F222" s="27"/>
      <c r="G222" s="27"/>
      <c r="H222" s="27"/>
      <c r="I222" s="23"/>
      <c r="J222" s="27"/>
      <c r="K222" s="27"/>
      <c r="L222" s="27"/>
      <c r="M222" s="27"/>
      <c r="N222" s="133"/>
    </row>
    <row r="223" spans="1:14" s="185" customFormat="1" ht="14.25" x14ac:dyDescent="0.2">
      <c r="A223" s="182" t="s">
        <v>1579</v>
      </c>
      <c r="B223" s="182" t="s">
        <v>3050</v>
      </c>
      <c r="C223" s="183" t="s">
        <v>1342</v>
      </c>
      <c r="D223" s="222">
        <v>150000</v>
      </c>
      <c r="E223" s="222">
        <v>91950.73</v>
      </c>
      <c r="F223" s="222">
        <v>0</v>
      </c>
      <c r="G223" s="222">
        <v>551704.38</v>
      </c>
      <c r="H223" s="222">
        <v>339403.62</v>
      </c>
      <c r="I223" s="222">
        <v>61.91</v>
      </c>
      <c r="J223" s="184">
        <f>+K223-D223</f>
        <v>0</v>
      </c>
      <c r="K223" s="184">
        <f>VLOOKUP(A223,fin,4,FALSE)</f>
        <v>150000</v>
      </c>
      <c r="L223" s="184">
        <v>150000</v>
      </c>
      <c r="M223" s="184">
        <v>150000</v>
      </c>
      <c r="N223" s="221">
        <v>0</v>
      </c>
    </row>
    <row r="224" spans="1:14" s="28" customFormat="1" x14ac:dyDescent="0.25">
      <c r="A224" t="s">
        <v>2620</v>
      </c>
      <c r="B224" s="25"/>
      <c r="C224" s="26"/>
      <c r="D224" s="27"/>
      <c r="E224" s="27"/>
      <c r="F224" s="27"/>
      <c r="G224" s="27"/>
      <c r="H224" s="27"/>
      <c r="I224" s="23"/>
      <c r="J224" s="27"/>
      <c r="K224" s="27"/>
      <c r="L224" s="27"/>
      <c r="M224" s="27"/>
      <c r="N224" s="133"/>
    </row>
    <row r="225" spans="1:14" s="24" customFormat="1" x14ac:dyDescent="0.25">
      <c r="A225" s="20"/>
      <c r="B225" s="20"/>
      <c r="C225" s="21" t="s">
        <v>320</v>
      </c>
      <c r="D225" s="22">
        <f>SUM(D223:D224)</f>
        <v>150000</v>
      </c>
      <c r="E225" s="22">
        <f>SUM(E223:E224)</f>
        <v>91950.73</v>
      </c>
      <c r="F225" s="22">
        <f>SUM(F223:F224)</f>
        <v>0</v>
      </c>
      <c r="G225" s="22">
        <f>SUM(G223:G224)</f>
        <v>551704.38</v>
      </c>
      <c r="H225" s="22">
        <f>SUM(H223:H224)</f>
        <v>339403.62</v>
      </c>
      <c r="I225" s="29">
        <v>0</v>
      </c>
      <c r="J225" s="27">
        <f>+K225-D225</f>
        <v>0</v>
      </c>
      <c r="K225" s="22">
        <f>SUM(K223:K224)</f>
        <v>150000</v>
      </c>
      <c r="L225" s="22">
        <f>SUM(L223:L224)</f>
        <v>150000</v>
      </c>
      <c r="M225" s="22">
        <f>SUM(M223:M224)</f>
        <v>150000</v>
      </c>
      <c r="N225" s="22">
        <f>SUM(N223:N224)</f>
        <v>0</v>
      </c>
    </row>
    <row r="226" spans="1:14" s="24" customFormat="1" x14ac:dyDescent="0.25">
      <c r="A226" s="20"/>
      <c r="B226" s="20"/>
      <c r="C226" s="21"/>
      <c r="D226" s="22"/>
      <c r="E226" s="22"/>
      <c r="F226" s="22"/>
      <c r="G226" s="22"/>
      <c r="H226" s="22"/>
      <c r="I226" s="29"/>
      <c r="J226" s="27"/>
      <c r="K226" s="22"/>
      <c r="L226" s="22"/>
      <c r="M226" s="22"/>
      <c r="N226" s="132"/>
    </row>
    <row r="227" spans="1:14" s="24" customFormat="1" x14ac:dyDescent="0.25">
      <c r="A227" s="20"/>
      <c r="B227" s="20"/>
      <c r="C227" s="21" t="s">
        <v>663</v>
      </c>
      <c r="D227" s="29"/>
      <c r="E227" s="29"/>
      <c r="F227" s="29"/>
      <c r="G227" s="29"/>
      <c r="H227" s="29"/>
      <c r="I227" s="29"/>
      <c r="J227" s="27"/>
      <c r="K227" s="27"/>
      <c r="L227" s="22"/>
      <c r="M227" s="22"/>
      <c r="N227" s="132"/>
    </row>
    <row r="228" spans="1:14" s="24" customFormat="1" x14ac:dyDescent="0.25">
      <c r="A228" s="20"/>
      <c r="B228" s="20"/>
      <c r="C228" s="21" t="s">
        <v>96</v>
      </c>
      <c r="D228" s="29"/>
      <c r="E228" s="29"/>
      <c r="F228" s="29"/>
      <c r="G228" s="29"/>
      <c r="H228" s="29"/>
      <c r="I228" s="29"/>
      <c r="J228" s="27"/>
      <c r="K228" s="27"/>
      <c r="L228" s="22"/>
      <c r="M228" s="22"/>
      <c r="N228" s="132"/>
    </row>
    <row r="229" spans="1:14" s="24" customFormat="1" x14ac:dyDescent="0.25">
      <c r="A229" s="20"/>
      <c r="B229" s="20"/>
      <c r="C229" s="21" t="s">
        <v>97</v>
      </c>
      <c r="D229" s="29"/>
      <c r="E229" s="29"/>
      <c r="F229" s="29"/>
      <c r="G229" s="29"/>
      <c r="H229" s="29"/>
      <c r="I229" s="29"/>
      <c r="J229" s="27"/>
      <c r="K229" s="27"/>
      <c r="L229" s="22"/>
      <c r="M229" s="22"/>
      <c r="N229" s="132"/>
    </row>
    <row r="230" spans="1:14" s="24" customFormat="1" x14ac:dyDescent="0.25">
      <c r="A230" s="20"/>
      <c r="B230" s="20"/>
      <c r="C230" s="21" t="s">
        <v>148</v>
      </c>
      <c r="D230" s="29"/>
      <c r="E230" s="29"/>
      <c r="F230" s="29"/>
      <c r="G230" s="29"/>
      <c r="H230" s="29"/>
      <c r="I230" s="29"/>
      <c r="J230" s="27"/>
      <c r="K230" s="27"/>
      <c r="L230" s="22"/>
      <c r="M230" s="22"/>
      <c r="N230" s="132"/>
    </row>
    <row r="231" spans="1:14" s="24" customFormat="1" x14ac:dyDescent="0.25">
      <c r="A231" s="20"/>
      <c r="B231" s="20"/>
      <c r="C231" s="21" t="s">
        <v>149</v>
      </c>
      <c r="D231" s="29"/>
      <c r="E231" s="29"/>
      <c r="F231" s="29"/>
      <c r="G231" s="29"/>
      <c r="H231" s="29"/>
      <c r="I231" s="29"/>
      <c r="J231" s="27"/>
      <c r="K231" s="27"/>
      <c r="L231" s="22"/>
      <c r="M231" s="22"/>
      <c r="N231" s="132"/>
    </row>
    <row r="232" spans="1:14" s="28" customFormat="1" ht="14.25" x14ac:dyDescent="0.2">
      <c r="A232" s="25"/>
      <c r="B232" s="25"/>
      <c r="C232" s="26"/>
      <c r="D232" s="23"/>
      <c r="E232" s="23"/>
      <c r="F232" s="23"/>
      <c r="G232" s="23"/>
      <c r="H232" s="23"/>
      <c r="I232" s="23"/>
      <c r="J232" s="27"/>
      <c r="K232" s="27"/>
      <c r="L232" s="27"/>
      <c r="M232" s="27"/>
      <c r="N232" s="133"/>
    </row>
    <row r="233" spans="1:14" s="28" customFormat="1" ht="14.25" x14ac:dyDescent="0.2">
      <c r="A233" s="25" t="s">
        <v>664</v>
      </c>
      <c r="B233" s="25"/>
      <c r="C233" s="26" t="s">
        <v>150</v>
      </c>
      <c r="D233" s="23">
        <f t="shared" ref="D233:D241" si="65">VLOOKUP(A233,fin,3,FALSE)</f>
        <v>853944</v>
      </c>
      <c r="E233" s="23">
        <v>91950.73</v>
      </c>
      <c r="F233" s="23">
        <v>0</v>
      </c>
      <c r="G233" s="23">
        <v>551704.38</v>
      </c>
      <c r="H233" s="23">
        <v>339403.62</v>
      </c>
      <c r="I233" s="23">
        <v>61.91</v>
      </c>
      <c r="J233" s="27">
        <f t="shared" ref="J233:J241" si="66">+K233-D233</f>
        <v>0</v>
      </c>
      <c r="K233" s="27">
        <f t="shared" ref="K233:K241" si="67">VLOOKUP(A233,fin,4,FALSE)</f>
        <v>853944</v>
      </c>
      <c r="L233" s="27">
        <f t="shared" ref="L233:L241" si="68">K233*6.25/100+K233</f>
        <v>907315.5</v>
      </c>
      <c r="M233" s="27">
        <f t="shared" ref="M233:N241" si="69">L233*7/100+L233</f>
        <v>970827.58499999996</v>
      </c>
      <c r="N233" s="133">
        <f t="shared" si="69"/>
        <v>1038785.5159499999</v>
      </c>
    </row>
    <row r="234" spans="1:14" s="28" customFormat="1" ht="14.25" x14ac:dyDescent="0.2">
      <c r="A234" s="25" t="s">
        <v>665</v>
      </c>
      <c r="B234" s="25"/>
      <c r="C234" s="26" t="s">
        <v>151</v>
      </c>
      <c r="D234" s="23">
        <f t="shared" si="65"/>
        <v>42697</v>
      </c>
      <c r="E234" s="23">
        <v>91950.73</v>
      </c>
      <c r="F234" s="23">
        <v>0</v>
      </c>
      <c r="G234" s="23">
        <v>551704.38</v>
      </c>
      <c r="H234" s="23">
        <v>339403.62</v>
      </c>
      <c r="I234" s="23">
        <v>61.91</v>
      </c>
      <c r="J234" s="27">
        <f t="shared" si="66"/>
        <v>-34229.909999999996</v>
      </c>
      <c r="K234" s="27">
        <f t="shared" si="67"/>
        <v>8467.0900000000038</v>
      </c>
      <c r="L234" s="27">
        <f t="shared" si="68"/>
        <v>8996.2831250000036</v>
      </c>
      <c r="M234" s="27">
        <f t="shared" si="69"/>
        <v>9626.0229437500038</v>
      </c>
      <c r="N234" s="133">
        <f t="shared" si="69"/>
        <v>10299.844549812504</v>
      </c>
    </row>
    <row r="235" spans="1:14" s="28" customFormat="1" ht="14.25" x14ac:dyDescent="0.2">
      <c r="A235" s="25" t="s">
        <v>666</v>
      </c>
      <c r="B235" s="25"/>
      <c r="C235" s="26" t="s">
        <v>152</v>
      </c>
      <c r="D235" s="23">
        <f t="shared" si="65"/>
        <v>24000</v>
      </c>
      <c r="E235" s="23">
        <v>91950.73</v>
      </c>
      <c r="F235" s="23">
        <v>0</v>
      </c>
      <c r="G235" s="23">
        <v>551704.38</v>
      </c>
      <c r="H235" s="23">
        <v>339403.62</v>
      </c>
      <c r="I235" s="23">
        <v>61.91</v>
      </c>
      <c r="J235" s="27">
        <f t="shared" si="66"/>
        <v>0</v>
      </c>
      <c r="K235" s="27">
        <f t="shared" si="67"/>
        <v>24000</v>
      </c>
      <c r="L235" s="27">
        <f t="shared" si="68"/>
        <v>25500</v>
      </c>
      <c r="M235" s="27">
        <f t="shared" si="69"/>
        <v>27285</v>
      </c>
      <c r="N235" s="133">
        <f t="shared" si="69"/>
        <v>29194.95</v>
      </c>
    </row>
    <row r="236" spans="1:14" s="28" customFormat="1" ht="14.25" x14ac:dyDescent="0.2">
      <c r="A236" s="25" t="s">
        <v>667</v>
      </c>
      <c r="B236" s="25"/>
      <c r="C236" s="26" t="s">
        <v>153</v>
      </c>
      <c r="D236" s="23">
        <f t="shared" si="65"/>
        <v>21786</v>
      </c>
      <c r="E236" s="23">
        <v>91950.73</v>
      </c>
      <c r="F236" s="23">
        <v>0</v>
      </c>
      <c r="G236" s="23">
        <v>551704.38</v>
      </c>
      <c r="H236" s="23">
        <v>339403.62</v>
      </c>
      <c r="I236" s="23">
        <v>61.91</v>
      </c>
      <c r="J236" s="27">
        <f t="shared" si="66"/>
        <v>0</v>
      </c>
      <c r="K236" s="27">
        <f t="shared" si="67"/>
        <v>21786</v>
      </c>
      <c r="L236" s="27">
        <f t="shared" si="68"/>
        <v>23147.625</v>
      </c>
      <c r="M236" s="27">
        <f t="shared" si="69"/>
        <v>24767.958750000002</v>
      </c>
      <c r="N236" s="133">
        <f t="shared" si="69"/>
        <v>26501.715862500001</v>
      </c>
    </row>
    <row r="237" spans="1:14" s="28" customFormat="1" ht="14.25" x14ac:dyDescent="0.2">
      <c r="A237" s="25" t="s">
        <v>668</v>
      </c>
      <c r="B237" s="25"/>
      <c r="C237" s="26" t="s">
        <v>155</v>
      </c>
      <c r="D237" s="23">
        <f t="shared" si="65"/>
        <v>20806</v>
      </c>
      <c r="E237" s="23">
        <v>91950.73</v>
      </c>
      <c r="F237" s="23">
        <v>0</v>
      </c>
      <c r="G237" s="23">
        <v>551704.38</v>
      </c>
      <c r="H237" s="23">
        <v>339403.62</v>
      </c>
      <c r="I237" s="23">
        <v>61.91</v>
      </c>
      <c r="J237" s="27">
        <f t="shared" si="66"/>
        <v>0</v>
      </c>
      <c r="K237" s="27">
        <f t="shared" si="67"/>
        <v>20806</v>
      </c>
      <c r="L237" s="27">
        <f t="shared" si="68"/>
        <v>22106.375</v>
      </c>
      <c r="M237" s="27">
        <f t="shared" si="69"/>
        <v>23653.821250000001</v>
      </c>
      <c r="N237" s="133">
        <f t="shared" si="69"/>
        <v>25309.588737500002</v>
      </c>
    </row>
    <row r="238" spans="1:14" s="28" customFormat="1" ht="14.25" x14ac:dyDescent="0.2">
      <c r="A238" s="25" t="s">
        <v>669</v>
      </c>
      <c r="B238" s="25"/>
      <c r="C238" s="26" t="s">
        <v>156</v>
      </c>
      <c r="D238" s="23">
        <f t="shared" si="65"/>
        <v>156750</v>
      </c>
      <c r="E238" s="23">
        <v>91950.73</v>
      </c>
      <c r="F238" s="23">
        <v>0</v>
      </c>
      <c r="G238" s="23">
        <v>551704.38</v>
      </c>
      <c r="H238" s="23">
        <v>339403.62</v>
      </c>
      <c r="I238" s="23">
        <v>61.91</v>
      </c>
      <c r="J238" s="27">
        <f t="shared" si="66"/>
        <v>0</v>
      </c>
      <c r="K238" s="27">
        <f t="shared" si="67"/>
        <v>156750</v>
      </c>
      <c r="L238" s="27">
        <f t="shared" si="68"/>
        <v>166546.875</v>
      </c>
      <c r="M238" s="27">
        <f t="shared" si="69"/>
        <v>178205.15625</v>
      </c>
      <c r="N238" s="133">
        <f t="shared" si="69"/>
        <v>190679.51718749999</v>
      </c>
    </row>
    <row r="239" spans="1:14" s="28" customFormat="1" ht="14.25" x14ac:dyDescent="0.2">
      <c r="A239" s="25" t="s">
        <v>670</v>
      </c>
      <c r="B239" s="25"/>
      <c r="C239" s="26" t="s">
        <v>158</v>
      </c>
      <c r="D239" s="23">
        <f t="shared" si="65"/>
        <v>12540</v>
      </c>
      <c r="E239" s="23">
        <v>91950.73</v>
      </c>
      <c r="F239" s="23">
        <v>0</v>
      </c>
      <c r="G239" s="23">
        <v>551704.38</v>
      </c>
      <c r="H239" s="23">
        <v>339403.62</v>
      </c>
      <c r="I239" s="23">
        <v>61.91</v>
      </c>
      <c r="J239" s="27">
        <f t="shared" si="66"/>
        <v>0</v>
      </c>
      <c r="K239" s="27">
        <f t="shared" si="67"/>
        <v>12540</v>
      </c>
      <c r="L239" s="27">
        <f t="shared" si="68"/>
        <v>13323.75</v>
      </c>
      <c r="M239" s="27">
        <f t="shared" si="69"/>
        <v>14256.4125</v>
      </c>
      <c r="N239" s="133">
        <f t="shared" si="69"/>
        <v>15254.361375</v>
      </c>
    </row>
    <row r="240" spans="1:14" s="28" customFormat="1" ht="14.25" x14ac:dyDescent="0.2">
      <c r="A240" s="25" t="s">
        <v>671</v>
      </c>
      <c r="B240" s="25"/>
      <c r="C240" s="26" t="s">
        <v>159</v>
      </c>
      <c r="D240" s="23">
        <f t="shared" si="65"/>
        <v>71162</v>
      </c>
      <c r="E240" s="23">
        <v>91950.73</v>
      </c>
      <c r="F240" s="23">
        <v>0</v>
      </c>
      <c r="G240" s="23">
        <v>551704.38</v>
      </c>
      <c r="H240" s="23">
        <v>339403.62</v>
      </c>
      <c r="I240" s="23">
        <v>61.91</v>
      </c>
      <c r="J240" s="27">
        <f t="shared" si="66"/>
        <v>0</v>
      </c>
      <c r="K240" s="27">
        <f t="shared" si="67"/>
        <v>71162</v>
      </c>
      <c r="L240" s="27">
        <f t="shared" si="68"/>
        <v>75609.625</v>
      </c>
      <c r="M240" s="27">
        <f t="shared" si="69"/>
        <v>80902.298750000002</v>
      </c>
      <c r="N240" s="133">
        <f t="shared" si="69"/>
        <v>86565.459662499998</v>
      </c>
    </row>
    <row r="241" spans="1:14" s="28" customFormat="1" ht="14.25" x14ac:dyDescent="0.2">
      <c r="A241" s="25" t="s">
        <v>672</v>
      </c>
      <c r="B241" s="25"/>
      <c r="C241" s="26" t="s">
        <v>164</v>
      </c>
      <c r="D241" s="23">
        <f t="shared" si="65"/>
        <v>15692</v>
      </c>
      <c r="E241" s="23">
        <v>91950.73</v>
      </c>
      <c r="F241" s="23">
        <v>0</v>
      </c>
      <c r="G241" s="23">
        <v>551704.38</v>
      </c>
      <c r="H241" s="23">
        <v>339403.62</v>
      </c>
      <c r="I241" s="23">
        <v>61.91</v>
      </c>
      <c r="J241" s="27">
        <f t="shared" si="66"/>
        <v>0</v>
      </c>
      <c r="K241" s="27">
        <f t="shared" si="67"/>
        <v>15692</v>
      </c>
      <c r="L241" s="27">
        <f t="shared" si="68"/>
        <v>16672.75</v>
      </c>
      <c r="M241" s="27">
        <f t="shared" si="69"/>
        <v>17839.842499999999</v>
      </c>
      <c r="N241" s="133">
        <f t="shared" si="69"/>
        <v>19088.631474999998</v>
      </c>
    </row>
    <row r="242" spans="1:14" s="28" customFormat="1" ht="14.25" x14ac:dyDescent="0.2">
      <c r="A242" s="25"/>
      <c r="B242" s="25"/>
      <c r="C242" s="26"/>
      <c r="D242" s="23"/>
      <c r="E242" s="23"/>
      <c r="F242" s="23"/>
      <c r="G242" s="23"/>
      <c r="H242" s="23"/>
      <c r="I242" s="23"/>
      <c r="J242" s="27"/>
      <c r="K242" s="27"/>
      <c r="L242" s="27"/>
      <c r="M242" s="27"/>
      <c r="N242" s="133"/>
    </row>
    <row r="243" spans="1:14" s="24" customFormat="1" x14ac:dyDescent="0.25">
      <c r="A243" s="20"/>
      <c r="B243" s="20"/>
      <c r="C243" s="21" t="s">
        <v>165</v>
      </c>
      <c r="D243" s="29">
        <f>SUM(D233:D242)</f>
        <v>1219377</v>
      </c>
      <c r="E243" s="29">
        <v>129695.66</v>
      </c>
      <c r="F243" s="29">
        <v>0</v>
      </c>
      <c r="G243" s="29">
        <v>475809.41</v>
      </c>
      <c r="H243" s="29">
        <v>743567.59</v>
      </c>
      <c r="I243" s="29">
        <v>39.020000000000003</v>
      </c>
      <c r="J243" s="27">
        <f>+K243-D243</f>
        <v>-34229.910000000149</v>
      </c>
      <c r="K243" s="22">
        <f>SUM(K233:K242)</f>
        <v>1185147.0899999999</v>
      </c>
      <c r="L243" s="22">
        <f>SUM(L233:L242)</f>
        <v>1259218.7831250001</v>
      </c>
      <c r="M243" s="22">
        <f>SUM(M233:M242)</f>
        <v>1347364.0979437502</v>
      </c>
      <c r="N243" s="22">
        <f>SUM(N233:N242)</f>
        <v>1441679.5847998124</v>
      </c>
    </row>
    <row r="244" spans="1:14" s="24" customFormat="1" x14ac:dyDescent="0.25">
      <c r="A244" s="20"/>
      <c r="B244" s="20"/>
      <c r="C244" s="21"/>
      <c r="D244" s="29"/>
      <c r="E244" s="29"/>
      <c r="F244" s="29"/>
      <c r="G244" s="29"/>
      <c r="H244" s="29"/>
      <c r="I244" s="29"/>
      <c r="J244" s="27"/>
      <c r="K244" s="27"/>
      <c r="L244" s="22"/>
      <c r="M244" s="22"/>
      <c r="N244" s="132"/>
    </row>
    <row r="245" spans="1:14" s="24" customFormat="1" x14ac:dyDescent="0.25">
      <c r="A245" s="20"/>
      <c r="B245" s="20"/>
      <c r="C245" s="21" t="s">
        <v>166</v>
      </c>
      <c r="D245" s="29"/>
      <c r="E245" s="29"/>
      <c r="F245" s="29"/>
      <c r="G245" s="29"/>
      <c r="H245" s="29"/>
      <c r="I245" s="29"/>
      <c r="J245" s="27"/>
      <c r="K245" s="27"/>
      <c r="L245" s="22"/>
      <c r="M245" s="22"/>
      <c r="N245" s="132"/>
    </row>
    <row r="246" spans="1:14" s="28" customFormat="1" ht="14.25" x14ac:dyDescent="0.2">
      <c r="A246" s="25"/>
      <c r="B246" s="25"/>
      <c r="C246" s="26"/>
      <c r="D246" s="23"/>
      <c r="E246" s="23"/>
      <c r="F246" s="23"/>
      <c r="G246" s="23"/>
      <c r="H246" s="23"/>
      <c r="I246" s="23"/>
      <c r="J246" s="27"/>
      <c r="K246" s="27"/>
      <c r="L246" s="27"/>
      <c r="M246" s="27"/>
      <c r="N246" s="133"/>
    </row>
    <row r="247" spans="1:14" s="28" customFormat="1" ht="14.25" x14ac:dyDescent="0.2">
      <c r="A247" s="25" t="s">
        <v>673</v>
      </c>
      <c r="B247" s="25"/>
      <c r="C247" s="26" t="s">
        <v>167</v>
      </c>
      <c r="D247" s="23">
        <f>VLOOKUP(A247,fin,3,FALSE)</f>
        <v>224</v>
      </c>
      <c r="E247" s="23">
        <v>91950.73</v>
      </c>
      <c r="F247" s="23">
        <v>0</v>
      </c>
      <c r="G247" s="23">
        <v>551704.38</v>
      </c>
      <c r="H247" s="23">
        <v>339403.62</v>
      </c>
      <c r="I247" s="23">
        <v>61.91</v>
      </c>
      <c r="J247" s="27">
        <f>+K247-D247</f>
        <v>0</v>
      </c>
      <c r="K247" s="27">
        <f>VLOOKUP(A247,fin,4,FALSE)</f>
        <v>224</v>
      </c>
      <c r="L247" s="27">
        <f t="shared" ref="L247:L250" si="70">K247*6.25/100+K247</f>
        <v>238</v>
      </c>
      <c r="M247" s="27">
        <f t="shared" ref="M247:N250" si="71">L247*7/100+L247</f>
        <v>254.66</v>
      </c>
      <c r="N247" s="133">
        <f t="shared" si="71"/>
        <v>272.4862</v>
      </c>
    </row>
    <row r="248" spans="1:14" s="28" customFormat="1" ht="14.25" x14ac:dyDescent="0.2">
      <c r="A248" s="25" t="s">
        <v>674</v>
      </c>
      <c r="B248" s="25"/>
      <c r="C248" s="26" t="s">
        <v>168</v>
      </c>
      <c r="D248" s="23">
        <f>VLOOKUP(A248,fin,3,FALSE)</f>
        <v>107816</v>
      </c>
      <c r="E248" s="23">
        <v>91950.73</v>
      </c>
      <c r="F248" s="23">
        <v>0</v>
      </c>
      <c r="G248" s="23">
        <v>551704.38</v>
      </c>
      <c r="H248" s="23">
        <v>339403.62</v>
      </c>
      <c r="I248" s="23">
        <v>61.91</v>
      </c>
      <c r="J248" s="27">
        <f>+K248-D248</f>
        <v>-60000</v>
      </c>
      <c r="K248" s="27">
        <f>VLOOKUP(A248,fin,4,FALSE)</f>
        <v>47816</v>
      </c>
      <c r="L248" s="27">
        <f t="shared" si="70"/>
        <v>50804.5</v>
      </c>
      <c r="M248" s="27">
        <f t="shared" si="71"/>
        <v>54360.815000000002</v>
      </c>
      <c r="N248" s="133">
        <f t="shared" si="71"/>
        <v>58166.072050000002</v>
      </c>
    </row>
    <row r="249" spans="1:14" s="28" customFormat="1" ht="14.25" x14ac:dyDescent="0.2">
      <c r="A249" s="25" t="s">
        <v>675</v>
      </c>
      <c r="B249" s="25"/>
      <c r="C249" s="26" t="s">
        <v>169</v>
      </c>
      <c r="D249" s="23">
        <f>VLOOKUP(A249,fin,3,FALSE)</f>
        <v>187868</v>
      </c>
      <c r="E249" s="23">
        <v>91950.73</v>
      </c>
      <c r="F249" s="23">
        <v>0</v>
      </c>
      <c r="G249" s="23">
        <v>551704.38</v>
      </c>
      <c r="H249" s="23">
        <v>339403.62</v>
      </c>
      <c r="I249" s="23">
        <v>61.91</v>
      </c>
      <c r="J249" s="27">
        <f>+K249-D249</f>
        <v>0</v>
      </c>
      <c r="K249" s="27">
        <f>VLOOKUP(A249,fin,4,FALSE)</f>
        <v>187868</v>
      </c>
      <c r="L249" s="27">
        <f t="shared" si="70"/>
        <v>199609.75</v>
      </c>
      <c r="M249" s="27">
        <f t="shared" si="71"/>
        <v>213582.4325</v>
      </c>
      <c r="N249" s="133">
        <f t="shared" si="71"/>
        <v>228533.20277499998</v>
      </c>
    </row>
    <row r="250" spans="1:14" s="28" customFormat="1" ht="14.25" x14ac:dyDescent="0.2">
      <c r="A250" s="25" t="s">
        <v>676</v>
      </c>
      <c r="B250" s="25"/>
      <c r="C250" s="26" t="s">
        <v>170</v>
      </c>
      <c r="D250" s="23">
        <f>VLOOKUP(A250,fin,3,FALSE)</f>
        <v>3570</v>
      </c>
      <c r="E250" s="23">
        <v>91950.73</v>
      </c>
      <c r="F250" s="23">
        <v>0</v>
      </c>
      <c r="G250" s="23">
        <v>551704.38</v>
      </c>
      <c r="H250" s="23">
        <v>339403.62</v>
      </c>
      <c r="I250" s="23">
        <v>61.91</v>
      </c>
      <c r="J250" s="27">
        <f>+K250-D250</f>
        <v>0</v>
      </c>
      <c r="K250" s="27">
        <f>VLOOKUP(A250,fin,4,FALSE)</f>
        <v>3570</v>
      </c>
      <c r="L250" s="27">
        <f t="shared" si="70"/>
        <v>3793.125</v>
      </c>
      <c r="M250" s="27">
        <f t="shared" si="71"/>
        <v>4058.6437500000002</v>
      </c>
      <c r="N250" s="133">
        <f t="shared" si="71"/>
        <v>4342.7488125</v>
      </c>
    </row>
    <row r="251" spans="1:14" s="28" customFormat="1" ht="14.25" x14ac:dyDescent="0.2">
      <c r="A251" s="25"/>
      <c r="B251" s="25"/>
      <c r="C251" s="26"/>
      <c r="D251" s="23"/>
      <c r="E251" s="23"/>
      <c r="F251" s="23"/>
      <c r="G251" s="23"/>
      <c r="H251" s="23"/>
      <c r="I251" s="23"/>
      <c r="J251" s="27"/>
      <c r="K251" s="27"/>
      <c r="L251" s="27"/>
      <c r="M251" s="27"/>
      <c r="N251" s="133"/>
    </row>
    <row r="252" spans="1:14" s="24" customFormat="1" x14ac:dyDescent="0.25">
      <c r="A252" s="20"/>
      <c r="B252" s="20"/>
      <c r="C252" s="21" t="s">
        <v>171</v>
      </c>
      <c r="D252" s="29">
        <f>SUM(D247:D251)</f>
        <v>299478</v>
      </c>
      <c r="E252" s="29">
        <v>13732.92</v>
      </c>
      <c r="F252" s="29">
        <v>0</v>
      </c>
      <c r="G252" s="29">
        <v>82397.52</v>
      </c>
      <c r="H252" s="29">
        <v>217080.48</v>
      </c>
      <c r="I252" s="29">
        <v>27.51</v>
      </c>
      <c r="J252" s="27">
        <f>+K252-D252</f>
        <v>-60000</v>
      </c>
      <c r="K252" s="22">
        <f>SUM(K247:K251)</f>
        <v>239478</v>
      </c>
      <c r="L252" s="22">
        <f>SUM(L247:L251)</f>
        <v>254445.375</v>
      </c>
      <c r="M252" s="22">
        <f>SUM(M247:M251)</f>
        <v>272256.55124999996</v>
      </c>
      <c r="N252" s="22">
        <f>SUM(N247:N251)</f>
        <v>291314.50983749999</v>
      </c>
    </row>
    <row r="253" spans="1:14" s="24" customFormat="1" x14ac:dyDescent="0.25">
      <c r="A253" s="20"/>
      <c r="B253" s="20"/>
      <c r="C253" s="21"/>
      <c r="D253" s="29"/>
      <c r="E253" s="29"/>
      <c r="F253" s="29"/>
      <c r="G253" s="29"/>
      <c r="H253" s="29"/>
      <c r="I253" s="29"/>
      <c r="J253" s="27"/>
      <c r="K253" s="27"/>
      <c r="L253" s="22"/>
      <c r="M253" s="22"/>
      <c r="N253" s="132"/>
    </row>
    <row r="254" spans="1:14" s="24" customFormat="1" x14ac:dyDescent="0.25">
      <c r="A254" s="20"/>
      <c r="B254" s="20"/>
      <c r="C254" s="21" t="s">
        <v>172</v>
      </c>
      <c r="D254" s="29"/>
      <c r="E254" s="29"/>
      <c r="F254" s="29"/>
      <c r="G254" s="29"/>
      <c r="H254" s="29"/>
      <c r="I254" s="29"/>
      <c r="J254" s="27"/>
      <c r="K254" s="27"/>
      <c r="L254" s="22"/>
      <c r="M254" s="22"/>
      <c r="N254" s="132"/>
    </row>
    <row r="255" spans="1:14" s="28" customFormat="1" ht="14.25" x14ac:dyDescent="0.2">
      <c r="A255" s="25"/>
      <c r="B255" s="25"/>
      <c r="C255" s="26"/>
      <c r="D255" s="23"/>
      <c r="E255" s="23"/>
      <c r="F255" s="23"/>
      <c r="G255" s="23"/>
      <c r="H255" s="23"/>
      <c r="I255" s="23"/>
      <c r="J255" s="27"/>
      <c r="K255" s="27"/>
      <c r="L255" s="27"/>
      <c r="M255" s="27"/>
      <c r="N255" s="133"/>
    </row>
    <row r="256" spans="1:14" s="28" customFormat="1" ht="14.25" x14ac:dyDescent="0.2">
      <c r="A256" s="25" t="s">
        <v>677</v>
      </c>
      <c r="B256" s="25"/>
      <c r="C256" s="26" t="s">
        <v>173</v>
      </c>
      <c r="D256" s="23">
        <f>VLOOKUP(A256,fin,3,FALSE)</f>
        <v>20768</v>
      </c>
      <c r="E256" s="23">
        <v>91950.73</v>
      </c>
      <c r="F256" s="23">
        <v>0</v>
      </c>
      <c r="G256" s="23">
        <v>551704.38</v>
      </c>
      <c r="H256" s="23">
        <v>339403.62</v>
      </c>
      <c r="I256" s="23">
        <v>61.91</v>
      </c>
      <c r="J256" s="27">
        <f>+K256-D256</f>
        <v>0</v>
      </c>
      <c r="K256" s="27">
        <f>VLOOKUP(A256,fin,4,FALSE)</f>
        <v>20768</v>
      </c>
      <c r="L256" s="27">
        <f t="shared" ref="L256:L258" si="72">K256*6.25/100+K256</f>
        <v>22066</v>
      </c>
      <c r="M256" s="27">
        <f t="shared" ref="M256:N258" si="73">L256*7/100+L256</f>
        <v>23610.62</v>
      </c>
      <c r="N256" s="133">
        <f t="shared" si="73"/>
        <v>25263.363399999998</v>
      </c>
    </row>
    <row r="257" spans="1:14" s="28" customFormat="1" ht="14.25" x14ac:dyDescent="0.2">
      <c r="A257" s="25" t="s">
        <v>678</v>
      </c>
      <c r="B257" s="25"/>
      <c r="C257" s="26" t="s">
        <v>174</v>
      </c>
      <c r="D257" s="23">
        <f>VLOOKUP(A257,fin,3,FALSE)</f>
        <v>19770</v>
      </c>
      <c r="E257" s="23">
        <v>91950.73</v>
      </c>
      <c r="F257" s="23">
        <v>0</v>
      </c>
      <c r="G257" s="23">
        <v>551704.38</v>
      </c>
      <c r="H257" s="23">
        <v>339403.62</v>
      </c>
      <c r="I257" s="23">
        <v>61.91</v>
      </c>
      <c r="J257" s="27">
        <f>+K257-D257</f>
        <v>0</v>
      </c>
      <c r="K257" s="27">
        <f>VLOOKUP(A257,fin,4,FALSE)</f>
        <v>19770</v>
      </c>
      <c r="L257" s="27">
        <f t="shared" si="72"/>
        <v>21005.625</v>
      </c>
      <c r="M257" s="27">
        <f t="shared" si="73"/>
        <v>22476.018749999999</v>
      </c>
      <c r="N257" s="133">
        <f t="shared" si="73"/>
        <v>24049.340062499999</v>
      </c>
    </row>
    <row r="258" spans="1:14" s="28" customFormat="1" ht="14.25" x14ac:dyDescent="0.2">
      <c r="A258" s="25" t="s">
        <v>679</v>
      </c>
      <c r="B258" s="25"/>
      <c r="C258" s="26" t="s">
        <v>175</v>
      </c>
      <c r="D258" s="23">
        <f>VLOOKUP(A258,fin,3,FALSE)</f>
        <v>6053</v>
      </c>
      <c r="E258" s="23">
        <v>91950.73</v>
      </c>
      <c r="F258" s="23">
        <v>0</v>
      </c>
      <c r="G258" s="23">
        <v>551704.38</v>
      </c>
      <c r="H258" s="23">
        <v>339403.62</v>
      </c>
      <c r="I258" s="23">
        <v>61.91</v>
      </c>
      <c r="J258" s="27">
        <f>+K258-D258</f>
        <v>0</v>
      </c>
      <c r="K258" s="27">
        <f>VLOOKUP(A258,fin,4,FALSE)</f>
        <v>6053</v>
      </c>
      <c r="L258" s="27">
        <f t="shared" si="72"/>
        <v>6431.3125</v>
      </c>
      <c r="M258" s="27">
        <f t="shared" si="73"/>
        <v>6881.5043750000004</v>
      </c>
      <c r="N258" s="133">
        <f t="shared" si="73"/>
        <v>7363.2096812500004</v>
      </c>
    </row>
    <row r="259" spans="1:14" s="28" customFormat="1" ht="14.25" x14ac:dyDescent="0.2">
      <c r="A259" s="25"/>
      <c r="B259" s="25"/>
      <c r="C259" s="26"/>
      <c r="D259" s="23"/>
      <c r="E259" s="23"/>
      <c r="F259" s="23"/>
      <c r="G259" s="23"/>
      <c r="H259" s="23"/>
      <c r="I259" s="23"/>
      <c r="J259" s="27"/>
      <c r="K259" s="27"/>
      <c r="L259" s="27"/>
      <c r="M259" s="27"/>
      <c r="N259" s="133"/>
    </row>
    <row r="260" spans="1:14" s="24" customFormat="1" x14ac:dyDescent="0.25">
      <c r="A260" s="20"/>
      <c r="B260" s="20"/>
      <c r="C260" s="21" t="s">
        <v>176</v>
      </c>
      <c r="D260" s="29">
        <f>SUM(D256:D259)</f>
        <v>46591</v>
      </c>
      <c r="E260" s="29">
        <v>0</v>
      </c>
      <c r="F260" s="29">
        <v>0</v>
      </c>
      <c r="G260" s="29">
        <v>0</v>
      </c>
      <c r="H260" s="29">
        <v>46591</v>
      </c>
      <c r="I260" s="29">
        <v>0</v>
      </c>
      <c r="J260" s="27">
        <f>+K260-D260</f>
        <v>0</v>
      </c>
      <c r="K260" s="22">
        <f>SUM(K256:K259)</f>
        <v>46591</v>
      </c>
      <c r="L260" s="22">
        <f>SUM(L256:L259)</f>
        <v>49502.9375</v>
      </c>
      <c r="M260" s="22">
        <f>SUM(M256:M259)</f>
        <v>52968.143125000002</v>
      </c>
      <c r="N260" s="22">
        <f>SUM(N256:N259)</f>
        <v>56675.913143749996</v>
      </c>
    </row>
    <row r="261" spans="1:14" s="24" customFormat="1" x14ac:dyDescent="0.25">
      <c r="A261" s="20"/>
      <c r="B261" s="20"/>
      <c r="C261" s="21"/>
      <c r="D261" s="29"/>
      <c r="E261" s="29"/>
      <c r="F261" s="29"/>
      <c r="G261" s="29"/>
      <c r="H261" s="29"/>
      <c r="I261" s="29"/>
      <c r="J261" s="27"/>
      <c r="K261" s="27"/>
      <c r="L261" s="22"/>
      <c r="M261" s="22"/>
      <c r="N261" s="132"/>
    </row>
    <row r="262" spans="1:14" s="24" customFormat="1" x14ac:dyDescent="0.25">
      <c r="A262" s="20"/>
      <c r="B262" s="20"/>
      <c r="C262" s="21" t="s">
        <v>177</v>
      </c>
      <c r="D262" s="29">
        <f>+D243+D252+D260</f>
        <v>1565446</v>
      </c>
      <c r="E262" s="29">
        <v>143428.57999999999</v>
      </c>
      <c r="F262" s="29">
        <v>0</v>
      </c>
      <c r="G262" s="29">
        <v>558206.93000000005</v>
      </c>
      <c r="H262" s="29">
        <v>1007239.07</v>
      </c>
      <c r="I262" s="29">
        <v>35.65</v>
      </c>
      <c r="J262" s="27">
        <f>+K262-D262</f>
        <v>-94229.910000000149</v>
      </c>
      <c r="K262" s="22">
        <f>+K243+K252+K260</f>
        <v>1471216.0899999999</v>
      </c>
      <c r="L262" s="22">
        <f>+L243+L252+L260</f>
        <v>1563167.0956250001</v>
      </c>
      <c r="M262" s="22">
        <f>+M243+M252+M260</f>
        <v>1672588.7923187502</v>
      </c>
      <c r="N262" s="22">
        <f>+N243+N252+N260</f>
        <v>1789670.0077810625</v>
      </c>
    </row>
    <row r="263" spans="1:14" s="24" customFormat="1" x14ac:dyDescent="0.25">
      <c r="A263" s="20"/>
      <c r="B263" s="20"/>
      <c r="C263" s="21"/>
      <c r="D263" s="29"/>
      <c r="E263" s="29"/>
      <c r="F263" s="29"/>
      <c r="G263" s="29"/>
      <c r="H263" s="29"/>
      <c r="I263" s="29"/>
      <c r="J263" s="27"/>
      <c r="K263" s="27"/>
      <c r="L263" s="22"/>
      <c r="M263" s="22"/>
      <c r="N263" s="132"/>
    </row>
    <row r="264" spans="1:14" s="24" customFormat="1" x14ac:dyDescent="0.25">
      <c r="A264" s="20"/>
      <c r="B264" s="20"/>
      <c r="C264" s="21" t="s">
        <v>178</v>
      </c>
      <c r="D264" s="29">
        <f>D262</f>
        <v>1565446</v>
      </c>
      <c r="E264" s="29">
        <v>143428.57999999999</v>
      </c>
      <c r="F264" s="29">
        <v>0</v>
      </c>
      <c r="G264" s="29">
        <v>558206.93000000005</v>
      </c>
      <c r="H264" s="29">
        <v>1007239.07</v>
      </c>
      <c r="I264" s="29">
        <v>35.65</v>
      </c>
      <c r="J264" s="27">
        <f>+K264-D264</f>
        <v>-94229.910000000149</v>
      </c>
      <c r="K264" s="22">
        <f>K262</f>
        <v>1471216.0899999999</v>
      </c>
      <c r="L264" s="22">
        <f>L262</f>
        <v>1563167.0956250001</v>
      </c>
      <c r="M264" s="22">
        <f>M262</f>
        <v>1672588.7923187502</v>
      </c>
      <c r="N264" s="22">
        <f>N262</f>
        <v>1789670.0077810625</v>
      </c>
    </row>
    <row r="265" spans="1:14" s="24" customFormat="1" x14ac:dyDescent="0.25">
      <c r="A265" s="20"/>
      <c r="B265" s="20"/>
      <c r="C265" s="21"/>
      <c r="D265" s="29"/>
      <c r="E265" s="29"/>
      <c r="F265" s="29"/>
      <c r="G265" s="29"/>
      <c r="H265" s="29"/>
      <c r="I265" s="29"/>
      <c r="J265" s="22"/>
      <c r="K265" s="22"/>
      <c r="L265" s="22"/>
      <c r="M265" s="22"/>
      <c r="N265" s="132"/>
    </row>
    <row r="266" spans="1:14" s="24" customFormat="1" x14ac:dyDescent="0.25">
      <c r="A266" s="20"/>
      <c r="B266" s="20"/>
      <c r="C266" s="21" t="s">
        <v>208</v>
      </c>
      <c r="D266" s="29"/>
      <c r="E266" s="29"/>
      <c r="F266" s="29"/>
      <c r="G266" s="29"/>
      <c r="H266" s="29"/>
      <c r="I266" s="29"/>
      <c r="J266" s="22"/>
      <c r="K266" s="22"/>
      <c r="L266" s="22"/>
      <c r="M266" s="22"/>
      <c r="N266" s="132"/>
    </row>
    <row r="267" spans="1:14" s="24" customFormat="1" x14ac:dyDescent="0.25">
      <c r="A267" s="20"/>
      <c r="B267" s="20"/>
      <c r="C267" s="21"/>
      <c r="D267" s="29"/>
      <c r="E267" s="29"/>
      <c r="F267" s="29"/>
      <c r="G267" s="29"/>
      <c r="H267" s="29"/>
      <c r="I267" s="29"/>
      <c r="J267" s="22"/>
      <c r="K267" s="22"/>
      <c r="L267" s="22"/>
      <c r="M267" s="22"/>
      <c r="N267" s="132"/>
    </row>
    <row r="268" spans="1:14" s="24" customFormat="1" x14ac:dyDescent="0.25">
      <c r="A268" s="20"/>
      <c r="B268" s="20"/>
      <c r="C268" s="21" t="s">
        <v>218</v>
      </c>
      <c r="D268" s="29"/>
      <c r="E268" s="29"/>
      <c r="F268" s="29"/>
      <c r="G268" s="29"/>
      <c r="H268" s="29"/>
      <c r="I268" s="29"/>
      <c r="J268" s="22"/>
      <c r="K268" s="22"/>
      <c r="L268" s="22"/>
      <c r="M268" s="22"/>
      <c r="N268" s="132"/>
    </row>
    <row r="269" spans="1:14" s="28" customFormat="1" ht="14.25" x14ac:dyDescent="0.2">
      <c r="A269" s="25"/>
      <c r="B269" s="25"/>
      <c r="C269" s="26"/>
      <c r="D269" s="23"/>
      <c r="E269" s="23"/>
      <c r="F269" s="23"/>
      <c r="G269" s="23"/>
      <c r="H269" s="23"/>
      <c r="I269" s="23"/>
      <c r="J269" s="27"/>
      <c r="K269" s="27"/>
      <c r="L269" s="27"/>
      <c r="M269" s="27"/>
      <c r="N269" s="133"/>
    </row>
    <row r="270" spans="1:14" s="28" customFormat="1" ht="14.25" x14ac:dyDescent="0.2">
      <c r="A270" s="25" t="s">
        <v>680</v>
      </c>
      <c r="B270" s="25"/>
      <c r="C270" s="26" t="s">
        <v>221</v>
      </c>
      <c r="D270" s="23">
        <f>VLOOKUP(A270,fin,3,FALSE)</f>
        <v>400000</v>
      </c>
      <c r="E270" s="23">
        <v>91950.73</v>
      </c>
      <c r="F270" s="23">
        <v>0</v>
      </c>
      <c r="G270" s="23">
        <v>551704.38</v>
      </c>
      <c r="H270" s="23">
        <v>339403.62</v>
      </c>
      <c r="I270" s="23">
        <v>61.91</v>
      </c>
      <c r="J270" s="27">
        <f>+K270-D270</f>
        <v>0</v>
      </c>
      <c r="K270" s="27">
        <f>VLOOKUP(A270,fin,4,FALSE)</f>
        <v>400000</v>
      </c>
      <c r="L270" s="27">
        <f>K270*4.5/100+K270</f>
        <v>418000</v>
      </c>
      <c r="M270" s="27">
        <f>L270*4.6/100+L270</f>
        <v>437228</v>
      </c>
      <c r="N270" s="133">
        <f>M270*4.6/100+M270</f>
        <v>457340.48800000001</v>
      </c>
    </row>
    <row r="271" spans="1:14" s="28" customFormat="1" ht="14.25" x14ac:dyDescent="0.2">
      <c r="A271" s="25"/>
      <c r="B271" s="25"/>
      <c r="C271" s="26"/>
      <c r="D271" s="23"/>
      <c r="E271" s="23"/>
      <c r="F271" s="23"/>
      <c r="G271" s="23"/>
      <c r="H271" s="23"/>
      <c r="I271" s="23"/>
      <c r="J271" s="27"/>
      <c r="K271" s="27"/>
      <c r="L271" s="27"/>
      <c r="M271" s="27"/>
      <c r="N271" s="133"/>
    </row>
    <row r="272" spans="1:14" s="24" customFormat="1" x14ac:dyDescent="0.25">
      <c r="A272" s="20"/>
      <c r="B272" s="20"/>
      <c r="C272" s="21" t="s">
        <v>227</v>
      </c>
      <c r="D272" s="29">
        <f>SUM(D270:D271)</f>
        <v>400000</v>
      </c>
      <c r="E272" s="29">
        <v>0</v>
      </c>
      <c r="F272" s="29">
        <v>0</v>
      </c>
      <c r="G272" s="29">
        <v>18671.25</v>
      </c>
      <c r="H272" s="29">
        <v>381328.75</v>
      </c>
      <c r="I272" s="29">
        <v>4.66</v>
      </c>
      <c r="J272" s="27">
        <f>+K272-D272</f>
        <v>0</v>
      </c>
      <c r="K272" s="22">
        <f>SUM(K270:K271)</f>
        <v>400000</v>
      </c>
      <c r="L272" s="22">
        <f>SUM(L270:L271)</f>
        <v>418000</v>
      </c>
      <c r="M272" s="22">
        <f>SUM(M270:M271)</f>
        <v>437228</v>
      </c>
      <c r="N272" s="22">
        <f>SUM(N270:N271)</f>
        <v>457340.48800000001</v>
      </c>
    </row>
    <row r="273" spans="1:14" s="24" customFormat="1" x14ac:dyDescent="0.25">
      <c r="A273" s="20"/>
      <c r="B273" s="20"/>
      <c r="C273" s="21"/>
      <c r="D273" s="29"/>
      <c r="E273" s="29"/>
      <c r="F273" s="29"/>
      <c r="G273" s="29"/>
      <c r="H273" s="29"/>
      <c r="I273" s="29"/>
      <c r="J273" s="27"/>
      <c r="K273" s="27"/>
      <c r="L273" s="22"/>
      <c r="M273" s="22"/>
      <c r="N273" s="132"/>
    </row>
    <row r="274" spans="1:14" s="24" customFormat="1" x14ac:dyDescent="0.25">
      <c r="A274" s="20"/>
      <c r="B274" s="20"/>
      <c r="C274" s="21" t="s">
        <v>228</v>
      </c>
      <c r="D274" s="29"/>
      <c r="E274" s="29"/>
      <c r="F274" s="29"/>
      <c r="G274" s="29"/>
      <c r="H274" s="29"/>
      <c r="I274" s="29"/>
      <c r="J274" s="27"/>
      <c r="K274" s="27"/>
      <c r="L274" s="22"/>
      <c r="M274" s="22"/>
      <c r="N274" s="132"/>
    </row>
    <row r="275" spans="1:14" s="24" customFormat="1" x14ac:dyDescent="0.25">
      <c r="A275" s="20"/>
      <c r="B275" s="20"/>
      <c r="C275" s="21"/>
      <c r="D275" s="29"/>
      <c r="E275" s="29"/>
      <c r="F275" s="29"/>
      <c r="G275" s="29"/>
      <c r="H275" s="29"/>
      <c r="I275" s="29"/>
      <c r="J275" s="27"/>
      <c r="K275" s="27"/>
      <c r="L275" s="22"/>
      <c r="M275" s="22"/>
      <c r="N275" s="132"/>
    </row>
    <row r="276" spans="1:14" s="24" customFormat="1" x14ac:dyDescent="0.25">
      <c r="A276" s="20"/>
      <c r="B276" s="20"/>
      <c r="C276" s="21" t="s">
        <v>240</v>
      </c>
      <c r="D276" s="29">
        <f>+D272</f>
        <v>400000</v>
      </c>
      <c r="E276" s="29">
        <v>0</v>
      </c>
      <c r="F276" s="29">
        <v>0</v>
      </c>
      <c r="G276" s="29">
        <v>18671.25</v>
      </c>
      <c r="H276" s="29">
        <v>381328.75</v>
      </c>
      <c r="I276" s="29">
        <v>4.66</v>
      </c>
      <c r="J276" s="27">
        <f>+K276-D276</f>
        <v>0</v>
      </c>
      <c r="K276" s="22">
        <f>+K272</f>
        <v>400000</v>
      </c>
      <c r="L276" s="22">
        <f>+L272</f>
        <v>418000</v>
      </c>
      <c r="M276" s="22">
        <f>+M272</f>
        <v>437228</v>
      </c>
      <c r="N276" s="22">
        <f>+N272</f>
        <v>457340.48800000001</v>
      </c>
    </row>
    <row r="277" spans="1:14" s="24" customFormat="1" x14ac:dyDescent="0.25">
      <c r="A277" s="20"/>
      <c r="B277" s="20"/>
      <c r="C277" s="21"/>
      <c r="D277" s="29"/>
      <c r="E277" s="29"/>
      <c r="F277" s="29"/>
      <c r="G277" s="29"/>
      <c r="H277" s="29"/>
      <c r="I277" s="29"/>
      <c r="J277" s="27"/>
      <c r="K277" s="27"/>
      <c r="L277" s="22"/>
      <c r="M277" s="22"/>
      <c r="N277" s="132"/>
    </row>
    <row r="278" spans="1:14" s="24" customFormat="1" x14ac:dyDescent="0.25">
      <c r="A278" s="20"/>
      <c r="B278" s="20"/>
      <c r="C278" s="21" t="s">
        <v>241</v>
      </c>
      <c r="D278" s="29"/>
      <c r="E278" s="29"/>
      <c r="F278" s="29"/>
      <c r="G278" s="29"/>
      <c r="H278" s="29"/>
      <c r="I278" s="29"/>
      <c r="J278" s="27"/>
      <c r="K278" s="27"/>
      <c r="L278" s="22"/>
      <c r="M278" s="22"/>
      <c r="N278" s="132"/>
    </row>
    <row r="279" spans="1:14" s="28" customFormat="1" ht="14.25" x14ac:dyDescent="0.2">
      <c r="A279" s="25"/>
      <c r="B279" s="25"/>
      <c r="C279" s="26"/>
      <c r="D279" s="23"/>
      <c r="E279" s="23"/>
      <c r="F279" s="23"/>
      <c r="G279" s="23"/>
      <c r="H279" s="23"/>
      <c r="I279" s="23"/>
      <c r="J279" s="27"/>
      <c r="K279" s="27"/>
      <c r="L279" s="27"/>
      <c r="M279" s="27"/>
      <c r="N279" s="133"/>
    </row>
    <row r="280" spans="1:14" s="28" customFormat="1" ht="14.25" x14ac:dyDescent="0.2">
      <c r="A280" s="25" t="s">
        <v>681</v>
      </c>
      <c r="B280" s="25"/>
      <c r="C280" s="26" t="s">
        <v>265</v>
      </c>
      <c r="D280" s="23">
        <f>VLOOKUP(A280,fin,3,FALSE)</f>
        <v>0</v>
      </c>
      <c r="E280" s="23">
        <v>91950.73</v>
      </c>
      <c r="F280" s="23">
        <v>0</v>
      </c>
      <c r="G280" s="23">
        <v>551704.38</v>
      </c>
      <c r="H280" s="23">
        <v>339403.62</v>
      </c>
      <c r="I280" s="23">
        <v>61.91</v>
      </c>
      <c r="J280" s="27">
        <f>+K280-D280</f>
        <v>10000</v>
      </c>
      <c r="K280" s="27">
        <f>VLOOKUP(A280,fin,4,FALSE)</f>
        <v>10000</v>
      </c>
      <c r="L280" s="27">
        <f t="shared" ref="L280:L281" si="74">K280*4.5/100+K280</f>
        <v>10450</v>
      </c>
      <c r="M280" s="27">
        <f t="shared" ref="M280:N280" si="75">L280*4.6/100+L280</f>
        <v>10930.7</v>
      </c>
      <c r="N280" s="133">
        <f t="shared" si="75"/>
        <v>11433.512200000001</v>
      </c>
    </row>
    <row r="281" spans="1:14" s="28" customFormat="1" ht="14.25" x14ac:dyDescent="0.2">
      <c r="A281" s="25" t="s">
        <v>682</v>
      </c>
      <c r="B281" s="25"/>
      <c r="C281" s="26" t="s">
        <v>268</v>
      </c>
      <c r="D281" s="23">
        <f>VLOOKUP(A281,fin,3,FALSE)</f>
        <v>0</v>
      </c>
      <c r="E281" s="23">
        <v>91950.73</v>
      </c>
      <c r="F281" s="23">
        <v>0</v>
      </c>
      <c r="G281" s="23">
        <v>551704.38</v>
      </c>
      <c r="H281" s="23">
        <v>339403.62</v>
      </c>
      <c r="I281" s="23">
        <v>61.91</v>
      </c>
      <c r="J281" s="27">
        <f>+K281-D281</f>
        <v>25000</v>
      </c>
      <c r="K281" s="27">
        <f>VLOOKUP(A281,fin,4,FALSE)</f>
        <v>25000</v>
      </c>
      <c r="L281" s="27">
        <f t="shared" si="74"/>
        <v>26125</v>
      </c>
      <c r="M281" s="27">
        <f t="shared" ref="M281:N281" si="76">L281*4.6/100+L281</f>
        <v>27326.75</v>
      </c>
      <c r="N281" s="133">
        <f t="shared" si="76"/>
        <v>28583.780500000001</v>
      </c>
    </row>
    <row r="282" spans="1:14" s="28" customFormat="1" ht="14.25" x14ac:dyDescent="0.2">
      <c r="A282" s="25"/>
      <c r="B282" s="25"/>
      <c r="C282" s="26"/>
      <c r="D282" s="23"/>
      <c r="E282" s="23"/>
      <c r="F282" s="23"/>
      <c r="G282" s="23"/>
      <c r="H282" s="23"/>
      <c r="I282" s="23"/>
      <c r="J282" s="27"/>
      <c r="K282" s="27"/>
      <c r="L282" s="27"/>
      <c r="M282" s="27"/>
      <c r="N282" s="133"/>
    </row>
    <row r="283" spans="1:14" s="24" customFormat="1" x14ac:dyDescent="0.25">
      <c r="A283" s="20"/>
      <c r="B283" s="20"/>
      <c r="C283" s="21" t="s">
        <v>274</v>
      </c>
      <c r="D283" s="29">
        <f>SUM(D280:D282)</f>
        <v>0</v>
      </c>
      <c r="E283" s="29">
        <v>1253.29</v>
      </c>
      <c r="F283" s="29">
        <v>0</v>
      </c>
      <c r="G283" s="29">
        <v>15759.65</v>
      </c>
      <c r="H283" s="29">
        <v>-15759.65</v>
      </c>
      <c r="I283" s="29">
        <v>0</v>
      </c>
      <c r="J283" s="27">
        <f>+K283-D283</f>
        <v>35000</v>
      </c>
      <c r="K283" s="22">
        <f>SUM(K280:K282)</f>
        <v>35000</v>
      </c>
      <c r="L283" s="22">
        <f>SUM(L280:L282)</f>
        <v>36575</v>
      </c>
      <c r="M283" s="22">
        <f>SUM(M280:M282)</f>
        <v>38257.449999999997</v>
      </c>
      <c r="N283" s="22">
        <f>SUM(N280:N282)</f>
        <v>40017.292700000005</v>
      </c>
    </row>
    <row r="284" spans="1:14" s="24" customFormat="1" x14ac:dyDescent="0.25">
      <c r="A284" s="20"/>
      <c r="B284" s="20"/>
      <c r="C284" s="21"/>
      <c r="D284" s="29"/>
      <c r="E284" s="29"/>
      <c r="F284" s="29"/>
      <c r="G284" s="29"/>
      <c r="H284" s="29"/>
      <c r="I284" s="29"/>
      <c r="J284" s="27"/>
      <c r="K284" s="27"/>
      <c r="L284" s="22"/>
      <c r="M284" s="22"/>
      <c r="N284" s="132"/>
    </row>
    <row r="285" spans="1:14" s="24" customFormat="1" x14ac:dyDescent="0.25">
      <c r="A285" s="20"/>
      <c r="B285" s="20"/>
      <c r="C285" s="21" t="s">
        <v>305</v>
      </c>
      <c r="D285" s="29">
        <f>+D264+D276+D283</f>
        <v>1965446</v>
      </c>
      <c r="E285" s="29">
        <v>144681.87</v>
      </c>
      <c r="F285" s="29">
        <v>0</v>
      </c>
      <c r="G285" s="29">
        <v>592637.82999999996</v>
      </c>
      <c r="H285" s="29">
        <v>1372808.17</v>
      </c>
      <c r="I285" s="29">
        <v>30.15</v>
      </c>
      <c r="J285" s="27">
        <f>+K285-D285</f>
        <v>-59229.910000000149</v>
      </c>
      <c r="K285" s="22">
        <f>+K264+K276+K283</f>
        <v>1906216.0899999999</v>
      </c>
      <c r="L285" s="22">
        <f>+L264+L276+L283</f>
        <v>2017742.0956250001</v>
      </c>
      <c r="M285" s="22">
        <f>+M264+M276+M283</f>
        <v>2148074.2423187504</v>
      </c>
      <c r="N285" s="22">
        <f>+N264+N276+N283</f>
        <v>2287027.7884810627</v>
      </c>
    </row>
    <row r="286" spans="1:14" s="24" customFormat="1" x14ac:dyDescent="0.25">
      <c r="A286" s="20"/>
      <c r="B286" s="20"/>
      <c r="C286" s="21"/>
      <c r="D286" s="29"/>
      <c r="E286" s="29"/>
      <c r="F286" s="29"/>
      <c r="G286" s="29"/>
      <c r="H286" s="29"/>
      <c r="I286" s="29"/>
      <c r="J286" s="27"/>
      <c r="K286" s="27"/>
      <c r="L286" s="22"/>
      <c r="M286" s="22"/>
      <c r="N286" s="132"/>
    </row>
    <row r="287" spans="1:14" s="24" customFormat="1" x14ac:dyDescent="0.25">
      <c r="A287" s="20"/>
      <c r="B287" s="20"/>
      <c r="C287" s="21" t="s">
        <v>306</v>
      </c>
      <c r="D287" s="29">
        <f>D285</f>
        <v>1965446</v>
      </c>
      <c r="E287" s="29">
        <v>144681.87</v>
      </c>
      <c r="F287" s="29">
        <v>0</v>
      </c>
      <c r="G287" s="29">
        <v>592637.82999999996</v>
      </c>
      <c r="H287" s="29">
        <v>1372808.17</v>
      </c>
      <c r="I287" s="29">
        <v>30.15</v>
      </c>
      <c r="J287" s="27">
        <f>+K287-D287</f>
        <v>-59229.910000000149</v>
      </c>
      <c r="K287" s="22">
        <f>K285</f>
        <v>1906216.0899999999</v>
      </c>
      <c r="L287" s="22">
        <f>L285</f>
        <v>2017742.0956250001</v>
      </c>
      <c r="M287" s="22">
        <f>M285</f>
        <v>2148074.2423187504</v>
      </c>
      <c r="N287" s="22">
        <f>N285</f>
        <v>2287027.7884810627</v>
      </c>
    </row>
    <row r="288" spans="1:14" s="24" customFormat="1" x14ac:dyDescent="0.25">
      <c r="A288" s="20"/>
      <c r="B288" s="20"/>
      <c r="C288" s="21"/>
      <c r="D288" s="29"/>
      <c r="E288" s="29"/>
      <c r="F288" s="29"/>
      <c r="G288" s="29"/>
      <c r="H288" s="29"/>
      <c r="I288" s="29"/>
      <c r="J288" s="27"/>
      <c r="K288" s="27"/>
      <c r="L288" s="22"/>
      <c r="M288" s="22"/>
      <c r="N288" s="132"/>
    </row>
    <row r="289" spans="1:14" s="24" customFormat="1" x14ac:dyDescent="0.25">
      <c r="A289" s="20"/>
      <c r="B289" s="20"/>
      <c r="C289" s="21" t="s">
        <v>308</v>
      </c>
      <c r="D289" s="22"/>
      <c r="E289" s="22"/>
      <c r="F289" s="22"/>
      <c r="G289" s="22"/>
      <c r="H289" s="22"/>
      <c r="I289" s="23"/>
      <c r="J289" s="27"/>
      <c r="K289" s="27"/>
      <c r="L289" s="27"/>
      <c r="M289" s="22"/>
      <c r="N289" s="132"/>
    </row>
    <row r="290" spans="1:14" s="24" customFormat="1" x14ac:dyDescent="0.25">
      <c r="A290" s="20"/>
      <c r="B290" s="20"/>
      <c r="C290" s="21"/>
      <c r="D290" s="22"/>
      <c r="E290" s="22"/>
      <c r="F290" s="22"/>
      <c r="G290" s="22"/>
      <c r="H290" s="22"/>
      <c r="I290" s="23"/>
      <c r="J290" s="27"/>
      <c r="K290" s="27"/>
      <c r="L290" s="27"/>
      <c r="M290" s="22"/>
      <c r="N290" s="132"/>
    </row>
    <row r="291" spans="1:14" s="28" customFormat="1" ht="14.25" x14ac:dyDescent="0.2">
      <c r="A291" s="25" t="s">
        <v>1343</v>
      </c>
      <c r="B291" s="25" t="s">
        <v>320</v>
      </c>
      <c r="C291" s="26" t="s">
        <v>1344</v>
      </c>
      <c r="D291" s="23">
        <v>0</v>
      </c>
      <c r="E291" s="23">
        <v>91950.73</v>
      </c>
      <c r="F291" s="23">
        <v>0</v>
      </c>
      <c r="G291" s="23">
        <v>551704.38</v>
      </c>
      <c r="H291" s="23">
        <v>339403.62</v>
      </c>
      <c r="I291" s="23">
        <v>61.91</v>
      </c>
      <c r="J291" s="27">
        <f>+K291-D291</f>
        <v>0</v>
      </c>
      <c r="K291" s="27">
        <f>VLOOKUP(A291,fin,4,FALSE)</f>
        <v>0</v>
      </c>
      <c r="L291" s="27">
        <f>VLOOKUP(A291,fin,5,FALSE)</f>
        <v>800000</v>
      </c>
      <c r="M291" s="27">
        <v>900000</v>
      </c>
      <c r="N291" s="133">
        <v>0</v>
      </c>
    </row>
    <row r="292" spans="1:14" s="28" customFormat="1" ht="14.25" x14ac:dyDescent="0.2">
      <c r="A292" s="25"/>
      <c r="B292" s="25"/>
      <c r="C292" s="26"/>
      <c r="D292" s="27"/>
      <c r="E292" s="27"/>
      <c r="F292" s="27"/>
      <c r="G292" s="27"/>
      <c r="H292" s="27"/>
      <c r="I292" s="23"/>
      <c r="J292" s="27"/>
      <c r="K292" s="27"/>
      <c r="L292" s="27"/>
      <c r="M292" s="27"/>
      <c r="N292" s="133"/>
    </row>
    <row r="293" spans="1:14" s="24" customFormat="1" x14ac:dyDescent="0.25">
      <c r="A293" s="20"/>
      <c r="B293" s="20"/>
      <c r="C293" s="21" t="s">
        <v>320</v>
      </c>
      <c r="D293" s="22">
        <f>SUM(D291:D292)</f>
        <v>0</v>
      </c>
      <c r="E293" s="22">
        <f t="shared" ref="E293:N293" si="77">SUM(E291:E292)</f>
        <v>91950.73</v>
      </c>
      <c r="F293" s="22">
        <f t="shared" si="77"/>
        <v>0</v>
      </c>
      <c r="G293" s="22">
        <f t="shared" si="77"/>
        <v>551704.38</v>
      </c>
      <c r="H293" s="22">
        <f t="shared" si="77"/>
        <v>339403.62</v>
      </c>
      <c r="I293" s="29">
        <v>100</v>
      </c>
      <c r="J293" s="27">
        <f>+K293-D293</f>
        <v>0</v>
      </c>
      <c r="K293" s="22">
        <f t="shared" si="77"/>
        <v>0</v>
      </c>
      <c r="L293" s="22">
        <f t="shared" si="77"/>
        <v>800000</v>
      </c>
      <c r="M293" s="22">
        <f t="shared" si="77"/>
        <v>900000</v>
      </c>
      <c r="N293" s="22">
        <f t="shared" si="77"/>
        <v>0</v>
      </c>
    </row>
    <row r="294" spans="1:14" s="28" customFormat="1" ht="14.25" x14ac:dyDescent="0.2">
      <c r="A294" s="25"/>
      <c r="B294" s="25"/>
      <c r="C294" s="26"/>
      <c r="D294" s="27"/>
      <c r="E294" s="27"/>
      <c r="F294" s="27"/>
      <c r="G294" s="27"/>
      <c r="H294" s="27"/>
      <c r="I294" s="23"/>
      <c r="J294" s="27"/>
      <c r="K294" s="27"/>
      <c r="L294" s="27"/>
      <c r="M294" s="27"/>
      <c r="N294" s="133"/>
    </row>
    <row r="295" spans="1:14" s="24" customFormat="1" x14ac:dyDescent="0.25">
      <c r="A295" s="20"/>
      <c r="B295" s="20"/>
      <c r="C295" s="21" t="s">
        <v>683</v>
      </c>
      <c r="D295" s="29"/>
      <c r="E295" s="29"/>
      <c r="F295" s="29"/>
      <c r="G295" s="29"/>
      <c r="H295" s="29"/>
      <c r="I295" s="29"/>
      <c r="J295" s="27"/>
      <c r="K295" s="27"/>
      <c r="L295" s="22"/>
      <c r="M295" s="22"/>
      <c r="N295" s="132"/>
    </row>
    <row r="296" spans="1:14" s="24" customFormat="1" x14ac:dyDescent="0.25">
      <c r="A296" s="20"/>
      <c r="B296" s="20"/>
      <c r="C296" s="21"/>
      <c r="D296" s="29"/>
      <c r="E296" s="29"/>
      <c r="F296" s="29"/>
      <c r="G296" s="29"/>
      <c r="H296" s="29"/>
      <c r="I296" s="29"/>
      <c r="J296" s="27"/>
      <c r="K296" s="27"/>
      <c r="L296" s="22"/>
      <c r="M296" s="22"/>
      <c r="N296" s="132"/>
    </row>
    <row r="297" spans="1:14" s="24" customFormat="1" x14ac:dyDescent="0.25">
      <c r="A297" s="20"/>
      <c r="B297" s="20"/>
      <c r="C297" s="21" t="s">
        <v>96</v>
      </c>
      <c r="D297" s="29"/>
      <c r="E297" s="29"/>
      <c r="F297" s="29"/>
      <c r="G297" s="29"/>
      <c r="H297" s="29"/>
      <c r="I297" s="29"/>
      <c r="J297" s="27"/>
      <c r="K297" s="27"/>
      <c r="L297" s="22"/>
      <c r="M297" s="22"/>
      <c r="N297" s="132"/>
    </row>
    <row r="298" spans="1:14" s="24" customFormat="1" x14ac:dyDescent="0.25">
      <c r="A298" s="20"/>
      <c r="B298" s="20"/>
      <c r="C298" s="21" t="s">
        <v>97</v>
      </c>
      <c r="D298" s="29"/>
      <c r="E298" s="29"/>
      <c r="F298" s="29"/>
      <c r="G298" s="29"/>
      <c r="H298" s="29"/>
      <c r="I298" s="29"/>
      <c r="J298" s="27"/>
      <c r="K298" s="27"/>
      <c r="L298" s="22"/>
      <c r="M298" s="22"/>
      <c r="N298" s="132"/>
    </row>
    <row r="299" spans="1:14" s="24" customFormat="1" x14ac:dyDescent="0.25">
      <c r="A299" s="20"/>
      <c r="B299" s="20"/>
      <c r="C299" s="21" t="s">
        <v>148</v>
      </c>
      <c r="D299" s="29"/>
      <c r="E299" s="29"/>
      <c r="F299" s="29"/>
      <c r="G299" s="29"/>
      <c r="H299" s="29"/>
      <c r="I299" s="29"/>
      <c r="J299" s="27"/>
      <c r="K299" s="27"/>
      <c r="L299" s="22"/>
      <c r="M299" s="22"/>
      <c r="N299" s="132"/>
    </row>
    <row r="300" spans="1:14" s="24" customFormat="1" x14ac:dyDescent="0.25">
      <c r="A300" s="20"/>
      <c r="B300" s="20"/>
      <c r="C300" s="21" t="s">
        <v>149</v>
      </c>
      <c r="D300" s="29"/>
      <c r="E300" s="29"/>
      <c r="F300" s="29"/>
      <c r="G300" s="29"/>
      <c r="H300" s="29"/>
      <c r="I300" s="29"/>
      <c r="J300" s="27"/>
      <c r="K300" s="27"/>
      <c r="L300" s="22"/>
      <c r="M300" s="22"/>
      <c r="N300" s="132"/>
    </row>
    <row r="301" spans="1:14" s="28" customFormat="1" ht="14.25" x14ac:dyDescent="0.2">
      <c r="A301" s="25"/>
      <c r="B301" s="25"/>
      <c r="C301" s="26"/>
      <c r="D301" s="23"/>
      <c r="E301" s="23"/>
      <c r="F301" s="23"/>
      <c r="G301" s="23"/>
      <c r="H301" s="23"/>
      <c r="I301" s="23"/>
      <c r="J301" s="27"/>
      <c r="K301" s="27"/>
      <c r="L301" s="27"/>
      <c r="M301" s="27"/>
      <c r="N301" s="133"/>
    </row>
    <row r="302" spans="1:14" s="28" customFormat="1" ht="14.25" x14ac:dyDescent="0.2">
      <c r="A302" s="25" t="s">
        <v>684</v>
      </c>
      <c r="B302" s="25"/>
      <c r="C302" s="26" t="s">
        <v>150</v>
      </c>
      <c r="D302" s="23">
        <f t="shared" ref="D302:D311" si="78">VLOOKUP(A302,fin,3,FALSE)</f>
        <v>1364454</v>
      </c>
      <c r="E302" s="23">
        <v>91950.73</v>
      </c>
      <c r="F302" s="23">
        <v>0</v>
      </c>
      <c r="G302" s="23">
        <v>551704.38</v>
      </c>
      <c r="H302" s="23">
        <v>339403.62</v>
      </c>
      <c r="I302" s="23">
        <v>61.91</v>
      </c>
      <c r="J302" s="27">
        <f t="shared" ref="J302:J311" si="79">+K302-D302</f>
        <v>0</v>
      </c>
      <c r="K302" s="27">
        <f t="shared" ref="K302:K311" si="80">VLOOKUP(A302,fin,4,FALSE)</f>
        <v>1364454</v>
      </c>
      <c r="L302" s="27">
        <f t="shared" ref="L302:L311" si="81">K302*6.25/100+K302</f>
        <v>1449732.375</v>
      </c>
      <c r="M302" s="27">
        <f t="shared" ref="M302:N311" si="82">L302*7/100+L302</f>
        <v>1551213.6412500001</v>
      </c>
      <c r="N302" s="133">
        <f t="shared" si="82"/>
        <v>1659798.5961375001</v>
      </c>
    </row>
    <row r="303" spans="1:14" s="28" customFormat="1" ht="14.25" x14ac:dyDescent="0.2">
      <c r="A303" s="25" t="s">
        <v>685</v>
      </c>
      <c r="B303" s="25"/>
      <c r="C303" s="26" t="s">
        <v>150</v>
      </c>
      <c r="D303" s="23">
        <f t="shared" si="78"/>
        <v>80600</v>
      </c>
      <c r="E303" s="23">
        <v>91950.73</v>
      </c>
      <c r="F303" s="23">
        <v>0</v>
      </c>
      <c r="G303" s="23">
        <v>551704.38</v>
      </c>
      <c r="H303" s="23">
        <v>339403.62</v>
      </c>
      <c r="I303" s="23">
        <v>61.91</v>
      </c>
      <c r="J303" s="27">
        <f t="shared" si="79"/>
        <v>0</v>
      </c>
      <c r="K303" s="27">
        <f t="shared" si="80"/>
        <v>80600</v>
      </c>
      <c r="L303" s="27">
        <f t="shared" si="81"/>
        <v>85637.5</v>
      </c>
      <c r="M303" s="27">
        <f t="shared" si="82"/>
        <v>91632.125</v>
      </c>
      <c r="N303" s="133">
        <f t="shared" si="82"/>
        <v>98046.373749999999</v>
      </c>
    </row>
    <row r="304" spans="1:14" s="28" customFormat="1" ht="14.25" x14ac:dyDescent="0.2">
      <c r="A304" s="25" t="s">
        <v>686</v>
      </c>
      <c r="B304" s="25"/>
      <c r="C304" s="26" t="s">
        <v>151</v>
      </c>
      <c r="D304" s="23">
        <f t="shared" si="78"/>
        <v>66423</v>
      </c>
      <c r="E304" s="23">
        <v>91950.73</v>
      </c>
      <c r="F304" s="23">
        <v>0</v>
      </c>
      <c r="G304" s="23">
        <v>551704.38</v>
      </c>
      <c r="H304" s="23">
        <v>339403.62</v>
      </c>
      <c r="I304" s="23">
        <v>61.91</v>
      </c>
      <c r="J304" s="27">
        <f t="shared" si="79"/>
        <v>-41021.729999999996</v>
      </c>
      <c r="K304" s="27">
        <f t="shared" si="80"/>
        <v>25401.270000000004</v>
      </c>
      <c r="L304" s="27">
        <f t="shared" si="81"/>
        <v>26988.849375000005</v>
      </c>
      <c r="M304" s="27">
        <f t="shared" si="82"/>
        <v>28878.068831250006</v>
      </c>
      <c r="N304" s="133">
        <f t="shared" si="82"/>
        <v>30899.533649437508</v>
      </c>
    </row>
    <row r="305" spans="1:14" s="28" customFormat="1" ht="14.25" x14ac:dyDescent="0.2">
      <c r="A305" s="25" t="s">
        <v>687</v>
      </c>
      <c r="B305" s="25"/>
      <c r="C305" s="26" t="s">
        <v>152</v>
      </c>
      <c r="D305" s="23">
        <f t="shared" si="78"/>
        <v>52200</v>
      </c>
      <c r="E305" s="23">
        <v>91950.73</v>
      </c>
      <c r="F305" s="23">
        <v>0</v>
      </c>
      <c r="G305" s="23">
        <v>551704.38</v>
      </c>
      <c r="H305" s="23">
        <v>339403.62</v>
      </c>
      <c r="I305" s="23">
        <v>61.91</v>
      </c>
      <c r="J305" s="27">
        <f t="shared" si="79"/>
        <v>0</v>
      </c>
      <c r="K305" s="27">
        <f t="shared" si="80"/>
        <v>52200</v>
      </c>
      <c r="L305" s="27">
        <f t="shared" si="81"/>
        <v>55462.5</v>
      </c>
      <c r="M305" s="27">
        <f t="shared" si="82"/>
        <v>59344.875</v>
      </c>
      <c r="N305" s="133">
        <f t="shared" si="82"/>
        <v>63499.016250000001</v>
      </c>
    </row>
    <row r="306" spans="1:14" s="28" customFormat="1" ht="14.25" x14ac:dyDescent="0.2">
      <c r="A306" s="25" t="s">
        <v>688</v>
      </c>
      <c r="B306" s="25"/>
      <c r="C306" s="26" t="s">
        <v>153</v>
      </c>
      <c r="D306" s="23">
        <f t="shared" si="78"/>
        <v>21786</v>
      </c>
      <c r="E306" s="23">
        <v>91950.73</v>
      </c>
      <c r="F306" s="23">
        <v>0</v>
      </c>
      <c r="G306" s="23">
        <v>551704.38</v>
      </c>
      <c r="H306" s="23">
        <v>339403.62</v>
      </c>
      <c r="I306" s="23">
        <v>61.91</v>
      </c>
      <c r="J306" s="27">
        <f t="shared" si="79"/>
        <v>0</v>
      </c>
      <c r="K306" s="27">
        <f t="shared" si="80"/>
        <v>21786</v>
      </c>
      <c r="L306" s="27">
        <f t="shared" si="81"/>
        <v>23147.625</v>
      </c>
      <c r="M306" s="27">
        <f t="shared" si="82"/>
        <v>24767.958750000002</v>
      </c>
      <c r="N306" s="133">
        <f t="shared" si="82"/>
        <v>26501.715862500001</v>
      </c>
    </row>
    <row r="307" spans="1:14" s="28" customFormat="1" ht="14.25" x14ac:dyDescent="0.2">
      <c r="A307" s="25" t="s">
        <v>689</v>
      </c>
      <c r="B307" s="25"/>
      <c r="C307" s="26" t="s">
        <v>155</v>
      </c>
      <c r="D307" s="23">
        <f t="shared" si="78"/>
        <v>44083</v>
      </c>
      <c r="E307" s="23">
        <v>91950.73</v>
      </c>
      <c r="F307" s="23">
        <v>0</v>
      </c>
      <c r="G307" s="23">
        <v>551704.38</v>
      </c>
      <c r="H307" s="23">
        <v>339403.62</v>
      </c>
      <c r="I307" s="23">
        <v>61.91</v>
      </c>
      <c r="J307" s="27">
        <f t="shared" si="79"/>
        <v>0</v>
      </c>
      <c r="K307" s="27">
        <f t="shared" si="80"/>
        <v>44083</v>
      </c>
      <c r="L307" s="27">
        <f t="shared" si="81"/>
        <v>46838.1875</v>
      </c>
      <c r="M307" s="27">
        <f t="shared" si="82"/>
        <v>50116.860625000001</v>
      </c>
      <c r="N307" s="133">
        <f t="shared" si="82"/>
        <v>53625.040868750002</v>
      </c>
    </row>
    <row r="308" spans="1:14" s="28" customFormat="1" ht="14.25" x14ac:dyDescent="0.2">
      <c r="A308" s="25" t="s">
        <v>690</v>
      </c>
      <c r="B308" s="25"/>
      <c r="C308" s="26" t="s">
        <v>156</v>
      </c>
      <c r="D308" s="23">
        <f t="shared" si="78"/>
        <v>332114</v>
      </c>
      <c r="E308" s="23">
        <v>91950.73</v>
      </c>
      <c r="F308" s="23">
        <v>0</v>
      </c>
      <c r="G308" s="23">
        <v>551704.38</v>
      </c>
      <c r="H308" s="23">
        <v>339403.62</v>
      </c>
      <c r="I308" s="23">
        <v>61.91</v>
      </c>
      <c r="J308" s="27">
        <f t="shared" si="79"/>
        <v>0</v>
      </c>
      <c r="K308" s="27">
        <f t="shared" si="80"/>
        <v>332114</v>
      </c>
      <c r="L308" s="27">
        <f t="shared" si="81"/>
        <v>352871.125</v>
      </c>
      <c r="M308" s="27">
        <f t="shared" si="82"/>
        <v>377572.10375000001</v>
      </c>
      <c r="N308" s="133">
        <f t="shared" si="82"/>
        <v>404002.15101249999</v>
      </c>
    </row>
    <row r="309" spans="1:14" s="28" customFormat="1" ht="14.25" x14ac:dyDescent="0.2">
      <c r="A309" s="25" t="s">
        <v>691</v>
      </c>
      <c r="B309" s="25"/>
      <c r="C309" s="26" t="s">
        <v>158</v>
      </c>
      <c r="D309" s="23">
        <f t="shared" si="78"/>
        <v>26569</v>
      </c>
      <c r="E309" s="23">
        <v>91950.73</v>
      </c>
      <c r="F309" s="23">
        <v>0</v>
      </c>
      <c r="G309" s="23">
        <v>551704.38</v>
      </c>
      <c r="H309" s="23">
        <v>339403.62</v>
      </c>
      <c r="I309" s="23">
        <v>61.91</v>
      </c>
      <c r="J309" s="27">
        <f t="shared" si="79"/>
        <v>26569</v>
      </c>
      <c r="K309" s="27">
        <f t="shared" si="80"/>
        <v>53138</v>
      </c>
      <c r="L309" s="27">
        <f t="shared" si="81"/>
        <v>56459.125</v>
      </c>
      <c r="M309" s="27">
        <f t="shared" si="82"/>
        <v>60411.263749999998</v>
      </c>
      <c r="N309" s="133">
        <f t="shared" si="82"/>
        <v>64640.052212499999</v>
      </c>
    </row>
    <row r="310" spans="1:14" s="28" customFormat="1" ht="14.25" x14ac:dyDescent="0.2">
      <c r="A310" s="25" t="s">
        <v>692</v>
      </c>
      <c r="B310" s="25"/>
      <c r="C310" s="26" t="s">
        <v>159</v>
      </c>
      <c r="D310" s="23">
        <f t="shared" si="78"/>
        <v>110705</v>
      </c>
      <c r="E310" s="23">
        <v>91950.73</v>
      </c>
      <c r="F310" s="23">
        <v>0</v>
      </c>
      <c r="G310" s="23">
        <v>551704.38</v>
      </c>
      <c r="H310" s="23">
        <v>339403.62</v>
      </c>
      <c r="I310" s="23">
        <v>61.91</v>
      </c>
      <c r="J310" s="27">
        <f t="shared" si="79"/>
        <v>0</v>
      </c>
      <c r="K310" s="27">
        <f t="shared" si="80"/>
        <v>110705</v>
      </c>
      <c r="L310" s="27">
        <f t="shared" si="81"/>
        <v>117624.0625</v>
      </c>
      <c r="M310" s="27">
        <f t="shared" si="82"/>
        <v>125857.746875</v>
      </c>
      <c r="N310" s="133">
        <f t="shared" si="82"/>
        <v>134667.78915624999</v>
      </c>
    </row>
    <row r="311" spans="1:14" s="28" customFormat="1" ht="14.25" x14ac:dyDescent="0.2">
      <c r="A311" s="25" t="s">
        <v>693</v>
      </c>
      <c r="B311" s="25"/>
      <c r="C311" s="26" t="s">
        <v>164</v>
      </c>
      <c r="D311" s="23">
        <f t="shared" si="78"/>
        <v>15692</v>
      </c>
      <c r="E311" s="23">
        <v>91950.73</v>
      </c>
      <c r="F311" s="23">
        <v>0</v>
      </c>
      <c r="G311" s="23">
        <v>551704.38</v>
      </c>
      <c r="H311" s="23">
        <v>339403.62</v>
      </c>
      <c r="I311" s="23">
        <v>61.91</v>
      </c>
      <c r="J311" s="27">
        <f t="shared" si="79"/>
        <v>0</v>
      </c>
      <c r="K311" s="27">
        <f t="shared" si="80"/>
        <v>15692</v>
      </c>
      <c r="L311" s="27">
        <f t="shared" si="81"/>
        <v>16672.75</v>
      </c>
      <c r="M311" s="27">
        <f t="shared" si="82"/>
        <v>17839.842499999999</v>
      </c>
      <c r="N311" s="133">
        <f t="shared" si="82"/>
        <v>19088.631474999998</v>
      </c>
    </row>
    <row r="312" spans="1:14" s="28" customFormat="1" ht="14.25" x14ac:dyDescent="0.2">
      <c r="A312" s="25"/>
      <c r="B312" s="25"/>
      <c r="C312" s="26"/>
      <c r="D312" s="23"/>
      <c r="E312" s="23"/>
      <c r="F312" s="23"/>
      <c r="G312" s="23"/>
      <c r="H312" s="23"/>
      <c r="I312" s="23"/>
      <c r="J312" s="27"/>
      <c r="K312" s="27"/>
      <c r="L312" s="27"/>
      <c r="M312" s="27"/>
      <c r="N312" s="133"/>
    </row>
    <row r="313" spans="1:14" s="24" customFormat="1" x14ac:dyDescent="0.25">
      <c r="A313" s="20"/>
      <c r="B313" s="20"/>
      <c r="C313" s="21" t="s">
        <v>165</v>
      </c>
      <c r="D313" s="29">
        <f>SUM(D302:D312)</f>
        <v>2114626</v>
      </c>
      <c r="E313" s="29">
        <v>171940.66</v>
      </c>
      <c r="F313" s="29">
        <v>0</v>
      </c>
      <c r="G313" s="29">
        <v>928030.41</v>
      </c>
      <c r="H313" s="29">
        <v>1186595.5900000001</v>
      </c>
      <c r="I313" s="29">
        <v>43.88</v>
      </c>
      <c r="J313" s="27">
        <f>+K313-D313</f>
        <v>-14452.729999999981</v>
      </c>
      <c r="K313" s="22">
        <f>SUM(K302:K312)</f>
        <v>2100173.27</v>
      </c>
      <c r="L313" s="22">
        <f>SUM(L302:L312)</f>
        <v>2231434.0993750002</v>
      </c>
      <c r="M313" s="22">
        <f>SUM(M302:M312)</f>
        <v>2387634.4863312501</v>
      </c>
      <c r="N313" s="22">
        <f>SUM(N302:N312)</f>
        <v>2554768.9003744381</v>
      </c>
    </row>
    <row r="314" spans="1:14" s="24" customFormat="1" x14ac:dyDescent="0.25">
      <c r="A314" s="20"/>
      <c r="B314" s="20"/>
      <c r="C314" s="21"/>
      <c r="D314" s="29"/>
      <c r="E314" s="29"/>
      <c r="F314" s="29"/>
      <c r="G314" s="29"/>
      <c r="H314" s="29"/>
      <c r="I314" s="29"/>
      <c r="J314" s="27"/>
      <c r="K314" s="27"/>
      <c r="L314" s="22"/>
      <c r="M314" s="22"/>
      <c r="N314" s="132"/>
    </row>
    <row r="315" spans="1:14" s="24" customFormat="1" x14ac:dyDescent="0.25">
      <c r="A315" s="20"/>
      <c r="B315" s="20"/>
      <c r="C315" s="21" t="s">
        <v>166</v>
      </c>
      <c r="D315" s="29"/>
      <c r="E315" s="29"/>
      <c r="F315" s="29"/>
      <c r="G315" s="29"/>
      <c r="H315" s="29"/>
      <c r="I315" s="29"/>
      <c r="J315" s="27"/>
      <c r="K315" s="27"/>
      <c r="L315" s="22"/>
      <c r="M315" s="22"/>
      <c r="N315" s="132"/>
    </row>
    <row r="316" spans="1:14" s="28" customFormat="1" ht="14.25" x14ac:dyDescent="0.2">
      <c r="A316" s="25"/>
      <c r="B316" s="25"/>
      <c r="C316" s="26"/>
      <c r="D316" s="23"/>
      <c r="E316" s="23"/>
      <c r="F316" s="23"/>
      <c r="G316" s="23"/>
      <c r="H316" s="23"/>
      <c r="I316" s="23"/>
      <c r="J316" s="27"/>
      <c r="K316" s="27"/>
      <c r="L316" s="27"/>
      <c r="M316" s="27"/>
      <c r="N316" s="133"/>
    </row>
    <row r="317" spans="1:14" s="28" customFormat="1" ht="14.25" x14ac:dyDescent="0.2">
      <c r="A317" s="25" t="s">
        <v>694</v>
      </c>
      <c r="B317" s="25"/>
      <c r="C317" s="26" t="s">
        <v>167</v>
      </c>
      <c r="D317" s="23">
        <f>VLOOKUP(A317,fin,3,FALSE)</f>
        <v>337</v>
      </c>
      <c r="E317" s="23">
        <v>91950.73</v>
      </c>
      <c r="F317" s="23">
        <v>0</v>
      </c>
      <c r="G317" s="23">
        <v>551704.38</v>
      </c>
      <c r="H317" s="23">
        <v>339403.62</v>
      </c>
      <c r="I317" s="23">
        <v>61.91</v>
      </c>
      <c r="J317" s="27">
        <f>+K317-D317</f>
        <v>0</v>
      </c>
      <c r="K317" s="27">
        <f>VLOOKUP(A317,fin,4,FALSE)</f>
        <v>337</v>
      </c>
      <c r="L317" s="27">
        <f t="shared" ref="L317:L321" si="83">K317*6.25/100+K317</f>
        <v>358.0625</v>
      </c>
      <c r="M317" s="27">
        <f t="shared" ref="M317:N320" si="84">L317*7/100+L317</f>
        <v>383.12687499999998</v>
      </c>
      <c r="N317" s="133">
        <f t="shared" si="84"/>
        <v>409.94575624999999</v>
      </c>
    </row>
    <row r="318" spans="1:14" s="28" customFormat="1" ht="14.25" x14ac:dyDescent="0.2">
      <c r="A318" s="25" t="s">
        <v>695</v>
      </c>
      <c r="B318" s="25"/>
      <c r="C318" s="26" t="s">
        <v>168</v>
      </c>
      <c r="D318" s="23">
        <f>VLOOKUP(A318,fin,3,FALSE)</f>
        <v>161725</v>
      </c>
      <c r="E318" s="23">
        <v>91950.73</v>
      </c>
      <c r="F318" s="23">
        <v>0</v>
      </c>
      <c r="G318" s="23">
        <v>551704.38</v>
      </c>
      <c r="H318" s="23">
        <v>339403.62</v>
      </c>
      <c r="I318" s="23">
        <v>61.91</v>
      </c>
      <c r="J318" s="27">
        <f>+K318-D318</f>
        <v>0</v>
      </c>
      <c r="K318" s="27">
        <f>VLOOKUP(A318,fin,4,FALSE)</f>
        <v>161725</v>
      </c>
      <c r="L318" s="27">
        <f t="shared" si="83"/>
        <v>171832.8125</v>
      </c>
      <c r="M318" s="27">
        <f t="shared" si="84"/>
        <v>183861.109375</v>
      </c>
      <c r="N318" s="133">
        <f t="shared" si="84"/>
        <v>196731.38703124999</v>
      </c>
    </row>
    <row r="319" spans="1:14" s="28" customFormat="1" ht="14.25" x14ac:dyDescent="0.2">
      <c r="A319" s="25" t="s">
        <v>696</v>
      </c>
      <c r="B319" s="25"/>
      <c r="C319" s="26" t="s">
        <v>169</v>
      </c>
      <c r="D319" s="23">
        <f>VLOOKUP(A319,fin,3,FALSE)</f>
        <v>278128</v>
      </c>
      <c r="E319" s="23">
        <v>91950.73</v>
      </c>
      <c r="F319" s="23">
        <v>0</v>
      </c>
      <c r="G319" s="23">
        <v>551704.38</v>
      </c>
      <c r="H319" s="23">
        <v>339403.62</v>
      </c>
      <c r="I319" s="23">
        <v>61.91</v>
      </c>
      <c r="J319" s="27">
        <f>+K319-D319</f>
        <v>0</v>
      </c>
      <c r="K319" s="27">
        <f>VLOOKUP(A319,fin,4,FALSE)</f>
        <v>278128</v>
      </c>
      <c r="L319" s="27">
        <f t="shared" si="83"/>
        <v>295511</v>
      </c>
      <c r="M319" s="27">
        <f t="shared" si="84"/>
        <v>316196.77</v>
      </c>
      <c r="N319" s="133">
        <f t="shared" si="84"/>
        <v>338330.54390000005</v>
      </c>
    </row>
    <row r="320" spans="1:14" s="28" customFormat="1" ht="14.25" x14ac:dyDescent="0.2">
      <c r="A320" s="25" t="s">
        <v>697</v>
      </c>
      <c r="B320" s="25"/>
      <c r="C320" s="26" t="s">
        <v>170</v>
      </c>
      <c r="D320" s="23">
        <f>VLOOKUP(A320,fin,3,FALSE)</f>
        <v>5355</v>
      </c>
      <c r="E320" s="23">
        <v>91950.73</v>
      </c>
      <c r="F320" s="23">
        <v>0</v>
      </c>
      <c r="G320" s="23">
        <v>551704.38</v>
      </c>
      <c r="H320" s="23">
        <v>339403.62</v>
      </c>
      <c r="I320" s="23">
        <v>61.91</v>
      </c>
      <c r="J320" s="27">
        <f>+K320-D320</f>
        <v>0</v>
      </c>
      <c r="K320" s="27">
        <f>VLOOKUP(A320,fin,4,FALSE)</f>
        <v>5355</v>
      </c>
      <c r="L320" s="27">
        <f t="shared" si="83"/>
        <v>5689.6875</v>
      </c>
      <c r="M320" s="27">
        <f t="shared" si="84"/>
        <v>6087.9656249999998</v>
      </c>
      <c r="N320" s="133">
        <f t="shared" si="84"/>
        <v>6514.12321875</v>
      </c>
    </row>
    <row r="321" spans="1:14" s="28" customFormat="1" ht="14.25" x14ac:dyDescent="0.2">
      <c r="A321" s="25" t="s">
        <v>698</v>
      </c>
      <c r="B321" s="25"/>
      <c r="C321" s="26" t="s">
        <v>170</v>
      </c>
      <c r="D321" s="23">
        <f>VLOOKUP(A321,fin,3,FALSE)</f>
        <v>0</v>
      </c>
      <c r="E321" s="23">
        <v>91950.73</v>
      </c>
      <c r="F321" s="23">
        <v>0</v>
      </c>
      <c r="G321" s="23">
        <v>551704.38</v>
      </c>
      <c r="H321" s="23">
        <v>339403.62</v>
      </c>
      <c r="I321" s="23">
        <v>61.91</v>
      </c>
      <c r="J321" s="27">
        <f>+K321-D321</f>
        <v>0</v>
      </c>
      <c r="K321" s="27">
        <f>VLOOKUP(A321,fin,4,FALSE)</f>
        <v>0</v>
      </c>
      <c r="L321" s="27">
        <f t="shared" si="83"/>
        <v>0</v>
      </c>
      <c r="M321" s="27">
        <f>VLOOKUP(A321,fin,6,FALSE)</f>
        <v>0</v>
      </c>
      <c r="N321" s="133"/>
    </row>
    <row r="322" spans="1:14" s="28" customFormat="1" ht="14.25" x14ac:dyDescent="0.2">
      <c r="A322" s="25"/>
      <c r="B322" s="25"/>
      <c r="C322" s="26"/>
      <c r="D322" s="23"/>
      <c r="E322" s="23"/>
      <c r="F322" s="23"/>
      <c r="G322" s="23"/>
      <c r="H322" s="23"/>
      <c r="I322" s="23"/>
      <c r="J322" s="27"/>
      <c r="K322" s="27"/>
      <c r="L322" s="27"/>
      <c r="M322" s="27"/>
      <c r="N322" s="133"/>
    </row>
    <row r="323" spans="1:14" s="24" customFormat="1" x14ac:dyDescent="0.25">
      <c r="A323" s="20"/>
      <c r="B323" s="20"/>
      <c r="C323" s="21" t="s">
        <v>171</v>
      </c>
      <c r="D323" s="29">
        <f>SUM(D317:D322)</f>
        <v>445545</v>
      </c>
      <c r="E323" s="29">
        <v>30888.05</v>
      </c>
      <c r="F323" s="29">
        <v>0</v>
      </c>
      <c r="G323" s="29">
        <v>185025.75</v>
      </c>
      <c r="H323" s="29">
        <v>260519.25</v>
      </c>
      <c r="I323" s="29">
        <v>41.52</v>
      </c>
      <c r="J323" s="27">
        <f>+K323-D323</f>
        <v>0</v>
      </c>
      <c r="K323" s="22">
        <f>SUM(K317:K322)</f>
        <v>445545</v>
      </c>
      <c r="L323" s="22">
        <f>SUM(L317:L322)</f>
        <v>473391.5625</v>
      </c>
      <c r="M323" s="22">
        <f>SUM(M317:M322)</f>
        <v>506528.97187499999</v>
      </c>
      <c r="N323" s="22">
        <f>SUM(N317:N322)</f>
        <v>541985.99990625004</v>
      </c>
    </row>
    <row r="324" spans="1:14" s="24" customFormat="1" x14ac:dyDescent="0.25">
      <c r="A324" s="20"/>
      <c r="B324" s="20"/>
      <c r="C324" s="21"/>
      <c r="D324" s="29"/>
      <c r="E324" s="29"/>
      <c r="F324" s="29"/>
      <c r="G324" s="29"/>
      <c r="H324" s="29"/>
      <c r="I324" s="29"/>
      <c r="J324" s="27"/>
      <c r="K324" s="27"/>
      <c r="L324" s="22"/>
      <c r="M324" s="22"/>
      <c r="N324" s="132"/>
    </row>
    <row r="325" spans="1:14" s="24" customFormat="1" x14ac:dyDescent="0.25">
      <c r="A325" s="20"/>
      <c r="B325" s="20"/>
      <c r="C325" s="21" t="s">
        <v>172</v>
      </c>
      <c r="D325" s="29"/>
      <c r="E325" s="29"/>
      <c r="F325" s="29"/>
      <c r="G325" s="29"/>
      <c r="H325" s="29"/>
      <c r="I325" s="29"/>
      <c r="J325" s="27"/>
      <c r="K325" s="27"/>
      <c r="L325" s="22"/>
      <c r="M325" s="22"/>
      <c r="N325" s="132"/>
    </row>
    <row r="326" spans="1:14" s="28" customFormat="1" ht="14.25" x14ac:dyDescent="0.2">
      <c r="A326" s="25"/>
      <c r="B326" s="25"/>
      <c r="C326" s="26"/>
      <c r="D326" s="23"/>
      <c r="E326" s="23"/>
      <c r="F326" s="23"/>
      <c r="G326" s="23"/>
      <c r="H326" s="23"/>
      <c r="I326" s="23"/>
      <c r="J326" s="27"/>
      <c r="K326" s="27"/>
      <c r="L326" s="27"/>
      <c r="M326" s="27"/>
      <c r="N326" s="133"/>
    </row>
    <row r="327" spans="1:14" s="28" customFormat="1" ht="14.25" x14ac:dyDescent="0.2">
      <c r="A327" s="25" t="s">
        <v>699</v>
      </c>
      <c r="B327" s="25"/>
      <c r="C327" s="26" t="s">
        <v>173</v>
      </c>
      <c r="D327" s="23">
        <f>VLOOKUP(A327,fin,3,FALSE)</f>
        <v>8794</v>
      </c>
      <c r="E327" s="23">
        <v>91950.73</v>
      </c>
      <c r="F327" s="23">
        <v>0</v>
      </c>
      <c r="G327" s="23">
        <v>551704.38</v>
      </c>
      <c r="H327" s="23">
        <v>339403.62</v>
      </c>
      <c r="I327" s="23">
        <v>61.91</v>
      </c>
      <c r="J327" s="27">
        <f>+K327-D327</f>
        <v>0</v>
      </c>
      <c r="K327" s="27">
        <f>VLOOKUP(A327,fin,4,FALSE)</f>
        <v>8794</v>
      </c>
      <c r="L327" s="27">
        <f t="shared" ref="L327:L329" si="85">K327*6.25/100+K327</f>
        <v>9343.625</v>
      </c>
      <c r="M327" s="27">
        <f t="shared" ref="M327:N329" si="86">L327*7/100+L327</f>
        <v>9997.6787499999991</v>
      </c>
      <c r="N327" s="133">
        <f t="shared" si="86"/>
        <v>10697.516262499999</v>
      </c>
    </row>
    <row r="328" spans="1:14" s="28" customFormat="1" ht="14.25" x14ac:dyDescent="0.2">
      <c r="A328" s="25" t="s">
        <v>700</v>
      </c>
      <c r="B328" s="25"/>
      <c r="C328" s="26" t="s">
        <v>174</v>
      </c>
      <c r="D328" s="23">
        <f>VLOOKUP(A328,fin,3,FALSE)</f>
        <v>8346</v>
      </c>
      <c r="E328" s="23">
        <v>91950.73</v>
      </c>
      <c r="F328" s="23">
        <v>0</v>
      </c>
      <c r="G328" s="23">
        <v>551704.38</v>
      </c>
      <c r="H328" s="23">
        <v>339403.62</v>
      </c>
      <c r="I328" s="23">
        <v>61.91</v>
      </c>
      <c r="J328" s="27">
        <f>+K328-D328</f>
        <v>0</v>
      </c>
      <c r="K328" s="27">
        <f>VLOOKUP(A328,fin,4,FALSE)</f>
        <v>8346</v>
      </c>
      <c r="L328" s="27">
        <f t="shared" si="85"/>
        <v>8867.625</v>
      </c>
      <c r="M328" s="27">
        <f t="shared" si="86"/>
        <v>9488.3587499999994</v>
      </c>
      <c r="N328" s="133">
        <f t="shared" si="86"/>
        <v>10152.543862499999</v>
      </c>
    </row>
    <row r="329" spans="1:14" s="28" customFormat="1" ht="14.25" x14ac:dyDescent="0.2">
      <c r="A329" s="25" t="s">
        <v>701</v>
      </c>
      <c r="B329" s="25"/>
      <c r="C329" s="26" t="s">
        <v>175</v>
      </c>
      <c r="D329" s="23">
        <f>VLOOKUP(A329,fin,3,FALSE)</f>
        <v>11677</v>
      </c>
      <c r="E329" s="23">
        <v>91950.73</v>
      </c>
      <c r="F329" s="23">
        <v>0</v>
      </c>
      <c r="G329" s="23">
        <v>551704.38</v>
      </c>
      <c r="H329" s="23">
        <v>339403.62</v>
      </c>
      <c r="I329" s="23">
        <v>61.91</v>
      </c>
      <c r="J329" s="27">
        <f>+K329-D329</f>
        <v>0</v>
      </c>
      <c r="K329" s="27">
        <f>VLOOKUP(A329,fin,4,FALSE)</f>
        <v>11677</v>
      </c>
      <c r="L329" s="27">
        <f t="shared" si="85"/>
        <v>12406.8125</v>
      </c>
      <c r="M329" s="27">
        <f t="shared" si="86"/>
        <v>13275.289375</v>
      </c>
      <c r="N329" s="133">
        <f t="shared" si="86"/>
        <v>14204.55963125</v>
      </c>
    </row>
    <row r="330" spans="1:14" s="28" customFormat="1" ht="14.25" x14ac:dyDescent="0.2">
      <c r="A330" s="25"/>
      <c r="B330" s="25"/>
      <c r="C330" s="26"/>
      <c r="D330" s="23"/>
      <c r="E330" s="23"/>
      <c r="F330" s="23"/>
      <c r="G330" s="23"/>
      <c r="H330" s="23"/>
      <c r="I330" s="23"/>
      <c r="J330" s="27"/>
      <c r="K330" s="27"/>
      <c r="L330" s="27"/>
      <c r="M330" s="27"/>
      <c r="N330" s="133"/>
    </row>
    <row r="331" spans="1:14" s="24" customFormat="1" x14ac:dyDescent="0.25">
      <c r="A331" s="20"/>
      <c r="B331" s="20"/>
      <c r="C331" s="21" t="s">
        <v>176</v>
      </c>
      <c r="D331" s="29">
        <f>SUM(D327:D330)</f>
        <v>28817</v>
      </c>
      <c r="E331" s="29">
        <v>0</v>
      </c>
      <c r="F331" s="29">
        <v>0</v>
      </c>
      <c r="G331" s="29">
        <v>0</v>
      </c>
      <c r="H331" s="29">
        <v>28817</v>
      </c>
      <c r="I331" s="29">
        <v>0</v>
      </c>
      <c r="J331" s="27">
        <f>+K331-D331</f>
        <v>0</v>
      </c>
      <c r="K331" s="22">
        <f>SUM(K327:K330)</f>
        <v>28817</v>
      </c>
      <c r="L331" s="22">
        <f>SUM(L327:L330)</f>
        <v>30618.0625</v>
      </c>
      <c r="M331" s="22">
        <f>SUM(M327:M330)</f>
        <v>32761.326874999999</v>
      </c>
      <c r="N331" s="22">
        <f>SUM(N327:N330)</f>
        <v>35054.619756249995</v>
      </c>
    </row>
    <row r="332" spans="1:14" s="24" customFormat="1" x14ac:dyDescent="0.25">
      <c r="A332" s="20"/>
      <c r="B332" s="20"/>
      <c r="C332" s="21"/>
      <c r="D332" s="29"/>
      <c r="E332" s="29"/>
      <c r="F332" s="29"/>
      <c r="G332" s="29"/>
      <c r="H332" s="29"/>
      <c r="I332" s="29"/>
      <c r="J332" s="27"/>
      <c r="K332" s="27"/>
      <c r="L332" s="22"/>
      <c r="M332" s="22"/>
      <c r="N332" s="132"/>
    </row>
    <row r="333" spans="1:14" s="24" customFormat="1" x14ac:dyDescent="0.25">
      <c r="A333" s="20"/>
      <c r="B333" s="20"/>
      <c r="C333" s="21" t="s">
        <v>177</v>
      </c>
      <c r="D333" s="29">
        <f>+D313+D323+D331</f>
        <v>2588988</v>
      </c>
      <c r="E333" s="29">
        <v>202828.71</v>
      </c>
      <c r="F333" s="29">
        <v>0</v>
      </c>
      <c r="G333" s="29">
        <v>1113056.1599999999</v>
      </c>
      <c r="H333" s="29">
        <v>1475931.84</v>
      </c>
      <c r="I333" s="29">
        <v>42.99</v>
      </c>
      <c r="J333" s="27">
        <f>+K333-D333</f>
        <v>-14452.729999999981</v>
      </c>
      <c r="K333" s="22">
        <f>+K313+K323+K331</f>
        <v>2574535.27</v>
      </c>
      <c r="L333" s="22">
        <f>+L313+L323+L331</f>
        <v>2735443.7243750002</v>
      </c>
      <c r="M333" s="22">
        <f>+M313+M323+M331</f>
        <v>2926924.7850812497</v>
      </c>
      <c r="N333" s="22">
        <f>+N313+N323+N331</f>
        <v>3131809.5200369381</v>
      </c>
    </row>
    <row r="334" spans="1:14" s="24" customFormat="1" x14ac:dyDescent="0.25">
      <c r="A334" s="20"/>
      <c r="B334" s="20"/>
      <c r="C334" s="21"/>
      <c r="D334" s="29"/>
      <c r="E334" s="29"/>
      <c r="F334" s="29"/>
      <c r="G334" s="29"/>
      <c r="H334" s="29"/>
      <c r="I334" s="29"/>
      <c r="J334" s="27"/>
      <c r="K334" s="27"/>
      <c r="L334" s="22"/>
      <c r="M334" s="22"/>
      <c r="N334" s="132"/>
    </row>
    <row r="335" spans="1:14" s="24" customFormat="1" x14ac:dyDescent="0.25">
      <c r="A335" s="20"/>
      <c r="B335" s="20"/>
      <c r="C335" s="21" t="s">
        <v>178</v>
      </c>
      <c r="D335" s="29">
        <f>D333</f>
        <v>2588988</v>
      </c>
      <c r="E335" s="29">
        <v>202828.71</v>
      </c>
      <c r="F335" s="29">
        <v>0</v>
      </c>
      <c r="G335" s="29">
        <v>1113056.1599999999</v>
      </c>
      <c r="H335" s="29">
        <v>1475931.84</v>
      </c>
      <c r="I335" s="29">
        <v>42.99</v>
      </c>
      <c r="J335" s="27">
        <f>+K335-D335</f>
        <v>-14452.729999999981</v>
      </c>
      <c r="K335" s="22">
        <f>K333</f>
        <v>2574535.27</v>
      </c>
      <c r="L335" s="22">
        <f>L333</f>
        <v>2735443.7243750002</v>
      </c>
      <c r="M335" s="22">
        <f>M333</f>
        <v>2926924.7850812497</v>
      </c>
      <c r="N335" s="22">
        <f>N333</f>
        <v>3131809.5200369381</v>
      </c>
    </row>
    <row r="336" spans="1:14" s="24" customFormat="1" x14ac:dyDescent="0.25">
      <c r="A336" s="20"/>
      <c r="B336" s="20"/>
      <c r="C336" s="21"/>
      <c r="D336" s="29"/>
      <c r="E336" s="29"/>
      <c r="F336" s="29"/>
      <c r="G336" s="29"/>
      <c r="H336" s="29"/>
      <c r="I336" s="29"/>
      <c r="J336" s="27"/>
      <c r="K336" s="27"/>
      <c r="L336" s="22"/>
      <c r="M336" s="22"/>
      <c r="N336" s="132"/>
    </row>
    <row r="337" spans="1:14" s="24" customFormat="1" x14ac:dyDescent="0.25">
      <c r="A337" s="20"/>
      <c r="B337" s="20"/>
      <c r="C337" s="21" t="s">
        <v>208</v>
      </c>
      <c r="D337" s="29"/>
      <c r="E337" s="29"/>
      <c r="F337" s="29"/>
      <c r="G337" s="29"/>
      <c r="H337" s="29"/>
      <c r="I337" s="29"/>
      <c r="J337" s="27"/>
      <c r="K337" s="27"/>
      <c r="L337" s="22"/>
      <c r="M337" s="22"/>
      <c r="N337" s="132"/>
    </row>
    <row r="338" spans="1:14" s="24" customFormat="1" x14ac:dyDescent="0.25">
      <c r="A338" s="20"/>
      <c r="B338" s="20"/>
      <c r="C338" s="21"/>
      <c r="D338" s="29"/>
      <c r="E338" s="29"/>
      <c r="F338" s="29"/>
      <c r="G338" s="29"/>
      <c r="H338" s="29"/>
      <c r="I338" s="29"/>
      <c r="J338" s="27"/>
      <c r="K338" s="27"/>
      <c r="L338" s="22"/>
      <c r="M338" s="22"/>
      <c r="N338" s="132"/>
    </row>
    <row r="339" spans="1:14" s="24" customFormat="1" x14ac:dyDescent="0.25">
      <c r="A339" s="20"/>
      <c r="B339" s="20"/>
      <c r="C339" s="21" t="s">
        <v>218</v>
      </c>
      <c r="D339" s="29"/>
      <c r="E339" s="29"/>
      <c r="F339" s="29"/>
      <c r="G339" s="29"/>
      <c r="H339" s="29"/>
      <c r="I339" s="29"/>
      <c r="J339" s="27"/>
      <c r="K339" s="27"/>
      <c r="L339" s="22"/>
      <c r="M339" s="22"/>
      <c r="N339" s="132"/>
    </row>
    <row r="340" spans="1:14" s="28" customFormat="1" ht="14.25" x14ac:dyDescent="0.2">
      <c r="A340" s="25"/>
      <c r="B340" s="25"/>
      <c r="C340" s="26"/>
      <c r="D340" s="23"/>
      <c r="E340" s="23"/>
      <c r="F340" s="23"/>
      <c r="G340" s="23"/>
      <c r="H340" s="23"/>
      <c r="I340" s="23"/>
      <c r="J340" s="27"/>
      <c r="K340" s="27"/>
      <c r="L340" s="27"/>
      <c r="M340" s="27"/>
      <c r="N340" s="133"/>
    </row>
    <row r="341" spans="1:14" s="28" customFormat="1" ht="14.25" x14ac:dyDescent="0.2">
      <c r="A341" s="25" t="s">
        <v>702</v>
      </c>
      <c r="B341" s="25"/>
      <c r="C341" s="26" t="s">
        <v>220</v>
      </c>
      <c r="D341" s="23">
        <f>VLOOKUP(A341,fin,3,FALSE)</f>
        <v>424278</v>
      </c>
      <c r="E341" s="23">
        <v>91950.73</v>
      </c>
      <c r="F341" s="23">
        <v>0</v>
      </c>
      <c r="G341" s="23">
        <v>551704.38</v>
      </c>
      <c r="H341" s="23">
        <v>339403.62</v>
      </c>
      <c r="I341" s="23">
        <v>61.91</v>
      </c>
      <c r="J341" s="27">
        <f>+K341-D341</f>
        <v>0</v>
      </c>
      <c r="K341" s="27">
        <f>VLOOKUP(A341,fin,4,FALSE)</f>
        <v>424278</v>
      </c>
      <c r="L341" s="27">
        <f>K341*4.5/100+K341</f>
        <v>443370.51</v>
      </c>
      <c r="M341" s="27">
        <f>L341*4.6/100+L341</f>
        <v>463765.55346000002</v>
      </c>
      <c r="N341" s="133">
        <f>M341*4.6/100+M341</f>
        <v>485098.76891916001</v>
      </c>
    </row>
    <row r="342" spans="1:14" s="28" customFormat="1" ht="14.25" x14ac:dyDescent="0.2">
      <c r="A342" s="25"/>
      <c r="B342" s="25"/>
      <c r="C342" s="26"/>
      <c r="D342" s="23"/>
      <c r="E342" s="23"/>
      <c r="F342" s="23"/>
      <c r="G342" s="23"/>
      <c r="H342" s="23"/>
      <c r="I342" s="23"/>
      <c r="J342" s="27"/>
      <c r="K342" s="27"/>
      <c r="L342" s="27"/>
      <c r="M342" s="27"/>
      <c r="N342" s="133"/>
    </row>
    <row r="343" spans="1:14" s="24" customFormat="1" x14ac:dyDescent="0.25">
      <c r="A343" s="20"/>
      <c r="B343" s="20"/>
      <c r="C343" s="21" t="s">
        <v>227</v>
      </c>
      <c r="D343" s="29">
        <f>SUM(D341:D342)</f>
        <v>424278</v>
      </c>
      <c r="E343" s="29">
        <v>23638.44</v>
      </c>
      <c r="F343" s="29">
        <v>0</v>
      </c>
      <c r="G343" s="29">
        <v>212544.28</v>
      </c>
      <c r="H343" s="29">
        <v>211733.72</v>
      </c>
      <c r="I343" s="29">
        <v>50.09</v>
      </c>
      <c r="J343" s="27">
        <f>+K343-D343</f>
        <v>0</v>
      </c>
      <c r="K343" s="22">
        <f>SUM(K341:K342)</f>
        <v>424278</v>
      </c>
      <c r="L343" s="22">
        <f>SUM(L341:L342)</f>
        <v>443370.51</v>
      </c>
      <c r="M343" s="22">
        <f>SUM(M341:M342)</f>
        <v>463765.55346000002</v>
      </c>
      <c r="N343" s="22">
        <f>SUM(N341:N342)</f>
        <v>485098.76891916001</v>
      </c>
    </row>
    <row r="344" spans="1:14" s="24" customFormat="1" x14ac:dyDescent="0.25">
      <c r="A344" s="20"/>
      <c r="B344" s="20"/>
      <c r="C344" s="21"/>
      <c r="D344" s="29"/>
      <c r="E344" s="29"/>
      <c r="F344" s="29"/>
      <c r="G344" s="29"/>
      <c r="H344" s="29"/>
      <c r="I344" s="29"/>
      <c r="J344" s="27"/>
      <c r="K344" s="27"/>
      <c r="L344" s="22"/>
      <c r="M344" s="22"/>
      <c r="N344" s="132"/>
    </row>
    <row r="345" spans="1:14" s="24" customFormat="1" x14ac:dyDescent="0.25">
      <c r="A345" s="20"/>
      <c r="B345" s="20"/>
      <c r="C345" s="21" t="s">
        <v>228</v>
      </c>
      <c r="D345" s="29"/>
      <c r="E345" s="29"/>
      <c r="F345" s="29"/>
      <c r="G345" s="29"/>
      <c r="H345" s="29"/>
      <c r="I345" s="29"/>
      <c r="J345" s="27"/>
      <c r="K345" s="27"/>
      <c r="L345" s="22"/>
      <c r="M345" s="22"/>
      <c r="N345" s="132"/>
    </row>
    <row r="346" spans="1:14" s="24" customFormat="1" x14ac:dyDescent="0.25">
      <c r="A346" s="20"/>
      <c r="B346" s="20"/>
      <c r="C346" s="21"/>
      <c r="D346" s="29"/>
      <c r="E346" s="29"/>
      <c r="F346" s="29"/>
      <c r="G346" s="29"/>
      <c r="H346" s="29"/>
      <c r="I346" s="29"/>
      <c r="J346" s="27"/>
      <c r="K346" s="27"/>
      <c r="L346" s="22"/>
      <c r="M346" s="22"/>
      <c r="N346" s="132"/>
    </row>
    <row r="347" spans="1:14" s="24" customFormat="1" x14ac:dyDescent="0.25">
      <c r="A347" s="20"/>
      <c r="B347" s="20"/>
      <c r="C347" s="21" t="s">
        <v>240</v>
      </c>
      <c r="D347" s="29">
        <f>D343</f>
        <v>424278</v>
      </c>
      <c r="E347" s="29">
        <v>23638.44</v>
      </c>
      <c r="F347" s="29">
        <v>0</v>
      </c>
      <c r="G347" s="29">
        <v>212544.28</v>
      </c>
      <c r="H347" s="29">
        <v>211733.72</v>
      </c>
      <c r="I347" s="29">
        <v>50.09</v>
      </c>
      <c r="J347" s="27">
        <f>+K347-D347</f>
        <v>0</v>
      </c>
      <c r="K347" s="22">
        <f>K343</f>
        <v>424278</v>
      </c>
      <c r="L347" s="22">
        <f>L343</f>
        <v>443370.51</v>
      </c>
      <c r="M347" s="22">
        <f>M343</f>
        <v>463765.55346000002</v>
      </c>
      <c r="N347" s="22">
        <f>N343</f>
        <v>485098.76891916001</v>
      </c>
    </row>
    <row r="348" spans="1:14" s="24" customFormat="1" x14ac:dyDescent="0.25">
      <c r="A348" s="20"/>
      <c r="B348" s="20"/>
      <c r="C348" s="21"/>
      <c r="D348" s="29"/>
      <c r="E348" s="29"/>
      <c r="F348" s="29"/>
      <c r="G348" s="29"/>
      <c r="H348" s="29"/>
      <c r="I348" s="29"/>
      <c r="J348" s="27"/>
      <c r="K348" s="27"/>
      <c r="L348" s="22"/>
      <c r="M348" s="22"/>
      <c r="N348" s="132"/>
    </row>
    <row r="349" spans="1:14" s="24" customFormat="1" x14ac:dyDescent="0.25">
      <c r="A349" s="20"/>
      <c r="B349" s="20"/>
      <c r="C349" s="21" t="s">
        <v>241</v>
      </c>
      <c r="D349" s="29"/>
      <c r="E349" s="29"/>
      <c r="F349" s="29"/>
      <c r="G349" s="29"/>
      <c r="H349" s="29"/>
      <c r="I349" s="29"/>
      <c r="J349" s="27"/>
      <c r="K349" s="27"/>
      <c r="L349" s="22"/>
      <c r="M349" s="22"/>
      <c r="N349" s="132"/>
    </row>
    <row r="350" spans="1:14" s="28" customFormat="1" ht="14.25" x14ac:dyDescent="0.2">
      <c r="A350" s="25"/>
      <c r="B350" s="25"/>
      <c r="C350" s="26"/>
      <c r="D350" s="23"/>
      <c r="E350" s="23"/>
      <c r="F350" s="23"/>
      <c r="G350" s="23"/>
      <c r="H350" s="23"/>
      <c r="I350" s="23"/>
      <c r="J350" s="27"/>
      <c r="K350" s="27"/>
      <c r="L350" s="27"/>
      <c r="M350" s="27"/>
      <c r="N350" s="133"/>
    </row>
    <row r="351" spans="1:14" s="28" customFormat="1" ht="14.25" x14ac:dyDescent="0.2">
      <c r="A351" s="25" t="s">
        <v>703</v>
      </c>
      <c r="B351" s="25"/>
      <c r="C351" s="26" t="s">
        <v>244</v>
      </c>
      <c r="D351" s="23">
        <f>VLOOKUP(A351,fin,3,FALSE)</f>
        <v>3000000</v>
      </c>
      <c r="E351" s="23">
        <v>91950.73</v>
      </c>
      <c r="F351" s="23">
        <v>0</v>
      </c>
      <c r="G351" s="23">
        <v>551704.38</v>
      </c>
      <c r="H351" s="23">
        <v>339403.62</v>
      </c>
      <c r="I351" s="23">
        <v>61.91</v>
      </c>
      <c r="J351" s="27">
        <f>+K351-D351</f>
        <v>0</v>
      </c>
      <c r="K351" s="27">
        <f>VLOOKUP(A351,fin,4,FALSE)</f>
        <v>3000000</v>
      </c>
      <c r="L351" s="27">
        <f t="shared" ref="L351:L354" si="87">K351*4.5/100+K351</f>
        <v>3135000</v>
      </c>
      <c r="M351" s="27">
        <f t="shared" ref="M351:N351" si="88">L351*4.6/100+L351</f>
        <v>3279210</v>
      </c>
      <c r="N351" s="133">
        <f t="shared" si="88"/>
        <v>3430053.66</v>
      </c>
    </row>
    <row r="352" spans="1:14" s="28" customFormat="1" ht="14.25" x14ac:dyDescent="0.2">
      <c r="A352" s="25" t="s">
        <v>704</v>
      </c>
      <c r="B352" s="25"/>
      <c r="C352" s="26" t="s">
        <v>257</v>
      </c>
      <c r="D352" s="23">
        <f>VLOOKUP(A352,fin,3,FALSE)</f>
        <v>790000</v>
      </c>
      <c r="E352" s="23">
        <v>91950.73</v>
      </c>
      <c r="F352" s="23">
        <v>0</v>
      </c>
      <c r="G352" s="23">
        <v>551704.38</v>
      </c>
      <c r="H352" s="23">
        <v>339403.62</v>
      </c>
      <c r="I352" s="23">
        <v>61.91</v>
      </c>
      <c r="J352" s="27">
        <f>+K352-D352</f>
        <v>0</v>
      </c>
      <c r="K352" s="27">
        <f>VLOOKUP(A352,fin,4,FALSE)</f>
        <v>790000</v>
      </c>
      <c r="L352" s="27">
        <f t="shared" si="87"/>
        <v>825550</v>
      </c>
      <c r="M352" s="27">
        <f t="shared" ref="M352:N352" si="89">L352*4.6/100+L352</f>
        <v>863525.3</v>
      </c>
      <c r="N352" s="133">
        <f t="shared" si="89"/>
        <v>903247.46380000003</v>
      </c>
    </row>
    <row r="353" spans="1:14" s="28" customFormat="1" ht="14.25" x14ac:dyDescent="0.2">
      <c r="A353" s="25" t="s">
        <v>705</v>
      </c>
      <c r="B353" s="25"/>
      <c r="C353" s="26" t="s">
        <v>265</v>
      </c>
      <c r="D353" s="23">
        <f>VLOOKUP(A353,fin,3,FALSE)</f>
        <v>0</v>
      </c>
      <c r="E353" s="23">
        <v>91950.73</v>
      </c>
      <c r="F353" s="23">
        <v>0</v>
      </c>
      <c r="G353" s="23">
        <v>551704.38</v>
      </c>
      <c r="H353" s="23">
        <v>339403.62</v>
      </c>
      <c r="I353" s="23">
        <v>61.91</v>
      </c>
      <c r="J353" s="27">
        <f>+K353-D353</f>
        <v>20000</v>
      </c>
      <c r="K353" s="27">
        <f>VLOOKUP(A353,fin,4,FALSE)</f>
        <v>20000</v>
      </c>
      <c r="L353" s="27">
        <f t="shared" si="87"/>
        <v>20900</v>
      </c>
      <c r="M353" s="27">
        <f t="shared" ref="M353:N353" si="90">L353*4.6/100+L353</f>
        <v>21861.4</v>
      </c>
      <c r="N353" s="133">
        <f t="shared" si="90"/>
        <v>22867.024400000002</v>
      </c>
    </row>
    <row r="354" spans="1:14" s="28" customFormat="1" ht="14.25" x14ac:dyDescent="0.2">
      <c r="A354" s="25" t="s">
        <v>706</v>
      </c>
      <c r="B354" s="25"/>
      <c r="C354" s="26" t="s">
        <v>268</v>
      </c>
      <c r="D354" s="23">
        <f>VLOOKUP(A354,fin,3,FALSE)</f>
        <v>0</v>
      </c>
      <c r="E354" s="23">
        <v>91950.73</v>
      </c>
      <c r="F354" s="23">
        <v>0</v>
      </c>
      <c r="G354" s="23">
        <v>551704.38</v>
      </c>
      <c r="H354" s="23">
        <v>339403.62</v>
      </c>
      <c r="I354" s="23">
        <v>61.91</v>
      </c>
      <c r="J354" s="27">
        <f>+K354-D354</f>
        <v>40000</v>
      </c>
      <c r="K354" s="27">
        <f>VLOOKUP(A354,fin,4,FALSE)</f>
        <v>40000</v>
      </c>
      <c r="L354" s="27">
        <f t="shared" si="87"/>
        <v>41800</v>
      </c>
      <c r="M354" s="27">
        <f t="shared" ref="M354:N354" si="91">L354*4.6/100+L354</f>
        <v>43722.8</v>
      </c>
      <c r="N354" s="133">
        <f t="shared" si="91"/>
        <v>45734.048800000004</v>
      </c>
    </row>
    <row r="355" spans="1:14" s="28" customFormat="1" ht="14.25" x14ac:dyDescent="0.2">
      <c r="A355" s="25"/>
      <c r="B355" s="25"/>
      <c r="C355" s="26"/>
      <c r="D355" s="23"/>
      <c r="E355" s="23"/>
      <c r="F355" s="23"/>
      <c r="G355" s="23"/>
      <c r="H355" s="23"/>
      <c r="I355" s="23"/>
      <c r="J355" s="27"/>
      <c r="K355" s="27"/>
      <c r="L355" s="27"/>
      <c r="M355" s="27"/>
      <c r="N355" s="133"/>
    </row>
    <row r="356" spans="1:14" s="24" customFormat="1" x14ac:dyDescent="0.25">
      <c r="A356" s="20"/>
      <c r="B356" s="20"/>
      <c r="C356" s="21" t="s">
        <v>274</v>
      </c>
      <c r="D356" s="29">
        <f>SUM(D351:D355)</f>
        <v>3790000</v>
      </c>
      <c r="E356" s="29">
        <v>1349300.95</v>
      </c>
      <c r="F356" s="29">
        <v>0</v>
      </c>
      <c r="G356" s="29">
        <v>3276752.4</v>
      </c>
      <c r="H356" s="29">
        <v>513247.6</v>
      </c>
      <c r="I356" s="29">
        <v>86.45</v>
      </c>
      <c r="J356" s="27">
        <f>+K356-D356</f>
        <v>60000</v>
      </c>
      <c r="K356" s="22">
        <f>SUM(K351:K355)</f>
        <v>3850000</v>
      </c>
      <c r="L356" s="22">
        <f>SUM(L351:L355)</f>
        <v>4023250</v>
      </c>
      <c r="M356" s="22">
        <f>SUM(M351:M355)</f>
        <v>4208319.5</v>
      </c>
      <c r="N356" s="22">
        <f>SUM(N351:N355)</f>
        <v>4401902.1970000006</v>
      </c>
    </row>
    <row r="357" spans="1:14" s="28" customFormat="1" ht="14.25" x14ac:dyDescent="0.2">
      <c r="A357" s="25"/>
      <c r="B357" s="25"/>
      <c r="C357" s="26"/>
      <c r="D357" s="23"/>
      <c r="E357" s="23"/>
      <c r="F357" s="23"/>
      <c r="G357" s="23"/>
      <c r="H357" s="23"/>
      <c r="I357" s="23"/>
      <c r="J357" s="27"/>
      <c r="K357" s="27"/>
      <c r="L357" s="27"/>
      <c r="M357" s="27"/>
      <c r="N357" s="133"/>
    </row>
    <row r="358" spans="1:14" s="24" customFormat="1" x14ac:dyDescent="0.25">
      <c r="A358" s="20"/>
      <c r="B358" s="20"/>
      <c r="C358" s="21" t="s">
        <v>290</v>
      </c>
      <c r="D358" s="29"/>
      <c r="E358" s="29"/>
      <c r="F358" s="29"/>
      <c r="G358" s="29"/>
      <c r="H358" s="29"/>
      <c r="I358" s="29"/>
      <c r="J358" s="27"/>
      <c r="K358" s="22"/>
      <c r="L358" s="22"/>
      <c r="M358" s="22"/>
      <c r="N358" s="132"/>
    </row>
    <row r="359" spans="1:14" s="28" customFormat="1" ht="14.25" x14ac:dyDescent="0.2">
      <c r="A359" s="25"/>
      <c r="B359" s="25"/>
      <c r="C359" s="26"/>
      <c r="D359" s="23"/>
      <c r="E359" s="23"/>
      <c r="F359" s="23"/>
      <c r="G359" s="23"/>
      <c r="H359" s="23"/>
      <c r="I359" s="23"/>
      <c r="J359" s="27"/>
      <c r="K359" s="27"/>
      <c r="L359" s="27"/>
      <c r="M359" s="27"/>
      <c r="N359" s="133"/>
    </row>
    <row r="360" spans="1:14" s="28" customFormat="1" ht="14.25" x14ac:dyDescent="0.2">
      <c r="A360" s="25" t="s">
        <v>707</v>
      </c>
      <c r="B360" s="25"/>
      <c r="C360" s="26" t="s">
        <v>292</v>
      </c>
      <c r="D360" s="23">
        <f>VLOOKUP(A360,fin,3,FALSE)</f>
        <v>11399</v>
      </c>
      <c r="E360" s="23">
        <v>91950.73</v>
      </c>
      <c r="F360" s="23">
        <v>0</v>
      </c>
      <c r="G360" s="23">
        <v>551704.38</v>
      </c>
      <c r="H360" s="23">
        <v>339403.62</v>
      </c>
      <c r="I360" s="23">
        <v>61.91</v>
      </c>
      <c r="J360" s="27">
        <f>+K360-D360</f>
        <v>0</v>
      </c>
      <c r="K360" s="27">
        <f>VLOOKUP(A360,fin,4,FALSE)</f>
        <v>11399</v>
      </c>
      <c r="L360" s="27">
        <f t="shared" ref="L360:L361" si="92">K360*4.5/100+K360</f>
        <v>11911.955</v>
      </c>
      <c r="M360" s="27">
        <f t="shared" ref="M360:N360" si="93">L360*4.6/100+L360</f>
        <v>12459.904930000001</v>
      </c>
      <c r="N360" s="133">
        <f t="shared" si="93"/>
        <v>13033.060556780001</v>
      </c>
    </row>
    <row r="361" spans="1:14" s="28" customFormat="1" ht="14.25" x14ac:dyDescent="0.2">
      <c r="A361" s="25" t="s">
        <v>708</v>
      </c>
      <c r="B361" s="25"/>
      <c r="C361" s="26" t="s">
        <v>293</v>
      </c>
      <c r="D361" s="23">
        <f>VLOOKUP(A361,fin,3,FALSE)</f>
        <v>2988</v>
      </c>
      <c r="E361" s="23">
        <v>91950.73</v>
      </c>
      <c r="F361" s="23">
        <v>0</v>
      </c>
      <c r="G361" s="23">
        <v>551704.38</v>
      </c>
      <c r="H361" s="23">
        <v>339403.62</v>
      </c>
      <c r="I361" s="23">
        <v>61.91</v>
      </c>
      <c r="J361" s="27">
        <f>+K361-D361</f>
        <v>0</v>
      </c>
      <c r="K361" s="27">
        <f>VLOOKUP(A361,fin,4,FALSE)</f>
        <v>2988</v>
      </c>
      <c r="L361" s="27">
        <f t="shared" si="92"/>
        <v>3122.46</v>
      </c>
      <c r="M361" s="27">
        <f t="shared" ref="M361:N361" si="94">L361*4.6/100+L361</f>
        <v>3266.0931599999999</v>
      </c>
      <c r="N361" s="133">
        <f t="shared" si="94"/>
        <v>3416.33344536</v>
      </c>
    </row>
    <row r="362" spans="1:14" s="28" customFormat="1" ht="14.25" x14ac:dyDescent="0.2">
      <c r="A362" s="25"/>
      <c r="B362" s="25"/>
      <c r="C362" s="26"/>
      <c r="D362" s="23"/>
      <c r="E362" s="23"/>
      <c r="F362" s="23"/>
      <c r="G362" s="23"/>
      <c r="H362" s="23"/>
      <c r="I362" s="23"/>
      <c r="J362" s="27"/>
      <c r="K362" s="27"/>
      <c r="L362" s="27"/>
      <c r="M362" s="27"/>
      <c r="N362" s="133"/>
    </row>
    <row r="363" spans="1:14" s="24" customFormat="1" x14ac:dyDescent="0.25">
      <c r="A363" s="20"/>
      <c r="B363" s="20"/>
      <c r="C363" s="21" t="s">
        <v>304</v>
      </c>
      <c r="D363" s="29">
        <f>SUM(D360:D362)</f>
        <v>14387</v>
      </c>
      <c r="E363" s="29">
        <v>2105.1999999999998</v>
      </c>
      <c r="F363" s="29">
        <v>0</v>
      </c>
      <c r="G363" s="29">
        <v>5160.3599999999997</v>
      </c>
      <c r="H363" s="29">
        <v>9226.64</v>
      </c>
      <c r="I363" s="29">
        <v>35.86</v>
      </c>
      <c r="J363" s="27">
        <f>+K363-D363</f>
        <v>0</v>
      </c>
      <c r="K363" s="22">
        <f>SUM(K360:K362)</f>
        <v>14387</v>
      </c>
      <c r="L363" s="22">
        <f>SUM(L360:L362)</f>
        <v>15034.415000000001</v>
      </c>
      <c r="M363" s="22">
        <f>SUM(M360:M362)</f>
        <v>15725.998090000001</v>
      </c>
      <c r="N363" s="22">
        <f>SUM(N360:N362)</f>
        <v>16449.394002140001</v>
      </c>
    </row>
    <row r="364" spans="1:14" s="24" customFormat="1" x14ac:dyDescent="0.25">
      <c r="A364" s="20"/>
      <c r="B364" s="20"/>
      <c r="C364" s="21"/>
      <c r="D364" s="29"/>
      <c r="E364" s="29"/>
      <c r="F364" s="29"/>
      <c r="G364" s="29"/>
      <c r="H364" s="29"/>
      <c r="I364" s="29"/>
      <c r="J364" s="27"/>
      <c r="K364" s="27"/>
      <c r="L364" s="22"/>
      <c r="M364" s="22"/>
      <c r="N364" s="132"/>
    </row>
    <row r="365" spans="1:14" s="24" customFormat="1" x14ac:dyDescent="0.25">
      <c r="A365" s="20"/>
      <c r="B365" s="20"/>
      <c r="C365" s="21" t="s">
        <v>305</v>
      </c>
      <c r="D365" s="29">
        <f>+D335+D347+D356+D363</f>
        <v>6817653</v>
      </c>
      <c r="E365" s="29">
        <v>1577873.3</v>
      </c>
      <c r="F365" s="29">
        <v>0</v>
      </c>
      <c r="G365" s="29">
        <v>4607513.2</v>
      </c>
      <c r="H365" s="29">
        <v>2210139.7999999998</v>
      </c>
      <c r="I365" s="29">
        <v>67.58</v>
      </c>
      <c r="J365" s="27">
        <f>+K365-D365</f>
        <v>45547.269999999553</v>
      </c>
      <c r="K365" s="22">
        <f>+K335+K347+K356+K363</f>
        <v>6863200.2699999996</v>
      </c>
      <c r="L365" s="22">
        <f>+L335+L347+L356+L363</f>
        <v>7217098.649375</v>
      </c>
      <c r="M365" s="22">
        <f>+M335+M347+M356+M363</f>
        <v>7614735.8366312496</v>
      </c>
      <c r="N365" s="22">
        <f>+N335+N347+N356+N363</f>
        <v>8035259.8799582385</v>
      </c>
    </row>
    <row r="366" spans="1:14" s="24" customFormat="1" x14ac:dyDescent="0.25">
      <c r="A366" s="20"/>
      <c r="B366" s="20"/>
      <c r="C366" s="21"/>
      <c r="D366" s="29"/>
      <c r="E366" s="29"/>
      <c r="F366" s="29"/>
      <c r="G366" s="29"/>
      <c r="H366" s="29"/>
      <c r="I366" s="29"/>
      <c r="J366" s="27"/>
      <c r="K366" s="27"/>
      <c r="L366" s="22"/>
      <c r="M366" s="22"/>
      <c r="N366" s="132"/>
    </row>
    <row r="367" spans="1:14" s="24" customFormat="1" x14ac:dyDescent="0.25">
      <c r="A367" s="20"/>
      <c r="B367" s="20"/>
      <c r="C367" s="21" t="s">
        <v>306</v>
      </c>
      <c r="D367" s="29">
        <f>D365</f>
        <v>6817653</v>
      </c>
      <c r="E367" s="29">
        <v>1577873.3</v>
      </c>
      <c r="F367" s="29">
        <v>0</v>
      </c>
      <c r="G367" s="29">
        <v>4607513.2</v>
      </c>
      <c r="H367" s="29">
        <v>2210139.7999999998</v>
      </c>
      <c r="I367" s="29">
        <v>67.58</v>
      </c>
      <c r="J367" s="27">
        <f>+K367-D367</f>
        <v>45547.269999999553</v>
      </c>
      <c r="K367" s="22">
        <f>K365</f>
        <v>6863200.2699999996</v>
      </c>
      <c r="L367" s="22">
        <f>L365</f>
        <v>7217098.649375</v>
      </c>
      <c r="M367" s="22">
        <f>M365</f>
        <v>7614735.8366312496</v>
      </c>
      <c r="N367" s="22">
        <f>N365</f>
        <v>8035259.8799582385</v>
      </c>
    </row>
    <row r="368" spans="1:14" s="28" customFormat="1" ht="14.25" x14ac:dyDescent="0.2">
      <c r="A368" s="25"/>
      <c r="B368" s="25"/>
      <c r="C368" s="26"/>
      <c r="D368" s="23"/>
      <c r="E368" s="23"/>
      <c r="F368" s="23"/>
      <c r="G368" s="23"/>
      <c r="H368" s="23"/>
      <c r="I368" s="23"/>
      <c r="J368" s="27"/>
      <c r="K368" s="27"/>
      <c r="L368" s="27"/>
      <c r="M368" s="27"/>
      <c r="N368" s="133"/>
    </row>
    <row r="369" spans="3:14" x14ac:dyDescent="0.25">
      <c r="C369" s="24" t="s">
        <v>3038</v>
      </c>
      <c r="D369" s="24"/>
      <c r="E369" s="24"/>
      <c r="F369" s="24"/>
      <c r="G369" s="24"/>
      <c r="H369" s="24"/>
      <c r="I369" s="24"/>
      <c r="J369" s="152"/>
      <c r="K369" s="152"/>
      <c r="L369" s="152"/>
      <c r="M369" s="152"/>
      <c r="N369" s="223"/>
    </row>
    <row r="370" spans="3:14" x14ac:dyDescent="0.25">
      <c r="C370" s="24" t="s">
        <v>3052</v>
      </c>
      <c r="D370" s="72">
        <f>D100+D166+D217+D285+D365</f>
        <v>21522488</v>
      </c>
      <c r="E370" s="72">
        <f t="shared" ref="E370:N370" si="95">E100+E166+E217+E285+E365</f>
        <v>4879525.7</v>
      </c>
      <c r="F370" s="72">
        <f t="shared" si="95"/>
        <v>64825.02</v>
      </c>
      <c r="G370" s="72">
        <f t="shared" si="95"/>
        <v>14799738.620000001</v>
      </c>
      <c r="H370" s="72">
        <f t="shared" si="95"/>
        <v>8664422.379999999</v>
      </c>
      <c r="I370" s="72">
        <f t="shared" si="95"/>
        <v>297.44</v>
      </c>
      <c r="J370" s="72">
        <f t="shared" si="95"/>
        <v>-204956.43000000052</v>
      </c>
      <c r="K370" s="72">
        <f t="shared" si="95"/>
        <v>21317531.57</v>
      </c>
      <c r="L370" s="72">
        <f t="shared" si="95"/>
        <v>22463539.580625001</v>
      </c>
      <c r="M370" s="72">
        <f t="shared" si="95"/>
        <v>23778296.64286875</v>
      </c>
      <c r="N370" s="72">
        <f t="shared" si="95"/>
        <v>25194135.286163162</v>
      </c>
    </row>
    <row r="371" spans="3:14" x14ac:dyDescent="0.25">
      <c r="C371" s="24" t="s">
        <v>3053</v>
      </c>
      <c r="D371" s="152">
        <f>D225+D293</f>
        <v>150000</v>
      </c>
      <c r="E371" s="152">
        <f t="shared" ref="E371:N371" si="96">E225+E293</f>
        <v>183901.46</v>
      </c>
      <c r="F371" s="152">
        <f t="shared" si="96"/>
        <v>0</v>
      </c>
      <c r="G371" s="152">
        <f t="shared" si="96"/>
        <v>1103408.76</v>
      </c>
      <c r="H371" s="152">
        <f t="shared" si="96"/>
        <v>678807.24</v>
      </c>
      <c r="I371" s="152">
        <f t="shared" si="96"/>
        <v>100</v>
      </c>
      <c r="J371" s="152">
        <f t="shared" si="96"/>
        <v>0</v>
      </c>
      <c r="K371" s="152">
        <f t="shared" si="96"/>
        <v>150000</v>
      </c>
      <c r="L371" s="152">
        <f t="shared" si="96"/>
        <v>950000</v>
      </c>
      <c r="M371" s="152">
        <f t="shared" si="96"/>
        <v>1050000</v>
      </c>
      <c r="N371" s="152">
        <f t="shared" si="96"/>
        <v>0</v>
      </c>
    </row>
  </sheetData>
  <autoFilter ref="A1:M368"/>
  <pageMargins left="0.7" right="0.7" top="0.75" bottom="0.75" header="0.3" footer="0.3"/>
  <pageSetup paperSize="9" scale="53" orientation="landscape" horizontalDpi="4294967293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332"/>
  <sheetViews>
    <sheetView zoomScaleNormal="100" workbookViewId="0">
      <pane xSplit="3" ySplit="1" topLeftCell="D129" activePane="bottomRight" state="frozen"/>
      <selection pane="topRight" activeCell="C1" sqref="C1"/>
      <selection pane="bottomLeft" activeCell="A2" sqref="A2"/>
      <selection pane="bottomRight" activeCell="N139" sqref="N139"/>
    </sheetView>
  </sheetViews>
  <sheetFormatPr defaultRowHeight="15" x14ac:dyDescent="0.25"/>
  <cols>
    <col min="1" max="1" width="28" bestFit="1" customWidth="1"/>
    <col min="2" max="2" width="22.42578125" customWidth="1"/>
    <col min="3" max="3" width="54.140625" bestFit="1" customWidth="1"/>
    <col min="4" max="4" width="13.85546875" customWidth="1"/>
    <col min="5" max="5" width="10.28515625" hidden="1" customWidth="1"/>
    <col min="6" max="6" width="14.85546875" hidden="1" customWidth="1"/>
    <col min="7" max="7" width="12" hidden="1" customWidth="1"/>
    <col min="8" max="8" width="14.5703125" hidden="1" customWidth="1"/>
    <col min="9" max="9" width="6.85546875" hidden="1" customWidth="1"/>
    <col min="10" max="10" width="15.85546875" style="36" hidden="1" customWidth="1"/>
    <col min="11" max="11" width="14.5703125" style="36" bestFit="1" customWidth="1"/>
    <col min="12" max="12" width="14.5703125" style="36" customWidth="1"/>
    <col min="13" max="13" width="16" style="36" customWidth="1"/>
    <col min="14" max="14" width="14.28515625" style="157" bestFit="1" customWidth="1"/>
  </cols>
  <sheetData>
    <row r="1" spans="1:14" s="2" customFormat="1" ht="60.75" thickBot="1" x14ac:dyDescent="0.3">
      <c r="A1" s="3" t="s">
        <v>0</v>
      </c>
      <c r="B1" s="3" t="s">
        <v>1356</v>
      </c>
      <c r="C1" s="4" t="s">
        <v>1</v>
      </c>
      <c r="D1" s="5" t="s">
        <v>2</v>
      </c>
      <c r="E1" s="6" t="s">
        <v>3</v>
      </c>
      <c r="F1" s="5" t="s">
        <v>4</v>
      </c>
      <c r="G1" s="6" t="s">
        <v>5</v>
      </c>
      <c r="H1" s="6" t="s">
        <v>6</v>
      </c>
      <c r="I1" s="5" t="s">
        <v>7</v>
      </c>
      <c r="J1" s="34" t="s">
        <v>1322</v>
      </c>
      <c r="K1" s="154" t="s">
        <v>3012</v>
      </c>
      <c r="L1" s="41" t="s">
        <v>3013</v>
      </c>
      <c r="M1" s="137" t="s">
        <v>3014</v>
      </c>
      <c r="N1" s="131" t="s">
        <v>3015</v>
      </c>
    </row>
    <row r="2" spans="1:14" s="2" customFormat="1" x14ac:dyDescent="0.25">
      <c r="A2" s="3"/>
      <c r="B2" s="3"/>
      <c r="C2" s="4"/>
      <c r="D2" s="5"/>
      <c r="E2" s="6"/>
      <c r="F2" s="5"/>
      <c r="G2" s="6"/>
      <c r="H2" s="6"/>
      <c r="I2" s="5"/>
      <c r="J2" s="34"/>
      <c r="K2" s="131"/>
      <c r="L2" s="131"/>
      <c r="M2" s="131"/>
      <c r="N2" s="155"/>
    </row>
    <row r="3" spans="1:14" s="2" customFormat="1" x14ac:dyDescent="0.25">
      <c r="A3" s="3"/>
      <c r="B3" s="3"/>
      <c r="C3" s="4" t="s">
        <v>709</v>
      </c>
      <c r="D3" s="5"/>
      <c r="E3" s="5"/>
      <c r="F3" s="5"/>
      <c r="G3" s="5"/>
      <c r="H3" s="5"/>
      <c r="I3" s="5"/>
      <c r="J3" s="34"/>
      <c r="K3" s="34"/>
      <c r="L3" s="34"/>
      <c r="M3" s="34"/>
      <c r="N3" s="155"/>
    </row>
    <row r="4" spans="1:14" s="2" customFormat="1" x14ac:dyDescent="0.25">
      <c r="A4" s="3"/>
      <c r="B4" s="3"/>
      <c r="C4" s="4" t="s">
        <v>96</v>
      </c>
      <c r="D4" s="5"/>
      <c r="E4" s="5"/>
      <c r="F4" s="5"/>
      <c r="G4" s="5"/>
      <c r="H4" s="5"/>
      <c r="I4" s="5"/>
      <c r="J4" s="34"/>
      <c r="K4" s="34"/>
      <c r="L4" s="34"/>
      <c r="M4" s="34"/>
      <c r="N4" s="155"/>
    </row>
    <row r="5" spans="1:14" s="2" customFormat="1" x14ac:dyDescent="0.25">
      <c r="A5" s="3"/>
      <c r="B5" s="3"/>
      <c r="C5" s="4" t="s">
        <v>97</v>
      </c>
      <c r="D5" s="5"/>
      <c r="E5" s="5"/>
      <c r="F5" s="5"/>
      <c r="G5" s="5"/>
      <c r="H5" s="5"/>
      <c r="I5" s="5"/>
      <c r="J5" s="34"/>
      <c r="K5" s="34"/>
      <c r="L5" s="34"/>
      <c r="M5" s="34"/>
      <c r="N5" s="155"/>
    </row>
    <row r="6" spans="1:14" s="2" customFormat="1" x14ac:dyDescent="0.25">
      <c r="A6" s="3"/>
      <c r="B6" s="3"/>
      <c r="C6" s="4" t="s">
        <v>148</v>
      </c>
      <c r="D6" s="5"/>
      <c r="E6" s="5"/>
      <c r="F6" s="5"/>
      <c r="G6" s="5"/>
      <c r="H6" s="5"/>
      <c r="I6" s="5"/>
      <c r="J6" s="34"/>
      <c r="K6" s="34"/>
      <c r="L6" s="34"/>
      <c r="M6" s="34"/>
      <c r="N6" s="155"/>
    </row>
    <row r="7" spans="1:14" s="2" customFormat="1" x14ac:dyDescent="0.25">
      <c r="A7" s="3"/>
      <c r="B7" s="3"/>
      <c r="C7" s="4" t="s">
        <v>149</v>
      </c>
      <c r="D7" s="5"/>
      <c r="E7" s="5"/>
      <c r="F7" s="5"/>
      <c r="G7" s="5"/>
      <c r="H7" s="5"/>
      <c r="I7" s="5"/>
      <c r="J7" s="34"/>
      <c r="K7" s="34"/>
      <c r="L7" s="34"/>
      <c r="M7" s="34"/>
      <c r="N7" s="155"/>
    </row>
    <row r="8" spans="1:14" s="1" customFormat="1" ht="14.25" x14ac:dyDescent="0.2">
      <c r="A8" s="7"/>
      <c r="B8" s="7"/>
      <c r="C8" s="8"/>
      <c r="D8" s="9"/>
      <c r="E8" s="9"/>
      <c r="F8" s="9"/>
      <c r="G8" s="9"/>
      <c r="H8" s="9"/>
      <c r="I8" s="9"/>
      <c r="J8" s="35"/>
      <c r="K8" s="35"/>
      <c r="L8" s="35"/>
      <c r="M8" s="35"/>
      <c r="N8" s="156"/>
    </row>
    <row r="9" spans="1:14" s="1" customFormat="1" ht="14.25" x14ac:dyDescent="0.2">
      <c r="A9" s="7" t="s">
        <v>710</v>
      </c>
      <c r="B9" s="7"/>
      <c r="C9" s="8" t="s">
        <v>150</v>
      </c>
      <c r="D9" s="9">
        <f t="shared" ref="D9:D19" si="0">VLOOKUP(A9,fin,3,FALSE)</f>
        <v>1335043</v>
      </c>
      <c r="E9" s="9">
        <v>65927.72</v>
      </c>
      <c r="F9" s="9">
        <v>0</v>
      </c>
      <c r="G9" s="9">
        <v>401539.33</v>
      </c>
      <c r="H9" s="9">
        <v>933503.67</v>
      </c>
      <c r="I9" s="9">
        <v>30.07</v>
      </c>
      <c r="J9" s="27">
        <f t="shared" ref="J9:J19" si="1">+K9-D9</f>
        <v>0</v>
      </c>
      <c r="K9" s="35">
        <f t="shared" ref="K9:K19" si="2">VLOOKUP(A9,fin,4,FALSE)</f>
        <v>1335043</v>
      </c>
      <c r="L9" s="35">
        <f>K9*6.25/100+K9</f>
        <v>1418483.1875</v>
      </c>
      <c r="M9" s="35">
        <f>L9*7/100+L9</f>
        <v>1517777.0106250001</v>
      </c>
      <c r="N9" s="156">
        <f>M9*7/100+M9</f>
        <v>1624021.40136875</v>
      </c>
    </row>
    <row r="10" spans="1:14" s="1" customFormat="1" ht="14.25" x14ac:dyDescent="0.2">
      <c r="A10" s="7" t="s">
        <v>711</v>
      </c>
      <c r="B10" s="7"/>
      <c r="C10" s="8" t="s">
        <v>151</v>
      </c>
      <c r="D10" s="9">
        <f t="shared" si="0"/>
        <v>66752</v>
      </c>
      <c r="E10" s="9">
        <v>65927.72</v>
      </c>
      <c r="F10" s="9">
        <v>0</v>
      </c>
      <c r="G10" s="9">
        <v>401539.33</v>
      </c>
      <c r="H10" s="9">
        <v>933503.67</v>
      </c>
      <c r="I10" s="9">
        <v>30.07</v>
      </c>
      <c r="J10" s="27">
        <f t="shared" si="1"/>
        <v>-41350.730000000003</v>
      </c>
      <c r="K10" s="35">
        <f t="shared" si="2"/>
        <v>25401.269999999997</v>
      </c>
      <c r="L10" s="35">
        <f t="shared" ref="L10:L19" si="3">K10*6.25/100+K10</f>
        <v>26988.849374999998</v>
      </c>
      <c r="M10" s="35">
        <f t="shared" ref="M10:N19" si="4">L10*7/100+L10</f>
        <v>28878.068831249999</v>
      </c>
      <c r="N10" s="156">
        <f t="shared" si="4"/>
        <v>30899.533649437497</v>
      </c>
    </row>
    <row r="11" spans="1:14" s="1" customFormat="1" ht="14.25" x14ac:dyDescent="0.2">
      <c r="A11" s="7" t="s">
        <v>712</v>
      </c>
      <c r="B11" s="7"/>
      <c r="C11" s="8" t="s">
        <v>152</v>
      </c>
      <c r="D11" s="9">
        <f t="shared" si="0"/>
        <v>66300</v>
      </c>
      <c r="E11" s="9">
        <v>65927.72</v>
      </c>
      <c r="F11" s="9">
        <v>0</v>
      </c>
      <c r="G11" s="9">
        <v>401539.33</v>
      </c>
      <c r="H11" s="9">
        <v>933503.67</v>
      </c>
      <c r="I11" s="9">
        <v>30.07</v>
      </c>
      <c r="J11" s="27">
        <f t="shared" si="1"/>
        <v>0</v>
      </c>
      <c r="K11" s="35">
        <f t="shared" si="2"/>
        <v>66300</v>
      </c>
      <c r="L11" s="35">
        <f t="shared" si="3"/>
        <v>70443.75</v>
      </c>
      <c r="M11" s="35">
        <f t="shared" si="4"/>
        <v>75374.8125</v>
      </c>
      <c r="N11" s="156">
        <f t="shared" si="4"/>
        <v>80651.049375000002</v>
      </c>
    </row>
    <row r="12" spans="1:14" s="1" customFormat="1" ht="14.25" x14ac:dyDescent="0.2">
      <c r="A12" s="7" t="s">
        <v>713</v>
      </c>
      <c r="B12" s="7"/>
      <c r="C12" s="8" t="s">
        <v>153</v>
      </c>
      <c r="D12" s="9">
        <f t="shared" si="0"/>
        <v>10893</v>
      </c>
      <c r="E12" s="9">
        <v>65927.72</v>
      </c>
      <c r="F12" s="9">
        <v>0</v>
      </c>
      <c r="G12" s="9">
        <v>401539.33</v>
      </c>
      <c r="H12" s="9">
        <v>933503.67</v>
      </c>
      <c r="I12" s="9">
        <v>30.07</v>
      </c>
      <c r="J12" s="27">
        <f t="shared" si="1"/>
        <v>0</v>
      </c>
      <c r="K12" s="35">
        <f t="shared" si="2"/>
        <v>10893</v>
      </c>
      <c r="L12" s="35">
        <f t="shared" si="3"/>
        <v>11573.8125</v>
      </c>
      <c r="M12" s="35">
        <f t="shared" si="4"/>
        <v>12383.979375000001</v>
      </c>
      <c r="N12" s="156">
        <f t="shared" si="4"/>
        <v>13250.857931250001</v>
      </c>
    </row>
    <row r="13" spans="1:14" s="1" customFormat="1" ht="14.25" x14ac:dyDescent="0.2">
      <c r="A13" s="7" t="s">
        <v>714</v>
      </c>
      <c r="B13" s="7"/>
      <c r="C13" s="8" t="s">
        <v>154</v>
      </c>
      <c r="D13" s="9">
        <f t="shared" si="0"/>
        <v>6420</v>
      </c>
      <c r="E13" s="9">
        <v>65927.72</v>
      </c>
      <c r="F13" s="9">
        <v>0</v>
      </c>
      <c r="G13" s="9">
        <v>401539.33</v>
      </c>
      <c r="H13" s="9">
        <v>933503.67</v>
      </c>
      <c r="I13" s="9">
        <v>30.07</v>
      </c>
      <c r="J13" s="27">
        <f t="shared" si="1"/>
        <v>0</v>
      </c>
      <c r="K13" s="35">
        <f t="shared" si="2"/>
        <v>6420</v>
      </c>
      <c r="L13" s="35">
        <f t="shared" si="3"/>
        <v>6821.25</v>
      </c>
      <c r="M13" s="35">
        <f t="shared" si="4"/>
        <v>7298.7375000000002</v>
      </c>
      <c r="N13" s="156">
        <f t="shared" si="4"/>
        <v>7809.6491249999999</v>
      </c>
    </row>
    <row r="14" spans="1:14" s="1" customFormat="1" ht="14.25" x14ac:dyDescent="0.2">
      <c r="A14" s="7" t="s">
        <v>715</v>
      </c>
      <c r="B14" s="7"/>
      <c r="C14" s="8" t="s">
        <v>155</v>
      </c>
      <c r="D14" s="9">
        <f t="shared" si="0"/>
        <v>34278</v>
      </c>
      <c r="E14" s="9">
        <v>65927.72</v>
      </c>
      <c r="F14" s="9">
        <v>0</v>
      </c>
      <c r="G14" s="9">
        <v>401539.33</v>
      </c>
      <c r="H14" s="9">
        <v>933503.67</v>
      </c>
      <c r="I14" s="9">
        <v>30.07</v>
      </c>
      <c r="J14" s="27">
        <f t="shared" si="1"/>
        <v>0</v>
      </c>
      <c r="K14" s="35">
        <f t="shared" si="2"/>
        <v>34278</v>
      </c>
      <c r="L14" s="35">
        <f t="shared" si="3"/>
        <v>36420.375</v>
      </c>
      <c r="M14" s="35">
        <f t="shared" si="4"/>
        <v>38969.801249999997</v>
      </c>
      <c r="N14" s="156">
        <f t="shared" si="4"/>
        <v>41697.6873375</v>
      </c>
    </row>
    <row r="15" spans="1:14" s="1" customFormat="1" ht="14.25" x14ac:dyDescent="0.2">
      <c r="A15" s="7" t="s">
        <v>716</v>
      </c>
      <c r="B15" s="7"/>
      <c r="C15" s="8" t="s">
        <v>156</v>
      </c>
      <c r="D15" s="9">
        <f t="shared" si="0"/>
        <v>219886</v>
      </c>
      <c r="E15" s="9">
        <v>65927.72</v>
      </c>
      <c r="F15" s="9">
        <v>0</v>
      </c>
      <c r="G15" s="9">
        <v>401539.33</v>
      </c>
      <c r="H15" s="9">
        <v>933503.67</v>
      </c>
      <c r="I15" s="9">
        <v>30.07</v>
      </c>
      <c r="J15" s="27">
        <f t="shared" si="1"/>
        <v>0</v>
      </c>
      <c r="K15" s="35">
        <f t="shared" si="2"/>
        <v>219886</v>
      </c>
      <c r="L15" s="35">
        <f t="shared" si="3"/>
        <v>233628.875</v>
      </c>
      <c r="M15" s="35">
        <f t="shared" si="4"/>
        <v>249982.89624999999</v>
      </c>
      <c r="N15" s="156">
        <f t="shared" si="4"/>
        <v>267481.69898749999</v>
      </c>
    </row>
    <row r="16" spans="1:14" s="1" customFormat="1" ht="14.25" x14ac:dyDescent="0.2">
      <c r="A16" s="7" t="s">
        <v>717</v>
      </c>
      <c r="B16" s="7"/>
      <c r="C16" s="8" t="s">
        <v>157</v>
      </c>
      <c r="D16" s="9">
        <f t="shared" si="0"/>
        <v>15152</v>
      </c>
      <c r="E16" s="9">
        <v>65927.72</v>
      </c>
      <c r="F16" s="9">
        <v>0</v>
      </c>
      <c r="G16" s="9">
        <v>401539.33</v>
      </c>
      <c r="H16" s="9">
        <v>933503.67</v>
      </c>
      <c r="I16" s="9">
        <v>30.07</v>
      </c>
      <c r="J16" s="27">
        <f t="shared" si="1"/>
        <v>-5152</v>
      </c>
      <c r="K16" s="35">
        <f t="shared" si="2"/>
        <v>10000</v>
      </c>
      <c r="L16" s="35">
        <f t="shared" si="3"/>
        <v>10625</v>
      </c>
      <c r="M16" s="35">
        <f t="shared" si="4"/>
        <v>11368.75</v>
      </c>
      <c r="N16" s="156">
        <f t="shared" si="4"/>
        <v>12164.5625</v>
      </c>
    </row>
    <row r="17" spans="1:14" s="1" customFormat="1" ht="14.25" x14ac:dyDescent="0.2">
      <c r="A17" s="7" t="s">
        <v>718</v>
      </c>
      <c r="B17" s="7"/>
      <c r="C17" s="8" t="s">
        <v>159</v>
      </c>
      <c r="D17" s="9">
        <f t="shared" si="0"/>
        <v>111254</v>
      </c>
      <c r="E17" s="9">
        <v>65927.72</v>
      </c>
      <c r="F17" s="9">
        <v>0</v>
      </c>
      <c r="G17" s="9">
        <v>401539.33</v>
      </c>
      <c r="H17" s="9">
        <v>933503.67</v>
      </c>
      <c r="I17" s="9">
        <v>30.07</v>
      </c>
      <c r="J17" s="27">
        <f t="shared" si="1"/>
        <v>0</v>
      </c>
      <c r="K17" s="35">
        <f t="shared" si="2"/>
        <v>111254</v>
      </c>
      <c r="L17" s="35">
        <f t="shared" si="3"/>
        <v>118207.375</v>
      </c>
      <c r="M17" s="35">
        <f t="shared" si="4"/>
        <v>126481.89125</v>
      </c>
      <c r="N17" s="156">
        <f t="shared" si="4"/>
        <v>135335.62363749999</v>
      </c>
    </row>
    <row r="18" spans="1:14" s="1" customFormat="1" ht="14.25" x14ac:dyDescent="0.2">
      <c r="A18" s="7" t="s">
        <v>719</v>
      </c>
      <c r="B18" s="7"/>
      <c r="C18" s="8" t="s">
        <v>162</v>
      </c>
      <c r="D18" s="9">
        <f t="shared" si="0"/>
        <v>50926</v>
      </c>
      <c r="E18" s="9">
        <v>65927.72</v>
      </c>
      <c r="F18" s="9">
        <v>0</v>
      </c>
      <c r="G18" s="9">
        <v>401539.33</v>
      </c>
      <c r="H18" s="9">
        <v>933503.67</v>
      </c>
      <c r="I18" s="9">
        <v>30.07</v>
      </c>
      <c r="J18" s="27">
        <f t="shared" si="1"/>
        <v>-25000</v>
      </c>
      <c r="K18" s="35">
        <f t="shared" si="2"/>
        <v>25926</v>
      </c>
      <c r="L18" s="35">
        <f t="shared" si="3"/>
        <v>27546.375</v>
      </c>
      <c r="M18" s="35">
        <f t="shared" si="4"/>
        <v>29474.62125</v>
      </c>
      <c r="N18" s="156">
        <f t="shared" si="4"/>
        <v>31537.8447375</v>
      </c>
    </row>
    <row r="19" spans="1:14" s="1" customFormat="1" ht="14.25" x14ac:dyDescent="0.2">
      <c r="A19" s="7" t="s">
        <v>720</v>
      </c>
      <c r="B19" s="7"/>
      <c r="C19" s="8" t="s">
        <v>164</v>
      </c>
      <c r="D19" s="9">
        <f t="shared" si="0"/>
        <v>15692</v>
      </c>
      <c r="E19" s="9">
        <v>65927.72</v>
      </c>
      <c r="F19" s="9">
        <v>0</v>
      </c>
      <c r="G19" s="9">
        <v>401539.33</v>
      </c>
      <c r="H19" s="9">
        <v>933503.67</v>
      </c>
      <c r="I19" s="9">
        <v>30.07</v>
      </c>
      <c r="J19" s="27">
        <f t="shared" si="1"/>
        <v>0</v>
      </c>
      <c r="K19" s="35">
        <f t="shared" si="2"/>
        <v>15692</v>
      </c>
      <c r="L19" s="35">
        <f t="shared" si="3"/>
        <v>16672.75</v>
      </c>
      <c r="M19" s="35">
        <f t="shared" si="4"/>
        <v>17839.842499999999</v>
      </c>
      <c r="N19" s="156">
        <f t="shared" si="4"/>
        <v>19088.631474999998</v>
      </c>
    </row>
    <row r="20" spans="1:14" s="1" customFormat="1" ht="14.25" x14ac:dyDescent="0.2">
      <c r="A20" s="7"/>
      <c r="B20" s="7"/>
      <c r="C20" s="8"/>
      <c r="D20" s="9"/>
      <c r="E20" s="9"/>
      <c r="F20" s="9"/>
      <c r="G20" s="9"/>
      <c r="H20" s="9"/>
      <c r="I20" s="9"/>
      <c r="J20" s="35"/>
      <c r="K20" s="35"/>
      <c r="L20" s="35"/>
      <c r="M20" s="35"/>
      <c r="N20" s="156"/>
    </row>
    <row r="21" spans="1:14" s="2" customFormat="1" x14ac:dyDescent="0.25">
      <c r="A21" s="3"/>
      <c r="B21" s="3"/>
      <c r="C21" s="4" t="s">
        <v>165</v>
      </c>
      <c r="D21" s="5">
        <f>SUM(D9:D20)</f>
        <v>1932596</v>
      </c>
      <c r="E21" s="5">
        <f>SUM(E9:E20)</f>
        <v>725204.91999999981</v>
      </c>
      <c r="F21" s="5">
        <f>SUM(F9:F20)</f>
        <v>0</v>
      </c>
      <c r="G21" s="5">
        <f>SUM(G9:G20)</f>
        <v>4416932.63</v>
      </c>
      <c r="H21" s="5">
        <f>SUM(H9:H20)</f>
        <v>10268540.370000001</v>
      </c>
      <c r="I21" s="5">
        <v>27.69</v>
      </c>
      <c r="J21" s="22">
        <f>+K21-D21</f>
        <v>-71502.729999999981</v>
      </c>
      <c r="K21" s="34">
        <f>SUM(K9:K20)</f>
        <v>1861093.27</v>
      </c>
      <c r="L21" s="34">
        <f>SUM(L9:L20)</f>
        <v>1977411.599375</v>
      </c>
      <c r="M21" s="34">
        <f>SUM(M9:M20)</f>
        <v>2115830.4113312503</v>
      </c>
      <c r="N21" s="34">
        <f>SUM(N9:N20)</f>
        <v>2263938.5401244378</v>
      </c>
    </row>
    <row r="22" spans="1:14" s="2" customFormat="1" x14ac:dyDescent="0.25">
      <c r="A22" s="3"/>
      <c r="B22" s="3"/>
      <c r="C22" s="4"/>
      <c r="D22" s="5"/>
      <c r="E22" s="5"/>
      <c r="F22" s="5"/>
      <c r="G22" s="5"/>
      <c r="H22" s="5"/>
      <c r="I22" s="5"/>
      <c r="J22" s="35"/>
      <c r="K22" s="35"/>
      <c r="L22" s="34"/>
      <c r="M22" s="34"/>
      <c r="N22" s="155"/>
    </row>
    <row r="23" spans="1:14" s="2" customFormat="1" x14ac:dyDescent="0.25">
      <c r="A23" s="3"/>
      <c r="B23" s="3"/>
      <c r="C23" s="4" t="s">
        <v>166</v>
      </c>
      <c r="D23" s="5"/>
      <c r="E23" s="5"/>
      <c r="F23" s="5"/>
      <c r="G23" s="5"/>
      <c r="H23" s="5"/>
      <c r="I23" s="5"/>
      <c r="J23" s="27">
        <f>+K23-D23</f>
        <v>0</v>
      </c>
      <c r="K23" s="35"/>
      <c r="L23" s="34"/>
      <c r="M23" s="34"/>
      <c r="N23" s="155"/>
    </row>
    <row r="24" spans="1:14" s="1" customFormat="1" ht="14.25" x14ac:dyDescent="0.2">
      <c r="A24" s="7"/>
      <c r="B24" s="7"/>
      <c r="C24" s="8"/>
      <c r="D24" s="9"/>
      <c r="E24" s="9"/>
      <c r="F24" s="9"/>
      <c r="G24" s="9"/>
      <c r="H24" s="9"/>
      <c r="I24" s="9"/>
      <c r="J24" s="35"/>
      <c r="K24" s="35"/>
      <c r="L24" s="35"/>
      <c r="M24" s="35"/>
      <c r="N24" s="156"/>
    </row>
    <row r="25" spans="1:14" s="1" customFormat="1" ht="14.25" x14ac:dyDescent="0.2">
      <c r="A25" s="7" t="s">
        <v>721</v>
      </c>
      <c r="B25" s="7"/>
      <c r="C25" s="8" t="s">
        <v>167</v>
      </c>
      <c r="D25" s="9">
        <f>VLOOKUP(A25,fin,3,FALSE)</f>
        <v>449</v>
      </c>
      <c r="E25" s="9">
        <v>65927.72</v>
      </c>
      <c r="F25" s="9">
        <v>0</v>
      </c>
      <c r="G25" s="9">
        <v>401539.33</v>
      </c>
      <c r="H25" s="9">
        <v>933503.67</v>
      </c>
      <c r="I25" s="9">
        <v>30.07</v>
      </c>
      <c r="J25" s="27">
        <f>+K25-D25</f>
        <v>0</v>
      </c>
      <c r="K25" s="35">
        <f>VLOOKUP(A25,fin,4,FALSE)</f>
        <v>449</v>
      </c>
      <c r="L25" s="35">
        <f t="shared" ref="L25:L28" si="5">K25*6.25/100+K25</f>
        <v>477.0625</v>
      </c>
      <c r="M25" s="35">
        <f t="shared" ref="M25:N28" si="6">L25*7/100+L25</f>
        <v>510.45687499999997</v>
      </c>
      <c r="N25" s="156">
        <f t="shared" si="6"/>
        <v>546.18885624999996</v>
      </c>
    </row>
    <row r="26" spans="1:14" s="1" customFormat="1" ht="14.25" x14ac:dyDescent="0.2">
      <c r="A26" s="7" t="s">
        <v>722</v>
      </c>
      <c r="B26" s="7"/>
      <c r="C26" s="8" t="s">
        <v>168</v>
      </c>
      <c r="D26" s="9">
        <f>VLOOKUP(A26,fin,3,FALSE)</f>
        <v>107816</v>
      </c>
      <c r="E26" s="9">
        <v>65927.72</v>
      </c>
      <c r="F26" s="9">
        <v>0</v>
      </c>
      <c r="G26" s="9">
        <v>401539.33</v>
      </c>
      <c r="H26" s="9">
        <v>933503.67</v>
      </c>
      <c r="I26" s="9">
        <v>30.07</v>
      </c>
      <c r="J26" s="27">
        <f>+K26-D26</f>
        <v>0</v>
      </c>
      <c r="K26" s="35">
        <f>VLOOKUP(A26,fin,4,FALSE)</f>
        <v>107816</v>
      </c>
      <c r="L26" s="35">
        <f t="shared" si="5"/>
        <v>114554.5</v>
      </c>
      <c r="M26" s="35">
        <f t="shared" si="6"/>
        <v>122573.315</v>
      </c>
      <c r="N26" s="156">
        <f t="shared" si="6"/>
        <v>131153.44705000002</v>
      </c>
    </row>
    <row r="27" spans="1:14" s="1" customFormat="1" ht="14.25" x14ac:dyDescent="0.2">
      <c r="A27" s="7" t="s">
        <v>723</v>
      </c>
      <c r="B27" s="7"/>
      <c r="C27" s="8" t="s">
        <v>169</v>
      </c>
      <c r="D27" s="9">
        <f>VLOOKUP(A27,fin,3,FALSE)</f>
        <v>293709</v>
      </c>
      <c r="E27" s="9">
        <v>65927.72</v>
      </c>
      <c r="F27" s="9">
        <v>0</v>
      </c>
      <c r="G27" s="9">
        <v>401539.33</v>
      </c>
      <c r="H27" s="9">
        <v>933503.67</v>
      </c>
      <c r="I27" s="9">
        <v>30.07</v>
      </c>
      <c r="J27" s="27">
        <f>+K27-D27</f>
        <v>0</v>
      </c>
      <c r="K27" s="35">
        <f>VLOOKUP(A27,fin,4,FALSE)</f>
        <v>293709</v>
      </c>
      <c r="L27" s="35">
        <f t="shared" si="5"/>
        <v>312065.8125</v>
      </c>
      <c r="M27" s="35">
        <f t="shared" si="6"/>
        <v>333910.419375</v>
      </c>
      <c r="N27" s="156">
        <f t="shared" si="6"/>
        <v>357284.14873124997</v>
      </c>
    </row>
    <row r="28" spans="1:14" s="1" customFormat="1" ht="14.25" x14ac:dyDescent="0.2">
      <c r="A28" s="7" t="s">
        <v>724</v>
      </c>
      <c r="B28" s="7"/>
      <c r="C28" s="8" t="s">
        <v>170</v>
      </c>
      <c r="D28" s="9">
        <f>VLOOKUP(A28,fin,3,FALSE)</f>
        <v>7140</v>
      </c>
      <c r="E28" s="9">
        <v>65927.72</v>
      </c>
      <c r="F28" s="9">
        <v>0</v>
      </c>
      <c r="G28" s="9">
        <v>401539.33</v>
      </c>
      <c r="H28" s="9">
        <v>933503.67</v>
      </c>
      <c r="I28" s="9">
        <v>30.07</v>
      </c>
      <c r="J28" s="27">
        <f>+K28-D28</f>
        <v>0</v>
      </c>
      <c r="K28" s="35">
        <f>VLOOKUP(A28,fin,4,FALSE)</f>
        <v>7140</v>
      </c>
      <c r="L28" s="35">
        <f t="shared" si="5"/>
        <v>7586.25</v>
      </c>
      <c r="M28" s="35">
        <f t="shared" si="6"/>
        <v>8117.2875000000004</v>
      </c>
      <c r="N28" s="156">
        <f t="shared" si="6"/>
        <v>8685.497625</v>
      </c>
    </row>
    <row r="29" spans="1:14" s="1" customFormat="1" ht="14.25" x14ac:dyDescent="0.2">
      <c r="A29" s="7"/>
      <c r="B29" s="7"/>
      <c r="C29" s="8"/>
      <c r="D29" s="9"/>
      <c r="E29" s="9"/>
      <c r="F29" s="9"/>
      <c r="G29" s="9"/>
      <c r="H29" s="9"/>
      <c r="I29" s="9"/>
      <c r="J29" s="35"/>
      <c r="K29" s="35"/>
      <c r="L29" s="35"/>
      <c r="M29" s="35"/>
      <c r="N29" s="156"/>
    </row>
    <row r="30" spans="1:14" s="2" customFormat="1" x14ac:dyDescent="0.25">
      <c r="A30" s="3"/>
      <c r="B30" s="3"/>
      <c r="C30" s="4" t="s">
        <v>171</v>
      </c>
      <c r="D30" s="5">
        <f>SUM(D25:D29)</f>
        <v>409114</v>
      </c>
      <c r="E30" s="5">
        <f>SUM(E25:E29)</f>
        <v>263710.88</v>
      </c>
      <c r="F30" s="5">
        <f>SUM(F25:F29)</f>
        <v>0</v>
      </c>
      <c r="G30" s="5">
        <f>SUM(G25:G29)</f>
        <v>1606157.32</v>
      </c>
      <c r="H30" s="5">
        <f>SUM(H25:H29)</f>
        <v>3734014.68</v>
      </c>
      <c r="I30" s="5">
        <v>26.44</v>
      </c>
      <c r="J30" s="27">
        <f>+K30-D30</f>
        <v>0</v>
      </c>
      <c r="K30" s="34">
        <f>SUM(K25:K29)</f>
        <v>409114</v>
      </c>
      <c r="L30" s="34">
        <f>SUM(L25:L29)</f>
        <v>434683.625</v>
      </c>
      <c r="M30" s="34">
        <f>SUM(M25:M29)</f>
        <v>465111.47875000001</v>
      </c>
      <c r="N30" s="34">
        <f>SUM(N25:N29)</f>
        <v>497669.28226249997</v>
      </c>
    </row>
    <row r="31" spans="1:14" s="2" customFormat="1" x14ac:dyDescent="0.25">
      <c r="A31" s="3"/>
      <c r="B31" s="3"/>
      <c r="C31" s="4"/>
      <c r="D31" s="5"/>
      <c r="E31" s="5"/>
      <c r="F31" s="5"/>
      <c r="G31" s="5"/>
      <c r="H31" s="5"/>
      <c r="I31" s="5"/>
      <c r="J31" s="35"/>
      <c r="K31" s="35"/>
      <c r="L31" s="34"/>
      <c r="M31" s="34"/>
      <c r="N31" s="155"/>
    </row>
    <row r="32" spans="1:14" s="2" customFormat="1" x14ac:dyDescent="0.25">
      <c r="A32" s="3"/>
      <c r="B32" s="3"/>
      <c r="C32" s="4" t="s">
        <v>172</v>
      </c>
      <c r="D32" s="5"/>
      <c r="E32" s="5"/>
      <c r="F32" s="5"/>
      <c r="G32" s="5"/>
      <c r="H32" s="5"/>
      <c r="I32" s="5"/>
      <c r="J32" s="27"/>
      <c r="K32" s="35"/>
      <c r="L32" s="34"/>
      <c r="M32" s="34"/>
      <c r="N32" s="155"/>
    </row>
    <row r="33" spans="1:14" s="1" customFormat="1" ht="14.25" x14ac:dyDescent="0.2">
      <c r="A33" s="7"/>
      <c r="B33" s="7"/>
      <c r="C33" s="8"/>
      <c r="D33" s="9"/>
      <c r="E33" s="9"/>
      <c r="F33" s="9"/>
      <c r="G33" s="9"/>
      <c r="H33" s="9"/>
      <c r="I33" s="9"/>
      <c r="J33" s="35"/>
      <c r="K33" s="35"/>
      <c r="L33" s="35"/>
      <c r="M33" s="35"/>
      <c r="N33" s="156"/>
    </row>
    <row r="34" spans="1:14" s="1" customFormat="1" ht="14.25" x14ac:dyDescent="0.2">
      <c r="A34" s="7" t="s">
        <v>725</v>
      </c>
      <c r="B34" s="7"/>
      <c r="C34" s="8" t="s">
        <v>173</v>
      </c>
      <c r="D34" s="9">
        <f>VLOOKUP(A34,fin,3,FALSE)</f>
        <v>4606</v>
      </c>
      <c r="E34" s="9">
        <v>65927.72</v>
      </c>
      <c r="F34" s="9">
        <v>0</v>
      </c>
      <c r="G34" s="9">
        <v>401539.33</v>
      </c>
      <c r="H34" s="9">
        <v>933503.67</v>
      </c>
      <c r="I34" s="9">
        <v>30.07</v>
      </c>
      <c r="J34" s="27">
        <f>+K34-D34</f>
        <v>0</v>
      </c>
      <c r="K34" s="35">
        <f>VLOOKUP(A34,fin,4,FALSE)</f>
        <v>4606</v>
      </c>
      <c r="L34" s="35">
        <f t="shared" ref="L34:L36" si="7">K34*6.25/100+K34</f>
        <v>4893.875</v>
      </c>
      <c r="M34" s="35">
        <f t="shared" ref="M34:N36" si="8">L34*7/100+L34</f>
        <v>5236.44625</v>
      </c>
      <c r="N34" s="156">
        <f t="shared" si="8"/>
        <v>5602.9974874999998</v>
      </c>
    </row>
    <row r="35" spans="1:14" s="1" customFormat="1" ht="14.25" x14ac:dyDescent="0.2">
      <c r="A35" s="7" t="s">
        <v>726</v>
      </c>
      <c r="B35" s="7"/>
      <c r="C35" s="8" t="s">
        <v>174</v>
      </c>
      <c r="D35" s="9">
        <f>VLOOKUP(A35,fin,3,FALSE)</f>
        <v>7357</v>
      </c>
      <c r="E35" s="9">
        <v>65927.72</v>
      </c>
      <c r="F35" s="9">
        <v>0</v>
      </c>
      <c r="G35" s="9">
        <v>401539.33</v>
      </c>
      <c r="H35" s="9">
        <v>933503.67</v>
      </c>
      <c r="I35" s="9">
        <v>30.07</v>
      </c>
      <c r="J35" s="27">
        <f>+K35-D35</f>
        <v>0</v>
      </c>
      <c r="K35" s="35">
        <f>VLOOKUP(A35,fin,4,FALSE)</f>
        <v>7357</v>
      </c>
      <c r="L35" s="35">
        <f t="shared" si="7"/>
        <v>7816.8125</v>
      </c>
      <c r="M35" s="35">
        <f t="shared" si="8"/>
        <v>8363.9893749999992</v>
      </c>
      <c r="N35" s="156">
        <f t="shared" si="8"/>
        <v>8949.4686312499998</v>
      </c>
    </row>
    <row r="36" spans="1:14" s="1" customFormat="1" ht="14.25" x14ac:dyDescent="0.2">
      <c r="A36" s="7" t="s">
        <v>727</v>
      </c>
      <c r="B36" s="7"/>
      <c r="C36" s="8" t="s">
        <v>175</v>
      </c>
      <c r="D36" s="9">
        <f>VLOOKUP(A36,fin,3,FALSE)</f>
        <v>4920</v>
      </c>
      <c r="E36" s="9">
        <v>65927.72</v>
      </c>
      <c r="F36" s="9">
        <v>0</v>
      </c>
      <c r="G36" s="9">
        <v>401539.33</v>
      </c>
      <c r="H36" s="9">
        <v>933503.67</v>
      </c>
      <c r="I36" s="9">
        <v>30.07</v>
      </c>
      <c r="J36" s="27">
        <f>+K36-D36</f>
        <v>0</v>
      </c>
      <c r="K36" s="35">
        <f>VLOOKUP(A36,fin,4,FALSE)</f>
        <v>4920</v>
      </c>
      <c r="L36" s="35">
        <f t="shared" si="7"/>
        <v>5227.5</v>
      </c>
      <c r="M36" s="35">
        <f t="shared" si="8"/>
        <v>5593.4250000000002</v>
      </c>
      <c r="N36" s="156">
        <f t="shared" si="8"/>
        <v>5984.9647500000001</v>
      </c>
    </row>
    <row r="37" spans="1:14" s="1" customFormat="1" ht="14.25" x14ac:dyDescent="0.2">
      <c r="A37" s="7"/>
      <c r="B37" s="7"/>
      <c r="C37" s="8"/>
      <c r="D37" s="9"/>
      <c r="E37" s="9"/>
      <c r="F37" s="9"/>
      <c r="G37" s="9"/>
      <c r="H37" s="9"/>
      <c r="I37" s="9"/>
      <c r="J37" s="35"/>
      <c r="K37" s="35"/>
      <c r="L37" s="35"/>
      <c r="M37" s="35"/>
      <c r="N37" s="156"/>
    </row>
    <row r="38" spans="1:14" s="2" customFormat="1" x14ac:dyDescent="0.25">
      <c r="A38" s="3"/>
      <c r="B38" s="3"/>
      <c r="C38" s="4" t="s">
        <v>176</v>
      </c>
      <c r="D38" s="5">
        <f>SUM(D34:D37)</f>
        <v>16883</v>
      </c>
      <c r="E38" s="5">
        <f>SUM(E34:E37)</f>
        <v>197783.16</v>
      </c>
      <c r="F38" s="5">
        <f>SUM(F34:F37)</f>
        <v>0</v>
      </c>
      <c r="G38" s="5">
        <f>SUM(G34:G37)</f>
        <v>1204617.99</v>
      </c>
      <c r="H38" s="5">
        <f>SUM(H34:H37)</f>
        <v>2800511.0100000002</v>
      </c>
      <c r="I38" s="5">
        <v>0</v>
      </c>
      <c r="J38" s="22">
        <f>+K38-D38</f>
        <v>0</v>
      </c>
      <c r="K38" s="34">
        <f>SUM(K34:K37)</f>
        <v>16883</v>
      </c>
      <c r="L38" s="34">
        <f>SUM(L34:L37)</f>
        <v>17938.1875</v>
      </c>
      <c r="M38" s="34">
        <f>SUM(M34:M37)</f>
        <v>19193.860624999998</v>
      </c>
      <c r="N38" s="34">
        <f>SUM(N34:N37)</f>
        <v>20537.430868749998</v>
      </c>
    </row>
    <row r="39" spans="1:14" s="2" customFormat="1" x14ac:dyDescent="0.25">
      <c r="A39" s="3"/>
      <c r="B39" s="3"/>
      <c r="C39" s="4"/>
      <c r="D39" s="5"/>
      <c r="E39" s="5"/>
      <c r="F39" s="5"/>
      <c r="G39" s="5"/>
      <c r="H39" s="5"/>
      <c r="I39" s="5"/>
      <c r="J39" s="34"/>
      <c r="K39" s="34"/>
      <c r="L39" s="34"/>
      <c r="M39" s="34"/>
      <c r="N39" s="155"/>
    </row>
    <row r="40" spans="1:14" s="2" customFormat="1" x14ac:dyDescent="0.25">
      <c r="A40" s="3"/>
      <c r="B40" s="3"/>
      <c r="C40" s="4" t="s">
        <v>177</v>
      </c>
      <c r="D40" s="5">
        <f>D21+D30+D38</f>
        <v>2358593</v>
      </c>
      <c r="E40" s="5">
        <f t="shared" ref="E40:N40" si="9">E21+E30+E38</f>
        <v>1186698.9599999997</v>
      </c>
      <c r="F40" s="5">
        <f t="shared" si="9"/>
        <v>0</v>
      </c>
      <c r="G40" s="5">
        <f t="shared" si="9"/>
        <v>7227707.9400000004</v>
      </c>
      <c r="H40" s="5">
        <f t="shared" si="9"/>
        <v>16803066.060000002</v>
      </c>
      <c r="I40" s="5">
        <v>27.28</v>
      </c>
      <c r="J40" s="22">
        <f>+K40-D40</f>
        <v>-71502.729999999981</v>
      </c>
      <c r="K40" s="34">
        <f t="shared" si="9"/>
        <v>2287090.27</v>
      </c>
      <c r="L40" s="34">
        <f t="shared" si="9"/>
        <v>2430033.4118750002</v>
      </c>
      <c r="M40" s="34">
        <f t="shared" si="9"/>
        <v>2600135.7507062503</v>
      </c>
      <c r="N40" s="34">
        <f t="shared" si="9"/>
        <v>2782145.2532556877</v>
      </c>
    </row>
    <row r="41" spans="1:14" s="2" customFormat="1" x14ac:dyDescent="0.25">
      <c r="A41" s="3"/>
      <c r="B41" s="3"/>
      <c r="C41" s="4"/>
      <c r="D41" s="5"/>
      <c r="E41" s="5"/>
      <c r="F41" s="5"/>
      <c r="G41" s="5"/>
      <c r="H41" s="5"/>
      <c r="I41" s="5"/>
      <c r="J41" s="34"/>
      <c r="K41" s="34"/>
      <c r="L41" s="34"/>
      <c r="M41" s="34"/>
      <c r="N41" s="155"/>
    </row>
    <row r="42" spans="1:14" s="2" customFormat="1" x14ac:dyDescent="0.25">
      <c r="A42" s="3"/>
      <c r="B42" s="3"/>
      <c r="C42" s="4" t="s">
        <v>178</v>
      </c>
      <c r="D42" s="5">
        <f>D40</f>
        <v>2358593</v>
      </c>
      <c r="E42" s="5">
        <f t="shared" ref="E42:N42" si="10">E40</f>
        <v>1186698.9599999997</v>
      </c>
      <c r="F42" s="5">
        <f t="shared" si="10"/>
        <v>0</v>
      </c>
      <c r="G42" s="5">
        <f t="shared" si="10"/>
        <v>7227707.9400000004</v>
      </c>
      <c r="H42" s="5">
        <f t="shared" si="10"/>
        <v>16803066.060000002</v>
      </c>
      <c r="I42" s="5">
        <v>27.28</v>
      </c>
      <c r="J42" s="22">
        <f>+K42-D42</f>
        <v>-71502.729999999981</v>
      </c>
      <c r="K42" s="34">
        <f t="shared" si="10"/>
        <v>2287090.27</v>
      </c>
      <c r="L42" s="34">
        <f t="shared" si="10"/>
        <v>2430033.4118750002</v>
      </c>
      <c r="M42" s="34">
        <f t="shared" si="10"/>
        <v>2600135.7507062503</v>
      </c>
      <c r="N42" s="34">
        <f t="shared" si="10"/>
        <v>2782145.2532556877</v>
      </c>
    </row>
    <row r="43" spans="1:14" s="2" customFormat="1" x14ac:dyDescent="0.25">
      <c r="A43" s="3"/>
      <c r="B43" s="3"/>
      <c r="C43" s="4"/>
      <c r="D43" s="5"/>
      <c r="E43" s="5"/>
      <c r="F43" s="5"/>
      <c r="G43" s="5"/>
      <c r="H43" s="5"/>
      <c r="I43" s="5"/>
      <c r="J43" s="35"/>
      <c r="K43" s="35"/>
      <c r="L43" s="34"/>
      <c r="M43" s="34"/>
      <c r="N43" s="155"/>
    </row>
    <row r="44" spans="1:14" s="2" customFormat="1" x14ac:dyDescent="0.25">
      <c r="A44" s="3"/>
      <c r="B44" s="3"/>
      <c r="C44" s="4" t="s">
        <v>179</v>
      </c>
      <c r="D44" s="5"/>
      <c r="E44" s="5"/>
      <c r="F44" s="5"/>
      <c r="G44" s="5"/>
      <c r="H44" s="5"/>
      <c r="I44" s="5"/>
      <c r="J44" s="27"/>
      <c r="K44" s="35"/>
      <c r="L44" s="34"/>
      <c r="M44" s="34"/>
      <c r="N44" s="155"/>
    </row>
    <row r="45" spans="1:14" s="2" customFormat="1" x14ac:dyDescent="0.25">
      <c r="A45" s="3"/>
      <c r="B45" s="3"/>
      <c r="C45" s="4"/>
      <c r="D45" s="5"/>
      <c r="E45" s="5"/>
      <c r="F45" s="5"/>
      <c r="G45" s="5"/>
      <c r="H45" s="5"/>
      <c r="I45" s="5"/>
      <c r="J45" s="35"/>
      <c r="K45" s="35"/>
      <c r="L45" s="34"/>
      <c r="M45" s="34"/>
      <c r="N45" s="155"/>
    </row>
    <row r="46" spans="1:14" s="2" customFormat="1" x14ac:dyDescent="0.25">
      <c r="A46" s="3"/>
      <c r="B46" s="3"/>
      <c r="C46" s="4" t="s">
        <v>191</v>
      </c>
      <c r="D46" s="5"/>
      <c r="E46" s="5"/>
      <c r="F46" s="5"/>
      <c r="G46" s="5"/>
      <c r="H46" s="5"/>
      <c r="I46" s="5"/>
      <c r="J46" s="27"/>
      <c r="K46" s="35"/>
      <c r="L46" s="34"/>
      <c r="M46" s="34"/>
      <c r="N46" s="155"/>
    </row>
    <row r="47" spans="1:14" s="1" customFormat="1" ht="14.25" x14ac:dyDescent="0.2">
      <c r="A47" s="7"/>
      <c r="B47" s="7"/>
      <c r="C47" s="8"/>
      <c r="D47" s="9"/>
      <c r="E47" s="9"/>
      <c r="F47" s="9"/>
      <c r="G47" s="9"/>
      <c r="H47" s="9"/>
      <c r="I47" s="9"/>
      <c r="J47" s="35"/>
      <c r="K47" s="35"/>
      <c r="L47" s="35"/>
      <c r="M47" s="35"/>
      <c r="N47" s="156"/>
    </row>
    <row r="48" spans="1:14" s="1" customFormat="1" ht="14.25" x14ac:dyDescent="0.2">
      <c r="A48" s="7" t="s">
        <v>728</v>
      </c>
      <c r="B48" s="7"/>
      <c r="C48" s="8" t="s">
        <v>192</v>
      </c>
      <c r="D48" s="9">
        <f>VLOOKUP(A48,fin,3,FALSE)</f>
        <v>221423</v>
      </c>
      <c r="E48" s="9">
        <v>65927.72</v>
      </c>
      <c r="F48" s="9">
        <v>0</v>
      </c>
      <c r="G48" s="9">
        <v>401539.33</v>
      </c>
      <c r="H48" s="9">
        <v>933503.67</v>
      </c>
      <c r="I48" s="9">
        <v>30.07</v>
      </c>
      <c r="J48" s="27">
        <f>+K48-D48</f>
        <v>0</v>
      </c>
      <c r="K48" s="35">
        <f>VLOOKUP(A48,fin,4,FALSE)</f>
        <v>221423</v>
      </c>
      <c r="L48" s="35">
        <f t="shared" ref="L48:L50" si="11">K48*6.25/100+K48</f>
        <v>235261.9375</v>
      </c>
      <c r="M48" s="35">
        <f t="shared" ref="M48:N50" si="12">L48*7/100+L48</f>
        <v>251730.27312500001</v>
      </c>
      <c r="N48" s="156">
        <f t="shared" si="12"/>
        <v>269351.39224374999</v>
      </c>
    </row>
    <row r="49" spans="1:14" s="1" customFormat="1" ht="14.25" x14ac:dyDescent="0.2">
      <c r="A49" s="7" t="s">
        <v>729</v>
      </c>
      <c r="B49" s="7"/>
      <c r="C49" s="8" t="s">
        <v>193</v>
      </c>
      <c r="D49" s="9">
        <f>VLOOKUP(A49,fin,3,FALSE)</f>
        <v>664269</v>
      </c>
      <c r="E49" s="9">
        <v>65927.72</v>
      </c>
      <c r="F49" s="9">
        <v>0</v>
      </c>
      <c r="G49" s="9">
        <v>401539.33</v>
      </c>
      <c r="H49" s="9">
        <v>933503.67</v>
      </c>
      <c r="I49" s="9">
        <v>30.07</v>
      </c>
      <c r="J49" s="27">
        <f>+K49-D49</f>
        <v>0</v>
      </c>
      <c r="K49" s="35">
        <f>VLOOKUP(A49,fin,4,FALSE)</f>
        <v>664269</v>
      </c>
      <c r="L49" s="35">
        <f t="shared" si="11"/>
        <v>705785.8125</v>
      </c>
      <c r="M49" s="35">
        <f t="shared" si="12"/>
        <v>755190.81937499996</v>
      </c>
      <c r="N49" s="156">
        <f t="shared" si="12"/>
        <v>808054.17673125002</v>
      </c>
    </row>
    <row r="50" spans="1:14" s="1" customFormat="1" ht="14.25" x14ac:dyDescent="0.2">
      <c r="A50" s="7" t="s">
        <v>730</v>
      </c>
      <c r="B50" s="7"/>
      <c r="C50" s="8" t="s">
        <v>194</v>
      </c>
      <c r="D50" s="9">
        <f>VLOOKUP(A50,fin,3,FALSE)</f>
        <v>47508</v>
      </c>
      <c r="E50" s="9">
        <v>65927.72</v>
      </c>
      <c r="F50" s="9">
        <v>0</v>
      </c>
      <c r="G50" s="9">
        <v>401539.33</v>
      </c>
      <c r="H50" s="9">
        <v>933503.67</v>
      </c>
      <c r="I50" s="9">
        <v>30.07</v>
      </c>
      <c r="J50" s="27">
        <f>+K50-D50</f>
        <v>0</v>
      </c>
      <c r="K50" s="35">
        <f>VLOOKUP(A50,fin,4,FALSE)</f>
        <v>47508</v>
      </c>
      <c r="L50" s="35">
        <f t="shared" si="11"/>
        <v>50477.25</v>
      </c>
      <c r="M50" s="35">
        <f t="shared" si="12"/>
        <v>54010.657500000001</v>
      </c>
      <c r="N50" s="156">
        <f t="shared" si="12"/>
        <v>57791.403525000002</v>
      </c>
    </row>
    <row r="51" spans="1:14" s="1" customFormat="1" ht="14.25" x14ac:dyDescent="0.2">
      <c r="A51" s="7"/>
      <c r="B51" s="7"/>
      <c r="C51" s="8"/>
      <c r="D51" s="9"/>
      <c r="E51" s="9"/>
      <c r="F51" s="9"/>
      <c r="G51" s="9"/>
      <c r="H51" s="9"/>
      <c r="I51" s="9"/>
      <c r="J51" s="35"/>
      <c r="K51" s="35"/>
      <c r="L51" s="35"/>
      <c r="M51" s="35"/>
      <c r="N51" s="156"/>
    </row>
    <row r="52" spans="1:14" s="2" customFormat="1" x14ac:dyDescent="0.25">
      <c r="A52" s="3"/>
      <c r="B52" s="3"/>
      <c r="C52" s="4" t="s">
        <v>195</v>
      </c>
      <c r="D52" s="5">
        <f>SUM(D48:D51)</f>
        <v>933200</v>
      </c>
      <c r="E52" s="5">
        <f t="shared" ref="E52:N52" si="13">SUM(E48:E51)</f>
        <v>197783.16</v>
      </c>
      <c r="F52" s="5">
        <f t="shared" si="13"/>
        <v>0</v>
      </c>
      <c r="G52" s="5">
        <f t="shared" si="13"/>
        <v>1204617.99</v>
      </c>
      <c r="H52" s="5">
        <f t="shared" si="13"/>
        <v>2800511.0100000002</v>
      </c>
      <c r="I52" s="5">
        <f t="shared" si="13"/>
        <v>90.210000000000008</v>
      </c>
      <c r="J52" s="5">
        <f t="shared" si="13"/>
        <v>0</v>
      </c>
      <c r="K52" s="5">
        <f t="shared" si="13"/>
        <v>933200</v>
      </c>
      <c r="L52" s="5">
        <f t="shared" si="13"/>
        <v>991525</v>
      </c>
      <c r="M52" s="5">
        <f t="shared" si="13"/>
        <v>1060931.75</v>
      </c>
      <c r="N52" s="5">
        <f t="shared" si="13"/>
        <v>1135196.9724999999</v>
      </c>
    </row>
    <row r="53" spans="1:14" s="2" customFormat="1" x14ac:dyDescent="0.25">
      <c r="A53" s="3"/>
      <c r="B53" s="3"/>
      <c r="C53" s="4"/>
      <c r="D53" s="5"/>
      <c r="E53" s="5"/>
      <c r="F53" s="5"/>
      <c r="G53" s="5"/>
      <c r="H53" s="5"/>
      <c r="I53" s="5"/>
      <c r="J53" s="35"/>
      <c r="K53" s="35"/>
      <c r="L53" s="34"/>
      <c r="M53" s="34"/>
      <c r="N53" s="155"/>
    </row>
    <row r="54" spans="1:14" s="2" customFormat="1" x14ac:dyDescent="0.25">
      <c r="A54" s="3"/>
      <c r="B54" s="3"/>
      <c r="C54" s="4" t="s">
        <v>201</v>
      </c>
      <c r="D54" s="5"/>
      <c r="E54" s="5"/>
      <c r="F54" s="5"/>
      <c r="G54" s="5"/>
      <c r="H54" s="5"/>
      <c r="I54" s="5"/>
      <c r="J54" s="27">
        <f>+K54-D54</f>
        <v>0</v>
      </c>
      <c r="K54" s="35"/>
      <c r="L54" s="34"/>
      <c r="M54" s="34"/>
      <c r="N54" s="155"/>
    </row>
    <row r="55" spans="1:14" s="2" customFormat="1" x14ac:dyDescent="0.25">
      <c r="A55" s="3"/>
      <c r="B55" s="3"/>
      <c r="C55" s="4"/>
      <c r="D55" s="5"/>
      <c r="E55" s="5"/>
      <c r="F55" s="5"/>
      <c r="G55" s="5"/>
      <c r="H55" s="5"/>
      <c r="I55" s="5"/>
      <c r="J55" s="35"/>
      <c r="K55" s="35"/>
      <c r="L55" s="34"/>
      <c r="M55" s="34"/>
      <c r="N55" s="155"/>
    </row>
    <row r="56" spans="1:14" s="1" customFormat="1" ht="14.25" x14ac:dyDescent="0.2">
      <c r="A56" s="7" t="s">
        <v>731</v>
      </c>
      <c r="B56" s="7"/>
      <c r="C56" s="8" t="s">
        <v>202</v>
      </c>
      <c r="D56" s="9">
        <f>VLOOKUP(A56,fin,3,FALSE)</f>
        <v>0</v>
      </c>
      <c r="E56" s="9">
        <v>65927.72</v>
      </c>
      <c r="F56" s="9">
        <v>0</v>
      </c>
      <c r="G56" s="9">
        <v>401539.33</v>
      </c>
      <c r="H56" s="9">
        <v>933503.67</v>
      </c>
      <c r="I56" s="9">
        <v>30.07</v>
      </c>
      <c r="J56" s="27">
        <f>+K56-D56</f>
        <v>0</v>
      </c>
      <c r="K56" s="35">
        <f>VLOOKUP(A56,fin,4,FALSE)</f>
        <v>0</v>
      </c>
      <c r="L56" s="35">
        <f>VLOOKUP(A56,fin,5,FALSE)</f>
        <v>0</v>
      </c>
      <c r="M56" s="35">
        <f>VLOOKUP(A56,fin,6,FALSE)</f>
        <v>0</v>
      </c>
      <c r="N56" s="156"/>
    </row>
    <row r="57" spans="1:14" s="1" customFormat="1" ht="14.25" x14ac:dyDescent="0.2">
      <c r="A57" s="7" t="s">
        <v>732</v>
      </c>
      <c r="B57" s="7"/>
      <c r="C57" s="8" t="s">
        <v>203</v>
      </c>
      <c r="D57" s="9">
        <f>VLOOKUP(A57,fin,3,FALSE)</f>
        <v>0</v>
      </c>
      <c r="E57" s="9">
        <v>65927.72</v>
      </c>
      <c r="F57" s="9">
        <v>0</v>
      </c>
      <c r="G57" s="9">
        <v>401539.33</v>
      </c>
      <c r="H57" s="9">
        <v>933503.67</v>
      </c>
      <c r="I57" s="9">
        <v>30.07</v>
      </c>
      <c r="J57" s="27">
        <f>+K57-D57</f>
        <v>0</v>
      </c>
      <c r="K57" s="35">
        <f>VLOOKUP(A57,fin,4,FALSE)</f>
        <v>0</v>
      </c>
      <c r="L57" s="35">
        <f>VLOOKUP(A57,fin,5,FALSE)</f>
        <v>0</v>
      </c>
      <c r="M57" s="35">
        <f>VLOOKUP(A57,fin,6,FALSE)</f>
        <v>0</v>
      </c>
      <c r="N57" s="156"/>
    </row>
    <row r="58" spans="1:14" s="1" customFormat="1" ht="14.25" x14ac:dyDescent="0.2">
      <c r="A58" s="7" t="s">
        <v>733</v>
      </c>
      <c r="B58" s="7"/>
      <c r="C58" s="8" t="s">
        <v>204</v>
      </c>
      <c r="D58" s="9">
        <f>VLOOKUP(A58,fin,3,FALSE)</f>
        <v>0</v>
      </c>
      <c r="E58" s="9">
        <v>65927.72</v>
      </c>
      <c r="F58" s="9">
        <v>0</v>
      </c>
      <c r="G58" s="9">
        <v>401539.33</v>
      </c>
      <c r="H58" s="9">
        <v>933503.67</v>
      </c>
      <c r="I58" s="9">
        <v>30.07</v>
      </c>
      <c r="J58" s="27">
        <f>+K58-D58</f>
        <v>0</v>
      </c>
      <c r="K58" s="35">
        <f>VLOOKUP(A58,fin,4,FALSE)</f>
        <v>0</v>
      </c>
      <c r="L58" s="35">
        <f>VLOOKUP(A58,fin,5,FALSE)</f>
        <v>0</v>
      </c>
      <c r="M58" s="35">
        <f>VLOOKUP(A58,fin,6,FALSE)</f>
        <v>0</v>
      </c>
      <c r="N58" s="156"/>
    </row>
    <row r="59" spans="1:14" s="1" customFormat="1" ht="14.25" x14ac:dyDescent="0.2">
      <c r="A59" s="7"/>
      <c r="B59" s="7"/>
      <c r="C59" s="8"/>
      <c r="D59" s="9"/>
      <c r="E59" s="9"/>
      <c r="F59" s="9"/>
      <c r="G59" s="9"/>
      <c r="H59" s="9"/>
      <c r="I59" s="9"/>
      <c r="J59" s="35"/>
      <c r="K59" s="35"/>
      <c r="L59" s="35"/>
      <c r="M59" s="35"/>
      <c r="N59" s="156"/>
    </row>
    <row r="60" spans="1:14" s="2" customFormat="1" x14ac:dyDescent="0.25">
      <c r="A60" s="3"/>
      <c r="B60" s="3"/>
      <c r="C60" s="4" t="s">
        <v>205</v>
      </c>
      <c r="D60" s="5">
        <f>SUM(D56:D59)</f>
        <v>0</v>
      </c>
      <c r="E60" s="5">
        <f>SUM(E56:E59)</f>
        <v>197783.16</v>
      </c>
      <c r="F60" s="5">
        <f>SUM(F56:F59)</f>
        <v>0</v>
      </c>
      <c r="G60" s="5">
        <f>SUM(G56:G59)</f>
        <v>1204617.99</v>
      </c>
      <c r="H60" s="5">
        <f>SUM(H56:H59)</f>
        <v>2800511.0100000002</v>
      </c>
      <c r="I60" s="5">
        <v>0</v>
      </c>
      <c r="J60" s="27">
        <f>+K60-D60</f>
        <v>0</v>
      </c>
      <c r="K60" s="34">
        <f>SUM(K56:K59)</f>
        <v>0</v>
      </c>
      <c r="L60" s="34">
        <f>SUM(L56:L59)</f>
        <v>0</v>
      </c>
      <c r="M60" s="34">
        <f>SUM(M56:M59)</f>
        <v>0</v>
      </c>
      <c r="N60" s="155"/>
    </row>
    <row r="61" spans="1:14" s="2" customFormat="1" x14ac:dyDescent="0.25">
      <c r="A61" s="3"/>
      <c r="B61" s="3"/>
      <c r="C61" s="4"/>
      <c r="D61" s="5"/>
      <c r="E61" s="5"/>
      <c r="F61" s="5"/>
      <c r="G61" s="5"/>
      <c r="H61" s="5"/>
      <c r="I61" s="5"/>
      <c r="J61" s="35"/>
      <c r="K61" s="34"/>
      <c r="L61" s="34"/>
      <c r="M61" s="34"/>
      <c r="N61" s="155"/>
    </row>
    <row r="62" spans="1:14" s="2" customFormat="1" x14ac:dyDescent="0.25">
      <c r="A62" s="3"/>
      <c r="B62" s="3"/>
      <c r="C62" s="4" t="s">
        <v>206</v>
      </c>
      <c r="D62" s="5">
        <f>D52+D60</f>
        <v>933200</v>
      </c>
      <c r="E62" s="5">
        <f t="shared" ref="E62:N62" si="14">E52+E60</f>
        <v>395566.32</v>
      </c>
      <c r="F62" s="5">
        <f t="shared" si="14"/>
        <v>0</v>
      </c>
      <c r="G62" s="5">
        <f t="shared" si="14"/>
        <v>2409235.98</v>
      </c>
      <c r="H62" s="5">
        <f t="shared" si="14"/>
        <v>5601022.0200000005</v>
      </c>
      <c r="I62" s="5">
        <v>46.53</v>
      </c>
      <c r="J62" s="27">
        <f>+K62-D62</f>
        <v>0</v>
      </c>
      <c r="K62" s="34">
        <f t="shared" si="14"/>
        <v>933200</v>
      </c>
      <c r="L62" s="34">
        <f t="shared" si="14"/>
        <v>991525</v>
      </c>
      <c r="M62" s="34">
        <f t="shared" si="14"/>
        <v>1060931.75</v>
      </c>
      <c r="N62" s="34">
        <f t="shared" si="14"/>
        <v>1135196.9724999999</v>
      </c>
    </row>
    <row r="63" spans="1:14" s="2" customFormat="1" x14ac:dyDescent="0.25">
      <c r="A63" s="3"/>
      <c r="B63" s="3"/>
      <c r="C63" s="4"/>
      <c r="D63" s="5"/>
      <c r="E63" s="5"/>
      <c r="F63" s="5"/>
      <c r="G63" s="5"/>
      <c r="H63" s="5"/>
      <c r="I63" s="5"/>
      <c r="J63" s="35"/>
      <c r="K63" s="34"/>
      <c r="L63" s="34"/>
      <c r="M63" s="34"/>
      <c r="N63" s="155"/>
    </row>
    <row r="64" spans="1:14" s="2" customFormat="1" x14ac:dyDescent="0.25">
      <c r="A64" s="3"/>
      <c r="B64" s="3"/>
      <c r="C64" s="4" t="s">
        <v>207</v>
      </c>
      <c r="D64" s="5">
        <f>D62</f>
        <v>933200</v>
      </c>
      <c r="E64" s="5">
        <f t="shared" ref="E64:N64" si="15">E62</f>
        <v>395566.32</v>
      </c>
      <c r="F64" s="5">
        <f t="shared" si="15"/>
        <v>0</v>
      </c>
      <c r="G64" s="5">
        <f t="shared" si="15"/>
        <v>2409235.98</v>
      </c>
      <c r="H64" s="5">
        <f t="shared" si="15"/>
        <v>5601022.0200000005</v>
      </c>
      <c r="I64" s="5">
        <v>46.53</v>
      </c>
      <c r="J64" s="27">
        <f>+K64-D64</f>
        <v>0</v>
      </c>
      <c r="K64" s="34">
        <f t="shared" si="15"/>
        <v>933200</v>
      </c>
      <c r="L64" s="34">
        <f t="shared" si="15"/>
        <v>991525</v>
      </c>
      <c r="M64" s="34">
        <f t="shared" si="15"/>
        <v>1060931.75</v>
      </c>
      <c r="N64" s="34">
        <f t="shared" si="15"/>
        <v>1135196.9724999999</v>
      </c>
    </row>
    <row r="65" spans="1:14" s="2" customFormat="1" x14ac:dyDescent="0.25">
      <c r="A65" s="3"/>
      <c r="B65" s="3"/>
      <c r="C65" s="4"/>
      <c r="D65" s="5"/>
      <c r="E65" s="5"/>
      <c r="F65" s="5"/>
      <c r="G65" s="5"/>
      <c r="H65" s="5"/>
      <c r="I65" s="5"/>
      <c r="J65" s="35"/>
      <c r="K65" s="35"/>
      <c r="L65" s="34"/>
      <c r="M65" s="34"/>
      <c r="N65" s="155"/>
    </row>
    <row r="66" spans="1:14" s="2" customFormat="1" x14ac:dyDescent="0.25">
      <c r="A66" s="3"/>
      <c r="B66" s="3"/>
      <c r="C66" s="4" t="s">
        <v>208</v>
      </c>
      <c r="D66" s="5"/>
      <c r="E66" s="5"/>
      <c r="F66" s="5"/>
      <c r="G66" s="5"/>
      <c r="H66" s="5"/>
      <c r="I66" s="5"/>
      <c r="J66" s="27">
        <f>+K66-D66</f>
        <v>0</v>
      </c>
      <c r="K66" s="35"/>
      <c r="L66" s="34"/>
      <c r="M66" s="34"/>
      <c r="N66" s="155"/>
    </row>
    <row r="67" spans="1:14" s="2" customFormat="1" x14ac:dyDescent="0.25">
      <c r="A67" s="3"/>
      <c r="B67" s="3"/>
      <c r="C67" s="4"/>
      <c r="D67" s="5"/>
      <c r="E67" s="5"/>
      <c r="F67" s="5"/>
      <c r="G67" s="5"/>
      <c r="H67" s="5"/>
      <c r="I67" s="5"/>
      <c r="J67" s="35"/>
      <c r="K67" s="35"/>
      <c r="L67" s="34"/>
      <c r="M67" s="34"/>
      <c r="N67" s="155"/>
    </row>
    <row r="68" spans="1:14" s="2" customFormat="1" x14ac:dyDescent="0.25">
      <c r="A68" s="3"/>
      <c r="B68" s="3"/>
      <c r="C68" s="4" t="s">
        <v>209</v>
      </c>
      <c r="D68" s="5"/>
      <c r="E68" s="5"/>
      <c r="F68" s="5"/>
      <c r="G68" s="5"/>
      <c r="H68" s="5"/>
      <c r="I68" s="5"/>
      <c r="J68" s="27">
        <f>+K68-D68</f>
        <v>0</v>
      </c>
      <c r="K68" s="35"/>
      <c r="L68" s="34"/>
      <c r="M68" s="34"/>
      <c r="N68" s="155"/>
    </row>
    <row r="69" spans="1:14" s="1" customFormat="1" ht="14.25" x14ac:dyDescent="0.2">
      <c r="A69" s="7"/>
      <c r="B69" s="7"/>
      <c r="C69" s="8"/>
      <c r="D69" s="9"/>
      <c r="E69" s="9"/>
      <c r="F69" s="9"/>
      <c r="G69" s="9"/>
      <c r="H69" s="9"/>
      <c r="I69" s="9"/>
      <c r="J69" s="35"/>
      <c r="K69" s="35"/>
      <c r="L69" s="35"/>
      <c r="M69" s="35"/>
      <c r="N69" s="156"/>
    </row>
    <row r="70" spans="1:14" s="1" customFormat="1" ht="14.25" x14ac:dyDescent="0.2">
      <c r="A70" s="7" t="s">
        <v>734</v>
      </c>
      <c r="B70" s="7"/>
      <c r="C70" s="8" t="s">
        <v>214</v>
      </c>
      <c r="D70" s="9">
        <f t="shared" ref="D70:D76" si="16">VLOOKUP(A70,fin,3,FALSE)</f>
        <v>49290</v>
      </c>
      <c r="E70" s="9">
        <v>65927.72</v>
      </c>
      <c r="F70" s="9">
        <v>0</v>
      </c>
      <c r="G70" s="9">
        <v>401539.33</v>
      </c>
      <c r="H70" s="9">
        <v>933503.67</v>
      </c>
      <c r="I70" s="9">
        <v>30.07</v>
      </c>
      <c r="J70" s="27">
        <f t="shared" ref="J70:J76" si="17">+K70-D70</f>
        <v>0</v>
      </c>
      <c r="K70" s="35">
        <f t="shared" ref="K70:K76" si="18">VLOOKUP(A70,fin,4,FALSE)</f>
        <v>49290</v>
      </c>
      <c r="L70" s="35">
        <f>K70*4.5/100+K70</f>
        <v>51508.05</v>
      </c>
      <c r="M70" s="35">
        <f>L70*4.6/100+L70</f>
        <v>53877.420300000005</v>
      </c>
      <c r="N70" s="156">
        <f>M70*4.6/100+M70</f>
        <v>56355.781633800005</v>
      </c>
    </row>
    <row r="71" spans="1:14" s="1" customFormat="1" ht="14.25" x14ac:dyDescent="0.2">
      <c r="A71" s="7" t="s">
        <v>735</v>
      </c>
      <c r="B71" s="7"/>
      <c r="C71" s="8" t="s">
        <v>214</v>
      </c>
      <c r="D71" s="9">
        <f t="shared" si="16"/>
        <v>129198</v>
      </c>
      <c r="E71" s="9">
        <v>65927.72</v>
      </c>
      <c r="F71" s="9">
        <v>0</v>
      </c>
      <c r="G71" s="9">
        <v>401539.33</v>
      </c>
      <c r="H71" s="9">
        <v>933503.67</v>
      </c>
      <c r="I71" s="9">
        <v>30.07</v>
      </c>
      <c r="J71" s="27">
        <f t="shared" si="17"/>
        <v>-45000</v>
      </c>
      <c r="K71" s="35">
        <f t="shared" si="18"/>
        <v>84198</v>
      </c>
      <c r="L71" s="35">
        <f t="shared" ref="L71:L76" si="19">K71*4.5/100+K71</f>
        <v>87986.91</v>
      </c>
      <c r="M71" s="35">
        <f t="shared" ref="M71:N76" si="20">L71*4.6/100+L71</f>
        <v>92034.307860000001</v>
      </c>
      <c r="N71" s="156">
        <f t="shared" si="20"/>
        <v>96267.88602156</v>
      </c>
    </row>
    <row r="72" spans="1:14" s="1" customFormat="1" ht="14.25" x14ac:dyDescent="0.2">
      <c r="A72" s="7" t="s">
        <v>736</v>
      </c>
      <c r="B72" s="7"/>
      <c r="C72" s="8" t="s">
        <v>214</v>
      </c>
      <c r="D72" s="9">
        <f t="shared" si="16"/>
        <v>142582</v>
      </c>
      <c r="E72" s="9">
        <v>65927.72</v>
      </c>
      <c r="F72" s="9">
        <v>0</v>
      </c>
      <c r="G72" s="9">
        <v>401539.33</v>
      </c>
      <c r="H72" s="9">
        <v>933503.67</v>
      </c>
      <c r="I72" s="9">
        <v>30.07</v>
      </c>
      <c r="J72" s="27">
        <f t="shared" si="17"/>
        <v>150000</v>
      </c>
      <c r="K72" s="35">
        <f t="shared" si="18"/>
        <v>292582</v>
      </c>
      <c r="L72" s="35">
        <f t="shared" si="19"/>
        <v>305748.19</v>
      </c>
      <c r="M72" s="35">
        <f t="shared" si="20"/>
        <v>319812.60674000002</v>
      </c>
      <c r="N72" s="156">
        <f t="shared" si="20"/>
        <v>334523.98665004002</v>
      </c>
    </row>
    <row r="73" spans="1:14" s="1" customFormat="1" ht="14.25" x14ac:dyDescent="0.2">
      <c r="A73" s="7" t="s">
        <v>737</v>
      </c>
      <c r="B73" s="7"/>
      <c r="C73" s="8" t="s">
        <v>214</v>
      </c>
      <c r="D73" s="9">
        <f t="shared" si="16"/>
        <v>149582</v>
      </c>
      <c r="E73" s="9">
        <v>65927.72</v>
      </c>
      <c r="F73" s="9">
        <v>0</v>
      </c>
      <c r="G73" s="9">
        <v>401539.33</v>
      </c>
      <c r="H73" s="9">
        <v>933503.67</v>
      </c>
      <c r="I73" s="9">
        <v>30.07</v>
      </c>
      <c r="J73" s="27">
        <f t="shared" si="17"/>
        <v>20000</v>
      </c>
      <c r="K73" s="35">
        <f t="shared" si="18"/>
        <v>169582</v>
      </c>
      <c r="L73" s="35">
        <f t="shared" si="19"/>
        <v>177213.19</v>
      </c>
      <c r="M73" s="35">
        <f t="shared" si="20"/>
        <v>185364.99674</v>
      </c>
      <c r="N73" s="156">
        <f t="shared" si="20"/>
        <v>193891.78659003999</v>
      </c>
    </row>
    <row r="74" spans="1:14" s="1" customFormat="1" ht="14.25" x14ac:dyDescent="0.2">
      <c r="A74" s="7" t="s">
        <v>738</v>
      </c>
      <c r="B74" s="7"/>
      <c r="C74" s="8" t="s">
        <v>214</v>
      </c>
      <c r="D74" s="9">
        <f t="shared" si="16"/>
        <v>200689</v>
      </c>
      <c r="E74" s="9">
        <v>65927.72</v>
      </c>
      <c r="F74" s="9">
        <v>0</v>
      </c>
      <c r="G74" s="9">
        <v>401539.33</v>
      </c>
      <c r="H74" s="9">
        <v>933503.67</v>
      </c>
      <c r="I74" s="9">
        <v>30.07</v>
      </c>
      <c r="J74" s="27">
        <f t="shared" si="17"/>
        <v>30000</v>
      </c>
      <c r="K74" s="35">
        <f t="shared" si="18"/>
        <v>230689</v>
      </c>
      <c r="L74" s="35">
        <f t="shared" si="19"/>
        <v>241070.005</v>
      </c>
      <c r="M74" s="35">
        <f t="shared" si="20"/>
        <v>252159.22523000001</v>
      </c>
      <c r="N74" s="156">
        <f t="shared" si="20"/>
        <v>263758.54959057999</v>
      </c>
    </row>
    <row r="75" spans="1:14" s="1" customFormat="1" ht="14.25" x14ac:dyDescent="0.2">
      <c r="A75" s="7" t="s">
        <v>739</v>
      </c>
      <c r="B75" s="7" t="s">
        <v>3034</v>
      </c>
      <c r="C75" s="8" t="s">
        <v>214</v>
      </c>
      <c r="D75" s="9">
        <f t="shared" si="16"/>
        <v>100000</v>
      </c>
      <c r="E75" s="9">
        <v>65927.72</v>
      </c>
      <c r="F75" s="9">
        <v>0</v>
      </c>
      <c r="G75" s="9">
        <v>401539.33</v>
      </c>
      <c r="H75" s="9">
        <v>933503.67</v>
      </c>
      <c r="I75" s="9">
        <v>30.07</v>
      </c>
      <c r="J75" s="27">
        <f t="shared" si="17"/>
        <v>-22000</v>
      </c>
      <c r="K75" s="35">
        <f t="shared" si="18"/>
        <v>78000</v>
      </c>
      <c r="L75" s="35">
        <f t="shared" si="19"/>
        <v>81510</v>
      </c>
      <c r="M75" s="35">
        <f t="shared" si="20"/>
        <v>85259.46</v>
      </c>
      <c r="N75" s="156">
        <f t="shared" si="20"/>
        <v>89181.39516</v>
      </c>
    </row>
    <row r="76" spans="1:14" s="1" customFormat="1" ht="14.25" x14ac:dyDescent="0.2">
      <c r="A76" s="7" t="s">
        <v>740</v>
      </c>
      <c r="B76" s="7" t="s">
        <v>3035</v>
      </c>
      <c r="C76" s="8" t="s">
        <v>214</v>
      </c>
      <c r="D76" s="9">
        <f t="shared" si="16"/>
        <v>150406</v>
      </c>
      <c r="E76" s="9">
        <v>65927.72</v>
      </c>
      <c r="F76" s="9">
        <v>0</v>
      </c>
      <c r="G76" s="9">
        <v>401539.33</v>
      </c>
      <c r="H76" s="9">
        <v>933503.67</v>
      </c>
      <c r="I76" s="9">
        <v>30.07</v>
      </c>
      <c r="J76" s="27">
        <f t="shared" si="17"/>
        <v>-7256</v>
      </c>
      <c r="K76" s="35">
        <f t="shared" si="18"/>
        <v>143150</v>
      </c>
      <c r="L76" s="35">
        <f t="shared" si="19"/>
        <v>149591.75</v>
      </c>
      <c r="M76" s="35">
        <f t="shared" si="20"/>
        <v>156472.9705</v>
      </c>
      <c r="N76" s="156">
        <f t="shared" si="20"/>
        <v>163670.727143</v>
      </c>
    </row>
    <row r="77" spans="1:14" s="1" customFormat="1" ht="14.25" x14ac:dyDescent="0.2">
      <c r="A77" s="7"/>
      <c r="B77" s="7"/>
      <c r="C77" s="8"/>
      <c r="D77" s="9"/>
      <c r="E77" s="9"/>
      <c r="F77" s="9"/>
      <c r="G77" s="9"/>
      <c r="H77" s="9"/>
      <c r="I77" s="9"/>
      <c r="J77" s="35"/>
      <c r="K77" s="35"/>
      <c r="L77" s="35"/>
      <c r="M77" s="35"/>
      <c r="N77" s="156"/>
    </row>
    <row r="78" spans="1:14" s="2" customFormat="1" x14ac:dyDescent="0.25">
      <c r="A78" s="3"/>
      <c r="B78" s="3"/>
      <c r="C78" s="4" t="s">
        <v>217</v>
      </c>
      <c r="D78" s="5">
        <f>SUM(D70:D77)</f>
        <v>921747</v>
      </c>
      <c r="E78" s="5">
        <f>SUM(E70:E77)</f>
        <v>461494.03999999992</v>
      </c>
      <c r="F78" s="5">
        <f>SUM(F70:F77)</f>
        <v>0</v>
      </c>
      <c r="G78" s="5">
        <f>SUM(G70:G77)</f>
        <v>2810775.31</v>
      </c>
      <c r="H78" s="5">
        <f>SUM(H70:H77)</f>
        <v>6534525.6900000004</v>
      </c>
      <c r="I78" s="5">
        <v>63.22</v>
      </c>
      <c r="J78" s="27">
        <f>+K78-D78</f>
        <v>125744</v>
      </c>
      <c r="K78" s="34">
        <f>SUM(K70:K77)</f>
        <v>1047491</v>
      </c>
      <c r="L78" s="34">
        <f>SUM(L70:L77)</f>
        <v>1094628.0950000002</v>
      </c>
      <c r="M78" s="34">
        <f>SUM(M70:M77)</f>
        <v>1144980.98737</v>
      </c>
      <c r="N78" s="34">
        <f>SUM(N70:N77)</f>
        <v>1197650.1127890199</v>
      </c>
    </row>
    <row r="79" spans="1:14" s="2" customFormat="1" x14ac:dyDescent="0.25">
      <c r="A79" s="3"/>
      <c r="B79" s="3"/>
      <c r="C79" s="4"/>
      <c r="D79" s="5"/>
      <c r="E79" s="5"/>
      <c r="F79" s="5"/>
      <c r="G79" s="5"/>
      <c r="H79" s="5"/>
      <c r="I79" s="5"/>
      <c r="J79" s="34"/>
      <c r="K79" s="34"/>
      <c r="L79" s="34"/>
      <c r="M79" s="34"/>
      <c r="N79" s="155"/>
    </row>
    <row r="80" spans="1:14" s="2" customFormat="1" x14ac:dyDescent="0.25">
      <c r="A80" s="3"/>
      <c r="B80" s="3"/>
      <c r="C80" s="4" t="s">
        <v>240</v>
      </c>
      <c r="D80" s="5">
        <f>D78</f>
        <v>921747</v>
      </c>
      <c r="E80" s="5">
        <f t="shared" ref="E80:N80" si="21">E78</f>
        <v>461494.03999999992</v>
      </c>
      <c r="F80" s="5">
        <f t="shared" si="21"/>
        <v>0</v>
      </c>
      <c r="G80" s="5">
        <f t="shared" si="21"/>
        <v>2810775.31</v>
      </c>
      <c r="H80" s="5">
        <f t="shared" si="21"/>
        <v>6534525.6900000004</v>
      </c>
      <c r="I80" s="5">
        <v>63.22</v>
      </c>
      <c r="J80" s="27">
        <f>+K80-D80</f>
        <v>125744</v>
      </c>
      <c r="K80" s="34">
        <f t="shared" si="21"/>
        <v>1047491</v>
      </c>
      <c r="L80" s="34">
        <f t="shared" si="21"/>
        <v>1094628.0950000002</v>
      </c>
      <c r="M80" s="34">
        <f t="shared" si="21"/>
        <v>1144980.98737</v>
      </c>
      <c r="N80" s="34">
        <f t="shared" si="21"/>
        <v>1197650.1127890199</v>
      </c>
    </row>
    <row r="81" spans="1:14" s="2" customFormat="1" x14ac:dyDescent="0.25">
      <c r="A81" s="3"/>
      <c r="B81" s="3"/>
      <c r="C81" s="4"/>
      <c r="D81" s="5"/>
      <c r="E81" s="5"/>
      <c r="F81" s="5"/>
      <c r="G81" s="5"/>
      <c r="H81" s="5"/>
      <c r="I81" s="5"/>
      <c r="J81" s="35"/>
      <c r="K81" s="35"/>
      <c r="L81" s="34"/>
      <c r="M81" s="34"/>
      <c r="N81" s="155"/>
    </row>
    <row r="82" spans="1:14" s="2" customFormat="1" x14ac:dyDescent="0.25">
      <c r="A82" s="3"/>
      <c r="B82" s="3"/>
      <c r="C82" s="4" t="s">
        <v>241</v>
      </c>
      <c r="D82" s="5"/>
      <c r="E82" s="5"/>
      <c r="F82" s="5"/>
      <c r="G82" s="5"/>
      <c r="H82" s="5"/>
      <c r="I82" s="5"/>
      <c r="J82" s="27">
        <f>+K82-D82</f>
        <v>0</v>
      </c>
      <c r="K82" s="35"/>
      <c r="L82" s="34"/>
      <c r="M82" s="34"/>
      <c r="N82" s="155"/>
    </row>
    <row r="83" spans="1:14" s="1" customFormat="1" ht="14.25" x14ac:dyDescent="0.2">
      <c r="A83" s="7"/>
      <c r="B83" s="7"/>
      <c r="C83" s="8"/>
      <c r="D83" s="9"/>
      <c r="E83" s="9"/>
      <c r="F83" s="9"/>
      <c r="G83" s="9"/>
      <c r="H83" s="9"/>
      <c r="I83" s="9"/>
      <c r="J83" s="35"/>
      <c r="K83" s="35"/>
      <c r="L83" s="35"/>
      <c r="M83" s="35"/>
      <c r="N83" s="156"/>
    </row>
    <row r="84" spans="1:14" s="1" customFormat="1" ht="14.25" x14ac:dyDescent="0.2">
      <c r="A84" s="7" t="s">
        <v>741</v>
      </c>
      <c r="B84" s="7"/>
      <c r="C84" s="8" t="s">
        <v>242</v>
      </c>
      <c r="D84" s="9">
        <f t="shared" ref="D84:D90" si="22">VLOOKUP(A84,fin,3,FALSE)</f>
        <v>68920</v>
      </c>
      <c r="E84" s="9">
        <v>65927.72</v>
      </c>
      <c r="F84" s="9">
        <v>0</v>
      </c>
      <c r="G84" s="9">
        <v>401539.33</v>
      </c>
      <c r="H84" s="9">
        <v>933503.67</v>
      </c>
      <c r="I84" s="9">
        <v>30.07</v>
      </c>
      <c r="J84" s="27">
        <f t="shared" ref="J84:J90" si="23">+K84-D84</f>
        <v>0</v>
      </c>
      <c r="K84" s="35">
        <f t="shared" ref="K84:K90" si="24">VLOOKUP(A84,fin,4,FALSE)</f>
        <v>68920</v>
      </c>
      <c r="L84" s="35">
        <f t="shared" ref="L84:L90" si="25">K84*4.5/100+K84</f>
        <v>72021.399999999994</v>
      </c>
      <c r="M84" s="35">
        <f t="shared" ref="M84:N84" si="26">L84*4.6/100+L84</f>
        <v>75334.384399999995</v>
      </c>
      <c r="N84" s="156">
        <f t="shared" si="26"/>
        <v>78799.76608239999</v>
      </c>
    </row>
    <row r="85" spans="1:14" s="1" customFormat="1" ht="14.25" x14ac:dyDescent="0.2">
      <c r="A85" s="7" t="s">
        <v>742</v>
      </c>
      <c r="B85" s="7"/>
      <c r="C85" s="8" t="s">
        <v>253</v>
      </c>
      <c r="D85" s="9">
        <f t="shared" si="22"/>
        <v>2000</v>
      </c>
      <c r="E85" s="9">
        <v>65927.72</v>
      </c>
      <c r="F85" s="9">
        <v>0</v>
      </c>
      <c r="G85" s="9">
        <v>401539.33</v>
      </c>
      <c r="H85" s="9">
        <v>933503.67</v>
      </c>
      <c r="I85" s="9">
        <v>30.07</v>
      </c>
      <c r="J85" s="27">
        <f t="shared" si="23"/>
        <v>0</v>
      </c>
      <c r="K85" s="35">
        <f t="shared" si="24"/>
        <v>2000</v>
      </c>
      <c r="L85" s="35">
        <f t="shared" si="25"/>
        <v>2090</v>
      </c>
      <c r="M85" s="35">
        <f t="shared" ref="M85:N85" si="27">L85*4.6/100+L85</f>
        <v>2186.14</v>
      </c>
      <c r="N85" s="156">
        <f t="shared" si="27"/>
        <v>2286.70244</v>
      </c>
    </row>
    <row r="86" spans="1:14" s="1" customFormat="1" ht="14.25" x14ac:dyDescent="0.2">
      <c r="A86" s="7" t="s">
        <v>743</v>
      </c>
      <c r="B86" s="7"/>
      <c r="C86" s="8" t="s">
        <v>262</v>
      </c>
      <c r="D86" s="9">
        <f t="shared" si="22"/>
        <v>97801</v>
      </c>
      <c r="E86" s="9">
        <v>65927.72</v>
      </c>
      <c r="F86" s="9">
        <v>0</v>
      </c>
      <c r="G86" s="9">
        <v>401539.33</v>
      </c>
      <c r="H86" s="9">
        <v>933503.67</v>
      </c>
      <c r="I86" s="9">
        <v>30.07</v>
      </c>
      <c r="J86" s="27">
        <f t="shared" si="23"/>
        <v>-97801</v>
      </c>
      <c r="K86" s="35">
        <f t="shared" si="24"/>
        <v>0</v>
      </c>
      <c r="L86" s="35">
        <f t="shared" si="25"/>
        <v>0</v>
      </c>
      <c r="M86" s="35">
        <f t="shared" ref="M86:N86" si="28">L86*4.6/100+L86</f>
        <v>0</v>
      </c>
      <c r="N86" s="156">
        <f t="shared" si="28"/>
        <v>0</v>
      </c>
    </row>
    <row r="87" spans="1:14" s="1" customFormat="1" ht="14.25" x14ac:dyDescent="0.2">
      <c r="A87" s="7" t="s">
        <v>744</v>
      </c>
      <c r="B87" s="7"/>
      <c r="C87" s="8" t="s">
        <v>265</v>
      </c>
      <c r="D87" s="9">
        <f t="shared" si="22"/>
        <v>60606</v>
      </c>
      <c r="E87" s="9">
        <v>65927.72</v>
      </c>
      <c r="F87" s="9">
        <v>0</v>
      </c>
      <c r="G87" s="9">
        <v>401539.33</v>
      </c>
      <c r="H87" s="9">
        <v>933503.67</v>
      </c>
      <c r="I87" s="9">
        <v>30.07</v>
      </c>
      <c r="J87" s="27">
        <f t="shared" si="23"/>
        <v>-4000</v>
      </c>
      <c r="K87" s="35">
        <f t="shared" si="24"/>
        <v>56606</v>
      </c>
      <c r="L87" s="35">
        <f t="shared" si="25"/>
        <v>59153.27</v>
      </c>
      <c r="M87" s="35">
        <f t="shared" ref="M87:N87" si="29">L87*4.6/100+L87</f>
        <v>61874.320419999996</v>
      </c>
      <c r="N87" s="156">
        <f t="shared" si="29"/>
        <v>64720.539159319997</v>
      </c>
    </row>
    <row r="88" spans="1:14" s="1" customFormat="1" ht="14.25" x14ac:dyDescent="0.2">
      <c r="A88" s="7" t="s">
        <v>745</v>
      </c>
      <c r="B88" s="7"/>
      <c r="C88" s="8" t="s">
        <v>268</v>
      </c>
      <c r="D88" s="9">
        <f t="shared" si="22"/>
        <v>175152</v>
      </c>
      <c r="E88" s="9">
        <v>65927.72</v>
      </c>
      <c r="F88" s="9">
        <v>0</v>
      </c>
      <c r="G88" s="9">
        <v>401539.33</v>
      </c>
      <c r="H88" s="9">
        <v>933503.67</v>
      </c>
      <c r="I88" s="9">
        <v>30.07</v>
      </c>
      <c r="J88" s="27">
        <f t="shared" si="23"/>
        <v>-80000</v>
      </c>
      <c r="K88" s="35">
        <f t="shared" si="24"/>
        <v>95152</v>
      </c>
      <c r="L88" s="35">
        <f t="shared" si="25"/>
        <v>99433.84</v>
      </c>
      <c r="M88" s="35">
        <f t="shared" ref="M88:N88" si="30">L88*4.6/100+L88</f>
        <v>104007.79664</v>
      </c>
      <c r="N88" s="156">
        <f t="shared" si="30"/>
        <v>108792.15528544001</v>
      </c>
    </row>
    <row r="89" spans="1:14" s="1" customFormat="1" ht="14.25" x14ac:dyDescent="0.2">
      <c r="A89" s="7" t="s">
        <v>746</v>
      </c>
      <c r="B89" s="7"/>
      <c r="C89" s="8" t="s">
        <v>268</v>
      </c>
      <c r="D89" s="9">
        <f t="shared" si="22"/>
        <v>100000</v>
      </c>
      <c r="E89" s="9">
        <v>65927.72</v>
      </c>
      <c r="F89" s="9">
        <v>0</v>
      </c>
      <c r="G89" s="9">
        <v>401539.33</v>
      </c>
      <c r="H89" s="9">
        <v>933503.67</v>
      </c>
      <c r="I89" s="9">
        <v>30.07</v>
      </c>
      <c r="J89" s="27">
        <f t="shared" si="23"/>
        <v>50000</v>
      </c>
      <c r="K89" s="35">
        <f t="shared" si="24"/>
        <v>150000</v>
      </c>
      <c r="L89" s="35">
        <f t="shared" si="25"/>
        <v>156750</v>
      </c>
      <c r="M89" s="35">
        <f t="shared" ref="M89:N89" si="31">L89*4.6/100+L89</f>
        <v>163960.5</v>
      </c>
      <c r="N89" s="156">
        <f t="shared" si="31"/>
        <v>171502.68299999999</v>
      </c>
    </row>
    <row r="90" spans="1:14" s="1" customFormat="1" ht="14.25" x14ac:dyDescent="0.2">
      <c r="A90" s="7" t="s">
        <v>747</v>
      </c>
      <c r="B90" s="7"/>
      <c r="C90" s="8" t="s">
        <v>269</v>
      </c>
      <c r="D90" s="9">
        <f t="shared" si="22"/>
        <v>76320</v>
      </c>
      <c r="E90" s="9">
        <v>65927.72</v>
      </c>
      <c r="F90" s="9">
        <v>0</v>
      </c>
      <c r="G90" s="9">
        <v>401539.33</v>
      </c>
      <c r="H90" s="9">
        <v>933503.67</v>
      </c>
      <c r="I90" s="9">
        <v>30.07</v>
      </c>
      <c r="J90" s="27">
        <f t="shared" si="23"/>
        <v>-20000</v>
      </c>
      <c r="K90" s="35">
        <f t="shared" si="24"/>
        <v>56320</v>
      </c>
      <c r="L90" s="35">
        <f t="shared" si="25"/>
        <v>58854.400000000001</v>
      </c>
      <c r="M90" s="35">
        <f t="shared" ref="M90:N90" si="32">L90*4.6/100+L90</f>
        <v>61561.702400000002</v>
      </c>
      <c r="N90" s="156">
        <f t="shared" si="32"/>
        <v>64393.540710400004</v>
      </c>
    </row>
    <row r="91" spans="1:14" s="1" customFormat="1" ht="14.25" x14ac:dyDescent="0.2">
      <c r="A91" s="7"/>
      <c r="B91" s="7"/>
      <c r="C91" s="8"/>
      <c r="D91" s="9"/>
      <c r="E91" s="9"/>
      <c r="F91" s="9"/>
      <c r="G91" s="9"/>
      <c r="H91" s="9"/>
      <c r="I91" s="9"/>
      <c r="J91" s="35"/>
      <c r="K91" s="35"/>
      <c r="L91" s="35"/>
      <c r="M91" s="35"/>
      <c r="N91" s="156"/>
    </row>
    <row r="92" spans="1:14" s="2" customFormat="1" x14ac:dyDescent="0.25">
      <c r="A92" s="3"/>
      <c r="B92" s="3"/>
      <c r="C92" s="4" t="s">
        <v>274</v>
      </c>
      <c r="D92" s="5">
        <f>SUM(D84:D91)</f>
        <v>580799</v>
      </c>
      <c r="E92" s="5">
        <f>SUM(E84:E91)</f>
        <v>461494.03999999992</v>
      </c>
      <c r="F92" s="5">
        <f>SUM(F84:F91)</f>
        <v>0</v>
      </c>
      <c r="G92" s="5">
        <f>SUM(G84:G91)</f>
        <v>2810775.31</v>
      </c>
      <c r="H92" s="5">
        <f>SUM(H84:H91)</f>
        <v>6534525.6900000004</v>
      </c>
      <c r="I92" s="5">
        <v>22.66</v>
      </c>
      <c r="J92" s="27">
        <f>+K92-D92</f>
        <v>-151801</v>
      </c>
      <c r="K92" s="34">
        <f>SUM(K84:K91)</f>
        <v>428998</v>
      </c>
      <c r="L92" s="34">
        <f>SUM(L84:L91)</f>
        <v>448302.91000000003</v>
      </c>
      <c r="M92" s="34">
        <f>SUM(M84:M91)</f>
        <v>468924.84386000002</v>
      </c>
      <c r="N92" s="34">
        <f>SUM(N84:N91)</f>
        <v>490495.38667755993</v>
      </c>
    </row>
    <row r="93" spans="1:14" s="2" customFormat="1" x14ac:dyDescent="0.25">
      <c r="A93" s="3"/>
      <c r="B93" s="3"/>
      <c r="C93" s="4"/>
      <c r="D93" s="5"/>
      <c r="E93" s="5"/>
      <c r="F93" s="5"/>
      <c r="G93" s="5"/>
      <c r="H93" s="5"/>
      <c r="I93" s="5"/>
      <c r="J93" s="35"/>
      <c r="K93" s="34"/>
      <c r="L93" s="34"/>
      <c r="M93" s="34"/>
      <c r="N93" s="155"/>
    </row>
    <row r="94" spans="1:14" s="2" customFormat="1" x14ac:dyDescent="0.25">
      <c r="A94" s="3"/>
      <c r="B94" s="3"/>
      <c r="C94" s="4" t="s">
        <v>305</v>
      </c>
      <c r="D94" s="5">
        <f>D42+D64+D80+D92</f>
        <v>4794339</v>
      </c>
      <c r="E94" s="5">
        <f t="shared" ref="E94:N94" si="33">E42+E64+E80+E92</f>
        <v>2505253.36</v>
      </c>
      <c r="F94" s="5">
        <f t="shared" si="33"/>
        <v>0</v>
      </c>
      <c r="G94" s="5">
        <f t="shared" si="33"/>
        <v>15258494.540000001</v>
      </c>
      <c r="H94" s="5">
        <f t="shared" si="33"/>
        <v>35473139.460000001</v>
      </c>
      <c r="I94" s="5">
        <v>37.369999999999997</v>
      </c>
      <c r="J94" s="27">
        <f>+K94-D94</f>
        <v>-97559.730000000447</v>
      </c>
      <c r="K94" s="34">
        <f t="shared" si="33"/>
        <v>4696779.2699999996</v>
      </c>
      <c r="L94" s="34">
        <f t="shared" si="33"/>
        <v>4964489.416875001</v>
      </c>
      <c r="M94" s="34">
        <f t="shared" si="33"/>
        <v>5274973.3319362504</v>
      </c>
      <c r="N94" s="34">
        <f t="shared" si="33"/>
        <v>5605487.7252222672</v>
      </c>
    </row>
    <row r="95" spans="1:14" s="2" customFormat="1" x14ac:dyDescent="0.25">
      <c r="A95" s="3"/>
      <c r="B95" s="3"/>
      <c r="C95" s="4"/>
      <c r="D95" s="5"/>
      <c r="E95" s="5"/>
      <c r="F95" s="5"/>
      <c r="G95" s="5"/>
      <c r="H95" s="5"/>
      <c r="I95" s="5"/>
      <c r="J95" s="35"/>
      <c r="K95" s="34"/>
      <c r="L95" s="34"/>
      <c r="M95" s="34"/>
      <c r="N95" s="155"/>
    </row>
    <row r="96" spans="1:14" s="2" customFormat="1" x14ac:dyDescent="0.25">
      <c r="A96" s="3"/>
      <c r="B96" s="3"/>
      <c r="C96" s="4" t="s">
        <v>306</v>
      </c>
      <c r="D96" s="5">
        <f>D94</f>
        <v>4794339</v>
      </c>
      <c r="E96" s="5">
        <f t="shared" ref="E96:N96" si="34">E94</f>
        <v>2505253.36</v>
      </c>
      <c r="F96" s="5">
        <f t="shared" si="34"/>
        <v>0</v>
      </c>
      <c r="G96" s="5">
        <f t="shared" si="34"/>
        <v>15258494.540000001</v>
      </c>
      <c r="H96" s="5">
        <f t="shared" si="34"/>
        <v>35473139.460000001</v>
      </c>
      <c r="I96" s="5">
        <v>37.369999999999997</v>
      </c>
      <c r="J96" s="27">
        <f>+K96-D96</f>
        <v>-97559.730000000447</v>
      </c>
      <c r="K96" s="34">
        <f t="shared" si="34"/>
        <v>4696779.2699999996</v>
      </c>
      <c r="L96" s="34">
        <f t="shared" si="34"/>
        <v>4964489.416875001</v>
      </c>
      <c r="M96" s="34">
        <f t="shared" si="34"/>
        <v>5274973.3319362504</v>
      </c>
      <c r="N96" s="34">
        <f t="shared" si="34"/>
        <v>5605487.7252222672</v>
      </c>
    </row>
    <row r="97" spans="1:14" s="2" customFormat="1" x14ac:dyDescent="0.25">
      <c r="A97" s="3"/>
      <c r="B97" s="3"/>
      <c r="C97" s="4"/>
      <c r="D97" s="5"/>
      <c r="E97" s="5"/>
      <c r="F97" s="5"/>
      <c r="G97" s="5"/>
      <c r="H97" s="5"/>
      <c r="I97" s="5"/>
      <c r="J97" s="35"/>
      <c r="K97" s="35"/>
      <c r="L97" s="34"/>
      <c r="M97" s="34"/>
      <c r="N97" s="155"/>
    </row>
    <row r="98" spans="1:14" s="2" customFormat="1" x14ac:dyDescent="0.25">
      <c r="A98" s="3"/>
      <c r="B98" s="3"/>
      <c r="C98" s="4" t="s">
        <v>748</v>
      </c>
      <c r="D98" s="5"/>
      <c r="E98" s="5"/>
      <c r="F98" s="5"/>
      <c r="G98" s="5"/>
      <c r="H98" s="5"/>
      <c r="I98" s="5"/>
      <c r="J98" s="27">
        <f>+K98-D98</f>
        <v>0</v>
      </c>
      <c r="K98" s="35"/>
      <c r="L98" s="34"/>
      <c r="M98" s="34"/>
      <c r="N98" s="155"/>
    </row>
    <row r="99" spans="1:14" s="2" customFormat="1" x14ac:dyDescent="0.25">
      <c r="A99" s="3"/>
      <c r="B99" s="3"/>
      <c r="C99" s="4" t="s">
        <v>96</v>
      </c>
      <c r="D99" s="5"/>
      <c r="E99" s="5"/>
      <c r="F99" s="5"/>
      <c r="G99" s="5"/>
      <c r="H99" s="5"/>
      <c r="I99" s="5"/>
      <c r="J99" s="27">
        <f>+K99-D99</f>
        <v>0</v>
      </c>
      <c r="K99" s="35"/>
      <c r="L99" s="34"/>
      <c r="M99" s="34"/>
      <c r="N99" s="155"/>
    </row>
    <row r="100" spans="1:14" s="2" customFormat="1" x14ac:dyDescent="0.25">
      <c r="A100" s="3"/>
      <c r="B100" s="3"/>
      <c r="C100" s="4" t="s">
        <v>179</v>
      </c>
      <c r="D100" s="5"/>
      <c r="E100" s="5"/>
      <c r="F100" s="5"/>
      <c r="G100" s="5"/>
      <c r="H100" s="5"/>
      <c r="I100" s="5"/>
      <c r="J100" s="27">
        <f>+K100-D100</f>
        <v>0</v>
      </c>
      <c r="K100" s="35"/>
      <c r="L100" s="34"/>
      <c r="M100" s="34"/>
      <c r="N100" s="155"/>
    </row>
    <row r="101" spans="1:14" s="2" customFormat="1" x14ac:dyDescent="0.25">
      <c r="A101" s="3"/>
      <c r="B101" s="3"/>
      <c r="C101" s="4" t="s">
        <v>180</v>
      </c>
      <c r="D101" s="5"/>
      <c r="E101" s="5"/>
      <c r="F101" s="5"/>
      <c r="G101" s="5"/>
      <c r="H101" s="5"/>
      <c r="I101" s="5"/>
      <c r="J101" s="27">
        <f>+K101-D101</f>
        <v>0</v>
      </c>
      <c r="K101" s="35"/>
      <c r="L101" s="34"/>
      <c r="M101" s="34"/>
      <c r="N101" s="155"/>
    </row>
    <row r="102" spans="1:14" s="2" customFormat="1" x14ac:dyDescent="0.25">
      <c r="A102" s="3"/>
      <c r="B102" s="3"/>
      <c r="C102" s="4" t="s">
        <v>201</v>
      </c>
      <c r="D102" s="5"/>
      <c r="E102" s="5"/>
      <c r="F102" s="5"/>
      <c r="G102" s="5"/>
      <c r="H102" s="5"/>
      <c r="I102" s="5"/>
      <c r="J102" s="27">
        <f>+K102-D102</f>
        <v>0</v>
      </c>
      <c r="K102" s="35"/>
      <c r="L102" s="34"/>
      <c r="M102" s="34"/>
      <c r="N102" s="155"/>
    </row>
    <row r="103" spans="1:14" s="2" customFormat="1" x14ac:dyDescent="0.25">
      <c r="A103" s="3"/>
      <c r="B103" s="3"/>
      <c r="C103" s="4"/>
      <c r="D103" s="5"/>
      <c r="E103" s="5"/>
      <c r="F103" s="5"/>
      <c r="G103" s="5"/>
      <c r="H103" s="5"/>
      <c r="I103" s="5"/>
      <c r="J103" s="35"/>
      <c r="K103" s="35"/>
      <c r="L103" s="34"/>
      <c r="M103" s="34"/>
      <c r="N103" s="155"/>
    </row>
    <row r="104" spans="1:14" s="1" customFormat="1" ht="14.25" x14ac:dyDescent="0.2">
      <c r="A104" s="7" t="s">
        <v>749</v>
      </c>
      <c r="B104" s="7"/>
      <c r="C104" s="8" t="s">
        <v>202</v>
      </c>
      <c r="D104" s="9">
        <f>VLOOKUP(A104,fin,3,FALSE)</f>
        <v>269777</v>
      </c>
      <c r="E104" s="9">
        <v>65927.72</v>
      </c>
      <c r="F104" s="9">
        <v>0</v>
      </c>
      <c r="G104" s="9">
        <v>401539.33</v>
      </c>
      <c r="H104" s="9">
        <v>933503.67</v>
      </c>
      <c r="I104" s="9">
        <v>30.07</v>
      </c>
      <c r="J104" s="27">
        <f>+K104-D104</f>
        <v>0</v>
      </c>
      <c r="K104" s="35">
        <f>VLOOKUP(A104,fin,4,FALSE)</f>
        <v>269777</v>
      </c>
      <c r="L104" s="35">
        <f t="shared" ref="L104:L106" si="35">K104*6.25/100+K104</f>
        <v>286638.0625</v>
      </c>
      <c r="M104" s="35">
        <f t="shared" ref="M104:N106" si="36">L104*7/100+L104</f>
        <v>306702.72687499999</v>
      </c>
      <c r="N104" s="156">
        <f t="shared" si="36"/>
        <v>328171.91775625001</v>
      </c>
    </row>
    <row r="105" spans="1:14" s="1" customFormat="1" ht="14.25" x14ac:dyDescent="0.2">
      <c r="A105" s="7" t="s">
        <v>750</v>
      </c>
      <c r="B105" s="7"/>
      <c r="C105" s="8" t="s">
        <v>203</v>
      </c>
      <c r="D105" s="9">
        <f>VLOOKUP(A105,fin,3,FALSE)</f>
        <v>809332</v>
      </c>
      <c r="E105" s="9">
        <v>65927.72</v>
      </c>
      <c r="F105" s="9">
        <v>0</v>
      </c>
      <c r="G105" s="9">
        <v>401539.33</v>
      </c>
      <c r="H105" s="9">
        <v>933503.67</v>
      </c>
      <c r="I105" s="9">
        <v>30.07</v>
      </c>
      <c r="J105" s="27">
        <f>+K105-D105</f>
        <v>0</v>
      </c>
      <c r="K105" s="35">
        <f>VLOOKUP(A105,fin,4,FALSE)</f>
        <v>809332</v>
      </c>
      <c r="L105" s="35">
        <f t="shared" si="35"/>
        <v>859915.25</v>
      </c>
      <c r="M105" s="35">
        <f t="shared" si="36"/>
        <v>920109.3175</v>
      </c>
      <c r="N105" s="156">
        <f t="shared" si="36"/>
        <v>984516.96972499997</v>
      </c>
    </row>
    <row r="106" spans="1:14" s="1" customFormat="1" ht="14.25" x14ac:dyDescent="0.2">
      <c r="A106" s="7" t="s">
        <v>751</v>
      </c>
      <c r="B106" s="7"/>
      <c r="C106" s="8" t="s">
        <v>204</v>
      </c>
      <c r="D106" s="9">
        <f>VLOOKUP(A106,fin,3,FALSE)</f>
        <v>136308</v>
      </c>
      <c r="E106" s="9">
        <v>65927.72</v>
      </c>
      <c r="F106" s="9">
        <v>0</v>
      </c>
      <c r="G106" s="9">
        <v>401539.33</v>
      </c>
      <c r="H106" s="9">
        <v>933503.67</v>
      </c>
      <c r="I106" s="9">
        <v>30.07</v>
      </c>
      <c r="J106" s="27">
        <f>+K106-D106</f>
        <v>0</v>
      </c>
      <c r="K106" s="35">
        <f>VLOOKUP(A106,fin,4,FALSE)</f>
        <v>136308</v>
      </c>
      <c r="L106" s="35">
        <f t="shared" si="35"/>
        <v>144827.25</v>
      </c>
      <c r="M106" s="35">
        <f t="shared" si="36"/>
        <v>154965.1575</v>
      </c>
      <c r="N106" s="156">
        <f t="shared" si="36"/>
        <v>165812.718525</v>
      </c>
    </row>
    <row r="107" spans="1:14" s="1" customFormat="1" ht="14.25" x14ac:dyDescent="0.2">
      <c r="A107" s="7"/>
      <c r="B107" s="7"/>
      <c r="C107" s="8"/>
      <c r="D107" s="9"/>
      <c r="E107" s="9"/>
      <c r="F107" s="9"/>
      <c r="G107" s="9"/>
      <c r="H107" s="9"/>
      <c r="I107" s="9"/>
      <c r="J107" s="35"/>
      <c r="K107" s="35"/>
      <c r="L107" s="35"/>
      <c r="M107" s="35"/>
      <c r="N107" s="156"/>
    </row>
    <row r="108" spans="1:14" s="2" customFormat="1" x14ac:dyDescent="0.25">
      <c r="A108" s="3"/>
      <c r="B108" s="3"/>
      <c r="C108" s="4" t="s">
        <v>205</v>
      </c>
      <c r="D108" s="5">
        <f>SUM(D104:D107)</f>
        <v>1215417</v>
      </c>
      <c r="E108" s="5">
        <f>SUM(E104:E107)</f>
        <v>197783.16</v>
      </c>
      <c r="F108" s="5">
        <f>SUM(F104:F107)</f>
        <v>0</v>
      </c>
      <c r="G108" s="5">
        <f>SUM(G104:G107)</f>
        <v>1204617.99</v>
      </c>
      <c r="H108" s="5">
        <f>SUM(H104:H107)</f>
        <v>2800511.0100000002</v>
      </c>
      <c r="I108" s="5">
        <v>0</v>
      </c>
      <c r="J108" s="27">
        <f>+K108-D108</f>
        <v>0</v>
      </c>
      <c r="K108" s="34">
        <f>SUM(K104:K107)</f>
        <v>1215417</v>
      </c>
      <c r="L108" s="34">
        <f>SUM(L104:L107)</f>
        <v>1291380.5625</v>
      </c>
      <c r="M108" s="34">
        <f>SUM(M104:M107)</f>
        <v>1381777.201875</v>
      </c>
      <c r="N108" s="34">
        <f>SUM(N104:N107)</f>
        <v>1478501.6060062498</v>
      </c>
    </row>
    <row r="109" spans="1:14" s="2" customFormat="1" x14ac:dyDescent="0.25">
      <c r="A109" s="3"/>
      <c r="B109" s="3"/>
      <c r="C109" s="4"/>
      <c r="D109" s="5"/>
      <c r="E109" s="5"/>
      <c r="F109" s="5"/>
      <c r="G109" s="5"/>
      <c r="H109" s="5"/>
      <c r="I109" s="5"/>
      <c r="J109" s="35"/>
      <c r="K109" s="34"/>
      <c r="L109" s="34"/>
      <c r="M109" s="34"/>
      <c r="N109" s="155"/>
    </row>
    <row r="110" spans="1:14" s="2" customFormat="1" x14ac:dyDescent="0.25">
      <c r="A110" s="3"/>
      <c r="B110" s="3"/>
      <c r="C110" s="4" t="s">
        <v>207</v>
      </c>
      <c r="D110" s="5">
        <f>D108</f>
        <v>1215417</v>
      </c>
      <c r="E110" s="5">
        <f t="shared" ref="E110:N110" si="37">E108</f>
        <v>197783.16</v>
      </c>
      <c r="F110" s="5">
        <f t="shared" si="37"/>
        <v>0</v>
      </c>
      <c r="G110" s="5">
        <f t="shared" si="37"/>
        <v>1204617.99</v>
      </c>
      <c r="H110" s="5">
        <f t="shared" si="37"/>
        <v>2800511.0100000002</v>
      </c>
      <c r="I110" s="5">
        <v>0</v>
      </c>
      <c r="J110" s="27">
        <f>+K110-D110</f>
        <v>0</v>
      </c>
      <c r="K110" s="34">
        <f t="shared" si="37"/>
        <v>1215417</v>
      </c>
      <c r="L110" s="34">
        <f t="shared" si="37"/>
        <v>1291380.5625</v>
      </c>
      <c r="M110" s="34">
        <f t="shared" si="37"/>
        <v>1381777.201875</v>
      </c>
      <c r="N110" s="34">
        <f t="shared" si="37"/>
        <v>1478501.6060062498</v>
      </c>
    </row>
    <row r="111" spans="1:14" s="2" customFormat="1" x14ac:dyDescent="0.25">
      <c r="A111" s="3"/>
      <c r="B111" s="3"/>
      <c r="C111" s="4"/>
      <c r="D111" s="5"/>
      <c r="E111" s="5"/>
      <c r="F111" s="5"/>
      <c r="G111" s="5"/>
      <c r="H111" s="5"/>
      <c r="I111" s="5"/>
      <c r="J111" s="35"/>
      <c r="K111" s="35"/>
      <c r="L111" s="34"/>
      <c r="M111" s="34"/>
      <c r="N111" s="155"/>
    </row>
    <row r="112" spans="1:14" s="2" customFormat="1" x14ac:dyDescent="0.25">
      <c r="A112" s="3"/>
      <c r="B112" s="3"/>
      <c r="C112" s="4" t="s">
        <v>241</v>
      </c>
      <c r="D112" s="5"/>
      <c r="E112" s="5"/>
      <c r="F112" s="5"/>
      <c r="G112" s="5"/>
      <c r="H112" s="5"/>
      <c r="I112" s="5"/>
      <c r="J112" s="27">
        <f>+K112-D112</f>
        <v>0</v>
      </c>
      <c r="K112" s="35"/>
      <c r="L112" s="34"/>
      <c r="M112" s="34"/>
      <c r="N112" s="155"/>
    </row>
    <row r="113" spans="1:14" s="1" customFormat="1" ht="14.25" x14ac:dyDescent="0.2">
      <c r="A113" s="7"/>
      <c r="B113" s="7"/>
      <c r="C113" s="8"/>
      <c r="D113" s="9"/>
      <c r="E113" s="9"/>
      <c r="F113" s="9"/>
      <c r="G113" s="9"/>
      <c r="H113" s="9"/>
      <c r="I113" s="9"/>
      <c r="J113" s="35"/>
      <c r="K113" s="35"/>
      <c r="L113" s="35"/>
      <c r="M113" s="35"/>
      <c r="N113" s="156"/>
    </row>
    <row r="114" spans="1:14" s="1" customFormat="1" ht="14.25" x14ac:dyDescent="0.2">
      <c r="A114" s="7" t="s">
        <v>752</v>
      </c>
      <c r="B114" s="7"/>
      <c r="C114" s="8" t="s">
        <v>268</v>
      </c>
      <c r="D114" s="9">
        <f>VLOOKUP(A114,fin,3,FALSE)</f>
        <v>50000</v>
      </c>
      <c r="E114" s="9">
        <v>65927.72</v>
      </c>
      <c r="F114" s="9">
        <v>0</v>
      </c>
      <c r="G114" s="9">
        <v>401539.33</v>
      </c>
      <c r="H114" s="9">
        <v>933503.67</v>
      </c>
      <c r="I114" s="9">
        <v>30.07</v>
      </c>
      <c r="J114" s="27">
        <f>+K114-D114</f>
        <v>-25000</v>
      </c>
      <c r="K114" s="35">
        <f>VLOOKUP(A114,fin,4,FALSE)</f>
        <v>25000</v>
      </c>
      <c r="L114" s="35">
        <f t="shared" ref="L114" si="38">K114*4.5/100+K114</f>
        <v>26125</v>
      </c>
      <c r="M114" s="35">
        <f t="shared" ref="M114:N114" si="39">L114*4.6/100+L114</f>
        <v>27326.75</v>
      </c>
      <c r="N114" s="156">
        <f t="shared" si="39"/>
        <v>28583.780500000001</v>
      </c>
    </row>
    <row r="115" spans="1:14" s="1" customFormat="1" ht="14.25" x14ac:dyDescent="0.2">
      <c r="A115" s="7"/>
      <c r="B115" s="7"/>
      <c r="C115" s="8"/>
      <c r="D115" s="9"/>
      <c r="E115" s="9"/>
      <c r="F115" s="9"/>
      <c r="G115" s="9"/>
      <c r="H115" s="9"/>
      <c r="I115" s="9"/>
      <c r="J115" s="35"/>
      <c r="K115" s="35"/>
      <c r="L115" s="35"/>
      <c r="M115" s="35"/>
      <c r="N115" s="156"/>
    </row>
    <row r="116" spans="1:14" s="2" customFormat="1" x14ac:dyDescent="0.25">
      <c r="A116" s="3"/>
      <c r="B116" s="3"/>
      <c r="C116" s="4" t="s">
        <v>274</v>
      </c>
      <c r="D116" s="5">
        <f>SUM(D114:D115)</f>
        <v>50000</v>
      </c>
      <c r="E116" s="5">
        <f>SUM(E114:E115)</f>
        <v>65927.72</v>
      </c>
      <c r="F116" s="5">
        <f>SUM(F114:F115)</f>
        <v>0</v>
      </c>
      <c r="G116" s="5">
        <f>SUM(G114:G115)</f>
        <v>401539.33</v>
      </c>
      <c r="H116" s="5">
        <f>SUM(H114:H115)</f>
        <v>933503.67</v>
      </c>
      <c r="I116" s="5">
        <v>0</v>
      </c>
      <c r="J116" s="27">
        <f>+K116-D116</f>
        <v>-25000</v>
      </c>
      <c r="K116" s="34">
        <f>SUM(K114:K115)</f>
        <v>25000</v>
      </c>
      <c r="L116" s="34">
        <f>SUM(L114:L115)</f>
        <v>26125</v>
      </c>
      <c r="M116" s="34">
        <f>SUM(M114:M115)</f>
        <v>27326.75</v>
      </c>
      <c r="N116" s="34">
        <f>SUM(N114:N115)</f>
        <v>28583.780500000001</v>
      </c>
    </row>
    <row r="117" spans="1:14" s="2" customFormat="1" x14ac:dyDescent="0.25">
      <c r="A117" s="3"/>
      <c r="B117" s="3"/>
      <c r="C117" s="4"/>
      <c r="D117" s="5"/>
      <c r="E117" s="5"/>
      <c r="F117" s="5"/>
      <c r="G117" s="5"/>
      <c r="H117" s="5"/>
      <c r="I117" s="5"/>
      <c r="J117" s="35"/>
      <c r="K117" s="34"/>
      <c r="L117" s="34"/>
      <c r="M117" s="34"/>
      <c r="N117" s="155"/>
    </row>
    <row r="118" spans="1:14" s="2" customFormat="1" x14ac:dyDescent="0.25">
      <c r="A118" s="3"/>
      <c r="B118" s="3"/>
      <c r="C118" s="4" t="s">
        <v>305</v>
      </c>
      <c r="D118" s="5">
        <f>D110+D114</f>
        <v>1265417</v>
      </c>
      <c r="E118" s="5">
        <f t="shared" ref="E118:N118" si="40">E110+E114</f>
        <v>263710.88</v>
      </c>
      <c r="F118" s="5">
        <f t="shared" si="40"/>
        <v>0</v>
      </c>
      <c r="G118" s="5">
        <f t="shared" si="40"/>
        <v>1606157.32</v>
      </c>
      <c r="H118" s="5">
        <f t="shared" si="40"/>
        <v>3734014.68</v>
      </c>
      <c r="I118" s="5">
        <v>0</v>
      </c>
      <c r="J118" s="27">
        <f>+K118-D118</f>
        <v>-25000</v>
      </c>
      <c r="K118" s="34">
        <f t="shared" si="40"/>
        <v>1240417</v>
      </c>
      <c r="L118" s="34">
        <f t="shared" si="40"/>
        <v>1317505.5625</v>
      </c>
      <c r="M118" s="34">
        <f t="shared" si="40"/>
        <v>1409103.951875</v>
      </c>
      <c r="N118" s="34">
        <f t="shared" si="40"/>
        <v>1507085.3865062499</v>
      </c>
    </row>
    <row r="119" spans="1:14" s="2" customFormat="1" x14ac:dyDescent="0.25">
      <c r="A119" s="3"/>
      <c r="B119" s="3"/>
      <c r="C119" s="4"/>
      <c r="D119" s="5"/>
      <c r="E119" s="5"/>
      <c r="F119" s="5"/>
      <c r="G119" s="5"/>
      <c r="H119" s="5"/>
      <c r="I119" s="5"/>
      <c r="J119" s="35"/>
      <c r="K119" s="34"/>
      <c r="L119" s="34"/>
      <c r="M119" s="34"/>
      <c r="N119" s="155"/>
    </row>
    <row r="120" spans="1:14" s="2" customFormat="1" x14ac:dyDescent="0.25">
      <c r="A120" s="3"/>
      <c r="B120" s="3"/>
      <c r="C120" s="4" t="s">
        <v>306</v>
      </c>
      <c r="D120" s="5">
        <f>D118</f>
        <v>1265417</v>
      </c>
      <c r="E120" s="5">
        <f t="shared" ref="E120:N120" si="41">E118</f>
        <v>263710.88</v>
      </c>
      <c r="F120" s="5">
        <f t="shared" si="41"/>
        <v>0</v>
      </c>
      <c r="G120" s="5">
        <f t="shared" si="41"/>
        <v>1606157.32</v>
      </c>
      <c r="H120" s="5">
        <f t="shared" si="41"/>
        <v>3734014.68</v>
      </c>
      <c r="I120" s="5">
        <v>0</v>
      </c>
      <c r="J120" s="27">
        <f>+K120-D120</f>
        <v>-25000</v>
      </c>
      <c r="K120" s="34">
        <f t="shared" si="41"/>
        <v>1240417</v>
      </c>
      <c r="L120" s="34">
        <f t="shared" si="41"/>
        <v>1317505.5625</v>
      </c>
      <c r="M120" s="34">
        <f t="shared" si="41"/>
        <v>1409103.951875</v>
      </c>
      <c r="N120" s="34">
        <f t="shared" si="41"/>
        <v>1507085.3865062499</v>
      </c>
    </row>
    <row r="121" spans="1:14" s="2" customFormat="1" x14ac:dyDescent="0.25">
      <c r="A121" s="3"/>
      <c r="B121" s="3"/>
      <c r="C121" s="4"/>
      <c r="D121" s="5"/>
      <c r="E121" s="5"/>
      <c r="F121" s="5"/>
      <c r="G121" s="5"/>
      <c r="H121" s="5"/>
      <c r="I121" s="5"/>
      <c r="J121" s="35"/>
      <c r="K121" s="35"/>
      <c r="L121" s="34"/>
      <c r="M121" s="34"/>
      <c r="N121" s="155"/>
    </row>
    <row r="122" spans="1:14" s="2" customFormat="1" x14ac:dyDescent="0.25">
      <c r="A122" s="3"/>
      <c r="B122" s="3"/>
      <c r="C122" s="4" t="s">
        <v>753</v>
      </c>
      <c r="D122" s="5"/>
      <c r="E122" s="5"/>
      <c r="F122" s="5"/>
      <c r="G122" s="5"/>
      <c r="H122" s="5"/>
      <c r="I122" s="5"/>
      <c r="J122" s="27">
        <f>+K122-D122</f>
        <v>0</v>
      </c>
      <c r="K122" s="35"/>
      <c r="L122" s="34"/>
      <c r="M122" s="34"/>
      <c r="N122" s="155"/>
    </row>
    <row r="123" spans="1:14" s="2" customFormat="1" x14ac:dyDescent="0.25">
      <c r="A123" s="3"/>
      <c r="B123" s="3"/>
      <c r="C123" s="4" t="s">
        <v>96</v>
      </c>
      <c r="D123" s="5"/>
      <c r="E123" s="5"/>
      <c r="F123" s="5"/>
      <c r="G123" s="5"/>
      <c r="H123" s="5"/>
      <c r="I123" s="5"/>
      <c r="J123" s="27">
        <f>+K123-D123</f>
        <v>0</v>
      </c>
      <c r="K123" s="35"/>
      <c r="L123" s="34"/>
      <c r="M123" s="34"/>
      <c r="N123" s="155"/>
    </row>
    <row r="124" spans="1:14" s="2" customFormat="1" x14ac:dyDescent="0.25">
      <c r="A124" s="3"/>
      <c r="B124" s="3"/>
      <c r="C124" s="4" t="s">
        <v>97</v>
      </c>
      <c r="D124" s="5"/>
      <c r="E124" s="5"/>
      <c r="F124" s="5"/>
      <c r="G124" s="5"/>
      <c r="H124" s="5"/>
      <c r="I124" s="5"/>
      <c r="J124" s="27">
        <f>+K124-D124</f>
        <v>0</v>
      </c>
      <c r="K124" s="35"/>
      <c r="L124" s="34"/>
      <c r="M124" s="34"/>
      <c r="N124" s="155"/>
    </row>
    <row r="125" spans="1:14" s="2" customFormat="1" x14ac:dyDescent="0.25">
      <c r="A125" s="3"/>
      <c r="B125" s="3"/>
      <c r="C125" s="4" t="s">
        <v>148</v>
      </c>
      <c r="D125" s="5"/>
      <c r="E125" s="5"/>
      <c r="F125" s="5"/>
      <c r="G125" s="5"/>
      <c r="H125" s="5"/>
      <c r="I125" s="5"/>
      <c r="J125" s="27">
        <f>+K125-D125</f>
        <v>0</v>
      </c>
      <c r="K125" s="35"/>
      <c r="L125" s="34"/>
      <c r="M125" s="34"/>
      <c r="N125" s="155"/>
    </row>
    <row r="126" spans="1:14" s="2" customFormat="1" x14ac:dyDescent="0.25">
      <c r="A126" s="3"/>
      <c r="B126" s="3"/>
      <c r="C126" s="4" t="s">
        <v>149</v>
      </c>
      <c r="D126" s="5"/>
      <c r="E126" s="5"/>
      <c r="F126" s="5"/>
      <c r="G126" s="5"/>
      <c r="H126" s="5"/>
      <c r="I126" s="5"/>
      <c r="J126" s="27">
        <f>+K126-D126</f>
        <v>0</v>
      </c>
      <c r="K126" s="35"/>
      <c r="L126" s="34"/>
      <c r="M126" s="34"/>
      <c r="N126" s="155"/>
    </row>
    <row r="127" spans="1:14" s="1" customFormat="1" ht="14.25" x14ac:dyDescent="0.2">
      <c r="A127" s="7"/>
      <c r="B127" s="7"/>
      <c r="C127" s="8"/>
      <c r="D127" s="9"/>
      <c r="E127" s="9"/>
      <c r="F127" s="9"/>
      <c r="G127" s="9"/>
      <c r="H127" s="9"/>
      <c r="I127" s="9"/>
      <c r="J127" s="35"/>
      <c r="K127" s="35"/>
      <c r="L127" s="35"/>
      <c r="M127" s="35"/>
      <c r="N127" s="156"/>
    </row>
    <row r="128" spans="1:14" s="1" customFormat="1" ht="14.25" x14ac:dyDescent="0.2">
      <c r="A128" s="7" t="s">
        <v>754</v>
      </c>
      <c r="B128" s="7"/>
      <c r="C128" s="8" t="s">
        <v>150</v>
      </c>
      <c r="D128" s="9">
        <f t="shared" ref="D128:D133" si="42">VLOOKUP(A128,fin,3,FALSE)</f>
        <v>200866</v>
      </c>
      <c r="E128" s="9">
        <v>65927.72</v>
      </c>
      <c r="F128" s="9">
        <v>0</v>
      </c>
      <c r="G128" s="9">
        <v>401539.33</v>
      </c>
      <c r="H128" s="9">
        <v>933503.67</v>
      </c>
      <c r="I128" s="9">
        <v>30.07</v>
      </c>
      <c r="J128" s="27">
        <f t="shared" ref="J128:J133" si="43">+K128-D128</f>
        <v>0</v>
      </c>
      <c r="K128" s="35">
        <f t="shared" ref="K128:K133" si="44">VLOOKUP(A128,fin,4,FALSE)</f>
        <v>200866</v>
      </c>
      <c r="L128" s="35">
        <f t="shared" ref="L128:L133" si="45">K128*6.25/100+K128</f>
        <v>213420.125</v>
      </c>
      <c r="M128" s="35">
        <f t="shared" ref="M128:N133" si="46">L128*7/100+L128</f>
        <v>228359.53375</v>
      </c>
      <c r="N128" s="156">
        <f t="shared" si="46"/>
        <v>244344.70111250001</v>
      </c>
    </row>
    <row r="129" spans="1:14" s="1" customFormat="1" ht="14.25" x14ac:dyDescent="0.2">
      <c r="A129" s="7" t="s">
        <v>755</v>
      </c>
      <c r="B129" s="7"/>
      <c r="C129" s="8" t="s">
        <v>151</v>
      </c>
      <c r="D129" s="9">
        <f t="shared" si="42"/>
        <v>10043</v>
      </c>
      <c r="E129" s="9">
        <v>65927.72</v>
      </c>
      <c r="F129" s="9">
        <v>0</v>
      </c>
      <c r="G129" s="9">
        <v>401539.33</v>
      </c>
      <c r="H129" s="9">
        <v>933503.67</v>
      </c>
      <c r="I129" s="9">
        <v>30.07</v>
      </c>
      <c r="J129" s="27">
        <f t="shared" si="43"/>
        <v>-1575.9100000000017</v>
      </c>
      <c r="K129" s="35">
        <f t="shared" si="44"/>
        <v>8467.0899999999983</v>
      </c>
      <c r="L129" s="35">
        <f t="shared" si="45"/>
        <v>8996.2831249999981</v>
      </c>
      <c r="M129" s="35">
        <f t="shared" si="46"/>
        <v>9626.0229437499984</v>
      </c>
      <c r="N129" s="156">
        <f t="shared" si="46"/>
        <v>10299.844549812498</v>
      </c>
    </row>
    <row r="130" spans="1:14" s="1" customFormat="1" ht="14.25" x14ac:dyDescent="0.2">
      <c r="A130" s="7" t="s">
        <v>756</v>
      </c>
      <c r="B130" s="7"/>
      <c r="C130" s="8" t="s">
        <v>155</v>
      </c>
      <c r="D130" s="9">
        <f t="shared" si="42"/>
        <v>6666</v>
      </c>
      <c r="E130" s="9">
        <v>65927.72</v>
      </c>
      <c r="F130" s="9">
        <v>0</v>
      </c>
      <c r="G130" s="9">
        <v>401539.33</v>
      </c>
      <c r="H130" s="9">
        <v>933503.67</v>
      </c>
      <c r="I130" s="9">
        <v>30.07</v>
      </c>
      <c r="J130" s="27">
        <f t="shared" si="43"/>
        <v>0</v>
      </c>
      <c r="K130" s="35">
        <f t="shared" si="44"/>
        <v>6666</v>
      </c>
      <c r="L130" s="35">
        <f t="shared" si="45"/>
        <v>7082.625</v>
      </c>
      <c r="M130" s="35">
        <f t="shared" si="46"/>
        <v>7578.4087499999996</v>
      </c>
      <c r="N130" s="156">
        <f t="shared" si="46"/>
        <v>8108.8973624999999</v>
      </c>
    </row>
    <row r="131" spans="1:14" s="1" customFormat="1" ht="14.25" x14ac:dyDescent="0.2">
      <c r="A131" s="7" t="s">
        <v>757</v>
      </c>
      <c r="B131" s="7"/>
      <c r="C131" s="8" t="s">
        <v>157</v>
      </c>
      <c r="D131" s="9">
        <f t="shared" si="42"/>
        <v>23939</v>
      </c>
      <c r="E131" s="9">
        <v>65927.72</v>
      </c>
      <c r="F131" s="9">
        <v>0</v>
      </c>
      <c r="G131" s="9">
        <v>401539.33</v>
      </c>
      <c r="H131" s="9">
        <v>933503.67</v>
      </c>
      <c r="I131" s="9">
        <v>30.07</v>
      </c>
      <c r="J131" s="27">
        <f t="shared" si="43"/>
        <v>0</v>
      </c>
      <c r="K131" s="35">
        <f t="shared" si="44"/>
        <v>23939</v>
      </c>
      <c r="L131" s="35">
        <f t="shared" si="45"/>
        <v>25435.1875</v>
      </c>
      <c r="M131" s="35">
        <f t="shared" si="46"/>
        <v>27215.650624999998</v>
      </c>
      <c r="N131" s="156">
        <f t="shared" si="46"/>
        <v>29120.746168749996</v>
      </c>
    </row>
    <row r="132" spans="1:14" s="1" customFormat="1" ht="14.25" x14ac:dyDescent="0.2">
      <c r="A132" s="7" t="s">
        <v>758</v>
      </c>
      <c r="B132" s="7"/>
      <c r="C132" s="8" t="s">
        <v>159</v>
      </c>
      <c r="D132" s="9">
        <f t="shared" si="42"/>
        <v>16739</v>
      </c>
      <c r="E132" s="9">
        <v>65927.72</v>
      </c>
      <c r="F132" s="9">
        <v>0</v>
      </c>
      <c r="G132" s="9">
        <v>401539.33</v>
      </c>
      <c r="H132" s="9">
        <v>933503.67</v>
      </c>
      <c r="I132" s="9">
        <v>30.07</v>
      </c>
      <c r="J132" s="27">
        <f t="shared" si="43"/>
        <v>0</v>
      </c>
      <c r="K132" s="35">
        <f t="shared" si="44"/>
        <v>16739</v>
      </c>
      <c r="L132" s="35">
        <f t="shared" si="45"/>
        <v>17785.1875</v>
      </c>
      <c r="M132" s="35">
        <f t="shared" si="46"/>
        <v>19030.150624999998</v>
      </c>
      <c r="N132" s="156">
        <f t="shared" si="46"/>
        <v>20362.261168749999</v>
      </c>
    </row>
    <row r="133" spans="1:14" s="33" customFormat="1" ht="14.25" x14ac:dyDescent="0.2">
      <c r="A133" s="31" t="s">
        <v>759</v>
      </c>
      <c r="B133" s="31"/>
      <c r="C133" s="32" t="s">
        <v>164</v>
      </c>
      <c r="D133" s="9">
        <f t="shared" si="42"/>
        <v>0</v>
      </c>
      <c r="E133" s="9">
        <v>65927.72</v>
      </c>
      <c r="F133" s="9">
        <v>0</v>
      </c>
      <c r="G133" s="9">
        <v>401539.33</v>
      </c>
      <c r="H133" s="9">
        <v>933503.67</v>
      </c>
      <c r="I133" s="9">
        <v>30.07</v>
      </c>
      <c r="J133" s="27">
        <f t="shared" si="43"/>
        <v>12363.6</v>
      </c>
      <c r="K133" s="35">
        <f t="shared" si="44"/>
        <v>12363.6</v>
      </c>
      <c r="L133" s="35">
        <f t="shared" si="45"/>
        <v>13136.325000000001</v>
      </c>
      <c r="M133" s="35">
        <f t="shared" si="46"/>
        <v>14055.867750000001</v>
      </c>
      <c r="N133" s="156">
        <f t="shared" si="46"/>
        <v>15039.778492500001</v>
      </c>
    </row>
    <row r="134" spans="1:14" s="1" customFormat="1" ht="14.25" x14ac:dyDescent="0.2">
      <c r="A134" s="7"/>
      <c r="B134" s="7"/>
      <c r="C134" s="8"/>
      <c r="D134" s="9"/>
      <c r="E134" s="9"/>
      <c r="F134" s="9"/>
      <c r="G134" s="9"/>
      <c r="H134" s="9"/>
      <c r="I134" s="9"/>
      <c r="J134" s="35"/>
      <c r="K134" s="35"/>
      <c r="L134" s="35"/>
      <c r="M134" s="35"/>
      <c r="N134" s="156"/>
    </row>
    <row r="135" spans="1:14" s="2" customFormat="1" x14ac:dyDescent="0.25">
      <c r="A135" s="3"/>
      <c r="B135" s="3"/>
      <c r="C135" s="4" t="s">
        <v>165</v>
      </c>
      <c r="D135" s="5">
        <f>SUM(D128:D134)</f>
        <v>258253</v>
      </c>
      <c r="E135" s="5">
        <f>SUM(E128:E134)</f>
        <v>395566.31999999995</v>
      </c>
      <c r="F135" s="5">
        <f>SUM(F128:F134)</f>
        <v>0</v>
      </c>
      <c r="G135" s="5">
        <f>SUM(G128:G134)</f>
        <v>2409235.98</v>
      </c>
      <c r="H135" s="5">
        <f>SUM(H128:H134)</f>
        <v>5601022.0200000005</v>
      </c>
      <c r="I135" s="5">
        <v>50.08</v>
      </c>
      <c r="J135" s="27">
        <f>+K135-D135</f>
        <v>10787.690000000002</v>
      </c>
      <c r="K135" s="34">
        <f>SUM(K128:K134)</f>
        <v>269040.69</v>
      </c>
      <c r="L135" s="34">
        <f>SUM(L128:L134)</f>
        <v>285855.73312499997</v>
      </c>
      <c r="M135" s="34">
        <f>SUM(M128:M134)</f>
        <v>305865.63444374996</v>
      </c>
      <c r="N135" s="34">
        <f>SUM(N128:N134)</f>
        <v>327276.22885481251</v>
      </c>
    </row>
    <row r="136" spans="1:14" s="2" customFormat="1" x14ac:dyDescent="0.25">
      <c r="A136" s="3"/>
      <c r="B136" s="3"/>
      <c r="C136" s="4"/>
      <c r="D136" s="5"/>
      <c r="E136" s="5"/>
      <c r="F136" s="5"/>
      <c r="G136" s="5"/>
      <c r="H136" s="5"/>
      <c r="I136" s="5"/>
      <c r="J136" s="35"/>
      <c r="K136" s="35"/>
      <c r="L136" s="34"/>
      <c r="M136" s="34"/>
      <c r="N136" s="155"/>
    </row>
    <row r="137" spans="1:14" s="2" customFormat="1" x14ac:dyDescent="0.25">
      <c r="A137" s="3"/>
      <c r="B137" s="3"/>
      <c r="C137" s="4" t="s">
        <v>166</v>
      </c>
      <c r="D137" s="5"/>
      <c r="E137" s="5"/>
      <c r="F137" s="5"/>
      <c r="G137" s="5"/>
      <c r="H137" s="5"/>
      <c r="I137" s="5"/>
      <c r="J137" s="27">
        <f>+K137-D137</f>
        <v>0</v>
      </c>
      <c r="K137" s="35"/>
      <c r="L137" s="34"/>
      <c r="M137" s="34"/>
      <c r="N137" s="155"/>
    </row>
    <row r="138" spans="1:14" s="1" customFormat="1" ht="14.25" x14ac:dyDescent="0.2">
      <c r="A138" s="7"/>
      <c r="B138" s="7"/>
      <c r="C138" s="8"/>
      <c r="D138" s="9"/>
      <c r="E138" s="9"/>
      <c r="F138" s="9"/>
      <c r="G138" s="9"/>
      <c r="H138" s="9"/>
      <c r="I138" s="9"/>
      <c r="J138" s="35"/>
      <c r="K138" s="35"/>
      <c r="L138" s="35"/>
      <c r="M138" s="35"/>
      <c r="N138" s="156"/>
    </row>
    <row r="139" spans="1:14" s="1" customFormat="1" ht="14.25" x14ac:dyDescent="0.2">
      <c r="A139" s="7" t="s">
        <v>760</v>
      </c>
      <c r="B139" s="7"/>
      <c r="C139" s="8" t="s">
        <v>167</v>
      </c>
      <c r="D139" s="9">
        <f>VLOOKUP(A139,fin,3,FALSE)</f>
        <v>112</v>
      </c>
      <c r="E139" s="9">
        <v>65927.72</v>
      </c>
      <c r="F139" s="9">
        <v>0</v>
      </c>
      <c r="G139" s="9">
        <v>401539.33</v>
      </c>
      <c r="H139" s="9">
        <v>933503.67</v>
      </c>
      <c r="I139" s="9">
        <v>30.07</v>
      </c>
      <c r="J139" s="27">
        <f>+K139-D139</f>
        <v>0</v>
      </c>
      <c r="K139" s="35">
        <f>VLOOKUP(A139,fin,4,FALSE)</f>
        <v>112</v>
      </c>
      <c r="L139" s="35">
        <f t="shared" ref="L139:L142" si="47">K139*6.25/100+K139</f>
        <v>119</v>
      </c>
      <c r="M139" s="35">
        <f t="shared" ref="M139:N142" si="48">L139*7/100+L139</f>
        <v>127.33</v>
      </c>
      <c r="N139" s="156">
        <f t="shared" si="48"/>
        <v>136.2431</v>
      </c>
    </row>
    <row r="140" spans="1:14" s="1" customFormat="1" ht="14.25" x14ac:dyDescent="0.2">
      <c r="A140" s="7" t="s">
        <v>761</v>
      </c>
      <c r="B140" s="7"/>
      <c r="C140" s="8" t="s">
        <v>168</v>
      </c>
      <c r="D140" s="9">
        <f>VLOOKUP(A140,fin,3,FALSE)</f>
        <v>0</v>
      </c>
      <c r="E140" s="9">
        <v>65927.72</v>
      </c>
      <c r="F140" s="9">
        <v>0</v>
      </c>
      <c r="G140" s="9">
        <v>401539.33</v>
      </c>
      <c r="H140" s="9">
        <v>933503.67</v>
      </c>
      <c r="I140" s="9">
        <v>30.07</v>
      </c>
      <c r="J140" s="27">
        <f>+K140-D140</f>
        <v>0</v>
      </c>
      <c r="K140" s="35">
        <f>VLOOKUP(A140,fin,4,FALSE)</f>
        <v>0</v>
      </c>
      <c r="L140" s="35">
        <f t="shared" si="47"/>
        <v>0</v>
      </c>
      <c r="M140" s="35">
        <f t="shared" si="48"/>
        <v>0</v>
      </c>
      <c r="N140" s="156">
        <f t="shared" si="48"/>
        <v>0</v>
      </c>
    </row>
    <row r="141" spans="1:14" s="1" customFormat="1" ht="14.25" x14ac:dyDescent="0.2">
      <c r="A141" s="7" t="s">
        <v>762</v>
      </c>
      <c r="B141" s="7"/>
      <c r="C141" s="8" t="s">
        <v>169</v>
      </c>
      <c r="D141" s="9">
        <f>VLOOKUP(A141,fin,3,FALSE)</f>
        <v>44190</v>
      </c>
      <c r="E141" s="9">
        <v>65927.72</v>
      </c>
      <c r="F141" s="9">
        <v>0</v>
      </c>
      <c r="G141" s="9">
        <v>401539.33</v>
      </c>
      <c r="H141" s="9">
        <v>933503.67</v>
      </c>
      <c r="I141" s="9">
        <v>30.07</v>
      </c>
      <c r="J141" s="27">
        <f>+K141-D141</f>
        <v>0</v>
      </c>
      <c r="K141" s="35">
        <f>VLOOKUP(A141,fin,4,FALSE)</f>
        <v>44190</v>
      </c>
      <c r="L141" s="35">
        <f t="shared" si="47"/>
        <v>46951.875</v>
      </c>
      <c r="M141" s="35">
        <f t="shared" si="48"/>
        <v>50238.506249999999</v>
      </c>
      <c r="N141" s="156">
        <f t="shared" si="48"/>
        <v>53755.201687499997</v>
      </c>
    </row>
    <row r="142" spans="1:14" s="1" customFormat="1" ht="14.25" x14ac:dyDescent="0.2">
      <c r="A142" s="7" t="s">
        <v>763</v>
      </c>
      <c r="B142" s="7"/>
      <c r="C142" s="8" t="s">
        <v>170</v>
      </c>
      <c r="D142" s="9">
        <f>VLOOKUP(A142,fin,3,FALSE)</f>
        <v>1785</v>
      </c>
      <c r="E142" s="9">
        <v>65927.72</v>
      </c>
      <c r="F142" s="9">
        <v>0</v>
      </c>
      <c r="G142" s="9">
        <v>401539.33</v>
      </c>
      <c r="H142" s="9">
        <v>933503.67</v>
      </c>
      <c r="I142" s="9">
        <v>30.07</v>
      </c>
      <c r="J142" s="27">
        <f>+K142-D142</f>
        <v>0</v>
      </c>
      <c r="K142" s="35">
        <f>VLOOKUP(A142,fin,4,FALSE)</f>
        <v>1785</v>
      </c>
      <c r="L142" s="35">
        <f t="shared" si="47"/>
        <v>1896.5625</v>
      </c>
      <c r="M142" s="35">
        <f t="shared" si="48"/>
        <v>2029.3218750000001</v>
      </c>
      <c r="N142" s="156">
        <f t="shared" si="48"/>
        <v>2171.37440625</v>
      </c>
    </row>
    <row r="143" spans="1:14" s="1" customFormat="1" ht="14.25" x14ac:dyDescent="0.2">
      <c r="A143" s="7"/>
      <c r="B143" s="7"/>
      <c r="C143" s="8"/>
      <c r="D143" s="9"/>
      <c r="E143" s="9"/>
      <c r="F143" s="9"/>
      <c r="G143" s="9"/>
      <c r="H143" s="9"/>
      <c r="I143" s="9"/>
      <c r="J143" s="35"/>
      <c r="K143" s="35"/>
      <c r="L143" s="35"/>
      <c r="M143" s="35"/>
      <c r="N143" s="156"/>
    </row>
    <row r="144" spans="1:14" s="2" customFormat="1" x14ac:dyDescent="0.25">
      <c r="A144" s="3"/>
      <c r="B144" s="3"/>
      <c r="C144" s="4" t="s">
        <v>171</v>
      </c>
      <c r="D144" s="5">
        <f>SUM(D139:D143)</f>
        <v>46087</v>
      </c>
      <c r="E144" s="5">
        <f>SUM(E139:E143)</f>
        <v>263710.88</v>
      </c>
      <c r="F144" s="5">
        <f>SUM(F139:F143)</f>
        <v>0</v>
      </c>
      <c r="G144" s="5">
        <f>SUM(G139:G143)</f>
        <v>1606157.32</v>
      </c>
      <c r="H144" s="5">
        <f>SUM(H139:H143)</f>
        <v>3734014.68</v>
      </c>
      <c r="I144" s="5">
        <v>58.19</v>
      </c>
      <c r="J144" s="27">
        <f>+K144-D144</f>
        <v>0</v>
      </c>
      <c r="K144" s="34">
        <f>SUM(K139:K143)</f>
        <v>46087</v>
      </c>
      <c r="L144" s="34">
        <f>SUM(L139:L143)</f>
        <v>48967.4375</v>
      </c>
      <c r="M144" s="34">
        <f>SUM(M139:M143)</f>
        <v>52395.158125000002</v>
      </c>
      <c r="N144" s="34">
        <f>SUM(N139:N143)</f>
        <v>56062.819193749994</v>
      </c>
    </row>
    <row r="145" spans="1:14" s="2" customFormat="1" x14ac:dyDescent="0.25">
      <c r="A145" s="3"/>
      <c r="B145" s="3"/>
      <c r="C145" s="4"/>
      <c r="D145" s="5"/>
      <c r="E145" s="5"/>
      <c r="F145" s="5"/>
      <c r="G145" s="5"/>
      <c r="H145" s="5"/>
      <c r="I145" s="5"/>
      <c r="J145" s="35"/>
      <c r="K145" s="34"/>
      <c r="L145" s="34"/>
      <c r="M145" s="34"/>
      <c r="N145" s="155"/>
    </row>
    <row r="146" spans="1:14" s="2" customFormat="1" x14ac:dyDescent="0.25">
      <c r="A146" s="3"/>
      <c r="B146" s="3"/>
      <c r="C146" s="4" t="s">
        <v>177</v>
      </c>
      <c r="D146" s="5">
        <f>D135+D144</f>
        <v>304340</v>
      </c>
      <c r="E146" s="5">
        <f t="shared" ref="E146:N146" si="49">E135+E144</f>
        <v>659277.19999999995</v>
      </c>
      <c r="F146" s="5">
        <f t="shared" si="49"/>
        <v>0</v>
      </c>
      <c r="G146" s="5">
        <f t="shared" si="49"/>
        <v>4015393.3</v>
      </c>
      <c r="H146" s="5">
        <f t="shared" si="49"/>
        <v>9335036.7000000011</v>
      </c>
      <c r="I146" s="5">
        <v>51.31</v>
      </c>
      <c r="J146" s="27">
        <f>+K146-D146</f>
        <v>10787.690000000002</v>
      </c>
      <c r="K146" s="34">
        <f t="shared" si="49"/>
        <v>315127.69</v>
      </c>
      <c r="L146" s="34">
        <f t="shared" si="49"/>
        <v>334823.17062499997</v>
      </c>
      <c r="M146" s="34">
        <f t="shared" si="49"/>
        <v>358260.79256874998</v>
      </c>
      <c r="N146" s="34">
        <f t="shared" si="49"/>
        <v>383339.04804856249</v>
      </c>
    </row>
    <row r="147" spans="1:14" s="2" customFormat="1" x14ac:dyDescent="0.25">
      <c r="A147" s="3"/>
      <c r="B147" s="3"/>
      <c r="C147" s="4"/>
      <c r="D147" s="5"/>
      <c r="E147" s="5"/>
      <c r="F147" s="5"/>
      <c r="G147" s="5"/>
      <c r="H147" s="5"/>
      <c r="I147" s="5"/>
      <c r="J147" s="35"/>
      <c r="K147" s="34"/>
      <c r="L147" s="34"/>
      <c r="M147" s="34"/>
      <c r="N147" s="155"/>
    </row>
    <row r="148" spans="1:14" s="2" customFormat="1" x14ac:dyDescent="0.25">
      <c r="A148" s="3"/>
      <c r="B148" s="3"/>
      <c r="C148" s="4" t="s">
        <v>178</v>
      </c>
      <c r="D148" s="5">
        <f>D146</f>
        <v>304340</v>
      </c>
      <c r="E148" s="5">
        <f t="shared" ref="E148:N148" si="50">E146</f>
        <v>659277.19999999995</v>
      </c>
      <c r="F148" s="5">
        <f t="shared" si="50"/>
        <v>0</v>
      </c>
      <c r="G148" s="5">
        <f t="shared" si="50"/>
        <v>4015393.3</v>
      </c>
      <c r="H148" s="5">
        <f t="shared" si="50"/>
        <v>9335036.7000000011</v>
      </c>
      <c r="I148" s="5">
        <v>51.31</v>
      </c>
      <c r="J148" s="27">
        <f>+K148-D148</f>
        <v>10787.690000000002</v>
      </c>
      <c r="K148" s="34">
        <f t="shared" si="50"/>
        <v>315127.69</v>
      </c>
      <c r="L148" s="34">
        <f t="shared" si="50"/>
        <v>334823.17062499997</v>
      </c>
      <c r="M148" s="34">
        <f t="shared" si="50"/>
        <v>358260.79256874998</v>
      </c>
      <c r="N148" s="34">
        <f t="shared" si="50"/>
        <v>383339.04804856249</v>
      </c>
    </row>
    <row r="149" spans="1:14" s="1" customFormat="1" ht="14.25" x14ac:dyDescent="0.2">
      <c r="A149" s="7"/>
      <c r="B149" s="7"/>
      <c r="C149" s="8"/>
      <c r="D149" s="9"/>
      <c r="E149" s="9"/>
      <c r="F149" s="9"/>
      <c r="G149" s="9"/>
      <c r="H149" s="9"/>
      <c r="I149" s="9"/>
      <c r="J149" s="35"/>
      <c r="K149" s="35"/>
      <c r="L149" s="35"/>
      <c r="M149" s="35"/>
      <c r="N149" s="156"/>
    </row>
    <row r="150" spans="1:14" s="2" customFormat="1" x14ac:dyDescent="0.25">
      <c r="A150" s="3"/>
      <c r="B150" s="3"/>
      <c r="C150" s="4" t="s">
        <v>179</v>
      </c>
      <c r="D150" s="5"/>
      <c r="E150" s="5"/>
      <c r="F150" s="5"/>
      <c r="G150" s="5"/>
      <c r="H150" s="5"/>
      <c r="I150" s="5"/>
      <c r="J150" s="27">
        <f>+K150-D150</f>
        <v>0</v>
      </c>
      <c r="K150" s="35"/>
      <c r="L150" s="34"/>
      <c r="M150" s="34"/>
      <c r="N150" s="155"/>
    </row>
    <row r="151" spans="1:14" s="2" customFormat="1" x14ac:dyDescent="0.25">
      <c r="A151" s="3"/>
      <c r="B151" s="3"/>
      <c r="C151" s="4"/>
      <c r="D151" s="5"/>
      <c r="E151" s="5"/>
      <c r="F151" s="5"/>
      <c r="G151" s="5"/>
      <c r="H151" s="5"/>
      <c r="I151" s="5"/>
      <c r="J151" s="35"/>
      <c r="K151" s="35"/>
      <c r="L151" s="34"/>
      <c r="M151" s="34"/>
      <c r="N151" s="155"/>
    </row>
    <row r="152" spans="1:14" s="2" customFormat="1" x14ac:dyDescent="0.25">
      <c r="A152" s="3"/>
      <c r="B152" s="3"/>
      <c r="C152" s="4" t="s">
        <v>181</v>
      </c>
      <c r="D152" s="5"/>
      <c r="E152" s="5"/>
      <c r="F152" s="5"/>
      <c r="G152" s="5"/>
      <c r="H152" s="5"/>
      <c r="I152" s="5"/>
      <c r="J152" s="27">
        <f>+K152-D152</f>
        <v>0</v>
      </c>
      <c r="K152" s="35"/>
      <c r="L152" s="34"/>
      <c r="M152" s="34"/>
      <c r="N152" s="155"/>
    </row>
    <row r="153" spans="1:14" s="1" customFormat="1" ht="14.25" x14ac:dyDescent="0.2">
      <c r="A153" s="7"/>
      <c r="B153" s="7"/>
      <c r="C153" s="8"/>
      <c r="D153" s="9"/>
      <c r="E153" s="9"/>
      <c r="F153" s="9"/>
      <c r="G153" s="9"/>
      <c r="H153" s="9"/>
      <c r="I153" s="9"/>
      <c r="J153" s="35"/>
      <c r="K153" s="35"/>
      <c r="L153" s="35"/>
      <c r="M153" s="35"/>
      <c r="N153" s="156"/>
    </row>
    <row r="154" spans="1:14" s="1" customFormat="1" ht="14.25" x14ac:dyDescent="0.2">
      <c r="A154" s="7" t="s">
        <v>764</v>
      </c>
      <c r="B154" s="7"/>
      <c r="C154" s="8" t="s">
        <v>182</v>
      </c>
      <c r="D154" s="9">
        <f>VLOOKUP(A154,fin,3,FALSE)</f>
        <v>177139</v>
      </c>
      <c r="E154" s="9">
        <v>65927.72</v>
      </c>
      <c r="F154" s="9">
        <v>0</v>
      </c>
      <c r="G154" s="9">
        <v>401539.33</v>
      </c>
      <c r="H154" s="9">
        <v>933503.67</v>
      </c>
      <c r="I154" s="9">
        <v>30.07</v>
      </c>
      <c r="J154" s="27">
        <f>+K154-D154</f>
        <v>0</v>
      </c>
      <c r="K154" s="35">
        <f>VLOOKUP(A154,fin,4,FALSE)</f>
        <v>177139</v>
      </c>
      <c r="L154" s="35">
        <f t="shared" ref="L154:L156" si="51">K154*6.25/100+K154</f>
        <v>188210.1875</v>
      </c>
      <c r="M154" s="35">
        <f t="shared" ref="M154:N156" si="52">L154*7/100+L154</f>
        <v>201384.90062500001</v>
      </c>
      <c r="N154" s="156">
        <f t="shared" si="52"/>
        <v>215481.84366875002</v>
      </c>
    </row>
    <row r="155" spans="1:14" s="1" customFormat="1" ht="14.25" x14ac:dyDescent="0.2">
      <c r="A155" s="7" t="s">
        <v>765</v>
      </c>
      <c r="B155" s="7"/>
      <c r="C155" s="8" t="s">
        <v>183</v>
      </c>
      <c r="D155" s="9">
        <f>VLOOKUP(A155,fin,3,FALSE)</f>
        <v>531416</v>
      </c>
      <c r="E155" s="9">
        <v>65927.72</v>
      </c>
      <c r="F155" s="9">
        <v>0</v>
      </c>
      <c r="G155" s="9">
        <v>401539.33</v>
      </c>
      <c r="H155" s="9">
        <v>933503.67</v>
      </c>
      <c r="I155" s="9">
        <v>30.07</v>
      </c>
      <c r="J155" s="27">
        <f>+K155-D155</f>
        <v>0</v>
      </c>
      <c r="K155" s="35">
        <f>VLOOKUP(A155,fin,4,FALSE)</f>
        <v>531416</v>
      </c>
      <c r="L155" s="35">
        <f t="shared" si="51"/>
        <v>564629.5</v>
      </c>
      <c r="M155" s="35">
        <f t="shared" si="52"/>
        <v>604153.56499999994</v>
      </c>
      <c r="N155" s="156">
        <f t="shared" si="52"/>
        <v>646444.31454999989</v>
      </c>
    </row>
    <row r="156" spans="1:14" s="1" customFormat="1" ht="14.25" x14ac:dyDescent="0.2">
      <c r="A156" s="7" t="s">
        <v>766</v>
      </c>
      <c r="B156" s="7"/>
      <c r="C156" s="8" t="s">
        <v>184</v>
      </c>
      <c r="D156" s="9">
        <f>VLOOKUP(A156,fin,3,FALSE)</f>
        <v>47508</v>
      </c>
      <c r="E156" s="9">
        <v>65927.72</v>
      </c>
      <c r="F156" s="9">
        <v>0</v>
      </c>
      <c r="G156" s="9">
        <v>401539.33</v>
      </c>
      <c r="H156" s="9">
        <v>933503.67</v>
      </c>
      <c r="I156" s="9">
        <v>30.07</v>
      </c>
      <c r="J156" s="27">
        <f>+K156-D156</f>
        <v>0</v>
      </c>
      <c r="K156" s="35">
        <f>VLOOKUP(A156,fin,4,FALSE)</f>
        <v>47508</v>
      </c>
      <c r="L156" s="35">
        <f t="shared" si="51"/>
        <v>50477.25</v>
      </c>
      <c r="M156" s="35">
        <f t="shared" si="52"/>
        <v>54010.657500000001</v>
      </c>
      <c r="N156" s="156">
        <f t="shared" si="52"/>
        <v>57791.403525000002</v>
      </c>
    </row>
    <row r="157" spans="1:14" s="1" customFormat="1" ht="14.25" x14ac:dyDescent="0.2">
      <c r="A157" s="7"/>
      <c r="B157" s="7"/>
      <c r="C157" s="8"/>
      <c r="D157" s="9"/>
      <c r="E157" s="9"/>
      <c r="F157" s="9"/>
      <c r="G157" s="9"/>
      <c r="H157" s="9"/>
      <c r="I157" s="9"/>
      <c r="J157" s="35"/>
      <c r="K157" s="35"/>
      <c r="L157" s="35"/>
      <c r="M157" s="35"/>
      <c r="N157" s="156"/>
    </row>
    <row r="158" spans="1:14" s="2" customFormat="1" x14ac:dyDescent="0.25">
      <c r="A158" s="3"/>
      <c r="B158" s="3"/>
      <c r="C158" s="4" t="s">
        <v>185</v>
      </c>
      <c r="D158" s="5">
        <f>SUM(D154:D157)</f>
        <v>756063</v>
      </c>
      <c r="E158" s="5">
        <f>SUM(E154:E157)</f>
        <v>197783.16</v>
      </c>
      <c r="F158" s="5">
        <f>SUM(F154:F157)</f>
        <v>0</v>
      </c>
      <c r="G158" s="5">
        <f>SUM(G154:G157)</f>
        <v>1204617.99</v>
      </c>
      <c r="H158" s="5">
        <f>SUM(H154:H157)</f>
        <v>2800511.0100000002</v>
      </c>
      <c r="I158" s="5">
        <v>0</v>
      </c>
      <c r="J158" s="27">
        <f>+K158-D158</f>
        <v>0</v>
      </c>
      <c r="K158" s="34">
        <f>SUM(K154:K157)</f>
        <v>756063</v>
      </c>
      <c r="L158" s="34">
        <f>SUM(L154:L157)</f>
        <v>803316.9375</v>
      </c>
      <c r="M158" s="34">
        <f>SUM(M154:M157)</f>
        <v>859549.12312499993</v>
      </c>
      <c r="N158" s="34">
        <f>SUM(N154:N157)</f>
        <v>919717.56174374989</v>
      </c>
    </row>
    <row r="159" spans="1:14" s="1" customFormat="1" ht="14.25" x14ac:dyDescent="0.2">
      <c r="A159" s="7"/>
      <c r="B159" s="7"/>
      <c r="C159" s="8"/>
      <c r="D159" s="9"/>
      <c r="E159" s="9"/>
      <c r="F159" s="9"/>
      <c r="G159" s="9"/>
      <c r="H159" s="9"/>
      <c r="I159" s="9"/>
      <c r="J159" s="35"/>
      <c r="K159" s="35"/>
      <c r="L159" s="35"/>
      <c r="M159" s="35"/>
      <c r="N159" s="156"/>
    </row>
    <row r="160" spans="1:14" s="2" customFormat="1" x14ac:dyDescent="0.25">
      <c r="A160" s="3"/>
      <c r="B160" s="3"/>
      <c r="C160" s="4" t="s">
        <v>201</v>
      </c>
      <c r="D160" s="5"/>
      <c r="E160" s="5"/>
      <c r="F160" s="5"/>
      <c r="G160" s="5"/>
      <c r="H160" s="5"/>
      <c r="I160" s="5"/>
      <c r="J160" s="27">
        <f>+K160-D160</f>
        <v>0</v>
      </c>
      <c r="K160" s="35"/>
      <c r="L160" s="34"/>
      <c r="M160" s="34"/>
      <c r="N160" s="155"/>
    </row>
    <row r="161" spans="1:14" s="1" customFormat="1" ht="14.25" x14ac:dyDescent="0.2">
      <c r="A161" s="7"/>
      <c r="B161" s="7"/>
      <c r="C161" s="8"/>
      <c r="D161" s="9"/>
      <c r="E161" s="9"/>
      <c r="F161" s="9"/>
      <c r="G161" s="9"/>
      <c r="H161" s="9"/>
      <c r="I161" s="9"/>
      <c r="J161" s="35"/>
      <c r="K161" s="35"/>
      <c r="L161" s="35"/>
      <c r="M161" s="35"/>
      <c r="N161" s="156"/>
    </row>
    <row r="162" spans="1:14" s="1" customFormat="1" ht="14.25" x14ac:dyDescent="0.2">
      <c r="A162" s="7" t="s">
        <v>767</v>
      </c>
      <c r="B162" s="7"/>
      <c r="C162" s="8" t="s">
        <v>202</v>
      </c>
      <c r="D162" s="9">
        <f>VLOOKUP(A162,fin,3,FALSE)</f>
        <v>0</v>
      </c>
      <c r="E162" s="9">
        <v>65927.72</v>
      </c>
      <c r="F162" s="9">
        <v>0</v>
      </c>
      <c r="G162" s="9">
        <v>401539.33</v>
      </c>
      <c r="H162" s="9">
        <v>933503.67</v>
      </c>
      <c r="I162" s="9">
        <v>30.07</v>
      </c>
      <c r="J162" s="27">
        <f>+K162-D162</f>
        <v>0</v>
      </c>
      <c r="K162" s="35">
        <f>VLOOKUP(A162,fin,4,FALSE)</f>
        <v>0</v>
      </c>
      <c r="L162" s="35">
        <f>VLOOKUP(A162,fin,5,FALSE)</f>
        <v>0</v>
      </c>
      <c r="M162" s="35">
        <f>VLOOKUP(A162,fin,6,FALSE)</f>
        <v>0</v>
      </c>
      <c r="N162" s="156"/>
    </row>
    <row r="163" spans="1:14" s="1" customFormat="1" ht="14.25" x14ac:dyDescent="0.2">
      <c r="A163" s="7" t="s">
        <v>768</v>
      </c>
      <c r="B163" s="7"/>
      <c r="C163" s="8" t="s">
        <v>203</v>
      </c>
      <c r="D163" s="9">
        <f>VLOOKUP(A163,fin,3,FALSE)</f>
        <v>0</v>
      </c>
      <c r="E163" s="9">
        <v>65927.72</v>
      </c>
      <c r="F163" s="9">
        <v>0</v>
      </c>
      <c r="G163" s="9">
        <v>401539.33</v>
      </c>
      <c r="H163" s="9">
        <v>933503.67</v>
      </c>
      <c r="I163" s="9">
        <v>30.07</v>
      </c>
      <c r="J163" s="27">
        <f>+K163-D163</f>
        <v>0</v>
      </c>
      <c r="K163" s="35">
        <f>VLOOKUP(A163,fin,4,FALSE)</f>
        <v>0</v>
      </c>
      <c r="L163" s="35">
        <f>VLOOKUP(A163,fin,5,FALSE)</f>
        <v>0</v>
      </c>
      <c r="M163" s="35">
        <f>VLOOKUP(A163,fin,6,FALSE)</f>
        <v>0</v>
      </c>
      <c r="N163" s="156"/>
    </row>
    <row r="164" spans="1:14" s="1" customFormat="1" ht="14.25" x14ac:dyDescent="0.2">
      <c r="A164" s="7" t="s">
        <v>769</v>
      </c>
      <c r="B164" s="7"/>
      <c r="C164" s="8" t="s">
        <v>204</v>
      </c>
      <c r="D164" s="9">
        <f>VLOOKUP(A164,fin,3,FALSE)</f>
        <v>0</v>
      </c>
      <c r="E164" s="9">
        <v>65927.72</v>
      </c>
      <c r="F164" s="9">
        <v>0</v>
      </c>
      <c r="G164" s="9">
        <v>401539.33</v>
      </c>
      <c r="H164" s="9">
        <v>933503.67</v>
      </c>
      <c r="I164" s="9">
        <v>30.07</v>
      </c>
      <c r="J164" s="27">
        <f>+K164-D164</f>
        <v>0</v>
      </c>
      <c r="K164" s="35">
        <f>VLOOKUP(A164,fin,4,FALSE)</f>
        <v>0</v>
      </c>
      <c r="L164" s="35">
        <f>VLOOKUP(A164,fin,5,FALSE)</f>
        <v>0</v>
      </c>
      <c r="M164" s="35">
        <f>VLOOKUP(A164,fin,6,FALSE)</f>
        <v>0</v>
      </c>
      <c r="N164" s="156"/>
    </row>
    <row r="165" spans="1:14" s="1" customFormat="1" ht="14.25" x14ac:dyDescent="0.2">
      <c r="A165" s="7"/>
      <c r="B165" s="7"/>
      <c r="C165" s="8"/>
      <c r="D165" s="9"/>
      <c r="E165" s="9"/>
      <c r="F165" s="9"/>
      <c r="G165" s="9"/>
      <c r="H165" s="9"/>
      <c r="I165" s="9"/>
      <c r="J165" s="35"/>
      <c r="K165" s="35"/>
      <c r="L165" s="35"/>
      <c r="M165" s="35"/>
      <c r="N165" s="156"/>
    </row>
    <row r="166" spans="1:14" s="2" customFormat="1" x14ac:dyDescent="0.25">
      <c r="A166" s="3"/>
      <c r="B166" s="3"/>
      <c r="C166" s="4" t="s">
        <v>205</v>
      </c>
      <c r="D166" s="5">
        <f>SUM(D162:D165)</f>
        <v>0</v>
      </c>
      <c r="E166" s="5">
        <f>SUM(E162:E165)</f>
        <v>197783.16</v>
      </c>
      <c r="F166" s="5">
        <f>SUM(F162:F165)</f>
        <v>0</v>
      </c>
      <c r="G166" s="5">
        <f>SUM(G162:G165)</f>
        <v>1204617.99</v>
      </c>
      <c r="H166" s="5">
        <f>SUM(H162:H165)</f>
        <v>2800511.0100000002</v>
      </c>
      <c r="I166" s="5">
        <v>0</v>
      </c>
      <c r="J166" s="27">
        <f>+K166-D166</f>
        <v>0</v>
      </c>
      <c r="K166" s="34">
        <f>SUM(K162:K165)</f>
        <v>0</v>
      </c>
      <c r="L166" s="34">
        <f>SUM(L162:L165)</f>
        <v>0</v>
      </c>
      <c r="M166" s="34">
        <f>SUM(M162:M165)</f>
        <v>0</v>
      </c>
      <c r="N166" s="155"/>
    </row>
    <row r="167" spans="1:14" s="2" customFormat="1" x14ac:dyDescent="0.25">
      <c r="A167" s="3"/>
      <c r="B167" s="3"/>
      <c r="C167" s="4"/>
      <c r="D167" s="5"/>
      <c r="E167" s="5"/>
      <c r="F167" s="5"/>
      <c r="G167" s="5"/>
      <c r="H167" s="5"/>
      <c r="I167" s="5"/>
      <c r="J167" s="35"/>
      <c r="K167" s="34"/>
      <c r="L167" s="34"/>
      <c r="M167" s="34"/>
      <c r="N167" s="155"/>
    </row>
    <row r="168" spans="1:14" s="2" customFormat="1" x14ac:dyDescent="0.25">
      <c r="A168" s="3"/>
      <c r="B168" s="3"/>
      <c r="C168" s="4" t="s">
        <v>206</v>
      </c>
      <c r="D168" s="5">
        <f>D158+D166</f>
        <v>756063</v>
      </c>
      <c r="E168" s="5">
        <f t="shared" ref="E168:N168" si="53">E158+E166</f>
        <v>395566.32</v>
      </c>
      <c r="F168" s="5">
        <f t="shared" si="53"/>
        <v>0</v>
      </c>
      <c r="G168" s="5">
        <f t="shared" si="53"/>
        <v>2409235.98</v>
      </c>
      <c r="H168" s="5">
        <f t="shared" si="53"/>
        <v>5601022.0200000005</v>
      </c>
      <c r="I168" s="5">
        <v>46.49</v>
      </c>
      <c r="J168" s="27">
        <f>+K168-D168</f>
        <v>0</v>
      </c>
      <c r="K168" s="34">
        <f t="shared" si="53"/>
        <v>756063</v>
      </c>
      <c r="L168" s="34">
        <f t="shared" si="53"/>
        <v>803316.9375</v>
      </c>
      <c r="M168" s="34">
        <f t="shared" si="53"/>
        <v>859549.12312499993</v>
      </c>
      <c r="N168" s="34">
        <f t="shared" si="53"/>
        <v>919717.56174374989</v>
      </c>
    </row>
    <row r="169" spans="1:14" s="2" customFormat="1" x14ac:dyDescent="0.25">
      <c r="A169" s="3"/>
      <c r="B169" s="3"/>
      <c r="C169" s="4"/>
      <c r="D169" s="5"/>
      <c r="E169" s="5"/>
      <c r="F169" s="5"/>
      <c r="G169" s="5"/>
      <c r="H169" s="5"/>
      <c r="I169" s="5"/>
      <c r="J169" s="35"/>
      <c r="K169" s="34"/>
      <c r="L169" s="34"/>
      <c r="M169" s="34"/>
      <c r="N169" s="155"/>
    </row>
    <row r="170" spans="1:14" s="2" customFormat="1" x14ac:dyDescent="0.25">
      <c r="A170" s="3"/>
      <c r="B170" s="3"/>
      <c r="C170" s="4" t="s">
        <v>207</v>
      </c>
      <c r="D170" s="5">
        <f>D168</f>
        <v>756063</v>
      </c>
      <c r="E170" s="5">
        <f t="shared" ref="E170:N170" si="54">E168</f>
        <v>395566.32</v>
      </c>
      <c r="F170" s="5">
        <f t="shared" si="54"/>
        <v>0</v>
      </c>
      <c r="G170" s="5">
        <f t="shared" si="54"/>
        <v>2409235.98</v>
      </c>
      <c r="H170" s="5">
        <f t="shared" si="54"/>
        <v>5601022.0200000005</v>
      </c>
      <c r="I170" s="5">
        <v>46.49</v>
      </c>
      <c r="J170" s="27">
        <f>+K170-D170</f>
        <v>0</v>
      </c>
      <c r="K170" s="34">
        <f t="shared" si="54"/>
        <v>756063</v>
      </c>
      <c r="L170" s="34">
        <f t="shared" si="54"/>
        <v>803316.9375</v>
      </c>
      <c r="M170" s="34">
        <f t="shared" si="54"/>
        <v>859549.12312499993</v>
      </c>
      <c r="N170" s="34">
        <f t="shared" si="54"/>
        <v>919717.56174374989</v>
      </c>
    </row>
    <row r="171" spans="1:14" s="1" customFormat="1" ht="14.25" x14ac:dyDescent="0.2">
      <c r="A171" s="7"/>
      <c r="B171" s="7"/>
      <c r="C171" s="8"/>
      <c r="D171" s="9"/>
      <c r="E171" s="9"/>
      <c r="F171" s="9"/>
      <c r="G171" s="9"/>
      <c r="H171" s="9"/>
      <c r="I171" s="9"/>
      <c r="J171" s="35"/>
      <c r="K171" s="35"/>
      <c r="L171" s="35"/>
      <c r="M171" s="35"/>
      <c r="N171" s="156"/>
    </row>
    <row r="172" spans="1:14" s="2" customFormat="1" x14ac:dyDescent="0.25">
      <c r="A172" s="3"/>
      <c r="B172" s="3"/>
      <c r="C172" s="4" t="s">
        <v>241</v>
      </c>
      <c r="D172" s="5"/>
      <c r="E172" s="5"/>
      <c r="F172" s="5"/>
      <c r="G172" s="5"/>
      <c r="H172" s="5"/>
      <c r="I172" s="5"/>
      <c r="J172" s="27">
        <f>+K172-D172</f>
        <v>0</v>
      </c>
      <c r="K172" s="35"/>
      <c r="L172" s="34"/>
      <c r="M172" s="34"/>
      <c r="N172" s="155"/>
    </row>
    <row r="173" spans="1:14" s="1" customFormat="1" ht="14.25" x14ac:dyDescent="0.2">
      <c r="A173" s="7"/>
      <c r="B173" s="7"/>
      <c r="C173" s="8"/>
      <c r="D173" s="9"/>
      <c r="E173" s="9"/>
      <c r="F173" s="9"/>
      <c r="G173" s="9"/>
      <c r="H173" s="9"/>
      <c r="I173" s="9"/>
      <c r="J173" s="35"/>
      <c r="K173" s="35"/>
      <c r="L173" s="35"/>
      <c r="M173" s="35"/>
      <c r="N173" s="156"/>
    </row>
    <row r="174" spans="1:14" s="1" customFormat="1" ht="14.25" x14ac:dyDescent="0.2">
      <c r="A174" s="7" t="s">
        <v>770</v>
      </c>
      <c r="B174" s="7"/>
      <c r="C174" s="8" t="s">
        <v>253</v>
      </c>
      <c r="D174" s="9">
        <f>VLOOKUP(A174,fin,3,FALSE)</f>
        <v>2000</v>
      </c>
      <c r="E174" s="9">
        <v>65927.72</v>
      </c>
      <c r="F174" s="9">
        <v>0</v>
      </c>
      <c r="G174" s="9">
        <v>401539.33</v>
      </c>
      <c r="H174" s="9">
        <v>933503.67</v>
      </c>
      <c r="I174" s="9">
        <v>30.07</v>
      </c>
      <c r="J174" s="27">
        <f>+K174-D174</f>
        <v>0</v>
      </c>
      <c r="K174" s="35">
        <f>VLOOKUP(A174,fin,4,FALSE)</f>
        <v>2000</v>
      </c>
      <c r="L174" s="35">
        <v>2000</v>
      </c>
      <c r="M174" s="35">
        <v>2000</v>
      </c>
      <c r="N174" s="156">
        <v>2000</v>
      </c>
    </row>
    <row r="175" spans="1:14" s="1" customFormat="1" ht="14.25" x14ac:dyDescent="0.2">
      <c r="A175" s="7" t="s">
        <v>771</v>
      </c>
      <c r="B175" s="7"/>
      <c r="C175" s="8" t="s">
        <v>265</v>
      </c>
      <c r="D175" s="9">
        <f>VLOOKUP(A175,fin,3,FALSE)</f>
        <v>0</v>
      </c>
      <c r="E175" s="9">
        <v>65927.72</v>
      </c>
      <c r="F175" s="9">
        <v>0</v>
      </c>
      <c r="G175" s="9">
        <v>401539.33</v>
      </c>
      <c r="H175" s="9">
        <v>933503.67</v>
      </c>
      <c r="I175" s="9">
        <v>30.07</v>
      </c>
      <c r="J175" s="27">
        <f>+K175-D175</f>
        <v>8000</v>
      </c>
      <c r="K175" s="35">
        <f>VLOOKUP(A175,fin,4,FALSE)</f>
        <v>8000</v>
      </c>
      <c r="L175" s="35">
        <f t="shared" ref="L175:L177" si="55">K175*4.5/100+K175</f>
        <v>8360</v>
      </c>
      <c r="M175" s="35">
        <f t="shared" ref="M175:N175" si="56">L175*4.6/100+L175</f>
        <v>8744.56</v>
      </c>
      <c r="N175" s="156">
        <f t="shared" si="56"/>
        <v>9146.8097600000001</v>
      </c>
    </row>
    <row r="176" spans="1:14" s="1" customFormat="1" ht="14.25" x14ac:dyDescent="0.2">
      <c r="A176" s="7" t="s">
        <v>772</v>
      </c>
      <c r="B176" s="7"/>
      <c r="C176" s="8" t="s">
        <v>268</v>
      </c>
      <c r="D176" s="9">
        <f>VLOOKUP(A176,fin,3,FALSE)</f>
        <v>85032</v>
      </c>
      <c r="E176" s="9">
        <v>65927.72</v>
      </c>
      <c r="F176" s="9">
        <v>0</v>
      </c>
      <c r="G176" s="9">
        <v>401539.33</v>
      </c>
      <c r="H176" s="9">
        <v>933503.67</v>
      </c>
      <c r="I176" s="9">
        <v>30.07</v>
      </c>
      <c r="J176" s="27">
        <f>+K176-D176</f>
        <v>0</v>
      </c>
      <c r="K176" s="35">
        <f>VLOOKUP(A176,fin,4,FALSE)</f>
        <v>85032</v>
      </c>
      <c r="L176" s="35">
        <f t="shared" si="55"/>
        <v>88858.44</v>
      </c>
      <c r="M176" s="35">
        <f t="shared" ref="M176:N176" si="57">L176*4.6/100+L176</f>
        <v>92945.928240000008</v>
      </c>
      <c r="N176" s="156">
        <f t="shared" si="57"/>
        <v>97221.440939040011</v>
      </c>
    </row>
    <row r="177" spans="1:14" s="1" customFormat="1" ht="14.25" x14ac:dyDescent="0.2">
      <c r="A177" s="7" t="s">
        <v>773</v>
      </c>
      <c r="B177" s="7"/>
      <c r="C177" s="8" t="s">
        <v>269</v>
      </c>
      <c r="D177" s="9">
        <f>VLOOKUP(A177,fin,3,FALSE)</f>
        <v>30000</v>
      </c>
      <c r="E177" s="9">
        <v>65927.72</v>
      </c>
      <c r="F177" s="9">
        <v>0</v>
      </c>
      <c r="G177" s="9">
        <v>401539.33</v>
      </c>
      <c r="H177" s="9">
        <v>933503.67</v>
      </c>
      <c r="I177" s="9">
        <v>30.07</v>
      </c>
      <c r="J177" s="27">
        <f>+K177-D177</f>
        <v>-15000</v>
      </c>
      <c r="K177" s="35">
        <f>VLOOKUP(A177,fin,4,FALSE)</f>
        <v>15000</v>
      </c>
      <c r="L177" s="35">
        <f t="shared" si="55"/>
        <v>15675</v>
      </c>
      <c r="M177" s="35">
        <f t="shared" ref="M177:N177" si="58">L177*4.6/100+L177</f>
        <v>16396.05</v>
      </c>
      <c r="N177" s="156">
        <f t="shared" si="58"/>
        <v>17150.2683</v>
      </c>
    </row>
    <row r="178" spans="1:14" s="1" customFormat="1" ht="14.25" x14ac:dyDescent="0.2">
      <c r="A178" s="7"/>
      <c r="B178" s="7"/>
      <c r="C178" s="8"/>
      <c r="D178" s="9"/>
      <c r="E178" s="9"/>
      <c r="F178" s="9"/>
      <c r="G178" s="9"/>
      <c r="H178" s="9"/>
      <c r="I178" s="9"/>
      <c r="J178" s="35"/>
      <c r="K178" s="35"/>
      <c r="L178" s="35"/>
      <c r="M178" s="35"/>
      <c r="N178" s="156"/>
    </row>
    <row r="179" spans="1:14" s="2" customFormat="1" x14ac:dyDescent="0.25">
      <c r="A179" s="3"/>
      <c r="B179" s="3"/>
      <c r="C179" s="4" t="s">
        <v>274</v>
      </c>
      <c r="D179" s="5">
        <f>SUM(D174:D178)</f>
        <v>117032</v>
      </c>
      <c r="E179" s="5">
        <f>SUM(E174:E178)</f>
        <v>263710.88</v>
      </c>
      <c r="F179" s="5">
        <f>SUM(F174:F178)</f>
        <v>0</v>
      </c>
      <c r="G179" s="5">
        <f>SUM(G174:G178)</f>
        <v>1606157.32</v>
      </c>
      <c r="H179" s="5">
        <f>SUM(H174:H178)</f>
        <v>3734014.68</v>
      </c>
      <c r="I179" s="5">
        <v>20.03</v>
      </c>
      <c r="J179" s="27">
        <f>+K179-D179</f>
        <v>-7000</v>
      </c>
      <c r="K179" s="34">
        <f>SUM(K174:K178)</f>
        <v>110032</v>
      </c>
      <c r="L179" s="34">
        <f>SUM(L174:L178)</f>
        <v>114893.44</v>
      </c>
      <c r="M179" s="34">
        <f>SUM(M174:M178)</f>
        <v>120086.53824000001</v>
      </c>
      <c r="N179" s="34">
        <f>SUM(N174:N178)</f>
        <v>125518.51899904001</v>
      </c>
    </row>
    <row r="180" spans="1:14" s="2" customFormat="1" x14ac:dyDescent="0.25">
      <c r="A180" s="3"/>
      <c r="B180" s="3"/>
      <c r="C180" s="4"/>
      <c r="D180" s="5"/>
      <c r="E180" s="5"/>
      <c r="F180" s="5"/>
      <c r="G180" s="5"/>
      <c r="H180" s="5"/>
      <c r="I180" s="5"/>
      <c r="J180" s="35"/>
      <c r="K180" s="34"/>
      <c r="L180" s="34"/>
      <c r="M180" s="34"/>
      <c r="N180" s="155"/>
    </row>
    <row r="181" spans="1:14" s="2" customFormat="1" x14ac:dyDescent="0.25">
      <c r="A181" s="3">
        <v>4.5102999980000002E+19</v>
      </c>
      <c r="B181" s="3"/>
      <c r="C181" s="4" t="s">
        <v>305</v>
      </c>
      <c r="D181" s="5">
        <f>D148+D170+D179</f>
        <v>1177435</v>
      </c>
      <c r="E181" s="5">
        <f t="shared" ref="E181:N181" si="59">E148+E170+E179</f>
        <v>1318554.3999999999</v>
      </c>
      <c r="F181" s="5">
        <f t="shared" si="59"/>
        <v>0</v>
      </c>
      <c r="G181" s="5">
        <f t="shared" si="59"/>
        <v>8030786.5999999996</v>
      </c>
      <c r="H181" s="5">
        <f t="shared" si="59"/>
        <v>18670073.400000002</v>
      </c>
      <c r="I181" s="5">
        <v>45.1</v>
      </c>
      <c r="J181" s="27">
        <f>+K181-D181</f>
        <v>3787.6899999999441</v>
      </c>
      <c r="K181" s="34">
        <f t="shared" si="59"/>
        <v>1181222.69</v>
      </c>
      <c r="L181" s="34">
        <f t="shared" si="59"/>
        <v>1253033.548125</v>
      </c>
      <c r="M181" s="34">
        <f t="shared" si="59"/>
        <v>1337896.4539337498</v>
      </c>
      <c r="N181" s="34">
        <f t="shared" si="59"/>
        <v>1428575.1287913523</v>
      </c>
    </row>
    <row r="182" spans="1:14" s="2" customFormat="1" x14ac:dyDescent="0.25">
      <c r="A182" s="3"/>
      <c r="B182" s="3"/>
      <c r="C182" s="4"/>
      <c r="D182" s="5"/>
      <c r="E182" s="5"/>
      <c r="F182" s="5"/>
      <c r="G182" s="5"/>
      <c r="H182" s="5"/>
      <c r="I182" s="5"/>
      <c r="J182" s="35"/>
      <c r="K182" s="34"/>
      <c r="L182" s="34"/>
      <c r="M182" s="34"/>
      <c r="N182" s="155"/>
    </row>
    <row r="183" spans="1:14" s="2" customFormat="1" x14ac:dyDescent="0.25">
      <c r="A183" s="3">
        <v>4.5102999990000001E+19</v>
      </c>
      <c r="B183" s="3"/>
      <c r="C183" s="4" t="s">
        <v>306</v>
      </c>
      <c r="D183" s="5">
        <f>D181</f>
        <v>1177435</v>
      </c>
      <c r="E183" s="5">
        <f t="shared" ref="E183:N183" si="60">E181</f>
        <v>1318554.3999999999</v>
      </c>
      <c r="F183" s="5">
        <f t="shared" si="60"/>
        <v>0</v>
      </c>
      <c r="G183" s="5">
        <f t="shared" si="60"/>
        <v>8030786.5999999996</v>
      </c>
      <c r="H183" s="5">
        <f t="shared" si="60"/>
        <v>18670073.400000002</v>
      </c>
      <c r="I183" s="5">
        <v>45.1</v>
      </c>
      <c r="J183" s="27">
        <f>+K183-D183</f>
        <v>3787.6899999999441</v>
      </c>
      <c r="K183" s="34">
        <f t="shared" si="60"/>
        <v>1181222.69</v>
      </c>
      <c r="L183" s="34">
        <f t="shared" si="60"/>
        <v>1253033.548125</v>
      </c>
      <c r="M183" s="34">
        <f t="shared" si="60"/>
        <v>1337896.4539337498</v>
      </c>
      <c r="N183" s="34">
        <f t="shared" si="60"/>
        <v>1428575.1287913523</v>
      </c>
    </row>
    <row r="184" spans="1:14" s="1" customFormat="1" ht="14.25" x14ac:dyDescent="0.2">
      <c r="A184" s="7"/>
      <c r="B184" s="7"/>
      <c r="C184" s="8"/>
      <c r="D184" s="9"/>
      <c r="E184" s="9"/>
      <c r="F184" s="9"/>
      <c r="G184" s="9"/>
      <c r="H184" s="9"/>
      <c r="I184" s="9"/>
      <c r="J184" s="35"/>
      <c r="K184" s="35"/>
      <c r="L184" s="35"/>
      <c r="M184" s="35"/>
      <c r="N184" s="156"/>
    </row>
    <row r="185" spans="1:14" s="2" customFormat="1" x14ac:dyDescent="0.25">
      <c r="A185" s="3"/>
      <c r="B185" s="3"/>
      <c r="C185" s="4" t="s">
        <v>774</v>
      </c>
      <c r="D185" s="5"/>
      <c r="E185" s="5"/>
      <c r="F185" s="5"/>
      <c r="G185" s="5"/>
      <c r="H185" s="5"/>
      <c r="I185" s="5"/>
      <c r="J185" s="27">
        <f>+K185-D185</f>
        <v>0</v>
      </c>
      <c r="K185" s="35"/>
      <c r="L185" s="34"/>
      <c r="M185" s="34"/>
      <c r="N185" s="155"/>
    </row>
    <row r="186" spans="1:14" s="2" customFormat="1" x14ac:dyDescent="0.25">
      <c r="A186" s="3"/>
      <c r="B186" s="3"/>
      <c r="C186" s="4" t="s">
        <v>96</v>
      </c>
      <c r="D186" s="5"/>
      <c r="E186" s="5"/>
      <c r="F186" s="5"/>
      <c r="G186" s="5"/>
      <c r="H186" s="5"/>
      <c r="I186" s="5"/>
      <c r="J186" s="27">
        <f>+K186-D186</f>
        <v>0</v>
      </c>
      <c r="K186" s="35"/>
      <c r="L186" s="34"/>
      <c r="M186" s="34"/>
      <c r="N186" s="155"/>
    </row>
    <row r="187" spans="1:14" s="2" customFormat="1" x14ac:dyDescent="0.25">
      <c r="A187" s="3"/>
      <c r="B187" s="3"/>
      <c r="C187" s="4" t="s">
        <v>97</v>
      </c>
      <c r="D187" s="5"/>
      <c r="E187" s="5"/>
      <c r="F187" s="5"/>
      <c r="G187" s="5"/>
      <c r="H187" s="5"/>
      <c r="I187" s="5"/>
      <c r="J187" s="27">
        <f>+K187-D187</f>
        <v>0</v>
      </c>
      <c r="K187" s="35"/>
      <c r="L187" s="34"/>
      <c r="M187" s="34"/>
      <c r="N187" s="155"/>
    </row>
    <row r="188" spans="1:14" s="2" customFormat="1" x14ac:dyDescent="0.25">
      <c r="A188" s="3"/>
      <c r="B188" s="3"/>
      <c r="C188" s="4" t="s">
        <v>148</v>
      </c>
      <c r="D188" s="5"/>
      <c r="E188" s="5"/>
      <c r="F188" s="5"/>
      <c r="G188" s="5"/>
      <c r="H188" s="5"/>
      <c r="I188" s="5"/>
      <c r="J188" s="27">
        <f>+K188-D188</f>
        <v>0</v>
      </c>
      <c r="K188" s="35"/>
      <c r="L188" s="34"/>
      <c r="M188" s="34"/>
      <c r="N188" s="155"/>
    </row>
    <row r="189" spans="1:14" s="2" customFormat="1" x14ac:dyDescent="0.25">
      <c r="A189" s="3"/>
      <c r="B189" s="3"/>
      <c r="C189" s="4"/>
      <c r="D189" s="5"/>
      <c r="E189" s="5"/>
      <c r="F189" s="5"/>
      <c r="G189" s="5"/>
      <c r="H189" s="5"/>
      <c r="I189" s="5"/>
      <c r="J189" s="35"/>
      <c r="K189" s="35"/>
      <c r="L189" s="34"/>
      <c r="M189" s="34"/>
      <c r="N189" s="155"/>
    </row>
    <row r="190" spans="1:14" s="2" customFormat="1" x14ac:dyDescent="0.25">
      <c r="A190" s="3"/>
      <c r="B190" s="3"/>
      <c r="C190" s="4" t="s">
        <v>149</v>
      </c>
      <c r="D190" s="5"/>
      <c r="E190" s="5"/>
      <c r="F190" s="5"/>
      <c r="G190" s="5"/>
      <c r="H190" s="5"/>
      <c r="I190" s="5"/>
      <c r="J190" s="27">
        <f>+K190-D190</f>
        <v>0</v>
      </c>
      <c r="K190" s="35"/>
      <c r="L190" s="34"/>
      <c r="M190" s="34"/>
      <c r="N190" s="155"/>
    </row>
    <row r="191" spans="1:14" s="1" customFormat="1" ht="14.25" x14ac:dyDescent="0.2">
      <c r="A191" s="7"/>
      <c r="B191" s="7"/>
      <c r="C191" s="8"/>
      <c r="D191" s="9"/>
      <c r="E191" s="9"/>
      <c r="F191" s="9"/>
      <c r="G191" s="9"/>
      <c r="H191" s="9"/>
      <c r="I191" s="9"/>
      <c r="J191" s="35"/>
      <c r="K191" s="35"/>
      <c r="L191" s="35"/>
      <c r="M191" s="35"/>
      <c r="N191" s="156"/>
    </row>
    <row r="192" spans="1:14" s="1" customFormat="1" ht="14.25" x14ac:dyDescent="0.2">
      <c r="A192" s="7" t="s">
        <v>775</v>
      </c>
      <c r="B192" s="7"/>
      <c r="C192" s="8" t="s">
        <v>164</v>
      </c>
      <c r="D192" s="9">
        <f>VLOOKUP(A192,fin,3,FALSE)</f>
        <v>0</v>
      </c>
      <c r="E192" s="9">
        <v>65927.72</v>
      </c>
      <c r="F192" s="9">
        <v>0</v>
      </c>
      <c r="G192" s="9">
        <v>401539.33</v>
      </c>
      <c r="H192" s="9">
        <v>933503.67</v>
      </c>
      <c r="I192" s="9">
        <v>30.07</v>
      </c>
      <c r="J192" s="27">
        <f>+K192-D192</f>
        <v>15000</v>
      </c>
      <c r="K192" s="35">
        <f>VLOOKUP(A192,fin,4,FALSE)</f>
        <v>15000</v>
      </c>
      <c r="L192" s="35">
        <f t="shared" ref="L192" si="61">K192*6.25/100+K192</f>
        <v>15937.5</v>
      </c>
      <c r="M192" s="35">
        <f>L192*7/100+L192</f>
        <v>17053.125</v>
      </c>
      <c r="N192" s="156">
        <f>M192*7/100+M192</f>
        <v>18246.84375</v>
      </c>
    </row>
    <row r="193" spans="1:14" s="1" customFormat="1" ht="14.25" x14ac:dyDescent="0.2">
      <c r="A193" s="7"/>
      <c r="B193" s="7"/>
      <c r="C193" s="8"/>
      <c r="D193" s="9"/>
      <c r="E193" s="9"/>
      <c r="F193" s="9"/>
      <c r="G193" s="9"/>
      <c r="H193" s="9"/>
      <c r="I193" s="9"/>
      <c r="J193" s="35"/>
      <c r="K193" s="35"/>
      <c r="L193" s="35"/>
      <c r="M193" s="35"/>
      <c r="N193" s="156"/>
    </row>
    <row r="194" spans="1:14" s="2" customFormat="1" x14ac:dyDescent="0.25">
      <c r="A194" s="3"/>
      <c r="B194" s="3"/>
      <c r="C194" s="4" t="s">
        <v>165</v>
      </c>
      <c r="D194" s="5">
        <f>SUM(D192:D193)</f>
        <v>0</v>
      </c>
      <c r="E194" s="5">
        <f>SUM(E192:E193)</f>
        <v>65927.72</v>
      </c>
      <c r="F194" s="5">
        <f>SUM(F192:F193)</f>
        <v>0</v>
      </c>
      <c r="G194" s="5">
        <f>SUM(G192:G193)</f>
        <v>401539.33</v>
      </c>
      <c r="H194" s="5">
        <f>SUM(H192:H193)</f>
        <v>933503.67</v>
      </c>
      <c r="I194" s="5">
        <v>0</v>
      </c>
      <c r="J194" s="27">
        <f>+K194-D194</f>
        <v>15000</v>
      </c>
      <c r="K194" s="34">
        <f>SUM(K192:K193)</f>
        <v>15000</v>
      </c>
      <c r="L194" s="34">
        <f>SUM(L192:L193)</f>
        <v>15937.5</v>
      </c>
      <c r="M194" s="34">
        <f>SUM(M192:M193)</f>
        <v>17053.125</v>
      </c>
      <c r="N194" s="34">
        <f>SUM(N192:N193)</f>
        <v>18246.84375</v>
      </c>
    </row>
    <row r="195" spans="1:14" s="2" customFormat="1" x14ac:dyDescent="0.25">
      <c r="A195" s="3"/>
      <c r="B195" s="3"/>
      <c r="C195" s="4"/>
      <c r="D195" s="5"/>
      <c r="E195" s="5"/>
      <c r="F195" s="5"/>
      <c r="G195" s="5"/>
      <c r="H195" s="5"/>
      <c r="I195" s="5"/>
      <c r="J195" s="35"/>
      <c r="K195" s="34"/>
      <c r="L195" s="34"/>
      <c r="M195" s="34"/>
      <c r="N195" s="155"/>
    </row>
    <row r="196" spans="1:14" s="2" customFormat="1" x14ac:dyDescent="0.25">
      <c r="A196" s="3"/>
      <c r="B196" s="3"/>
      <c r="C196" s="4" t="s">
        <v>177</v>
      </c>
      <c r="D196" s="5">
        <f>D194</f>
        <v>0</v>
      </c>
      <c r="E196" s="5">
        <f t="shared" ref="E196:N196" si="62">E194</f>
        <v>65927.72</v>
      </c>
      <c r="F196" s="5">
        <f t="shared" si="62"/>
        <v>0</v>
      </c>
      <c r="G196" s="5">
        <f t="shared" si="62"/>
        <v>401539.33</v>
      </c>
      <c r="H196" s="5">
        <f t="shared" si="62"/>
        <v>933503.67</v>
      </c>
      <c r="I196" s="5">
        <v>0</v>
      </c>
      <c r="J196" s="27">
        <f>+K196-D196</f>
        <v>15000</v>
      </c>
      <c r="K196" s="34">
        <f t="shared" si="62"/>
        <v>15000</v>
      </c>
      <c r="L196" s="34">
        <f t="shared" si="62"/>
        <v>15937.5</v>
      </c>
      <c r="M196" s="34">
        <f t="shared" si="62"/>
        <v>17053.125</v>
      </c>
      <c r="N196" s="34">
        <f t="shared" si="62"/>
        <v>18246.84375</v>
      </c>
    </row>
    <row r="197" spans="1:14" s="2" customFormat="1" x14ac:dyDescent="0.25">
      <c r="A197" s="3"/>
      <c r="B197" s="3"/>
      <c r="C197" s="4"/>
      <c r="D197" s="5"/>
      <c r="E197" s="5"/>
      <c r="F197" s="5"/>
      <c r="G197" s="5"/>
      <c r="H197" s="5"/>
      <c r="I197" s="5"/>
      <c r="J197" s="35"/>
      <c r="K197" s="34"/>
      <c r="L197" s="34"/>
      <c r="M197" s="34"/>
      <c r="N197" s="155"/>
    </row>
    <row r="198" spans="1:14" s="2" customFormat="1" x14ac:dyDescent="0.25">
      <c r="A198" s="3"/>
      <c r="B198" s="3"/>
      <c r="C198" s="4" t="s">
        <v>178</v>
      </c>
      <c r="D198" s="5">
        <f>D196</f>
        <v>0</v>
      </c>
      <c r="E198" s="5">
        <f t="shared" ref="E198:N198" si="63">E196</f>
        <v>65927.72</v>
      </c>
      <c r="F198" s="5">
        <f t="shared" si="63"/>
        <v>0</v>
      </c>
      <c r="G198" s="5">
        <f t="shared" si="63"/>
        <v>401539.33</v>
      </c>
      <c r="H198" s="5">
        <f t="shared" si="63"/>
        <v>933503.67</v>
      </c>
      <c r="I198" s="5">
        <v>0</v>
      </c>
      <c r="J198" s="27">
        <f>+K198-D198</f>
        <v>15000</v>
      </c>
      <c r="K198" s="34">
        <f t="shared" si="63"/>
        <v>15000</v>
      </c>
      <c r="L198" s="34">
        <f t="shared" si="63"/>
        <v>15937.5</v>
      </c>
      <c r="M198" s="34">
        <f t="shared" si="63"/>
        <v>17053.125</v>
      </c>
      <c r="N198" s="34">
        <f t="shared" si="63"/>
        <v>18246.84375</v>
      </c>
    </row>
    <row r="199" spans="1:14" s="2" customFormat="1" x14ac:dyDescent="0.25">
      <c r="A199" s="3"/>
      <c r="B199" s="3"/>
      <c r="C199" s="4"/>
      <c r="D199" s="5"/>
      <c r="E199" s="5"/>
      <c r="F199" s="5"/>
      <c r="G199" s="5"/>
      <c r="H199" s="5"/>
      <c r="I199" s="5"/>
      <c r="J199" s="35"/>
      <c r="K199" s="35"/>
      <c r="L199" s="34"/>
      <c r="M199" s="34"/>
      <c r="N199" s="155"/>
    </row>
    <row r="200" spans="1:14" s="2" customFormat="1" x14ac:dyDescent="0.25">
      <c r="A200" s="3"/>
      <c r="B200" s="3"/>
      <c r="C200" s="4" t="s">
        <v>179</v>
      </c>
      <c r="D200" s="5"/>
      <c r="E200" s="5"/>
      <c r="F200" s="5"/>
      <c r="G200" s="5"/>
      <c r="H200" s="5"/>
      <c r="I200" s="5"/>
      <c r="J200" s="27">
        <f>+K200-D200</f>
        <v>0</v>
      </c>
      <c r="K200" s="35"/>
      <c r="L200" s="34"/>
      <c r="M200" s="34"/>
      <c r="N200" s="155"/>
    </row>
    <row r="201" spans="1:14" s="2" customFormat="1" x14ac:dyDescent="0.25">
      <c r="A201" s="3"/>
      <c r="B201" s="3"/>
      <c r="C201" s="4"/>
      <c r="D201" s="5"/>
      <c r="E201" s="5"/>
      <c r="F201" s="5"/>
      <c r="G201" s="5"/>
      <c r="H201" s="5"/>
      <c r="I201" s="5"/>
      <c r="J201" s="35"/>
      <c r="K201" s="35"/>
      <c r="L201" s="34"/>
      <c r="M201" s="34"/>
      <c r="N201" s="155"/>
    </row>
    <row r="202" spans="1:14" s="2" customFormat="1" x14ac:dyDescent="0.25">
      <c r="A202" s="3"/>
      <c r="B202" s="3"/>
      <c r="C202" s="4" t="s">
        <v>186</v>
      </c>
      <c r="D202" s="5"/>
      <c r="E202" s="5"/>
      <c r="F202" s="5"/>
      <c r="G202" s="5"/>
      <c r="H202" s="5"/>
      <c r="I202" s="5"/>
      <c r="J202" s="27">
        <f>+K202-D202</f>
        <v>0</v>
      </c>
      <c r="K202" s="35"/>
      <c r="L202" s="34"/>
      <c r="M202" s="34"/>
      <c r="N202" s="155"/>
    </row>
    <row r="203" spans="1:14" s="1" customFormat="1" ht="14.25" x14ac:dyDescent="0.2">
      <c r="A203" s="7"/>
      <c r="B203" s="7"/>
      <c r="C203" s="8"/>
      <c r="D203" s="9"/>
      <c r="E203" s="9"/>
      <c r="F203" s="9"/>
      <c r="G203" s="9"/>
      <c r="H203" s="9"/>
      <c r="I203" s="9"/>
      <c r="J203" s="35"/>
      <c r="K203" s="35"/>
      <c r="L203" s="35"/>
      <c r="M203" s="35"/>
      <c r="N203" s="156"/>
    </row>
    <row r="204" spans="1:14" s="1" customFormat="1" ht="14.25" x14ac:dyDescent="0.2">
      <c r="A204" s="7" t="s">
        <v>776</v>
      </c>
      <c r="B204" s="7"/>
      <c r="C204" s="8" t="s">
        <v>187</v>
      </c>
      <c r="D204" s="9">
        <f>VLOOKUP(A204,fin,3,FALSE)</f>
        <v>166067</v>
      </c>
      <c r="E204" s="9">
        <v>65927.72</v>
      </c>
      <c r="F204" s="9">
        <v>0</v>
      </c>
      <c r="G204" s="9">
        <v>401539.33</v>
      </c>
      <c r="H204" s="9">
        <v>933503.67</v>
      </c>
      <c r="I204" s="9">
        <v>30.07</v>
      </c>
      <c r="J204" s="27">
        <f>+K204-D204</f>
        <v>0</v>
      </c>
      <c r="K204" s="35">
        <f>VLOOKUP(A204,fin,4,FALSE)</f>
        <v>166067</v>
      </c>
      <c r="L204" s="35">
        <f t="shared" ref="L204:L206" si="64">K204*6.25/100+K204</f>
        <v>176446.1875</v>
      </c>
      <c r="M204" s="35">
        <f t="shared" ref="M204:N206" si="65">L204*7/100+L204</f>
        <v>188797.420625</v>
      </c>
      <c r="N204" s="156">
        <f t="shared" si="65"/>
        <v>202013.24006874999</v>
      </c>
    </row>
    <row r="205" spans="1:14" s="1" customFormat="1" ht="14.25" x14ac:dyDescent="0.2">
      <c r="A205" s="7" t="s">
        <v>777</v>
      </c>
      <c r="B205" s="7"/>
      <c r="C205" s="8" t="s">
        <v>188</v>
      </c>
      <c r="D205" s="9">
        <f>VLOOKUP(A205,fin,3,FALSE)</f>
        <v>498202</v>
      </c>
      <c r="E205" s="9">
        <v>65927.72</v>
      </c>
      <c r="F205" s="9">
        <v>0</v>
      </c>
      <c r="G205" s="9">
        <v>401539.33</v>
      </c>
      <c r="H205" s="9">
        <v>933503.67</v>
      </c>
      <c r="I205" s="9">
        <v>30.07</v>
      </c>
      <c r="J205" s="27">
        <f>+K205-D205</f>
        <v>0</v>
      </c>
      <c r="K205" s="35">
        <f>VLOOKUP(A205,fin,4,FALSE)</f>
        <v>498202</v>
      </c>
      <c r="L205" s="35">
        <f t="shared" si="64"/>
        <v>529339.625</v>
      </c>
      <c r="M205" s="35">
        <f t="shared" si="65"/>
        <v>566393.39875000005</v>
      </c>
      <c r="N205" s="156">
        <f t="shared" si="65"/>
        <v>606040.93666250003</v>
      </c>
    </row>
    <row r="206" spans="1:14" s="1" customFormat="1" ht="14.25" x14ac:dyDescent="0.2">
      <c r="A206" s="7" t="s">
        <v>778</v>
      </c>
      <c r="B206" s="7"/>
      <c r="C206" s="8" t="s">
        <v>189</v>
      </c>
      <c r="D206" s="9">
        <f>VLOOKUP(A206,fin,3,FALSE)</f>
        <v>47508</v>
      </c>
      <c r="E206" s="9">
        <v>65927.72</v>
      </c>
      <c r="F206" s="9">
        <v>0</v>
      </c>
      <c r="G206" s="9">
        <v>401539.33</v>
      </c>
      <c r="H206" s="9">
        <v>933503.67</v>
      </c>
      <c r="I206" s="9">
        <v>30.07</v>
      </c>
      <c r="J206" s="27">
        <f>+K206-D206</f>
        <v>0</v>
      </c>
      <c r="K206" s="35">
        <f>VLOOKUP(A206,fin,4,FALSE)</f>
        <v>47508</v>
      </c>
      <c r="L206" s="35">
        <f t="shared" si="64"/>
        <v>50477.25</v>
      </c>
      <c r="M206" s="35">
        <f t="shared" si="65"/>
        <v>54010.657500000001</v>
      </c>
      <c r="N206" s="156">
        <f t="shared" si="65"/>
        <v>57791.403525000002</v>
      </c>
    </row>
    <row r="207" spans="1:14" s="1" customFormat="1" ht="15.75" customHeight="1" x14ac:dyDescent="0.2">
      <c r="A207" s="7"/>
      <c r="B207" s="7"/>
      <c r="C207" s="8"/>
      <c r="D207" s="9"/>
      <c r="E207" s="9"/>
      <c r="F207" s="9"/>
      <c r="G207" s="9"/>
      <c r="H207" s="9"/>
      <c r="I207" s="9"/>
      <c r="J207" s="35"/>
      <c r="K207" s="35"/>
      <c r="L207" s="35"/>
      <c r="M207" s="35"/>
      <c r="N207" s="156"/>
    </row>
    <row r="208" spans="1:14" s="2" customFormat="1" x14ac:dyDescent="0.25">
      <c r="A208" s="3"/>
      <c r="B208" s="3"/>
      <c r="C208" s="4" t="s">
        <v>190</v>
      </c>
      <c r="D208" s="5">
        <f>SUM(D204:D207)</f>
        <v>711777</v>
      </c>
      <c r="E208" s="5">
        <f>SUM(E204:E207)</f>
        <v>197783.16</v>
      </c>
      <c r="F208" s="5">
        <f>SUM(F204:F207)</f>
        <v>0</v>
      </c>
      <c r="G208" s="5">
        <f>SUM(G204:G207)</f>
        <v>1204617.99</v>
      </c>
      <c r="H208" s="5">
        <f>SUM(H204:H207)</f>
        <v>2800511.0100000002</v>
      </c>
      <c r="I208" s="5">
        <v>0</v>
      </c>
      <c r="J208" s="27">
        <f>+K208-D208</f>
        <v>0</v>
      </c>
      <c r="K208" s="34">
        <f>SUM(K204:K207)</f>
        <v>711777</v>
      </c>
      <c r="L208" s="34">
        <f>SUM(L204:L207)</f>
        <v>756263.0625</v>
      </c>
      <c r="M208" s="34">
        <f>SUM(M204:M207)</f>
        <v>809201.47687500005</v>
      </c>
      <c r="N208" s="34">
        <f>SUM(N204:N207)</f>
        <v>865845.58025624999</v>
      </c>
    </row>
    <row r="209" spans="1:14" s="2" customFormat="1" x14ac:dyDescent="0.25">
      <c r="A209" s="3"/>
      <c r="B209" s="3"/>
      <c r="C209" s="4"/>
      <c r="D209" s="5"/>
      <c r="E209" s="5"/>
      <c r="F209" s="5"/>
      <c r="G209" s="5"/>
      <c r="H209" s="5"/>
      <c r="I209" s="5"/>
      <c r="J209" s="35"/>
      <c r="K209" s="35"/>
      <c r="L209" s="34"/>
      <c r="M209" s="34"/>
      <c r="N209" s="155"/>
    </row>
    <row r="210" spans="1:14" s="2" customFormat="1" x14ac:dyDescent="0.25">
      <c r="A210" s="3"/>
      <c r="B210" s="3"/>
      <c r="C210" s="4" t="s">
        <v>201</v>
      </c>
      <c r="D210" s="5"/>
      <c r="E210" s="5"/>
      <c r="F210" s="5"/>
      <c r="G210" s="5"/>
      <c r="H210" s="5"/>
      <c r="I210" s="5"/>
      <c r="J210" s="27">
        <f>+K210-D210</f>
        <v>0</v>
      </c>
      <c r="K210" s="35"/>
      <c r="L210" s="34"/>
      <c r="M210" s="34"/>
      <c r="N210" s="155"/>
    </row>
    <row r="211" spans="1:14" s="1" customFormat="1" ht="14.25" x14ac:dyDescent="0.2">
      <c r="A211" s="7"/>
      <c r="B211" s="7"/>
      <c r="C211" s="8"/>
      <c r="D211" s="9"/>
      <c r="E211" s="9"/>
      <c r="F211" s="9"/>
      <c r="G211" s="9"/>
      <c r="H211" s="9"/>
      <c r="I211" s="9"/>
      <c r="J211" s="35"/>
      <c r="K211" s="35"/>
      <c r="L211" s="35"/>
      <c r="M211" s="35"/>
      <c r="N211" s="156"/>
    </row>
    <row r="212" spans="1:14" s="1" customFormat="1" ht="14.25" x14ac:dyDescent="0.2">
      <c r="A212" s="7" t="s">
        <v>779</v>
      </c>
      <c r="B212" s="7"/>
      <c r="C212" s="8" t="s">
        <v>202</v>
      </c>
      <c r="D212" s="9">
        <f>VLOOKUP(A212,fin,3,FALSE)</f>
        <v>0</v>
      </c>
      <c r="E212" s="9">
        <v>65927.72</v>
      </c>
      <c r="F212" s="9">
        <v>0</v>
      </c>
      <c r="G212" s="9">
        <v>401539.33</v>
      </c>
      <c r="H212" s="9">
        <v>933503.67</v>
      </c>
      <c r="I212" s="9">
        <v>30.07</v>
      </c>
      <c r="J212" s="27">
        <f>+K212-D212</f>
        <v>0</v>
      </c>
      <c r="K212" s="35">
        <f>VLOOKUP(A212,fin,4,FALSE)</f>
        <v>0</v>
      </c>
      <c r="L212" s="35">
        <f>VLOOKUP(A212,fin,5,FALSE)</f>
        <v>0</v>
      </c>
      <c r="M212" s="35">
        <f>VLOOKUP(A212,fin,6,FALSE)</f>
        <v>0</v>
      </c>
      <c r="N212" s="156"/>
    </row>
    <row r="213" spans="1:14" s="1" customFormat="1" ht="14.25" x14ac:dyDescent="0.2">
      <c r="A213" s="7" t="s">
        <v>780</v>
      </c>
      <c r="B213" s="7"/>
      <c r="C213" s="8" t="s">
        <v>203</v>
      </c>
      <c r="D213" s="9">
        <f>VLOOKUP(A213,fin,3,FALSE)</f>
        <v>0</v>
      </c>
      <c r="E213" s="9">
        <v>65927.72</v>
      </c>
      <c r="F213" s="9">
        <v>0</v>
      </c>
      <c r="G213" s="9">
        <v>401539.33</v>
      </c>
      <c r="H213" s="9">
        <v>933503.67</v>
      </c>
      <c r="I213" s="9">
        <v>30.07</v>
      </c>
      <c r="J213" s="27">
        <f>+K213-D213</f>
        <v>0</v>
      </c>
      <c r="K213" s="35">
        <f>VLOOKUP(A213,fin,4,FALSE)</f>
        <v>0</v>
      </c>
      <c r="L213" s="35">
        <f>VLOOKUP(A213,fin,5,FALSE)</f>
        <v>0</v>
      </c>
      <c r="M213" s="35">
        <f>VLOOKUP(A213,fin,6,FALSE)</f>
        <v>0</v>
      </c>
      <c r="N213" s="156"/>
    </row>
    <row r="214" spans="1:14" s="1" customFormat="1" ht="14.25" x14ac:dyDescent="0.2">
      <c r="A214" s="7" t="s">
        <v>781</v>
      </c>
      <c r="B214" s="7"/>
      <c r="C214" s="8" t="s">
        <v>204</v>
      </c>
      <c r="D214" s="9">
        <f>VLOOKUP(A214,fin,3,FALSE)</f>
        <v>0</v>
      </c>
      <c r="E214" s="9">
        <v>65927.72</v>
      </c>
      <c r="F214" s="9">
        <v>0</v>
      </c>
      <c r="G214" s="9">
        <v>401539.33</v>
      </c>
      <c r="H214" s="9">
        <v>933503.67</v>
      </c>
      <c r="I214" s="9">
        <v>30.07</v>
      </c>
      <c r="J214" s="27">
        <f>+K214-D214</f>
        <v>0</v>
      </c>
      <c r="K214" s="35">
        <f>VLOOKUP(A214,fin,4,FALSE)</f>
        <v>0</v>
      </c>
      <c r="L214" s="35">
        <f>VLOOKUP(A214,fin,5,FALSE)</f>
        <v>0</v>
      </c>
      <c r="M214" s="35">
        <f>VLOOKUP(A214,fin,6,FALSE)</f>
        <v>0</v>
      </c>
      <c r="N214" s="156"/>
    </row>
    <row r="215" spans="1:14" s="1" customFormat="1" ht="14.25" x14ac:dyDescent="0.2">
      <c r="A215" s="7"/>
      <c r="B215" s="7"/>
      <c r="C215" s="8"/>
      <c r="D215" s="9"/>
      <c r="E215" s="9"/>
      <c r="F215" s="9"/>
      <c r="G215" s="9"/>
      <c r="H215" s="9"/>
      <c r="I215" s="9"/>
      <c r="J215" s="35"/>
      <c r="K215" s="35"/>
      <c r="L215" s="35"/>
      <c r="M215" s="35"/>
      <c r="N215" s="156"/>
    </row>
    <row r="216" spans="1:14" s="2" customFormat="1" x14ac:dyDescent="0.25">
      <c r="A216" s="3"/>
      <c r="B216" s="3"/>
      <c r="C216" s="4" t="s">
        <v>205</v>
      </c>
      <c r="D216" s="5">
        <f>SUM(D212:D215)</f>
        <v>0</v>
      </c>
      <c r="E216" s="5">
        <f>SUM(E212:E215)</f>
        <v>197783.16</v>
      </c>
      <c r="F216" s="5">
        <f>SUM(F212:F215)</f>
        <v>0</v>
      </c>
      <c r="G216" s="5">
        <f>SUM(G212:G215)</f>
        <v>1204617.99</v>
      </c>
      <c r="H216" s="5">
        <f>SUM(H212:H215)</f>
        <v>2800511.0100000002</v>
      </c>
      <c r="I216" s="5">
        <v>0</v>
      </c>
      <c r="J216" s="27">
        <f>+K216-D216</f>
        <v>0</v>
      </c>
      <c r="K216" s="34">
        <f>SUM(K212:K215)</f>
        <v>0</v>
      </c>
      <c r="L216" s="34">
        <f>SUM(L212:L215)</f>
        <v>0</v>
      </c>
      <c r="M216" s="34">
        <f>SUM(M212:M215)</f>
        <v>0</v>
      </c>
      <c r="N216" s="155"/>
    </row>
    <row r="217" spans="1:14" s="2" customFormat="1" x14ac:dyDescent="0.25">
      <c r="A217" s="3"/>
      <c r="B217" s="3"/>
      <c r="C217" s="4"/>
      <c r="D217" s="5"/>
      <c r="E217" s="5"/>
      <c r="F217" s="5"/>
      <c r="G217" s="5"/>
      <c r="H217" s="5"/>
      <c r="I217" s="5"/>
      <c r="J217" s="35"/>
      <c r="K217" s="34"/>
      <c r="L217" s="34"/>
      <c r="M217" s="34"/>
      <c r="N217" s="155"/>
    </row>
    <row r="218" spans="1:14" s="2" customFormat="1" x14ac:dyDescent="0.25">
      <c r="A218" s="3"/>
      <c r="B218" s="3"/>
      <c r="C218" s="4" t="s">
        <v>206</v>
      </c>
      <c r="D218" s="5">
        <f>D208+D216</f>
        <v>711777</v>
      </c>
      <c r="E218" s="5">
        <f t="shared" ref="E218:N218" si="66">E208+E216</f>
        <v>395566.32</v>
      </c>
      <c r="F218" s="5">
        <f t="shared" si="66"/>
        <v>0</v>
      </c>
      <c r="G218" s="5">
        <f t="shared" si="66"/>
        <v>2409235.98</v>
      </c>
      <c r="H218" s="5">
        <f t="shared" si="66"/>
        <v>5601022.0200000005</v>
      </c>
      <c r="I218" s="5">
        <v>46.47</v>
      </c>
      <c r="J218" s="27">
        <f>+K218-D218</f>
        <v>0</v>
      </c>
      <c r="K218" s="34">
        <f t="shared" si="66"/>
        <v>711777</v>
      </c>
      <c r="L218" s="34">
        <f t="shared" si="66"/>
        <v>756263.0625</v>
      </c>
      <c r="M218" s="34">
        <f t="shared" si="66"/>
        <v>809201.47687500005</v>
      </c>
      <c r="N218" s="34">
        <f t="shared" si="66"/>
        <v>865845.58025624999</v>
      </c>
    </row>
    <row r="219" spans="1:14" s="2" customFormat="1" x14ac:dyDescent="0.25">
      <c r="A219" s="3"/>
      <c r="B219" s="3"/>
      <c r="C219" s="4"/>
      <c r="D219" s="5"/>
      <c r="E219" s="5"/>
      <c r="F219" s="5"/>
      <c r="G219" s="5"/>
      <c r="H219" s="5"/>
      <c r="I219" s="5"/>
      <c r="J219" s="35"/>
      <c r="K219" s="34"/>
      <c r="L219" s="34"/>
      <c r="M219" s="34"/>
      <c r="N219" s="155"/>
    </row>
    <row r="220" spans="1:14" s="2" customFormat="1" x14ac:dyDescent="0.25">
      <c r="A220" s="3"/>
      <c r="B220" s="3"/>
      <c r="C220" s="4" t="s">
        <v>207</v>
      </c>
      <c r="D220" s="5">
        <f>D218</f>
        <v>711777</v>
      </c>
      <c r="E220" s="5">
        <f t="shared" ref="E220:N220" si="67">E218</f>
        <v>395566.32</v>
      </c>
      <c r="F220" s="5">
        <f t="shared" si="67"/>
        <v>0</v>
      </c>
      <c r="G220" s="5">
        <f t="shared" si="67"/>
        <v>2409235.98</v>
      </c>
      <c r="H220" s="5">
        <f t="shared" si="67"/>
        <v>5601022.0200000005</v>
      </c>
      <c r="I220" s="5">
        <v>46.47</v>
      </c>
      <c r="J220" s="27">
        <f>+K220-D220</f>
        <v>0</v>
      </c>
      <c r="K220" s="34">
        <f t="shared" si="67"/>
        <v>711777</v>
      </c>
      <c r="L220" s="34">
        <f t="shared" si="67"/>
        <v>756263.0625</v>
      </c>
      <c r="M220" s="34">
        <f t="shared" si="67"/>
        <v>809201.47687500005</v>
      </c>
      <c r="N220" s="34">
        <f t="shared" si="67"/>
        <v>865845.58025624999</v>
      </c>
    </row>
    <row r="221" spans="1:14" s="2" customFormat="1" x14ac:dyDescent="0.25">
      <c r="A221" s="3"/>
      <c r="B221" s="3"/>
      <c r="C221" s="4"/>
      <c r="D221" s="5"/>
      <c r="E221" s="5"/>
      <c r="F221" s="5"/>
      <c r="G221" s="5"/>
      <c r="H221" s="5"/>
      <c r="I221" s="5"/>
      <c r="J221" s="35"/>
      <c r="K221" s="35"/>
      <c r="L221" s="34"/>
      <c r="M221" s="34"/>
      <c r="N221" s="155"/>
    </row>
    <row r="222" spans="1:14" s="2" customFormat="1" x14ac:dyDescent="0.25">
      <c r="A222" s="3"/>
      <c r="B222" s="3"/>
      <c r="C222" s="4" t="s">
        <v>241</v>
      </c>
      <c r="D222" s="5"/>
      <c r="E222" s="5"/>
      <c r="F222" s="5"/>
      <c r="G222" s="5"/>
      <c r="H222" s="5"/>
      <c r="I222" s="5"/>
      <c r="J222" s="27">
        <f>+K222-D222</f>
        <v>0</v>
      </c>
      <c r="K222" s="35"/>
      <c r="L222" s="34"/>
      <c r="M222" s="34"/>
      <c r="N222" s="155"/>
    </row>
    <row r="223" spans="1:14" s="1" customFormat="1" ht="14.25" x14ac:dyDescent="0.2">
      <c r="A223" s="7"/>
      <c r="B223" s="7"/>
      <c r="C223" s="8"/>
      <c r="D223" s="9"/>
      <c r="E223" s="9"/>
      <c r="F223" s="9"/>
      <c r="G223" s="9"/>
      <c r="H223" s="9"/>
      <c r="I223" s="9"/>
      <c r="J223" s="35"/>
      <c r="K223" s="35"/>
      <c r="L223" s="35"/>
      <c r="M223" s="35"/>
      <c r="N223" s="156"/>
    </row>
    <row r="224" spans="1:14" s="1" customFormat="1" ht="14.25" x14ac:dyDescent="0.2">
      <c r="A224" s="7" t="s">
        <v>782</v>
      </c>
      <c r="B224" s="7"/>
      <c r="C224" s="8" t="s">
        <v>253</v>
      </c>
      <c r="D224" s="9">
        <f>VLOOKUP(A224,fin,3,FALSE)</f>
        <v>2000</v>
      </c>
      <c r="E224" s="9">
        <v>65927.72</v>
      </c>
      <c r="F224" s="9">
        <v>0</v>
      </c>
      <c r="G224" s="9">
        <v>401539.33</v>
      </c>
      <c r="H224" s="9">
        <v>933503.67</v>
      </c>
      <c r="I224" s="9">
        <v>30.07</v>
      </c>
      <c r="J224" s="27">
        <f>+K224-D224</f>
        <v>0</v>
      </c>
      <c r="K224" s="35">
        <f>VLOOKUP(A224,fin,4,FALSE)</f>
        <v>2000</v>
      </c>
      <c r="L224" s="35">
        <f>VLOOKUP(A224,fin,5,FALSE)</f>
        <v>2000</v>
      </c>
      <c r="M224" s="35">
        <f>VLOOKUP(A224,fin,6,FALSE)</f>
        <v>2000</v>
      </c>
      <c r="N224" s="156">
        <v>2000</v>
      </c>
    </row>
    <row r="225" spans="1:14" s="1" customFormat="1" ht="14.25" x14ac:dyDescent="0.2">
      <c r="A225" s="7" t="s">
        <v>783</v>
      </c>
      <c r="B225" s="7"/>
      <c r="C225" s="8" t="s">
        <v>265</v>
      </c>
      <c r="D225" s="9">
        <f>VLOOKUP(A225,fin,3,FALSE)</f>
        <v>0</v>
      </c>
      <c r="E225" s="9">
        <v>65927.72</v>
      </c>
      <c r="F225" s="9">
        <v>0</v>
      </c>
      <c r="G225" s="9">
        <v>401539.33</v>
      </c>
      <c r="H225" s="9">
        <v>933503.67</v>
      </c>
      <c r="I225" s="9">
        <v>30.07</v>
      </c>
      <c r="J225" s="27">
        <f>+K225-D225</f>
        <v>0</v>
      </c>
      <c r="K225" s="35">
        <f>VLOOKUP(A225,fin,4,FALSE)</f>
        <v>0</v>
      </c>
      <c r="L225" s="35">
        <f>VLOOKUP(A225,fin,5,FALSE)</f>
        <v>0</v>
      </c>
      <c r="M225" s="35">
        <f>VLOOKUP(A225,fin,6,FALSE)</f>
        <v>0</v>
      </c>
      <c r="N225" s="156"/>
    </row>
    <row r="226" spans="1:14" s="1" customFormat="1" ht="14.25" x14ac:dyDescent="0.2">
      <c r="A226" s="7" t="s">
        <v>784</v>
      </c>
      <c r="B226" s="7"/>
      <c r="C226" s="8" t="s">
        <v>268</v>
      </c>
      <c r="D226" s="9">
        <f>VLOOKUP(A226,fin,3,FALSE)</f>
        <v>85032</v>
      </c>
      <c r="E226" s="9">
        <v>65927.72</v>
      </c>
      <c r="F226" s="9">
        <v>0</v>
      </c>
      <c r="G226" s="9">
        <v>401539.33</v>
      </c>
      <c r="H226" s="9">
        <v>933503.67</v>
      </c>
      <c r="I226" s="9">
        <v>30.07</v>
      </c>
      <c r="J226" s="27">
        <f>+K226-D226</f>
        <v>-10000</v>
      </c>
      <c r="K226" s="35">
        <f>VLOOKUP(A226,fin,4,FALSE)</f>
        <v>75032</v>
      </c>
      <c r="L226" s="35">
        <f t="shared" ref="L226:L227" si="68">K226*4.5/100+K226</f>
        <v>78408.44</v>
      </c>
      <c r="M226" s="35">
        <f t="shared" ref="M226:N226" si="69">L226*4.6/100+L226</f>
        <v>82015.228239999997</v>
      </c>
      <c r="N226" s="156">
        <f t="shared" si="69"/>
        <v>85787.928739039999</v>
      </c>
    </row>
    <row r="227" spans="1:14" s="1" customFormat="1" ht="14.25" x14ac:dyDescent="0.2">
      <c r="A227" s="7" t="s">
        <v>785</v>
      </c>
      <c r="B227" s="7"/>
      <c r="C227" s="8" t="s">
        <v>269</v>
      </c>
      <c r="D227" s="9">
        <f>VLOOKUP(A227,fin,3,FALSE)</f>
        <v>30000</v>
      </c>
      <c r="E227" s="9">
        <v>65927.72</v>
      </c>
      <c r="F227" s="9">
        <v>0</v>
      </c>
      <c r="G227" s="9">
        <v>401539.33</v>
      </c>
      <c r="H227" s="9">
        <v>933503.67</v>
      </c>
      <c r="I227" s="9">
        <v>30.07</v>
      </c>
      <c r="J227" s="27">
        <f>+K227-D227</f>
        <v>0</v>
      </c>
      <c r="K227" s="35">
        <f>VLOOKUP(A227,fin,4,FALSE)</f>
        <v>30000</v>
      </c>
      <c r="L227" s="35">
        <f t="shared" si="68"/>
        <v>31350</v>
      </c>
      <c r="M227" s="35">
        <f t="shared" ref="M227:N227" si="70">L227*4.6/100+L227</f>
        <v>32792.1</v>
      </c>
      <c r="N227" s="156">
        <f t="shared" si="70"/>
        <v>34300.536599999999</v>
      </c>
    </row>
    <row r="228" spans="1:14" s="1" customFormat="1" ht="14.25" x14ac:dyDescent="0.2">
      <c r="A228" s="7"/>
      <c r="B228" s="7"/>
      <c r="C228" s="8"/>
      <c r="D228" s="9"/>
      <c r="E228" s="9"/>
      <c r="F228" s="9"/>
      <c r="G228" s="9"/>
      <c r="H228" s="9"/>
      <c r="I228" s="9"/>
      <c r="J228" s="35"/>
      <c r="K228" s="35"/>
      <c r="L228" s="35"/>
      <c r="M228" s="35"/>
      <c r="N228" s="156"/>
    </row>
    <row r="229" spans="1:14" s="2" customFormat="1" x14ac:dyDescent="0.25">
      <c r="A229" s="3"/>
      <c r="B229" s="3"/>
      <c r="C229" s="4" t="s">
        <v>274</v>
      </c>
      <c r="D229" s="5">
        <f>SUM(D224:D228)</f>
        <v>117032</v>
      </c>
      <c r="E229" s="5">
        <f>SUM(E224:E228)</f>
        <v>263710.88</v>
      </c>
      <c r="F229" s="5">
        <f>SUM(F224:F228)</f>
        <v>0</v>
      </c>
      <c r="G229" s="5">
        <f>SUM(G224:G228)</f>
        <v>1606157.32</v>
      </c>
      <c r="H229" s="5">
        <f>SUM(H224:H228)</f>
        <v>3734014.68</v>
      </c>
      <c r="I229" s="5">
        <v>45.65</v>
      </c>
      <c r="J229" s="27">
        <f>+K229-D229</f>
        <v>-10000</v>
      </c>
      <c r="K229" s="34">
        <f>SUM(K224:K228)</f>
        <v>107032</v>
      </c>
      <c r="L229" s="34">
        <f>SUM(L224:L228)</f>
        <v>111758.44</v>
      </c>
      <c r="M229" s="34">
        <f>SUM(M224:M228)</f>
        <v>116807.32824</v>
      </c>
      <c r="N229" s="34">
        <f>SUM(N224:N228)</f>
        <v>122088.46533904001</v>
      </c>
    </row>
    <row r="230" spans="1:14" s="2" customFormat="1" x14ac:dyDescent="0.25">
      <c r="A230" s="3"/>
      <c r="B230" s="3"/>
      <c r="C230" s="4"/>
      <c r="D230" s="5"/>
      <c r="E230" s="5"/>
      <c r="F230" s="5"/>
      <c r="G230" s="5"/>
      <c r="H230" s="5"/>
      <c r="I230" s="5"/>
      <c r="J230" s="35"/>
      <c r="K230" s="34"/>
      <c r="L230" s="34"/>
      <c r="M230" s="34"/>
      <c r="N230" s="155"/>
    </row>
    <row r="231" spans="1:14" s="2" customFormat="1" x14ac:dyDescent="0.25">
      <c r="A231" s="3"/>
      <c r="B231" s="3"/>
      <c r="C231" s="4" t="s">
        <v>305</v>
      </c>
      <c r="D231" s="5">
        <f>D198+D220+D229</f>
        <v>828809</v>
      </c>
      <c r="E231" s="5">
        <f t="shared" ref="E231:N231" si="71">E198+E220+E229</f>
        <v>725204.92</v>
      </c>
      <c r="F231" s="5">
        <f t="shared" si="71"/>
        <v>0</v>
      </c>
      <c r="G231" s="5">
        <f t="shared" si="71"/>
        <v>4416932.63</v>
      </c>
      <c r="H231" s="5">
        <f t="shared" si="71"/>
        <v>10268540.370000001</v>
      </c>
      <c r="I231" s="5">
        <f t="shared" si="71"/>
        <v>92.12</v>
      </c>
      <c r="J231" s="5">
        <f t="shared" si="71"/>
        <v>5000</v>
      </c>
      <c r="K231" s="5">
        <f t="shared" si="71"/>
        <v>833809</v>
      </c>
      <c r="L231" s="5">
        <f t="shared" si="71"/>
        <v>883959.00249999994</v>
      </c>
      <c r="M231" s="5">
        <f t="shared" si="71"/>
        <v>943061.93011500011</v>
      </c>
      <c r="N231" s="5">
        <f t="shared" si="71"/>
        <v>1006180.88934529</v>
      </c>
    </row>
    <row r="232" spans="1:14" s="2" customFormat="1" x14ac:dyDescent="0.25">
      <c r="A232" s="3"/>
      <c r="B232" s="3"/>
      <c r="C232" s="4"/>
      <c r="D232" s="5"/>
      <c r="E232" s="5"/>
      <c r="F232" s="5"/>
      <c r="G232" s="5"/>
      <c r="H232" s="5"/>
      <c r="I232" s="5"/>
      <c r="J232" s="35"/>
      <c r="K232" s="34"/>
      <c r="L232" s="34"/>
      <c r="M232" s="34"/>
      <c r="N232" s="155"/>
    </row>
    <row r="233" spans="1:14" s="2" customFormat="1" x14ac:dyDescent="0.25">
      <c r="A233" s="3"/>
      <c r="B233" s="3"/>
      <c r="C233" s="4" t="s">
        <v>306</v>
      </c>
      <c r="D233" s="5">
        <f>D231</f>
        <v>828809</v>
      </c>
      <c r="E233" s="5">
        <f t="shared" ref="E233:N233" si="72">E231</f>
        <v>725204.92</v>
      </c>
      <c r="F233" s="5">
        <f t="shared" si="72"/>
        <v>0</v>
      </c>
      <c r="G233" s="5">
        <f t="shared" si="72"/>
        <v>4416932.63</v>
      </c>
      <c r="H233" s="5">
        <f t="shared" si="72"/>
        <v>10268540.370000001</v>
      </c>
      <c r="I233" s="5">
        <f t="shared" si="72"/>
        <v>92.12</v>
      </c>
      <c r="J233" s="5">
        <f t="shared" si="72"/>
        <v>5000</v>
      </c>
      <c r="K233" s="5">
        <f t="shared" si="72"/>
        <v>833809</v>
      </c>
      <c r="L233" s="5">
        <f t="shared" si="72"/>
        <v>883959.00249999994</v>
      </c>
      <c r="M233" s="5">
        <f t="shared" si="72"/>
        <v>943061.93011500011</v>
      </c>
      <c r="N233" s="5">
        <f t="shared" si="72"/>
        <v>1006180.88934529</v>
      </c>
    </row>
    <row r="234" spans="1:14" s="1" customFormat="1" ht="14.25" x14ac:dyDescent="0.2">
      <c r="A234" s="7"/>
      <c r="B234" s="7"/>
      <c r="C234" s="8"/>
      <c r="D234" s="9"/>
      <c r="E234" s="9"/>
      <c r="F234" s="9"/>
      <c r="G234" s="9"/>
      <c r="H234" s="9"/>
      <c r="I234" s="9"/>
      <c r="J234" s="35"/>
      <c r="K234" s="35"/>
      <c r="L234" s="35"/>
      <c r="M234" s="35"/>
      <c r="N234" s="156"/>
    </row>
    <row r="235" spans="1:14" s="2" customFormat="1" x14ac:dyDescent="0.25">
      <c r="A235" s="3"/>
      <c r="B235" s="3"/>
      <c r="C235" s="4" t="s">
        <v>786</v>
      </c>
      <c r="D235" s="5"/>
      <c r="E235" s="5"/>
      <c r="F235" s="5"/>
      <c r="G235" s="5"/>
      <c r="H235" s="5"/>
      <c r="I235" s="5"/>
      <c r="J235" s="27">
        <f>+K235-D235</f>
        <v>0</v>
      </c>
      <c r="K235" s="35"/>
      <c r="L235" s="34"/>
      <c r="M235" s="34"/>
      <c r="N235" s="155"/>
    </row>
    <row r="236" spans="1:14" s="2" customFormat="1" x14ac:dyDescent="0.25">
      <c r="A236" s="3"/>
      <c r="B236" s="3"/>
      <c r="C236" s="4" t="s">
        <v>96</v>
      </c>
      <c r="D236" s="5"/>
      <c r="E236" s="5"/>
      <c r="F236" s="5"/>
      <c r="G236" s="5"/>
      <c r="H236" s="5"/>
      <c r="I236" s="5"/>
      <c r="J236" s="27">
        <f>+K236-D236</f>
        <v>0</v>
      </c>
      <c r="K236" s="35"/>
      <c r="L236" s="34"/>
      <c r="M236" s="34"/>
      <c r="N236" s="155"/>
    </row>
    <row r="237" spans="1:14" s="2" customFormat="1" x14ac:dyDescent="0.25">
      <c r="A237" s="3"/>
      <c r="B237" s="3"/>
      <c r="C237" s="4" t="s">
        <v>97</v>
      </c>
      <c r="D237" s="5"/>
      <c r="E237" s="5"/>
      <c r="F237" s="5"/>
      <c r="G237" s="5"/>
      <c r="H237" s="5"/>
      <c r="I237" s="5"/>
      <c r="J237" s="27">
        <f>+K237-D237</f>
        <v>0</v>
      </c>
      <c r="K237" s="35"/>
      <c r="L237" s="34"/>
      <c r="M237" s="34"/>
      <c r="N237" s="155"/>
    </row>
    <row r="238" spans="1:14" s="2" customFormat="1" x14ac:dyDescent="0.25">
      <c r="A238" s="3"/>
      <c r="B238" s="3"/>
      <c r="C238" s="4" t="s">
        <v>148</v>
      </c>
      <c r="D238" s="5"/>
      <c r="E238" s="5"/>
      <c r="F238" s="5"/>
      <c r="G238" s="5"/>
      <c r="H238" s="5"/>
      <c r="I238" s="5"/>
      <c r="J238" s="27">
        <f>+K238-D238</f>
        <v>0</v>
      </c>
      <c r="K238" s="35"/>
      <c r="L238" s="34"/>
      <c r="M238" s="34"/>
      <c r="N238" s="155"/>
    </row>
    <row r="239" spans="1:14" s="2" customFormat="1" x14ac:dyDescent="0.25">
      <c r="A239" s="3"/>
      <c r="B239" s="3"/>
      <c r="C239" s="4" t="s">
        <v>149</v>
      </c>
      <c r="D239" s="5"/>
      <c r="E239" s="5"/>
      <c r="F239" s="5"/>
      <c r="G239" s="5"/>
      <c r="H239" s="5"/>
      <c r="I239" s="5"/>
      <c r="J239" s="27">
        <f>+K239-D239</f>
        <v>0</v>
      </c>
      <c r="K239" s="35"/>
      <c r="L239" s="34"/>
      <c r="M239" s="34"/>
      <c r="N239" s="155"/>
    </row>
    <row r="240" spans="1:14" s="2" customFormat="1" x14ac:dyDescent="0.25">
      <c r="A240" s="3"/>
      <c r="B240" s="3"/>
      <c r="C240" s="4"/>
      <c r="D240" s="5"/>
      <c r="E240" s="5"/>
      <c r="F240" s="5"/>
      <c r="G240" s="5"/>
      <c r="H240" s="5"/>
      <c r="I240" s="5"/>
      <c r="J240" s="35"/>
      <c r="K240" s="35"/>
      <c r="L240" s="34"/>
      <c r="M240" s="34"/>
      <c r="N240" s="155"/>
    </row>
    <row r="241" spans="1:14" s="2" customFormat="1" x14ac:dyDescent="0.25">
      <c r="A241" s="3"/>
      <c r="B241" s="3"/>
      <c r="C241" s="4" t="s">
        <v>166</v>
      </c>
      <c r="D241" s="5"/>
      <c r="E241" s="5"/>
      <c r="F241" s="5"/>
      <c r="G241" s="5"/>
      <c r="H241" s="5"/>
      <c r="I241" s="5"/>
      <c r="J241" s="27">
        <f>+K241-D241</f>
        <v>0</v>
      </c>
      <c r="K241" s="35"/>
      <c r="L241" s="34"/>
      <c r="M241" s="34"/>
      <c r="N241" s="155"/>
    </row>
    <row r="242" spans="1:14" s="1" customFormat="1" ht="14.25" x14ac:dyDescent="0.2">
      <c r="A242" s="7"/>
      <c r="B242" s="7"/>
      <c r="C242" s="8"/>
      <c r="D242" s="9"/>
      <c r="E242" s="9"/>
      <c r="F242" s="9"/>
      <c r="G242" s="9"/>
      <c r="H242" s="9"/>
      <c r="I242" s="9"/>
      <c r="J242" s="35"/>
      <c r="K242" s="35"/>
      <c r="L242" s="35"/>
      <c r="M242" s="35"/>
      <c r="N242" s="156"/>
    </row>
    <row r="243" spans="1:14" s="1" customFormat="1" ht="14.25" x14ac:dyDescent="0.2">
      <c r="A243" s="7" t="s">
        <v>787</v>
      </c>
      <c r="B243" s="7"/>
      <c r="C243" s="8" t="s">
        <v>168</v>
      </c>
      <c r="D243" s="9">
        <f>VLOOKUP(A243,fin,3,FALSE)</f>
        <v>0</v>
      </c>
      <c r="E243" s="9">
        <v>65927.72</v>
      </c>
      <c r="F243" s="9">
        <v>0</v>
      </c>
      <c r="G243" s="9">
        <v>401539.33</v>
      </c>
      <c r="H243" s="9">
        <v>933503.67</v>
      </c>
      <c r="I243" s="9">
        <v>30.07</v>
      </c>
      <c r="J243" s="27">
        <f>+K243-D243</f>
        <v>70000</v>
      </c>
      <c r="K243" s="35">
        <f>VLOOKUP(A243,fin,4,FALSE)</f>
        <v>70000</v>
      </c>
      <c r="L243" s="35">
        <f t="shared" ref="L243" si="73">K243*6.25/100+K243</f>
        <v>74375</v>
      </c>
      <c r="M243" s="35">
        <f>L243*7/100+L243</f>
        <v>79581.25</v>
      </c>
      <c r="N243" s="156">
        <f>M243*7/100+M243</f>
        <v>85151.9375</v>
      </c>
    </row>
    <row r="244" spans="1:14" s="1" customFormat="1" ht="14.25" x14ac:dyDescent="0.2">
      <c r="A244" s="7"/>
      <c r="B244" s="7"/>
      <c r="C244" s="8"/>
      <c r="D244" s="9"/>
      <c r="E244" s="9"/>
      <c r="F244" s="9"/>
      <c r="G244" s="9"/>
      <c r="H244" s="9"/>
      <c r="I244" s="9"/>
      <c r="J244" s="35"/>
      <c r="K244" s="35"/>
      <c r="L244" s="35"/>
      <c r="M244" s="35"/>
      <c r="N244" s="156"/>
    </row>
    <row r="245" spans="1:14" s="2" customFormat="1" x14ac:dyDescent="0.25">
      <c r="A245" s="3"/>
      <c r="B245" s="3"/>
      <c r="C245" s="4" t="s">
        <v>171</v>
      </c>
      <c r="D245" s="5">
        <f>SUM(D243:D244)</f>
        <v>0</v>
      </c>
      <c r="E245" s="5">
        <f>SUM(E243:E244)</f>
        <v>65927.72</v>
      </c>
      <c r="F245" s="5">
        <f>SUM(F243:F244)</f>
        <v>0</v>
      </c>
      <c r="G245" s="5">
        <f>SUM(G243:G244)</f>
        <v>401539.33</v>
      </c>
      <c r="H245" s="5">
        <f>SUM(H243:H244)</f>
        <v>933503.67</v>
      </c>
      <c r="I245" s="5">
        <v>0</v>
      </c>
      <c r="J245" s="27">
        <f>+K245-D245</f>
        <v>70000</v>
      </c>
      <c r="K245" s="34">
        <f>SUM(K243:K244)</f>
        <v>70000</v>
      </c>
      <c r="L245" s="34">
        <f>SUM(L243:L244)</f>
        <v>74375</v>
      </c>
      <c r="M245" s="34">
        <f>SUM(M243:M244)</f>
        <v>79581.25</v>
      </c>
      <c r="N245" s="34">
        <f>SUM(N243:N244)</f>
        <v>85151.9375</v>
      </c>
    </row>
    <row r="246" spans="1:14" s="2" customFormat="1" x14ac:dyDescent="0.25">
      <c r="A246" s="3"/>
      <c r="B246" s="3"/>
      <c r="C246" s="4"/>
      <c r="D246" s="5"/>
      <c r="E246" s="5"/>
      <c r="F246" s="5"/>
      <c r="G246" s="5"/>
      <c r="H246" s="5"/>
      <c r="I246" s="5"/>
      <c r="J246" s="35"/>
      <c r="K246" s="34"/>
      <c r="L246" s="34"/>
      <c r="M246" s="34"/>
      <c r="N246" s="155"/>
    </row>
    <row r="247" spans="1:14" s="2" customFormat="1" x14ac:dyDescent="0.25">
      <c r="A247" s="3"/>
      <c r="B247" s="3"/>
      <c r="C247" s="4" t="s">
        <v>177</v>
      </c>
      <c r="D247" s="5">
        <f>D245</f>
        <v>0</v>
      </c>
      <c r="E247" s="5">
        <f t="shared" ref="E247:N247" si="74">E245</f>
        <v>65927.72</v>
      </c>
      <c r="F247" s="5">
        <f t="shared" si="74"/>
        <v>0</v>
      </c>
      <c r="G247" s="5">
        <f t="shared" si="74"/>
        <v>401539.33</v>
      </c>
      <c r="H247" s="5">
        <f t="shared" si="74"/>
        <v>933503.67</v>
      </c>
      <c r="I247" s="5">
        <v>0</v>
      </c>
      <c r="J247" s="27">
        <f>+K247-D247</f>
        <v>70000</v>
      </c>
      <c r="K247" s="34">
        <f t="shared" si="74"/>
        <v>70000</v>
      </c>
      <c r="L247" s="34">
        <f t="shared" si="74"/>
        <v>74375</v>
      </c>
      <c r="M247" s="34">
        <f t="shared" si="74"/>
        <v>79581.25</v>
      </c>
      <c r="N247" s="34">
        <f t="shared" si="74"/>
        <v>85151.9375</v>
      </c>
    </row>
    <row r="248" spans="1:14" s="2" customFormat="1" x14ac:dyDescent="0.25">
      <c r="A248" s="3"/>
      <c r="B248" s="3"/>
      <c r="C248" s="4"/>
      <c r="D248" s="5"/>
      <c r="E248" s="5"/>
      <c r="F248" s="5"/>
      <c r="G248" s="5"/>
      <c r="H248" s="5"/>
      <c r="I248" s="5"/>
      <c r="J248" s="35"/>
      <c r="K248" s="34"/>
      <c r="L248" s="34"/>
      <c r="M248" s="34"/>
      <c r="N248" s="155"/>
    </row>
    <row r="249" spans="1:14" s="2" customFormat="1" x14ac:dyDescent="0.25">
      <c r="A249" s="3"/>
      <c r="B249" s="3"/>
      <c r="C249" s="4" t="s">
        <v>178</v>
      </c>
      <c r="D249" s="5">
        <f>D247</f>
        <v>0</v>
      </c>
      <c r="E249" s="5">
        <f t="shared" ref="E249:N249" si="75">E247</f>
        <v>65927.72</v>
      </c>
      <c r="F249" s="5">
        <f t="shared" si="75"/>
        <v>0</v>
      </c>
      <c r="G249" s="5">
        <f t="shared" si="75"/>
        <v>401539.33</v>
      </c>
      <c r="H249" s="5">
        <f t="shared" si="75"/>
        <v>933503.67</v>
      </c>
      <c r="I249" s="5">
        <v>0</v>
      </c>
      <c r="J249" s="27">
        <f>+K249-D249</f>
        <v>70000</v>
      </c>
      <c r="K249" s="34">
        <f t="shared" si="75"/>
        <v>70000</v>
      </c>
      <c r="L249" s="34">
        <f t="shared" si="75"/>
        <v>74375</v>
      </c>
      <c r="M249" s="34">
        <f t="shared" si="75"/>
        <v>79581.25</v>
      </c>
      <c r="N249" s="34">
        <f t="shared" si="75"/>
        <v>85151.9375</v>
      </c>
    </row>
    <row r="250" spans="1:14" s="2" customFormat="1" x14ac:dyDescent="0.25">
      <c r="A250" s="3"/>
      <c r="B250" s="3"/>
      <c r="C250" s="4"/>
      <c r="D250" s="5"/>
      <c r="E250" s="5"/>
      <c r="F250" s="5"/>
      <c r="G250" s="5"/>
      <c r="H250" s="5"/>
      <c r="I250" s="5"/>
      <c r="J250" s="35"/>
      <c r="K250" s="35"/>
      <c r="L250" s="34"/>
      <c r="M250" s="34"/>
      <c r="N250" s="155"/>
    </row>
    <row r="251" spans="1:14" s="2" customFormat="1" x14ac:dyDescent="0.25">
      <c r="A251" s="3"/>
      <c r="B251" s="3"/>
      <c r="C251" s="4" t="s">
        <v>179</v>
      </c>
      <c r="D251" s="5"/>
      <c r="E251" s="5"/>
      <c r="F251" s="5"/>
      <c r="G251" s="5"/>
      <c r="H251" s="5"/>
      <c r="I251" s="5"/>
      <c r="J251" s="27">
        <f>+K251-D251</f>
        <v>0</v>
      </c>
      <c r="K251" s="35"/>
      <c r="L251" s="34"/>
      <c r="M251" s="34"/>
      <c r="N251" s="155"/>
    </row>
    <row r="252" spans="1:14" s="2" customFormat="1" x14ac:dyDescent="0.25">
      <c r="A252" s="3"/>
      <c r="B252" s="3"/>
      <c r="C252" s="4"/>
      <c r="D252" s="5"/>
      <c r="E252" s="5"/>
      <c r="F252" s="5"/>
      <c r="G252" s="5"/>
      <c r="H252" s="5"/>
      <c r="I252" s="5"/>
      <c r="J252" s="35"/>
      <c r="K252" s="35"/>
      <c r="L252" s="34"/>
      <c r="M252" s="34"/>
      <c r="N252" s="155"/>
    </row>
    <row r="253" spans="1:14" s="2" customFormat="1" x14ac:dyDescent="0.25">
      <c r="A253" s="3"/>
      <c r="B253" s="3"/>
      <c r="C253" s="4" t="s">
        <v>196</v>
      </c>
      <c r="D253" s="5"/>
      <c r="E253" s="5"/>
      <c r="F253" s="5"/>
      <c r="G253" s="5"/>
      <c r="H253" s="5"/>
      <c r="I253" s="5"/>
      <c r="J253" s="27">
        <f>+K253-D253</f>
        <v>0</v>
      </c>
      <c r="K253" s="35"/>
      <c r="L253" s="34"/>
      <c r="M253" s="34"/>
      <c r="N253" s="155"/>
    </row>
    <row r="254" spans="1:14" s="1" customFormat="1" ht="14.25" x14ac:dyDescent="0.2">
      <c r="A254" s="7"/>
      <c r="B254" s="7"/>
      <c r="C254" s="8"/>
      <c r="D254" s="9"/>
      <c r="E254" s="9"/>
      <c r="F254" s="9"/>
      <c r="G254" s="9"/>
      <c r="H254" s="9"/>
      <c r="I254" s="9"/>
      <c r="J254" s="35"/>
      <c r="K254" s="35"/>
      <c r="L254" s="35"/>
      <c r="M254" s="35"/>
      <c r="N254" s="156"/>
    </row>
    <row r="255" spans="1:14" s="1" customFormat="1" ht="14.25" x14ac:dyDescent="0.2">
      <c r="A255" s="7" t="s">
        <v>788</v>
      </c>
      <c r="B255" s="7"/>
      <c r="C255" s="8" t="s">
        <v>197</v>
      </c>
      <c r="D255" s="9">
        <f>VLOOKUP(A255,fin,3,FALSE)</f>
        <v>683494</v>
      </c>
      <c r="E255" s="9">
        <v>65927.72</v>
      </c>
      <c r="F255" s="9">
        <v>0</v>
      </c>
      <c r="G255" s="9">
        <v>401539.33</v>
      </c>
      <c r="H255" s="9">
        <v>933503.67</v>
      </c>
      <c r="I255" s="9">
        <v>30.07</v>
      </c>
      <c r="J255" s="27">
        <f>+K255-D255</f>
        <v>0</v>
      </c>
      <c r="K255" s="35">
        <f>VLOOKUP(A255,fin,4,FALSE)</f>
        <v>683494</v>
      </c>
      <c r="L255" s="35">
        <f t="shared" ref="L255:L257" si="76">K255*6.25/100+K255</f>
        <v>726212.375</v>
      </c>
      <c r="M255" s="35">
        <f t="shared" ref="M255:N257" si="77">L255*7/100+L255</f>
        <v>777047.24124999996</v>
      </c>
      <c r="N255" s="156">
        <f t="shared" si="77"/>
        <v>831440.54813749995</v>
      </c>
    </row>
    <row r="256" spans="1:14" s="1" customFormat="1" ht="14.25" x14ac:dyDescent="0.2">
      <c r="A256" s="7" t="s">
        <v>789</v>
      </c>
      <c r="B256" s="7"/>
      <c r="C256" s="8" t="s">
        <v>198</v>
      </c>
      <c r="D256" s="9">
        <f>VLOOKUP(A256,fin,3,FALSE)</f>
        <v>2050481</v>
      </c>
      <c r="E256" s="9">
        <v>65927.72</v>
      </c>
      <c r="F256" s="9">
        <v>0</v>
      </c>
      <c r="G256" s="9">
        <v>401539.33</v>
      </c>
      <c r="H256" s="9">
        <v>933503.67</v>
      </c>
      <c r="I256" s="9">
        <v>30.07</v>
      </c>
      <c r="J256" s="27">
        <f>+K256-D256</f>
        <v>0</v>
      </c>
      <c r="K256" s="35">
        <f>VLOOKUP(A256,fin,4,FALSE)</f>
        <v>2050481</v>
      </c>
      <c r="L256" s="35">
        <f t="shared" si="76"/>
        <v>2178636.0625</v>
      </c>
      <c r="M256" s="35">
        <f t="shared" si="77"/>
        <v>2331140.586875</v>
      </c>
      <c r="N256" s="156">
        <f t="shared" si="77"/>
        <v>2494320.42795625</v>
      </c>
    </row>
    <row r="257" spans="1:14" s="1" customFormat="1" ht="14.25" x14ac:dyDescent="0.2">
      <c r="A257" s="7" t="s">
        <v>790</v>
      </c>
      <c r="B257" s="7"/>
      <c r="C257" s="8" t="s">
        <v>199</v>
      </c>
      <c r="D257" s="9">
        <f>VLOOKUP(A257,fin,3,FALSE)</f>
        <v>237540</v>
      </c>
      <c r="E257" s="9">
        <v>65927.72</v>
      </c>
      <c r="F257" s="9">
        <v>0</v>
      </c>
      <c r="G257" s="9">
        <v>401539.33</v>
      </c>
      <c r="H257" s="9">
        <v>933503.67</v>
      </c>
      <c r="I257" s="9">
        <v>30.07</v>
      </c>
      <c r="J257" s="27">
        <f>+K257-D257</f>
        <v>0</v>
      </c>
      <c r="K257" s="35">
        <f>VLOOKUP(A257,fin,4,FALSE)</f>
        <v>237540</v>
      </c>
      <c r="L257" s="35">
        <f t="shared" si="76"/>
        <v>252386.25</v>
      </c>
      <c r="M257" s="35">
        <f t="shared" si="77"/>
        <v>270053.28749999998</v>
      </c>
      <c r="N257" s="156">
        <f t="shared" si="77"/>
        <v>288957.01762499998</v>
      </c>
    </row>
    <row r="258" spans="1:14" s="1" customFormat="1" ht="14.25" x14ac:dyDescent="0.2">
      <c r="A258" s="7"/>
      <c r="B258" s="7"/>
      <c r="C258" s="8"/>
      <c r="D258" s="9"/>
      <c r="E258" s="9"/>
      <c r="F258" s="9"/>
      <c r="G258" s="9"/>
      <c r="H258" s="9"/>
      <c r="I258" s="9"/>
      <c r="J258" s="35"/>
      <c r="K258" s="35"/>
      <c r="L258" s="35"/>
      <c r="M258" s="35"/>
      <c r="N258" s="156"/>
    </row>
    <row r="259" spans="1:14" s="2" customFormat="1" x14ac:dyDescent="0.25">
      <c r="A259" s="3"/>
      <c r="B259" s="3"/>
      <c r="C259" s="4" t="s">
        <v>200</v>
      </c>
      <c r="D259" s="5">
        <f>SUM(D255:D258)</f>
        <v>2971515</v>
      </c>
      <c r="E259" s="5">
        <f>SUM(E255:E258)</f>
        <v>197783.16</v>
      </c>
      <c r="F259" s="5">
        <f>SUM(F255:F258)</f>
        <v>0</v>
      </c>
      <c r="G259" s="5">
        <f>SUM(G255:G258)</f>
        <v>1204617.99</v>
      </c>
      <c r="H259" s="5">
        <f>SUM(H255:H258)</f>
        <v>2800511.0100000002</v>
      </c>
      <c r="I259" s="5">
        <v>0</v>
      </c>
      <c r="J259" s="27">
        <f>+K259-D259</f>
        <v>0</v>
      </c>
      <c r="K259" s="34">
        <f>SUM(K255:K258)</f>
        <v>2971515</v>
      </c>
      <c r="L259" s="34">
        <f>SUM(L255:L258)</f>
        <v>3157234.6875</v>
      </c>
      <c r="M259" s="34">
        <f>SUM(M255:M258)</f>
        <v>3378241.1156250001</v>
      </c>
      <c r="N259" s="34">
        <f>SUM(N255:N258)</f>
        <v>3614717.9937187498</v>
      </c>
    </row>
    <row r="260" spans="1:14" s="2" customFormat="1" x14ac:dyDescent="0.25">
      <c r="A260" s="3"/>
      <c r="B260" s="3"/>
      <c r="C260" s="4"/>
      <c r="D260" s="5"/>
      <c r="E260" s="5"/>
      <c r="F260" s="5"/>
      <c r="G260" s="5"/>
      <c r="H260" s="5"/>
      <c r="I260" s="5"/>
      <c r="J260" s="35"/>
      <c r="K260" s="35"/>
      <c r="L260" s="34"/>
      <c r="M260" s="34"/>
      <c r="N260" s="155"/>
    </row>
    <row r="261" spans="1:14" s="2" customFormat="1" x14ac:dyDescent="0.25">
      <c r="A261" s="3"/>
      <c r="B261" s="3"/>
      <c r="C261" s="4" t="s">
        <v>201</v>
      </c>
      <c r="D261" s="5"/>
      <c r="E261" s="5"/>
      <c r="F261" s="5"/>
      <c r="G261" s="5"/>
      <c r="H261" s="5"/>
      <c r="I261" s="5"/>
      <c r="J261" s="27">
        <f>+K261-D261</f>
        <v>0</v>
      </c>
      <c r="K261" s="35"/>
      <c r="L261" s="34"/>
      <c r="M261" s="34"/>
      <c r="N261" s="155"/>
    </row>
    <row r="262" spans="1:14" s="1" customFormat="1" ht="14.25" x14ac:dyDescent="0.2">
      <c r="A262" s="7"/>
      <c r="B262" s="7"/>
      <c r="C262" s="8"/>
      <c r="D262" s="9"/>
      <c r="E262" s="9"/>
      <c r="F262" s="9"/>
      <c r="G262" s="9"/>
      <c r="H262" s="9"/>
      <c r="I262" s="9"/>
      <c r="J262" s="35"/>
      <c r="K262" s="35"/>
      <c r="L262" s="35"/>
      <c r="M262" s="35"/>
      <c r="N262" s="156"/>
    </row>
    <row r="263" spans="1:14" s="1" customFormat="1" ht="14.25" x14ac:dyDescent="0.2">
      <c r="A263" s="7" t="s">
        <v>791</v>
      </c>
      <c r="B263" s="7"/>
      <c r="C263" s="8" t="s">
        <v>202</v>
      </c>
      <c r="D263" s="9">
        <f>VLOOKUP(A263,fin,3,FALSE)</f>
        <v>0</v>
      </c>
      <c r="E263" s="9">
        <v>65927.72</v>
      </c>
      <c r="F263" s="9">
        <v>0</v>
      </c>
      <c r="G263" s="9">
        <v>401539.33</v>
      </c>
      <c r="H263" s="9">
        <v>933503.67</v>
      </c>
      <c r="I263" s="9">
        <v>30.07</v>
      </c>
      <c r="J263" s="27">
        <f>+K263-D263</f>
        <v>0</v>
      </c>
      <c r="K263" s="35">
        <f>VLOOKUP(A263,fin,4,FALSE)</f>
        <v>0</v>
      </c>
      <c r="L263" s="35">
        <f>VLOOKUP(A263,fin,5,FALSE)</f>
        <v>0</v>
      </c>
      <c r="M263" s="35">
        <f>VLOOKUP(A263,fin,6,FALSE)</f>
        <v>0</v>
      </c>
      <c r="N263" s="156"/>
    </row>
    <row r="264" spans="1:14" s="1" customFormat="1" ht="14.25" x14ac:dyDescent="0.2">
      <c r="A264" s="7" t="s">
        <v>792</v>
      </c>
      <c r="B264" s="7"/>
      <c r="C264" s="8" t="s">
        <v>203</v>
      </c>
      <c r="D264" s="9">
        <f>VLOOKUP(A264,fin,3,FALSE)</f>
        <v>0</v>
      </c>
      <c r="E264" s="9">
        <v>65927.72</v>
      </c>
      <c r="F264" s="9">
        <v>0</v>
      </c>
      <c r="G264" s="9">
        <v>401539.33</v>
      </c>
      <c r="H264" s="9">
        <v>933503.67</v>
      </c>
      <c r="I264" s="9">
        <v>30.07</v>
      </c>
      <c r="J264" s="27">
        <f>+K264-D264</f>
        <v>0</v>
      </c>
      <c r="K264" s="35">
        <f>VLOOKUP(A264,fin,4,FALSE)</f>
        <v>0</v>
      </c>
      <c r="L264" s="35">
        <f>VLOOKUP(A264,fin,5,FALSE)</f>
        <v>0</v>
      </c>
      <c r="M264" s="35">
        <f>VLOOKUP(A264,fin,6,FALSE)</f>
        <v>0</v>
      </c>
      <c r="N264" s="156"/>
    </row>
    <row r="265" spans="1:14" s="1" customFormat="1" ht="14.25" x14ac:dyDescent="0.2">
      <c r="A265" s="7" t="s">
        <v>793</v>
      </c>
      <c r="B265" s="7"/>
      <c r="C265" s="8" t="s">
        <v>204</v>
      </c>
      <c r="D265" s="9">
        <f>VLOOKUP(A265,fin,3,FALSE)</f>
        <v>0</v>
      </c>
      <c r="E265" s="9">
        <v>65927.72</v>
      </c>
      <c r="F265" s="9">
        <v>0</v>
      </c>
      <c r="G265" s="9">
        <v>401539.33</v>
      </c>
      <c r="H265" s="9">
        <v>933503.67</v>
      </c>
      <c r="I265" s="9">
        <v>30.07</v>
      </c>
      <c r="J265" s="27">
        <f>+K265-D265</f>
        <v>0</v>
      </c>
      <c r="K265" s="35">
        <f>VLOOKUP(A265,fin,4,FALSE)</f>
        <v>0</v>
      </c>
      <c r="L265" s="35">
        <f>VLOOKUP(A265,fin,5,FALSE)</f>
        <v>0</v>
      </c>
      <c r="M265" s="35">
        <f>VLOOKUP(A265,fin,6,FALSE)</f>
        <v>0</v>
      </c>
      <c r="N265" s="156"/>
    </row>
    <row r="266" spans="1:14" s="1" customFormat="1" ht="14.25" x14ac:dyDescent="0.2">
      <c r="A266" s="7"/>
      <c r="B266" s="7"/>
      <c r="C266" s="8"/>
      <c r="D266" s="9"/>
      <c r="E266" s="9"/>
      <c r="F266" s="9"/>
      <c r="G266" s="9"/>
      <c r="H266" s="9"/>
      <c r="I266" s="9"/>
      <c r="J266" s="35"/>
      <c r="K266" s="35"/>
      <c r="L266" s="35"/>
      <c r="M266" s="35"/>
      <c r="N266" s="156"/>
    </row>
    <row r="267" spans="1:14" s="2" customFormat="1" x14ac:dyDescent="0.25">
      <c r="A267" s="3"/>
      <c r="B267" s="3"/>
      <c r="C267" s="4" t="s">
        <v>205</v>
      </c>
      <c r="D267" s="5">
        <f>SUM(D263:D266)</f>
        <v>0</v>
      </c>
      <c r="E267" s="5">
        <f>SUM(E263:E266)</f>
        <v>197783.16</v>
      </c>
      <c r="F267" s="5">
        <f>SUM(F263:F266)</f>
        <v>0</v>
      </c>
      <c r="G267" s="5">
        <f>SUM(G263:G266)</f>
        <v>1204617.99</v>
      </c>
      <c r="H267" s="5">
        <f>SUM(H263:H266)</f>
        <v>2800511.0100000002</v>
      </c>
      <c r="I267" s="5">
        <v>0</v>
      </c>
      <c r="J267" s="27">
        <f>+K267-D267</f>
        <v>0</v>
      </c>
      <c r="K267" s="34">
        <f>SUM(K263:K266)</f>
        <v>0</v>
      </c>
      <c r="L267" s="34">
        <f>SUM(L263:L266)</f>
        <v>0</v>
      </c>
      <c r="M267" s="34">
        <f>SUM(M263:M266)</f>
        <v>0</v>
      </c>
      <c r="N267" s="34">
        <f>SUM(N263:N266)</f>
        <v>0</v>
      </c>
    </row>
    <row r="268" spans="1:14" s="2" customFormat="1" x14ac:dyDescent="0.25">
      <c r="A268" s="3"/>
      <c r="B268" s="3"/>
      <c r="C268" s="4"/>
      <c r="D268" s="5"/>
      <c r="E268" s="5"/>
      <c r="F268" s="5"/>
      <c r="G268" s="5"/>
      <c r="H268" s="5"/>
      <c r="I268" s="5"/>
      <c r="J268" s="35"/>
      <c r="K268" s="34"/>
      <c r="L268" s="34"/>
      <c r="M268" s="34"/>
      <c r="N268" s="155"/>
    </row>
    <row r="269" spans="1:14" s="2" customFormat="1" x14ac:dyDescent="0.25">
      <c r="A269" s="3"/>
      <c r="B269" s="3"/>
      <c r="C269" s="4" t="s">
        <v>206</v>
      </c>
      <c r="D269" s="5">
        <f>D259+D267</f>
        <v>2971515</v>
      </c>
      <c r="E269" s="5">
        <f t="shared" ref="E269:N269" si="78">E259+E267</f>
        <v>395566.32</v>
      </c>
      <c r="F269" s="5">
        <f t="shared" si="78"/>
        <v>0</v>
      </c>
      <c r="G269" s="5">
        <f t="shared" si="78"/>
        <v>2409235.98</v>
      </c>
      <c r="H269" s="5">
        <f t="shared" si="78"/>
        <v>5601022.0200000005</v>
      </c>
      <c r="I269" s="5">
        <v>51.34</v>
      </c>
      <c r="J269" s="27">
        <f>+K269-D269</f>
        <v>0</v>
      </c>
      <c r="K269" s="34">
        <f t="shared" si="78"/>
        <v>2971515</v>
      </c>
      <c r="L269" s="34">
        <f t="shared" si="78"/>
        <v>3157234.6875</v>
      </c>
      <c r="M269" s="34">
        <f t="shared" si="78"/>
        <v>3378241.1156250001</v>
      </c>
      <c r="N269" s="34">
        <f t="shared" si="78"/>
        <v>3614717.9937187498</v>
      </c>
    </row>
    <row r="270" spans="1:14" s="2" customFormat="1" x14ac:dyDescent="0.25">
      <c r="A270" s="3"/>
      <c r="B270" s="3"/>
      <c r="C270" s="4"/>
      <c r="D270" s="5"/>
      <c r="E270" s="5"/>
      <c r="F270" s="5"/>
      <c r="G270" s="5"/>
      <c r="H270" s="5"/>
      <c r="I270" s="5"/>
      <c r="J270" s="35"/>
      <c r="K270" s="34"/>
      <c r="L270" s="34"/>
      <c r="M270" s="34"/>
      <c r="N270" s="155"/>
    </row>
    <row r="271" spans="1:14" s="2" customFormat="1" x14ac:dyDescent="0.25">
      <c r="A271" s="3"/>
      <c r="B271" s="3"/>
      <c r="C271" s="4" t="s">
        <v>207</v>
      </c>
      <c r="D271" s="5">
        <f>D269</f>
        <v>2971515</v>
      </c>
      <c r="E271" s="5">
        <f t="shared" ref="E271:N271" si="79">E269</f>
        <v>395566.32</v>
      </c>
      <c r="F271" s="5">
        <f t="shared" si="79"/>
        <v>0</v>
      </c>
      <c r="G271" s="5">
        <f t="shared" si="79"/>
        <v>2409235.98</v>
      </c>
      <c r="H271" s="5">
        <f t="shared" si="79"/>
        <v>5601022.0200000005</v>
      </c>
      <c r="I271" s="5">
        <v>51.34</v>
      </c>
      <c r="J271" s="27">
        <f>+K271-D271</f>
        <v>0</v>
      </c>
      <c r="K271" s="34">
        <f t="shared" si="79"/>
        <v>2971515</v>
      </c>
      <c r="L271" s="34">
        <f t="shared" si="79"/>
        <v>3157234.6875</v>
      </c>
      <c r="M271" s="34">
        <f t="shared" si="79"/>
        <v>3378241.1156250001</v>
      </c>
      <c r="N271" s="34">
        <f t="shared" si="79"/>
        <v>3614717.9937187498</v>
      </c>
    </row>
    <row r="272" spans="1:14" s="2" customFormat="1" x14ac:dyDescent="0.25">
      <c r="A272" s="3"/>
      <c r="B272" s="3"/>
      <c r="C272" s="4"/>
      <c r="D272" s="5"/>
      <c r="E272" s="5"/>
      <c r="F272" s="5"/>
      <c r="G272" s="5"/>
      <c r="H272" s="5"/>
      <c r="I272" s="5"/>
      <c r="J272" s="35"/>
      <c r="K272" s="35"/>
      <c r="L272" s="34"/>
      <c r="M272" s="34"/>
      <c r="N272" s="155"/>
    </row>
    <row r="273" spans="1:14" s="2" customFormat="1" x14ac:dyDescent="0.25">
      <c r="A273" s="3"/>
      <c r="B273" s="3"/>
      <c r="C273" s="4" t="s">
        <v>241</v>
      </c>
      <c r="D273" s="5"/>
      <c r="E273" s="5"/>
      <c r="F273" s="5"/>
      <c r="G273" s="5"/>
      <c r="H273" s="5"/>
      <c r="I273" s="5"/>
      <c r="J273" s="27">
        <f>+K273-D273</f>
        <v>0</v>
      </c>
      <c r="K273" s="35"/>
      <c r="L273" s="34"/>
      <c r="M273" s="34"/>
      <c r="N273" s="155"/>
    </row>
    <row r="274" spans="1:14" s="1" customFormat="1" ht="14.25" x14ac:dyDescent="0.2">
      <c r="A274" s="7"/>
      <c r="B274" s="7"/>
      <c r="C274" s="8"/>
      <c r="D274" s="9"/>
      <c r="E274" s="9"/>
      <c r="F274" s="9"/>
      <c r="G274" s="9"/>
      <c r="H274" s="9"/>
      <c r="I274" s="9"/>
      <c r="J274" s="35"/>
      <c r="K274" s="35"/>
      <c r="L274" s="35"/>
      <c r="M274" s="35"/>
      <c r="N274" s="156"/>
    </row>
    <row r="275" spans="1:14" s="1" customFormat="1" ht="14.25" x14ac:dyDescent="0.2">
      <c r="A275" s="7" t="s">
        <v>794</v>
      </c>
      <c r="B275" s="7"/>
      <c r="C275" s="8" t="s">
        <v>265</v>
      </c>
      <c r="D275" s="9">
        <f>VLOOKUP(A275,fin,3,FALSE)</f>
        <v>0</v>
      </c>
      <c r="E275" s="9">
        <v>65927.72</v>
      </c>
      <c r="F275" s="9">
        <v>0</v>
      </c>
      <c r="G275" s="9">
        <v>401539.33</v>
      </c>
      <c r="H275" s="9">
        <v>933503.67</v>
      </c>
      <c r="I275" s="9">
        <v>30.07</v>
      </c>
      <c r="J275" s="27">
        <f>+K275-D275</f>
        <v>25000</v>
      </c>
      <c r="K275" s="35">
        <f>VLOOKUP(A275,fin,4,FALSE)</f>
        <v>25000</v>
      </c>
      <c r="L275" s="35">
        <f t="shared" ref="L275:L277" si="80">K275*4.5/100+K275</f>
        <v>26125</v>
      </c>
      <c r="M275" s="35">
        <f t="shared" ref="M275:N275" si="81">L275*4.6/100+L275</f>
        <v>27326.75</v>
      </c>
      <c r="N275" s="156">
        <f t="shared" si="81"/>
        <v>28583.780500000001</v>
      </c>
    </row>
    <row r="276" spans="1:14" s="1" customFormat="1" ht="14.25" x14ac:dyDescent="0.2">
      <c r="A276" s="7" t="s">
        <v>795</v>
      </c>
      <c r="B276" s="7"/>
      <c r="C276" s="8" t="s">
        <v>268</v>
      </c>
      <c r="D276" s="9">
        <f>VLOOKUP(A276,fin,3,FALSE)</f>
        <v>85032</v>
      </c>
      <c r="E276" s="9">
        <v>65927.72</v>
      </c>
      <c r="F276" s="9">
        <v>0</v>
      </c>
      <c r="G276" s="9">
        <v>401539.33</v>
      </c>
      <c r="H276" s="9">
        <v>933503.67</v>
      </c>
      <c r="I276" s="9">
        <v>30.07</v>
      </c>
      <c r="J276" s="27">
        <f>+K276-D276</f>
        <v>150000</v>
      </c>
      <c r="K276" s="35">
        <f>VLOOKUP(A276,fin,4,FALSE)</f>
        <v>235032</v>
      </c>
      <c r="L276" s="35">
        <f t="shared" si="80"/>
        <v>245608.44</v>
      </c>
      <c r="M276" s="35">
        <f t="shared" ref="M276:N276" si="82">L276*4.6/100+L276</f>
        <v>256906.42824000001</v>
      </c>
      <c r="N276" s="156">
        <f t="shared" si="82"/>
        <v>268724.12393904</v>
      </c>
    </row>
    <row r="277" spans="1:14" s="1" customFormat="1" ht="14.25" x14ac:dyDescent="0.2">
      <c r="A277" s="7" t="s">
        <v>796</v>
      </c>
      <c r="B277" s="7"/>
      <c r="C277" s="8" t="s">
        <v>269</v>
      </c>
      <c r="D277" s="9">
        <f>VLOOKUP(A277,fin,3,FALSE)</f>
        <v>75000</v>
      </c>
      <c r="E277" s="9">
        <v>65927.72</v>
      </c>
      <c r="F277" s="9">
        <v>0</v>
      </c>
      <c r="G277" s="9">
        <v>401539.33</v>
      </c>
      <c r="H277" s="9">
        <v>933503.67</v>
      </c>
      <c r="I277" s="9">
        <v>30.07</v>
      </c>
      <c r="J277" s="27">
        <f>+K277-D277</f>
        <v>-20000</v>
      </c>
      <c r="K277" s="35">
        <f>VLOOKUP(A277,fin,4,FALSE)</f>
        <v>55000</v>
      </c>
      <c r="L277" s="35">
        <f t="shared" si="80"/>
        <v>57475</v>
      </c>
      <c r="M277" s="35">
        <f t="shared" ref="M277:N277" si="83">L277*4.6/100+L277</f>
        <v>60118.85</v>
      </c>
      <c r="N277" s="156">
        <f t="shared" si="83"/>
        <v>62884.3171</v>
      </c>
    </row>
    <row r="278" spans="1:14" s="1" customFormat="1" ht="14.25" x14ac:dyDescent="0.2">
      <c r="A278" s="7"/>
      <c r="B278" s="7"/>
      <c r="C278" s="8"/>
      <c r="D278" s="9"/>
      <c r="E278" s="9"/>
      <c r="F278" s="9"/>
      <c r="G278" s="9"/>
      <c r="H278" s="9"/>
      <c r="I278" s="9"/>
      <c r="J278" s="35"/>
      <c r="K278" s="35"/>
      <c r="L278" s="35"/>
      <c r="M278" s="35"/>
      <c r="N278" s="156"/>
    </row>
    <row r="279" spans="1:14" s="2" customFormat="1" x14ac:dyDescent="0.25">
      <c r="A279" s="3"/>
      <c r="B279" s="3"/>
      <c r="C279" s="4" t="s">
        <v>274</v>
      </c>
      <c r="D279" s="5">
        <f>SUM(D275:D278)</f>
        <v>160032</v>
      </c>
      <c r="E279" s="5">
        <f>SUM(E275:E278)</f>
        <v>197783.16</v>
      </c>
      <c r="F279" s="5">
        <f>SUM(F275:F278)</f>
        <v>0</v>
      </c>
      <c r="G279" s="5">
        <f>SUM(G275:G278)</f>
        <v>1204617.99</v>
      </c>
      <c r="H279" s="5">
        <f>SUM(H275:H278)</f>
        <v>2800511.0100000002</v>
      </c>
      <c r="I279" s="5">
        <v>123.78</v>
      </c>
      <c r="J279" s="27">
        <f>+K279-D279</f>
        <v>155000</v>
      </c>
      <c r="K279" s="34">
        <f>SUM(K275:K278)</f>
        <v>315032</v>
      </c>
      <c r="L279" s="34">
        <f>SUM(L275:L278)</f>
        <v>329208.44</v>
      </c>
      <c r="M279" s="34">
        <f>SUM(M275:M278)</f>
        <v>344352.02824000001</v>
      </c>
      <c r="N279" s="34">
        <f>SUM(N275:N278)</f>
        <v>360192.22153903998</v>
      </c>
    </row>
    <row r="280" spans="1:14" s="2" customFormat="1" x14ac:dyDescent="0.25">
      <c r="A280" s="3"/>
      <c r="B280" s="3"/>
      <c r="C280" s="4"/>
      <c r="D280" s="5"/>
      <c r="E280" s="5"/>
      <c r="F280" s="5"/>
      <c r="G280" s="5"/>
      <c r="H280" s="5"/>
      <c r="I280" s="5"/>
      <c r="J280" s="35"/>
      <c r="K280" s="34"/>
      <c r="L280" s="34"/>
      <c r="M280" s="34"/>
      <c r="N280" s="155"/>
    </row>
    <row r="281" spans="1:14" s="2" customFormat="1" x14ac:dyDescent="0.25">
      <c r="A281" s="3"/>
      <c r="B281" s="3"/>
      <c r="C281" s="4" t="s">
        <v>305</v>
      </c>
      <c r="D281" s="5">
        <f>D249+D271+D279</f>
        <v>3131547</v>
      </c>
      <c r="E281" s="5">
        <f t="shared" ref="E281:N281" si="84">E249+E271+E279</f>
        <v>659277.20000000007</v>
      </c>
      <c r="F281" s="5">
        <f t="shared" si="84"/>
        <v>0</v>
      </c>
      <c r="G281" s="5">
        <f t="shared" si="84"/>
        <v>4015393.3</v>
      </c>
      <c r="H281" s="5">
        <f t="shared" si="84"/>
        <v>9335036.7000000011</v>
      </c>
      <c r="I281" s="5">
        <f t="shared" si="84"/>
        <v>175.12</v>
      </c>
      <c r="J281" s="5">
        <f t="shared" si="84"/>
        <v>225000</v>
      </c>
      <c r="K281" s="5">
        <f t="shared" si="84"/>
        <v>3356547</v>
      </c>
      <c r="L281" s="5">
        <f t="shared" si="84"/>
        <v>3560818.1274999999</v>
      </c>
      <c r="M281" s="5">
        <f t="shared" si="84"/>
        <v>3802174.393865</v>
      </c>
      <c r="N281" s="5">
        <f t="shared" si="84"/>
        <v>4060062.1527577899</v>
      </c>
    </row>
    <row r="282" spans="1:14" s="2" customFormat="1" x14ac:dyDescent="0.25">
      <c r="A282" s="3"/>
      <c r="B282" s="3"/>
      <c r="C282" s="4"/>
      <c r="D282" s="5"/>
      <c r="E282" s="5"/>
      <c r="F282" s="5"/>
      <c r="G282" s="5"/>
      <c r="H282" s="5"/>
      <c r="I282" s="5"/>
      <c r="J282" s="35"/>
      <c r="K282" s="34"/>
      <c r="L282" s="34"/>
      <c r="M282" s="34"/>
      <c r="N282" s="155"/>
    </row>
    <row r="283" spans="1:14" s="2" customFormat="1" x14ac:dyDescent="0.25">
      <c r="A283" s="3"/>
      <c r="B283" s="3"/>
      <c r="C283" s="4" t="s">
        <v>306</v>
      </c>
      <c r="D283" s="5">
        <f>D281</f>
        <v>3131547</v>
      </c>
      <c r="E283" s="5">
        <f t="shared" ref="E283:N283" si="85">E281</f>
        <v>659277.20000000007</v>
      </c>
      <c r="F283" s="5">
        <f t="shared" si="85"/>
        <v>0</v>
      </c>
      <c r="G283" s="5">
        <f t="shared" si="85"/>
        <v>4015393.3</v>
      </c>
      <c r="H283" s="5">
        <f t="shared" si="85"/>
        <v>9335036.7000000011</v>
      </c>
      <c r="I283" s="5">
        <f t="shared" si="85"/>
        <v>175.12</v>
      </c>
      <c r="J283" s="5">
        <f t="shared" si="85"/>
        <v>225000</v>
      </c>
      <c r="K283" s="5">
        <f t="shared" si="85"/>
        <v>3356547</v>
      </c>
      <c r="L283" s="5">
        <f t="shared" si="85"/>
        <v>3560818.1274999999</v>
      </c>
      <c r="M283" s="5">
        <f t="shared" si="85"/>
        <v>3802174.393865</v>
      </c>
      <c r="N283" s="5">
        <f t="shared" si="85"/>
        <v>4060062.1527577899</v>
      </c>
    </row>
    <row r="284" spans="1:14" s="1" customFormat="1" ht="14.25" x14ac:dyDescent="0.2">
      <c r="A284" s="7"/>
      <c r="B284" s="7"/>
      <c r="C284" s="8"/>
      <c r="D284" s="9"/>
      <c r="E284" s="9"/>
      <c r="F284" s="9"/>
      <c r="G284" s="9"/>
      <c r="H284" s="9"/>
      <c r="I284" s="9"/>
      <c r="J284" s="35"/>
      <c r="K284" s="35"/>
      <c r="L284" s="35"/>
      <c r="M284" s="35"/>
      <c r="N284" s="156"/>
    </row>
    <row r="285" spans="1:14" s="1" customFormat="1" ht="14.25" x14ac:dyDescent="0.2">
      <c r="A285" s="7"/>
      <c r="B285" s="7"/>
      <c r="C285" s="8" t="s">
        <v>797</v>
      </c>
      <c r="D285" s="9"/>
      <c r="E285" s="9"/>
      <c r="F285" s="9"/>
      <c r="G285" s="9"/>
      <c r="H285" s="9"/>
      <c r="I285" s="9"/>
      <c r="J285" s="27">
        <f>+K285-D285</f>
        <v>0</v>
      </c>
      <c r="K285" s="35"/>
      <c r="L285" s="35"/>
      <c r="M285" s="35"/>
      <c r="N285" s="156"/>
    </row>
    <row r="286" spans="1:14" s="1" customFormat="1" ht="14.25" x14ac:dyDescent="0.2">
      <c r="A286" s="7"/>
      <c r="B286" s="7"/>
      <c r="C286" s="8"/>
      <c r="D286" s="9"/>
      <c r="E286" s="9"/>
      <c r="F286" s="9"/>
      <c r="G286" s="9"/>
      <c r="H286" s="9"/>
      <c r="I286" s="9"/>
      <c r="J286" s="35"/>
      <c r="K286" s="35"/>
      <c r="L286" s="35"/>
      <c r="M286" s="35"/>
      <c r="N286" s="156"/>
    </row>
    <row r="287" spans="1:14" s="2" customFormat="1" x14ac:dyDescent="0.25">
      <c r="A287" s="3"/>
      <c r="B287" s="3"/>
      <c r="C287" s="4" t="s">
        <v>96</v>
      </c>
      <c r="D287" s="5"/>
      <c r="E287" s="5"/>
      <c r="F287" s="5"/>
      <c r="G287" s="5"/>
      <c r="H287" s="5"/>
      <c r="I287" s="5"/>
      <c r="J287" s="27">
        <f>+K287-D287</f>
        <v>0</v>
      </c>
      <c r="K287" s="35"/>
      <c r="L287" s="34"/>
      <c r="M287" s="34"/>
      <c r="N287" s="155"/>
    </row>
    <row r="288" spans="1:14" s="2" customFormat="1" x14ac:dyDescent="0.25">
      <c r="A288" s="3"/>
      <c r="B288" s="3"/>
      <c r="C288" s="4" t="s">
        <v>97</v>
      </c>
      <c r="D288" s="5"/>
      <c r="E288" s="5"/>
      <c r="F288" s="5"/>
      <c r="G288" s="5"/>
      <c r="H288" s="5"/>
      <c r="I288" s="5"/>
      <c r="J288" s="27">
        <f>+K288-D288</f>
        <v>0</v>
      </c>
      <c r="K288" s="35"/>
      <c r="L288" s="34"/>
      <c r="M288" s="34"/>
      <c r="N288" s="155"/>
    </row>
    <row r="289" spans="1:14" s="2" customFormat="1" x14ac:dyDescent="0.25">
      <c r="A289" s="3"/>
      <c r="B289" s="3"/>
      <c r="C289" s="4" t="s">
        <v>148</v>
      </c>
      <c r="D289" s="5"/>
      <c r="E289" s="5"/>
      <c r="F289" s="5"/>
      <c r="G289" s="5"/>
      <c r="H289" s="5"/>
      <c r="I289" s="5"/>
      <c r="J289" s="27">
        <f>+K289-D289</f>
        <v>0</v>
      </c>
      <c r="K289" s="35"/>
      <c r="L289" s="34"/>
      <c r="M289" s="34"/>
      <c r="N289" s="155"/>
    </row>
    <row r="290" spans="1:14" s="2" customFormat="1" x14ac:dyDescent="0.25">
      <c r="A290" s="3"/>
      <c r="B290" s="3"/>
      <c r="C290" s="4" t="s">
        <v>149</v>
      </c>
      <c r="D290" s="5"/>
      <c r="E290" s="5"/>
      <c r="F290" s="5"/>
      <c r="G290" s="5"/>
      <c r="H290" s="5"/>
      <c r="I290" s="5"/>
      <c r="J290" s="27">
        <f>+K290-D290</f>
        <v>0</v>
      </c>
      <c r="K290" s="35"/>
      <c r="L290" s="34"/>
      <c r="M290" s="34"/>
      <c r="N290" s="155"/>
    </row>
    <row r="291" spans="1:14" s="1" customFormat="1" ht="14.25" x14ac:dyDescent="0.2">
      <c r="A291" s="7"/>
      <c r="B291" s="7"/>
      <c r="C291" s="8"/>
      <c r="D291" s="9"/>
      <c r="E291" s="9"/>
      <c r="F291" s="9"/>
      <c r="G291" s="9"/>
      <c r="H291" s="9"/>
      <c r="I291" s="9"/>
      <c r="J291" s="35"/>
      <c r="K291" s="35"/>
      <c r="L291" s="35"/>
      <c r="M291" s="35"/>
      <c r="N291" s="156"/>
    </row>
    <row r="292" spans="1:14" s="1" customFormat="1" ht="14.25" x14ac:dyDescent="0.2">
      <c r="A292" s="7" t="s">
        <v>798</v>
      </c>
      <c r="B292" s="7"/>
      <c r="C292" s="8" t="s">
        <v>150</v>
      </c>
      <c r="D292" s="9">
        <f>VLOOKUP(A292,fin,3,FALSE)</f>
        <v>0</v>
      </c>
      <c r="E292" s="9">
        <v>65927.72</v>
      </c>
      <c r="F292" s="9">
        <v>0</v>
      </c>
      <c r="G292" s="9">
        <v>401539.33</v>
      </c>
      <c r="H292" s="9">
        <v>933503.67</v>
      </c>
      <c r="I292" s="9">
        <v>30.07</v>
      </c>
      <c r="J292" s="27">
        <f>+K292-D292</f>
        <v>80000</v>
      </c>
      <c r="K292" s="35">
        <f>VLOOKUP(A292,fin,4,FALSE)</f>
        <v>80000</v>
      </c>
      <c r="L292" s="35">
        <f t="shared" ref="L292" si="86">K292*6.25/100+K292</f>
        <v>85000</v>
      </c>
      <c r="M292" s="35">
        <f>L292*7/100+L292</f>
        <v>90950</v>
      </c>
      <c r="N292" s="156">
        <f>M292*7/100+M292</f>
        <v>97316.5</v>
      </c>
    </row>
    <row r="293" spans="1:14" s="1" customFormat="1" ht="14.25" x14ac:dyDescent="0.2">
      <c r="A293" s="7"/>
      <c r="B293" s="7"/>
      <c r="C293" s="8"/>
      <c r="D293" s="9"/>
      <c r="E293" s="9"/>
      <c r="F293" s="9"/>
      <c r="G293" s="9"/>
      <c r="H293" s="9"/>
      <c r="I293" s="9"/>
      <c r="J293" s="35"/>
      <c r="K293" s="35"/>
      <c r="L293" s="35"/>
      <c r="M293" s="35"/>
      <c r="N293" s="156"/>
    </row>
    <row r="294" spans="1:14" s="2" customFormat="1" x14ac:dyDescent="0.25">
      <c r="A294" s="3"/>
      <c r="B294" s="3"/>
      <c r="C294" s="4" t="s">
        <v>165</v>
      </c>
      <c r="D294" s="5">
        <f>D292</f>
        <v>0</v>
      </c>
      <c r="E294" s="5">
        <f t="shared" ref="E294:N294" si="87">E292</f>
        <v>65927.72</v>
      </c>
      <c r="F294" s="5">
        <f t="shared" si="87"/>
        <v>0</v>
      </c>
      <c r="G294" s="5">
        <f t="shared" si="87"/>
        <v>401539.33</v>
      </c>
      <c r="H294" s="5">
        <f t="shared" si="87"/>
        <v>933503.67</v>
      </c>
      <c r="I294" s="5">
        <v>0</v>
      </c>
      <c r="J294" s="27">
        <f>+K294-D294</f>
        <v>80000</v>
      </c>
      <c r="K294" s="34">
        <f t="shared" si="87"/>
        <v>80000</v>
      </c>
      <c r="L294" s="34">
        <f t="shared" si="87"/>
        <v>85000</v>
      </c>
      <c r="M294" s="34">
        <f t="shared" si="87"/>
        <v>90950</v>
      </c>
      <c r="N294" s="34">
        <f t="shared" si="87"/>
        <v>97316.5</v>
      </c>
    </row>
    <row r="295" spans="1:14" s="2" customFormat="1" x14ac:dyDescent="0.25">
      <c r="A295" s="3"/>
      <c r="B295" s="3"/>
      <c r="C295" s="4"/>
      <c r="D295" s="5"/>
      <c r="E295" s="5"/>
      <c r="F295" s="5"/>
      <c r="G295" s="5"/>
      <c r="H295" s="5"/>
      <c r="I295" s="5"/>
      <c r="J295" s="35"/>
      <c r="K295" s="35"/>
      <c r="L295" s="34"/>
      <c r="M295" s="34"/>
      <c r="N295" s="155"/>
    </row>
    <row r="296" spans="1:14" s="2" customFormat="1" x14ac:dyDescent="0.25">
      <c r="A296" s="3"/>
      <c r="B296" s="3"/>
      <c r="C296" s="4" t="s">
        <v>166</v>
      </c>
      <c r="D296" s="5"/>
      <c r="E296" s="5"/>
      <c r="F296" s="5"/>
      <c r="G296" s="5"/>
      <c r="H296" s="5"/>
      <c r="I296" s="5"/>
      <c r="J296" s="27">
        <f>+K296-D296</f>
        <v>0</v>
      </c>
      <c r="K296" s="35"/>
      <c r="L296" s="34"/>
      <c r="M296" s="34"/>
      <c r="N296" s="155"/>
    </row>
    <row r="297" spans="1:14" s="1" customFormat="1" ht="14.25" x14ac:dyDescent="0.2">
      <c r="A297" s="7"/>
      <c r="B297" s="7"/>
      <c r="C297" s="8"/>
      <c r="D297" s="9"/>
      <c r="E297" s="9"/>
      <c r="F297" s="9"/>
      <c r="G297" s="9"/>
      <c r="H297" s="9"/>
      <c r="I297" s="9"/>
      <c r="J297" s="35"/>
      <c r="K297" s="35"/>
      <c r="L297" s="35"/>
      <c r="M297" s="35"/>
      <c r="N297" s="156"/>
    </row>
    <row r="298" spans="1:14" s="1" customFormat="1" ht="14.25" x14ac:dyDescent="0.2">
      <c r="A298" s="7" t="s">
        <v>799</v>
      </c>
      <c r="B298" s="7"/>
      <c r="C298" s="8" t="s">
        <v>168</v>
      </c>
      <c r="D298" s="9">
        <f>VLOOKUP(A298,fin,3,FALSE)</f>
        <v>0</v>
      </c>
      <c r="E298" s="9">
        <v>65927.72</v>
      </c>
      <c r="F298" s="9">
        <v>0</v>
      </c>
      <c r="G298" s="9">
        <v>401539.33</v>
      </c>
      <c r="H298" s="9">
        <v>933503.67</v>
      </c>
      <c r="I298" s="9">
        <v>30.07</v>
      </c>
      <c r="J298" s="27">
        <f>+K298-D298</f>
        <v>30000</v>
      </c>
      <c r="K298" s="35">
        <f>VLOOKUP(A298,fin,4,FALSE)</f>
        <v>30000</v>
      </c>
      <c r="L298" s="35">
        <f>K298*7/100+K298</f>
        <v>32100</v>
      </c>
      <c r="M298" s="35">
        <f>L298*7/100+L298</f>
        <v>34347</v>
      </c>
      <c r="N298" s="156">
        <f>M298*7/100+M298</f>
        <v>36751.29</v>
      </c>
    </row>
    <row r="299" spans="1:14" s="1" customFormat="1" ht="14.25" x14ac:dyDescent="0.2">
      <c r="A299" s="7"/>
      <c r="B299" s="7"/>
      <c r="C299" s="8"/>
      <c r="D299" s="9"/>
      <c r="E299" s="9"/>
      <c r="F299" s="9"/>
      <c r="G299" s="9"/>
      <c r="H299" s="9"/>
      <c r="I299" s="9"/>
      <c r="J299" s="35"/>
      <c r="K299" s="35"/>
      <c r="L299" s="35"/>
      <c r="M299" s="35"/>
      <c r="N299" s="156"/>
    </row>
    <row r="300" spans="1:14" s="2" customFormat="1" x14ac:dyDescent="0.25">
      <c r="A300" s="3"/>
      <c r="B300" s="3"/>
      <c r="C300" s="4" t="s">
        <v>171</v>
      </c>
      <c r="D300" s="5">
        <f>SUM(D298:D299)</f>
        <v>0</v>
      </c>
      <c r="E300" s="5">
        <f>SUM(E298:E299)</f>
        <v>65927.72</v>
      </c>
      <c r="F300" s="5">
        <f>SUM(F298:F299)</f>
        <v>0</v>
      </c>
      <c r="G300" s="5">
        <f>SUM(G298:G299)</f>
        <v>401539.33</v>
      </c>
      <c r="H300" s="5">
        <f>SUM(H298:H299)</f>
        <v>933503.67</v>
      </c>
      <c r="I300" s="5">
        <v>0</v>
      </c>
      <c r="J300" s="27">
        <f>+K300-D300</f>
        <v>30000</v>
      </c>
      <c r="K300" s="34">
        <f>SUM(K298:K299)</f>
        <v>30000</v>
      </c>
      <c r="L300" s="34">
        <f>SUM(L298:L299)</f>
        <v>32100</v>
      </c>
      <c r="M300" s="34">
        <f>SUM(M298:M299)</f>
        <v>34347</v>
      </c>
      <c r="N300" s="34">
        <f>SUM(N298:N299)</f>
        <v>36751.29</v>
      </c>
    </row>
    <row r="301" spans="1:14" s="1" customFormat="1" ht="14.25" x14ac:dyDescent="0.2">
      <c r="A301" s="7"/>
      <c r="B301" s="7"/>
      <c r="C301" s="8"/>
      <c r="D301" s="9"/>
      <c r="E301" s="9"/>
      <c r="F301" s="9"/>
      <c r="G301" s="9"/>
      <c r="H301" s="9"/>
      <c r="I301" s="9"/>
      <c r="J301" s="35"/>
      <c r="K301" s="35"/>
      <c r="L301" s="35"/>
      <c r="M301" s="35"/>
      <c r="N301" s="156"/>
    </row>
    <row r="302" spans="1:14" s="2" customFormat="1" x14ac:dyDescent="0.25">
      <c r="A302" s="3"/>
      <c r="B302" s="3"/>
      <c r="C302" s="4" t="s">
        <v>178</v>
      </c>
      <c r="D302" s="5">
        <f>D294+D300</f>
        <v>0</v>
      </c>
      <c r="E302" s="5">
        <f t="shared" ref="E302:N302" si="88">E294+E300</f>
        <v>131855.44</v>
      </c>
      <c r="F302" s="5">
        <f t="shared" si="88"/>
        <v>0</v>
      </c>
      <c r="G302" s="5">
        <f t="shared" si="88"/>
        <v>803078.66</v>
      </c>
      <c r="H302" s="5">
        <f t="shared" si="88"/>
        <v>1867007.34</v>
      </c>
      <c r="I302" s="5">
        <v>0</v>
      </c>
      <c r="J302" s="27">
        <f>+K302-D302</f>
        <v>110000</v>
      </c>
      <c r="K302" s="34">
        <f>K294+K300</f>
        <v>110000</v>
      </c>
      <c r="L302" s="34">
        <f t="shared" si="88"/>
        <v>117100</v>
      </c>
      <c r="M302" s="34">
        <f t="shared" si="88"/>
        <v>125297</v>
      </c>
      <c r="N302" s="34">
        <f t="shared" si="88"/>
        <v>134067.79</v>
      </c>
    </row>
    <row r="303" spans="1:14" s="1" customFormat="1" ht="14.25" x14ac:dyDescent="0.2">
      <c r="A303" s="7"/>
      <c r="B303" s="7"/>
      <c r="C303" s="8"/>
      <c r="D303" s="9"/>
      <c r="E303" s="9"/>
      <c r="F303" s="9"/>
      <c r="G303" s="9"/>
      <c r="H303" s="9"/>
      <c r="I303" s="9"/>
      <c r="J303" s="35"/>
      <c r="K303" s="35"/>
      <c r="L303" s="35"/>
      <c r="M303" s="35"/>
      <c r="N303" s="156"/>
    </row>
    <row r="304" spans="1:14" s="2" customFormat="1" x14ac:dyDescent="0.25">
      <c r="A304" s="3"/>
      <c r="B304" s="3"/>
      <c r="C304" s="4" t="s">
        <v>179</v>
      </c>
      <c r="D304" s="5"/>
      <c r="E304" s="5"/>
      <c r="F304" s="5"/>
      <c r="G304" s="5"/>
      <c r="H304" s="5"/>
      <c r="I304" s="5"/>
      <c r="J304" s="27">
        <f>+K304-D304</f>
        <v>0</v>
      </c>
      <c r="K304" s="35"/>
      <c r="L304" s="34"/>
      <c r="M304" s="34"/>
      <c r="N304" s="155"/>
    </row>
    <row r="305" spans="1:14" s="2" customFormat="1" x14ac:dyDescent="0.25">
      <c r="A305" s="3"/>
      <c r="B305" s="3"/>
      <c r="C305" s="4"/>
      <c r="D305" s="5"/>
      <c r="E305" s="5"/>
      <c r="F305" s="5"/>
      <c r="G305" s="5"/>
      <c r="H305" s="5"/>
      <c r="I305" s="5"/>
      <c r="J305" s="35"/>
      <c r="K305" s="35"/>
      <c r="L305" s="34"/>
      <c r="M305" s="34"/>
      <c r="N305" s="155"/>
    </row>
    <row r="306" spans="1:14" s="2" customFormat="1" x14ac:dyDescent="0.25">
      <c r="A306" s="3"/>
      <c r="B306" s="3"/>
      <c r="C306" s="4" t="s">
        <v>201</v>
      </c>
      <c r="D306" s="5"/>
      <c r="E306" s="5"/>
      <c r="F306" s="5"/>
      <c r="G306" s="5"/>
      <c r="H306" s="5"/>
      <c r="I306" s="5"/>
      <c r="J306" s="27">
        <f>+K306-D306</f>
        <v>0</v>
      </c>
      <c r="K306" s="35"/>
      <c r="L306" s="34"/>
      <c r="M306" s="34"/>
      <c r="N306" s="155"/>
    </row>
    <row r="307" spans="1:14" s="1" customFormat="1" ht="14.25" x14ac:dyDescent="0.2">
      <c r="A307" s="7"/>
      <c r="B307" s="7"/>
      <c r="C307" s="8"/>
      <c r="D307" s="9"/>
      <c r="E307" s="9"/>
      <c r="F307" s="9"/>
      <c r="G307" s="9"/>
      <c r="H307" s="9"/>
      <c r="I307" s="9"/>
      <c r="J307" s="35"/>
      <c r="K307" s="35"/>
      <c r="L307" s="35"/>
      <c r="M307" s="35"/>
      <c r="N307" s="156"/>
    </row>
    <row r="308" spans="1:14" s="1" customFormat="1" ht="14.25" x14ac:dyDescent="0.2">
      <c r="A308" s="7" t="s">
        <v>800</v>
      </c>
      <c r="B308" s="7"/>
      <c r="C308" s="8" t="s">
        <v>202</v>
      </c>
      <c r="D308" s="9">
        <f>VLOOKUP(A308,fin,3,FALSE)</f>
        <v>1611660</v>
      </c>
      <c r="E308" s="9">
        <v>65927.72</v>
      </c>
      <c r="F308" s="9">
        <v>0</v>
      </c>
      <c r="G308" s="9">
        <v>401539.33</v>
      </c>
      <c r="H308" s="9">
        <v>933503.67</v>
      </c>
      <c r="I308" s="9">
        <v>30.07</v>
      </c>
      <c r="J308" s="27">
        <f>+K308-D308</f>
        <v>0</v>
      </c>
      <c r="K308" s="35">
        <f>VLOOKUP(A308,fin,4,FALSE)</f>
        <v>1611660</v>
      </c>
      <c r="L308" s="35">
        <f t="shared" ref="L308:L310" si="89">K308*6.25/100+K308</f>
        <v>1712388.75</v>
      </c>
      <c r="M308" s="35">
        <f t="shared" ref="M308:N310" si="90">L308*7/100+L308</f>
        <v>1832255.9624999999</v>
      </c>
      <c r="N308" s="156">
        <f t="shared" si="90"/>
        <v>1960513.8798749999</v>
      </c>
    </row>
    <row r="309" spans="1:14" s="1" customFormat="1" ht="14.25" x14ac:dyDescent="0.2">
      <c r="A309" s="7" t="s">
        <v>801</v>
      </c>
      <c r="B309" s="7"/>
      <c r="C309" s="8" t="s">
        <v>203</v>
      </c>
      <c r="D309" s="9">
        <f>VLOOKUP(A309,fin,3,FALSE)</f>
        <v>4834979</v>
      </c>
      <c r="E309" s="9">
        <v>65927.72</v>
      </c>
      <c r="F309" s="9">
        <v>0</v>
      </c>
      <c r="G309" s="9">
        <v>401539.33</v>
      </c>
      <c r="H309" s="9">
        <v>933503.67</v>
      </c>
      <c r="I309" s="9">
        <v>30.07</v>
      </c>
      <c r="J309" s="27">
        <f>+K309-D309</f>
        <v>0</v>
      </c>
      <c r="K309" s="35">
        <f>VLOOKUP(A309,fin,4,FALSE)</f>
        <v>4834979</v>
      </c>
      <c r="L309" s="35">
        <f t="shared" si="89"/>
        <v>5137165.1875</v>
      </c>
      <c r="M309" s="35">
        <f t="shared" si="90"/>
        <v>5496766.7506250003</v>
      </c>
      <c r="N309" s="156">
        <f t="shared" si="90"/>
        <v>5881540.4231687505</v>
      </c>
    </row>
    <row r="310" spans="1:14" s="1" customFormat="1" ht="14.25" x14ac:dyDescent="0.2">
      <c r="A310" s="7" t="s">
        <v>802</v>
      </c>
      <c r="B310" s="7"/>
      <c r="C310" s="8" t="s">
        <v>204</v>
      </c>
      <c r="D310" s="9">
        <f>VLOOKUP(A310,fin,3,FALSE)</f>
        <v>1092684</v>
      </c>
      <c r="E310" s="9">
        <v>65927.72</v>
      </c>
      <c r="F310" s="9">
        <v>0</v>
      </c>
      <c r="G310" s="9">
        <v>401539.33</v>
      </c>
      <c r="H310" s="9">
        <v>933503.67</v>
      </c>
      <c r="I310" s="9">
        <v>30.07</v>
      </c>
      <c r="J310" s="27">
        <f>+K310-D310</f>
        <v>0</v>
      </c>
      <c r="K310" s="35">
        <f>VLOOKUP(A310,fin,4,FALSE)</f>
        <v>1092684</v>
      </c>
      <c r="L310" s="35">
        <f t="shared" si="89"/>
        <v>1160976.75</v>
      </c>
      <c r="M310" s="35">
        <f t="shared" si="90"/>
        <v>1242245.1225000001</v>
      </c>
      <c r="N310" s="156">
        <f t="shared" si="90"/>
        <v>1329202.2810750001</v>
      </c>
    </row>
    <row r="311" spans="1:14" s="1" customFormat="1" ht="14.25" x14ac:dyDescent="0.2">
      <c r="A311" s="7"/>
      <c r="B311" s="7"/>
      <c r="C311" s="8"/>
      <c r="D311" s="9"/>
      <c r="E311" s="9"/>
      <c r="F311" s="9"/>
      <c r="G311" s="9"/>
      <c r="H311" s="9"/>
      <c r="I311" s="9"/>
      <c r="J311" s="35"/>
      <c r="K311" s="35"/>
      <c r="L311" s="35"/>
      <c r="M311" s="35"/>
      <c r="N311" s="156"/>
    </row>
    <row r="312" spans="1:14" s="2" customFormat="1" x14ac:dyDescent="0.25">
      <c r="A312" s="3"/>
      <c r="B312" s="3"/>
      <c r="C312" s="4" t="s">
        <v>205</v>
      </c>
      <c r="D312" s="5">
        <f>SUM(D308:D311)</f>
        <v>7539323</v>
      </c>
      <c r="E312" s="5">
        <f>SUM(E308:E311)</f>
        <v>197783.16</v>
      </c>
      <c r="F312" s="5">
        <f>SUM(F308:F311)</f>
        <v>0</v>
      </c>
      <c r="G312" s="5">
        <f>SUM(G308:G311)</f>
        <v>1204617.99</v>
      </c>
      <c r="H312" s="5">
        <f>SUM(H308:H311)</f>
        <v>2800511.0100000002</v>
      </c>
      <c r="I312" s="5">
        <v>47.24</v>
      </c>
      <c r="J312" s="27">
        <f>+K312-D312</f>
        <v>0</v>
      </c>
      <c r="K312" s="34">
        <f>SUM(K308:K311)</f>
        <v>7539323</v>
      </c>
      <c r="L312" s="34">
        <f>SUM(L308:L311)</f>
        <v>8010530.6875</v>
      </c>
      <c r="M312" s="34">
        <f>SUM(M308:M311)</f>
        <v>8571267.8356250003</v>
      </c>
      <c r="N312" s="34">
        <f>SUM(N308:N311)</f>
        <v>9171256.5841187499</v>
      </c>
    </row>
    <row r="313" spans="1:14" s="2" customFormat="1" x14ac:dyDescent="0.25">
      <c r="A313" s="3"/>
      <c r="B313" s="3"/>
      <c r="C313" s="4"/>
      <c r="D313" s="5"/>
      <c r="E313" s="5"/>
      <c r="F313" s="5"/>
      <c r="G313" s="5"/>
      <c r="H313" s="5"/>
      <c r="I313" s="5"/>
      <c r="J313" s="35"/>
      <c r="K313" s="34"/>
      <c r="L313" s="34"/>
      <c r="M313" s="34"/>
      <c r="N313" s="155"/>
    </row>
    <row r="314" spans="1:14" s="2" customFormat="1" x14ac:dyDescent="0.25">
      <c r="A314" s="3"/>
      <c r="B314" s="3"/>
      <c r="C314" s="4" t="s">
        <v>206</v>
      </c>
      <c r="D314" s="5">
        <f>D312</f>
        <v>7539323</v>
      </c>
      <c r="E314" s="5">
        <f t="shared" ref="E314:N314" si="91">E312</f>
        <v>197783.16</v>
      </c>
      <c r="F314" s="5">
        <f t="shared" si="91"/>
        <v>0</v>
      </c>
      <c r="G314" s="5">
        <f t="shared" si="91"/>
        <v>1204617.99</v>
      </c>
      <c r="H314" s="5">
        <f t="shared" si="91"/>
        <v>2800511.0100000002</v>
      </c>
      <c r="I314" s="5">
        <v>47.24</v>
      </c>
      <c r="J314" s="27">
        <f>+K314-D314</f>
        <v>0</v>
      </c>
      <c r="K314" s="34">
        <f t="shared" si="91"/>
        <v>7539323</v>
      </c>
      <c r="L314" s="34">
        <f t="shared" si="91"/>
        <v>8010530.6875</v>
      </c>
      <c r="M314" s="34">
        <f t="shared" si="91"/>
        <v>8571267.8356250003</v>
      </c>
      <c r="N314" s="34">
        <f t="shared" si="91"/>
        <v>9171256.5841187499</v>
      </c>
    </row>
    <row r="315" spans="1:14" s="2" customFormat="1" x14ac:dyDescent="0.25">
      <c r="A315" s="3"/>
      <c r="B315" s="3"/>
      <c r="C315" s="4"/>
      <c r="D315" s="5"/>
      <c r="E315" s="5"/>
      <c r="F315" s="5"/>
      <c r="G315" s="5"/>
      <c r="H315" s="5"/>
      <c r="I315" s="5"/>
      <c r="J315" s="35"/>
      <c r="K315" s="34"/>
      <c r="L315" s="34"/>
      <c r="M315" s="34"/>
      <c r="N315" s="155"/>
    </row>
    <row r="316" spans="1:14" s="2" customFormat="1" x14ac:dyDescent="0.25">
      <c r="A316" s="3"/>
      <c r="B316" s="3"/>
      <c r="C316" s="4" t="s">
        <v>207</v>
      </c>
      <c r="D316" s="5">
        <f>D314</f>
        <v>7539323</v>
      </c>
      <c r="E316" s="5">
        <f t="shared" ref="E316:N316" si="92">E314</f>
        <v>197783.16</v>
      </c>
      <c r="F316" s="5">
        <f t="shared" si="92"/>
        <v>0</v>
      </c>
      <c r="G316" s="5">
        <f t="shared" si="92"/>
        <v>1204617.99</v>
      </c>
      <c r="H316" s="5">
        <f t="shared" si="92"/>
        <v>2800511.0100000002</v>
      </c>
      <c r="I316" s="5">
        <v>47.24</v>
      </c>
      <c r="J316" s="27">
        <f>+K316-D316</f>
        <v>0</v>
      </c>
      <c r="K316" s="34">
        <f t="shared" si="92"/>
        <v>7539323</v>
      </c>
      <c r="L316" s="34">
        <f t="shared" si="92"/>
        <v>8010530.6875</v>
      </c>
      <c r="M316" s="34">
        <f t="shared" si="92"/>
        <v>8571267.8356250003</v>
      </c>
      <c r="N316" s="34">
        <f t="shared" si="92"/>
        <v>9171256.5841187499</v>
      </c>
    </row>
    <row r="317" spans="1:14" s="1" customFormat="1" ht="14.25" x14ac:dyDescent="0.2">
      <c r="A317" s="7"/>
      <c r="B317" s="7"/>
      <c r="C317" s="8"/>
      <c r="D317" s="9"/>
      <c r="E317" s="9"/>
      <c r="F317" s="9"/>
      <c r="G317" s="9"/>
      <c r="H317" s="9"/>
      <c r="I317" s="9"/>
      <c r="J317" s="35"/>
      <c r="K317" s="35"/>
      <c r="L317" s="35"/>
      <c r="M317" s="35"/>
      <c r="N317" s="156"/>
    </row>
    <row r="318" spans="1:14" s="2" customFormat="1" x14ac:dyDescent="0.25">
      <c r="A318" s="3"/>
      <c r="B318" s="3"/>
      <c r="C318" s="4" t="s">
        <v>241</v>
      </c>
      <c r="D318" s="5"/>
      <c r="E318" s="5"/>
      <c r="F318" s="5"/>
      <c r="G318" s="5"/>
      <c r="H318" s="5"/>
      <c r="I318" s="5"/>
      <c r="J318" s="27">
        <f>+K318-D318</f>
        <v>0</v>
      </c>
      <c r="K318" s="35"/>
      <c r="L318" s="34"/>
      <c r="M318" s="34"/>
      <c r="N318" s="155"/>
    </row>
    <row r="319" spans="1:14" s="1" customFormat="1" ht="14.25" x14ac:dyDescent="0.2">
      <c r="A319" s="7"/>
      <c r="B319" s="7"/>
      <c r="C319" s="8"/>
      <c r="D319" s="9"/>
      <c r="E319" s="9"/>
      <c r="F319" s="9"/>
      <c r="G319" s="9"/>
      <c r="H319" s="9"/>
      <c r="I319" s="9"/>
      <c r="J319" s="35"/>
      <c r="K319" s="35"/>
      <c r="L319" s="35"/>
      <c r="M319" s="35"/>
      <c r="N319" s="156"/>
    </row>
    <row r="320" spans="1:14" s="1" customFormat="1" ht="14.25" x14ac:dyDescent="0.2">
      <c r="A320" s="7" t="s">
        <v>803</v>
      </c>
      <c r="B320" s="7"/>
      <c r="C320" s="8" t="s">
        <v>265</v>
      </c>
      <c r="D320" s="9">
        <f>VLOOKUP(A320,fin,3,FALSE)</f>
        <v>26435</v>
      </c>
      <c r="E320" s="9">
        <v>65927.72</v>
      </c>
      <c r="F320" s="9">
        <v>0</v>
      </c>
      <c r="G320" s="9">
        <v>401539.33</v>
      </c>
      <c r="H320" s="9">
        <v>933503.67</v>
      </c>
      <c r="I320" s="9">
        <v>30.07</v>
      </c>
      <c r="J320" s="27">
        <f>+K320-D320</f>
        <v>1565</v>
      </c>
      <c r="K320" s="35">
        <f>VLOOKUP(A320,fin,4,FALSE)</f>
        <v>28000</v>
      </c>
      <c r="L320" s="35">
        <f t="shared" ref="L320:L322" si="93">K320*4.5/100+K320</f>
        <v>29260</v>
      </c>
      <c r="M320" s="35">
        <f t="shared" ref="M320:N320" si="94">L320*4.6/100+L320</f>
        <v>30605.96</v>
      </c>
      <c r="N320" s="156">
        <f t="shared" si="94"/>
        <v>32013.834159999999</v>
      </c>
    </row>
    <row r="321" spans="1:14" s="1" customFormat="1" ht="14.25" x14ac:dyDescent="0.2">
      <c r="A321" s="7" t="s">
        <v>804</v>
      </c>
      <c r="B321" s="7"/>
      <c r="C321" s="8" t="s">
        <v>268</v>
      </c>
      <c r="D321" s="9">
        <f>VLOOKUP(A321,fin,3,FALSE)</f>
        <v>744098</v>
      </c>
      <c r="E321" s="9">
        <v>65927.72</v>
      </c>
      <c r="F321" s="9">
        <v>0</v>
      </c>
      <c r="G321" s="9">
        <v>401539.33</v>
      </c>
      <c r="H321" s="9">
        <v>933503.67</v>
      </c>
      <c r="I321" s="9">
        <v>30.07</v>
      </c>
      <c r="J321" s="27">
        <f>+K321-D321</f>
        <v>0</v>
      </c>
      <c r="K321" s="35">
        <f>VLOOKUP(A321,fin,4,FALSE)</f>
        <v>744098</v>
      </c>
      <c r="L321" s="35">
        <f t="shared" si="93"/>
        <v>777582.41</v>
      </c>
      <c r="M321" s="35">
        <f t="shared" ref="M321:N321" si="95">L321*4.6/100+L321</f>
        <v>813351.20085999998</v>
      </c>
      <c r="N321" s="156">
        <f t="shared" si="95"/>
        <v>850765.35609955993</v>
      </c>
    </row>
    <row r="322" spans="1:14" s="1" customFormat="1" ht="14.25" x14ac:dyDescent="0.2">
      <c r="A322" s="7" t="s">
        <v>805</v>
      </c>
      <c r="B322" s="7"/>
      <c r="C322" s="8" t="s">
        <v>269</v>
      </c>
      <c r="D322" s="9">
        <f>VLOOKUP(A322,fin,3,FALSE)</f>
        <v>400000</v>
      </c>
      <c r="E322" s="9">
        <v>65927.72</v>
      </c>
      <c r="F322" s="9">
        <v>0</v>
      </c>
      <c r="G322" s="9">
        <v>401539.33</v>
      </c>
      <c r="H322" s="9">
        <v>933503.67</v>
      </c>
      <c r="I322" s="9">
        <v>30.07</v>
      </c>
      <c r="J322" s="27">
        <f>+K322-D322</f>
        <v>-300000</v>
      </c>
      <c r="K322" s="35">
        <f>VLOOKUP(A322,fin,4,FALSE)</f>
        <v>100000</v>
      </c>
      <c r="L322" s="35">
        <f t="shared" si="93"/>
        <v>104500</v>
      </c>
      <c r="M322" s="35">
        <f t="shared" ref="M322:N322" si="96">L322*4.6/100+L322</f>
        <v>109307</v>
      </c>
      <c r="N322" s="156">
        <f t="shared" si="96"/>
        <v>114335.122</v>
      </c>
    </row>
    <row r="323" spans="1:14" s="1" customFormat="1" ht="14.25" x14ac:dyDescent="0.2">
      <c r="A323" s="7"/>
      <c r="B323" s="7"/>
      <c r="C323" s="8"/>
      <c r="D323" s="9"/>
      <c r="E323" s="9"/>
      <c r="F323" s="9"/>
      <c r="G323" s="9"/>
      <c r="H323" s="9"/>
      <c r="I323" s="9"/>
      <c r="J323" s="35"/>
      <c r="K323" s="35"/>
      <c r="L323" s="35"/>
      <c r="M323" s="35"/>
      <c r="N323" s="156"/>
    </row>
    <row r="324" spans="1:14" s="2" customFormat="1" x14ac:dyDescent="0.25">
      <c r="A324" s="3"/>
      <c r="B324" s="3"/>
      <c r="C324" s="4" t="s">
        <v>274</v>
      </c>
      <c r="D324" s="5">
        <f>SUM(D320:D323)</f>
        <v>1170533</v>
      </c>
      <c r="E324" s="5">
        <f>SUM(E320:E323)</f>
        <v>197783.16</v>
      </c>
      <c r="F324" s="5">
        <f>SUM(F320:F323)</f>
        <v>0</v>
      </c>
      <c r="G324" s="5">
        <f>SUM(G320:G323)</f>
        <v>1204617.99</v>
      </c>
      <c r="H324" s="5">
        <f>SUM(H320:H323)</f>
        <v>2800511.0100000002</v>
      </c>
      <c r="I324" s="5">
        <v>56.1</v>
      </c>
      <c r="J324" s="27">
        <f>+K324-D324</f>
        <v>-298435</v>
      </c>
      <c r="K324" s="34">
        <f>SUM(K320:K323)</f>
        <v>872098</v>
      </c>
      <c r="L324" s="34">
        <f>SUM(L320:L323)</f>
        <v>911342.41</v>
      </c>
      <c r="M324" s="34">
        <f>SUM(M320:M323)</f>
        <v>953264.16085999995</v>
      </c>
      <c r="N324" s="34">
        <f>SUM(N320:N323)</f>
        <v>997114.31225955987</v>
      </c>
    </row>
    <row r="325" spans="1:14" s="2" customFormat="1" x14ac:dyDescent="0.25">
      <c r="A325" s="3"/>
      <c r="B325" s="3"/>
      <c r="C325" s="4"/>
      <c r="D325" s="5"/>
      <c r="E325" s="5"/>
      <c r="F325" s="5"/>
      <c r="G325" s="5"/>
      <c r="H325" s="5"/>
      <c r="I325" s="5"/>
      <c r="J325" s="35"/>
      <c r="K325" s="34"/>
      <c r="L325" s="34"/>
      <c r="M325" s="34"/>
      <c r="N325" s="155"/>
    </row>
    <row r="326" spans="1:14" s="2" customFormat="1" x14ac:dyDescent="0.25">
      <c r="A326" s="3"/>
      <c r="B326" s="3"/>
      <c r="C326" s="4" t="s">
        <v>305</v>
      </c>
      <c r="D326" s="5">
        <f>D302+D316+D324</f>
        <v>8709856</v>
      </c>
      <c r="E326" s="5">
        <f t="shared" ref="E326:N326" si="97">E302+E316+E324</f>
        <v>527421.76</v>
      </c>
      <c r="F326" s="5">
        <f t="shared" si="97"/>
        <v>0</v>
      </c>
      <c r="G326" s="5">
        <f t="shared" si="97"/>
        <v>3212314.6399999997</v>
      </c>
      <c r="H326" s="5">
        <f t="shared" si="97"/>
        <v>7468029.3600000013</v>
      </c>
      <c r="I326" s="5">
        <f t="shared" si="97"/>
        <v>103.34</v>
      </c>
      <c r="J326" s="5">
        <f t="shared" si="97"/>
        <v>-188435</v>
      </c>
      <c r="K326" s="5">
        <f t="shared" si="97"/>
        <v>8521421</v>
      </c>
      <c r="L326" s="5">
        <f t="shared" si="97"/>
        <v>9038973.0975000001</v>
      </c>
      <c r="M326" s="5">
        <f t="shared" si="97"/>
        <v>9649828.9964850005</v>
      </c>
      <c r="N326" s="5">
        <f t="shared" si="97"/>
        <v>10302438.68637831</v>
      </c>
    </row>
    <row r="327" spans="1:14" s="2" customFormat="1" x14ac:dyDescent="0.25">
      <c r="A327" s="3"/>
      <c r="B327" s="3"/>
      <c r="C327" s="4"/>
      <c r="D327" s="5"/>
      <c r="E327" s="5"/>
      <c r="F327" s="5"/>
      <c r="G327" s="5"/>
      <c r="H327" s="5"/>
      <c r="I327" s="5"/>
      <c r="J327" s="35"/>
      <c r="K327" s="34"/>
      <c r="L327" s="34"/>
      <c r="M327" s="34"/>
      <c r="N327" s="155"/>
    </row>
    <row r="328" spans="1:14" s="2" customFormat="1" x14ac:dyDescent="0.25">
      <c r="A328" s="3"/>
      <c r="B328" s="3"/>
      <c r="C328" s="4" t="s">
        <v>306</v>
      </c>
      <c r="D328" s="5">
        <f>D326</f>
        <v>8709856</v>
      </c>
      <c r="E328" s="5">
        <f t="shared" ref="E328:N328" si="98">E326</f>
        <v>527421.76</v>
      </c>
      <c r="F328" s="5">
        <f t="shared" si="98"/>
        <v>0</v>
      </c>
      <c r="G328" s="5">
        <f t="shared" si="98"/>
        <v>3212314.6399999997</v>
      </c>
      <c r="H328" s="5">
        <f t="shared" si="98"/>
        <v>7468029.3600000013</v>
      </c>
      <c r="I328" s="5">
        <f t="shared" si="98"/>
        <v>103.34</v>
      </c>
      <c r="J328" s="5">
        <f t="shared" si="98"/>
        <v>-188435</v>
      </c>
      <c r="K328" s="5">
        <f t="shared" si="98"/>
        <v>8521421</v>
      </c>
      <c r="L328" s="5">
        <f t="shared" si="98"/>
        <v>9038973.0975000001</v>
      </c>
      <c r="M328" s="5">
        <f t="shared" si="98"/>
        <v>9649828.9964850005</v>
      </c>
      <c r="N328" s="5">
        <f t="shared" si="98"/>
        <v>10302438.68637831</v>
      </c>
    </row>
    <row r="329" spans="1:14" s="1" customFormat="1" ht="14.25" x14ac:dyDescent="0.2">
      <c r="A329" s="7"/>
      <c r="B329" s="7"/>
      <c r="C329" s="8"/>
      <c r="D329" s="9"/>
      <c r="E329" s="9"/>
      <c r="F329" s="9"/>
      <c r="G329" s="9"/>
      <c r="H329" s="9"/>
      <c r="I329" s="9"/>
      <c r="J329" s="35"/>
      <c r="K329" s="35"/>
      <c r="L329" s="35"/>
      <c r="M329" s="35"/>
      <c r="N329" s="156"/>
    </row>
    <row r="330" spans="1:14" x14ac:dyDescent="0.25">
      <c r="C330" s="24" t="s">
        <v>3038</v>
      </c>
    </row>
    <row r="331" spans="1:14" x14ac:dyDescent="0.25">
      <c r="C331" s="24" t="s">
        <v>3052</v>
      </c>
      <c r="D331" s="225">
        <f>D94+D118+D181+D231+D281+D326</f>
        <v>19907403</v>
      </c>
      <c r="E331" s="225">
        <f t="shared" ref="E331:N331" si="99">E94+E118+E181+E231+E281+E326</f>
        <v>5999422.5199999996</v>
      </c>
      <c r="F331" s="225">
        <f t="shared" si="99"/>
        <v>0</v>
      </c>
      <c r="G331" s="225">
        <f t="shared" si="99"/>
        <v>36540079.030000001</v>
      </c>
      <c r="H331" s="225">
        <f t="shared" si="99"/>
        <v>84948833.970000014</v>
      </c>
      <c r="I331" s="225">
        <f t="shared" si="99"/>
        <v>453.05000000000007</v>
      </c>
      <c r="J331" s="225">
        <f t="shared" si="99"/>
        <v>-77207.040000000503</v>
      </c>
      <c r="K331" s="225">
        <f t="shared" si="99"/>
        <v>19830195.960000001</v>
      </c>
      <c r="L331" s="225">
        <f t="shared" si="99"/>
        <v>21018778.755000003</v>
      </c>
      <c r="M331" s="225">
        <f t="shared" si="99"/>
        <v>22417039.05821</v>
      </c>
      <c r="N331" s="225">
        <f t="shared" si="99"/>
        <v>23909829.96900126</v>
      </c>
    </row>
    <row r="332" spans="1:14" x14ac:dyDescent="0.25">
      <c r="C332" s="24" t="s">
        <v>3053</v>
      </c>
    </row>
  </sheetData>
  <autoFilter ref="A1:M329"/>
  <pageMargins left="0.7" right="0.7" top="0.75" bottom="0.75" header="0.3" footer="0.3"/>
  <pageSetup paperSize="9" scale="62" orientation="landscape" horizontalDpi="4294967293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519"/>
  <sheetViews>
    <sheetView zoomScaleNormal="100" workbookViewId="0">
      <pane xSplit="3" ySplit="1" topLeftCell="D241" activePane="bottomRight" state="frozen"/>
      <selection pane="topRight" activeCell="D1" sqref="D1"/>
      <selection pane="bottomLeft" activeCell="A2" sqref="A2"/>
      <selection pane="bottomRight" activeCell="B250" sqref="B250"/>
    </sheetView>
  </sheetViews>
  <sheetFormatPr defaultColWidth="9.140625" defaultRowHeight="15" x14ac:dyDescent="0.25"/>
  <cols>
    <col min="1" max="1" width="26.42578125" style="30" customWidth="1"/>
    <col min="2" max="2" width="23.28515625" style="30" customWidth="1"/>
    <col min="3" max="3" width="56.42578125" style="30" bestFit="1" customWidth="1"/>
    <col min="4" max="4" width="14.42578125" style="76" customWidth="1"/>
    <col min="5" max="5" width="13.28515625" style="76" hidden="1" customWidth="1"/>
    <col min="6" max="6" width="14.85546875" style="76" hidden="1" customWidth="1"/>
    <col min="7" max="7" width="14.42578125" style="76" hidden="1" customWidth="1"/>
    <col min="8" max="8" width="13.28515625" style="76" hidden="1" customWidth="1"/>
    <col min="9" max="9" width="7.28515625" style="76" hidden="1" customWidth="1"/>
    <col min="10" max="10" width="13.5703125" style="76" hidden="1" customWidth="1"/>
    <col min="11" max="11" width="14.7109375" style="76" bestFit="1" customWidth="1"/>
    <col min="12" max="13" width="14.85546875" style="76" bestFit="1" customWidth="1"/>
    <col min="14" max="14" width="17.7109375" style="136" bestFit="1" customWidth="1"/>
    <col min="15" max="16384" width="9.140625" style="30"/>
  </cols>
  <sheetData>
    <row r="1" spans="1:14" s="24" customFormat="1" ht="60.75" thickBot="1" x14ac:dyDescent="0.3">
      <c r="A1" s="20" t="s">
        <v>0</v>
      </c>
      <c r="B1" s="20" t="s">
        <v>1356</v>
      </c>
      <c r="C1" s="21" t="s">
        <v>1</v>
      </c>
      <c r="D1" s="22" t="s">
        <v>2</v>
      </c>
      <c r="E1" s="142" t="s">
        <v>3</v>
      </c>
      <c r="F1" s="22" t="s">
        <v>4</v>
      </c>
      <c r="G1" s="142" t="s">
        <v>5</v>
      </c>
      <c r="H1" s="142" t="s">
        <v>6</v>
      </c>
      <c r="I1" s="22" t="s">
        <v>7</v>
      </c>
      <c r="J1" s="22" t="s">
        <v>1322</v>
      </c>
      <c r="K1" s="154" t="s">
        <v>3012</v>
      </c>
      <c r="L1" s="41" t="s">
        <v>3013</v>
      </c>
      <c r="M1" s="137" t="s">
        <v>3014</v>
      </c>
      <c r="N1" s="131" t="s">
        <v>3015</v>
      </c>
    </row>
    <row r="2" spans="1:14" s="24" customFormat="1" x14ac:dyDescent="0.25">
      <c r="A2" s="20"/>
      <c r="B2" s="20"/>
      <c r="C2" s="21"/>
      <c r="D2" s="22"/>
      <c r="E2" s="142"/>
      <c r="F2" s="22"/>
      <c r="G2" s="142"/>
      <c r="H2" s="142"/>
      <c r="I2" s="22"/>
      <c r="J2" s="22"/>
      <c r="K2" s="142"/>
      <c r="L2" s="142"/>
      <c r="M2" s="138"/>
      <c r="N2" s="132"/>
    </row>
    <row r="3" spans="1:14" s="24" customFormat="1" x14ac:dyDescent="0.25">
      <c r="A3" s="20"/>
      <c r="B3" s="20"/>
      <c r="C3" s="21" t="s">
        <v>806</v>
      </c>
      <c r="D3" s="22"/>
      <c r="E3" s="22"/>
      <c r="F3" s="22"/>
      <c r="G3" s="22"/>
      <c r="H3" s="22"/>
      <c r="I3" s="22"/>
      <c r="J3" s="22"/>
      <c r="K3" s="22"/>
      <c r="L3" s="22"/>
      <c r="M3" s="134"/>
      <c r="N3" s="132"/>
    </row>
    <row r="4" spans="1:14" s="24" customFormat="1" x14ac:dyDescent="0.25">
      <c r="A4" s="20"/>
      <c r="B4" s="20"/>
      <c r="C4" s="21" t="s">
        <v>9</v>
      </c>
      <c r="D4" s="22"/>
      <c r="E4" s="22"/>
      <c r="F4" s="22"/>
      <c r="G4" s="22"/>
      <c r="H4" s="22"/>
      <c r="I4" s="22"/>
      <c r="J4" s="22"/>
      <c r="K4" s="22"/>
      <c r="L4" s="22"/>
      <c r="M4" s="134"/>
      <c r="N4" s="132"/>
    </row>
    <row r="5" spans="1:14" s="24" customFormat="1" x14ac:dyDescent="0.25">
      <c r="A5" s="20"/>
      <c r="B5" s="20"/>
      <c r="C5" s="21" t="s">
        <v>10</v>
      </c>
      <c r="D5" s="22"/>
      <c r="E5" s="22"/>
      <c r="F5" s="22"/>
      <c r="G5" s="22"/>
      <c r="H5" s="22"/>
      <c r="I5" s="22"/>
      <c r="J5" s="22"/>
      <c r="K5" s="22"/>
      <c r="L5" s="22"/>
      <c r="M5" s="134"/>
      <c r="N5" s="132"/>
    </row>
    <row r="6" spans="1:14" s="24" customFormat="1" x14ac:dyDescent="0.25">
      <c r="A6" s="20"/>
      <c r="B6" s="20"/>
      <c r="C6" s="21" t="s">
        <v>11</v>
      </c>
      <c r="D6" s="22"/>
      <c r="E6" s="22"/>
      <c r="F6" s="22"/>
      <c r="G6" s="22"/>
      <c r="H6" s="22"/>
      <c r="I6" s="22"/>
      <c r="J6" s="22"/>
      <c r="K6" s="22"/>
      <c r="L6" s="22"/>
      <c r="M6" s="134"/>
      <c r="N6" s="132"/>
    </row>
    <row r="7" spans="1:14" s="28" customFormat="1" ht="14.25" x14ac:dyDescent="0.2">
      <c r="A7" s="25"/>
      <c r="B7" s="25"/>
      <c r="C7" s="26"/>
      <c r="D7" s="27"/>
      <c r="E7" s="27"/>
      <c r="F7" s="27"/>
      <c r="G7" s="27"/>
      <c r="H7" s="27"/>
      <c r="I7" s="27"/>
      <c r="J7" s="27"/>
      <c r="K7" s="27"/>
      <c r="L7" s="27"/>
      <c r="M7" s="107"/>
      <c r="N7" s="133"/>
    </row>
    <row r="8" spans="1:14" s="28" customFormat="1" ht="14.25" x14ac:dyDescent="0.2">
      <c r="A8" s="25" t="s">
        <v>807</v>
      </c>
      <c r="B8" s="25"/>
      <c r="C8" s="26" t="s">
        <v>12</v>
      </c>
      <c r="D8" s="27">
        <f>'Revenue per source'!C8</f>
        <v>-1411279</v>
      </c>
      <c r="E8" s="27">
        <f>'Revenue per source'!D8</f>
        <v>-141346.4</v>
      </c>
      <c r="F8" s="27">
        <f>'Revenue per source'!E8</f>
        <v>0</v>
      </c>
      <c r="G8" s="27">
        <f>'Revenue per source'!F8</f>
        <v>-848078.4</v>
      </c>
      <c r="H8" s="27">
        <f>'Revenue per source'!G8</f>
        <v>-563200.6</v>
      </c>
      <c r="I8" s="27">
        <f>'Revenue per source'!H8</f>
        <v>60.09</v>
      </c>
      <c r="J8" s="27">
        <f>'Revenue per source'!I8</f>
        <v>0</v>
      </c>
      <c r="K8" s="27">
        <f>'Revenue per source'!J8</f>
        <v>-1696156</v>
      </c>
      <c r="L8" s="27">
        <f>'Revenue per source'!K8</f>
        <v>-1772483.02</v>
      </c>
      <c r="M8" s="27">
        <f>'Revenue per source'!L8</f>
        <v>-1854017.2389199999</v>
      </c>
      <c r="N8" s="27">
        <f>'Revenue per source'!M8</f>
        <v>-1939302.0319103198</v>
      </c>
    </row>
    <row r="9" spans="1:14" s="28" customFormat="1" ht="14.25" x14ac:dyDescent="0.2">
      <c r="A9" s="25" t="s">
        <v>808</v>
      </c>
      <c r="B9" s="25"/>
      <c r="C9" s="26" t="s">
        <v>13</v>
      </c>
      <c r="D9" s="27">
        <f>'Revenue per source'!C9</f>
        <v>0</v>
      </c>
      <c r="E9" s="27">
        <v>-141346.4</v>
      </c>
      <c r="F9" s="27">
        <v>0</v>
      </c>
      <c r="G9" s="27">
        <v>-848078.4</v>
      </c>
      <c r="H9" s="27">
        <v>-563200.6</v>
      </c>
      <c r="I9" s="27">
        <v>60.09</v>
      </c>
      <c r="J9" s="27">
        <f t="shared" ref="J9:J17" si="0">+K9-D9</f>
        <v>-5496279</v>
      </c>
      <c r="K9" s="27">
        <f>'Revenue per source'!J9</f>
        <v>-5496279</v>
      </c>
      <c r="L9" s="27">
        <f>'Revenue per source'!K9</f>
        <v>-5743611.5549999997</v>
      </c>
      <c r="M9" s="27">
        <f>'Revenue per source'!L9</f>
        <v>-6007817.6865299996</v>
      </c>
      <c r="N9" s="27">
        <f>'Revenue per source'!M9</f>
        <v>-6284177.3001103792</v>
      </c>
    </row>
    <row r="10" spans="1:14" s="28" customFormat="1" ht="14.25" x14ac:dyDescent="0.2">
      <c r="A10" s="25" t="s">
        <v>809</v>
      </c>
      <c r="B10" s="25"/>
      <c r="C10" s="26" t="s">
        <v>14</v>
      </c>
      <c r="D10" s="27">
        <f>'Revenue per source'!C10</f>
        <v>-7880</v>
      </c>
      <c r="E10" s="27">
        <v>-141346.4</v>
      </c>
      <c r="F10" s="27">
        <v>0</v>
      </c>
      <c r="G10" s="27">
        <v>-848078.4</v>
      </c>
      <c r="H10" s="27">
        <v>-563200.6</v>
      </c>
      <c r="I10" s="27">
        <v>60.09</v>
      </c>
      <c r="J10" s="27">
        <f t="shared" si="0"/>
        <v>7880</v>
      </c>
      <c r="K10" s="27">
        <f>'Revenue per source'!J10</f>
        <v>0</v>
      </c>
      <c r="L10" s="27">
        <f>'Revenue per source'!K10</f>
        <v>0</v>
      </c>
      <c r="M10" s="27">
        <f>'Revenue per source'!L10</f>
        <v>0</v>
      </c>
      <c r="N10" s="27">
        <f>'Revenue per source'!M10</f>
        <v>0</v>
      </c>
    </row>
    <row r="11" spans="1:14" s="28" customFormat="1" ht="14.25" x14ac:dyDescent="0.2">
      <c r="A11" s="25" t="s">
        <v>810</v>
      </c>
      <c r="B11" s="25"/>
      <c r="C11" s="26" t="s">
        <v>15</v>
      </c>
      <c r="D11" s="27">
        <f>'Revenue per source'!C11</f>
        <v>-22835</v>
      </c>
      <c r="E11" s="27">
        <v>-141346.4</v>
      </c>
      <c r="F11" s="27">
        <v>0</v>
      </c>
      <c r="G11" s="27">
        <v>-848078.4</v>
      </c>
      <c r="H11" s="27">
        <v>-563200.6</v>
      </c>
      <c r="I11" s="27">
        <v>60.09</v>
      </c>
      <c r="J11" s="27">
        <f t="shared" si="0"/>
        <v>16813</v>
      </c>
      <c r="K11" s="27">
        <f>'Revenue per source'!J11</f>
        <v>-6022</v>
      </c>
      <c r="L11" s="27">
        <f>'Revenue per source'!K11</f>
        <v>-6292.99</v>
      </c>
      <c r="M11" s="27">
        <f>'Revenue per source'!L11</f>
        <v>-6582.4675399999996</v>
      </c>
      <c r="N11" s="27">
        <f>'Revenue per source'!M11</f>
        <v>-6885.2610468399998</v>
      </c>
    </row>
    <row r="12" spans="1:14" s="28" customFormat="1" ht="14.25" x14ac:dyDescent="0.2">
      <c r="A12" s="25" t="s">
        <v>811</v>
      </c>
      <c r="B12" s="25"/>
      <c r="C12" s="26" t="s">
        <v>16</v>
      </c>
      <c r="D12" s="27">
        <f>'Revenue per source'!C12</f>
        <v>-1954883</v>
      </c>
      <c r="E12" s="27">
        <v>-141346.4</v>
      </c>
      <c r="F12" s="27">
        <v>0</v>
      </c>
      <c r="G12" s="27">
        <v>-848078.4</v>
      </c>
      <c r="H12" s="27">
        <v>-563200.6</v>
      </c>
      <c r="I12" s="27">
        <v>60.09</v>
      </c>
      <c r="J12" s="27">
        <f t="shared" si="0"/>
        <v>3679005</v>
      </c>
      <c r="K12" s="27">
        <f>'Revenue per source'!J12</f>
        <v>1724122</v>
      </c>
      <c r="L12" s="27">
        <f>'Revenue per source'!K12</f>
        <v>1801707.49</v>
      </c>
      <c r="M12" s="27">
        <f>'Revenue per source'!L12</f>
        <v>1884586.0345399999</v>
      </c>
      <c r="N12" s="27">
        <f>'Revenue per source'!M12</f>
        <v>1971276.9921288399</v>
      </c>
    </row>
    <row r="13" spans="1:14" s="28" customFormat="1" ht="14.25" x14ac:dyDescent="0.2">
      <c r="A13" s="25" t="s">
        <v>812</v>
      </c>
      <c r="B13" s="25"/>
      <c r="C13" s="26" t="s">
        <v>16</v>
      </c>
      <c r="D13" s="27">
        <f>'Revenue per source'!C13</f>
        <v>-214619</v>
      </c>
      <c r="E13" s="27">
        <v>-141346.4</v>
      </c>
      <c r="F13" s="27">
        <v>0</v>
      </c>
      <c r="G13" s="27">
        <v>-848078.4</v>
      </c>
      <c r="H13" s="27">
        <v>-563200.6</v>
      </c>
      <c r="I13" s="27">
        <v>60.09</v>
      </c>
      <c r="J13" s="27">
        <f t="shared" si="0"/>
        <v>-3370188</v>
      </c>
      <c r="K13" s="27">
        <f>'Revenue per source'!J13</f>
        <v>-3584807</v>
      </c>
      <c r="L13" s="27">
        <f>'Revenue per source'!K13</f>
        <v>-3746123.3149999999</v>
      </c>
      <c r="M13" s="27">
        <f>'Revenue per source'!L13</f>
        <v>-3918444.9874899997</v>
      </c>
      <c r="N13" s="27">
        <f>'Revenue per source'!M13</f>
        <v>-4098693.4569145399</v>
      </c>
    </row>
    <row r="14" spans="1:14" s="28" customFormat="1" ht="14.25" x14ac:dyDescent="0.2">
      <c r="A14" s="25" t="s">
        <v>813</v>
      </c>
      <c r="B14" s="25"/>
      <c r="C14" s="26" t="s">
        <v>17</v>
      </c>
      <c r="D14" s="27">
        <f>'Revenue per source'!C14</f>
        <v>-1327315</v>
      </c>
      <c r="E14" s="27">
        <v>-141346.4</v>
      </c>
      <c r="F14" s="27">
        <v>0</v>
      </c>
      <c r="G14" s="27">
        <v>-848078.4</v>
      </c>
      <c r="H14" s="27">
        <v>-563200.6</v>
      </c>
      <c r="I14" s="27">
        <v>60.09</v>
      </c>
      <c r="J14" s="27">
        <f t="shared" si="0"/>
        <v>1270595</v>
      </c>
      <c r="K14" s="27">
        <f>'Revenue per source'!J14</f>
        <v>-56720</v>
      </c>
      <c r="L14" s="27">
        <f>'Revenue per source'!K14</f>
        <v>-59272.4</v>
      </c>
      <c r="M14" s="27">
        <f>'Revenue per source'!L14</f>
        <v>-61998.930399999997</v>
      </c>
      <c r="N14" s="27">
        <f>'Revenue per source'!M14</f>
        <v>-64850.881198399999</v>
      </c>
    </row>
    <row r="15" spans="1:14" s="28" customFormat="1" ht="14.25" x14ac:dyDescent="0.2">
      <c r="A15" s="25" t="s">
        <v>814</v>
      </c>
      <c r="B15" s="25"/>
      <c r="C15" s="26" t="s">
        <v>18</v>
      </c>
      <c r="D15" s="27">
        <f>'Revenue per source'!C15</f>
        <v>-10352372</v>
      </c>
      <c r="E15" s="27">
        <v>-141346.4</v>
      </c>
      <c r="F15" s="27">
        <v>0</v>
      </c>
      <c r="G15" s="27">
        <v>-848078.4</v>
      </c>
      <c r="H15" s="27">
        <v>-563200.6</v>
      </c>
      <c r="I15" s="27">
        <v>60.09</v>
      </c>
      <c r="J15" s="27">
        <f t="shared" si="0"/>
        <v>10352372</v>
      </c>
      <c r="K15" s="27">
        <f>'Revenue per source'!J15</f>
        <v>0</v>
      </c>
      <c r="L15" s="27">
        <f>'Revenue per source'!K15</f>
        <v>0</v>
      </c>
      <c r="M15" s="27">
        <f>'Revenue per source'!L15</f>
        <v>0</v>
      </c>
      <c r="N15" s="27">
        <f>'Revenue per source'!M15</f>
        <v>0</v>
      </c>
    </row>
    <row r="16" spans="1:14" s="28" customFormat="1" ht="14.25" x14ac:dyDescent="0.2">
      <c r="A16" s="25" t="s">
        <v>815</v>
      </c>
      <c r="B16" s="25"/>
      <c r="C16" s="26" t="s">
        <v>19</v>
      </c>
      <c r="D16" s="27">
        <f>'Revenue per source'!C16</f>
        <v>0</v>
      </c>
      <c r="E16" s="27">
        <v>-141346.4</v>
      </c>
      <c r="F16" s="27">
        <v>0</v>
      </c>
      <c r="G16" s="27">
        <v>-848078.4</v>
      </c>
      <c r="H16" s="27">
        <v>-563200.6</v>
      </c>
      <c r="I16" s="27">
        <v>60.09</v>
      </c>
      <c r="J16" s="27">
        <f t="shared" si="0"/>
        <v>-10742205</v>
      </c>
      <c r="K16" s="27">
        <f>'Revenue per source'!J16</f>
        <v>-10742205</v>
      </c>
      <c r="L16" s="27">
        <f>'Revenue per source'!K16</f>
        <v>-11225604.225</v>
      </c>
      <c r="M16" s="27">
        <f>'Revenue per source'!L16</f>
        <v>-11741982.01935</v>
      </c>
      <c r="N16" s="27">
        <f>'Revenue per source'!M16</f>
        <v>-12282113.1922401</v>
      </c>
    </row>
    <row r="17" spans="1:14" s="28" customFormat="1" ht="14.25" x14ac:dyDescent="0.2">
      <c r="A17" s="25" t="s">
        <v>816</v>
      </c>
      <c r="B17" s="25"/>
      <c r="C17" s="26" t="s">
        <v>20</v>
      </c>
      <c r="D17" s="27">
        <f t="shared" ref="D17" si="1">VLOOKUP(A17,fin,3,FALSE)</f>
        <v>0</v>
      </c>
      <c r="E17" s="27">
        <v>-141346.4</v>
      </c>
      <c r="F17" s="27">
        <v>0</v>
      </c>
      <c r="G17" s="27">
        <v>-848078.4</v>
      </c>
      <c r="H17" s="27">
        <v>-563200.6</v>
      </c>
      <c r="I17" s="27">
        <v>60.09</v>
      </c>
      <c r="J17" s="27">
        <f t="shared" si="0"/>
        <v>0</v>
      </c>
      <c r="K17" s="27">
        <f>'Revenue per source'!J17</f>
        <v>0</v>
      </c>
      <c r="L17" s="27">
        <f>'Revenue per source'!K17</f>
        <v>0</v>
      </c>
      <c r="M17" s="27">
        <f>'Revenue per source'!L17</f>
        <v>0</v>
      </c>
      <c r="N17" s="133"/>
    </row>
    <row r="18" spans="1:14" s="28" customFormat="1" ht="14.25" x14ac:dyDescent="0.2">
      <c r="A18" s="25"/>
      <c r="B18" s="25"/>
      <c r="C18" s="26"/>
      <c r="D18" s="27"/>
      <c r="E18" s="27"/>
      <c r="F18" s="27"/>
      <c r="G18" s="27"/>
      <c r="H18" s="27"/>
      <c r="I18" s="27"/>
      <c r="J18" s="27"/>
      <c r="K18" s="27"/>
      <c r="L18" s="27"/>
      <c r="M18" s="107"/>
      <c r="N18" s="133"/>
    </row>
    <row r="19" spans="1:14" s="24" customFormat="1" x14ac:dyDescent="0.25">
      <c r="A19" s="20"/>
      <c r="B19" s="20"/>
      <c r="C19" s="21" t="s">
        <v>21</v>
      </c>
      <c r="D19" s="22">
        <f>SUM(D8:D18)</f>
        <v>-15291183</v>
      </c>
      <c r="E19" s="22">
        <f>SUM(E8:E18)</f>
        <v>-1413463.9999999998</v>
      </c>
      <c r="F19" s="22">
        <f>SUM(F8:F18)</f>
        <v>0</v>
      </c>
      <c r="G19" s="22">
        <f>SUM(G8:G18)</f>
        <v>-8480784.0000000019</v>
      </c>
      <c r="H19" s="22">
        <f>SUM(H8:H18)</f>
        <v>-5632005.9999999991</v>
      </c>
      <c r="I19" s="22">
        <v>64.930000000000007</v>
      </c>
      <c r="J19" s="27">
        <f>+K19-D19</f>
        <v>-4566884</v>
      </c>
      <c r="K19" s="22">
        <f>SUM(K8:K18)</f>
        <v>-19858067</v>
      </c>
      <c r="L19" s="22">
        <f>SUM(L8:L18)</f>
        <v>-20751680.015000001</v>
      </c>
      <c r="M19" s="134">
        <f>SUM(M8:M18)</f>
        <v>-21706257.29569</v>
      </c>
      <c r="N19" s="134">
        <f>SUM(N8:N18)</f>
        <v>-22704745.13129174</v>
      </c>
    </row>
    <row r="20" spans="1:14" s="24" customFormat="1" x14ac:dyDescent="0.25">
      <c r="A20" s="20"/>
      <c r="B20" s="20"/>
      <c r="C20" s="21"/>
      <c r="D20" s="22"/>
      <c r="E20" s="22"/>
      <c r="F20" s="22"/>
      <c r="G20" s="22"/>
      <c r="H20" s="22"/>
      <c r="I20" s="22"/>
      <c r="J20" s="27"/>
      <c r="K20" s="27"/>
      <c r="L20" s="22"/>
      <c r="M20" s="134"/>
      <c r="N20" s="132"/>
    </row>
    <row r="21" spans="1:14" s="24" customFormat="1" x14ac:dyDescent="0.25">
      <c r="A21" s="20"/>
      <c r="B21" s="20"/>
      <c r="C21" s="21" t="s">
        <v>22</v>
      </c>
      <c r="D21" s="22"/>
      <c r="E21" s="22"/>
      <c r="F21" s="22"/>
      <c r="G21" s="22"/>
      <c r="H21" s="22"/>
      <c r="I21" s="22"/>
      <c r="J21" s="27">
        <f>+K21-D21</f>
        <v>0</v>
      </c>
      <c r="K21" s="27"/>
      <c r="L21" s="22"/>
      <c r="M21" s="134"/>
      <c r="N21" s="132"/>
    </row>
    <row r="22" spans="1:14" s="28" customFormat="1" ht="14.25" x14ac:dyDescent="0.2">
      <c r="A22" s="25"/>
      <c r="B22" s="25"/>
      <c r="C22" s="26"/>
      <c r="D22" s="27"/>
      <c r="E22" s="27"/>
      <c r="F22" s="27"/>
      <c r="G22" s="27"/>
      <c r="H22" s="27"/>
      <c r="I22" s="27"/>
      <c r="J22" s="27"/>
      <c r="K22" s="27"/>
      <c r="L22" s="27"/>
      <c r="M22" s="107"/>
      <c r="N22" s="133"/>
    </row>
    <row r="23" spans="1:14" s="28" customFormat="1" ht="14.25" x14ac:dyDescent="0.2">
      <c r="A23" s="25" t="s">
        <v>817</v>
      </c>
      <c r="B23" s="25"/>
      <c r="C23" s="26" t="s">
        <v>27</v>
      </c>
      <c r="D23" s="27">
        <f>'Revenue per source'!C26</f>
        <v>-3520000</v>
      </c>
      <c r="E23" s="27">
        <f>'Revenue per source'!D26</f>
        <v>0</v>
      </c>
      <c r="F23" s="27">
        <f>'Revenue per source'!E26</f>
        <v>0</v>
      </c>
      <c r="G23" s="27">
        <f>'Revenue per source'!F26</f>
        <v>0</v>
      </c>
      <c r="H23" s="27">
        <f>'Revenue per source'!G26</f>
        <v>-3520000</v>
      </c>
      <c r="I23" s="27">
        <f>'Revenue per source'!H26</f>
        <v>0</v>
      </c>
      <c r="J23" s="27">
        <f>'Revenue per source'!I26</f>
        <v>0</v>
      </c>
      <c r="K23" s="27">
        <f>'Revenue per source'!J26</f>
        <v>-3520000</v>
      </c>
      <c r="L23" s="27">
        <f>'Revenue per source'!K26</f>
        <v>-3000000</v>
      </c>
      <c r="M23" s="27">
        <f>'Revenue per source'!L26</f>
        <v>0</v>
      </c>
      <c r="N23" s="27">
        <f>'Revenue per source'!M26</f>
        <v>0</v>
      </c>
    </row>
    <row r="24" spans="1:14" s="28" customFormat="1" ht="14.25" x14ac:dyDescent="0.2">
      <c r="A24" s="25"/>
      <c r="B24" s="25"/>
      <c r="C24" s="26"/>
      <c r="D24" s="27"/>
      <c r="E24" s="27"/>
      <c r="F24" s="27"/>
      <c r="G24" s="27"/>
      <c r="H24" s="27"/>
      <c r="I24" s="27"/>
      <c r="J24" s="27"/>
      <c r="K24" s="27"/>
      <c r="L24" s="27"/>
      <c r="M24" s="107"/>
      <c r="N24" s="133"/>
    </row>
    <row r="25" spans="1:14" s="24" customFormat="1" x14ac:dyDescent="0.25">
      <c r="A25" s="20"/>
      <c r="B25" s="20"/>
      <c r="C25" s="21" t="s">
        <v>28</v>
      </c>
      <c r="D25" s="22">
        <f>SUM(D23:D24)</f>
        <v>-3520000</v>
      </c>
      <c r="E25" s="22">
        <f>SUM(E23:E24)</f>
        <v>0</v>
      </c>
      <c r="F25" s="22">
        <f>SUM(F23:F24)</f>
        <v>0</v>
      </c>
      <c r="G25" s="22">
        <f>SUM(G23:G24)</f>
        <v>0</v>
      </c>
      <c r="H25" s="22">
        <f>SUM(H23:H24)</f>
        <v>-3520000</v>
      </c>
      <c r="I25" s="22">
        <v>0</v>
      </c>
      <c r="J25" s="27">
        <f>+K25-D25</f>
        <v>0</v>
      </c>
      <c r="K25" s="22">
        <f>SUM(K23:K24)</f>
        <v>-3520000</v>
      </c>
      <c r="L25" s="22">
        <f>SUM(L23:L24)</f>
        <v>-3000000</v>
      </c>
      <c r="M25" s="134">
        <f>SUM(M23:M24)</f>
        <v>0</v>
      </c>
      <c r="N25" s="134">
        <f>SUM(N23:N24)</f>
        <v>0</v>
      </c>
    </row>
    <row r="26" spans="1:14" s="24" customFormat="1" x14ac:dyDescent="0.25">
      <c r="A26" s="20"/>
      <c r="B26" s="20"/>
      <c r="C26" s="21"/>
      <c r="D26" s="22"/>
      <c r="E26" s="22"/>
      <c r="F26" s="22"/>
      <c r="G26" s="22"/>
      <c r="H26" s="22"/>
      <c r="I26" s="22"/>
      <c r="J26" s="27"/>
      <c r="K26" s="27"/>
      <c r="L26" s="22"/>
      <c r="M26" s="134"/>
      <c r="N26" s="132"/>
    </row>
    <row r="27" spans="1:14" s="24" customFormat="1" x14ac:dyDescent="0.25">
      <c r="A27" s="20"/>
      <c r="B27" s="20"/>
      <c r="C27" s="21" t="s">
        <v>29</v>
      </c>
      <c r="D27" s="22"/>
      <c r="E27" s="22"/>
      <c r="F27" s="22"/>
      <c r="G27" s="22"/>
      <c r="H27" s="22"/>
      <c r="I27" s="22"/>
      <c r="J27" s="27">
        <f>+K27-D27</f>
        <v>0</v>
      </c>
      <c r="K27" s="27"/>
      <c r="L27" s="22"/>
      <c r="M27" s="134"/>
      <c r="N27" s="132"/>
    </row>
    <row r="28" spans="1:14" s="24" customFormat="1" x14ac:dyDescent="0.25">
      <c r="A28" s="20"/>
      <c r="B28" s="20"/>
      <c r="C28" s="21"/>
      <c r="D28" s="22"/>
      <c r="E28" s="22"/>
      <c r="F28" s="22"/>
      <c r="G28" s="22"/>
      <c r="H28" s="22"/>
      <c r="I28" s="22"/>
      <c r="J28" s="27"/>
      <c r="K28" s="27"/>
      <c r="L28" s="22"/>
      <c r="M28" s="134"/>
      <c r="N28" s="132"/>
    </row>
    <row r="29" spans="1:14" s="24" customFormat="1" x14ac:dyDescent="0.25">
      <c r="A29" s="20"/>
      <c r="B29" s="20"/>
      <c r="C29" s="21" t="s">
        <v>30</v>
      </c>
      <c r="D29" s="22"/>
      <c r="E29" s="22"/>
      <c r="F29" s="22"/>
      <c r="G29" s="22"/>
      <c r="H29" s="22"/>
      <c r="I29" s="22"/>
      <c r="J29" s="27">
        <f>+K29-D29</f>
        <v>0</v>
      </c>
      <c r="K29" s="27"/>
      <c r="L29" s="22"/>
      <c r="M29" s="134"/>
      <c r="N29" s="132"/>
    </row>
    <row r="30" spans="1:14" s="28" customFormat="1" ht="14.25" x14ac:dyDescent="0.2">
      <c r="A30" s="25"/>
      <c r="B30" s="25"/>
      <c r="C30" s="26"/>
      <c r="D30" s="27"/>
      <c r="E30" s="27"/>
      <c r="F30" s="27"/>
      <c r="G30" s="27"/>
      <c r="H30" s="27"/>
      <c r="I30" s="27"/>
      <c r="J30" s="27"/>
      <c r="K30" s="27"/>
      <c r="L30" s="27"/>
      <c r="M30" s="107"/>
      <c r="N30" s="133"/>
    </row>
    <row r="31" spans="1:14" s="28" customFormat="1" ht="14.25" x14ac:dyDescent="0.2">
      <c r="A31" s="25" t="s">
        <v>818</v>
      </c>
      <c r="B31" s="25"/>
      <c r="C31" s="26" t="s">
        <v>32</v>
      </c>
      <c r="D31" s="27">
        <f>'Revenue per source'!C34</f>
        <v>-2403000</v>
      </c>
      <c r="E31" s="27">
        <f>'Revenue per source'!D34</f>
        <v>-252538</v>
      </c>
      <c r="F31" s="27">
        <f>'Revenue per source'!E34</f>
        <v>0</v>
      </c>
      <c r="G31" s="27">
        <f>'Revenue per source'!F34</f>
        <v>-1159420.99</v>
      </c>
      <c r="H31" s="27">
        <f>'Revenue per source'!G34</f>
        <v>-1243579.01</v>
      </c>
      <c r="I31" s="27">
        <f>'Revenue per source'!H34</f>
        <v>48.24</v>
      </c>
      <c r="J31" s="27">
        <f>'Revenue per source'!I34</f>
        <v>0</v>
      </c>
      <c r="K31" s="27">
        <f>'Revenue per source'!J34</f>
        <v>-2403000</v>
      </c>
      <c r="L31" s="27">
        <f>'Revenue per source'!K34</f>
        <v>-2400000</v>
      </c>
      <c r="M31" s="27">
        <f>'Revenue per source'!L34</f>
        <v>-2400000</v>
      </c>
      <c r="N31" s="27">
        <f>'Revenue per source'!M34</f>
        <v>-2400000</v>
      </c>
    </row>
    <row r="32" spans="1:14" s="28" customFormat="1" ht="14.25" x14ac:dyDescent="0.2">
      <c r="A32" s="25" t="s">
        <v>819</v>
      </c>
      <c r="B32" s="25"/>
      <c r="C32" s="26" t="s">
        <v>34</v>
      </c>
      <c r="D32" s="27">
        <f>'Revenue per source'!C36</f>
        <v>-142578000</v>
      </c>
      <c r="E32" s="27">
        <f>'Revenue per source'!D36</f>
        <v>-47017000</v>
      </c>
      <c r="F32" s="27">
        <f>'Revenue per source'!E36</f>
        <v>0</v>
      </c>
      <c r="G32" s="27">
        <f>'Revenue per source'!F36</f>
        <v>-106425000</v>
      </c>
      <c r="H32" s="27">
        <f>'Revenue per source'!G36</f>
        <v>-36153000</v>
      </c>
      <c r="I32" s="27">
        <f>'Revenue per source'!H36</f>
        <v>74.64</v>
      </c>
      <c r="J32" s="27">
        <f>'Revenue per source'!I36</f>
        <v>0</v>
      </c>
      <c r="K32" s="27">
        <f>'Revenue per source'!J36</f>
        <v>-142578000</v>
      </c>
      <c r="L32" s="27">
        <f>'Revenue per source'!K36</f>
        <v>-150787000</v>
      </c>
      <c r="M32" s="27">
        <f>'Revenue per source'!L36</f>
        <v>-159829000</v>
      </c>
      <c r="N32" s="27">
        <f>'Revenue per source'!M36</f>
        <v>-167051000</v>
      </c>
    </row>
    <row r="33" spans="1:14" s="28" customFormat="1" ht="14.25" x14ac:dyDescent="0.2">
      <c r="A33" s="25"/>
      <c r="B33" s="25"/>
      <c r="C33" s="26"/>
      <c r="D33" s="27"/>
      <c r="E33" s="27"/>
      <c r="F33" s="27"/>
      <c r="G33" s="27">
        <v>0</v>
      </c>
      <c r="H33" s="27"/>
      <c r="I33" s="27"/>
      <c r="J33" s="27"/>
      <c r="K33" s="27"/>
      <c r="L33" s="27"/>
      <c r="M33" s="107"/>
      <c r="N33" s="133"/>
    </row>
    <row r="34" spans="1:14" s="24" customFormat="1" x14ac:dyDescent="0.25">
      <c r="A34" s="20"/>
      <c r="B34" s="20"/>
      <c r="C34" s="21" t="s">
        <v>35</v>
      </c>
      <c r="D34" s="22">
        <f>SUM(D31:D33)</f>
        <v>-144981000</v>
      </c>
      <c r="E34" s="22">
        <f t="shared" ref="E34:N34" si="2">SUM(E31:E33)</f>
        <v>-47269538</v>
      </c>
      <c r="F34" s="22">
        <f t="shared" si="2"/>
        <v>0</v>
      </c>
      <c r="G34" s="22">
        <f t="shared" si="2"/>
        <v>-107584420.98999999</v>
      </c>
      <c r="H34" s="22">
        <f t="shared" si="2"/>
        <v>-37396579.009999998</v>
      </c>
      <c r="I34" s="22">
        <f t="shared" si="2"/>
        <v>122.88</v>
      </c>
      <c r="J34" s="22">
        <f t="shared" si="2"/>
        <v>0</v>
      </c>
      <c r="K34" s="22">
        <f t="shared" si="2"/>
        <v>-144981000</v>
      </c>
      <c r="L34" s="22">
        <f t="shared" si="2"/>
        <v>-153187000</v>
      </c>
      <c r="M34" s="22">
        <f t="shared" si="2"/>
        <v>-162229000</v>
      </c>
      <c r="N34" s="22">
        <f t="shared" si="2"/>
        <v>-169451000</v>
      </c>
    </row>
    <row r="35" spans="1:14" s="24" customFormat="1" x14ac:dyDescent="0.25">
      <c r="A35" s="20"/>
      <c r="B35" s="20"/>
      <c r="C35" s="21"/>
      <c r="D35" s="22"/>
      <c r="E35" s="22"/>
      <c r="F35" s="22"/>
      <c r="G35" s="22"/>
      <c r="H35" s="22"/>
      <c r="I35" s="22"/>
      <c r="J35" s="27"/>
      <c r="K35" s="27"/>
      <c r="L35" s="22"/>
      <c r="M35" s="134"/>
      <c r="N35" s="132"/>
    </row>
    <row r="36" spans="1:14" s="24" customFormat="1" x14ac:dyDescent="0.25">
      <c r="A36" s="20"/>
      <c r="B36" s="20"/>
      <c r="C36" s="21" t="s">
        <v>39</v>
      </c>
      <c r="D36" s="22">
        <f>D34</f>
        <v>-144981000</v>
      </c>
      <c r="E36" s="22">
        <f t="shared" ref="E36:N36" si="3">E34</f>
        <v>-47269538</v>
      </c>
      <c r="F36" s="22">
        <f t="shared" si="3"/>
        <v>0</v>
      </c>
      <c r="G36" s="22">
        <f t="shared" si="3"/>
        <v>-107584420.98999999</v>
      </c>
      <c r="H36" s="22">
        <f t="shared" si="3"/>
        <v>-37396579.009999998</v>
      </c>
      <c r="I36" s="22">
        <v>74.2</v>
      </c>
      <c r="J36" s="27">
        <f>+K36-D36</f>
        <v>0</v>
      </c>
      <c r="K36" s="22">
        <f t="shared" si="3"/>
        <v>-144981000</v>
      </c>
      <c r="L36" s="22">
        <f t="shared" si="3"/>
        <v>-153187000</v>
      </c>
      <c r="M36" s="134">
        <f t="shared" si="3"/>
        <v>-162229000</v>
      </c>
      <c r="N36" s="134">
        <f t="shared" si="3"/>
        <v>-169451000</v>
      </c>
    </row>
    <row r="37" spans="1:14" s="24" customFormat="1" x14ac:dyDescent="0.25">
      <c r="A37" s="20"/>
      <c r="B37" s="20"/>
      <c r="C37" s="21"/>
      <c r="D37" s="22"/>
      <c r="E37" s="22"/>
      <c r="F37" s="22"/>
      <c r="G37" s="22"/>
      <c r="H37" s="22"/>
      <c r="I37" s="22"/>
      <c r="J37" s="27"/>
      <c r="K37" s="27"/>
      <c r="L37" s="22"/>
      <c r="M37" s="134"/>
      <c r="N37" s="132"/>
    </row>
    <row r="38" spans="1:14" s="24" customFormat="1" x14ac:dyDescent="0.25">
      <c r="A38" s="20"/>
      <c r="B38" s="20"/>
      <c r="C38" s="21" t="s">
        <v>40</v>
      </c>
      <c r="D38" s="22">
        <f>D19+D25+D36</f>
        <v>-163792183</v>
      </c>
      <c r="E38" s="22">
        <f t="shared" ref="E38:N38" si="4">E19+E25+E36</f>
        <v>-48683002</v>
      </c>
      <c r="F38" s="22">
        <f t="shared" si="4"/>
        <v>0</v>
      </c>
      <c r="G38" s="22">
        <f t="shared" si="4"/>
        <v>-116065204.98999999</v>
      </c>
      <c r="H38" s="22">
        <f t="shared" si="4"/>
        <v>-46548585.009999998</v>
      </c>
      <c r="I38" s="22">
        <v>71.739999999999995</v>
      </c>
      <c r="J38" s="27">
        <f>+K38-D38</f>
        <v>-4566884</v>
      </c>
      <c r="K38" s="22">
        <f t="shared" si="4"/>
        <v>-168359067</v>
      </c>
      <c r="L38" s="22">
        <f t="shared" si="4"/>
        <v>-176938680.01499999</v>
      </c>
      <c r="M38" s="134">
        <f t="shared" si="4"/>
        <v>-183935257.29569</v>
      </c>
      <c r="N38" s="134">
        <f t="shared" si="4"/>
        <v>-192155745.13129175</v>
      </c>
    </row>
    <row r="39" spans="1:14" s="24" customFormat="1" x14ac:dyDescent="0.25">
      <c r="A39" s="20"/>
      <c r="B39" s="20"/>
      <c r="C39" s="21"/>
      <c r="D39" s="22"/>
      <c r="E39" s="22"/>
      <c r="F39" s="22"/>
      <c r="G39" s="22"/>
      <c r="H39" s="22"/>
      <c r="I39" s="22"/>
      <c r="J39" s="27"/>
      <c r="K39" s="27"/>
      <c r="L39" s="22"/>
      <c r="M39" s="134"/>
      <c r="N39" s="132"/>
    </row>
    <row r="40" spans="1:14" s="24" customFormat="1" x14ac:dyDescent="0.25">
      <c r="A40" s="20"/>
      <c r="B40" s="20"/>
      <c r="C40" s="21" t="s">
        <v>41</v>
      </c>
      <c r="D40" s="22"/>
      <c r="E40" s="22"/>
      <c r="F40" s="22"/>
      <c r="G40" s="22"/>
      <c r="H40" s="22"/>
      <c r="I40" s="22"/>
      <c r="J40" s="27">
        <f>+K40-D40</f>
        <v>0</v>
      </c>
      <c r="K40" s="27"/>
      <c r="L40" s="22"/>
      <c r="M40" s="134"/>
      <c r="N40" s="132"/>
    </row>
    <row r="41" spans="1:14" s="24" customFormat="1" x14ac:dyDescent="0.25">
      <c r="A41" s="20"/>
      <c r="B41" s="20"/>
      <c r="C41" s="21"/>
      <c r="D41" s="22"/>
      <c r="E41" s="22"/>
      <c r="F41" s="22"/>
      <c r="G41" s="22"/>
      <c r="H41" s="22"/>
      <c r="I41" s="22"/>
      <c r="J41" s="27"/>
      <c r="K41" s="27"/>
      <c r="L41" s="22"/>
      <c r="M41" s="134"/>
      <c r="N41" s="132"/>
    </row>
    <row r="42" spans="1:14" s="24" customFormat="1" x14ac:dyDescent="0.25">
      <c r="A42" s="20"/>
      <c r="B42" s="20"/>
      <c r="C42" s="21" t="s">
        <v>42</v>
      </c>
      <c r="D42" s="22"/>
      <c r="E42" s="22"/>
      <c r="F42" s="22"/>
      <c r="G42" s="22"/>
      <c r="H42" s="22"/>
      <c r="I42" s="22"/>
      <c r="J42" s="27">
        <f>+K42-D42</f>
        <v>0</v>
      </c>
      <c r="K42" s="27"/>
      <c r="L42" s="22"/>
      <c r="M42" s="134"/>
      <c r="N42" s="132"/>
    </row>
    <row r="43" spans="1:14" s="24" customFormat="1" x14ac:dyDescent="0.25">
      <c r="A43" s="20"/>
      <c r="B43" s="20"/>
      <c r="C43" s="21"/>
      <c r="D43" s="22"/>
      <c r="E43" s="22"/>
      <c r="F43" s="22"/>
      <c r="G43" s="22"/>
      <c r="H43" s="22"/>
      <c r="I43" s="22"/>
      <c r="J43" s="27"/>
      <c r="K43" s="27"/>
      <c r="L43" s="22"/>
      <c r="M43" s="134"/>
      <c r="N43" s="132"/>
    </row>
    <row r="44" spans="1:14" s="24" customFormat="1" x14ac:dyDescent="0.25">
      <c r="A44" s="20"/>
      <c r="B44" s="20"/>
      <c r="C44" s="21" t="s">
        <v>56</v>
      </c>
      <c r="D44" s="22"/>
      <c r="E44" s="22"/>
      <c r="F44" s="22"/>
      <c r="G44" s="22"/>
      <c r="H44" s="22"/>
      <c r="I44" s="22"/>
      <c r="J44" s="27">
        <f>+K44-D44</f>
        <v>0</v>
      </c>
      <c r="K44" s="27"/>
      <c r="L44" s="22"/>
      <c r="M44" s="134"/>
      <c r="N44" s="132"/>
    </row>
    <row r="45" spans="1:14" s="28" customFormat="1" ht="14.25" x14ac:dyDescent="0.2">
      <c r="A45" s="25"/>
      <c r="B45" s="25"/>
      <c r="C45" s="26"/>
      <c r="D45" s="27"/>
      <c r="E45" s="27"/>
      <c r="F45" s="27"/>
      <c r="G45" s="27"/>
      <c r="H45" s="27"/>
      <c r="I45" s="27"/>
      <c r="J45" s="27"/>
      <c r="K45" s="27"/>
      <c r="L45" s="27"/>
      <c r="M45" s="107"/>
      <c r="N45" s="133"/>
    </row>
    <row r="46" spans="1:14" s="28" customFormat="1" ht="14.25" x14ac:dyDescent="0.2">
      <c r="A46" s="25" t="s">
        <v>820</v>
      </c>
      <c r="B46" s="25"/>
      <c r="C46" s="26" t="s">
        <v>65</v>
      </c>
      <c r="D46" s="27">
        <f>'Revenue per source'!C84</f>
        <v>-346932</v>
      </c>
      <c r="E46" s="27">
        <f>'Revenue per source'!D84</f>
        <v>-40547.550000000003</v>
      </c>
      <c r="F46" s="27">
        <f>'Revenue per source'!E84</f>
        <v>0</v>
      </c>
      <c r="G46" s="27">
        <f>'Revenue per source'!F84</f>
        <v>-228665.99</v>
      </c>
      <c r="H46" s="27">
        <f>'Revenue per source'!G84</f>
        <v>-118266.01</v>
      </c>
      <c r="I46" s="27">
        <f>'Revenue per source'!H84</f>
        <v>65.91</v>
      </c>
      <c r="J46" s="27">
        <f>'Revenue per source'!I84</f>
        <v>0</v>
      </c>
      <c r="K46" s="27">
        <f>'Revenue per source'!J84</f>
        <v>-457332</v>
      </c>
      <c r="L46" s="27">
        <f>'Revenue per source'!K84</f>
        <v>-479741.26799999998</v>
      </c>
      <c r="M46" s="27">
        <f>'Revenue per source'!L84</f>
        <v>-502768.848864</v>
      </c>
      <c r="N46" s="27">
        <f>'Revenue per source'!M84</f>
        <v>-526901.75360947195</v>
      </c>
    </row>
    <row r="47" spans="1:14" s="28" customFormat="1" x14ac:dyDescent="0.25">
      <c r="A47" s="25"/>
      <c r="B47" s="25"/>
      <c r="C47" s="26"/>
      <c r="D47" s="27"/>
      <c r="E47" s="27"/>
      <c r="F47" s="27"/>
      <c r="G47" s="27"/>
      <c r="H47" s="27"/>
      <c r="I47" s="27"/>
      <c r="J47" s="27"/>
      <c r="K47" s="27"/>
      <c r="L47" s="22"/>
      <c r="M47" s="134"/>
      <c r="N47" s="133"/>
    </row>
    <row r="48" spans="1:14" s="24" customFormat="1" x14ac:dyDescent="0.25">
      <c r="A48" s="20"/>
      <c r="B48" s="20"/>
      <c r="C48" s="21" t="s">
        <v>66</v>
      </c>
      <c r="D48" s="22">
        <f>SUM(D46:D47)</f>
        <v>-346932</v>
      </c>
      <c r="E48" s="22">
        <f>SUM(E46:E47)</f>
        <v>-40547.550000000003</v>
      </c>
      <c r="F48" s="22">
        <f>SUM(F46:F47)</f>
        <v>0</v>
      </c>
      <c r="G48" s="22">
        <f>SUM(G46:G47)</f>
        <v>-228665.99</v>
      </c>
      <c r="H48" s="22">
        <f>SUM(H46:H47)</f>
        <v>-118266.01</v>
      </c>
      <c r="I48" s="22">
        <v>65.91</v>
      </c>
      <c r="J48" s="27">
        <f>+K48-D48</f>
        <v>-110400</v>
      </c>
      <c r="K48" s="22">
        <f>SUM(K46:K47)</f>
        <v>-457332</v>
      </c>
      <c r="L48" s="22">
        <f>SUM(L46:L47)</f>
        <v>-479741.26799999998</v>
      </c>
      <c r="M48" s="134">
        <f>SUM(M46:M47)</f>
        <v>-502768.848864</v>
      </c>
      <c r="N48" s="134">
        <f>SUM(N46:N47)</f>
        <v>-526901.75360947195</v>
      </c>
    </row>
    <row r="49" spans="1:14" s="24" customFormat="1" x14ac:dyDescent="0.25">
      <c r="A49" s="20"/>
      <c r="B49" s="20"/>
      <c r="C49" s="21"/>
      <c r="D49" s="22"/>
      <c r="E49" s="22"/>
      <c r="F49" s="22"/>
      <c r="G49" s="22"/>
      <c r="H49" s="22"/>
      <c r="I49" s="22"/>
      <c r="J49" s="27"/>
      <c r="K49" s="27"/>
      <c r="L49" s="22"/>
      <c r="M49" s="134"/>
      <c r="N49" s="132"/>
    </row>
    <row r="50" spans="1:14" s="24" customFormat="1" x14ac:dyDescent="0.25">
      <c r="A50" s="20"/>
      <c r="B50" s="20"/>
      <c r="C50" s="21" t="s">
        <v>70</v>
      </c>
      <c r="D50" s="22"/>
      <c r="E50" s="22"/>
      <c r="F50" s="22"/>
      <c r="G50" s="22"/>
      <c r="H50" s="22"/>
      <c r="I50" s="22"/>
      <c r="J50" s="27">
        <f>+K50-D50</f>
        <v>0</v>
      </c>
      <c r="K50" s="27"/>
      <c r="L50" s="22"/>
      <c r="M50" s="134"/>
      <c r="N50" s="132"/>
    </row>
    <row r="51" spans="1:14" s="24" customFormat="1" x14ac:dyDescent="0.25">
      <c r="A51" s="20"/>
      <c r="B51" s="20"/>
      <c r="C51" s="21"/>
      <c r="D51" s="22"/>
      <c r="E51" s="22"/>
      <c r="F51" s="22"/>
      <c r="G51" s="22"/>
      <c r="H51" s="22"/>
      <c r="I51" s="22"/>
      <c r="J51" s="27"/>
      <c r="K51" s="27"/>
      <c r="L51" s="22"/>
      <c r="M51" s="134"/>
      <c r="N51" s="132"/>
    </row>
    <row r="52" spans="1:14" s="28" customFormat="1" ht="14.25" x14ac:dyDescent="0.2">
      <c r="A52" s="25" t="s">
        <v>821</v>
      </c>
      <c r="B52" s="25"/>
      <c r="C52" s="26" t="s">
        <v>72</v>
      </c>
      <c r="D52" s="27">
        <f>VLOOKUP(A52,fin,3,FALSE)</f>
        <v>-669425</v>
      </c>
      <c r="E52" s="27">
        <v>-141346.4</v>
      </c>
      <c r="F52" s="27">
        <v>0</v>
      </c>
      <c r="G52" s="27">
        <v>-848078.4</v>
      </c>
      <c r="H52" s="27">
        <v>-563200.6</v>
      </c>
      <c r="I52" s="27">
        <v>60.09</v>
      </c>
      <c r="J52" s="27">
        <f>+K52-D52</f>
        <v>669425</v>
      </c>
      <c r="K52" s="27">
        <f>VLOOKUP(A52,fin,4,FALSE)</f>
        <v>0</v>
      </c>
      <c r="L52" s="27">
        <f>'Revenue per source'!K99</f>
        <v>0</v>
      </c>
      <c r="M52" s="27">
        <f>'Revenue per source'!L99</f>
        <v>0</v>
      </c>
      <c r="N52" s="27">
        <f>'Revenue per source'!M99</f>
        <v>0</v>
      </c>
    </row>
    <row r="53" spans="1:14" s="28" customFormat="1" ht="14.25" x14ac:dyDescent="0.2">
      <c r="A53" s="25"/>
      <c r="B53" s="25"/>
      <c r="C53" s="26"/>
      <c r="D53" s="27"/>
      <c r="E53" s="27"/>
      <c r="F53" s="27"/>
      <c r="G53" s="27"/>
      <c r="H53" s="27"/>
      <c r="I53" s="27"/>
      <c r="J53" s="27"/>
      <c r="K53" s="27"/>
      <c r="L53" s="27"/>
      <c r="M53" s="107"/>
      <c r="N53" s="133"/>
    </row>
    <row r="54" spans="1:14" s="24" customFormat="1" x14ac:dyDescent="0.25">
      <c r="A54" s="20"/>
      <c r="B54" s="20"/>
      <c r="C54" s="21" t="s">
        <v>77</v>
      </c>
      <c r="D54" s="22">
        <f>SUM(D52:D53)</f>
        <v>-669425</v>
      </c>
      <c r="E54" s="22">
        <f>SUM(E52:E53)</f>
        <v>-141346.4</v>
      </c>
      <c r="F54" s="22">
        <f>SUM(F52:F53)</f>
        <v>0</v>
      </c>
      <c r="G54" s="22">
        <f>SUM(G52:G53)</f>
        <v>-848078.4</v>
      </c>
      <c r="H54" s="22">
        <f>SUM(H52:H53)</f>
        <v>-563200.6</v>
      </c>
      <c r="I54" s="22">
        <v>0</v>
      </c>
      <c r="J54" s="27">
        <f>+K54-D54</f>
        <v>669425</v>
      </c>
      <c r="K54" s="22">
        <f>SUM(K52:K53)</f>
        <v>0</v>
      </c>
      <c r="L54" s="22">
        <f>SUM(L52:L53)</f>
        <v>0</v>
      </c>
      <c r="M54" s="134">
        <f>SUM(M52:M53)</f>
        <v>0</v>
      </c>
      <c r="N54" s="134">
        <f>SUM(N52:N53)</f>
        <v>0</v>
      </c>
    </row>
    <row r="55" spans="1:14" s="24" customFormat="1" x14ac:dyDescent="0.25">
      <c r="A55" s="20"/>
      <c r="B55" s="20"/>
      <c r="C55" s="21"/>
      <c r="D55" s="22"/>
      <c r="E55" s="22"/>
      <c r="F55" s="22"/>
      <c r="G55" s="22"/>
      <c r="H55" s="22"/>
      <c r="I55" s="22"/>
      <c r="J55" s="27"/>
      <c r="K55" s="22"/>
      <c r="L55" s="22"/>
      <c r="M55" s="134"/>
      <c r="N55" s="132"/>
    </row>
    <row r="56" spans="1:14" s="24" customFormat="1" x14ac:dyDescent="0.25">
      <c r="A56" s="20"/>
      <c r="B56" s="20"/>
      <c r="C56" s="21" t="s">
        <v>94</v>
      </c>
      <c r="D56" s="22">
        <f>D48+D54</f>
        <v>-1016357</v>
      </c>
      <c r="E56" s="22">
        <f t="shared" ref="E56:N56" si="5">E48+E54</f>
        <v>-181893.95</v>
      </c>
      <c r="F56" s="22">
        <f t="shared" si="5"/>
        <v>0</v>
      </c>
      <c r="G56" s="22">
        <f t="shared" si="5"/>
        <v>-1076744.3900000001</v>
      </c>
      <c r="H56" s="22">
        <f t="shared" si="5"/>
        <v>-681466.61</v>
      </c>
      <c r="I56" s="22">
        <v>22.49</v>
      </c>
      <c r="J56" s="27">
        <f>+K56-D56</f>
        <v>559025</v>
      </c>
      <c r="K56" s="22">
        <f t="shared" si="5"/>
        <v>-457332</v>
      </c>
      <c r="L56" s="22">
        <f t="shared" si="5"/>
        <v>-479741.26799999998</v>
      </c>
      <c r="M56" s="134">
        <f t="shared" si="5"/>
        <v>-502768.848864</v>
      </c>
      <c r="N56" s="134">
        <f t="shared" si="5"/>
        <v>-526901.75360947195</v>
      </c>
    </row>
    <row r="57" spans="1:14" s="24" customFormat="1" x14ac:dyDescent="0.25">
      <c r="A57" s="20"/>
      <c r="B57" s="20"/>
      <c r="C57" s="21"/>
      <c r="D57" s="22"/>
      <c r="E57" s="22"/>
      <c r="F57" s="22"/>
      <c r="G57" s="22"/>
      <c r="H57" s="22"/>
      <c r="I57" s="22"/>
      <c r="J57" s="27"/>
      <c r="K57" s="22"/>
      <c r="L57" s="22"/>
      <c r="M57" s="134"/>
      <c r="N57" s="132"/>
    </row>
    <row r="58" spans="1:14" s="24" customFormat="1" x14ac:dyDescent="0.25">
      <c r="A58" s="20"/>
      <c r="B58" s="20"/>
      <c r="C58" s="21" t="s">
        <v>95</v>
      </c>
      <c r="D58" s="22">
        <f>D38+D56</f>
        <v>-164808540</v>
      </c>
      <c r="E58" s="22">
        <f t="shared" ref="E58:N58" si="6">E38+E56</f>
        <v>-48864895.950000003</v>
      </c>
      <c r="F58" s="22">
        <f t="shared" si="6"/>
        <v>0</v>
      </c>
      <c r="G58" s="22">
        <f t="shared" si="6"/>
        <v>-117141949.38</v>
      </c>
      <c r="H58" s="22">
        <f t="shared" si="6"/>
        <v>-47230051.619999997</v>
      </c>
      <c r="I58" s="22">
        <v>71.44</v>
      </c>
      <c r="J58" s="27">
        <f>+K58-D58</f>
        <v>-4007859</v>
      </c>
      <c r="K58" s="22">
        <f t="shared" si="6"/>
        <v>-168816399</v>
      </c>
      <c r="L58" s="22">
        <f t="shared" si="6"/>
        <v>-177418421.28299999</v>
      </c>
      <c r="M58" s="134">
        <f t="shared" si="6"/>
        <v>-184438026.14455399</v>
      </c>
      <c r="N58" s="134">
        <f t="shared" si="6"/>
        <v>-192682646.88490123</v>
      </c>
    </row>
    <row r="59" spans="1:14" s="24" customFormat="1" x14ac:dyDescent="0.25">
      <c r="A59" s="20"/>
      <c r="B59" s="20"/>
      <c r="C59" s="21"/>
      <c r="D59" s="22"/>
      <c r="E59" s="22"/>
      <c r="F59" s="22"/>
      <c r="G59" s="22"/>
      <c r="H59" s="22"/>
      <c r="I59" s="22"/>
      <c r="J59" s="27"/>
      <c r="K59" s="27"/>
      <c r="L59" s="22"/>
      <c r="M59" s="134"/>
      <c r="N59" s="132"/>
    </row>
    <row r="60" spans="1:14" s="24" customFormat="1" x14ac:dyDescent="0.25">
      <c r="A60" s="20"/>
      <c r="B60" s="20"/>
      <c r="C60" s="21" t="s">
        <v>96</v>
      </c>
      <c r="D60" s="22"/>
      <c r="E60" s="22"/>
      <c r="F60" s="22"/>
      <c r="G60" s="22"/>
      <c r="H60" s="22"/>
      <c r="I60" s="22"/>
      <c r="J60" s="27">
        <f>+K60-D60</f>
        <v>0</v>
      </c>
      <c r="K60" s="27"/>
      <c r="L60" s="22"/>
      <c r="M60" s="134"/>
      <c r="N60" s="132"/>
    </row>
    <row r="61" spans="1:14" s="24" customFormat="1" x14ac:dyDescent="0.25">
      <c r="A61" s="20"/>
      <c r="B61" s="20"/>
      <c r="C61" s="21" t="s">
        <v>97</v>
      </c>
      <c r="D61" s="22"/>
      <c r="E61" s="22"/>
      <c r="F61" s="22"/>
      <c r="G61" s="22"/>
      <c r="H61" s="22"/>
      <c r="I61" s="22"/>
      <c r="J61" s="27">
        <f>+K61-D61</f>
        <v>0</v>
      </c>
      <c r="K61" s="27"/>
      <c r="L61" s="22"/>
      <c r="M61" s="134"/>
      <c r="N61" s="132"/>
    </row>
    <row r="62" spans="1:14" s="24" customFormat="1" x14ac:dyDescent="0.25">
      <c r="A62" s="20"/>
      <c r="B62" s="20"/>
      <c r="C62" s="21" t="s">
        <v>98</v>
      </c>
      <c r="D62" s="22"/>
      <c r="E62" s="22"/>
      <c r="F62" s="22"/>
      <c r="G62" s="22"/>
      <c r="H62" s="22"/>
      <c r="I62" s="22"/>
      <c r="J62" s="27">
        <f>+K62-D62</f>
        <v>0</v>
      </c>
      <c r="K62" s="27"/>
      <c r="L62" s="22"/>
      <c r="M62" s="134"/>
      <c r="N62" s="132"/>
    </row>
    <row r="63" spans="1:14" s="24" customFormat="1" x14ac:dyDescent="0.25">
      <c r="A63" s="20"/>
      <c r="B63" s="20"/>
      <c r="C63" s="21" t="s">
        <v>99</v>
      </c>
      <c r="D63" s="22"/>
      <c r="E63" s="22"/>
      <c r="F63" s="22"/>
      <c r="G63" s="22"/>
      <c r="H63" s="22"/>
      <c r="I63" s="22"/>
      <c r="J63" s="27">
        <f>+K63-D63</f>
        <v>0</v>
      </c>
      <c r="K63" s="27"/>
      <c r="L63" s="22"/>
      <c r="M63" s="134"/>
      <c r="N63" s="132"/>
    </row>
    <row r="64" spans="1:14" s="24" customFormat="1" x14ac:dyDescent="0.25">
      <c r="A64" s="20"/>
      <c r="B64" s="20"/>
      <c r="C64" s="21" t="s">
        <v>107</v>
      </c>
      <c r="D64" s="22"/>
      <c r="E64" s="22"/>
      <c r="F64" s="22"/>
      <c r="G64" s="22"/>
      <c r="H64" s="22"/>
      <c r="I64" s="22"/>
      <c r="J64" s="27">
        <f>+K64-D64</f>
        <v>0</v>
      </c>
      <c r="K64" s="27"/>
      <c r="L64" s="22"/>
      <c r="M64" s="134"/>
      <c r="N64" s="132"/>
    </row>
    <row r="65" spans="1:14" s="28" customFormat="1" ht="14.25" x14ac:dyDescent="0.2">
      <c r="A65" s="25"/>
      <c r="B65" s="25"/>
      <c r="C65" s="26"/>
      <c r="D65" s="27"/>
      <c r="E65" s="27"/>
      <c r="F65" s="27"/>
      <c r="G65" s="27"/>
      <c r="H65" s="27"/>
      <c r="I65" s="27"/>
      <c r="J65" s="27"/>
      <c r="K65" s="27"/>
      <c r="L65" s="27"/>
      <c r="M65" s="107"/>
      <c r="N65" s="133"/>
    </row>
    <row r="66" spans="1:14" s="28" customFormat="1" ht="14.25" x14ac:dyDescent="0.2">
      <c r="A66" s="25" t="s">
        <v>822</v>
      </c>
      <c r="B66" s="25"/>
      <c r="C66" s="26" t="s">
        <v>108</v>
      </c>
      <c r="D66" s="27">
        <f t="shared" ref="D66:D71" si="7">VLOOKUP(A66,fin,3,FALSE)</f>
        <v>601072</v>
      </c>
      <c r="E66" s="27">
        <v>-141346.4</v>
      </c>
      <c r="F66" s="27">
        <v>0</v>
      </c>
      <c r="G66" s="27">
        <v>-848078.4</v>
      </c>
      <c r="H66" s="27">
        <v>-563200.6</v>
      </c>
      <c r="I66" s="27">
        <v>60.09</v>
      </c>
      <c r="J66" s="27">
        <f t="shared" ref="J66:J71" si="8">+K66-D66</f>
        <v>0</v>
      </c>
      <c r="K66" s="27">
        <f t="shared" ref="K66:K71" si="9">VLOOKUP(A66,fin,4,FALSE)</f>
        <v>601072</v>
      </c>
      <c r="L66" s="27">
        <f>K66*6.25/100+K66</f>
        <v>638639</v>
      </c>
      <c r="M66" s="107">
        <f>L66*7/100+L66</f>
        <v>683343.73</v>
      </c>
      <c r="N66" s="133">
        <f>M66*7/100+M66</f>
        <v>731177.79110000003</v>
      </c>
    </row>
    <row r="67" spans="1:14" s="28" customFormat="1" ht="14.25" x14ac:dyDescent="0.2">
      <c r="A67" s="25" t="s">
        <v>823</v>
      </c>
      <c r="B67" s="25"/>
      <c r="C67" s="26" t="s">
        <v>109</v>
      </c>
      <c r="D67" s="27">
        <f t="shared" si="7"/>
        <v>30054</v>
      </c>
      <c r="E67" s="27">
        <v>-141346.4</v>
      </c>
      <c r="F67" s="27">
        <v>0</v>
      </c>
      <c r="G67" s="27">
        <v>-848078.4</v>
      </c>
      <c r="H67" s="27">
        <v>-563200.6</v>
      </c>
      <c r="I67" s="27">
        <v>60.09</v>
      </c>
      <c r="J67" s="27">
        <f t="shared" si="8"/>
        <v>0</v>
      </c>
      <c r="K67" s="27">
        <f t="shared" si="9"/>
        <v>30054</v>
      </c>
      <c r="L67" s="27">
        <f t="shared" ref="L67:L70" si="10">K67*6.25/100+K67</f>
        <v>31932.375</v>
      </c>
      <c r="M67" s="107">
        <f t="shared" ref="M67:N70" si="11">L67*7/100+L67</f>
        <v>34167.641250000001</v>
      </c>
      <c r="N67" s="133">
        <f t="shared" si="11"/>
        <v>36559.376137500003</v>
      </c>
    </row>
    <row r="68" spans="1:14" s="28" customFormat="1" ht="14.25" x14ac:dyDescent="0.2">
      <c r="A68" s="25" t="s">
        <v>824</v>
      </c>
      <c r="B68" s="25"/>
      <c r="C68" s="26" t="s">
        <v>110</v>
      </c>
      <c r="D68" s="27">
        <f t="shared" si="7"/>
        <v>40000</v>
      </c>
      <c r="E68" s="27">
        <v>-141346.4</v>
      </c>
      <c r="F68" s="27">
        <v>0</v>
      </c>
      <c r="G68" s="27">
        <v>-848078.4</v>
      </c>
      <c r="H68" s="27">
        <v>-563200.6</v>
      </c>
      <c r="I68" s="27">
        <v>60.09</v>
      </c>
      <c r="J68" s="27">
        <f t="shared" si="8"/>
        <v>0</v>
      </c>
      <c r="K68" s="27">
        <f t="shared" si="9"/>
        <v>40000</v>
      </c>
      <c r="L68" s="27">
        <f t="shared" si="10"/>
        <v>42500</v>
      </c>
      <c r="M68" s="107">
        <f t="shared" si="11"/>
        <v>45475</v>
      </c>
      <c r="N68" s="133">
        <f t="shared" si="11"/>
        <v>48658.25</v>
      </c>
    </row>
    <row r="69" spans="1:14" s="28" customFormat="1" ht="14.25" x14ac:dyDescent="0.2">
      <c r="A69" s="25" t="s">
        <v>825</v>
      </c>
      <c r="B69" s="25"/>
      <c r="C69" s="26" t="s">
        <v>111</v>
      </c>
      <c r="D69" s="27">
        <f t="shared" si="7"/>
        <v>205628</v>
      </c>
      <c r="E69" s="27">
        <v>-141346.4</v>
      </c>
      <c r="F69" s="27">
        <v>0</v>
      </c>
      <c r="G69" s="27">
        <v>-848078.4</v>
      </c>
      <c r="H69" s="27">
        <v>-563200.6</v>
      </c>
      <c r="I69" s="27">
        <v>60.09</v>
      </c>
      <c r="J69" s="27">
        <f t="shared" si="8"/>
        <v>0</v>
      </c>
      <c r="K69" s="27">
        <f t="shared" si="9"/>
        <v>205628</v>
      </c>
      <c r="L69" s="27">
        <f t="shared" si="10"/>
        <v>218479.75</v>
      </c>
      <c r="M69" s="107">
        <f t="shared" si="11"/>
        <v>233773.33249999999</v>
      </c>
      <c r="N69" s="133">
        <f t="shared" si="11"/>
        <v>250137.46577499999</v>
      </c>
    </row>
    <row r="70" spans="1:14" s="28" customFormat="1" ht="14.25" x14ac:dyDescent="0.2">
      <c r="A70" s="25" t="s">
        <v>826</v>
      </c>
      <c r="B70" s="25"/>
      <c r="C70" s="26" t="s">
        <v>112</v>
      </c>
      <c r="D70" s="27">
        <f t="shared" si="7"/>
        <v>17000</v>
      </c>
      <c r="E70" s="27">
        <v>-141346.4</v>
      </c>
      <c r="F70" s="27">
        <v>0</v>
      </c>
      <c r="G70" s="27">
        <v>-848078.4</v>
      </c>
      <c r="H70" s="27">
        <v>-563200.6</v>
      </c>
      <c r="I70" s="27">
        <v>60.09</v>
      </c>
      <c r="J70" s="27">
        <f t="shared" si="8"/>
        <v>0</v>
      </c>
      <c r="K70" s="27">
        <f t="shared" si="9"/>
        <v>17000</v>
      </c>
      <c r="L70" s="27">
        <f t="shared" si="10"/>
        <v>18062.5</v>
      </c>
      <c r="M70" s="107">
        <f t="shared" si="11"/>
        <v>19326.875</v>
      </c>
      <c r="N70" s="133">
        <f t="shared" si="11"/>
        <v>20679.756249999999</v>
      </c>
    </row>
    <row r="71" spans="1:14" s="28" customFormat="1" ht="14.25" x14ac:dyDescent="0.2">
      <c r="A71" s="25" t="s">
        <v>827</v>
      </c>
      <c r="B71" s="25"/>
      <c r="C71" s="26" t="s">
        <v>113</v>
      </c>
      <c r="D71" s="27">
        <f t="shared" si="7"/>
        <v>18580</v>
      </c>
      <c r="E71" s="27">
        <v>-141346.4</v>
      </c>
      <c r="F71" s="27">
        <v>0</v>
      </c>
      <c r="G71" s="27">
        <v>-848078.4</v>
      </c>
      <c r="H71" s="27">
        <v>-563200.6</v>
      </c>
      <c r="I71" s="27">
        <v>60.09</v>
      </c>
      <c r="J71" s="27">
        <f t="shared" si="8"/>
        <v>-18580</v>
      </c>
      <c r="K71" s="27">
        <f t="shared" si="9"/>
        <v>0</v>
      </c>
      <c r="L71" s="27">
        <f t="shared" ref="L71" si="12">VLOOKUP(A71,fin,5,FALSE)</f>
        <v>0</v>
      </c>
      <c r="M71" s="107">
        <f>VLOOKUP(A71,fin,6,FALSE)</f>
        <v>0</v>
      </c>
      <c r="N71" s="133"/>
    </row>
    <row r="72" spans="1:14" s="28" customFormat="1" ht="14.25" x14ac:dyDescent="0.2">
      <c r="A72" s="25"/>
      <c r="B72" s="25"/>
      <c r="C72" s="26"/>
      <c r="D72" s="27"/>
      <c r="E72" s="27"/>
      <c r="F72" s="27"/>
      <c r="G72" s="27"/>
      <c r="H72" s="27"/>
      <c r="I72" s="27"/>
      <c r="J72" s="27"/>
      <c r="K72" s="27"/>
      <c r="L72" s="27"/>
      <c r="M72" s="107"/>
      <c r="N72" s="133"/>
    </row>
    <row r="73" spans="1:14" s="24" customFormat="1" x14ac:dyDescent="0.25">
      <c r="A73" s="20"/>
      <c r="B73" s="20"/>
      <c r="C73" s="21" t="s">
        <v>114</v>
      </c>
      <c r="D73" s="22">
        <f>SUM(D66:D72)</f>
        <v>912334</v>
      </c>
      <c r="E73" s="22">
        <f>SUM(E66:E72)</f>
        <v>-848078.4</v>
      </c>
      <c r="F73" s="22">
        <f>SUM(F66:F72)</f>
        <v>0</v>
      </c>
      <c r="G73" s="22">
        <f>SUM(G66:G72)</f>
        <v>-5088470.4000000004</v>
      </c>
      <c r="H73" s="22">
        <f>SUM(H66:H72)</f>
        <v>-3379203.6</v>
      </c>
      <c r="I73" s="22">
        <v>45.02</v>
      </c>
      <c r="J73" s="27">
        <f>+K73-D73</f>
        <v>-18580</v>
      </c>
      <c r="K73" s="22">
        <f>SUM(K66:K72)</f>
        <v>893754</v>
      </c>
      <c r="L73" s="22">
        <f>SUM(L66:L72)</f>
        <v>949613.625</v>
      </c>
      <c r="M73" s="134">
        <f>SUM(M66:M72)</f>
        <v>1016086.57875</v>
      </c>
      <c r="N73" s="134">
        <f>SUM(N66:N72)</f>
        <v>1087212.6392625002</v>
      </c>
    </row>
    <row r="74" spans="1:14" s="24" customFormat="1" x14ac:dyDescent="0.25">
      <c r="A74" s="20"/>
      <c r="B74" s="20"/>
      <c r="C74" s="21"/>
      <c r="D74" s="22"/>
      <c r="E74" s="22"/>
      <c r="F74" s="22"/>
      <c r="G74" s="22"/>
      <c r="H74" s="22"/>
      <c r="I74" s="22"/>
      <c r="J74" s="27"/>
      <c r="K74" s="22"/>
      <c r="L74" s="22"/>
      <c r="M74" s="134"/>
      <c r="N74" s="132"/>
    </row>
    <row r="75" spans="1:14" s="24" customFormat="1" x14ac:dyDescent="0.25">
      <c r="A75" s="20"/>
      <c r="B75" s="20"/>
      <c r="C75" s="21" t="s">
        <v>146</v>
      </c>
      <c r="D75" s="22">
        <f>D73</f>
        <v>912334</v>
      </c>
      <c r="E75" s="22">
        <f t="shared" ref="E75:N75" si="13">E73</f>
        <v>-848078.4</v>
      </c>
      <c r="F75" s="22">
        <f t="shared" si="13"/>
        <v>0</v>
      </c>
      <c r="G75" s="22">
        <f t="shared" si="13"/>
        <v>-5088470.4000000004</v>
      </c>
      <c r="H75" s="22">
        <f t="shared" si="13"/>
        <v>-3379203.6</v>
      </c>
      <c r="I75" s="22">
        <v>45.02</v>
      </c>
      <c r="J75" s="27">
        <f>+K75-D75</f>
        <v>-18580</v>
      </c>
      <c r="K75" s="22">
        <f t="shared" si="13"/>
        <v>893754</v>
      </c>
      <c r="L75" s="22">
        <f t="shared" si="13"/>
        <v>949613.625</v>
      </c>
      <c r="M75" s="134">
        <f t="shared" si="13"/>
        <v>1016086.57875</v>
      </c>
      <c r="N75" s="134">
        <f t="shared" si="13"/>
        <v>1087212.6392625002</v>
      </c>
    </row>
    <row r="76" spans="1:14" s="24" customFormat="1" x14ac:dyDescent="0.25">
      <c r="A76" s="20"/>
      <c r="B76" s="20"/>
      <c r="C76" s="21"/>
      <c r="D76" s="22"/>
      <c r="E76" s="22"/>
      <c r="F76" s="22"/>
      <c r="G76" s="22"/>
      <c r="H76" s="22"/>
      <c r="I76" s="22"/>
      <c r="J76" s="22"/>
      <c r="K76" s="22"/>
      <c r="L76" s="22"/>
      <c r="M76" s="134"/>
      <c r="N76" s="132"/>
    </row>
    <row r="77" spans="1:14" s="24" customFormat="1" x14ac:dyDescent="0.25">
      <c r="A77" s="20"/>
      <c r="B77" s="20"/>
      <c r="C77" s="21" t="s">
        <v>147</v>
      </c>
      <c r="D77" s="22">
        <f>D75</f>
        <v>912334</v>
      </c>
      <c r="E77" s="22">
        <f t="shared" ref="E77:N77" si="14">E75</f>
        <v>-848078.4</v>
      </c>
      <c r="F77" s="22">
        <f t="shared" si="14"/>
        <v>0</v>
      </c>
      <c r="G77" s="22">
        <f t="shared" si="14"/>
        <v>-5088470.4000000004</v>
      </c>
      <c r="H77" s="22">
        <f t="shared" si="14"/>
        <v>-3379203.6</v>
      </c>
      <c r="I77" s="22">
        <v>45.02</v>
      </c>
      <c r="J77" s="27">
        <f>+K77-D77</f>
        <v>-18580</v>
      </c>
      <c r="K77" s="22">
        <f t="shared" si="14"/>
        <v>893754</v>
      </c>
      <c r="L77" s="22">
        <f t="shared" si="14"/>
        <v>949613.625</v>
      </c>
      <c r="M77" s="134">
        <f t="shared" si="14"/>
        <v>1016086.57875</v>
      </c>
      <c r="N77" s="134">
        <f t="shared" si="14"/>
        <v>1087212.6392625002</v>
      </c>
    </row>
    <row r="78" spans="1:14" s="24" customFormat="1" x14ac:dyDescent="0.25">
      <c r="A78" s="20"/>
      <c r="B78" s="20"/>
      <c r="C78" s="21"/>
      <c r="D78" s="22"/>
      <c r="E78" s="22"/>
      <c r="F78" s="22"/>
      <c r="G78" s="22"/>
      <c r="H78" s="22"/>
      <c r="I78" s="22"/>
      <c r="J78" s="27"/>
      <c r="K78" s="22"/>
      <c r="L78" s="152"/>
      <c r="M78" s="152"/>
      <c r="N78" s="132"/>
    </row>
    <row r="79" spans="1:14" s="24" customFormat="1" x14ac:dyDescent="0.25">
      <c r="A79" s="20"/>
      <c r="B79" s="20"/>
      <c r="C79" s="21" t="s">
        <v>148</v>
      </c>
      <c r="D79" s="22"/>
      <c r="E79" s="22"/>
      <c r="F79" s="22"/>
      <c r="G79" s="22"/>
      <c r="H79" s="22"/>
      <c r="I79" s="22"/>
      <c r="J79" s="27">
        <f>+K79-D79</f>
        <v>0</v>
      </c>
      <c r="K79" s="22"/>
      <c r="L79" s="22"/>
      <c r="M79" s="134"/>
      <c r="N79" s="132"/>
    </row>
    <row r="80" spans="1:14" s="24" customFormat="1" x14ac:dyDescent="0.25">
      <c r="A80" s="20"/>
      <c r="B80" s="20"/>
      <c r="C80" s="21" t="s">
        <v>149</v>
      </c>
      <c r="D80" s="22"/>
      <c r="E80" s="22"/>
      <c r="F80" s="22"/>
      <c r="G80" s="22"/>
      <c r="H80" s="22"/>
      <c r="I80" s="22"/>
      <c r="J80" s="27">
        <f>+K80-D80</f>
        <v>0</v>
      </c>
      <c r="K80" s="22"/>
      <c r="L80" s="22"/>
      <c r="M80" s="134"/>
      <c r="N80" s="132"/>
    </row>
    <row r="81" spans="1:14" s="28" customFormat="1" ht="14.25" x14ac:dyDescent="0.2">
      <c r="A81" s="25"/>
      <c r="B81" s="25"/>
      <c r="C81" s="26"/>
      <c r="D81" s="27"/>
      <c r="E81" s="27"/>
      <c r="F81" s="27"/>
      <c r="G81" s="27"/>
      <c r="H81" s="27"/>
      <c r="I81" s="27"/>
      <c r="J81" s="27"/>
      <c r="K81" s="27"/>
      <c r="L81" s="27"/>
      <c r="M81" s="107"/>
      <c r="N81" s="133"/>
    </row>
    <row r="82" spans="1:14" s="28" customFormat="1" ht="14.25" x14ac:dyDescent="0.2">
      <c r="A82" s="25" t="s">
        <v>828</v>
      </c>
      <c r="B82" s="25"/>
      <c r="C82" s="26" t="s">
        <v>150</v>
      </c>
      <c r="D82" s="27">
        <f t="shared" ref="D82:D88" si="15">VLOOKUP(A82,fin,3,FALSE)</f>
        <v>514319</v>
      </c>
      <c r="E82" s="27">
        <v>-141346.4</v>
      </c>
      <c r="F82" s="27">
        <v>0</v>
      </c>
      <c r="G82" s="27">
        <v>-848078.4</v>
      </c>
      <c r="H82" s="27">
        <v>-563200.6</v>
      </c>
      <c r="I82" s="27">
        <v>60.09</v>
      </c>
      <c r="J82" s="27">
        <f t="shared" ref="J82:J88" si="16">+K82-D82</f>
        <v>0</v>
      </c>
      <c r="K82" s="27">
        <f t="shared" ref="K82:K88" si="17">VLOOKUP(A82,fin,4,FALSE)</f>
        <v>514319</v>
      </c>
      <c r="L82" s="27">
        <f t="shared" ref="L82:L88" si="18">K82*6.25/100+K82</f>
        <v>546463.9375</v>
      </c>
      <c r="M82" s="107">
        <f t="shared" ref="M82:N88" si="19">L82*7/100+L82</f>
        <v>584716.41312499996</v>
      </c>
      <c r="N82" s="133">
        <f t="shared" si="19"/>
        <v>625646.56204374996</v>
      </c>
    </row>
    <row r="83" spans="1:14" s="28" customFormat="1" ht="14.25" x14ac:dyDescent="0.2">
      <c r="A83" s="25" t="s">
        <v>829</v>
      </c>
      <c r="B83" s="25"/>
      <c r="C83" s="26" t="s">
        <v>151</v>
      </c>
      <c r="D83" s="27">
        <f t="shared" si="15"/>
        <v>25716</v>
      </c>
      <c r="E83" s="27">
        <v>-141346.4</v>
      </c>
      <c r="F83" s="27">
        <v>0</v>
      </c>
      <c r="G83" s="27">
        <v>-848078.4</v>
      </c>
      <c r="H83" s="27">
        <v>-563200.6</v>
      </c>
      <c r="I83" s="27">
        <v>60.09</v>
      </c>
      <c r="J83" s="27">
        <f t="shared" si="16"/>
        <v>-17248.910000000003</v>
      </c>
      <c r="K83" s="27">
        <f t="shared" si="17"/>
        <v>8467.0899999999965</v>
      </c>
      <c r="L83" s="27">
        <f t="shared" si="18"/>
        <v>8996.2831249999963</v>
      </c>
      <c r="M83" s="107">
        <f t="shared" si="19"/>
        <v>9626.0229437499966</v>
      </c>
      <c r="N83" s="133">
        <f t="shared" si="19"/>
        <v>10299.844549812497</v>
      </c>
    </row>
    <row r="84" spans="1:14" s="28" customFormat="1" ht="14.25" x14ac:dyDescent="0.2">
      <c r="A84" s="25" t="s">
        <v>830</v>
      </c>
      <c r="B84" s="25"/>
      <c r="C84" s="26" t="s">
        <v>153</v>
      </c>
      <c r="D84" s="27">
        <f t="shared" si="15"/>
        <v>0</v>
      </c>
      <c r="E84" s="27">
        <v>-141346.4</v>
      </c>
      <c r="F84" s="27">
        <v>0</v>
      </c>
      <c r="G84" s="27">
        <v>-848078.4</v>
      </c>
      <c r="H84" s="27">
        <v>-563200.6</v>
      </c>
      <c r="I84" s="27">
        <v>60.09</v>
      </c>
      <c r="J84" s="27">
        <f t="shared" si="16"/>
        <v>10893.24</v>
      </c>
      <c r="K84" s="27">
        <f t="shared" si="17"/>
        <v>10893.24</v>
      </c>
      <c r="L84" s="27">
        <f t="shared" si="18"/>
        <v>11574.067499999999</v>
      </c>
      <c r="M84" s="107">
        <f t="shared" si="19"/>
        <v>12384.252224999998</v>
      </c>
      <c r="N84" s="133">
        <f t="shared" si="19"/>
        <v>13251.149880749997</v>
      </c>
    </row>
    <row r="85" spans="1:14" s="28" customFormat="1" ht="14.25" x14ac:dyDescent="0.2">
      <c r="A85" s="25" t="s">
        <v>831</v>
      </c>
      <c r="B85" s="25"/>
      <c r="C85" s="26" t="s">
        <v>155</v>
      </c>
      <c r="D85" s="27">
        <f t="shared" si="15"/>
        <v>17067</v>
      </c>
      <c r="E85" s="27">
        <v>-141346.4</v>
      </c>
      <c r="F85" s="27">
        <v>0</v>
      </c>
      <c r="G85" s="27">
        <v>-848078.4</v>
      </c>
      <c r="H85" s="27">
        <v>-563200.6</v>
      </c>
      <c r="I85" s="27">
        <v>60.09</v>
      </c>
      <c r="J85" s="27">
        <f t="shared" si="16"/>
        <v>0</v>
      </c>
      <c r="K85" s="27">
        <f t="shared" si="17"/>
        <v>17067</v>
      </c>
      <c r="L85" s="27">
        <f t="shared" si="18"/>
        <v>18133.6875</v>
      </c>
      <c r="M85" s="107">
        <f t="shared" si="19"/>
        <v>19403.045624999999</v>
      </c>
      <c r="N85" s="133">
        <f t="shared" si="19"/>
        <v>20761.258818750001</v>
      </c>
    </row>
    <row r="86" spans="1:14" s="28" customFormat="1" ht="14.25" x14ac:dyDescent="0.2">
      <c r="A86" s="25" t="s">
        <v>832</v>
      </c>
      <c r="B86" s="25"/>
      <c r="C86" s="26" t="s">
        <v>157</v>
      </c>
      <c r="D86" s="27">
        <f t="shared" si="15"/>
        <v>27826</v>
      </c>
      <c r="E86" s="27">
        <v>-141346.4</v>
      </c>
      <c r="F86" s="27">
        <v>0</v>
      </c>
      <c r="G86" s="27">
        <v>-848078.4</v>
      </c>
      <c r="H86" s="27">
        <v>-563200.6</v>
      </c>
      <c r="I86" s="27">
        <v>60.09</v>
      </c>
      <c r="J86" s="27">
        <f t="shared" si="16"/>
        <v>0</v>
      </c>
      <c r="K86" s="27">
        <f t="shared" si="17"/>
        <v>27826</v>
      </c>
      <c r="L86" s="27">
        <f t="shared" si="18"/>
        <v>29565.125</v>
      </c>
      <c r="M86" s="107">
        <f t="shared" si="19"/>
        <v>31634.68375</v>
      </c>
      <c r="N86" s="133">
        <f t="shared" si="19"/>
        <v>33849.111612499997</v>
      </c>
    </row>
    <row r="87" spans="1:14" s="28" customFormat="1" ht="14.25" x14ac:dyDescent="0.2">
      <c r="A87" s="25" t="s">
        <v>833</v>
      </c>
      <c r="B87" s="25"/>
      <c r="C87" s="26" t="s">
        <v>159</v>
      </c>
      <c r="D87" s="27">
        <f t="shared" si="15"/>
        <v>42860</v>
      </c>
      <c r="E87" s="27">
        <v>-141346.4</v>
      </c>
      <c r="F87" s="27">
        <v>0</v>
      </c>
      <c r="G87" s="27">
        <v>-848078.4</v>
      </c>
      <c r="H87" s="27">
        <v>-563200.6</v>
      </c>
      <c r="I87" s="27">
        <v>60.09</v>
      </c>
      <c r="J87" s="27">
        <f t="shared" si="16"/>
        <v>27140</v>
      </c>
      <c r="K87" s="27">
        <f t="shared" si="17"/>
        <v>70000</v>
      </c>
      <c r="L87" s="27">
        <f t="shared" si="18"/>
        <v>74375</v>
      </c>
      <c r="M87" s="107">
        <f t="shared" si="19"/>
        <v>79581.25</v>
      </c>
      <c r="N87" s="133">
        <f t="shared" si="19"/>
        <v>85151.9375</v>
      </c>
    </row>
    <row r="88" spans="1:14" s="28" customFormat="1" ht="14.25" x14ac:dyDescent="0.2">
      <c r="A88" s="25" t="s">
        <v>834</v>
      </c>
      <c r="B88" s="25"/>
      <c r="C88" s="26" t="s">
        <v>164</v>
      </c>
      <c r="D88" s="27">
        <f t="shared" si="15"/>
        <v>32457</v>
      </c>
      <c r="E88" s="27">
        <v>-141346.4</v>
      </c>
      <c r="F88" s="27">
        <v>0</v>
      </c>
      <c r="G88" s="27">
        <v>-848078.4</v>
      </c>
      <c r="H88" s="27">
        <v>-563200.6</v>
      </c>
      <c r="I88" s="27">
        <v>60.09</v>
      </c>
      <c r="J88" s="27">
        <f t="shared" si="16"/>
        <v>0</v>
      </c>
      <c r="K88" s="27">
        <f t="shared" si="17"/>
        <v>32457</v>
      </c>
      <c r="L88" s="27">
        <f t="shared" si="18"/>
        <v>34485.5625</v>
      </c>
      <c r="M88" s="107">
        <f t="shared" si="19"/>
        <v>36899.551874999997</v>
      </c>
      <c r="N88" s="133">
        <f t="shared" si="19"/>
        <v>39482.520506249995</v>
      </c>
    </row>
    <row r="89" spans="1:14" s="28" customFormat="1" ht="14.25" x14ac:dyDescent="0.2">
      <c r="A89" s="25"/>
      <c r="B89" s="25"/>
      <c r="C89" s="26"/>
      <c r="D89" s="27"/>
      <c r="E89" s="27"/>
      <c r="F89" s="27"/>
      <c r="G89" s="27"/>
      <c r="H89" s="27"/>
      <c r="I89" s="27"/>
      <c r="J89" s="27"/>
      <c r="K89" s="27"/>
      <c r="L89" s="27"/>
      <c r="M89" s="107"/>
      <c r="N89" s="133"/>
    </row>
    <row r="90" spans="1:14" s="24" customFormat="1" x14ac:dyDescent="0.25">
      <c r="A90" s="20"/>
      <c r="B90" s="20"/>
      <c r="C90" s="21" t="s">
        <v>165</v>
      </c>
      <c r="D90" s="22">
        <f>SUM(D82:D89)</f>
        <v>660245</v>
      </c>
      <c r="E90" s="22">
        <f>SUM(E82:E89)</f>
        <v>-989424.8</v>
      </c>
      <c r="F90" s="22">
        <f>SUM(F82:F89)</f>
        <v>0</v>
      </c>
      <c r="G90" s="22">
        <f>SUM(G82:G89)</f>
        <v>-5936548.8000000007</v>
      </c>
      <c r="H90" s="22">
        <f>SUM(H82:H89)</f>
        <v>-3942404.2</v>
      </c>
      <c r="I90" s="22">
        <v>52.82</v>
      </c>
      <c r="J90" s="27">
        <f>+K90-D90</f>
        <v>20784.329999999958</v>
      </c>
      <c r="K90" s="22">
        <f>SUM(K82:K89)</f>
        <v>681029.33</v>
      </c>
      <c r="L90" s="22">
        <f>SUM(L82:L89)</f>
        <v>723593.66312499996</v>
      </c>
      <c r="M90" s="134">
        <f>SUM(M82:M89)</f>
        <v>774245.21954374993</v>
      </c>
      <c r="N90" s="134">
        <f>SUM(N82:N89)</f>
        <v>828442.38491181249</v>
      </c>
    </row>
    <row r="91" spans="1:14" s="24" customFormat="1" x14ac:dyDescent="0.25">
      <c r="A91" s="20"/>
      <c r="B91" s="20"/>
      <c r="C91" s="21"/>
      <c r="D91" s="22"/>
      <c r="E91" s="22"/>
      <c r="F91" s="22"/>
      <c r="G91" s="22"/>
      <c r="H91" s="22"/>
      <c r="I91" s="22"/>
      <c r="J91" s="27"/>
      <c r="K91" s="27"/>
      <c r="L91" s="22"/>
      <c r="M91" s="134"/>
      <c r="N91" s="132"/>
    </row>
    <row r="92" spans="1:14" s="24" customFormat="1" x14ac:dyDescent="0.25">
      <c r="A92" s="20"/>
      <c r="B92" s="20"/>
      <c r="C92" s="21" t="s">
        <v>166</v>
      </c>
      <c r="D92" s="22"/>
      <c r="E92" s="22"/>
      <c r="F92" s="22"/>
      <c r="G92" s="22"/>
      <c r="H92" s="22"/>
      <c r="I92" s="22"/>
      <c r="J92" s="27">
        <f>+K92-D92</f>
        <v>0</v>
      </c>
      <c r="K92" s="27"/>
      <c r="L92" s="22"/>
      <c r="M92" s="134"/>
      <c r="N92" s="132"/>
    </row>
    <row r="93" spans="1:14" s="28" customFormat="1" ht="14.25" x14ac:dyDescent="0.2">
      <c r="A93" s="25"/>
      <c r="B93" s="25"/>
      <c r="C93" s="26"/>
      <c r="D93" s="27"/>
      <c r="E93" s="27"/>
      <c r="F93" s="27"/>
      <c r="G93" s="27"/>
      <c r="H93" s="27"/>
      <c r="I93" s="27"/>
      <c r="J93" s="27"/>
      <c r="K93" s="27"/>
      <c r="L93" s="27"/>
      <c r="M93" s="107"/>
      <c r="N93" s="133"/>
    </row>
    <row r="94" spans="1:14" s="28" customFormat="1" ht="14.25" x14ac:dyDescent="0.2">
      <c r="A94" s="25" t="s">
        <v>835</v>
      </c>
      <c r="B94" s="25"/>
      <c r="C94" s="26" t="s">
        <v>167</v>
      </c>
      <c r="D94" s="27">
        <f>VLOOKUP(A94,fin,3,FALSE)</f>
        <v>225</v>
      </c>
      <c r="E94" s="27">
        <v>-141346.4</v>
      </c>
      <c r="F94" s="27">
        <v>0</v>
      </c>
      <c r="G94" s="27">
        <v>-848078.4</v>
      </c>
      <c r="H94" s="27">
        <v>-563200.6</v>
      </c>
      <c r="I94" s="27">
        <v>60.09</v>
      </c>
      <c r="J94" s="27">
        <f>+K94-D94</f>
        <v>0</v>
      </c>
      <c r="K94" s="27">
        <f>VLOOKUP(A94,fin,4,FALSE)</f>
        <v>225</v>
      </c>
      <c r="L94" s="27">
        <f t="shared" ref="L94:L97" si="20">K94*6.25/100+K94</f>
        <v>239.0625</v>
      </c>
      <c r="M94" s="107">
        <f t="shared" ref="M94:N97" si="21">L94*7/100+L94</f>
        <v>255.796875</v>
      </c>
      <c r="N94" s="133">
        <f t="shared" si="21"/>
        <v>273.70265625000002</v>
      </c>
    </row>
    <row r="95" spans="1:14" s="28" customFormat="1" ht="14.25" x14ac:dyDescent="0.2">
      <c r="A95" s="25" t="s">
        <v>836</v>
      </c>
      <c r="B95" s="25"/>
      <c r="C95" s="26" t="s">
        <v>168</v>
      </c>
      <c r="D95" s="27">
        <f>VLOOKUP(A95,fin,3,FALSE)</f>
        <v>107816</v>
      </c>
      <c r="E95" s="27">
        <v>-141346.4</v>
      </c>
      <c r="F95" s="27">
        <v>0</v>
      </c>
      <c r="G95" s="27">
        <v>-848078.4</v>
      </c>
      <c r="H95" s="27">
        <v>-563200.6</v>
      </c>
      <c r="I95" s="27">
        <v>60.09</v>
      </c>
      <c r="J95" s="27">
        <f>+K95-D95</f>
        <v>-60000</v>
      </c>
      <c r="K95" s="27">
        <f>VLOOKUP(A95,fin,4,FALSE)</f>
        <v>47816</v>
      </c>
      <c r="L95" s="27">
        <f t="shared" si="20"/>
        <v>50804.5</v>
      </c>
      <c r="M95" s="107">
        <f t="shared" si="21"/>
        <v>54360.815000000002</v>
      </c>
      <c r="N95" s="133">
        <f t="shared" si="21"/>
        <v>58166.072050000002</v>
      </c>
    </row>
    <row r="96" spans="1:14" s="28" customFormat="1" ht="14.25" x14ac:dyDescent="0.2">
      <c r="A96" s="25" t="s">
        <v>837</v>
      </c>
      <c r="B96" s="25"/>
      <c r="C96" s="26" t="s">
        <v>169</v>
      </c>
      <c r="D96" s="27">
        <f>VLOOKUP(A96,fin,3,FALSE)</f>
        <v>113150</v>
      </c>
      <c r="E96" s="27">
        <v>-141346.4</v>
      </c>
      <c r="F96" s="27">
        <v>0</v>
      </c>
      <c r="G96" s="27">
        <v>-848078.4</v>
      </c>
      <c r="H96" s="27">
        <v>-563200.6</v>
      </c>
      <c r="I96" s="27">
        <v>60.09</v>
      </c>
      <c r="J96" s="27">
        <f>+K96-D96</f>
        <v>0</v>
      </c>
      <c r="K96" s="27">
        <f>VLOOKUP(A96,fin,4,FALSE)</f>
        <v>113150</v>
      </c>
      <c r="L96" s="27">
        <f t="shared" si="20"/>
        <v>120221.875</v>
      </c>
      <c r="M96" s="107">
        <f t="shared" si="21"/>
        <v>128637.40625</v>
      </c>
      <c r="N96" s="133">
        <f t="shared" si="21"/>
        <v>137642.0246875</v>
      </c>
    </row>
    <row r="97" spans="1:14" s="28" customFormat="1" ht="14.25" x14ac:dyDescent="0.2">
      <c r="A97" s="25" t="s">
        <v>838</v>
      </c>
      <c r="B97" s="25"/>
      <c r="C97" s="26" t="s">
        <v>170</v>
      </c>
      <c r="D97" s="27">
        <f>VLOOKUP(A97,fin,3,FALSE)</f>
        <v>3570</v>
      </c>
      <c r="E97" s="27">
        <v>-141346.4</v>
      </c>
      <c r="F97" s="27">
        <v>0</v>
      </c>
      <c r="G97" s="27">
        <v>-848078.4</v>
      </c>
      <c r="H97" s="27">
        <v>-563200.6</v>
      </c>
      <c r="I97" s="27">
        <v>60.09</v>
      </c>
      <c r="J97" s="27">
        <f>+K97-D97</f>
        <v>0</v>
      </c>
      <c r="K97" s="27">
        <f>VLOOKUP(A97,fin,4,FALSE)</f>
        <v>3570</v>
      </c>
      <c r="L97" s="27">
        <f t="shared" si="20"/>
        <v>3793.125</v>
      </c>
      <c r="M97" s="107">
        <f t="shared" si="21"/>
        <v>4058.6437500000002</v>
      </c>
      <c r="N97" s="133">
        <f t="shared" si="21"/>
        <v>4342.7488125</v>
      </c>
    </row>
    <row r="98" spans="1:14" s="28" customFormat="1" ht="14.25" x14ac:dyDescent="0.2">
      <c r="A98" s="25"/>
      <c r="B98" s="25"/>
      <c r="C98" s="26"/>
      <c r="D98" s="27"/>
      <c r="E98" s="27"/>
      <c r="F98" s="27"/>
      <c r="G98" s="27"/>
      <c r="H98" s="27"/>
      <c r="I98" s="27"/>
      <c r="J98" s="27"/>
      <c r="K98" s="27"/>
      <c r="L98" s="27"/>
      <c r="M98" s="107"/>
      <c r="N98" s="133"/>
    </row>
    <row r="99" spans="1:14" s="24" customFormat="1" x14ac:dyDescent="0.25">
      <c r="A99" s="20"/>
      <c r="B99" s="20"/>
      <c r="C99" s="21" t="s">
        <v>171</v>
      </c>
      <c r="D99" s="22">
        <f>SUM(D94:D98)</f>
        <v>224761</v>
      </c>
      <c r="E99" s="22">
        <f>SUM(E94:E98)</f>
        <v>-565385.6</v>
      </c>
      <c r="F99" s="22">
        <f>SUM(F94:F98)</f>
        <v>0</v>
      </c>
      <c r="G99" s="22">
        <f>SUM(G94:G98)</f>
        <v>-3392313.6</v>
      </c>
      <c r="H99" s="22">
        <f>SUM(H94:H98)</f>
        <v>-2252802.4</v>
      </c>
      <c r="I99" s="22">
        <v>28.72</v>
      </c>
      <c r="J99" s="27">
        <f>+K99-D99</f>
        <v>-60000</v>
      </c>
      <c r="K99" s="22">
        <f>SUM(K94:K98)</f>
        <v>164761</v>
      </c>
      <c r="L99" s="22">
        <f>SUM(L94:L98)</f>
        <v>175058.5625</v>
      </c>
      <c r="M99" s="134">
        <f>SUM(M94:M98)</f>
        <v>187312.66187499999</v>
      </c>
      <c r="N99" s="134">
        <f>SUM(N94:N98)</f>
        <v>200424.54820625001</v>
      </c>
    </row>
    <row r="100" spans="1:14" s="24" customFormat="1" x14ac:dyDescent="0.25">
      <c r="A100" s="20"/>
      <c r="B100" s="20"/>
      <c r="C100" s="21"/>
      <c r="D100" s="22"/>
      <c r="E100" s="22"/>
      <c r="F100" s="22"/>
      <c r="G100" s="22"/>
      <c r="H100" s="22"/>
      <c r="I100" s="22"/>
      <c r="J100" s="27"/>
      <c r="K100" s="27"/>
      <c r="L100" s="22"/>
      <c r="M100" s="134"/>
      <c r="N100" s="132"/>
    </row>
    <row r="101" spans="1:14" s="24" customFormat="1" x14ac:dyDescent="0.25">
      <c r="A101" s="20"/>
      <c r="B101" s="20"/>
      <c r="C101" s="21" t="s">
        <v>172</v>
      </c>
      <c r="D101" s="22"/>
      <c r="E101" s="22"/>
      <c r="F101" s="22"/>
      <c r="G101" s="22"/>
      <c r="H101" s="22"/>
      <c r="I101" s="22"/>
      <c r="J101" s="27">
        <f>+K101-D101</f>
        <v>0</v>
      </c>
      <c r="K101" s="27"/>
      <c r="L101" s="22"/>
      <c r="M101" s="134"/>
      <c r="N101" s="132"/>
    </row>
    <row r="102" spans="1:14" s="28" customFormat="1" ht="14.25" x14ac:dyDescent="0.2">
      <c r="A102" s="25"/>
      <c r="B102" s="25"/>
      <c r="C102" s="26"/>
      <c r="D102" s="27"/>
      <c r="E102" s="27"/>
      <c r="F102" s="27"/>
      <c r="G102" s="27"/>
      <c r="H102" s="27"/>
      <c r="I102" s="27"/>
      <c r="J102" s="27"/>
      <c r="K102" s="27"/>
      <c r="L102" s="27"/>
      <c r="M102" s="107"/>
      <c r="N102" s="133"/>
    </row>
    <row r="103" spans="1:14" s="28" customFormat="1" ht="14.25" x14ac:dyDescent="0.2">
      <c r="A103" s="25" t="s">
        <v>839</v>
      </c>
      <c r="B103" s="25"/>
      <c r="C103" s="26" t="s">
        <v>173</v>
      </c>
      <c r="D103" s="27">
        <f>VLOOKUP(A103,fin,3,FALSE)</f>
        <v>6657</v>
      </c>
      <c r="E103" s="27">
        <v>-141346.4</v>
      </c>
      <c r="F103" s="27">
        <v>0</v>
      </c>
      <c r="G103" s="27">
        <v>-848078.4</v>
      </c>
      <c r="H103" s="27">
        <v>-563200.6</v>
      </c>
      <c r="I103" s="27">
        <v>60.09</v>
      </c>
      <c r="J103" s="27">
        <f>+K103-D103</f>
        <v>0</v>
      </c>
      <c r="K103" s="27">
        <f>VLOOKUP(A103,fin,4,FALSE)</f>
        <v>6657</v>
      </c>
      <c r="L103" s="27">
        <f t="shared" ref="L103:L106" si="22">K103*6.25/100+K103</f>
        <v>7073.0625</v>
      </c>
      <c r="M103" s="107">
        <f t="shared" ref="M103:N106" si="23">L103*7/100+L103</f>
        <v>7568.1768750000001</v>
      </c>
      <c r="N103" s="133">
        <f t="shared" si="23"/>
        <v>8097.94925625</v>
      </c>
    </row>
    <row r="104" spans="1:14" s="28" customFormat="1" ht="14.25" x14ac:dyDescent="0.2">
      <c r="A104" s="25" t="s">
        <v>840</v>
      </c>
      <c r="B104" s="25"/>
      <c r="C104" s="26" t="s">
        <v>174</v>
      </c>
      <c r="D104" s="27">
        <f>VLOOKUP(A104,fin,3,FALSE)</f>
        <v>6718</v>
      </c>
      <c r="E104" s="27">
        <v>-141346.4</v>
      </c>
      <c r="F104" s="27">
        <v>0</v>
      </c>
      <c r="G104" s="27">
        <v>-848078.4</v>
      </c>
      <c r="H104" s="27">
        <v>-563200.6</v>
      </c>
      <c r="I104" s="27">
        <v>60.09</v>
      </c>
      <c r="J104" s="27">
        <f>+K104-D104</f>
        <v>0</v>
      </c>
      <c r="K104" s="27">
        <f>VLOOKUP(A104,fin,4,FALSE)</f>
        <v>6718</v>
      </c>
      <c r="L104" s="27">
        <f t="shared" si="22"/>
        <v>7137.875</v>
      </c>
      <c r="M104" s="107">
        <f t="shared" si="23"/>
        <v>7637.5262499999999</v>
      </c>
      <c r="N104" s="133">
        <f t="shared" si="23"/>
        <v>8172.1530874999999</v>
      </c>
    </row>
    <row r="105" spans="1:14" s="28" customFormat="1" ht="14.25" x14ac:dyDescent="0.2">
      <c r="A105" s="25" t="s">
        <v>1393</v>
      </c>
      <c r="B105" s="25"/>
      <c r="C105" s="26" t="s">
        <v>1392</v>
      </c>
      <c r="D105" s="27">
        <f>VLOOKUP(A105,fin,3,FALSE)</f>
        <v>0</v>
      </c>
      <c r="E105" s="27">
        <v>-141346.4</v>
      </c>
      <c r="F105" s="27">
        <v>0</v>
      </c>
      <c r="G105" s="27">
        <v>-848078.4</v>
      </c>
      <c r="H105" s="27">
        <v>-563200.6</v>
      </c>
      <c r="I105" s="27">
        <v>60.09</v>
      </c>
      <c r="J105" s="27">
        <f>+K105-D105</f>
        <v>150000</v>
      </c>
      <c r="K105" s="27">
        <f>VLOOKUP(A105,fin,4,FALSE)</f>
        <v>150000</v>
      </c>
      <c r="L105" s="27">
        <f t="shared" si="22"/>
        <v>159375</v>
      </c>
      <c r="M105" s="107">
        <f t="shared" si="23"/>
        <v>170531.25</v>
      </c>
      <c r="N105" s="133">
        <f t="shared" si="23"/>
        <v>182468.4375</v>
      </c>
    </row>
    <row r="106" spans="1:14" s="28" customFormat="1" ht="14.25" x14ac:dyDescent="0.2">
      <c r="A106" s="25" t="s">
        <v>841</v>
      </c>
      <c r="B106" s="25"/>
      <c r="C106" s="26" t="s">
        <v>175</v>
      </c>
      <c r="D106" s="27">
        <f>VLOOKUP(A106,fin,3,FALSE)</f>
        <v>9290</v>
      </c>
      <c r="E106" s="27">
        <v>-141346.4</v>
      </c>
      <c r="F106" s="27">
        <v>0</v>
      </c>
      <c r="G106" s="27">
        <v>-848078.4</v>
      </c>
      <c r="H106" s="27">
        <v>-563200.6</v>
      </c>
      <c r="I106" s="27">
        <v>60.09</v>
      </c>
      <c r="J106" s="27">
        <f>+K106-D106</f>
        <v>0</v>
      </c>
      <c r="K106" s="27">
        <f>VLOOKUP(A106,fin,4,FALSE)</f>
        <v>9290</v>
      </c>
      <c r="L106" s="27">
        <f t="shared" si="22"/>
        <v>9870.625</v>
      </c>
      <c r="M106" s="107">
        <f t="shared" si="23"/>
        <v>10561.56875</v>
      </c>
      <c r="N106" s="133">
        <f t="shared" si="23"/>
        <v>11300.8785625</v>
      </c>
    </row>
    <row r="107" spans="1:14" s="28" customFormat="1" ht="14.25" x14ac:dyDescent="0.2">
      <c r="A107" s="25"/>
      <c r="B107" s="25"/>
      <c r="C107" s="26"/>
      <c r="D107" s="27"/>
      <c r="E107" s="27"/>
      <c r="F107" s="27"/>
      <c r="G107" s="27"/>
      <c r="H107" s="27"/>
      <c r="I107" s="27"/>
      <c r="J107" s="27"/>
      <c r="K107" s="27"/>
      <c r="L107" s="27"/>
      <c r="M107" s="107"/>
      <c r="N107" s="133"/>
    </row>
    <row r="108" spans="1:14" s="24" customFormat="1" x14ac:dyDescent="0.25">
      <c r="A108" s="20"/>
      <c r="B108" s="20"/>
      <c r="C108" s="21" t="s">
        <v>176</v>
      </c>
      <c r="D108" s="22">
        <f>SUM(D103:D107)</f>
        <v>22665</v>
      </c>
      <c r="E108" s="22">
        <f>SUM(E103:E107)</f>
        <v>-565385.6</v>
      </c>
      <c r="F108" s="22">
        <f>SUM(F103:F107)</f>
        <v>0</v>
      </c>
      <c r="G108" s="22">
        <f>SUM(G103:G107)</f>
        <v>-3392313.6</v>
      </c>
      <c r="H108" s="22">
        <f>SUM(H103:H107)</f>
        <v>-2252802.4</v>
      </c>
      <c r="I108" s="22">
        <v>0</v>
      </c>
      <c r="J108" s="27">
        <f>+K108-D108</f>
        <v>150000</v>
      </c>
      <c r="K108" s="22">
        <f>SUM(K103:K107)</f>
        <v>172665</v>
      </c>
      <c r="L108" s="22">
        <f>SUM(L103:L107)</f>
        <v>183456.5625</v>
      </c>
      <c r="M108" s="134">
        <f>SUM(M103:M107)</f>
        <v>196298.52187500001</v>
      </c>
      <c r="N108" s="134">
        <f>SUM(N103:N107)</f>
        <v>210039.41840625001</v>
      </c>
    </row>
    <row r="109" spans="1:14" s="28" customFormat="1" ht="14.25" x14ac:dyDescent="0.2">
      <c r="A109" s="25"/>
      <c r="B109" s="25"/>
      <c r="C109" s="26"/>
      <c r="D109" s="27"/>
      <c r="E109" s="27"/>
      <c r="F109" s="27"/>
      <c r="G109" s="27"/>
      <c r="H109" s="27"/>
      <c r="I109" s="27"/>
      <c r="J109" s="27"/>
      <c r="K109" s="27"/>
      <c r="L109" s="27"/>
      <c r="M109" s="107"/>
      <c r="N109" s="133"/>
    </row>
    <row r="110" spans="1:14" s="24" customFormat="1" x14ac:dyDescent="0.25">
      <c r="A110" s="20"/>
      <c r="B110" s="20"/>
      <c r="C110" s="21" t="s">
        <v>177</v>
      </c>
      <c r="D110" s="22">
        <f>D90+D99+D108</f>
        <v>907671</v>
      </c>
      <c r="E110" s="22">
        <f t="shared" ref="E110:N110" si="24">E90+E99+E108</f>
        <v>-2120196</v>
      </c>
      <c r="F110" s="22">
        <f t="shared" si="24"/>
        <v>0</v>
      </c>
      <c r="G110" s="22">
        <f t="shared" si="24"/>
        <v>-12721176</v>
      </c>
      <c r="H110" s="22">
        <f t="shared" si="24"/>
        <v>-8448009</v>
      </c>
      <c r="I110" s="22">
        <v>45.53</v>
      </c>
      <c r="J110" s="27">
        <f>+K110-D110</f>
        <v>110784.32999999996</v>
      </c>
      <c r="K110" s="22">
        <f t="shared" si="24"/>
        <v>1018455.33</v>
      </c>
      <c r="L110" s="22">
        <f t="shared" si="24"/>
        <v>1082108.788125</v>
      </c>
      <c r="M110" s="134">
        <f t="shared" si="24"/>
        <v>1157856.40329375</v>
      </c>
      <c r="N110" s="134">
        <f t="shared" si="24"/>
        <v>1238906.3515243125</v>
      </c>
    </row>
    <row r="111" spans="1:14" s="24" customFormat="1" x14ac:dyDescent="0.25">
      <c r="A111" s="20"/>
      <c r="B111" s="20"/>
      <c r="C111" s="21"/>
      <c r="D111" s="22"/>
      <c r="E111" s="22"/>
      <c r="F111" s="22"/>
      <c r="G111" s="22"/>
      <c r="H111" s="22"/>
      <c r="I111" s="22"/>
      <c r="J111" s="27"/>
      <c r="K111" s="27"/>
      <c r="L111" s="22"/>
      <c r="M111" s="134"/>
      <c r="N111" s="132"/>
    </row>
    <row r="112" spans="1:14" s="24" customFormat="1" x14ac:dyDescent="0.25">
      <c r="A112" s="20"/>
      <c r="B112" s="20"/>
      <c r="C112" s="21" t="s">
        <v>178</v>
      </c>
      <c r="D112" s="22">
        <f>D77+D110</f>
        <v>1820005</v>
      </c>
      <c r="E112" s="22">
        <f t="shared" ref="E112:N112" si="25">E77+E110</f>
        <v>-2968274.4</v>
      </c>
      <c r="F112" s="22">
        <f t="shared" si="25"/>
        <v>0</v>
      </c>
      <c r="G112" s="22">
        <f t="shared" si="25"/>
        <v>-17809646.399999999</v>
      </c>
      <c r="H112" s="22">
        <f t="shared" si="25"/>
        <v>-11827212.6</v>
      </c>
      <c r="I112" s="22">
        <v>45.28</v>
      </c>
      <c r="J112" s="27">
        <f>+K112-D112</f>
        <v>92204.330000000075</v>
      </c>
      <c r="K112" s="22">
        <f t="shared" si="25"/>
        <v>1912209.33</v>
      </c>
      <c r="L112" s="22">
        <f t="shared" si="25"/>
        <v>2031722.413125</v>
      </c>
      <c r="M112" s="134">
        <f t="shared" si="25"/>
        <v>2173942.9820437501</v>
      </c>
      <c r="N112" s="134">
        <f t="shared" si="25"/>
        <v>2326118.9907868127</v>
      </c>
    </row>
    <row r="113" spans="1:14" s="24" customFormat="1" x14ac:dyDescent="0.25">
      <c r="A113" s="20"/>
      <c r="B113" s="20"/>
      <c r="C113" s="21"/>
      <c r="D113" s="22"/>
      <c r="E113" s="22"/>
      <c r="F113" s="22"/>
      <c r="G113" s="22"/>
      <c r="H113" s="22"/>
      <c r="I113" s="22"/>
      <c r="J113" s="27"/>
      <c r="K113" s="27"/>
      <c r="L113" s="22"/>
      <c r="M113" s="134"/>
      <c r="N113" s="132"/>
    </row>
    <row r="114" spans="1:14" s="24" customFormat="1" x14ac:dyDescent="0.25">
      <c r="A114" s="20"/>
      <c r="B114" s="20"/>
      <c r="C114" s="21" t="s">
        <v>208</v>
      </c>
      <c r="D114" s="22"/>
      <c r="E114" s="22"/>
      <c r="F114" s="22"/>
      <c r="G114" s="22"/>
      <c r="H114" s="22"/>
      <c r="I114" s="22"/>
      <c r="J114" s="27">
        <f>+K114-D114</f>
        <v>0</v>
      </c>
      <c r="K114" s="27"/>
      <c r="L114" s="22"/>
      <c r="M114" s="134"/>
      <c r="N114" s="132"/>
    </row>
    <row r="115" spans="1:14" s="24" customFormat="1" x14ac:dyDescent="0.25">
      <c r="A115" s="20"/>
      <c r="B115" s="20"/>
      <c r="C115" s="21"/>
      <c r="D115" s="22"/>
      <c r="E115" s="22"/>
      <c r="F115" s="22"/>
      <c r="G115" s="22"/>
      <c r="H115" s="22"/>
      <c r="I115" s="22"/>
      <c r="J115" s="27"/>
      <c r="K115" s="27"/>
      <c r="L115" s="22"/>
      <c r="M115" s="134"/>
      <c r="N115" s="132"/>
    </row>
    <row r="116" spans="1:14" s="24" customFormat="1" x14ac:dyDescent="0.25">
      <c r="A116" s="20"/>
      <c r="B116" s="20"/>
      <c r="C116" s="21" t="s">
        <v>209</v>
      </c>
      <c r="D116" s="22"/>
      <c r="E116" s="22"/>
      <c r="F116" s="22"/>
      <c r="G116" s="22"/>
      <c r="H116" s="22"/>
      <c r="I116" s="22"/>
      <c r="J116" s="27">
        <f>+K116-D116</f>
        <v>0</v>
      </c>
      <c r="K116" s="27"/>
      <c r="L116" s="22"/>
      <c r="M116" s="134"/>
      <c r="N116" s="132"/>
    </row>
    <row r="117" spans="1:14" s="28" customFormat="1" ht="14.25" x14ac:dyDescent="0.2">
      <c r="A117" s="25"/>
      <c r="B117" s="25"/>
      <c r="C117" s="26"/>
      <c r="D117" s="27"/>
      <c r="E117" s="27"/>
      <c r="F117" s="27"/>
      <c r="G117" s="27"/>
      <c r="H117" s="27"/>
      <c r="I117" s="27"/>
      <c r="J117" s="27"/>
      <c r="K117" s="27"/>
      <c r="L117" s="27"/>
      <c r="M117" s="107"/>
      <c r="N117" s="133"/>
    </row>
    <row r="118" spans="1:14" s="28" customFormat="1" ht="14.25" x14ac:dyDescent="0.2">
      <c r="A118" s="25" t="s">
        <v>842</v>
      </c>
      <c r="B118" s="25"/>
      <c r="C118" s="26" t="s">
        <v>213</v>
      </c>
      <c r="D118" s="27">
        <f>VLOOKUP(A118,fin,3,FALSE)</f>
        <v>1000000</v>
      </c>
      <c r="E118" s="27">
        <v>-141346.4</v>
      </c>
      <c r="F118" s="27">
        <v>0</v>
      </c>
      <c r="G118" s="27">
        <v>-848078.4</v>
      </c>
      <c r="H118" s="27">
        <v>-563200.6</v>
      </c>
      <c r="I118" s="27">
        <v>60.09</v>
      </c>
      <c r="J118" s="27">
        <f>+K118-D118</f>
        <v>150000</v>
      </c>
      <c r="K118" s="27">
        <f>VLOOKUP(A118,fin,4,FALSE)</f>
        <v>1150000</v>
      </c>
      <c r="L118" s="27">
        <v>800000</v>
      </c>
      <c r="M118" s="107">
        <f>L118*6/100+L118</f>
        <v>848000</v>
      </c>
      <c r="N118" s="133">
        <f>M118*6/100+M118</f>
        <v>898880</v>
      </c>
    </row>
    <row r="119" spans="1:14" s="28" customFormat="1" ht="14.25" x14ac:dyDescent="0.2">
      <c r="A119" s="25"/>
      <c r="B119" s="25"/>
      <c r="C119" s="183" t="s">
        <v>3047</v>
      </c>
      <c r="D119" s="27"/>
      <c r="E119" s="27"/>
      <c r="F119" s="27"/>
      <c r="G119" s="27"/>
      <c r="H119" s="27"/>
      <c r="I119" s="27"/>
      <c r="J119" s="27"/>
      <c r="K119" s="27"/>
      <c r="L119" s="27"/>
      <c r="M119" s="107"/>
      <c r="N119" s="133"/>
    </row>
    <row r="120" spans="1:14" s="28" customFormat="1" ht="14.25" x14ac:dyDescent="0.2">
      <c r="A120" s="25"/>
      <c r="B120" s="25"/>
      <c r="C120" s="26"/>
      <c r="D120" s="27"/>
      <c r="E120" s="27"/>
      <c r="F120" s="27"/>
      <c r="G120" s="27"/>
      <c r="H120" s="27"/>
      <c r="I120" s="27"/>
      <c r="J120" s="27"/>
      <c r="K120" s="27"/>
      <c r="L120" s="27"/>
      <c r="M120" s="107"/>
      <c r="N120" s="133"/>
    </row>
    <row r="121" spans="1:14" s="24" customFormat="1" x14ac:dyDescent="0.25">
      <c r="A121" s="20"/>
      <c r="B121" s="20"/>
      <c r="C121" s="21" t="s">
        <v>217</v>
      </c>
      <c r="D121" s="22">
        <f>SUM(D118:D120)</f>
        <v>1000000</v>
      </c>
      <c r="E121" s="22">
        <f>SUM(E118:E120)</f>
        <v>-141346.4</v>
      </c>
      <c r="F121" s="22">
        <f>SUM(F118:F120)</f>
        <v>0</v>
      </c>
      <c r="G121" s="22">
        <f>SUM(G118:G120)</f>
        <v>-848078.4</v>
      </c>
      <c r="H121" s="22">
        <f>SUM(H118:H120)</f>
        <v>-563200.6</v>
      </c>
      <c r="I121" s="22">
        <v>32.47</v>
      </c>
      <c r="J121" s="27">
        <f>+K121-D121</f>
        <v>150000</v>
      </c>
      <c r="K121" s="22">
        <f>SUM(K118:K120)</f>
        <v>1150000</v>
      </c>
      <c r="L121" s="22">
        <f>SUM(L118:L120)</f>
        <v>800000</v>
      </c>
      <c r="M121" s="134">
        <f>SUM(M118:M120)</f>
        <v>848000</v>
      </c>
      <c r="N121" s="134">
        <f>SUM(N118:N120)</f>
        <v>898880</v>
      </c>
    </row>
    <row r="122" spans="1:14" s="24" customFormat="1" x14ac:dyDescent="0.25">
      <c r="A122" s="20"/>
      <c r="B122" s="20"/>
      <c r="C122" s="21"/>
      <c r="D122" s="22"/>
      <c r="E122" s="22"/>
      <c r="F122" s="22"/>
      <c r="G122" s="22"/>
      <c r="H122" s="22"/>
      <c r="I122" s="22"/>
      <c r="J122" s="27"/>
      <c r="K122" s="27"/>
      <c r="L122" s="22"/>
      <c r="M122" s="134"/>
      <c r="N122" s="132"/>
    </row>
    <row r="123" spans="1:14" s="24" customFormat="1" x14ac:dyDescent="0.25">
      <c r="A123" s="20"/>
      <c r="B123" s="20"/>
      <c r="C123" s="21" t="s">
        <v>218</v>
      </c>
      <c r="D123" s="22"/>
      <c r="E123" s="22"/>
      <c r="F123" s="22"/>
      <c r="G123" s="22"/>
      <c r="H123" s="22"/>
      <c r="I123" s="22"/>
      <c r="J123" s="27">
        <f>+K123-D123</f>
        <v>0</v>
      </c>
      <c r="K123" s="27"/>
      <c r="L123" s="22"/>
      <c r="M123" s="134"/>
      <c r="N123" s="132"/>
    </row>
    <row r="124" spans="1:14" s="28" customFormat="1" ht="14.25" x14ac:dyDescent="0.2">
      <c r="A124" s="25"/>
      <c r="B124" s="25"/>
      <c r="C124" s="26"/>
      <c r="D124" s="27"/>
      <c r="E124" s="27"/>
      <c r="F124" s="27"/>
      <c r="G124" s="27"/>
      <c r="H124" s="27"/>
      <c r="I124" s="27"/>
      <c r="J124" s="27"/>
      <c r="K124" s="27"/>
      <c r="L124" s="27"/>
      <c r="M124" s="107"/>
      <c r="N124" s="133"/>
    </row>
    <row r="125" spans="1:14" s="28" customFormat="1" ht="14.25" x14ac:dyDescent="0.2">
      <c r="A125" s="25" t="s">
        <v>843</v>
      </c>
      <c r="B125" s="25"/>
      <c r="C125" s="26" t="s">
        <v>219</v>
      </c>
      <c r="D125" s="27">
        <f>VLOOKUP(A125,fin,3,FALSE)</f>
        <v>2650000</v>
      </c>
      <c r="E125" s="27">
        <v>-141346.4</v>
      </c>
      <c r="F125" s="27">
        <v>0</v>
      </c>
      <c r="G125" s="27">
        <v>-848078.4</v>
      </c>
      <c r="H125" s="27">
        <v>-563200.6</v>
      </c>
      <c r="I125" s="27">
        <v>60.09</v>
      </c>
      <c r="J125" s="27">
        <f>+K125-D125</f>
        <v>300000</v>
      </c>
      <c r="K125" s="27">
        <f>VLOOKUP(A125,fin,4,FALSE)</f>
        <v>2950000</v>
      </c>
      <c r="L125" s="27">
        <v>3000000</v>
      </c>
      <c r="M125" s="107">
        <f>L125*6/100+L125</f>
        <v>3180000</v>
      </c>
      <c r="N125" s="133">
        <f>M125*6/100+M125</f>
        <v>3370800</v>
      </c>
    </row>
    <row r="126" spans="1:14" s="185" customFormat="1" ht="14.25" x14ac:dyDescent="0.2">
      <c r="A126" s="182"/>
      <c r="B126" s="182"/>
      <c r="C126" s="183"/>
      <c r="D126" s="184"/>
      <c r="E126" s="184"/>
      <c r="F126" s="184"/>
      <c r="G126" s="184"/>
      <c r="H126" s="184"/>
      <c r="I126" s="184"/>
      <c r="J126" s="184"/>
      <c r="K126" s="184"/>
      <c r="L126" s="184"/>
      <c r="M126" s="220"/>
      <c r="N126" s="221"/>
    </row>
    <row r="127" spans="1:14" s="24" customFormat="1" x14ac:dyDescent="0.25">
      <c r="A127" s="20"/>
      <c r="B127" s="20"/>
      <c r="C127" s="21" t="s">
        <v>227</v>
      </c>
      <c r="D127" s="22">
        <f>SUM(D125:D126)</f>
        <v>2650000</v>
      </c>
      <c r="E127" s="22">
        <f>SUM(E125:E126)</f>
        <v>-141346.4</v>
      </c>
      <c r="F127" s="22">
        <f>SUM(F125:F126)</f>
        <v>0</v>
      </c>
      <c r="G127" s="22">
        <f>SUM(G125:G126)</f>
        <v>-848078.4</v>
      </c>
      <c r="H127" s="22">
        <f>SUM(H125:H126)</f>
        <v>-563200.6</v>
      </c>
      <c r="I127" s="22">
        <v>79.7</v>
      </c>
      <c r="J127" s="27">
        <f>+K127-D127</f>
        <v>300000</v>
      </c>
      <c r="K127" s="22">
        <f>SUM(K125:K126)</f>
        <v>2950000</v>
      </c>
      <c r="L127" s="22">
        <f>SUM(L125:L126)</f>
        <v>3000000</v>
      </c>
      <c r="M127" s="134">
        <f>SUM(M125:M126)</f>
        <v>3180000</v>
      </c>
      <c r="N127" s="134">
        <f>SUM(N125:N126)</f>
        <v>3370800</v>
      </c>
    </row>
    <row r="128" spans="1:14" s="24" customFormat="1" x14ac:dyDescent="0.25">
      <c r="A128" s="20"/>
      <c r="B128" s="20"/>
      <c r="C128" s="21"/>
      <c r="D128" s="22"/>
      <c r="E128" s="22"/>
      <c r="F128" s="22"/>
      <c r="G128" s="22"/>
      <c r="H128" s="22"/>
      <c r="I128" s="22"/>
      <c r="J128" s="27"/>
      <c r="K128" s="27"/>
      <c r="L128" s="22"/>
      <c r="M128" s="134"/>
      <c r="N128" s="132"/>
    </row>
    <row r="129" spans="1:14" s="24" customFormat="1" x14ac:dyDescent="0.25">
      <c r="A129" s="20"/>
      <c r="B129" s="20"/>
      <c r="C129" s="21" t="s">
        <v>228</v>
      </c>
      <c r="D129" s="22"/>
      <c r="E129" s="22"/>
      <c r="F129" s="22"/>
      <c r="G129" s="22"/>
      <c r="H129" s="22"/>
      <c r="I129" s="22"/>
      <c r="J129" s="27">
        <f>+K129-D129</f>
        <v>0</v>
      </c>
      <c r="K129" s="27"/>
      <c r="L129" s="22"/>
      <c r="M129" s="134"/>
      <c r="N129" s="132"/>
    </row>
    <row r="130" spans="1:14" s="28" customFormat="1" ht="14.25" x14ac:dyDescent="0.2">
      <c r="A130" s="25"/>
      <c r="B130" s="25"/>
      <c r="C130" s="26"/>
      <c r="D130" s="27"/>
      <c r="E130" s="27"/>
      <c r="F130" s="27"/>
      <c r="G130" s="27"/>
      <c r="H130" s="27"/>
      <c r="I130" s="27"/>
      <c r="J130" s="27"/>
      <c r="K130" s="27"/>
      <c r="L130" s="27"/>
      <c r="M130" s="107"/>
      <c r="N130" s="133"/>
    </row>
    <row r="131" spans="1:14" s="28" customFormat="1" ht="14.25" x14ac:dyDescent="0.2">
      <c r="A131" s="25" t="s">
        <v>844</v>
      </c>
      <c r="B131" s="25"/>
      <c r="C131" s="26" t="s">
        <v>229</v>
      </c>
      <c r="D131" s="27">
        <f>VLOOKUP(A131,fin,3,FALSE)</f>
        <v>600000</v>
      </c>
      <c r="E131" s="27">
        <v>-141346.4</v>
      </c>
      <c r="F131" s="27">
        <v>0</v>
      </c>
      <c r="G131" s="27">
        <v>-848078.4</v>
      </c>
      <c r="H131" s="27">
        <v>-563200.6</v>
      </c>
      <c r="I131" s="27">
        <v>60.09</v>
      </c>
      <c r="J131" s="27">
        <f>+K131-D131</f>
        <v>300000</v>
      </c>
      <c r="K131" s="27">
        <f>VLOOKUP(A131,fin,4,FALSE)</f>
        <v>900000</v>
      </c>
      <c r="L131" s="27">
        <v>400000</v>
      </c>
      <c r="M131" s="107">
        <f>L131*6/100+L131</f>
        <v>424000</v>
      </c>
      <c r="N131" s="133">
        <f>M131*6/100+M131</f>
        <v>449440</v>
      </c>
    </row>
    <row r="132" spans="1:14" s="28" customFormat="1" ht="14.25" x14ac:dyDescent="0.2">
      <c r="A132" s="25"/>
      <c r="B132" s="25"/>
      <c r="C132" s="26"/>
      <c r="D132" s="27"/>
      <c r="E132" s="27"/>
      <c r="F132" s="27"/>
      <c r="G132" s="27"/>
      <c r="H132" s="27"/>
      <c r="I132" s="27"/>
      <c r="J132" s="27"/>
      <c r="K132" s="27"/>
      <c r="L132" s="27"/>
      <c r="M132" s="107"/>
      <c r="N132" s="133"/>
    </row>
    <row r="133" spans="1:14" s="24" customFormat="1" x14ac:dyDescent="0.25">
      <c r="A133" s="20"/>
      <c r="B133" s="20"/>
      <c r="C133" s="21" t="s">
        <v>239</v>
      </c>
      <c r="D133" s="22">
        <f>D131</f>
        <v>600000</v>
      </c>
      <c r="E133" s="22">
        <f>E131</f>
        <v>-141346.4</v>
      </c>
      <c r="F133" s="22">
        <f>F131</f>
        <v>0</v>
      </c>
      <c r="G133" s="22">
        <f>G131</f>
        <v>-848078.4</v>
      </c>
      <c r="H133" s="22">
        <f>H131</f>
        <v>-563200.6</v>
      </c>
      <c r="I133" s="22">
        <f>G133/D133*100</f>
        <v>-141.34640000000002</v>
      </c>
      <c r="J133" s="27">
        <f>+K133-D133</f>
        <v>300000</v>
      </c>
      <c r="K133" s="22">
        <f>K131</f>
        <v>900000</v>
      </c>
      <c r="L133" s="22">
        <f>L131</f>
        <v>400000</v>
      </c>
      <c r="M133" s="134">
        <f>M131</f>
        <v>424000</v>
      </c>
      <c r="N133" s="134">
        <f>N131</f>
        <v>449440</v>
      </c>
    </row>
    <row r="134" spans="1:14" s="24" customFormat="1" x14ac:dyDescent="0.25">
      <c r="A134" s="20"/>
      <c r="B134" s="20"/>
      <c r="C134" s="21"/>
      <c r="D134" s="22"/>
      <c r="E134" s="22"/>
      <c r="F134" s="22"/>
      <c r="G134" s="22"/>
      <c r="H134" s="22"/>
      <c r="I134" s="22"/>
      <c r="J134" s="27"/>
      <c r="K134" s="22"/>
      <c r="L134" s="22"/>
      <c r="M134" s="134"/>
      <c r="N134" s="132"/>
    </row>
    <row r="135" spans="1:14" s="24" customFormat="1" x14ac:dyDescent="0.25">
      <c r="A135" s="20"/>
      <c r="B135" s="20"/>
      <c r="C135" s="21" t="s">
        <v>240</v>
      </c>
      <c r="D135" s="22">
        <f>D121+D127+D133</f>
        <v>4250000</v>
      </c>
      <c r="E135" s="22">
        <f>E121+E127+E133</f>
        <v>-424039.19999999995</v>
      </c>
      <c r="F135" s="22">
        <f>F121+F127+F133</f>
        <v>0</v>
      </c>
      <c r="G135" s="22">
        <f>G121+G127+G133</f>
        <v>-2544235.2000000002</v>
      </c>
      <c r="H135" s="22">
        <f>H121+H127+H133</f>
        <v>-1689601.7999999998</v>
      </c>
      <c r="I135" s="22">
        <v>60.68</v>
      </c>
      <c r="J135" s="27">
        <f>+K135-D135</f>
        <v>750000</v>
      </c>
      <c r="K135" s="22">
        <f>K121+K127+K133</f>
        <v>5000000</v>
      </c>
      <c r="L135" s="22">
        <f>L121+L127+L133</f>
        <v>4200000</v>
      </c>
      <c r="M135" s="134">
        <f>M121+M127+M133</f>
        <v>4452000</v>
      </c>
      <c r="N135" s="134">
        <f>N121+N127+N133</f>
        <v>4719120</v>
      </c>
    </row>
    <row r="136" spans="1:14" s="24" customFormat="1" x14ac:dyDescent="0.25">
      <c r="A136" s="20"/>
      <c r="B136" s="20"/>
      <c r="C136" s="21"/>
      <c r="D136" s="22"/>
      <c r="E136" s="22"/>
      <c r="F136" s="22"/>
      <c r="G136" s="22"/>
      <c r="H136" s="22"/>
      <c r="I136" s="22"/>
      <c r="J136" s="27"/>
      <c r="K136" s="27"/>
      <c r="L136" s="22"/>
      <c r="M136" s="134"/>
      <c r="N136" s="132"/>
    </row>
    <row r="137" spans="1:14" s="24" customFormat="1" x14ac:dyDescent="0.25">
      <c r="A137" s="20"/>
      <c r="B137" s="20"/>
      <c r="C137" s="21" t="s">
        <v>241</v>
      </c>
      <c r="D137" s="22"/>
      <c r="E137" s="22"/>
      <c r="F137" s="22"/>
      <c r="G137" s="22"/>
      <c r="H137" s="22"/>
      <c r="I137" s="22"/>
      <c r="J137" s="27">
        <f>+K137-D137</f>
        <v>0</v>
      </c>
      <c r="K137" s="27"/>
      <c r="L137" s="22"/>
      <c r="M137" s="134"/>
      <c r="N137" s="132"/>
    </row>
    <row r="138" spans="1:14" s="28" customFormat="1" ht="14.25" x14ac:dyDescent="0.2">
      <c r="A138" s="25"/>
      <c r="B138" s="25"/>
      <c r="C138" s="26"/>
      <c r="D138" s="27"/>
      <c r="E138" s="27"/>
      <c r="F138" s="27"/>
      <c r="G138" s="27"/>
      <c r="H138" s="27"/>
      <c r="I138" s="27"/>
      <c r="J138" s="27"/>
      <c r="K138" s="27"/>
      <c r="L138" s="27"/>
      <c r="M138" s="107"/>
      <c r="N138" s="133"/>
    </row>
    <row r="139" spans="1:14" s="28" customFormat="1" ht="14.25" x14ac:dyDescent="0.2">
      <c r="A139" s="25" t="s">
        <v>845</v>
      </c>
      <c r="B139" s="25"/>
      <c r="C139" s="26" t="s">
        <v>242</v>
      </c>
      <c r="D139" s="27">
        <f t="shared" ref="D139:D145" si="26">VLOOKUP(A139,fin,3,FALSE)</f>
        <v>55809</v>
      </c>
      <c r="E139" s="27">
        <v>-141346.4</v>
      </c>
      <c r="F139" s="27">
        <v>0</v>
      </c>
      <c r="G139" s="27">
        <v>-848078.4</v>
      </c>
      <c r="H139" s="27">
        <v>-563200.6</v>
      </c>
      <c r="I139" s="27">
        <v>60.09</v>
      </c>
      <c r="J139" s="27">
        <f t="shared" ref="J139:J145" si="27">+K139-D139</f>
        <v>-30000</v>
      </c>
      <c r="K139" s="27">
        <f t="shared" ref="K139:K145" si="28">VLOOKUP(A139,fin,4,FALSE)</f>
        <v>25809</v>
      </c>
      <c r="L139" s="27">
        <f>K139*4.5/100+K139</f>
        <v>26970.404999999999</v>
      </c>
      <c r="M139" s="107">
        <f>L139*4.6/100+L139</f>
        <v>28211.04363</v>
      </c>
      <c r="N139" s="133">
        <f>M139*4.6/100+M139</f>
        <v>29508.75163698</v>
      </c>
    </row>
    <row r="140" spans="1:14" s="28" customFormat="1" ht="14.25" x14ac:dyDescent="0.2">
      <c r="A140" s="25" t="s">
        <v>846</v>
      </c>
      <c r="B140" s="25"/>
      <c r="C140" s="26" t="s">
        <v>253</v>
      </c>
      <c r="D140" s="27">
        <f t="shared" si="26"/>
        <v>2000</v>
      </c>
      <c r="E140" s="27">
        <v>-141346.4</v>
      </c>
      <c r="F140" s="27">
        <v>0</v>
      </c>
      <c r="G140" s="27">
        <v>-848078.4</v>
      </c>
      <c r="H140" s="27">
        <v>-563200.6</v>
      </c>
      <c r="I140" s="27">
        <v>60.09</v>
      </c>
      <c r="J140" s="27">
        <f t="shared" si="27"/>
        <v>0</v>
      </c>
      <c r="K140" s="27">
        <f t="shared" si="28"/>
        <v>2000</v>
      </c>
      <c r="L140" s="27">
        <v>2000</v>
      </c>
      <c r="M140" s="107">
        <v>2000</v>
      </c>
      <c r="N140" s="133">
        <v>2000</v>
      </c>
    </row>
    <row r="141" spans="1:14" s="28" customFormat="1" ht="14.25" x14ac:dyDescent="0.2">
      <c r="A141" s="25" t="s">
        <v>847</v>
      </c>
      <c r="B141" s="25"/>
      <c r="C141" s="26" t="s">
        <v>263</v>
      </c>
      <c r="D141" s="27">
        <f t="shared" si="26"/>
        <v>403000</v>
      </c>
      <c r="E141" s="27">
        <v>-141346.4</v>
      </c>
      <c r="F141" s="27">
        <v>0</v>
      </c>
      <c r="G141" s="27">
        <v>-848078.4</v>
      </c>
      <c r="H141" s="27">
        <v>-563200.6</v>
      </c>
      <c r="I141" s="27">
        <v>60.09</v>
      </c>
      <c r="J141" s="27">
        <f t="shared" si="27"/>
        <v>-300000</v>
      </c>
      <c r="K141" s="27">
        <f t="shared" si="28"/>
        <v>103000</v>
      </c>
      <c r="L141" s="27">
        <v>200000</v>
      </c>
      <c r="M141" s="107">
        <f t="shared" ref="M141:N141" si="29">L141*4.6/100+L141</f>
        <v>209200</v>
      </c>
      <c r="N141" s="133">
        <f t="shared" si="29"/>
        <v>218823.2</v>
      </c>
    </row>
    <row r="142" spans="1:14" s="28" customFormat="1" ht="14.25" x14ac:dyDescent="0.2">
      <c r="A142" s="25" t="s">
        <v>848</v>
      </c>
      <c r="B142" s="25"/>
      <c r="C142" s="26" t="s">
        <v>265</v>
      </c>
      <c r="D142" s="27">
        <f t="shared" si="26"/>
        <v>132699</v>
      </c>
      <c r="E142" s="27">
        <v>-141346.4</v>
      </c>
      <c r="F142" s="27">
        <v>0</v>
      </c>
      <c r="G142" s="27">
        <v>-848078.4</v>
      </c>
      <c r="H142" s="27">
        <v>-563200.6</v>
      </c>
      <c r="I142" s="27">
        <v>60.09</v>
      </c>
      <c r="J142" s="27">
        <f t="shared" si="27"/>
        <v>-115000</v>
      </c>
      <c r="K142" s="27">
        <f t="shared" si="28"/>
        <v>17699</v>
      </c>
      <c r="L142" s="27">
        <f t="shared" ref="L142:L145" si="30">K142*4.5/100+K142</f>
        <v>18495.455000000002</v>
      </c>
      <c r="M142" s="107">
        <f t="shared" ref="M142:N142" si="31">L142*4.6/100+L142</f>
        <v>19346.245930000001</v>
      </c>
      <c r="N142" s="133">
        <f t="shared" si="31"/>
        <v>20236.173242780002</v>
      </c>
    </row>
    <row r="143" spans="1:14" s="28" customFormat="1" ht="14.25" x14ac:dyDescent="0.2">
      <c r="A143" s="25" t="s">
        <v>849</v>
      </c>
      <c r="B143" s="25"/>
      <c r="C143" s="26" t="s">
        <v>268</v>
      </c>
      <c r="D143" s="27">
        <f t="shared" si="26"/>
        <v>384808</v>
      </c>
      <c r="E143" s="27">
        <v>-141346.4</v>
      </c>
      <c r="F143" s="27">
        <v>0</v>
      </c>
      <c r="G143" s="27">
        <v>-848078.4</v>
      </c>
      <c r="H143" s="27">
        <v>-563200.6</v>
      </c>
      <c r="I143" s="27">
        <v>60.09</v>
      </c>
      <c r="J143" s="27">
        <f t="shared" si="27"/>
        <v>-200000</v>
      </c>
      <c r="K143" s="27">
        <f t="shared" si="28"/>
        <v>184808</v>
      </c>
      <c r="L143" s="27">
        <f t="shared" si="30"/>
        <v>193124.36</v>
      </c>
      <c r="M143" s="107">
        <f t="shared" ref="M143:N143" si="32">L143*4.6/100+L143</f>
        <v>202008.08055999997</v>
      </c>
      <c r="N143" s="133">
        <f t="shared" si="32"/>
        <v>211300.45226575996</v>
      </c>
    </row>
    <row r="144" spans="1:14" s="28" customFormat="1" ht="14.25" x14ac:dyDescent="0.2">
      <c r="A144" s="25" t="s">
        <v>850</v>
      </c>
      <c r="B144" s="25"/>
      <c r="C144" s="26" t="s">
        <v>268</v>
      </c>
      <c r="D144" s="27">
        <f t="shared" si="26"/>
        <v>343818</v>
      </c>
      <c r="E144" s="27">
        <v>-141346.4</v>
      </c>
      <c r="F144" s="27">
        <v>0</v>
      </c>
      <c r="G144" s="27">
        <v>-848078.4</v>
      </c>
      <c r="H144" s="27">
        <v>-563200.6</v>
      </c>
      <c r="I144" s="27">
        <v>60.09</v>
      </c>
      <c r="J144" s="27">
        <f t="shared" si="27"/>
        <v>-200000</v>
      </c>
      <c r="K144" s="27">
        <f t="shared" si="28"/>
        <v>143818</v>
      </c>
      <c r="L144" s="27">
        <f t="shared" si="30"/>
        <v>150289.81</v>
      </c>
      <c r="M144" s="107">
        <f t="shared" ref="M144:N144" si="33">L144*4.6/100+L144</f>
        <v>157203.14126</v>
      </c>
      <c r="N144" s="133">
        <f t="shared" si="33"/>
        <v>164434.48575796001</v>
      </c>
    </row>
    <row r="145" spans="1:14" s="28" customFormat="1" ht="14.25" x14ac:dyDescent="0.2">
      <c r="A145" s="25" t="s">
        <v>851</v>
      </c>
      <c r="B145" s="25"/>
      <c r="C145" s="26" t="s">
        <v>269</v>
      </c>
      <c r="D145" s="27">
        <f t="shared" si="26"/>
        <v>60000</v>
      </c>
      <c r="E145" s="27">
        <v>-141346.4</v>
      </c>
      <c r="F145" s="27">
        <v>0</v>
      </c>
      <c r="G145" s="27">
        <v>-848078.4</v>
      </c>
      <c r="H145" s="27">
        <v>-563200.6</v>
      </c>
      <c r="I145" s="27">
        <v>60.09</v>
      </c>
      <c r="J145" s="27">
        <f t="shared" si="27"/>
        <v>-40000</v>
      </c>
      <c r="K145" s="27">
        <f t="shared" si="28"/>
        <v>20000</v>
      </c>
      <c r="L145" s="27">
        <f t="shared" si="30"/>
        <v>20900</v>
      </c>
      <c r="M145" s="107">
        <f t="shared" ref="M145:N145" si="34">L145*4.6/100+L145</f>
        <v>21861.4</v>
      </c>
      <c r="N145" s="133">
        <f t="shared" si="34"/>
        <v>22867.024400000002</v>
      </c>
    </row>
    <row r="146" spans="1:14" s="28" customFormat="1" ht="14.25" x14ac:dyDescent="0.2">
      <c r="A146" s="25"/>
      <c r="B146" s="25"/>
      <c r="C146" s="26"/>
      <c r="D146" s="27"/>
      <c r="E146" s="27"/>
      <c r="F146" s="27"/>
      <c r="G146" s="27"/>
      <c r="H146" s="27"/>
      <c r="I146" s="27"/>
      <c r="J146" s="27"/>
      <c r="K146" s="27"/>
      <c r="L146" s="27"/>
      <c r="M146" s="107"/>
      <c r="N146" s="133"/>
    </row>
    <row r="147" spans="1:14" s="24" customFormat="1" x14ac:dyDescent="0.25">
      <c r="A147" s="20"/>
      <c r="B147" s="20"/>
      <c r="C147" s="21" t="s">
        <v>274</v>
      </c>
      <c r="D147" s="22">
        <f>SUM(D139:D146)</f>
        <v>1382134</v>
      </c>
      <c r="E147" s="22">
        <f>SUM(E139:E146)</f>
        <v>-989424.8</v>
      </c>
      <c r="F147" s="22">
        <f>SUM(F139:F146)</f>
        <v>0</v>
      </c>
      <c r="G147" s="22">
        <f>SUM(G139:G146)</f>
        <v>-5936548.8000000007</v>
      </c>
      <c r="H147" s="22">
        <f>SUM(H139:H146)</f>
        <v>-3942404.2</v>
      </c>
      <c r="I147" s="22">
        <v>11.89</v>
      </c>
      <c r="J147" s="27">
        <f>+K147-D147</f>
        <v>-885000</v>
      </c>
      <c r="K147" s="22">
        <f>SUM(K139:K146)</f>
        <v>497134</v>
      </c>
      <c r="L147" s="22">
        <f>SUM(L139:L146)</f>
        <v>611780.03</v>
      </c>
      <c r="M147" s="134">
        <f>SUM(M139:M146)</f>
        <v>639829.91138000006</v>
      </c>
      <c r="N147" s="134">
        <f>SUM(N139:N146)</f>
        <v>669170.0873034799</v>
      </c>
    </row>
    <row r="148" spans="1:14" s="24" customFormat="1" x14ac:dyDescent="0.25">
      <c r="A148" s="20"/>
      <c r="B148" s="20"/>
      <c r="C148" s="21"/>
      <c r="D148" s="22"/>
      <c r="E148" s="22"/>
      <c r="F148" s="22"/>
      <c r="G148" s="22"/>
      <c r="H148" s="22"/>
      <c r="I148" s="22"/>
      <c r="J148" s="27"/>
      <c r="K148" s="22"/>
      <c r="L148" s="22"/>
      <c r="M148" s="134"/>
      <c r="N148" s="132"/>
    </row>
    <row r="149" spans="1:14" s="24" customFormat="1" x14ac:dyDescent="0.25">
      <c r="A149" s="20"/>
      <c r="B149" s="20"/>
      <c r="C149" s="21" t="s">
        <v>305</v>
      </c>
      <c r="D149" s="22">
        <f>D112+D135+D147</f>
        <v>7452139</v>
      </c>
      <c r="E149" s="22">
        <f>E112+E135+E147</f>
        <v>-4381738.3999999994</v>
      </c>
      <c r="F149" s="22">
        <f>F112+F135+F147</f>
        <v>0</v>
      </c>
      <c r="G149" s="22">
        <f>G112+G135+G147</f>
        <v>-26290430.399999999</v>
      </c>
      <c r="H149" s="22">
        <f>H112+H135+H147</f>
        <v>-17459218.599999998</v>
      </c>
      <c r="I149" s="22">
        <v>47.87</v>
      </c>
      <c r="J149" s="27">
        <f>+K149-D149</f>
        <v>-42795.669999999925</v>
      </c>
      <c r="K149" s="22">
        <f>K112+K135+K147</f>
        <v>7409343.3300000001</v>
      </c>
      <c r="L149" s="22">
        <f>L112+L135+L147</f>
        <v>6843502.4431250002</v>
      </c>
      <c r="M149" s="134">
        <f>M112+M135+M147</f>
        <v>7265772.893423751</v>
      </c>
      <c r="N149" s="134">
        <f>N112+N135+N147</f>
        <v>7714409.0780902933</v>
      </c>
    </row>
    <row r="150" spans="1:14" s="24" customFormat="1" x14ac:dyDescent="0.25">
      <c r="A150" s="20"/>
      <c r="B150" s="20"/>
      <c r="C150" s="21"/>
      <c r="D150" s="22"/>
      <c r="E150" s="22"/>
      <c r="F150" s="22"/>
      <c r="G150" s="22"/>
      <c r="H150" s="22"/>
      <c r="I150" s="22"/>
      <c r="J150" s="27"/>
      <c r="K150" s="22"/>
      <c r="L150" s="22"/>
      <c r="M150" s="134"/>
      <c r="N150" s="132"/>
    </row>
    <row r="151" spans="1:14" s="24" customFormat="1" x14ac:dyDescent="0.25">
      <c r="A151" s="20"/>
      <c r="B151" s="20"/>
      <c r="C151" s="21" t="s">
        <v>306</v>
      </c>
      <c r="D151" s="22">
        <f>D58+D149</f>
        <v>-157356401</v>
      </c>
      <c r="E151" s="22">
        <f>E58+E149</f>
        <v>-53246634.350000001</v>
      </c>
      <c r="F151" s="22">
        <f>F58+F149</f>
        <v>0</v>
      </c>
      <c r="G151" s="22">
        <f>G58+G149</f>
        <v>-143432379.78</v>
      </c>
      <c r="H151" s="22">
        <f>H58+H149</f>
        <v>-64689270.219999999</v>
      </c>
      <c r="I151" s="22">
        <f>G151/D151*100</f>
        <v>91.151283880723739</v>
      </c>
      <c r="J151" s="27">
        <f>+K151-D151</f>
        <v>-4050654.6699999869</v>
      </c>
      <c r="K151" s="22">
        <f>K58+K149</f>
        <v>-161407055.66999999</v>
      </c>
      <c r="L151" s="22">
        <f>L58+L149</f>
        <v>-170574918.83987498</v>
      </c>
      <c r="M151" s="134">
        <f>M58+M149</f>
        <v>-177172253.25113022</v>
      </c>
      <c r="N151" s="134">
        <f>N58+N149</f>
        <v>-184968237.80681095</v>
      </c>
    </row>
    <row r="152" spans="1:14" s="24" customFormat="1" x14ac:dyDescent="0.25">
      <c r="A152" s="20"/>
      <c r="B152" s="20"/>
      <c r="C152" s="21"/>
      <c r="D152" s="22"/>
      <c r="E152" s="22"/>
      <c r="F152" s="22"/>
      <c r="G152" s="22"/>
      <c r="H152" s="22"/>
      <c r="I152" s="22"/>
      <c r="J152" s="27"/>
      <c r="K152" s="27"/>
      <c r="L152" s="22"/>
      <c r="M152" s="134"/>
      <c r="N152" s="132"/>
    </row>
    <row r="153" spans="1:14" s="24" customFormat="1" x14ac:dyDescent="0.25">
      <c r="A153" s="20"/>
      <c r="B153" s="20"/>
      <c r="C153" s="21" t="s">
        <v>852</v>
      </c>
      <c r="D153" s="22"/>
      <c r="E153" s="22"/>
      <c r="F153" s="22"/>
      <c r="G153" s="22"/>
      <c r="H153" s="22"/>
      <c r="I153" s="22"/>
      <c r="J153" s="27">
        <f>+K153-D153</f>
        <v>0</v>
      </c>
      <c r="K153" s="27"/>
      <c r="L153" s="22"/>
      <c r="M153" s="134"/>
      <c r="N153" s="132"/>
    </row>
    <row r="154" spans="1:14" s="24" customFormat="1" x14ac:dyDescent="0.25">
      <c r="A154" s="20"/>
      <c r="B154" s="20"/>
      <c r="C154" s="21" t="s">
        <v>96</v>
      </c>
      <c r="D154" s="22"/>
      <c r="E154" s="22"/>
      <c r="F154" s="22"/>
      <c r="G154" s="22"/>
      <c r="H154" s="22"/>
      <c r="I154" s="22"/>
      <c r="J154" s="27">
        <f>+K154-D154</f>
        <v>0</v>
      </c>
      <c r="K154" s="27"/>
      <c r="L154" s="22"/>
      <c r="M154" s="134"/>
      <c r="N154" s="132"/>
    </row>
    <row r="155" spans="1:14" s="24" customFormat="1" x14ac:dyDescent="0.25">
      <c r="A155" s="20"/>
      <c r="B155" s="20"/>
      <c r="C155" s="21"/>
      <c r="D155" s="22"/>
      <c r="E155" s="22"/>
      <c r="F155" s="22"/>
      <c r="G155" s="22"/>
      <c r="H155" s="22"/>
      <c r="I155" s="22"/>
      <c r="J155" s="27"/>
      <c r="K155" s="27"/>
      <c r="L155" s="22"/>
      <c r="M155" s="134"/>
      <c r="N155" s="132"/>
    </row>
    <row r="156" spans="1:14" s="24" customFormat="1" x14ac:dyDescent="0.25">
      <c r="A156" s="20"/>
      <c r="B156" s="20"/>
      <c r="C156" s="21" t="s">
        <v>290</v>
      </c>
      <c r="D156" s="22"/>
      <c r="E156" s="22"/>
      <c r="F156" s="22"/>
      <c r="G156" s="22"/>
      <c r="H156" s="22"/>
      <c r="I156" s="22"/>
      <c r="J156" s="27">
        <f>+K156-D156</f>
        <v>0</v>
      </c>
      <c r="K156" s="27"/>
      <c r="L156" s="22"/>
      <c r="M156" s="134"/>
      <c r="N156" s="132"/>
    </row>
    <row r="157" spans="1:14" s="28" customFormat="1" ht="14.25" x14ac:dyDescent="0.2">
      <c r="A157" s="25"/>
      <c r="B157" s="25"/>
      <c r="C157" s="26"/>
      <c r="D157" s="27"/>
      <c r="E157" s="27"/>
      <c r="F157" s="27"/>
      <c r="G157" s="27"/>
      <c r="H157" s="27"/>
      <c r="I157" s="27"/>
      <c r="J157" s="27"/>
      <c r="K157" s="27"/>
      <c r="L157" s="27"/>
      <c r="M157" s="107"/>
      <c r="N157" s="133"/>
    </row>
    <row r="158" spans="1:14" s="28" customFormat="1" ht="14.25" x14ac:dyDescent="0.2">
      <c r="A158" s="25" t="s">
        <v>853</v>
      </c>
      <c r="B158" s="25"/>
      <c r="C158" s="26" t="s">
        <v>291</v>
      </c>
      <c r="D158" s="27">
        <f>VLOOKUP(A158,fin,3,FALSE)</f>
        <v>0</v>
      </c>
      <c r="E158" s="27">
        <v>-141346.4</v>
      </c>
      <c r="F158" s="27">
        <v>0</v>
      </c>
      <c r="G158" s="27">
        <v>-848078.4</v>
      </c>
      <c r="H158" s="27">
        <v>-563200.6</v>
      </c>
      <c r="I158" s="27">
        <v>60.09</v>
      </c>
      <c r="J158" s="27">
        <f>+K158-D158</f>
        <v>0</v>
      </c>
      <c r="K158" s="27">
        <f>VLOOKUP(A158,fin,4,FALSE)</f>
        <v>0</v>
      </c>
      <c r="L158" s="27">
        <f>VLOOKUP(A158,fin,5,FALSE)</f>
        <v>0</v>
      </c>
      <c r="M158" s="107">
        <f>VLOOKUP(A158,fin,6,FALSE)</f>
        <v>0</v>
      </c>
      <c r="N158" s="133"/>
    </row>
    <row r="159" spans="1:14" s="28" customFormat="1" ht="14.25" x14ac:dyDescent="0.2">
      <c r="A159" s="25" t="s">
        <v>854</v>
      </c>
      <c r="B159" s="25"/>
      <c r="C159" s="26" t="s">
        <v>292</v>
      </c>
      <c r="D159" s="27">
        <f>VLOOKUP(A159,fin,3,FALSE)</f>
        <v>0</v>
      </c>
      <c r="E159" s="27">
        <v>-141346.4</v>
      </c>
      <c r="F159" s="27">
        <v>0</v>
      </c>
      <c r="G159" s="27">
        <v>-848078.4</v>
      </c>
      <c r="H159" s="27">
        <v>-563200.6</v>
      </c>
      <c r="I159" s="27">
        <v>60.09</v>
      </c>
      <c r="J159" s="27">
        <f>+K159-D159</f>
        <v>0</v>
      </c>
      <c r="K159" s="27">
        <f>VLOOKUP(A159,fin,4,FALSE)</f>
        <v>0</v>
      </c>
      <c r="L159" s="27">
        <f>VLOOKUP(A159,fin,5,FALSE)</f>
        <v>0</v>
      </c>
      <c r="M159" s="107">
        <f>VLOOKUP(A159,fin,6,FALSE)</f>
        <v>0</v>
      </c>
      <c r="N159" s="133"/>
    </row>
    <row r="160" spans="1:14" s="28" customFormat="1" ht="14.25" x14ac:dyDescent="0.2">
      <c r="A160" s="25" t="s">
        <v>855</v>
      </c>
      <c r="B160" s="25"/>
      <c r="C160" s="26" t="s">
        <v>293</v>
      </c>
      <c r="D160" s="27">
        <f>VLOOKUP(A160,fin,3,FALSE)</f>
        <v>0</v>
      </c>
      <c r="E160" s="27">
        <v>-141346.4</v>
      </c>
      <c r="F160" s="27">
        <v>0</v>
      </c>
      <c r="G160" s="27">
        <v>-848078.4</v>
      </c>
      <c r="H160" s="27">
        <v>-563200.6</v>
      </c>
      <c r="I160" s="27">
        <v>60.09</v>
      </c>
      <c r="J160" s="27">
        <f>+K160-D160</f>
        <v>0</v>
      </c>
      <c r="K160" s="27">
        <f>VLOOKUP(A160,fin,4,FALSE)</f>
        <v>0</v>
      </c>
      <c r="L160" s="27">
        <f>VLOOKUP(A160,fin,5,FALSE)</f>
        <v>0</v>
      </c>
      <c r="M160" s="107">
        <f>VLOOKUP(A160,fin,6,FALSE)</f>
        <v>0</v>
      </c>
      <c r="N160" s="133"/>
    </row>
    <row r="161" spans="1:14" s="28" customFormat="1" ht="14.25" x14ac:dyDescent="0.2">
      <c r="A161" s="25"/>
      <c r="B161" s="25"/>
      <c r="C161" s="26"/>
      <c r="D161" s="27"/>
      <c r="E161" s="27"/>
      <c r="F161" s="27"/>
      <c r="G161" s="27"/>
      <c r="H161" s="27"/>
      <c r="I161" s="27"/>
      <c r="J161" s="27"/>
      <c r="K161" s="27"/>
      <c r="L161" s="27"/>
      <c r="M161" s="107"/>
      <c r="N161" s="133"/>
    </row>
    <row r="162" spans="1:14" s="24" customFormat="1" x14ac:dyDescent="0.25">
      <c r="A162" s="20"/>
      <c r="B162" s="20"/>
      <c r="C162" s="21" t="s">
        <v>304</v>
      </c>
      <c r="D162" s="22">
        <f>SUM(D158:D161)</f>
        <v>0</v>
      </c>
      <c r="E162" s="22">
        <f>SUM(E158:E161)</f>
        <v>-424039.19999999995</v>
      </c>
      <c r="F162" s="22">
        <f>SUM(F158:F161)</f>
        <v>0</v>
      </c>
      <c r="G162" s="22">
        <f>SUM(G158:G161)</f>
        <v>-2544235.2000000002</v>
      </c>
      <c r="H162" s="22">
        <f>SUM(H158:H161)</f>
        <v>-1689601.7999999998</v>
      </c>
      <c r="I162" s="22">
        <v>0</v>
      </c>
      <c r="J162" s="27">
        <f>+K162-D162</f>
        <v>0</v>
      </c>
      <c r="K162" s="22">
        <f>SUM(K158:K161)</f>
        <v>0</v>
      </c>
      <c r="L162" s="22">
        <f>SUM(L158:L161)</f>
        <v>0</v>
      </c>
      <c r="M162" s="134">
        <f>SUM(M158:M161)</f>
        <v>0</v>
      </c>
      <c r="N162" s="134">
        <f>SUM(N158:N161)</f>
        <v>0</v>
      </c>
    </row>
    <row r="163" spans="1:14" s="24" customFormat="1" x14ac:dyDescent="0.25">
      <c r="A163" s="20"/>
      <c r="B163" s="20"/>
      <c r="C163" s="21"/>
      <c r="D163" s="22"/>
      <c r="E163" s="22"/>
      <c r="F163" s="22"/>
      <c r="G163" s="22"/>
      <c r="H163" s="22"/>
      <c r="I163" s="22"/>
      <c r="J163" s="27"/>
      <c r="K163" s="22"/>
      <c r="L163" s="22"/>
      <c r="M163" s="134"/>
      <c r="N163" s="132"/>
    </row>
    <row r="164" spans="1:14" s="24" customFormat="1" x14ac:dyDescent="0.25">
      <c r="A164" s="20"/>
      <c r="B164" s="20"/>
      <c r="C164" s="21" t="s">
        <v>305</v>
      </c>
      <c r="D164" s="22">
        <f>D162</f>
        <v>0</v>
      </c>
      <c r="E164" s="22">
        <f t="shared" ref="E164:N164" si="35">E162</f>
        <v>-424039.19999999995</v>
      </c>
      <c r="F164" s="22">
        <f t="shared" si="35"/>
        <v>0</v>
      </c>
      <c r="G164" s="22">
        <f t="shared" si="35"/>
        <v>-2544235.2000000002</v>
      </c>
      <c r="H164" s="22">
        <f t="shared" si="35"/>
        <v>-1689601.7999999998</v>
      </c>
      <c r="I164" s="22">
        <v>0</v>
      </c>
      <c r="J164" s="27">
        <f>+K164-D164</f>
        <v>0</v>
      </c>
      <c r="K164" s="22">
        <f t="shared" si="35"/>
        <v>0</v>
      </c>
      <c r="L164" s="22">
        <f t="shared" si="35"/>
        <v>0</v>
      </c>
      <c r="M164" s="134">
        <f t="shared" si="35"/>
        <v>0</v>
      </c>
      <c r="N164" s="134">
        <f t="shared" si="35"/>
        <v>0</v>
      </c>
    </row>
    <row r="165" spans="1:14" s="24" customFormat="1" x14ac:dyDescent="0.25">
      <c r="A165" s="20"/>
      <c r="B165" s="20"/>
      <c r="C165" s="21"/>
      <c r="D165" s="22"/>
      <c r="E165" s="22"/>
      <c r="F165" s="22"/>
      <c r="G165" s="22"/>
      <c r="H165" s="22"/>
      <c r="I165" s="22"/>
      <c r="J165" s="27"/>
      <c r="K165" s="22"/>
      <c r="L165" s="22"/>
      <c r="M165" s="134"/>
      <c r="N165" s="132"/>
    </row>
    <row r="166" spans="1:14" s="24" customFormat="1" x14ac:dyDescent="0.25">
      <c r="A166" s="20"/>
      <c r="B166" s="20"/>
      <c r="C166" s="21" t="s">
        <v>306</v>
      </c>
      <c r="D166" s="22">
        <f>D164</f>
        <v>0</v>
      </c>
      <c r="E166" s="22">
        <f t="shared" ref="E166:N166" si="36">E164</f>
        <v>-424039.19999999995</v>
      </c>
      <c r="F166" s="22">
        <f t="shared" si="36"/>
        <v>0</v>
      </c>
      <c r="G166" s="22">
        <f t="shared" si="36"/>
        <v>-2544235.2000000002</v>
      </c>
      <c r="H166" s="22">
        <f t="shared" si="36"/>
        <v>-1689601.7999999998</v>
      </c>
      <c r="I166" s="22">
        <v>0</v>
      </c>
      <c r="J166" s="27">
        <f>+K166-D166</f>
        <v>0</v>
      </c>
      <c r="K166" s="22">
        <f t="shared" si="36"/>
        <v>0</v>
      </c>
      <c r="L166" s="22">
        <f t="shared" si="36"/>
        <v>0</v>
      </c>
      <c r="M166" s="134">
        <f t="shared" si="36"/>
        <v>0</v>
      </c>
      <c r="N166" s="134">
        <f t="shared" si="36"/>
        <v>0</v>
      </c>
    </row>
    <row r="167" spans="1:14" s="24" customFormat="1" x14ac:dyDescent="0.25">
      <c r="A167" s="20"/>
      <c r="B167" s="20"/>
      <c r="C167" s="21"/>
      <c r="D167" s="22"/>
      <c r="E167" s="22"/>
      <c r="F167" s="22"/>
      <c r="G167" s="22"/>
      <c r="H167" s="22"/>
      <c r="I167" s="22"/>
      <c r="J167" s="27"/>
      <c r="K167" s="27"/>
      <c r="L167" s="22"/>
      <c r="M167" s="134"/>
      <c r="N167" s="132"/>
    </row>
    <row r="168" spans="1:14" s="24" customFormat="1" x14ac:dyDescent="0.25">
      <c r="A168" s="20"/>
      <c r="B168" s="20"/>
      <c r="C168" s="21" t="s">
        <v>856</v>
      </c>
      <c r="D168" s="22"/>
      <c r="E168" s="22"/>
      <c r="F168" s="22"/>
      <c r="G168" s="22"/>
      <c r="H168" s="22"/>
      <c r="I168" s="22"/>
      <c r="J168" s="27">
        <f>+K168-D168</f>
        <v>0</v>
      </c>
      <c r="K168" s="27"/>
      <c r="L168" s="22"/>
      <c r="M168" s="134"/>
      <c r="N168" s="132"/>
    </row>
    <row r="169" spans="1:14" s="24" customFormat="1" x14ac:dyDescent="0.25">
      <c r="A169" s="20"/>
      <c r="B169" s="20"/>
      <c r="C169" s="21" t="s">
        <v>9</v>
      </c>
      <c r="D169" s="22"/>
      <c r="E169" s="22"/>
      <c r="F169" s="22"/>
      <c r="G169" s="22"/>
      <c r="H169" s="22"/>
      <c r="I169" s="22"/>
      <c r="J169" s="27">
        <f>+K169-D169</f>
        <v>0</v>
      </c>
      <c r="K169" s="27"/>
      <c r="L169" s="22"/>
      <c r="M169" s="134"/>
      <c r="N169" s="132"/>
    </row>
    <row r="170" spans="1:14" s="24" customFormat="1" x14ac:dyDescent="0.25">
      <c r="A170" s="20"/>
      <c r="B170" s="20"/>
      <c r="C170" s="21"/>
      <c r="D170" s="22"/>
      <c r="E170" s="22"/>
      <c r="F170" s="22"/>
      <c r="G170" s="22"/>
      <c r="H170" s="22"/>
      <c r="I170" s="22"/>
      <c r="J170" s="27"/>
      <c r="K170" s="27"/>
      <c r="L170" s="22"/>
      <c r="M170" s="134"/>
      <c r="N170" s="132"/>
    </row>
    <row r="171" spans="1:14" s="24" customFormat="1" x14ac:dyDescent="0.25">
      <c r="A171" s="20"/>
      <c r="B171" s="20"/>
      <c r="C171" s="21" t="s">
        <v>56</v>
      </c>
      <c r="D171" s="22"/>
      <c r="E171" s="22"/>
      <c r="F171" s="22"/>
      <c r="G171" s="22"/>
      <c r="H171" s="22"/>
      <c r="I171" s="22"/>
      <c r="J171" s="27">
        <f>+K171-D171</f>
        <v>0</v>
      </c>
      <c r="K171" s="27"/>
      <c r="L171" s="22"/>
      <c r="M171" s="134"/>
      <c r="N171" s="132"/>
    </row>
    <row r="172" spans="1:14" s="28" customFormat="1" ht="14.25" x14ac:dyDescent="0.2">
      <c r="A172" s="25"/>
      <c r="B172" s="25"/>
      <c r="C172" s="26"/>
      <c r="D172" s="27"/>
      <c r="E172" s="27"/>
      <c r="F172" s="27"/>
      <c r="G172" s="27"/>
      <c r="H172" s="27"/>
      <c r="I172" s="27"/>
      <c r="J172" s="27"/>
      <c r="K172" s="27"/>
      <c r="L172" s="27"/>
      <c r="M172" s="107"/>
      <c r="N172" s="133"/>
    </row>
    <row r="173" spans="1:14" s="28" customFormat="1" ht="14.25" x14ac:dyDescent="0.2">
      <c r="A173" s="25" t="s">
        <v>857</v>
      </c>
      <c r="B173" s="25"/>
      <c r="C173" s="26" t="s">
        <v>62</v>
      </c>
      <c r="D173" s="27">
        <f>'Revenue per source'!C77</f>
        <v>-2112000</v>
      </c>
      <c r="E173" s="27">
        <f>'Revenue per source'!D77</f>
        <v>-158518.66</v>
      </c>
      <c r="F173" s="27">
        <f>'Revenue per source'!E77</f>
        <v>0</v>
      </c>
      <c r="G173" s="27">
        <f>'Revenue per source'!F77</f>
        <v>-1057902.8999999999</v>
      </c>
      <c r="H173" s="27">
        <f>'Revenue per source'!G77</f>
        <v>-1054097.1000000001</v>
      </c>
      <c r="I173" s="27">
        <f>'Revenue per source'!H77</f>
        <v>50.09</v>
      </c>
      <c r="J173" s="27">
        <f>'Revenue per source'!I77</f>
        <v>0</v>
      </c>
      <c r="K173" s="27">
        <f>'Revenue per source'!J77</f>
        <v>-2112000</v>
      </c>
      <c r="L173" s="27">
        <f>'Revenue per source'!K77</f>
        <v>-2215488</v>
      </c>
      <c r="M173" s="107">
        <f>'Revenue per source'!L77</f>
        <v>-2321831.4240000001</v>
      </c>
      <c r="N173" s="133">
        <f>'Revenue per source'!M77</f>
        <v>-2433279.3323520003</v>
      </c>
    </row>
    <row r="174" spans="1:14" s="28" customFormat="1" ht="14.25" x14ac:dyDescent="0.2">
      <c r="A174" s="25"/>
      <c r="B174" s="25"/>
      <c r="C174" s="26"/>
      <c r="D174" s="27"/>
      <c r="E174" s="27"/>
      <c r="F174" s="27"/>
      <c r="G174" s="27"/>
      <c r="H174" s="27"/>
      <c r="I174" s="27"/>
      <c r="J174" s="27"/>
      <c r="K174" s="27"/>
      <c r="L174" s="27"/>
      <c r="M174" s="107"/>
      <c r="N174" s="133"/>
    </row>
    <row r="175" spans="1:14" s="24" customFormat="1" x14ac:dyDescent="0.25">
      <c r="A175" s="20"/>
      <c r="B175" s="20"/>
      <c r="C175" s="21" t="s">
        <v>64</v>
      </c>
      <c r="D175" s="22">
        <f>SUM(D173:D174)</f>
        <v>-2112000</v>
      </c>
      <c r="E175" s="22">
        <f>SUM(E173:E174)</f>
        <v>-158518.66</v>
      </c>
      <c r="F175" s="22">
        <f>SUM(F173:F174)</f>
        <v>0</v>
      </c>
      <c r="G175" s="22">
        <f>SUM(G173:G174)</f>
        <v>-1057902.8999999999</v>
      </c>
      <c r="H175" s="22">
        <f>SUM(H173:H174)</f>
        <v>-1054097.1000000001</v>
      </c>
      <c r="I175" s="22">
        <v>50.09</v>
      </c>
      <c r="J175" s="27">
        <f>+K175-D175</f>
        <v>0</v>
      </c>
      <c r="K175" s="22">
        <f>SUM(K173:K174)</f>
        <v>-2112000</v>
      </c>
      <c r="L175" s="22">
        <f>SUM(L173:L174)</f>
        <v>-2215488</v>
      </c>
      <c r="M175" s="134">
        <f>SUM(M173:M174)</f>
        <v>-2321831.4240000001</v>
      </c>
      <c r="N175" s="134">
        <f>SUM(N173:N174)</f>
        <v>-2433279.3323520003</v>
      </c>
    </row>
    <row r="176" spans="1:14" s="24" customFormat="1" x14ac:dyDescent="0.25">
      <c r="A176" s="20"/>
      <c r="B176" s="20"/>
      <c r="C176" s="21"/>
      <c r="D176" s="22"/>
      <c r="E176" s="22"/>
      <c r="F176" s="22"/>
      <c r="G176" s="22"/>
      <c r="H176" s="22"/>
      <c r="I176" s="22"/>
      <c r="J176" s="27"/>
      <c r="K176" s="27"/>
      <c r="L176" s="22"/>
      <c r="M176" s="134"/>
      <c r="N176" s="132"/>
    </row>
    <row r="177" spans="1:14" s="24" customFormat="1" x14ac:dyDescent="0.25">
      <c r="A177" s="20"/>
      <c r="B177" s="20"/>
      <c r="C177" s="21" t="s">
        <v>81</v>
      </c>
      <c r="D177" s="22"/>
      <c r="E177" s="22"/>
      <c r="F177" s="22"/>
      <c r="G177" s="22"/>
      <c r="H177" s="22"/>
      <c r="I177" s="22"/>
      <c r="J177" s="27">
        <f>+K177-D177</f>
        <v>0</v>
      </c>
      <c r="K177" s="27"/>
      <c r="L177" s="152"/>
      <c r="M177" s="152"/>
      <c r="N177" s="132"/>
    </row>
    <row r="178" spans="1:14" s="24" customFormat="1" x14ac:dyDescent="0.25">
      <c r="A178" s="20"/>
      <c r="B178" s="20"/>
      <c r="C178" s="21"/>
      <c r="D178" s="22"/>
      <c r="E178" s="22"/>
      <c r="F178" s="22"/>
      <c r="G178" s="22"/>
      <c r="H178" s="22"/>
      <c r="I178" s="22"/>
      <c r="J178" s="27"/>
      <c r="K178" s="27"/>
      <c r="L178" s="22"/>
      <c r="M178" s="134"/>
      <c r="N178" s="132"/>
    </row>
    <row r="179" spans="1:14" s="24" customFormat="1" x14ac:dyDescent="0.25">
      <c r="A179" s="20"/>
      <c r="B179" s="20"/>
      <c r="C179" s="21" t="s">
        <v>94</v>
      </c>
      <c r="D179" s="22">
        <f>D175</f>
        <v>-2112000</v>
      </c>
      <c r="E179" s="22">
        <f t="shared" ref="E179:N179" si="37">E175</f>
        <v>-158518.66</v>
      </c>
      <c r="F179" s="22">
        <f t="shared" si="37"/>
        <v>0</v>
      </c>
      <c r="G179" s="22">
        <f t="shared" si="37"/>
        <v>-1057902.8999999999</v>
      </c>
      <c r="H179" s="22">
        <f t="shared" si="37"/>
        <v>-1054097.1000000001</v>
      </c>
      <c r="I179" s="22">
        <v>50.09</v>
      </c>
      <c r="J179" s="27">
        <f>+K179-D179</f>
        <v>0</v>
      </c>
      <c r="K179" s="22">
        <f t="shared" si="37"/>
        <v>-2112000</v>
      </c>
      <c r="L179" s="22">
        <f t="shared" si="37"/>
        <v>-2215488</v>
      </c>
      <c r="M179" s="134">
        <f t="shared" si="37"/>
        <v>-2321831.4240000001</v>
      </c>
      <c r="N179" s="134">
        <f t="shared" si="37"/>
        <v>-2433279.3323520003</v>
      </c>
    </row>
    <row r="180" spans="1:14" s="24" customFormat="1" x14ac:dyDescent="0.25">
      <c r="A180" s="20"/>
      <c r="B180" s="20"/>
      <c r="C180" s="21"/>
      <c r="D180" s="22"/>
      <c r="E180" s="22"/>
      <c r="F180" s="22"/>
      <c r="G180" s="22"/>
      <c r="H180" s="22"/>
      <c r="I180" s="22"/>
      <c r="J180" s="27"/>
      <c r="K180" s="22"/>
      <c r="L180" s="22"/>
      <c r="M180" s="134"/>
      <c r="N180" s="132"/>
    </row>
    <row r="181" spans="1:14" s="24" customFormat="1" x14ac:dyDescent="0.25">
      <c r="A181" s="20"/>
      <c r="B181" s="20"/>
      <c r="C181" s="21" t="s">
        <v>95</v>
      </c>
      <c r="D181" s="22">
        <f>D179</f>
        <v>-2112000</v>
      </c>
      <c r="E181" s="22">
        <f t="shared" ref="E181:N181" si="38">E179</f>
        <v>-158518.66</v>
      </c>
      <c r="F181" s="22">
        <f t="shared" si="38"/>
        <v>0</v>
      </c>
      <c r="G181" s="22">
        <f t="shared" si="38"/>
        <v>-1057902.8999999999</v>
      </c>
      <c r="H181" s="22">
        <f t="shared" si="38"/>
        <v>-1054097.1000000001</v>
      </c>
      <c r="I181" s="22">
        <v>50.09</v>
      </c>
      <c r="J181" s="27">
        <f>+K181-D181</f>
        <v>0</v>
      </c>
      <c r="K181" s="22">
        <f t="shared" si="38"/>
        <v>-2112000</v>
      </c>
      <c r="L181" s="22">
        <f t="shared" si="38"/>
        <v>-2215488</v>
      </c>
      <c r="M181" s="134">
        <f t="shared" si="38"/>
        <v>-2321831.4240000001</v>
      </c>
      <c r="N181" s="134">
        <f t="shared" si="38"/>
        <v>-2433279.3323520003</v>
      </c>
    </row>
    <row r="182" spans="1:14" s="24" customFormat="1" x14ac:dyDescent="0.25">
      <c r="A182" s="20"/>
      <c r="B182" s="20"/>
      <c r="C182" s="21"/>
      <c r="D182" s="22"/>
      <c r="E182" s="22"/>
      <c r="F182" s="22"/>
      <c r="G182" s="22"/>
      <c r="H182" s="22"/>
      <c r="I182" s="22"/>
      <c r="J182" s="27"/>
      <c r="K182" s="27"/>
      <c r="L182" s="22"/>
      <c r="M182" s="134"/>
      <c r="N182" s="132"/>
    </row>
    <row r="183" spans="1:14" s="24" customFormat="1" x14ac:dyDescent="0.25">
      <c r="A183" s="20"/>
      <c r="B183" s="20"/>
      <c r="C183" s="21" t="s">
        <v>96</v>
      </c>
      <c r="D183" s="22"/>
      <c r="E183" s="22"/>
      <c r="F183" s="22"/>
      <c r="G183" s="22"/>
      <c r="H183" s="22"/>
      <c r="I183" s="22"/>
      <c r="J183" s="27">
        <f>+K183-D183</f>
        <v>0</v>
      </c>
      <c r="K183" s="27"/>
      <c r="L183" s="22"/>
      <c r="M183" s="134"/>
      <c r="N183" s="132"/>
    </row>
    <row r="184" spans="1:14" s="24" customFormat="1" x14ac:dyDescent="0.25">
      <c r="A184" s="20"/>
      <c r="B184" s="20"/>
      <c r="C184" s="21" t="s">
        <v>97</v>
      </c>
      <c r="D184" s="22"/>
      <c r="E184" s="22"/>
      <c r="F184" s="22"/>
      <c r="G184" s="22"/>
      <c r="H184" s="22"/>
      <c r="I184" s="22"/>
      <c r="J184" s="27">
        <f>+K184-D184</f>
        <v>0</v>
      </c>
      <c r="K184" s="27"/>
      <c r="L184" s="22"/>
      <c r="M184" s="134"/>
      <c r="N184" s="132"/>
    </row>
    <row r="185" spans="1:14" s="24" customFormat="1" x14ac:dyDescent="0.25">
      <c r="A185" s="20"/>
      <c r="B185" s="20"/>
      <c r="C185" s="21" t="s">
        <v>148</v>
      </c>
      <c r="D185" s="22"/>
      <c r="E185" s="22"/>
      <c r="F185" s="22"/>
      <c r="G185" s="22"/>
      <c r="H185" s="22"/>
      <c r="I185" s="22"/>
      <c r="J185" s="27">
        <f>+K185-D185</f>
        <v>0</v>
      </c>
      <c r="K185" s="27"/>
      <c r="L185" s="22"/>
      <c r="M185" s="134"/>
      <c r="N185" s="132"/>
    </row>
    <row r="186" spans="1:14" s="24" customFormat="1" x14ac:dyDescent="0.25">
      <c r="A186" s="20"/>
      <c r="B186" s="20"/>
      <c r="C186" s="21" t="s">
        <v>149</v>
      </c>
      <c r="D186" s="22"/>
      <c r="E186" s="22"/>
      <c r="F186" s="22"/>
      <c r="G186" s="22"/>
      <c r="H186" s="22"/>
      <c r="I186" s="22"/>
      <c r="J186" s="27">
        <f>+K186-D186</f>
        <v>0</v>
      </c>
      <c r="K186" s="27"/>
      <c r="L186" s="22"/>
      <c r="M186" s="134"/>
      <c r="N186" s="132"/>
    </row>
    <row r="187" spans="1:14" s="28" customFormat="1" ht="14.25" x14ac:dyDescent="0.2">
      <c r="A187" s="25"/>
      <c r="B187" s="25"/>
      <c r="C187" s="26"/>
      <c r="D187" s="27"/>
      <c r="E187" s="27"/>
      <c r="F187" s="27"/>
      <c r="G187" s="27"/>
      <c r="H187" s="27"/>
      <c r="I187" s="27"/>
      <c r="J187" s="27"/>
      <c r="K187" s="27"/>
      <c r="L187" s="27"/>
      <c r="M187" s="107"/>
      <c r="N187" s="133"/>
    </row>
    <row r="188" spans="1:14" s="28" customFormat="1" ht="14.25" x14ac:dyDescent="0.2">
      <c r="A188" s="25" t="s">
        <v>858</v>
      </c>
      <c r="B188" s="25"/>
      <c r="C188" s="26" t="s">
        <v>150</v>
      </c>
      <c r="D188" s="27">
        <f t="shared" ref="D188:D198" si="39">VLOOKUP(A188,fin,3,FALSE)</f>
        <v>1243618</v>
      </c>
      <c r="E188" s="27">
        <v>-141346.4</v>
      </c>
      <c r="F188" s="27">
        <v>0</v>
      </c>
      <c r="G188" s="27">
        <v>-848078.4</v>
      </c>
      <c r="H188" s="27">
        <v>-563200.6</v>
      </c>
      <c r="I188" s="27">
        <v>60.09</v>
      </c>
      <c r="J188" s="27">
        <f t="shared" ref="J188:J198" si="40">+K188-D188</f>
        <v>0</v>
      </c>
      <c r="K188" s="27">
        <f t="shared" ref="K188:K198" si="41">VLOOKUP(A188,fin,4,FALSE)</f>
        <v>1243618</v>
      </c>
      <c r="L188" s="27">
        <f t="shared" ref="L188:L198" si="42">K188*6.25/100+K188</f>
        <v>1321344.125</v>
      </c>
      <c r="M188" s="107">
        <f t="shared" ref="M188:N198" si="43">L188*7/100+L188</f>
        <v>1413838.2137500001</v>
      </c>
      <c r="N188" s="133">
        <f t="shared" si="43"/>
        <v>1512806.8887125002</v>
      </c>
    </row>
    <row r="189" spans="1:14" s="28" customFormat="1" ht="14.25" x14ac:dyDescent="0.2">
      <c r="A189" s="25" t="s">
        <v>859</v>
      </c>
      <c r="B189" s="25"/>
      <c r="C189" s="26" t="s">
        <v>150</v>
      </c>
      <c r="D189" s="27">
        <f t="shared" si="39"/>
        <v>80600</v>
      </c>
      <c r="E189" s="27">
        <v>-141346.4</v>
      </c>
      <c r="F189" s="27">
        <v>0</v>
      </c>
      <c r="G189" s="27">
        <v>-848078.4</v>
      </c>
      <c r="H189" s="27">
        <v>-563200.6</v>
      </c>
      <c r="I189" s="27">
        <v>60.09</v>
      </c>
      <c r="J189" s="27">
        <f t="shared" si="40"/>
        <v>0</v>
      </c>
      <c r="K189" s="27">
        <f t="shared" si="41"/>
        <v>80600</v>
      </c>
      <c r="L189" s="27">
        <f t="shared" si="42"/>
        <v>85637.5</v>
      </c>
      <c r="M189" s="107">
        <f t="shared" si="43"/>
        <v>91632.125</v>
      </c>
      <c r="N189" s="133">
        <f t="shared" si="43"/>
        <v>98046.373749999999</v>
      </c>
    </row>
    <row r="190" spans="1:14" s="28" customFormat="1" ht="14.25" x14ac:dyDescent="0.2">
      <c r="A190" s="25" t="s">
        <v>860</v>
      </c>
      <c r="B190" s="25"/>
      <c r="C190" s="26" t="s">
        <v>151</v>
      </c>
      <c r="D190" s="27">
        <f t="shared" si="39"/>
        <v>58113</v>
      </c>
      <c r="E190" s="27">
        <v>-141346.4</v>
      </c>
      <c r="F190" s="27">
        <v>0</v>
      </c>
      <c r="G190" s="27">
        <v>-848078.4</v>
      </c>
      <c r="H190" s="27">
        <v>-563200.6</v>
      </c>
      <c r="I190" s="27">
        <v>60.09</v>
      </c>
      <c r="J190" s="27">
        <f t="shared" si="40"/>
        <v>-32711.729999999996</v>
      </c>
      <c r="K190" s="27">
        <f t="shared" si="41"/>
        <v>25401.270000000004</v>
      </c>
      <c r="L190" s="27">
        <f t="shared" si="42"/>
        <v>26988.849375000005</v>
      </c>
      <c r="M190" s="107">
        <f t="shared" si="43"/>
        <v>28878.068831250006</v>
      </c>
      <c r="N190" s="133">
        <f t="shared" si="43"/>
        <v>30899.533649437508</v>
      </c>
    </row>
    <row r="191" spans="1:14" s="28" customFormat="1" ht="14.25" x14ac:dyDescent="0.2">
      <c r="A191" s="25" t="s">
        <v>861</v>
      </c>
      <c r="B191" s="25"/>
      <c r="C191" s="26" t="s">
        <v>152</v>
      </c>
      <c r="D191" s="27">
        <f t="shared" si="39"/>
        <v>38100</v>
      </c>
      <c r="E191" s="27">
        <v>-141346.4</v>
      </c>
      <c r="F191" s="27">
        <v>0</v>
      </c>
      <c r="G191" s="27">
        <v>-848078.4</v>
      </c>
      <c r="H191" s="27">
        <v>-563200.6</v>
      </c>
      <c r="I191" s="27">
        <v>60.09</v>
      </c>
      <c r="J191" s="27">
        <f t="shared" si="40"/>
        <v>0</v>
      </c>
      <c r="K191" s="27">
        <f t="shared" si="41"/>
        <v>38100</v>
      </c>
      <c r="L191" s="27">
        <f t="shared" si="42"/>
        <v>40481.25</v>
      </c>
      <c r="M191" s="107">
        <f t="shared" si="43"/>
        <v>43314.9375</v>
      </c>
      <c r="N191" s="133">
        <f t="shared" si="43"/>
        <v>46346.983124999999</v>
      </c>
    </row>
    <row r="192" spans="1:14" s="28" customFormat="1" ht="14.25" x14ac:dyDescent="0.2">
      <c r="A192" s="25" t="s">
        <v>862</v>
      </c>
      <c r="B192" s="25"/>
      <c r="C192" s="26" t="s">
        <v>153</v>
      </c>
      <c r="D192" s="27">
        <f t="shared" si="39"/>
        <v>10893</v>
      </c>
      <c r="E192" s="27">
        <v>-141346.4</v>
      </c>
      <c r="F192" s="27">
        <v>0</v>
      </c>
      <c r="G192" s="27">
        <v>-848078.4</v>
      </c>
      <c r="H192" s="27">
        <v>-563200.6</v>
      </c>
      <c r="I192" s="27">
        <v>60.09</v>
      </c>
      <c r="J192" s="27">
        <f t="shared" si="40"/>
        <v>0</v>
      </c>
      <c r="K192" s="27">
        <f t="shared" si="41"/>
        <v>10893</v>
      </c>
      <c r="L192" s="27">
        <f t="shared" si="42"/>
        <v>11573.8125</v>
      </c>
      <c r="M192" s="107">
        <f t="shared" si="43"/>
        <v>12383.979375000001</v>
      </c>
      <c r="N192" s="133">
        <f t="shared" si="43"/>
        <v>13250.857931250001</v>
      </c>
    </row>
    <row r="193" spans="1:14" s="28" customFormat="1" ht="14.25" x14ac:dyDescent="0.2">
      <c r="A193" s="25" t="s">
        <v>863</v>
      </c>
      <c r="B193" s="25"/>
      <c r="C193" s="26" t="s">
        <v>155</v>
      </c>
      <c r="D193" s="27">
        <f t="shared" si="39"/>
        <v>41268</v>
      </c>
      <c r="E193" s="27">
        <v>-141346.4</v>
      </c>
      <c r="F193" s="27">
        <v>0</v>
      </c>
      <c r="G193" s="27">
        <v>-848078.4</v>
      </c>
      <c r="H193" s="27">
        <v>-563200.6</v>
      </c>
      <c r="I193" s="27">
        <v>60.09</v>
      </c>
      <c r="J193" s="27">
        <f t="shared" si="40"/>
        <v>0</v>
      </c>
      <c r="K193" s="27">
        <f t="shared" si="41"/>
        <v>41268</v>
      </c>
      <c r="L193" s="27">
        <f t="shared" si="42"/>
        <v>43847.25</v>
      </c>
      <c r="M193" s="107">
        <f t="shared" si="43"/>
        <v>46916.557500000003</v>
      </c>
      <c r="N193" s="133">
        <f t="shared" si="43"/>
        <v>50200.716525000003</v>
      </c>
    </row>
    <row r="194" spans="1:14" s="28" customFormat="1" ht="14.25" x14ac:dyDescent="0.2">
      <c r="A194" s="25" t="s">
        <v>864</v>
      </c>
      <c r="B194" s="25"/>
      <c r="C194" s="26" t="s">
        <v>156</v>
      </c>
      <c r="D194" s="27">
        <f t="shared" si="39"/>
        <v>267347</v>
      </c>
      <c r="E194" s="27">
        <v>-141346.4</v>
      </c>
      <c r="F194" s="27">
        <v>0</v>
      </c>
      <c r="G194" s="27">
        <v>-848078.4</v>
      </c>
      <c r="H194" s="27">
        <v>-563200.6</v>
      </c>
      <c r="I194" s="27">
        <v>60.09</v>
      </c>
      <c r="J194" s="27">
        <f t="shared" si="40"/>
        <v>0</v>
      </c>
      <c r="K194" s="27">
        <f t="shared" si="41"/>
        <v>267347</v>
      </c>
      <c r="L194" s="27">
        <f t="shared" si="42"/>
        <v>284056.1875</v>
      </c>
      <c r="M194" s="107">
        <f t="shared" si="43"/>
        <v>303940.12062499998</v>
      </c>
      <c r="N194" s="133">
        <f t="shared" si="43"/>
        <v>325215.92906875</v>
      </c>
    </row>
    <row r="195" spans="1:14" s="28" customFormat="1" ht="14.25" x14ac:dyDescent="0.2">
      <c r="A195" s="25" t="s">
        <v>865</v>
      </c>
      <c r="B195" s="25"/>
      <c r="C195" s="26" t="s">
        <v>157</v>
      </c>
      <c r="D195" s="27">
        <f t="shared" si="39"/>
        <v>20000</v>
      </c>
      <c r="E195" s="27">
        <v>-141346.4</v>
      </c>
      <c r="F195" s="27">
        <v>0</v>
      </c>
      <c r="G195" s="27">
        <v>-848078.4</v>
      </c>
      <c r="H195" s="27">
        <v>-563200.6</v>
      </c>
      <c r="I195" s="27">
        <v>60.09</v>
      </c>
      <c r="J195" s="27">
        <f t="shared" si="40"/>
        <v>0</v>
      </c>
      <c r="K195" s="27">
        <f t="shared" si="41"/>
        <v>20000</v>
      </c>
      <c r="L195" s="27">
        <f t="shared" si="42"/>
        <v>21250</v>
      </c>
      <c r="M195" s="107">
        <f t="shared" si="43"/>
        <v>22737.5</v>
      </c>
      <c r="N195" s="133">
        <f t="shared" si="43"/>
        <v>24329.125</v>
      </c>
    </row>
    <row r="196" spans="1:14" s="28" customFormat="1" ht="14.25" x14ac:dyDescent="0.2">
      <c r="A196" s="25" t="s">
        <v>866</v>
      </c>
      <c r="B196" s="25"/>
      <c r="C196" s="26" t="s">
        <v>158</v>
      </c>
      <c r="D196" s="27">
        <f t="shared" si="39"/>
        <v>12841</v>
      </c>
      <c r="E196" s="27">
        <v>-141346.4</v>
      </c>
      <c r="F196" s="27">
        <v>0</v>
      </c>
      <c r="G196" s="27">
        <v>-848078.4</v>
      </c>
      <c r="H196" s="27">
        <v>-563200.6</v>
      </c>
      <c r="I196" s="27">
        <v>60.09</v>
      </c>
      <c r="J196" s="27">
        <f t="shared" si="40"/>
        <v>-12841</v>
      </c>
      <c r="K196" s="27">
        <f t="shared" si="41"/>
        <v>0</v>
      </c>
      <c r="L196" s="27">
        <f t="shared" si="42"/>
        <v>0</v>
      </c>
      <c r="M196" s="107">
        <f t="shared" si="43"/>
        <v>0</v>
      </c>
      <c r="N196" s="133">
        <f t="shared" si="43"/>
        <v>0</v>
      </c>
    </row>
    <row r="197" spans="1:14" s="28" customFormat="1" ht="14.25" x14ac:dyDescent="0.2">
      <c r="A197" s="25" t="s">
        <v>867</v>
      </c>
      <c r="B197" s="25"/>
      <c r="C197" s="26" t="s">
        <v>159</v>
      </c>
      <c r="D197" s="27">
        <f t="shared" si="39"/>
        <v>103635</v>
      </c>
      <c r="E197" s="27">
        <v>-141346.4</v>
      </c>
      <c r="F197" s="27">
        <v>0</v>
      </c>
      <c r="G197" s="27">
        <v>-848078.4</v>
      </c>
      <c r="H197" s="27">
        <v>-563200.6</v>
      </c>
      <c r="I197" s="27">
        <v>60.09</v>
      </c>
      <c r="J197" s="27">
        <f t="shared" si="40"/>
        <v>16365</v>
      </c>
      <c r="K197" s="27">
        <f t="shared" si="41"/>
        <v>120000</v>
      </c>
      <c r="L197" s="27">
        <f t="shared" si="42"/>
        <v>127500</v>
      </c>
      <c r="M197" s="107">
        <f t="shared" si="43"/>
        <v>136425</v>
      </c>
      <c r="N197" s="133">
        <f t="shared" si="43"/>
        <v>145974.75</v>
      </c>
    </row>
    <row r="198" spans="1:14" s="28" customFormat="1" ht="14.25" x14ac:dyDescent="0.2">
      <c r="A198" s="25" t="s">
        <v>868</v>
      </c>
      <c r="B198" s="25"/>
      <c r="C198" s="26" t="s">
        <v>164</v>
      </c>
      <c r="D198" s="27">
        <f t="shared" si="39"/>
        <v>15692</v>
      </c>
      <c r="E198" s="27">
        <v>-141346.4</v>
      </c>
      <c r="F198" s="27">
        <v>0</v>
      </c>
      <c r="G198" s="27">
        <v>-848078.4</v>
      </c>
      <c r="H198" s="27">
        <v>-563200.6</v>
      </c>
      <c r="I198" s="27">
        <v>60.09</v>
      </c>
      <c r="J198" s="27">
        <f t="shared" si="40"/>
        <v>0</v>
      </c>
      <c r="K198" s="27">
        <f t="shared" si="41"/>
        <v>15692</v>
      </c>
      <c r="L198" s="27">
        <f t="shared" si="42"/>
        <v>16672.75</v>
      </c>
      <c r="M198" s="107">
        <f t="shared" si="43"/>
        <v>17839.842499999999</v>
      </c>
      <c r="N198" s="133">
        <f t="shared" si="43"/>
        <v>19088.631474999998</v>
      </c>
    </row>
    <row r="199" spans="1:14" s="28" customFormat="1" ht="14.25" x14ac:dyDescent="0.2">
      <c r="A199" s="25"/>
      <c r="B199" s="25"/>
      <c r="C199" s="26"/>
      <c r="D199" s="27"/>
      <c r="E199" s="27"/>
      <c r="F199" s="27"/>
      <c r="G199" s="27"/>
      <c r="H199" s="27"/>
      <c r="I199" s="27"/>
      <c r="J199" s="27"/>
      <c r="K199" s="27"/>
      <c r="L199" s="27"/>
      <c r="M199" s="107"/>
      <c r="N199" s="133"/>
    </row>
    <row r="200" spans="1:14" s="24" customFormat="1" x14ac:dyDescent="0.25">
      <c r="A200" s="20"/>
      <c r="B200" s="20"/>
      <c r="C200" s="21" t="s">
        <v>165</v>
      </c>
      <c r="D200" s="22">
        <f>SUM(D188:D199)</f>
        <v>1892107</v>
      </c>
      <c r="E200" s="22">
        <f>SUM(E188:E199)</f>
        <v>-1554810.3999999997</v>
      </c>
      <c r="F200" s="22">
        <f>SUM(F188:F199)</f>
        <v>0</v>
      </c>
      <c r="G200" s="22">
        <f>SUM(G188:G199)</f>
        <v>-9328862.4000000022</v>
      </c>
      <c r="H200" s="22">
        <f>SUM(H188:H199)</f>
        <v>-6195206.5999999987</v>
      </c>
      <c r="I200" s="22">
        <v>51.99</v>
      </c>
      <c r="J200" s="27">
        <f>+K200-D200</f>
        <v>-29187.729999999981</v>
      </c>
      <c r="K200" s="22">
        <f>SUM(K188:K199)</f>
        <v>1862919.27</v>
      </c>
      <c r="L200" s="22">
        <f>SUM(L188:L199)</f>
        <v>1979351.724375</v>
      </c>
      <c r="M200" s="134">
        <f>SUM(M188:M199)</f>
        <v>2117906.3450812502</v>
      </c>
      <c r="N200" s="134">
        <f>SUM(N188:N199)</f>
        <v>2266159.7892369381</v>
      </c>
    </row>
    <row r="201" spans="1:14" s="24" customFormat="1" x14ac:dyDescent="0.25">
      <c r="A201" s="20"/>
      <c r="B201" s="20"/>
      <c r="C201" s="21"/>
      <c r="D201" s="22"/>
      <c r="E201" s="22"/>
      <c r="F201" s="22"/>
      <c r="G201" s="22"/>
      <c r="H201" s="22"/>
      <c r="I201" s="22"/>
      <c r="J201" s="27"/>
      <c r="K201" s="27"/>
      <c r="L201" s="22"/>
      <c r="M201" s="134"/>
      <c r="N201" s="132"/>
    </row>
    <row r="202" spans="1:14" s="24" customFormat="1" x14ac:dyDescent="0.25">
      <c r="A202" s="20"/>
      <c r="B202" s="20"/>
      <c r="C202" s="21" t="s">
        <v>166</v>
      </c>
      <c r="D202" s="22"/>
      <c r="E202" s="22"/>
      <c r="F202" s="22"/>
      <c r="G202" s="22"/>
      <c r="H202" s="22"/>
      <c r="I202" s="22"/>
      <c r="J202" s="27">
        <f>+K202-D202</f>
        <v>0</v>
      </c>
      <c r="K202" s="27"/>
      <c r="L202" s="22"/>
      <c r="M202" s="134"/>
      <c r="N202" s="132"/>
    </row>
    <row r="203" spans="1:14" s="28" customFormat="1" ht="14.25" x14ac:dyDescent="0.2">
      <c r="A203" s="25"/>
      <c r="B203" s="25"/>
      <c r="C203" s="26"/>
      <c r="D203" s="27"/>
      <c r="E203" s="27"/>
      <c r="F203" s="27"/>
      <c r="G203" s="27"/>
      <c r="H203" s="27"/>
      <c r="I203" s="27"/>
      <c r="J203" s="27"/>
      <c r="K203" s="27"/>
      <c r="L203" s="27"/>
      <c r="M203" s="107"/>
      <c r="N203" s="133"/>
    </row>
    <row r="204" spans="1:14" s="28" customFormat="1" ht="14.25" x14ac:dyDescent="0.2">
      <c r="A204" s="25" t="s">
        <v>869</v>
      </c>
      <c r="B204" s="25"/>
      <c r="C204" s="26" t="s">
        <v>167</v>
      </c>
      <c r="D204" s="27">
        <f>VLOOKUP(A204,fin,3,FALSE)</f>
        <v>337</v>
      </c>
      <c r="E204" s="27">
        <v>-141346.4</v>
      </c>
      <c r="F204" s="27">
        <v>0</v>
      </c>
      <c r="G204" s="27">
        <v>-848078.4</v>
      </c>
      <c r="H204" s="27">
        <v>-563200.6</v>
      </c>
      <c r="I204" s="27">
        <v>60.09</v>
      </c>
      <c r="J204" s="27">
        <f>+K204-D204</f>
        <v>0</v>
      </c>
      <c r="K204" s="27">
        <f>VLOOKUP(A204,fin,4,FALSE)</f>
        <v>337</v>
      </c>
      <c r="L204" s="27">
        <f t="shared" ref="L204:L207" si="44">K204*6.25/100+K204</f>
        <v>358.0625</v>
      </c>
      <c r="M204" s="107">
        <f t="shared" ref="M204:N207" si="45">L204*7/100+L204</f>
        <v>383.12687499999998</v>
      </c>
      <c r="N204" s="133">
        <f t="shared" si="45"/>
        <v>409.94575624999999</v>
      </c>
    </row>
    <row r="205" spans="1:14" s="28" customFormat="1" ht="14.25" x14ac:dyDescent="0.2">
      <c r="A205" s="25" t="s">
        <v>870</v>
      </c>
      <c r="B205" s="25"/>
      <c r="C205" s="26" t="s">
        <v>168</v>
      </c>
      <c r="D205" s="27">
        <f>VLOOKUP(A205,fin,3,FALSE)</f>
        <v>161725</v>
      </c>
      <c r="E205" s="27">
        <v>-141346.4</v>
      </c>
      <c r="F205" s="27">
        <v>0</v>
      </c>
      <c r="G205" s="27">
        <v>-848078.4</v>
      </c>
      <c r="H205" s="27">
        <v>-563200.6</v>
      </c>
      <c r="I205" s="27">
        <v>60.09</v>
      </c>
      <c r="J205" s="27">
        <f>+K205-D205</f>
        <v>-40000</v>
      </c>
      <c r="K205" s="27">
        <f>VLOOKUP(A205,fin,4,FALSE)</f>
        <v>121725</v>
      </c>
      <c r="L205" s="27">
        <f t="shared" si="44"/>
        <v>129332.8125</v>
      </c>
      <c r="M205" s="107">
        <f t="shared" si="45"/>
        <v>138386.109375</v>
      </c>
      <c r="N205" s="133">
        <f t="shared" si="45"/>
        <v>148073.13703124999</v>
      </c>
    </row>
    <row r="206" spans="1:14" s="28" customFormat="1" ht="14.25" x14ac:dyDescent="0.2">
      <c r="A206" s="25" t="s">
        <v>871</v>
      </c>
      <c r="B206" s="25"/>
      <c r="C206" s="26" t="s">
        <v>169</v>
      </c>
      <c r="D206" s="27">
        <f>VLOOKUP(A206,fin,3,FALSE)</f>
        <v>273596</v>
      </c>
      <c r="E206" s="27">
        <v>-141346.4</v>
      </c>
      <c r="F206" s="27">
        <v>0</v>
      </c>
      <c r="G206" s="27">
        <v>-848078.4</v>
      </c>
      <c r="H206" s="27">
        <v>-563200.6</v>
      </c>
      <c r="I206" s="27">
        <v>60.09</v>
      </c>
      <c r="J206" s="27">
        <f>+K206-D206</f>
        <v>0</v>
      </c>
      <c r="K206" s="27">
        <f>VLOOKUP(A206,fin,4,FALSE)</f>
        <v>273596</v>
      </c>
      <c r="L206" s="27">
        <f t="shared" si="44"/>
        <v>290695.75</v>
      </c>
      <c r="M206" s="107">
        <f t="shared" si="45"/>
        <v>311044.45250000001</v>
      </c>
      <c r="N206" s="133">
        <f t="shared" si="45"/>
        <v>332817.56417500001</v>
      </c>
    </row>
    <row r="207" spans="1:14" s="28" customFormat="1" ht="14.25" x14ac:dyDescent="0.2">
      <c r="A207" s="25" t="s">
        <v>872</v>
      </c>
      <c r="B207" s="25"/>
      <c r="C207" s="26" t="s">
        <v>170</v>
      </c>
      <c r="D207" s="27">
        <f>VLOOKUP(A207,fin,3,FALSE)</f>
        <v>5355</v>
      </c>
      <c r="E207" s="27">
        <v>-141346.4</v>
      </c>
      <c r="F207" s="27">
        <v>0</v>
      </c>
      <c r="G207" s="27">
        <v>-848078.4</v>
      </c>
      <c r="H207" s="27">
        <v>-563200.6</v>
      </c>
      <c r="I207" s="27">
        <v>60.09</v>
      </c>
      <c r="J207" s="27">
        <f>+K207-D207</f>
        <v>0</v>
      </c>
      <c r="K207" s="27">
        <f>VLOOKUP(A207,fin,4,FALSE)</f>
        <v>5355</v>
      </c>
      <c r="L207" s="27">
        <f t="shared" si="44"/>
        <v>5689.6875</v>
      </c>
      <c r="M207" s="107">
        <f t="shared" si="45"/>
        <v>6087.9656249999998</v>
      </c>
      <c r="N207" s="133">
        <f t="shared" si="45"/>
        <v>6514.12321875</v>
      </c>
    </row>
    <row r="208" spans="1:14" s="28" customFormat="1" ht="14.25" x14ac:dyDescent="0.2">
      <c r="A208" s="25"/>
      <c r="B208" s="25"/>
      <c r="C208" s="26"/>
      <c r="D208" s="27"/>
      <c r="E208" s="27"/>
      <c r="F208" s="27"/>
      <c r="G208" s="27"/>
      <c r="H208" s="27"/>
      <c r="I208" s="27"/>
      <c r="J208" s="27"/>
      <c r="K208" s="27"/>
      <c r="L208" s="27"/>
      <c r="M208" s="107"/>
      <c r="N208" s="133"/>
    </row>
    <row r="209" spans="1:14" s="24" customFormat="1" x14ac:dyDescent="0.25">
      <c r="A209" s="20"/>
      <c r="B209" s="20"/>
      <c r="C209" s="21" t="s">
        <v>171</v>
      </c>
      <c r="D209" s="22">
        <f>SUM(D204:D208)</f>
        <v>441013</v>
      </c>
      <c r="E209" s="22">
        <f>SUM(E204:E208)</f>
        <v>-565385.6</v>
      </c>
      <c r="F209" s="22">
        <f>SUM(F204:F208)</f>
        <v>0</v>
      </c>
      <c r="G209" s="22">
        <f>SUM(G204:G208)</f>
        <v>-3392313.6</v>
      </c>
      <c r="H209" s="22">
        <f>SUM(H204:H208)</f>
        <v>-2252802.4</v>
      </c>
      <c r="I209" s="22">
        <v>40.93</v>
      </c>
      <c r="J209" s="27">
        <f>+K209-D209</f>
        <v>-40000</v>
      </c>
      <c r="K209" s="22">
        <f>SUM(K204:K208)</f>
        <v>401013</v>
      </c>
      <c r="L209" s="22">
        <f>SUM(L204:L208)</f>
        <v>426076.3125</v>
      </c>
      <c r="M209" s="134">
        <f>SUM(M204:M208)</f>
        <v>455901.65437499998</v>
      </c>
      <c r="N209" s="134">
        <f>SUM(N204:N208)</f>
        <v>487814.77018125</v>
      </c>
    </row>
    <row r="210" spans="1:14" s="24" customFormat="1" x14ac:dyDescent="0.25">
      <c r="A210" s="20"/>
      <c r="B210" s="20"/>
      <c r="C210" s="21"/>
      <c r="D210" s="22"/>
      <c r="E210" s="22"/>
      <c r="F210" s="22"/>
      <c r="G210" s="22"/>
      <c r="H210" s="22"/>
      <c r="I210" s="22"/>
      <c r="J210" s="27"/>
      <c r="K210" s="27"/>
      <c r="L210" s="22"/>
      <c r="M210" s="134"/>
      <c r="N210" s="132"/>
    </row>
    <row r="211" spans="1:14" s="24" customFormat="1" x14ac:dyDescent="0.25">
      <c r="A211" s="20"/>
      <c r="B211" s="20"/>
      <c r="C211" s="21" t="s">
        <v>172</v>
      </c>
      <c r="D211" s="22"/>
      <c r="E211" s="22"/>
      <c r="F211" s="22"/>
      <c r="G211" s="22"/>
      <c r="H211" s="22"/>
      <c r="I211" s="22"/>
      <c r="J211" s="27">
        <f>+K211-D211</f>
        <v>0</v>
      </c>
      <c r="K211" s="27"/>
      <c r="L211" s="22"/>
      <c r="M211" s="134"/>
      <c r="N211" s="132"/>
    </row>
    <row r="212" spans="1:14" s="28" customFormat="1" ht="14.25" x14ac:dyDescent="0.2">
      <c r="A212" s="25"/>
      <c r="B212" s="25"/>
      <c r="C212" s="26"/>
      <c r="D212" s="27"/>
      <c r="E212" s="27"/>
      <c r="F212" s="27"/>
      <c r="G212" s="27"/>
      <c r="H212" s="27"/>
      <c r="I212" s="27"/>
      <c r="J212" s="27"/>
      <c r="K212" s="27"/>
      <c r="L212" s="27"/>
      <c r="M212" s="107"/>
      <c r="N212" s="133"/>
    </row>
    <row r="213" spans="1:14" s="28" customFormat="1" ht="14.25" x14ac:dyDescent="0.2">
      <c r="A213" s="25" t="s">
        <v>873</v>
      </c>
      <c r="B213" s="25"/>
      <c r="C213" s="26" t="s">
        <v>173</v>
      </c>
      <c r="D213" s="27">
        <f>VLOOKUP(A213,fin,3,FALSE)</f>
        <v>11813</v>
      </c>
      <c r="E213" s="27">
        <v>-141346.4</v>
      </c>
      <c r="F213" s="27">
        <v>0</v>
      </c>
      <c r="G213" s="27">
        <v>-848078.4</v>
      </c>
      <c r="H213" s="27">
        <v>-563200.6</v>
      </c>
      <c r="I213" s="27">
        <v>60.09</v>
      </c>
      <c r="J213" s="27">
        <f>+K213-D213</f>
        <v>0</v>
      </c>
      <c r="K213" s="27">
        <f>VLOOKUP(A213,fin,4,FALSE)</f>
        <v>11813</v>
      </c>
      <c r="L213" s="27">
        <f t="shared" ref="L213:L215" si="46">K213*6.25/100+K213</f>
        <v>12551.3125</v>
      </c>
      <c r="M213" s="107">
        <f t="shared" ref="M213:N215" si="47">L213*7/100+L213</f>
        <v>13429.904375</v>
      </c>
      <c r="N213" s="133">
        <f t="shared" si="47"/>
        <v>14369.997681250001</v>
      </c>
    </row>
    <row r="214" spans="1:14" s="28" customFormat="1" ht="14.25" x14ac:dyDescent="0.2">
      <c r="A214" s="25" t="s">
        <v>874</v>
      </c>
      <c r="B214" s="25"/>
      <c r="C214" s="26" t="s">
        <v>174</v>
      </c>
      <c r="D214" s="27">
        <f>VLOOKUP(A214,fin,3,FALSE)</f>
        <v>13427</v>
      </c>
      <c r="E214" s="27">
        <v>-141346.4</v>
      </c>
      <c r="F214" s="27">
        <v>0</v>
      </c>
      <c r="G214" s="27">
        <v>-848078.4</v>
      </c>
      <c r="H214" s="27">
        <v>-563200.6</v>
      </c>
      <c r="I214" s="27">
        <v>60.09</v>
      </c>
      <c r="J214" s="27">
        <f>+K214-D214</f>
        <v>0</v>
      </c>
      <c r="K214" s="27">
        <f>VLOOKUP(A214,fin,4,FALSE)</f>
        <v>13427</v>
      </c>
      <c r="L214" s="27">
        <f t="shared" si="46"/>
        <v>14266.1875</v>
      </c>
      <c r="M214" s="107">
        <f t="shared" si="47"/>
        <v>15264.820625</v>
      </c>
      <c r="N214" s="133">
        <f t="shared" si="47"/>
        <v>16333.35806875</v>
      </c>
    </row>
    <row r="215" spans="1:14" s="28" customFormat="1" ht="14.25" x14ac:dyDescent="0.2">
      <c r="A215" s="25" t="s">
        <v>875</v>
      </c>
      <c r="B215" s="25"/>
      <c r="C215" s="26" t="s">
        <v>175</v>
      </c>
      <c r="D215" s="27">
        <f>VLOOKUP(A215,fin,3,FALSE)</f>
        <v>20916</v>
      </c>
      <c r="E215" s="27">
        <v>-141346.4</v>
      </c>
      <c r="F215" s="27">
        <v>0</v>
      </c>
      <c r="G215" s="27">
        <v>-848078.4</v>
      </c>
      <c r="H215" s="27">
        <v>-563200.6</v>
      </c>
      <c r="I215" s="27">
        <v>60.09</v>
      </c>
      <c r="J215" s="27">
        <f>+K215-D215</f>
        <v>0</v>
      </c>
      <c r="K215" s="27">
        <f>VLOOKUP(A215,fin,4,FALSE)</f>
        <v>20916</v>
      </c>
      <c r="L215" s="27">
        <f t="shared" si="46"/>
        <v>22223.25</v>
      </c>
      <c r="M215" s="107">
        <f t="shared" si="47"/>
        <v>23778.877499999999</v>
      </c>
      <c r="N215" s="133">
        <f t="shared" si="47"/>
        <v>25443.398924999998</v>
      </c>
    </row>
    <row r="216" spans="1:14" s="28" customFormat="1" ht="14.25" x14ac:dyDescent="0.2">
      <c r="A216" s="25"/>
      <c r="B216" s="25"/>
      <c r="C216" s="26"/>
      <c r="D216" s="27"/>
      <c r="E216" s="27"/>
      <c r="F216" s="27"/>
      <c r="G216" s="27"/>
      <c r="H216" s="27"/>
      <c r="I216" s="27"/>
      <c r="J216" s="27"/>
      <c r="K216" s="27"/>
      <c r="L216" s="27"/>
      <c r="M216" s="107"/>
      <c r="N216" s="133"/>
    </row>
    <row r="217" spans="1:14" s="24" customFormat="1" x14ac:dyDescent="0.25">
      <c r="A217" s="20"/>
      <c r="B217" s="20"/>
      <c r="C217" s="21" t="s">
        <v>176</v>
      </c>
      <c r="D217" s="22">
        <f>SUM(D213:D216)</f>
        <v>46156</v>
      </c>
      <c r="E217" s="22">
        <f>SUM(E213:E216)</f>
        <v>-424039.19999999995</v>
      </c>
      <c r="F217" s="22">
        <f>SUM(F213:F216)</f>
        <v>0</v>
      </c>
      <c r="G217" s="22">
        <f>SUM(G213:G216)</f>
        <v>-2544235.2000000002</v>
      </c>
      <c r="H217" s="22">
        <f>SUM(H213:H216)</f>
        <v>-1689601.7999999998</v>
      </c>
      <c r="I217" s="22">
        <v>0</v>
      </c>
      <c r="J217" s="27">
        <f>+K217-D217</f>
        <v>0</v>
      </c>
      <c r="K217" s="22">
        <f>SUM(K213:K216)</f>
        <v>46156</v>
      </c>
      <c r="L217" s="22">
        <f>SUM(L213:L216)</f>
        <v>49040.75</v>
      </c>
      <c r="M217" s="134">
        <f>SUM(M213:M216)</f>
        <v>52473.602499999994</v>
      </c>
      <c r="N217" s="134">
        <f>SUM(N213:N216)</f>
        <v>56146.754675000004</v>
      </c>
    </row>
    <row r="218" spans="1:14" s="24" customFormat="1" x14ac:dyDescent="0.25">
      <c r="A218" s="20"/>
      <c r="B218" s="20"/>
      <c r="C218" s="21"/>
      <c r="D218" s="22"/>
      <c r="E218" s="22"/>
      <c r="F218" s="22"/>
      <c r="G218" s="22"/>
      <c r="H218" s="22"/>
      <c r="I218" s="22"/>
      <c r="J218" s="27"/>
      <c r="K218" s="22"/>
      <c r="L218" s="22"/>
      <c r="M218" s="134"/>
      <c r="N218" s="132"/>
    </row>
    <row r="219" spans="1:14" s="24" customFormat="1" x14ac:dyDescent="0.25">
      <c r="A219" s="20"/>
      <c r="B219" s="20"/>
      <c r="C219" s="21" t="s">
        <v>177</v>
      </c>
      <c r="D219" s="22">
        <f>D200+D209+D217</f>
        <v>2379276</v>
      </c>
      <c r="E219" s="22">
        <f t="shared" ref="E219:N219" si="48">E200+E209+E217</f>
        <v>-2544235.1999999993</v>
      </c>
      <c r="F219" s="22">
        <f t="shared" si="48"/>
        <v>0</v>
      </c>
      <c r="G219" s="22">
        <f t="shared" si="48"/>
        <v>-15265411.200000003</v>
      </c>
      <c r="H219" s="22">
        <f t="shared" si="48"/>
        <v>-10137610.799999997</v>
      </c>
      <c r="I219" s="22">
        <v>48.93</v>
      </c>
      <c r="J219" s="27">
        <f>+K219-D219</f>
        <v>-69187.729999999981</v>
      </c>
      <c r="K219" s="22">
        <f t="shared" si="48"/>
        <v>2310088.27</v>
      </c>
      <c r="L219" s="22">
        <f t="shared" si="48"/>
        <v>2454468.7868750002</v>
      </c>
      <c r="M219" s="134">
        <f t="shared" si="48"/>
        <v>2626281.6019562501</v>
      </c>
      <c r="N219" s="134">
        <f t="shared" si="48"/>
        <v>2810121.3140931879</v>
      </c>
    </row>
    <row r="220" spans="1:14" s="24" customFormat="1" x14ac:dyDescent="0.25">
      <c r="A220" s="20"/>
      <c r="B220" s="20"/>
      <c r="C220" s="21"/>
      <c r="D220" s="22"/>
      <c r="E220" s="22"/>
      <c r="F220" s="22"/>
      <c r="G220" s="22"/>
      <c r="H220" s="22"/>
      <c r="I220" s="22"/>
      <c r="J220" s="27"/>
      <c r="K220" s="22"/>
      <c r="L220" s="22"/>
      <c r="M220" s="134"/>
      <c r="N220" s="132"/>
    </row>
    <row r="221" spans="1:14" s="24" customFormat="1" x14ac:dyDescent="0.25">
      <c r="A221" s="20"/>
      <c r="B221" s="20"/>
      <c r="C221" s="21" t="s">
        <v>178</v>
      </c>
      <c r="D221" s="22">
        <f>D219</f>
        <v>2379276</v>
      </c>
      <c r="E221" s="22">
        <f t="shared" ref="E221:N221" si="49">E219</f>
        <v>-2544235.1999999993</v>
      </c>
      <c r="F221" s="22">
        <f t="shared" si="49"/>
        <v>0</v>
      </c>
      <c r="G221" s="22">
        <f t="shared" si="49"/>
        <v>-15265411.200000003</v>
      </c>
      <c r="H221" s="22">
        <f t="shared" si="49"/>
        <v>-10137610.799999997</v>
      </c>
      <c r="I221" s="22">
        <v>48.93</v>
      </c>
      <c r="J221" s="27">
        <f>+K221-D221</f>
        <v>-69187.729999999981</v>
      </c>
      <c r="K221" s="22">
        <f t="shared" si="49"/>
        <v>2310088.27</v>
      </c>
      <c r="L221" s="22">
        <f t="shared" si="49"/>
        <v>2454468.7868750002</v>
      </c>
      <c r="M221" s="134">
        <f t="shared" si="49"/>
        <v>2626281.6019562501</v>
      </c>
      <c r="N221" s="134">
        <f t="shared" si="49"/>
        <v>2810121.3140931879</v>
      </c>
    </row>
    <row r="222" spans="1:14" s="28" customFormat="1" ht="14.25" x14ac:dyDescent="0.2">
      <c r="A222" s="25"/>
      <c r="B222" s="25"/>
      <c r="C222" s="26"/>
      <c r="D222" s="27"/>
      <c r="E222" s="27"/>
      <c r="F222" s="27"/>
      <c r="G222" s="27"/>
      <c r="H222" s="27"/>
      <c r="I222" s="27"/>
      <c r="J222" s="27"/>
      <c r="K222" s="27"/>
      <c r="L222" s="27"/>
      <c r="M222" s="107"/>
      <c r="N222" s="133"/>
    </row>
    <row r="223" spans="1:14" s="24" customFormat="1" x14ac:dyDescent="0.25">
      <c r="A223" s="20"/>
      <c r="B223" s="20"/>
      <c r="C223" s="21" t="s">
        <v>241</v>
      </c>
      <c r="D223" s="22"/>
      <c r="E223" s="22"/>
      <c r="F223" s="22"/>
      <c r="G223" s="22"/>
      <c r="H223" s="22"/>
      <c r="I223" s="22"/>
      <c r="J223" s="27">
        <f>+K223-D223</f>
        <v>0</v>
      </c>
      <c r="K223" s="27"/>
      <c r="L223" s="22"/>
      <c r="M223" s="134"/>
      <c r="N223" s="132"/>
    </row>
    <row r="224" spans="1:14" s="28" customFormat="1" ht="14.25" x14ac:dyDescent="0.2">
      <c r="A224" s="25"/>
      <c r="B224" s="25"/>
      <c r="C224" s="26"/>
      <c r="D224" s="27"/>
      <c r="E224" s="27"/>
      <c r="F224" s="27"/>
      <c r="G224" s="27"/>
      <c r="H224" s="27"/>
      <c r="I224" s="27"/>
      <c r="J224" s="27"/>
      <c r="K224" s="27"/>
      <c r="L224" s="27"/>
      <c r="M224" s="107"/>
      <c r="N224" s="133"/>
    </row>
    <row r="225" spans="1:14" s="28" customFormat="1" ht="14.25" x14ac:dyDescent="0.2">
      <c r="A225" s="25" t="s">
        <v>876</v>
      </c>
      <c r="B225" s="25"/>
      <c r="C225" s="26" t="s">
        <v>265</v>
      </c>
      <c r="D225" s="27">
        <f>VLOOKUP(A225,fin,3,FALSE)</f>
        <v>0</v>
      </c>
      <c r="E225" s="27">
        <v>-141346.4</v>
      </c>
      <c r="F225" s="27">
        <v>0</v>
      </c>
      <c r="G225" s="27">
        <v>-848078.4</v>
      </c>
      <c r="H225" s="27">
        <v>-563200.6</v>
      </c>
      <c r="I225" s="27">
        <v>60.09</v>
      </c>
      <c r="J225" s="27">
        <f>+K225-D225</f>
        <v>20000</v>
      </c>
      <c r="K225" s="27">
        <f>VLOOKUP(A225,fin,4,FALSE)</f>
        <v>20000</v>
      </c>
      <c r="L225" s="27">
        <f t="shared" ref="L225:L226" si="50">K225*4.5/100+K225</f>
        <v>20900</v>
      </c>
      <c r="M225" s="107">
        <f t="shared" ref="M225:N225" si="51">L225*4.6/100+L225</f>
        <v>21861.4</v>
      </c>
      <c r="N225" s="133">
        <f t="shared" si="51"/>
        <v>22867.024400000002</v>
      </c>
    </row>
    <row r="226" spans="1:14" s="28" customFormat="1" ht="14.25" x14ac:dyDescent="0.2">
      <c r="A226" s="25" t="s">
        <v>877</v>
      </c>
      <c r="B226" s="25"/>
      <c r="C226" s="26" t="s">
        <v>268</v>
      </c>
      <c r="D226" s="27">
        <f>VLOOKUP(A226,fin,3,FALSE)</f>
        <v>0</v>
      </c>
      <c r="E226" s="27">
        <v>-141346.4</v>
      </c>
      <c r="F226" s="27">
        <v>0</v>
      </c>
      <c r="G226" s="27">
        <v>-848078.4</v>
      </c>
      <c r="H226" s="27">
        <v>-563200.6</v>
      </c>
      <c r="I226" s="27">
        <v>60.09</v>
      </c>
      <c r="J226" s="27">
        <f>+K226-D226</f>
        <v>50000</v>
      </c>
      <c r="K226" s="27">
        <f>VLOOKUP(A226,fin,4,FALSE)</f>
        <v>50000</v>
      </c>
      <c r="L226" s="27">
        <f t="shared" si="50"/>
        <v>52250</v>
      </c>
      <c r="M226" s="107">
        <f t="shared" ref="M226:N226" si="52">L226*4.6/100+L226</f>
        <v>54653.5</v>
      </c>
      <c r="N226" s="133">
        <f t="shared" si="52"/>
        <v>57167.561000000002</v>
      </c>
    </row>
    <row r="227" spans="1:14" s="28" customFormat="1" ht="14.25" x14ac:dyDescent="0.2">
      <c r="A227" s="25"/>
      <c r="B227" s="25"/>
      <c r="C227" s="26"/>
      <c r="D227" s="27"/>
      <c r="E227" s="27"/>
      <c r="F227" s="27"/>
      <c r="G227" s="27"/>
      <c r="H227" s="27"/>
      <c r="I227" s="27"/>
      <c r="J227" s="27"/>
      <c r="K227" s="27"/>
      <c r="L227" s="27"/>
      <c r="M227" s="107"/>
      <c r="N227" s="133"/>
    </row>
    <row r="228" spans="1:14" s="24" customFormat="1" x14ac:dyDescent="0.25">
      <c r="A228" s="20"/>
      <c r="B228" s="20"/>
      <c r="C228" s="21" t="s">
        <v>274</v>
      </c>
      <c r="D228" s="22">
        <f>SUM(D225:D227)</f>
        <v>0</v>
      </c>
      <c r="E228" s="22">
        <f>SUM(E225:E227)</f>
        <v>-282692.8</v>
      </c>
      <c r="F228" s="22">
        <f>SUM(F225:F227)</f>
        <v>0</v>
      </c>
      <c r="G228" s="22">
        <f>SUM(G225:G227)</f>
        <v>-1696156.8</v>
      </c>
      <c r="H228" s="22">
        <f>SUM(H225:H227)</f>
        <v>-1126401.2</v>
      </c>
      <c r="I228" s="22">
        <v>0</v>
      </c>
      <c r="J228" s="27">
        <f>+K228-D228</f>
        <v>70000</v>
      </c>
      <c r="K228" s="22">
        <f>SUM(K225:K227)</f>
        <v>70000</v>
      </c>
      <c r="L228" s="22">
        <f>SUM(L225:L227)</f>
        <v>73150</v>
      </c>
      <c r="M228" s="134">
        <f>SUM(M225:M227)</f>
        <v>76514.899999999994</v>
      </c>
      <c r="N228" s="134">
        <f>SUM(N225:N227)</f>
        <v>80034.585400000011</v>
      </c>
    </row>
    <row r="229" spans="1:14" s="28" customFormat="1" ht="14.25" x14ac:dyDescent="0.2">
      <c r="A229" s="25"/>
      <c r="B229" s="25"/>
      <c r="C229" s="26"/>
      <c r="D229" s="27"/>
      <c r="E229" s="27"/>
      <c r="F229" s="27"/>
      <c r="G229" s="27"/>
      <c r="H229" s="27"/>
      <c r="I229" s="27"/>
      <c r="J229" s="27"/>
      <c r="K229" s="27"/>
      <c r="L229" s="27"/>
      <c r="M229" s="107"/>
      <c r="N229" s="133"/>
    </row>
    <row r="230" spans="1:14" s="24" customFormat="1" x14ac:dyDescent="0.25">
      <c r="A230" s="20"/>
      <c r="B230" s="20"/>
      <c r="C230" s="21" t="s">
        <v>56</v>
      </c>
      <c r="D230" s="22"/>
      <c r="E230" s="22"/>
      <c r="F230" s="22"/>
      <c r="G230" s="22"/>
      <c r="H230" s="22"/>
      <c r="I230" s="22"/>
      <c r="J230" s="27">
        <f>+K230-D230</f>
        <v>0</v>
      </c>
      <c r="K230" s="27"/>
      <c r="L230" s="22"/>
      <c r="M230" s="134"/>
      <c r="N230" s="132"/>
    </row>
    <row r="231" spans="1:14" s="28" customFormat="1" ht="14.25" x14ac:dyDescent="0.2">
      <c r="A231" s="25"/>
      <c r="B231" s="25"/>
      <c r="C231" s="26"/>
      <c r="D231" s="27"/>
      <c r="E231" s="27"/>
      <c r="F231" s="27"/>
      <c r="G231" s="27"/>
      <c r="H231" s="27"/>
      <c r="I231" s="27"/>
      <c r="J231" s="27"/>
      <c r="K231" s="27"/>
      <c r="L231" s="27"/>
      <c r="M231" s="107"/>
      <c r="N231" s="133"/>
    </row>
    <row r="232" spans="1:14" s="28" customFormat="1" ht="14.25" x14ac:dyDescent="0.2">
      <c r="A232" s="25" t="s">
        <v>878</v>
      </c>
      <c r="B232" s="25"/>
      <c r="C232" s="26" t="s">
        <v>283</v>
      </c>
      <c r="D232" s="27">
        <f>VLOOKUP(A232,fin,3,FALSE)</f>
        <v>0</v>
      </c>
      <c r="E232" s="27">
        <v>-141346.4</v>
      </c>
      <c r="F232" s="27">
        <v>0</v>
      </c>
      <c r="G232" s="27">
        <v>-848078.4</v>
      </c>
      <c r="H232" s="27">
        <v>-563200.6</v>
      </c>
      <c r="I232" s="27">
        <v>60.09</v>
      </c>
      <c r="J232" s="27">
        <f>+K232-D232</f>
        <v>0</v>
      </c>
      <c r="K232" s="27">
        <f>VLOOKUP(A232,fin,4,FALSE)</f>
        <v>0</v>
      </c>
      <c r="L232" s="27">
        <f>VLOOKUP(A232,fin,5,FALSE)</f>
        <v>0</v>
      </c>
      <c r="M232" s="107">
        <f>VLOOKUP(A232,fin,6,FALSE)</f>
        <v>0</v>
      </c>
      <c r="N232" s="133"/>
    </row>
    <row r="233" spans="1:14" s="28" customFormat="1" ht="14.25" x14ac:dyDescent="0.2">
      <c r="A233" s="25"/>
      <c r="B233" s="25"/>
      <c r="C233" s="26"/>
      <c r="D233" s="27"/>
      <c r="E233" s="27"/>
      <c r="F233" s="27"/>
      <c r="G233" s="27"/>
      <c r="H233" s="27"/>
      <c r="I233" s="27"/>
      <c r="J233" s="27"/>
      <c r="K233" s="27"/>
      <c r="L233" s="27"/>
      <c r="M233" s="107"/>
      <c r="N233" s="133"/>
    </row>
    <row r="234" spans="1:14" s="24" customFormat="1" x14ac:dyDescent="0.25">
      <c r="A234" s="20"/>
      <c r="B234" s="20"/>
      <c r="C234" s="21" t="s">
        <v>284</v>
      </c>
      <c r="D234" s="22">
        <f>SUM(D232:D233)</f>
        <v>0</v>
      </c>
      <c r="E234" s="22">
        <f>SUM(E232:E233)</f>
        <v>-141346.4</v>
      </c>
      <c r="F234" s="22">
        <f>SUM(F232:F233)</f>
        <v>0</v>
      </c>
      <c r="G234" s="22">
        <f>SUM(G232:G233)</f>
        <v>-848078.4</v>
      </c>
      <c r="H234" s="22">
        <f>SUM(H232:H233)</f>
        <v>-563200.6</v>
      </c>
      <c r="I234" s="22">
        <v>0</v>
      </c>
      <c r="J234" s="27">
        <f>+K234-D234</f>
        <v>0</v>
      </c>
      <c r="K234" s="22">
        <f>SUM(K232:K233)</f>
        <v>0</v>
      </c>
      <c r="L234" s="22">
        <f>SUM(L232:L233)</f>
        <v>0</v>
      </c>
      <c r="M234" s="134">
        <f>SUM(M232:M233)</f>
        <v>0</v>
      </c>
      <c r="N234" s="134">
        <f>SUM(N232:N233)</f>
        <v>0</v>
      </c>
    </row>
    <row r="235" spans="1:14" s="28" customFormat="1" ht="14.25" x14ac:dyDescent="0.2">
      <c r="A235" s="25"/>
      <c r="B235" s="25"/>
      <c r="C235" s="26"/>
      <c r="D235" s="27"/>
      <c r="E235" s="27"/>
      <c r="F235" s="27"/>
      <c r="G235" s="27"/>
      <c r="H235" s="27"/>
      <c r="I235" s="27"/>
      <c r="J235" s="27"/>
      <c r="K235" s="27"/>
      <c r="L235" s="27"/>
      <c r="M235" s="107"/>
      <c r="N235" s="133"/>
    </row>
    <row r="236" spans="1:14" s="24" customFormat="1" x14ac:dyDescent="0.25">
      <c r="A236" s="20"/>
      <c r="B236" s="20"/>
      <c r="C236" s="21" t="s">
        <v>290</v>
      </c>
      <c r="D236" s="22"/>
      <c r="E236" s="22"/>
      <c r="F236" s="22"/>
      <c r="G236" s="22"/>
      <c r="H236" s="22"/>
      <c r="I236" s="22"/>
      <c r="J236" s="27">
        <f>+K236-D236</f>
        <v>0</v>
      </c>
      <c r="K236" s="27"/>
      <c r="L236" s="22"/>
      <c r="M236" s="134"/>
      <c r="N236" s="132"/>
    </row>
    <row r="237" spans="1:14" s="28" customFormat="1" ht="14.25" x14ac:dyDescent="0.2">
      <c r="A237" s="25"/>
      <c r="B237" s="25"/>
      <c r="C237" s="26"/>
      <c r="D237" s="27"/>
      <c r="E237" s="27"/>
      <c r="F237" s="27"/>
      <c r="G237" s="27"/>
      <c r="H237" s="27"/>
      <c r="I237" s="27"/>
      <c r="J237" s="27"/>
      <c r="K237" s="27"/>
      <c r="L237" s="27"/>
      <c r="M237" s="107"/>
      <c r="N237" s="133"/>
    </row>
    <row r="238" spans="1:14" s="28" customFormat="1" ht="14.25" x14ac:dyDescent="0.2">
      <c r="A238" s="25" t="s">
        <v>879</v>
      </c>
      <c r="B238" s="25"/>
      <c r="C238" s="26" t="s">
        <v>291</v>
      </c>
      <c r="D238" s="27">
        <f>VLOOKUP(A238,fin,3,FALSE)</f>
        <v>0</v>
      </c>
      <c r="E238" s="27">
        <v>-141346.4</v>
      </c>
      <c r="F238" s="27">
        <v>0</v>
      </c>
      <c r="G238" s="27">
        <v>-848078.4</v>
      </c>
      <c r="H238" s="27">
        <v>-563200.6</v>
      </c>
      <c r="I238" s="27">
        <v>60.09</v>
      </c>
      <c r="J238" s="27">
        <f>+K238-D238</f>
        <v>0</v>
      </c>
      <c r="K238" s="27">
        <f>VLOOKUP(A238,fin,4,FALSE)</f>
        <v>0</v>
      </c>
      <c r="L238" s="27">
        <f>VLOOKUP(A238,fin,5,FALSE)</f>
        <v>0</v>
      </c>
      <c r="M238" s="107">
        <f>VLOOKUP(A238,fin,6,FALSE)</f>
        <v>0</v>
      </c>
      <c r="N238" s="133"/>
    </row>
    <row r="239" spans="1:14" s="28" customFormat="1" ht="14.25" x14ac:dyDescent="0.2">
      <c r="A239" s="25" t="s">
        <v>880</v>
      </c>
      <c r="B239" s="25"/>
      <c r="C239" s="26" t="s">
        <v>292</v>
      </c>
      <c r="D239" s="27">
        <f>VLOOKUP(A239,fin,3,FALSE)</f>
        <v>3371</v>
      </c>
      <c r="E239" s="27">
        <v>-141346.4</v>
      </c>
      <c r="F239" s="27">
        <v>0</v>
      </c>
      <c r="G239" s="27">
        <v>-848078.4</v>
      </c>
      <c r="H239" s="27">
        <v>-563200.6</v>
      </c>
      <c r="I239" s="27">
        <v>60.09</v>
      </c>
      <c r="J239" s="27">
        <f>+K239-D239</f>
        <v>0</v>
      </c>
      <c r="K239" s="27">
        <f>VLOOKUP(A239,fin,4,FALSE)</f>
        <v>3371</v>
      </c>
      <c r="L239" s="27">
        <f t="shared" ref="L239:L240" si="53">K239*4.5/100+K239</f>
        <v>3522.6950000000002</v>
      </c>
      <c r="M239" s="107">
        <f t="shared" ref="M239:N239" si="54">L239*4.6/100+L239</f>
        <v>3684.7389700000003</v>
      </c>
      <c r="N239" s="133">
        <f t="shared" si="54"/>
        <v>3854.2369626200002</v>
      </c>
    </row>
    <row r="240" spans="1:14" s="28" customFormat="1" ht="14.25" x14ac:dyDescent="0.2">
      <c r="A240" s="25" t="s">
        <v>881</v>
      </c>
      <c r="B240" s="25"/>
      <c r="C240" s="26" t="s">
        <v>293</v>
      </c>
      <c r="D240" s="27">
        <f>VLOOKUP(A240,fin,3,FALSE)</f>
        <v>268</v>
      </c>
      <c r="E240" s="27">
        <v>-141346.4</v>
      </c>
      <c r="F240" s="27">
        <v>0</v>
      </c>
      <c r="G240" s="27">
        <v>-848078.4</v>
      </c>
      <c r="H240" s="27">
        <v>-563200.6</v>
      </c>
      <c r="I240" s="27">
        <v>60.09</v>
      </c>
      <c r="J240" s="27">
        <f>+K240-D240</f>
        <v>0</v>
      </c>
      <c r="K240" s="27">
        <f>VLOOKUP(A240,fin,4,FALSE)</f>
        <v>268</v>
      </c>
      <c r="L240" s="27">
        <f t="shared" si="53"/>
        <v>280.06</v>
      </c>
      <c r="M240" s="107">
        <f t="shared" ref="M240:N240" si="55">L240*4.6/100+L240</f>
        <v>292.94276000000002</v>
      </c>
      <c r="N240" s="133">
        <f t="shared" si="55"/>
        <v>306.41812696</v>
      </c>
    </row>
    <row r="241" spans="1:14" s="28" customFormat="1" ht="14.25" x14ac:dyDescent="0.2">
      <c r="A241" s="25"/>
      <c r="B241" s="25"/>
      <c r="C241" s="26"/>
      <c r="D241" s="27"/>
      <c r="E241" s="27"/>
      <c r="F241" s="27"/>
      <c r="G241" s="27"/>
      <c r="H241" s="27"/>
      <c r="I241" s="27"/>
      <c r="J241" s="27"/>
      <c r="K241" s="27"/>
      <c r="L241" s="27"/>
      <c r="M241" s="107"/>
      <c r="N241" s="133"/>
    </row>
    <row r="242" spans="1:14" s="24" customFormat="1" x14ac:dyDescent="0.25">
      <c r="A242" s="20"/>
      <c r="B242" s="20"/>
      <c r="C242" s="21" t="s">
        <v>304</v>
      </c>
      <c r="D242" s="22">
        <f>SUM(D238:D241)</f>
        <v>3639</v>
      </c>
      <c r="E242" s="22">
        <f>SUM(E238:E241)</f>
        <v>-424039.19999999995</v>
      </c>
      <c r="F242" s="22">
        <f>SUM(F238:F241)</f>
        <v>0</v>
      </c>
      <c r="G242" s="22">
        <f>SUM(G238:G241)</f>
        <v>-2544235.2000000002</v>
      </c>
      <c r="H242" s="22">
        <f>SUM(H238:H241)</f>
        <v>-1689601.7999999998</v>
      </c>
      <c r="I242" s="22">
        <v>999.99</v>
      </c>
      <c r="J242" s="27">
        <f>+K242-D242</f>
        <v>0</v>
      </c>
      <c r="K242" s="22">
        <f>SUM(K238:K241)</f>
        <v>3639</v>
      </c>
      <c r="L242" s="22">
        <f>SUM(L238:L241)</f>
        <v>3802.7550000000001</v>
      </c>
      <c r="M242" s="134">
        <f>SUM(M238:M241)</f>
        <v>3977.6817300000002</v>
      </c>
      <c r="N242" s="134">
        <f>SUM(N238:N241)</f>
        <v>4160.6550895800001</v>
      </c>
    </row>
    <row r="243" spans="1:14" s="24" customFormat="1" x14ac:dyDescent="0.25">
      <c r="A243" s="20"/>
      <c r="B243" s="20"/>
      <c r="C243" s="21"/>
      <c r="D243" s="22"/>
      <c r="E243" s="22"/>
      <c r="F243" s="22"/>
      <c r="G243" s="22"/>
      <c r="H243" s="22"/>
      <c r="I243" s="22"/>
      <c r="J243" s="27"/>
      <c r="K243" s="27"/>
      <c r="L243" s="22"/>
      <c r="M243" s="134"/>
      <c r="N243" s="132"/>
    </row>
    <row r="244" spans="1:14" s="24" customFormat="1" x14ac:dyDescent="0.25">
      <c r="A244" s="20"/>
      <c r="B244" s="20"/>
      <c r="C244" s="21" t="s">
        <v>305</v>
      </c>
      <c r="D244" s="22">
        <f>D221+D228+D234+D242</f>
        <v>2382915</v>
      </c>
      <c r="E244" s="22">
        <f>E221+E228+E234+E242</f>
        <v>-3392313.5999999987</v>
      </c>
      <c r="F244" s="22">
        <f>F221+F228+F234+F242</f>
        <v>0</v>
      </c>
      <c r="G244" s="22">
        <f>G221+G228+G234+G242</f>
        <v>-20353881.600000001</v>
      </c>
      <c r="H244" s="22">
        <f>H221+H228+H234+H242</f>
        <v>-13516814.399999995</v>
      </c>
      <c r="I244" s="22">
        <v>61.15</v>
      </c>
      <c r="J244" s="27">
        <f>+K244-D244</f>
        <v>812.27000000001863</v>
      </c>
      <c r="K244" s="22">
        <f>K221+K228+K234+K242</f>
        <v>2383727.27</v>
      </c>
      <c r="L244" s="22">
        <f>L221+L228+L234+L242</f>
        <v>2531421.5418750001</v>
      </c>
      <c r="M244" s="134">
        <f>M221+M228+M234+M242</f>
        <v>2706774.1836862499</v>
      </c>
      <c r="N244" s="134">
        <f>N221+N228+N234+N242</f>
        <v>2894316.5545827681</v>
      </c>
    </row>
    <row r="245" spans="1:14" s="24" customFormat="1" x14ac:dyDescent="0.25">
      <c r="A245" s="20"/>
      <c r="B245" s="20"/>
      <c r="C245" s="21"/>
      <c r="D245" s="22"/>
      <c r="E245" s="22"/>
      <c r="F245" s="22"/>
      <c r="G245" s="22"/>
      <c r="H245" s="22"/>
      <c r="I245" s="22"/>
      <c r="J245" s="27"/>
      <c r="K245" s="27"/>
      <c r="L245" s="22"/>
      <c r="M245" s="134"/>
      <c r="N245" s="132"/>
    </row>
    <row r="246" spans="1:14" s="24" customFormat="1" x14ac:dyDescent="0.25">
      <c r="A246" s="20"/>
      <c r="B246" s="20"/>
      <c r="C246" s="21" t="s">
        <v>306</v>
      </c>
      <c r="D246" s="22">
        <f>D181+D244</f>
        <v>270915</v>
      </c>
      <c r="E246" s="22">
        <f t="shared" ref="E246:N246" si="56">E181+E244</f>
        <v>-3550832.2599999988</v>
      </c>
      <c r="F246" s="22">
        <f t="shared" si="56"/>
        <v>0</v>
      </c>
      <c r="G246" s="22">
        <f t="shared" si="56"/>
        <v>-21411784.5</v>
      </c>
      <c r="H246" s="22">
        <f t="shared" si="56"/>
        <v>-14570911.499999994</v>
      </c>
      <c r="I246" s="22">
        <v>147.37</v>
      </c>
      <c r="J246" s="27">
        <f>+K246-D246</f>
        <v>812.27000000001863</v>
      </c>
      <c r="K246" s="22">
        <f t="shared" si="56"/>
        <v>271727.27</v>
      </c>
      <c r="L246" s="22">
        <f t="shared" si="56"/>
        <v>315933.54187500011</v>
      </c>
      <c r="M246" s="134">
        <f t="shared" si="56"/>
        <v>384942.75968624977</v>
      </c>
      <c r="N246" s="134">
        <f t="shared" si="56"/>
        <v>461037.22223076783</v>
      </c>
    </row>
    <row r="247" spans="1:14" s="28" customFormat="1" ht="14.25" x14ac:dyDescent="0.2">
      <c r="A247" s="25"/>
      <c r="B247" s="25"/>
      <c r="C247" s="26"/>
      <c r="D247" s="27"/>
      <c r="E247" s="27"/>
      <c r="F247" s="27"/>
      <c r="G247" s="27"/>
      <c r="H247" s="27"/>
      <c r="I247" s="27"/>
      <c r="J247" s="27"/>
      <c r="K247" s="27"/>
      <c r="L247" s="27"/>
      <c r="M247" s="107"/>
      <c r="N247" s="133"/>
    </row>
    <row r="248" spans="1:14" s="28" customFormat="1" x14ac:dyDescent="0.25">
      <c r="A248" s="25"/>
      <c r="B248" s="25"/>
      <c r="C248" s="21" t="s">
        <v>308</v>
      </c>
      <c r="D248" s="27"/>
      <c r="E248" s="27"/>
      <c r="F248" s="27"/>
      <c r="G248" s="27"/>
      <c r="H248" s="27"/>
      <c r="I248" s="27"/>
      <c r="J248" s="27">
        <f>+K248-D248</f>
        <v>0</v>
      </c>
      <c r="K248" s="27"/>
      <c r="L248" s="27"/>
      <c r="M248" s="107"/>
      <c r="N248" s="133"/>
    </row>
    <row r="249" spans="1:14" s="28" customFormat="1" ht="14.25" x14ac:dyDescent="0.2">
      <c r="A249" s="25"/>
      <c r="B249" s="25"/>
      <c r="C249" s="26"/>
      <c r="D249" s="27"/>
      <c r="E249" s="27"/>
      <c r="F249" s="27"/>
      <c r="G249" s="27"/>
      <c r="H249" s="27"/>
      <c r="I249" s="27"/>
      <c r="J249" s="27"/>
      <c r="K249" s="27"/>
      <c r="L249" s="27"/>
      <c r="M249" s="107"/>
      <c r="N249" s="133"/>
    </row>
    <row r="250" spans="1:14" s="28" customFormat="1" ht="14.25" x14ac:dyDescent="0.2">
      <c r="A250" s="25" t="s">
        <v>882</v>
      </c>
      <c r="B250" s="25" t="s">
        <v>3251</v>
      </c>
      <c r="C250" s="26" t="s">
        <v>883</v>
      </c>
      <c r="D250" s="27">
        <f>VLOOKUP(A250,fin,3,FALSE)</f>
        <v>350000</v>
      </c>
      <c r="E250" s="27">
        <v>-141346.4</v>
      </c>
      <c r="F250" s="27">
        <v>0</v>
      </c>
      <c r="G250" s="27">
        <v>-848078.4</v>
      </c>
      <c r="H250" s="27">
        <v>-563200.6</v>
      </c>
      <c r="I250" s="27">
        <v>60.09</v>
      </c>
      <c r="J250" s="27">
        <f>+K250-D250</f>
        <v>-350000</v>
      </c>
      <c r="K250" s="27">
        <f>VLOOKUP(A250,fin,4,FALSE)</f>
        <v>0</v>
      </c>
      <c r="L250" s="27">
        <v>350000</v>
      </c>
      <c r="M250" s="107">
        <f>VLOOKUP(A250,fin,6,FALSE)</f>
        <v>0</v>
      </c>
      <c r="N250" s="133"/>
    </row>
    <row r="251" spans="1:14" s="28" customFormat="1" ht="14.25" x14ac:dyDescent="0.2">
      <c r="A251" s="25"/>
      <c r="B251" s="25"/>
      <c r="C251" s="26"/>
      <c r="D251" s="27"/>
      <c r="E251" s="27"/>
      <c r="F251" s="27"/>
      <c r="G251" s="27"/>
      <c r="H251" s="27"/>
      <c r="I251" s="27"/>
      <c r="J251" s="27"/>
      <c r="K251" s="27"/>
      <c r="L251" s="27"/>
      <c r="M251" s="107"/>
      <c r="N251" s="133"/>
    </row>
    <row r="252" spans="1:14" s="24" customFormat="1" x14ac:dyDescent="0.25">
      <c r="A252" s="20"/>
      <c r="B252" s="20"/>
      <c r="C252" s="21" t="s">
        <v>320</v>
      </c>
      <c r="D252" s="22">
        <f>SUM(D250:D251)</f>
        <v>350000</v>
      </c>
      <c r="E252" s="22">
        <f>SUM(E250:E251)</f>
        <v>-141346.4</v>
      </c>
      <c r="F252" s="22">
        <f>SUM(F250:F251)</f>
        <v>0</v>
      </c>
      <c r="G252" s="22">
        <f>SUM(G250:G251)</f>
        <v>-848078.4</v>
      </c>
      <c r="H252" s="22">
        <f>SUM(H250:H251)</f>
        <v>-563200.6</v>
      </c>
      <c r="I252" s="22">
        <v>0</v>
      </c>
      <c r="J252" s="27">
        <f>+K252-D252</f>
        <v>-350000</v>
      </c>
      <c r="K252" s="22">
        <f>SUM(K250:K251)</f>
        <v>0</v>
      </c>
      <c r="L252" s="22">
        <f>SUM(L250:L251)</f>
        <v>350000</v>
      </c>
      <c r="M252" s="134">
        <f>SUM(M250:M251)</f>
        <v>0</v>
      </c>
      <c r="N252" s="134">
        <f>SUM(N250:N251)</f>
        <v>0</v>
      </c>
    </row>
    <row r="253" spans="1:14" s="28" customFormat="1" ht="14.25" x14ac:dyDescent="0.2">
      <c r="A253" s="25"/>
      <c r="B253" s="25"/>
      <c r="C253" s="26"/>
      <c r="D253" s="27"/>
      <c r="E253" s="27"/>
      <c r="F253" s="27"/>
      <c r="G253" s="27"/>
      <c r="H253" s="27"/>
      <c r="I253" s="27"/>
      <c r="J253" s="27"/>
      <c r="K253" s="27"/>
      <c r="L253" s="27"/>
      <c r="M253" s="107"/>
      <c r="N253" s="133"/>
    </row>
    <row r="254" spans="1:14" s="24" customFormat="1" x14ac:dyDescent="0.25">
      <c r="A254" s="20"/>
      <c r="B254" s="20"/>
      <c r="C254" s="21" t="s">
        <v>884</v>
      </c>
      <c r="D254" s="22"/>
      <c r="E254" s="22"/>
      <c r="F254" s="22"/>
      <c r="G254" s="22"/>
      <c r="H254" s="22"/>
      <c r="I254" s="22"/>
      <c r="J254" s="27">
        <f>+K254-D254</f>
        <v>0</v>
      </c>
      <c r="K254" s="27"/>
      <c r="L254" s="22"/>
      <c r="M254" s="134"/>
      <c r="N254" s="132"/>
    </row>
    <row r="255" spans="1:14" s="24" customFormat="1" x14ac:dyDescent="0.25">
      <c r="A255" s="20"/>
      <c r="B255" s="20"/>
      <c r="C255" s="21" t="s">
        <v>9</v>
      </c>
      <c r="D255" s="22"/>
      <c r="E255" s="22"/>
      <c r="F255" s="22"/>
      <c r="G255" s="22"/>
      <c r="H255" s="22"/>
      <c r="I255" s="22"/>
      <c r="J255" s="27">
        <f>+K255-D255</f>
        <v>0</v>
      </c>
      <c r="K255" s="27"/>
      <c r="L255" s="22"/>
      <c r="M255" s="134"/>
      <c r="N255" s="132"/>
    </row>
    <row r="256" spans="1:14" s="24" customFormat="1" x14ac:dyDescent="0.25">
      <c r="A256" s="20"/>
      <c r="B256" s="20"/>
      <c r="C256" s="21" t="s">
        <v>56</v>
      </c>
      <c r="D256" s="22"/>
      <c r="E256" s="22"/>
      <c r="F256" s="22"/>
      <c r="G256" s="22"/>
      <c r="H256" s="22"/>
      <c r="I256" s="22"/>
      <c r="J256" s="27">
        <f>+K256-D256</f>
        <v>0</v>
      </c>
      <c r="K256" s="27"/>
      <c r="L256" s="22"/>
      <c r="M256" s="134"/>
      <c r="N256" s="132"/>
    </row>
    <row r="257" spans="1:14" s="28" customFormat="1" ht="14.25" x14ac:dyDescent="0.2">
      <c r="A257" s="25"/>
      <c r="B257" s="25"/>
      <c r="C257" s="26"/>
      <c r="D257" s="27"/>
      <c r="E257" s="27"/>
      <c r="F257" s="27"/>
      <c r="G257" s="27"/>
      <c r="H257" s="27"/>
      <c r="I257" s="27"/>
      <c r="J257" s="27"/>
      <c r="K257" s="27"/>
      <c r="L257" s="27"/>
      <c r="M257" s="107"/>
      <c r="N257" s="133"/>
    </row>
    <row r="258" spans="1:14" s="28" customFormat="1" ht="14.25" x14ac:dyDescent="0.2">
      <c r="A258" s="25" t="s">
        <v>885</v>
      </c>
      <c r="B258" s="25"/>
      <c r="C258" s="26" t="s">
        <v>58</v>
      </c>
      <c r="D258" s="27">
        <f>'Revenue per source'!C73</f>
        <v>-18666</v>
      </c>
      <c r="E258" s="27">
        <f>'Revenue per source'!D73</f>
        <v>-2474.44</v>
      </c>
      <c r="F258" s="27">
        <f>'Revenue per source'!E73</f>
        <v>0</v>
      </c>
      <c r="G258" s="27">
        <f>'Revenue per source'!F73</f>
        <v>-14202.7</v>
      </c>
      <c r="H258" s="27">
        <f>'Revenue per source'!G73</f>
        <v>-4463.3</v>
      </c>
      <c r="I258" s="27">
        <f>'Revenue per source'!H73</f>
        <v>76.08</v>
      </c>
      <c r="J258" s="27">
        <f>'Revenue per source'!I73</f>
        <v>0</v>
      </c>
      <c r="K258" s="27">
        <f>'Revenue per source'!J73</f>
        <v>-28405</v>
      </c>
      <c r="L258" s="27">
        <f>'Revenue per source'!K73</f>
        <v>-29796.845000000001</v>
      </c>
      <c r="M258" s="27">
        <f>'Revenue per source'!L73</f>
        <v>-31227.093560000001</v>
      </c>
      <c r="N258" s="27">
        <f>'Revenue per source'!M73</f>
        <v>-32725.994050880003</v>
      </c>
    </row>
    <row r="259" spans="1:14" s="28" customFormat="1" x14ac:dyDescent="0.25">
      <c r="A259" s="25"/>
      <c r="B259" s="25"/>
      <c r="C259" s="26"/>
      <c r="D259" s="27"/>
      <c r="E259" s="27"/>
      <c r="F259" s="27"/>
      <c r="G259" s="27"/>
      <c r="H259" s="27"/>
      <c r="I259" s="27"/>
      <c r="J259" s="22"/>
      <c r="K259" s="27"/>
      <c r="L259" s="27"/>
      <c r="M259" s="107"/>
      <c r="N259" s="133"/>
    </row>
    <row r="260" spans="1:14" s="24" customFormat="1" x14ac:dyDescent="0.25">
      <c r="A260" s="20"/>
      <c r="B260" s="20"/>
      <c r="C260" s="21" t="s">
        <v>64</v>
      </c>
      <c r="D260" s="22">
        <f>SUM(D258:D259)</f>
        <v>-18666</v>
      </c>
      <c r="E260" s="22">
        <f>SUM(E258:E259)</f>
        <v>-2474.44</v>
      </c>
      <c r="F260" s="22">
        <f>SUM(F258:F259)</f>
        <v>0</v>
      </c>
      <c r="G260" s="22">
        <f>SUM(G258:G259)</f>
        <v>-14202.7</v>
      </c>
      <c r="H260" s="22">
        <f>SUM(H258:H259)</f>
        <v>-4463.3</v>
      </c>
      <c r="I260" s="22">
        <v>76.08</v>
      </c>
      <c r="J260" s="27">
        <f>+K260-D260</f>
        <v>-9739</v>
      </c>
      <c r="K260" s="22">
        <f>SUM(K258:K259)</f>
        <v>-28405</v>
      </c>
      <c r="L260" s="22">
        <f>SUM(L258:L259)</f>
        <v>-29796.845000000001</v>
      </c>
      <c r="M260" s="134">
        <f>SUM(M258:M259)</f>
        <v>-31227.093560000001</v>
      </c>
      <c r="N260" s="134">
        <f>SUM(N258:N259)</f>
        <v>-32725.994050880003</v>
      </c>
    </row>
    <row r="261" spans="1:14" s="24" customFormat="1" x14ac:dyDescent="0.25">
      <c r="A261" s="20"/>
      <c r="B261" s="20"/>
      <c r="C261" s="21"/>
      <c r="D261" s="22"/>
      <c r="E261" s="22"/>
      <c r="F261" s="22"/>
      <c r="G261" s="22"/>
      <c r="H261" s="22"/>
      <c r="I261" s="22"/>
      <c r="J261" s="27"/>
      <c r="K261" s="27"/>
      <c r="L261" s="22"/>
      <c r="M261" s="134"/>
      <c r="N261" s="132"/>
    </row>
    <row r="262" spans="1:14" s="24" customFormat="1" x14ac:dyDescent="0.25">
      <c r="A262" s="20"/>
      <c r="B262" s="20"/>
      <c r="C262" s="21" t="s">
        <v>70</v>
      </c>
      <c r="D262" s="22"/>
      <c r="E262" s="22"/>
      <c r="F262" s="22"/>
      <c r="G262" s="22"/>
      <c r="H262" s="22"/>
      <c r="I262" s="22"/>
      <c r="J262" s="27">
        <f>+K262-D262</f>
        <v>0</v>
      </c>
      <c r="K262" s="27"/>
      <c r="L262" s="22"/>
      <c r="M262" s="134"/>
      <c r="N262" s="132"/>
    </row>
    <row r="263" spans="1:14" s="28" customFormat="1" ht="14.25" x14ac:dyDescent="0.2">
      <c r="A263" s="25"/>
      <c r="B263" s="25"/>
      <c r="C263" s="26"/>
      <c r="D263" s="27"/>
      <c r="E263" s="27"/>
      <c r="F263" s="27"/>
      <c r="G263" s="27"/>
      <c r="H263" s="27"/>
      <c r="I263" s="27"/>
      <c r="J263" s="27"/>
      <c r="K263" s="27"/>
      <c r="L263" s="27"/>
      <c r="M263" s="107"/>
      <c r="N263" s="133"/>
    </row>
    <row r="264" spans="1:14" s="28" customFormat="1" ht="14.25" x14ac:dyDescent="0.2">
      <c r="A264" s="25" t="s">
        <v>886</v>
      </c>
      <c r="B264" s="25"/>
      <c r="C264" s="26" t="s">
        <v>74</v>
      </c>
      <c r="D264" s="27">
        <f>'Revenue per source'!C101</f>
        <v>-18426329</v>
      </c>
      <c r="E264" s="27">
        <f>'Revenue per source'!D101</f>
        <v>0</v>
      </c>
      <c r="F264" s="27">
        <f>'Revenue per source'!E101</f>
        <v>0</v>
      </c>
      <c r="G264" s="27">
        <f>'Revenue per source'!F101</f>
        <v>0</v>
      </c>
      <c r="H264" s="27">
        <f>'Revenue per source'!G101</f>
        <v>-18426329</v>
      </c>
      <c r="I264" s="27">
        <f>'Revenue per source'!H101</f>
        <v>0</v>
      </c>
      <c r="J264" s="27">
        <f>'Revenue per source'!I101</f>
        <v>0</v>
      </c>
      <c r="K264" s="27">
        <f>'Revenue per source'!J101</f>
        <v>-20255136</v>
      </c>
      <c r="L264" s="27">
        <f>'Revenue per source'!K101</f>
        <v>-18926671</v>
      </c>
      <c r="M264" s="27">
        <f>'Revenue per source'!L101</f>
        <v>-23910527</v>
      </c>
      <c r="N264" s="27">
        <f>'Revenue per source'!M101</f>
        <v>-28167984</v>
      </c>
    </row>
    <row r="265" spans="1:14" s="28" customFormat="1" ht="14.25" x14ac:dyDescent="0.2">
      <c r="A265" s="25"/>
      <c r="B265" s="25"/>
      <c r="C265" s="26"/>
      <c r="D265" s="27"/>
      <c r="E265" s="27"/>
      <c r="F265" s="27"/>
      <c r="G265" s="27"/>
      <c r="H265" s="27"/>
      <c r="I265" s="27"/>
      <c r="J265" s="27"/>
      <c r="K265" s="27"/>
      <c r="L265" s="27"/>
      <c r="M265" s="107"/>
      <c r="N265" s="133"/>
    </row>
    <row r="266" spans="1:14" s="24" customFormat="1" x14ac:dyDescent="0.25">
      <c r="A266" s="20"/>
      <c r="B266" s="20"/>
      <c r="C266" s="21" t="s">
        <v>77</v>
      </c>
      <c r="D266" s="22">
        <f>SUM(D264:D265)</f>
        <v>-18426329</v>
      </c>
      <c r="E266" s="22">
        <f>SUM(E264:E265)</f>
        <v>0</v>
      </c>
      <c r="F266" s="22">
        <f>SUM(F264:F265)</f>
        <v>0</v>
      </c>
      <c r="G266" s="22">
        <f>SUM(G264:G265)</f>
        <v>0</v>
      </c>
      <c r="H266" s="22">
        <f>SUM(H264:H265)</f>
        <v>-18426329</v>
      </c>
      <c r="I266" s="22">
        <v>0</v>
      </c>
      <c r="J266" s="27">
        <f>+K266-D266</f>
        <v>-1828807</v>
      </c>
      <c r="K266" s="22">
        <f>SUM(K264:K265)</f>
        <v>-20255136</v>
      </c>
      <c r="L266" s="22">
        <f>SUM(L264:L265)</f>
        <v>-18926671</v>
      </c>
      <c r="M266" s="134">
        <f>SUM(M264:M265)</f>
        <v>-23910527</v>
      </c>
      <c r="N266" s="134">
        <f>SUM(N264:N265)</f>
        <v>-28167984</v>
      </c>
    </row>
    <row r="267" spans="1:14" s="24" customFormat="1" x14ac:dyDescent="0.25">
      <c r="A267" s="20"/>
      <c r="B267" s="20"/>
      <c r="C267" s="21"/>
      <c r="D267" s="22"/>
      <c r="E267" s="22"/>
      <c r="F267" s="22"/>
      <c r="G267" s="22"/>
      <c r="H267" s="22"/>
      <c r="I267" s="22"/>
      <c r="J267" s="27"/>
      <c r="K267" s="27"/>
      <c r="L267" s="22"/>
      <c r="M267" s="134"/>
      <c r="N267" s="132"/>
    </row>
    <row r="268" spans="1:14" s="24" customFormat="1" x14ac:dyDescent="0.25">
      <c r="A268" s="20"/>
      <c r="B268" s="20"/>
      <c r="C268" s="21" t="s">
        <v>81</v>
      </c>
      <c r="D268" s="22"/>
      <c r="E268" s="22"/>
      <c r="F268" s="22"/>
      <c r="G268" s="22"/>
      <c r="H268" s="22"/>
      <c r="I268" s="22"/>
      <c r="J268" s="27">
        <f>+K268-D268</f>
        <v>0</v>
      </c>
      <c r="K268" s="27"/>
      <c r="L268" s="22"/>
      <c r="M268" s="134"/>
      <c r="N268" s="132"/>
    </row>
    <row r="269" spans="1:14" s="24" customFormat="1" x14ac:dyDescent="0.25">
      <c r="A269" s="20"/>
      <c r="B269" s="20"/>
      <c r="C269" s="21"/>
      <c r="D269" s="22"/>
      <c r="E269" s="22"/>
      <c r="F269" s="22"/>
      <c r="G269" s="22"/>
      <c r="H269" s="22"/>
      <c r="I269" s="22"/>
      <c r="J269" s="27"/>
      <c r="K269" s="27"/>
      <c r="L269" s="22"/>
      <c r="M269" s="134"/>
      <c r="N269" s="132"/>
    </row>
    <row r="270" spans="1:14" s="24" customFormat="1" x14ac:dyDescent="0.25">
      <c r="A270" s="20"/>
      <c r="B270" s="20"/>
      <c r="C270" s="21" t="s">
        <v>94</v>
      </c>
      <c r="D270" s="22">
        <f>D260+D266</f>
        <v>-18444995</v>
      </c>
      <c r="E270" s="22">
        <f t="shared" ref="E270:N270" si="57">E260+E266</f>
        <v>-2474.44</v>
      </c>
      <c r="F270" s="22">
        <f t="shared" si="57"/>
        <v>0</v>
      </c>
      <c r="G270" s="22">
        <f t="shared" si="57"/>
        <v>-14202.7</v>
      </c>
      <c r="H270" s="22">
        <f t="shared" si="57"/>
        <v>-18430792.300000001</v>
      </c>
      <c r="I270" s="22">
        <v>7.0000000000000007E-2</v>
      </c>
      <c r="J270" s="27">
        <f>+K270-D270</f>
        <v>-1838546</v>
      </c>
      <c r="K270" s="22">
        <f t="shared" si="57"/>
        <v>-20283541</v>
      </c>
      <c r="L270" s="22">
        <f t="shared" si="57"/>
        <v>-18956467.844999999</v>
      </c>
      <c r="M270" s="134">
        <f t="shared" si="57"/>
        <v>-23941754.093559999</v>
      </c>
      <c r="N270" s="134">
        <f t="shared" si="57"/>
        <v>-28200709.994050879</v>
      </c>
    </row>
    <row r="271" spans="1:14" s="24" customFormat="1" x14ac:dyDescent="0.25">
      <c r="A271" s="20"/>
      <c r="B271" s="20"/>
      <c r="C271" s="21"/>
      <c r="D271" s="22"/>
      <c r="E271" s="22"/>
      <c r="F271" s="22"/>
      <c r="G271" s="22"/>
      <c r="H271" s="22"/>
      <c r="I271" s="22"/>
      <c r="J271" s="27"/>
      <c r="K271" s="27"/>
      <c r="L271" s="22"/>
      <c r="M271" s="134"/>
      <c r="N271" s="132"/>
    </row>
    <row r="272" spans="1:14" s="24" customFormat="1" x14ac:dyDescent="0.25">
      <c r="A272" s="20"/>
      <c r="B272" s="20"/>
      <c r="C272" s="21" t="s">
        <v>95</v>
      </c>
      <c r="D272" s="22">
        <f>D270</f>
        <v>-18444995</v>
      </c>
      <c r="E272" s="22">
        <f t="shared" ref="E272:N272" si="58">E270</f>
        <v>-2474.44</v>
      </c>
      <c r="F272" s="22">
        <f t="shared" si="58"/>
        <v>0</v>
      </c>
      <c r="G272" s="22">
        <f t="shared" si="58"/>
        <v>-14202.7</v>
      </c>
      <c r="H272" s="22">
        <f t="shared" si="58"/>
        <v>-18430792.300000001</v>
      </c>
      <c r="I272" s="22">
        <v>7.0000000000000007E-2</v>
      </c>
      <c r="J272" s="27">
        <f>+K272-D272</f>
        <v>-1838546</v>
      </c>
      <c r="K272" s="22">
        <f t="shared" si="58"/>
        <v>-20283541</v>
      </c>
      <c r="L272" s="22">
        <f t="shared" si="58"/>
        <v>-18956467.844999999</v>
      </c>
      <c r="M272" s="134">
        <f t="shared" si="58"/>
        <v>-23941754.093559999</v>
      </c>
      <c r="N272" s="134">
        <f t="shared" si="58"/>
        <v>-28200709.994050879</v>
      </c>
    </row>
    <row r="273" spans="1:14" s="24" customFormat="1" x14ac:dyDescent="0.25">
      <c r="A273" s="20"/>
      <c r="B273" s="20"/>
      <c r="C273" s="21"/>
      <c r="D273" s="22"/>
      <c r="E273" s="22"/>
      <c r="F273" s="22"/>
      <c r="G273" s="22"/>
      <c r="H273" s="22"/>
      <c r="I273" s="22"/>
      <c r="J273" s="27"/>
      <c r="K273" s="27"/>
      <c r="L273" s="22"/>
      <c r="M273" s="134"/>
      <c r="N273" s="132"/>
    </row>
    <row r="274" spans="1:14" s="24" customFormat="1" x14ac:dyDescent="0.25">
      <c r="A274" s="20"/>
      <c r="B274" s="20"/>
      <c r="C274" s="21" t="s">
        <v>96</v>
      </c>
      <c r="D274" s="22"/>
      <c r="E274" s="22"/>
      <c r="F274" s="22"/>
      <c r="G274" s="22"/>
      <c r="H274" s="22"/>
      <c r="I274" s="22"/>
      <c r="J274" s="27">
        <f>+K274-D274</f>
        <v>0</v>
      </c>
      <c r="K274" s="27"/>
      <c r="L274" s="22"/>
      <c r="M274" s="134"/>
      <c r="N274" s="132"/>
    </row>
    <row r="275" spans="1:14" s="24" customFormat="1" x14ac:dyDescent="0.25">
      <c r="A275" s="20"/>
      <c r="B275" s="20"/>
      <c r="C275" s="21" t="s">
        <v>97</v>
      </c>
      <c r="D275" s="22"/>
      <c r="E275" s="22"/>
      <c r="F275" s="22"/>
      <c r="G275" s="22"/>
      <c r="H275" s="22"/>
      <c r="I275" s="22"/>
      <c r="J275" s="27">
        <f>+K275-D275</f>
        <v>0</v>
      </c>
      <c r="K275" s="27"/>
      <c r="L275" s="22"/>
      <c r="M275" s="134"/>
      <c r="N275" s="132"/>
    </row>
    <row r="276" spans="1:14" s="24" customFormat="1" x14ac:dyDescent="0.25">
      <c r="A276" s="20"/>
      <c r="B276" s="20"/>
      <c r="C276" s="21" t="s">
        <v>148</v>
      </c>
      <c r="D276" s="22"/>
      <c r="E276" s="22"/>
      <c r="F276" s="22"/>
      <c r="G276" s="22"/>
      <c r="H276" s="22"/>
      <c r="I276" s="22"/>
      <c r="J276" s="27">
        <f>+K276-D276</f>
        <v>0</v>
      </c>
      <c r="K276" s="27"/>
      <c r="L276" s="22"/>
      <c r="M276" s="134"/>
      <c r="N276" s="132"/>
    </row>
    <row r="277" spans="1:14" s="24" customFormat="1" x14ac:dyDescent="0.25">
      <c r="A277" s="20"/>
      <c r="B277" s="20"/>
      <c r="C277" s="21" t="s">
        <v>149</v>
      </c>
      <c r="D277" s="22"/>
      <c r="E277" s="22"/>
      <c r="F277" s="22"/>
      <c r="G277" s="22"/>
      <c r="H277" s="22"/>
      <c r="I277" s="22"/>
      <c r="J277" s="27">
        <f>+K277-D277</f>
        <v>0</v>
      </c>
      <c r="K277" s="27"/>
      <c r="L277" s="22"/>
      <c r="M277" s="134"/>
      <c r="N277" s="132"/>
    </row>
    <row r="278" spans="1:14" s="28" customFormat="1" ht="14.25" x14ac:dyDescent="0.2">
      <c r="A278" s="25"/>
      <c r="B278" s="25"/>
      <c r="C278" s="26"/>
      <c r="D278" s="27"/>
      <c r="E278" s="27"/>
      <c r="F278" s="27"/>
      <c r="G278" s="27"/>
      <c r="H278" s="27"/>
      <c r="I278" s="27"/>
      <c r="J278" s="27"/>
      <c r="K278" s="27"/>
      <c r="L278" s="27"/>
      <c r="M278" s="107"/>
      <c r="N278" s="133"/>
    </row>
    <row r="279" spans="1:14" s="28" customFormat="1" ht="14.25" x14ac:dyDescent="0.2">
      <c r="A279" s="25" t="s">
        <v>887</v>
      </c>
      <c r="B279" s="25"/>
      <c r="C279" s="26" t="s">
        <v>150</v>
      </c>
      <c r="D279" s="27">
        <f t="shared" ref="D279:D290" si="59">VLOOKUP(A279,fin,3,FALSE)</f>
        <v>2395771</v>
      </c>
      <c r="E279" s="27">
        <v>-141346.4</v>
      </c>
      <c r="F279" s="27">
        <v>0</v>
      </c>
      <c r="G279" s="27">
        <v>-848078.4</v>
      </c>
      <c r="H279" s="27">
        <v>-563200.6</v>
      </c>
      <c r="I279" s="27">
        <v>60.09</v>
      </c>
      <c r="J279" s="27">
        <f t="shared" ref="J279:J290" si="60">+K279-D279</f>
        <v>0</v>
      </c>
      <c r="K279" s="27">
        <f t="shared" ref="K279:K290" si="61">VLOOKUP(A279,fin,4,FALSE)</f>
        <v>2395771</v>
      </c>
      <c r="L279" s="27">
        <f t="shared" ref="L279:L290" si="62">K279*6.25/100+K279</f>
        <v>2545506.6875</v>
      </c>
      <c r="M279" s="107">
        <f t="shared" ref="M279:N290" si="63">L279*7/100+L279</f>
        <v>2723692.1556250001</v>
      </c>
      <c r="N279" s="133">
        <f t="shared" si="63"/>
        <v>2914350.6065187501</v>
      </c>
    </row>
    <row r="280" spans="1:14" s="28" customFormat="1" ht="14.25" x14ac:dyDescent="0.2">
      <c r="A280" s="25" t="s">
        <v>888</v>
      </c>
      <c r="B280" s="25"/>
      <c r="C280" s="26" t="s">
        <v>150</v>
      </c>
      <c r="D280" s="27">
        <f t="shared" si="59"/>
        <v>80600</v>
      </c>
      <c r="E280" s="27">
        <v>-141346.4</v>
      </c>
      <c r="F280" s="27">
        <v>0</v>
      </c>
      <c r="G280" s="27">
        <v>-848078.4</v>
      </c>
      <c r="H280" s="27">
        <v>-563200.6</v>
      </c>
      <c r="I280" s="27">
        <v>60.09</v>
      </c>
      <c r="J280" s="27">
        <f t="shared" si="60"/>
        <v>0</v>
      </c>
      <c r="K280" s="27">
        <f t="shared" si="61"/>
        <v>80600</v>
      </c>
      <c r="L280" s="27">
        <f t="shared" si="62"/>
        <v>85637.5</v>
      </c>
      <c r="M280" s="107">
        <f t="shared" si="63"/>
        <v>91632.125</v>
      </c>
      <c r="N280" s="133">
        <f t="shared" si="63"/>
        <v>98046.373749999999</v>
      </c>
    </row>
    <row r="281" spans="1:14" s="28" customFormat="1" ht="14.25" x14ac:dyDescent="0.2">
      <c r="A281" s="25" t="s">
        <v>889</v>
      </c>
      <c r="B281" s="25"/>
      <c r="C281" s="26" t="s">
        <v>151</v>
      </c>
      <c r="D281" s="27">
        <f t="shared" si="59"/>
        <v>119789</v>
      </c>
      <c r="E281" s="27">
        <v>-141346.4</v>
      </c>
      <c r="F281" s="27">
        <v>0</v>
      </c>
      <c r="G281" s="27">
        <v>-848078.4</v>
      </c>
      <c r="H281" s="27">
        <v>-563200.6</v>
      </c>
      <c r="I281" s="27">
        <v>60.09</v>
      </c>
      <c r="J281" s="27">
        <f t="shared" si="60"/>
        <v>-52052.280000000013</v>
      </c>
      <c r="K281" s="27">
        <f t="shared" si="61"/>
        <v>67736.719999999987</v>
      </c>
      <c r="L281" s="27">
        <f t="shared" si="62"/>
        <v>71970.264999999985</v>
      </c>
      <c r="M281" s="107">
        <f t="shared" si="63"/>
        <v>77008.183549999987</v>
      </c>
      <c r="N281" s="133">
        <f t="shared" si="63"/>
        <v>82398.756398499987</v>
      </c>
    </row>
    <row r="282" spans="1:14" s="28" customFormat="1" ht="14.25" x14ac:dyDescent="0.2">
      <c r="A282" s="25" t="s">
        <v>890</v>
      </c>
      <c r="B282" s="25"/>
      <c r="C282" s="26" t="s">
        <v>152</v>
      </c>
      <c r="D282" s="27">
        <f t="shared" si="59"/>
        <v>38100</v>
      </c>
      <c r="E282" s="27">
        <v>-141346.4</v>
      </c>
      <c r="F282" s="27">
        <v>0</v>
      </c>
      <c r="G282" s="27">
        <v>-848078.4</v>
      </c>
      <c r="H282" s="27">
        <v>-563200.6</v>
      </c>
      <c r="I282" s="27">
        <v>60.09</v>
      </c>
      <c r="J282" s="27">
        <f t="shared" si="60"/>
        <v>0</v>
      </c>
      <c r="K282" s="27">
        <f t="shared" si="61"/>
        <v>38100</v>
      </c>
      <c r="L282" s="27">
        <f t="shared" si="62"/>
        <v>40481.25</v>
      </c>
      <c r="M282" s="107">
        <f t="shared" si="63"/>
        <v>43314.9375</v>
      </c>
      <c r="N282" s="133">
        <f t="shared" si="63"/>
        <v>46346.983124999999</v>
      </c>
    </row>
    <row r="283" spans="1:14" s="28" customFormat="1" ht="14.25" x14ac:dyDescent="0.2">
      <c r="A283" s="25" t="s">
        <v>891</v>
      </c>
      <c r="B283" s="25"/>
      <c r="C283" s="26" t="s">
        <v>153</v>
      </c>
      <c r="D283" s="27">
        <f t="shared" si="59"/>
        <v>10893</v>
      </c>
      <c r="E283" s="27">
        <v>-141346.4</v>
      </c>
      <c r="F283" s="27">
        <v>0</v>
      </c>
      <c r="G283" s="27">
        <v>-848078.4</v>
      </c>
      <c r="H283" s="27">
        <v>-563200.6</v>
      </c>
      <c r="I283" s="27">
        <v>60.09</v>
      </c>
      <c r="J283" s="27">
        <f t="shared" si="60"/>
        <v>0</v>
      </c>
      <c r="K283" s="27">
        <f t="shared" si="61"/>
        <v>10893</v>
      </c>
      <c r="L283" s="27">
        <f t="shared" si="62"/>
        <v>11573.8125</v>
      </c>
      <c r="M283" s="107">
        <f t="shared" si="63"/>
        <v>12383.979375000001</v>
      </c>
      <c r="N283" s="133">
        <f t="shared" si="63"/>
        <v>13250.857931250001</v>
      </c>
    </row>
    <row r="284" spans="1:14" s="28" customFormat="1" ht="14.25" x14ac:dyDescent="0.2">
      <c r="A284" s="25" t="s">
        <v>892</v>
      </c>
      <c r="B284" s="25"/>
      <c r="C284" s="26" t="s">
        <v>155</v>
      </c>
      <c r="D284" s="27">
        <f t="shared" si="59"/>
        <v>83636</v>
      </c>
      <c r="E284" s="27">
        <v>-141346.4</v>
      </c>
      <c r="F284" s="27">
        <v>0</v>
      </c>
      <c r="G284" s="27">
        <v>-848078.4</v>
      </c>
      <c r="H284" s="27">
        <v>-563200.6</v>
      </c>
      <c r="I284" s="27">
        <v>60.09</v>
      </c>
      <c r="J284" s="27">
        <f t="shared" si="60"/>
        <v>0</v>
      </c>
      <c r="K284" s="27">
        <f t="shared" si="61"/>
        <v>83636</v>
      </c>
      <c r="L284" s="27">
        <f t="shared" si="62"/>
        <v>88863.25</v>
      </c>
      <c r="M284" s="107">
        <f t="shared" si="63"/>
        <v>95083.677500000005</v>
      </c>
      <c r="N284" s="133">
        <f t="shared" si="63"/>
        <v>101739.534925</v>
      </c>
    </row>
    <row r="285" spans="1:14" s="28" customFormat="1" ht="14.25" x14ac:dyDescent="0.2">
      <c r="A285" s="25" t="s">
        <v>893</v>
      </c>
      <c r="B285" s="25"/>
      <c r="C285" s="26" t="s">
        <v>156</v>
      </c>
      <c r="D285" s="27">
        <f t="shared" si="59"/>
        <v>277507</v>
      </c>
      <c r="E285" s="27">
        <v>-141346.4</v>
      </c>
      <c r="F285" s="27">
        <v>0</v>
      </c>
      <c r="G285" s="27">
        <v>-848078.4</v>
      </c>
      <c r="H285" s="27">
        <v>-563200.6</v>
      </c>
      <c r="I285" s="27">
        <v>60.09</v>
      </c>
      <c r="J285" s="27">
        <f t="shared" si="60"/>
        <v>0</v>
      </c>
      <c r="K285" s="27">
        <f t="shared" si="61"/>
        <v>277507</v>
      </c>
      <c r="L285" s="27">
        <f t="shared" si="62"/>
        <v>294851.1875</v>
      </c>
      <c r="M285" s="107">
        <f t="shared" si="63"/>
        <v>315490.770625</v>
      </c>
      <c r="N285" s="133">
        <f t="shared" si="63"/>
        <v>337575.12456875003</v>
      </c>
    </row>
    <row r="286" spans="1:14" s="28" customFormat="1" ht="14.25" x14ac:dyDescent="0.2">
      <c r="A286" s="25" t="s">
        <v>894</v>
      </c>
      <c r="B286" s="25"/>
      <c r="C286" s="26" t="s">
        <v>157</v>
      </c>
      <c r="D286" s="27">
        <f t="shared" si="59"/>
        <v>59936</v>
      </c>
      <c r="E286" s="27">
        <v>-141346.4</v>
      </c>
      <c r="F286" s="27">
        <v>0</v>
      </c>
      <c r="G286" s="27">
        <v>-848078.4</v>
      </c>
      <c r="H286" s="27">
        <v>-563200.6</v>
      </c>
      <c r="I286" s="27">
        <v>60.09</v>
      </c>
      <c r="J286" s="27">
        <f t="shared" si="60"/>
        <v>0</v>
      </c>
      <c r="K286" s="27">
        <f t="shared" si="61"/>
        <v>59936</v>
      </c>
      <c r="L286" s="27">
        <f t="shared" si="62"/>
        <v>63682</v>
      </c>
      <c r="M286" s="107">
        <f t="shared" si="63"/>
        <v>68139.740000000005</v>
      </c>
      <c r="N286" s="133">
        <f t="shared" si="63"/>
        <v>72909.521800000002</v>
      </c>
    </row>
    <row r="287" spans="1:14" s="28" customFormat="1" ht="14.25" x14ac:dyDescent="0.2">
      <c r="A287" s="25" t="s">
        <v>895</v>
      </c>
      <c r="B287" s="25"/>
      <c r="C287" s="26" t="s">
        <v>158</v>
      </c>
      <c r="D287" s="27">
        <f t="shared" si="59"/>
        <v>12540</v>
      </c>
      <c r="E287" s="27">
        <v>-141346.4</v>
      </c>
      <c r="F287" s="27">
        <v>0</v>
      </c>
      <c r="G287" s="27">
        <v>-848078.4</v>
      </c>
      <c r="H287" s="27">
        <v>-563200.6</v>
      </c>
      <c r="I287" s="27">
        <v>60.09</v>
      </c>
      <c r="J287" s="27">
        <f t="shared" si="60"/>
        <v>0</v>
      </c>
      <c r="K287" s="27">
        <f t="shared" si="61"/>
        <v>12540</v>
      </c>
      <c r="L287" s="27">
        <f t="shared" si="62"/>
        <v>13323.75</v>
      </c>
      <c r="M287" s="107">
        <f t="shared" si="63"/>
        <v>14256.4125</v>
      </c>
      <c r="N287" s="133">
        <f t="shared" si="63"/>
        <v>15254.361375</v>
      </c>
    </row>
    <row r="288" spans="1:14" s="28" customFormat="1" ht="14.25" x14ac:dyDescent="0.2">
      <c r="A288" s="25" t="s">
        <v>896</v>
      </c>
      <c r="B288" s="25"/>
      <c r="C288" s="26" t="s">
        <v>159</v>
      </c>
      <c r="D288" s="27">
        <f t="shared" si="59"/>
        <v>199648</v>
      </c>
      <c r="E288" s="27">
        <v>-141346.4</v>
      </c>
      <c r="F288" s="27">
        <v>0</v>
      </c>
      <c r="G288" s="27">
        <v>-848078.4</v>
      </c>
      <c r="H288" s="27">
        <v>-563200.6</v>
      </c>
      <c r="I288" s="27">
        <v>60.09</v>
      </c>
      <c r="J288" s="27">
        <f t="shared" si="60"/>
        <v>0</v>
      </c>
      <c r="K288" s="27">
        <f t="shared" si="61"/>
        <v>199648</v>
      </c>
      <c r="L288" s="27">
        <f t="shared" si="62"/>
        <v>212126</v>
      </c>
      <c r="M288" s="107">
        <f t="shared" si="63"/>
        <v>226974.82</v>
      </c>
      <c r="N288" s="133">
        <f t="shared" si="63"/>
        <v>242863.05740000002</v>
      </c>
    </row>
    <row r="289" spans="1:14" s="28" customFormat="1" ht="14.25" x14ac:dyDescent="0.2">
      <c r="A289" s="25" t="s">
        <v>897</v>
      </c>
      <c r="B289" s="25"/>
      <c r="C289" s="26" t="s">
        <v>161</v>
      </c>
      <c r="D289" s="27">
        <f t="shared" si="59"/>
        <v>21018</v>
      </c>
      <c r="E289" s="27">
        <v>-141346.4</v>
      </c>
      <c r="F289" s="27">
        <v>0</v>
      </c>
      <c r="G289" s="27">
        <v>-848078.4</v>
      </c>
      <c r="H289" s="27">
        <v>-563200.6</v>
      </c>
      <c r="I289" s="27">
        <v>60.09</v>
      </c>
      <c r="J289" s="27">
        <f t="shared" si="60"/>
        <v>0</v>
      </c>
      <c r="K289" s="27">
        <f t="shared" si="61"/>
        <v>21018</v>
      </c>
      <c r="L289" s="27">
        <f t="shared" si="62"/>
        <v>22331.625</v>
      </c>
      <c r="M289" s="107">
        <f t="shared" si="63"/>
        <v>23894.838749999999</v>
      </c>
      <c r="N289" s="133">
        <f t="shared" si="63"/>
        <v>25567.477462499999</v>
      </c>
    </row>
    <row r="290" spans="1:14" s="28" customFormat="1" ht="14.25" x14ac:dyDescent="0.2">
      <c r="A290" s="25" t="s">
        <v>898</v>
      </c>
      <c r="B290" s="25"/>
      <c r="C290" s="26" t="s">
        <v>164</v>
      </c>
      <c r="D290" s="27">
        <f t="shared" si="59"/>
        <v>15692</v>
      </c>
      <c r="E290" s="27">
        <v>-141346.4</v>
      </c>
      <c r="F290" s="27">
        <v>0</v>
      </c>
      <c r="G290" s="27">
        <v>-848078.4</v>
      </c>
      <c r="H290" s="27">
        <v>-563200.6</v>
      </c>
      <c r="I290" s="27">
        <v>60.09</v>
      </c>
      <c r="J290" s="27">
        <f t="shared" si="60"/>
        <v>0</v>
      </c>
      <c r="K290" s="27">
        <f t="shared" si="61"/>
        <v>15692</v>
      </c>
      <c r="L290" s="27">
        <f t="shared" si="62"/>
        <v>16672.75</v>
      </c>
      <c r="M290" s="107">
        <f t="shared" si="63"/>
        <v>17839.842499999999</v>
      </c>
      <c r="N290" s="133">
        <f t="shared" si="63"/>
        <v>19088.631474999998</v>
      </c>
    </row>
    <row r="291" spans="1:14" s="28" customFormat="1" ht="14.25" x14ac:dyDescent="0.2">
      <c r="A291" s="25"/>
      <c r="B291" s="25"/>
      <c r="C291" s="26"/>
      <c r="D291" s="27"/>
      <c r="E291" s="27"/>
      <c r="F291" s="27"/>
      <c r="G291" s="27"/>
      <c r="H291" s="27"/>
      <c r="I291" s="27"/>
      <c r="J291" s="27"/>
      <c r="K291" s="27"/>
      <c r="L291" s="27"/>
      <c r="M291" s="107"/>
      <c r="N291" s="133"/>
    </row>
    <row r="292" spans="1:14" s="24" customFormat="1" x14ac:dyDescent="0.25">
      <c r="A292" s="20"/>
      <c r="B292" s="20"/>
      <c r="C292" s="21" t="s">
        <v>165</v>
      </c>
      <c r="D292" s="22">
        <f>SUM(D279:D291)</f>
        <v>3315130</v>
      </c>
      <c r="E292" s="22">
        <f>SUM(E279:E291)</f>
        <v>-1696156.7999999996</v>
      </c>
      <c r="F292" s="22">
        <f>SUM(F279:F291)</f>
        <v>0</v>
      </c>
      <c r="G292" s="22">
        <f>SUM(G279:G291)</f>
        <v>-10176940.800000003</v>
      </c>
      <c r="H292" s="22">
        <f>SUM(H279:H291)</f>
        <v>-6758407.1999999983</v>
      </c>
      <c r="I292" s="22">
        <v>47.44</v>
      </c>
      <c r="J292" s="27">
        <f>+K292-D292</f>
        <v>-52052.279999999795</v>
      </c>
      <c r="K292" s="22">
        <f>SUM(K279:K291)</f>
        <v>3263077.72</v>
      </c>
      <c r="L292" s="22">
        <f>SUM(L279:L291)</f>
        <v>3467020.0775000001</v>
      </c>
      <c r="M292" s="134">
        <f>SUM(M279:M291)</f>
        <v>3709711.4829250006</v>
      </c>
      <c r="N292" s="134">
        <f>SUM(N279:N291)</f>
        <v>3969391.2867297493</v>
      </c>
    </row>
    <row r="293" spans="1:14" s="24" customFormat="1" x14ac:dyDescent="0.25">
      <c r="A293" s="20"/>
      <c r="B293" s="20"/>
      <c r="C293" s="21"/>
      <c r="D293" s="22"/>
      <c r="E293" s="22"/>
      <c r="F293" s="22"/>
      <c r="G293" s="22"/>
      <c r="H293" s="22"/>
      <c r="I293" s="22"/>
      <c r="J293" s="27"/>
      <c r="K293" s="27"/>
      <c r="L293" s="22"/>
      <c r="M293" s="134"/>
      <c r="N293" s="132"/>
    </row>
    <row r="294" spans="1:14" s="24" customFormat="1" x14ac:dyDescent="0.25">
      <c r="A294" s="20"/>
      <c r="B294" s="20"/>
      <c r="C294" s="21" t="s">
        <v>166</v>
      </c>
      <c r="D294" s="22"/>
      <c r="E294" s="22"/>
      <c r="F294" s="22"/>
      <c r="G294" s="22"/>
      <c r="H294" s="22"/>
      <c r="I294" s="22"/>
      <c r="J294" s="27">
        <f>+K294-D294</f>
        <v>0</v>
      </c>
      <c r="K294" s="27"/>
      <c r="L294" s="22"/>
      <c r="M294" s="134"/>
      <c r="N294" s="132"/>
    </row>
    <row r="295" spans="1:14" s="28" customFormat="1" ht="14.25" x14ac:dyDescent="0.2">
      <c r="A295" s="25"/>
      <c r="B295" s="25"/>
      <c r="C295" s="26"/>
      <c r="D295" s="27"/>
      <c r="E295" s="27"/>
      <c r="F295" s="27"/>
      <c r="G295" s="27"/>
      <c r="H295" s="27"/>
      <c r="I295" s="27"/>
      <c r="J295" s="27"/>
      <c r="K295" s="27"/>
      <c r="L295" s="27"/>
      <c r="M295" s="107"/>
      <c r="N295" s="133"/>
    </row>
    <row r="296" spans="1:14" s="28" customFormat="1" ht="14.25" x14ac:dyDescent="0.2">
      <c r="A296" s="25" t="s">
        <v>899</v>
      </c>
      <c r="B296" s="25"/>
      <c r="C296" s="26" t="s">
        <v>167</v>
      </c>
      <c r="D296" s="27">
        <f>VLOOKUP(A296,fin,3,FALSE)</f>
        <v>1011</v>
      </c>
      <c r="E296" s="27">
        <v>-141346.4</v>
      </c>
      <c r="F296" s="27">
        <v>0</v>
      </c>
      <c r="G296" s="27">
        <v>-848078.4</v>
      </c>
      <c r="H296" s="27">
        <v>-563200.6</v>
      </c>
      <c r="I296" s="27">
        <v>60.09</v>
      </c>
      <c r="J296" s="27">
        <f>+K296-D296</f>
        <v>0</v>
      </c>
      <c r="K296" s="27">
        <f>VLOOKUP(A296,fin,4,FALSE)</f>
        <v>1011</v>
      </c>
      <c r="L296" s="27">
        <f t="shared" ref="L296:L299" si="64">K296*6.25/100+K296</f>
        <v>1074.1875</v>
      </c>
      <c r="M296" s="107">
        <f t="shared" ref="M296:N299" si="65">L296*7/100+L296</f>
        <v>1149.380625</v>
      </c>
      <c r="N296" s="133">
        <f t="shared" si="65"/>
        <v>1229.83726875</v>
      </c>
    </row>
    <row r="297" spans="1:14" s="28" customFormat="1" ht="14.25" x14ac:dyDescent="0.2">
      <c r="A297" s="25" t="s">
        <v>900</v>
      </c>
      <c r="B297" s="25"/>
      <c r="C297" s="26" t="s">
        <v>168</v>
      </c>
      <c r="D297" s="27">
        <f>VLOOKUP(A297,fin,3,FALSE)</f>
        <v>431265</v>
      </c>
      <c r="E297" s="27">
        <v>-141346.4</v>
      </c>
      <c r="F297" s="27">
        <v>0</v>
      </c>
      <c r="G297" s="27">
        <v>-848078.4</v>
      </c>
      <c r="H297" s="27">
        <v>-563200.6</v>
      </c>
      <c r="I297" s="27">
        <v>60.09</v>
      </c>
      <c r="J297" s="27">
        <f>+K297-D297</f>
        <v>-200000</v>
      </c>
      <c r="K297" s="27">
        <f>VLOOKUP(A297,fin,4,FALSE)</f>
        <v>231265</v>
      </c>
      <c r="L297" s="27">
        <f t="shared" si="64"/>
        <v>245719.0625</v>
      </c>
      <c r="M297" s="107">
        <f t="shared" si="65"/>
        <v>262919.39687499998</v>
      </c>
      <c r="N297" s="133">
        <f t="shared" si="65"/>
        <v>281323.75465624995</v>
      </c>
    </row>
    <row r="298" spans="1:14" s="28" customFormat="1" ht="14.25" x14ac:dyDescent="0.2">
      <c r="A298" s="25" t="s">
        <v>901</v>
      </c>
      <c r="B298" s="25"/>
      <c r="C298" s="26" t="s">
        <v>169</v>
      </c>
      <c r="D298" s="27">
        <f>VLOOKUP(A298,fin,3,FALSE)</f>
        <v>527070</v>
      </c>
      <c r="E298" s="27">
        <v>-141346.4</v>
      </c>
      <c r="F298" s="27">
        <v>0</v>
      </c>
      <c r="G298" s="27">
        <v>-848078.4</v>
      </c>
      <c r="H298" s="27">
        <v>-563200.6</v>
      </c>
      <c r="I298" s="27">
        <v>60.09</v>
      </c>
      <c r="J298" s="27">
        <f>+K298-D298</f>
        <v>0</v>
      </c>
      <c r="K298" s="27">
        <f>VLOOKUP(A298,fin,4,FALSE)</f>
        <v>527070</v>
      </c>
      <c r="L298" s="27">
        <f t="shared" si="64"/>
        <v>560011.875</v>
      </c>
      <c r="M298" s="107">
        <f t="shared" si="65"/>
        <v>599212.70625000005</v>
      </c>
      <c r="N298" s="133">
        <f t="shared" si="65"/>
        <v>641157.59568750008</v>
      </c>
    </row>
    <row r="299" spans="1:14" s="28" customFormat="1" ht="14.25" x14ac:dyDescent="0.2">
      <c r="A299" s="25" t="s">
        <v>902</v>
      </c>
      <c r="B299" s="25"/>
      <c r="C299" s="26" t="s">
        <v>170</v>
      </c>
      <c r="D299" s="27">
        <f>VLOOKUP(A299,fin,3,FALSE)</f>
        <v>14280</v>
      </c>
      <c r="E299" s="27">
        <v>-141346.4</v>
      </c>
      <c r="F299" s="27">
        <v>0</v>
      </c>
      <c r="G299" s="27">
        <v>-848078.4</v>
      </c>
      <c r="H299" s="27">
        <v>-563200.6</v>
      </c>
      <c r="I299" s="27">
        <v>60.09</v>
      </c>
      <c r="J299" s="27">
        <f>+K299-D299</f>
        <v>0</v>
      </c>
      <c r="K299" s="27">
        <f>VLOOKUP(A299,fin,4,FALSE)</f>
        <v>14280</v>
      </c>
      <c r="L299" s="27">
        <f t="shared" si="64"/>
        <v>15172.5</v>
      </c>
      <c r="M299" s="107">
        <f t="shared" si="65"/>
        <v>16234.575000000001</v>
      </c>
      <c r="N299" s="133">
        <f t="shared" si="65"/>
        <v>17370.99525</v>
      </c>
    </row>
    <row r="300" spans="1:14" s="28" customFormat="1" ht="14.25" x14ac:dyDescent="0.2">
      <c r="A300" s="25" t="s">
        <v>903</v>
      </c>
      <c r="B300" s="25"/>
      <c r="C300" s="26" t="s">
        <v>170</v>
      </c>
      <c r="D300" s="27">
        <f>VLOOKUP(A300,fin,3,FALSE)</f>
        <v>0</v>
      </c>
      <c r="E300" s="27">
        <v>-141346.4</v>
      </c>
      <c r="F300" s="27">
        <v>0</v>
      </c>
      <c r="G300" s="27">
        <v>-848078.4</v>
      </c>
      <c r="H300" s="27">
        <v>-563200.6</v>
      </c>
      <c r="I300" s="27">
        <v>60.09</v>
      </c>
      <c r="J300" s="27">
        <f>+K300-D300</f>
        <v>0</v>
      </c>
      <c r="K300" s="27">
        <f>VLOOKUP(A300,fin,4,FALSE)</f>
        <v>0</v>
      </c>
      <c r="L300" s="27">
        <f>VLOOKUP(A300,fin,5,FALSE)</f>
        <v>0</v>
      </c>
      <c r="M300" s="107">
        <f>VLOOKUP(A300,fin,6,FALSE)</f>
        <v>0</v>
      </c>
      <c r="N300" s="133"/>
    </row>
    <row r="301" spans="1:14" s="28" customFormat="1" ht="14.25" x14ac:dyDescent="0.2">
      <c r="A301" s="25"/>
      <c r="B301" s="25"/>
      <c r="C301" s="26"/>
      <c r="D301" s="27"/>
      <c r="E301" s="27"/>
      <c r="F301" s="27"/>
      <c r="G301" s="27"/>
      <c r="H301" s="27"/>
      <c r="I301" s="27"/>
      <c r="J301" s="27"/>
      <c r="K301" s="27"/>
      <c r="L301" s="27"/>
      <c r="M301" s="107"/>
      <c r="N301" s="133"/>
    </row>
    <row r="302" spans="1:14" s="24" customFormat="1" x14ac:dyDescent="0.25">
      <c r="A302" s="20"/>
      <c r="B302" s="20"/>
      <c r="C302" s="21" t="s">
        <v>171</v>
      </c>
      <c r="D302" s="22">
        <f>SUM(D296:D301)</f>
        <v>973626</v>
      </c>
      <c r="E302" s="22">
        <f>SUM(E296:E301)</f>
        <v>-706732</v>
      </c>
      <c r="F302" s="22">
        <f>SUM(F296:F301)</f>
        <v>0</v>
      </c>
      <c r="G302" s="22">
        <f>SUM(G296:G301)</f>
        <v>-4240392</v>
      </c>
      <c r="H302" s="22">
        <f>SUM(H296:H301)</f>
        <v>-2816003</v>
      </c>
      <c r="I302" s="22">
        <v>37.630000000000003</v>
      </c>
      <c r="J302" s="27">
        <f>+K302-D302</f>
        <v>-200000</v>
      </c>
      <c r="K302" s="22">
        <f>SUM(K296:K301)</f>
        <v>773626</v>
      </c>
      <c r="L302" s="22">
        <f>SUM(L296:L301)</f>
        <v>821977.625</v>
      </c>
      <c r="M302" s="134">
        <f>SUM(M296:M301)</f>
        <v>879516.05874999997</v>
      </c>
      <c r="N302" s="134">
        <f>SUM(N296:N301)</f>
        <v>941082.18286250008</v>
      </c>
    </row>
    <row r="303" spans="1:14" s="24" customFormat="1" x14ac:dyDescent="0.25">
      <c r="A303" s="20"/>
      <c r="B303" s="20"/>
      <c r="C303" s="21"/>
      <c r="D303" s="22"/>
      <c r="E303" s="22"/>
      <c r="F303" s="22"/>
      <c r="G303" s="22"/>
      <c r="H303" s="22"/>
      <c r="I303" s="22"/>
      <c r="J303" s="27"/>
      <c r="K303" s="27"/>
      <c r="L303" s="22"/>
      <c r="M303" s="134"/>
      <c r="N303" s="132"/>
    </row>
    <row r="304" spans="1:14" s="24" customFormat="1" x14ac:dyDescent="0.25">
      <c r="A304" s="20"/>
      <c r="B304" s="20"/>
      <c r="C304" s="21" t="s">
        <v>172</v>
      </c>
      <c r="D304" s="22"/>
      <c r="E304" s="22"/>
      <c r="F304" s="22"/>
      <c r="G304" s="22"/>
      <c r="H304" s="22"/>
      <c r="I304" s="22"/>
      <c r="J304" s="27">
        <f>+K304-D304</f>
        <v>0</v>
      </c>
      <c r="K304" s="27"/>
      <c r="L304" s="22"/>
      <c r="M304" s="134"/>
      <c r="N304" s="132"/>
    </row>
    <row r="305" spans="1:14" s="28" customFormat="1" ht="14.25" x14ac:dyDescent="0.2">
      <c r="A305" s="25"/>
      <c r="B305" s="25"/>
      <c r="C305" s="26"/>
      <c r="D305" s="27"/>
      <c r="E305" s="27"/>
      <c r="F305" s="27"/>
      <c r="G305" s="27"/>
      <c r="H305" s="27"/>
      <c r="I305" s="27"/>
      <c r="J305" s="27"/>
      <c r="K305" s="27"/>
      <c r="L305" s="27"/>
      <c r="M305" s="107"/>
      <c r="N305" s="133"/>
    </row>
    <row r="306" spans="1:14" s="28" customFormat="1" ht="14.25" x14ac:dyDescent="0.2">
      <c r="A306" s="25" t="s">
        <v>904</v>
      </c>
      <c r="B306" s="25"/>
      <c r="C306" s="26" t="s">
        <v>173</v>
      </c>
      <c r="D306" s="27">
        <f>VLOOKUP(A306,fin,3,FALSE)</f>
        <v>41616</v>
      </c>
      <c r="E306" s="27">
        <v>-141346.4</v>
      </c>
      <c r="F306" s="27">
        <v>0</v>
      </c>
      <c r="G306" s="27">
        <v>-848078.4</v>
      </c>
      <c r="H306" s="27">
        <v>-563200.6</v>
      </c>
      <c r="I306" s="27">
        <v>60.09</v>
      </c>
      <c r="J306" s="27">
        <f>+K306-D306</f>
        <v>0</v>
      </c>
      <c r="K306" s="27">
        <f>VLOOKUP(A306,fin,4,FALSE)</f>
        <v>41616</v>
      </c>
      <c r="L306" s="27">
        <f t="shared" ref="L306:L308" si="66">K306*6.25/100+K306</f>
        <v>44217</v>
      </c>
      <c r="M306" s="107">
        <f t="shared" ref="M306:N308" si="67">L306*7/100+L306</f>
        <v>47312.19</v>
      </c>
      <c r="N306" s="133">
        <f t="shared" si="67"/>
        <v>50624.043300000005</v>
      </c>
    </row>
    <row r="307" spans="1:14" s="28" customFormat="1" ht="14.25" x14ac:dyDescent="0.2">
      <c r="A307" s="25" t="s">
        <v>905</v>
      </c>
      <c r="B307" s="25"/>
      <c r="C307" s="26" t="s">
        <v>174</v>
      </c>
      <c r="D307" s="27">
        <f>VLOOKUP(A307,fin,3,FALSE)</f>
        <v>54019</v>
      </c>
      <c r="E307" s="27">
        <v>-141346.4</v>
      </c>
      <c r="F307" s="27">
        <v>0</v>
      </c>
      <c r="G307" s="27">
        <v>-848078.4</v>
      </c>
      <c r="H307" s="27">
        <v>-563200.6</v>
      </c>
      <c r="I307" s="27">
        <v>60.09</v>
      </c>
      <c r="J307" s="27">
        <f>+K307-D307</f>
        <v>0</v>
      </c>
      <c r="K307" s="27">
        <f>VLOOKUP(A307,fin,4,FALSE)</f>
        <v>54019</v>
      </c>
      <c r="L307" s="27">
        <f t="shared" si="66"/>
        <v>57395.1875</v>
      </c>
      <c r="M307" s="107">
        <f t="shared" si="67"/>
        <v>61412.850624999999</v>
      </c>
      <c r="N307" s="133">
        <f t="shared" si="67"/>
        <v>65711.750168750004</v>
      </c>
    </row>
    <row r="308" spans="1:14" s="28" customFormat="1" ht="14.25" x14ac:dyDescent="0.2">
      <c r="A308" s="25" t="s">
        <v>906</v>
      </c>
      <c r="B308" s="25"/>
      <c r="C308" s="26" t="s">
        <v>175</v>
      </c>
      <c r="D308" s="27">
        <f>VLOOKUP(A308,fin,3,FALSE)</f>
        <v>39314</v>
      </c>
      <c r="E308" s="27">
        <v>-141346.4</v>
      </c>
      <c r="F308" s="27">
        <v>0</v>
      </c>
      <c r="G308" s="27">
        <v>-848078.4</v>
      </c>
      <c r="H308" s="27">
        <v>-563200.6</v>
      </c>
      <c r="I308" s="27">
        <v>60.09</v>
      </c>
      <c r="J308" s="27">
        <f>+K308-D308</f>
        <v>0</v>
      </c>
      <c r="K308" s="27">
        <f>VLOOKUP(A308,fin,4,FALSE)</f>
        <v>39314</v>
      </c>
      <c r="L308" s="27">
        <f t="shared" si="66"/>
        <v>41771.125</v>
      </c>
      <c r="M308" s="107">
        <f t="shared" si="67"/>
        <v>44695.103750000002</v>
      </c>
      <c r="N308" s="133">
        <f t="shared" si="67"/>
        <v>47823.761012499999</v>
      </c>
    </row>
    <row r="309" spans="1:14" s="28" customFormat="1" ht="14.25" x14ac:dyDescent="0.2">
      <c r="A309" s="25"/>
      <c r="B309" s="25"/>
      <c r="C309" s="26"/>
      <c r="D309" s="27"/>
      <c r="E309" s="27"/>
      <c r="F309" s="27"/>
      <c r="G309" s="27"/>
      <c r="H309" s="27"/>
      <c r="I309" s="27"/>
      <c r="J309" s="27"/>
      <c r="K309" s="27"/>
      <c r="L309" s="27"/>
      <c r="M309" s="107"/>
      <c r="N309" s="133"/>
    </row>
    <row r="310" spans="1:14" s="24" customFormat="1" x14ac:dyDescent="0.25">
      <c r="A310" s="20"/>
      <c r="B310" s="20"/>
      <c r="C310" s="21" t="s">
        <v>176</v>
      </c>
      <c r="D310" s="22">
        <f>SUM(D306:D309)</f>
        <v>134949</v>
      </c>
      <c r="E310" s="22">
        <f>SUM(E306:E309)</f>
        <v>-424039.19999999995</v>
      </c>
      <c r="F310" s="22">
        <f>SUM(F306:F309)</f>
        <v>0</v>
      </c>
      <c r="G310" s="22">
        <f>SUM(G306:G309)</f>
        <v>-2544235.2000000002</v>
      </c>
      <c r="H310" s="22">
        <f>SUM(H306:H309)</f>
        <v>-1689601.7999999998</v>
      </c>
      <c r="I310" s="22">
        <v>0</v>
      </c>
      <c r="J310" s="27">
        <f>+K310-D310</f>
        <v>0</v>
      </c>
      <c r="K310" s="22">
        <f>SUM(K306:K309)</f>
        <v>134949</v>
      </c>
      <c r="L310" s="22">
        <f>SUM(L306:L309)</f>
        <v>143383.3125</v>
      </c>
      <c r="M310" s="134">
        <f>SUM(M306:M309)</f>
        <v>153420.144375</v>
      </c>
      <c r="N310" s="134">
        <f>SUM(N306:N309)</f>
        <v>164159.55448125</v>
      </c>
    </row>
    <row r="311" spans="1:14" s="24" customFormat="1" x14ac:dyDescent="0.25">
      <c r="A311" s="20"/>
      <c r="B311" s="20"/>
      <c r="C311" s="21"/>
      <c r="D311" s="22"/>
      <c r="E311" s="22"/>
      <c r="F311" s="22"/>
      <c r="G311" s="22"/>
      <c r="H311" s="22"/>
      <c r="I311" s="22"/>
      <c r="J311" s="27"/>
      <c r="K311" s="27"/>
      <c r="L311" s="22"/>
      <c r="M311" s="134"/>
      <c r="N311" s="132"/>
    </row>
    <row r="312" spans="1:14" s="24" customFormat="1" x14ac:dyDescent="0.25">
      <c r="A312" s="20"/>
      <c r="B312" s="20"/>
      <c r="C312" s="21" t="s">
        <v>177</v>
      </c>
      <c r="D312" s="22">
        <f>D292+D302+D310</f>
        <v>4423705</v>
      </c>
      <c r="E312" s="22">
        <f t="shared" ref="E312:N312" si="68">E292+E302+E310</f>
        <v>-2826928</v>
      </c>
      <c r="F312" s="22">
        <f t="shared" si="68"/>
        <v>0</v>
      </c>
      <c r="G312" s="22">
        <f t="shared" si="68"/>
        <v>-16961568.000000004</v>
      </c>
      <c r="H312" s="22">
        <f t="shared" si="68"/>
        <v>-11264012</v>
      </c>
      <c r="I312" s="22">
        <v>43.83</v>
      </c>
      <c r="J312" s="27">
        <f>+K312-D312</f>
        <v>-252052.2799999998</v>
      </c>
      <c r="K312" s="22">
        <f t="shared" si="68"/>
        <v>4171652.72</v>
      </c>
      <c r="L312" s="22">
        <f t="shared" si="68"/>
        <v>4432381.0150000006</v>
      </c>
      <c r="M312" s="134">
        <f t="shared" si="68"/>
        <v>4742647.6860500006</v>
      </c>
      <c r="N312" s="134">
        <f t="shared" si="68"/>
        <v>5074633.0240734993</v>
      </c>
    </row>
    <row r="313" spans="1:14" s="24" customFormat="1" x14ac:dyDescent="0.25">
      <c r="A313" s="20"/>
      <c r="B313" s="20"/>
      <c r="C313" s="21"/>
      <c r="D313" s="22"/>
      <c r="E313" s="22"/>
      <c r="F313" s="22"/>
      <c r="G313" s="22"/>
      <c r="H313" s="22"/>
      <c r="I313" s="22"/>
      <c r="J313" s="27"/>
      <c r="K313" s="27"/>
      <c r="L313" s="22"/>
      <c r="M313" s="134"/>
      <c r="N313" s="132"/>
    </row>
    <row r="314" spans="1:14" s="24" customFormat="1" x14ac:dyDescent="0.25">
      <c r="A314" s="20"/>
      <c r="B314" s="20"/>
      <c r="C314" s="21" t="s">
        <v>178</v>
      </c>
      <c r="D314" s="22">
        <f>D312</f>
        <v>4423705</v>
      </c>
      <c r="E314" s="22">
        <f t="shared" ref="E314:N314" si="69">E312</f>
        <v>-2826928</v>
      </c>
      <c r="F314" s="22">
        <f t="shared" si="69"/>
        <v>0</v>
      </c>
      <c r="G314" s="22">
        <f t="shared" si="69"/>
        <v>-16961568.000000004</v>
      </c>
      <c r="H314" s="22">
        <f t="shared" si="69"/>
        <v>-11264012</v>
      </c>
      <c r="I314" s="22">
        <v>43.83</v>
      </c>
      <c r="J314" s="27">
        <f>+K314-D314</f>
        <v>-252052.2799999998</v>
      </c>
      <c r="K314" s="22">
        <f t="shared" si="69"/>
        <v>4171652.72</v>
      </c>
      <c r="L314" s="22">
        <f t="shared" si="69"/>
        <v>4432381.0150000006</v>
      </c>
      <c r="M314" s="134">
        <f t="shared" si="69"/>
        <v>4742647.6860500006</v>
      </c>
      <c r="N314" s="134">
        <f t="shared" si="69"/>
        <v>5074633.0240734993</v>
      </c>
    </row>
    <row r="315" spans="1:14" s="24" customFormat="1" x14ac:dyDescent="0.25">
      <c r="A315" s="20"/>
      <c r="B315" s="20"/>
      <c r="C315" s="21"/>
      <c r="D315" s="22"/>
      <c r="E315" s="22"/>
      <c r="F315" s="22"/>
      <c r="G315" s="22"/>
      <c r="H315" s="22"/>
      <c r="I315" s="22"/>
      <c r="J315" s="22"/>
      <c r="K315" s="27"/>
      <c r="L315" s="22"/>
      <c r="M315" s="134"/>
      <c r="N315" s="132"/>
    </row>
    <row r="316" spans="1:14" s="24" customFormat="1" x14ac:dyDescent="0.25">
      <c r="A316" s="20"/>
      <c r="B316" s="20"/>
      <c r="C316" s="21" t="s">
        <v>208</v>
      </c>
      <c r="D316" s="22"/>
      <c r="E316" s="22"/>
      <c r="F316" s="22"/>
      <c r="G316" s="22"/>
      <c r="H316" s="22"/>
      <c r="I316" s="22"/>
      <c r="J316" s="27">
        <f>+K316-D316</f>
        <v>0</v>
      </c>
      <c r="K316" s="27"/>
      <c r="L316" s="22"/>
      <c r="M316" s="134"/>
      <c r="N316" s="132"/>
    </row>
    <row r="317" spans="1:14" s="24" customFormat="1" x14ac:dyDescent="0.25">
      <c r="A317" s="20"/>
      <c r="B317" s="20"/>
      <c r="C317" s="21"/>
      <c r="D317" s="22"/>
      <c r="E317" s="22"/>
      <c r="F317" s="22"/>
      <c r="G317" s="22"/>
      <c r="H317" s="22"/>
      <c r="I317" s="22"/>
      <c r="J317" s="27"/>
      <c r="K317" s="27"/>
      <c r="L317" s="22"/>
      <c r="M317" s="134"/>
      <c r="N317" s="132"/>
    </row>
    <row r="318" spans="1:14" s="24" customFormat="1" x14ac:dyDescent="0.25">
      <c r="A318" s="20"/>
      <c r="B318" s="20"/>
      <c r="C318" s="21" t="s">
        <v>209</v>
      </c>
      <c r="D318" s="22"/>
      <c r="E318" s="22"/>
      <c r="F318" s="22"/>
      <c r="G318" s="22"/>
      <c r="H318" s="22"/>
      <c r="I318" s="22"/>
      <c r="J318" s="27">
        <f>+K318-D318</f>
        <v>0</v>
      </c>
      <c r="K318" s="27"/>
      <c r="L318" s="22"/>
      <c r="M318" s="134"/>
      <c r="N318" s="132"/>
    </row>
    <row r="319" spans="1:14" s="24" customFormat="1" x14ac:dyDescent="0.25">
      <c r="A319" s="20"/>
      <c r="B319" s="20"/>
      <c r="C319" s="21"/>
      <c r="D319" s="22"/>
      <c r="E319" s="22"/>
      <c r="F319" s="22"/>
      <c r="G319" s="22"/>
      <c r="H319" s="22"/>
      <c r="I319" s="22"/>
      <c r="J319" s="27"/>
      <c r="K319" s="27"/>
      <c r="L319" s="22"/>
      <c r="M319" s="134"/>
      <c r="N319" s="132"/>
    </row>
    <row r="320" spans="1:14" s="28" customFormat="1" ht="14.25" x14ac:dyDescent="0.2">
      <c r="A320" s="25" t="s">
        <v>907</v>
      </c>
      <c r="B320" s="25"/>
      <c r="C320" s="26" t="s">
        <v>212</v>
      </c>
      <c r="D320" s="27">
        <f>VLOOKUP(A320,fin,3,FALSE)</f>
        <v>205000</v>
      </c>
      <c r="E320" s="27">
        <v>-141346.4</v>
      </c>
      <c r="F320" s="27">
        <v>0</v>
      </c>
      <c r="G320" s="27">
        <v>-848078.4</v>
      </c>
      <c r="H320" s="27">
        <v>-563200.6</v>
      </c>
      <c r="I320" s="27">
        <v>60.09</v>
      </c>
      <c r="J320" s="27">
        <f>+K320-D320</f>
        <v>200000</v>
      </c>
      <c r="K320" s="27">
        <f>VLOOKUP(A320,fin,4,FALSE)</f>
        <v>405000</v>
      </c>
      <c r="L320" s="27">
        <v>200000</v>
      </c>
      <c r="M320" s="107">
        <f t="shared" ref="M320:N320" si="70">L320*4.6/100+L320</f>
        <v>209200</v>
      </c>
      <c r="N320" s="133">
        <f t="shared" si="70"/>
        <v>218823.2</v>
      </c>
    </row>
    <row r="321" spans="1:14" s="185" customFormat="1" ht="14.25" x14ac:dyDescent="0.2">
      <c r="A321" s="182"/>
      <c r="B321" s="182"/>
      <c r="C321" s="183" t="s">
        <v>3063</v>
      </c>
      <c r="D321" s="184">
        <v>0</v>
      </c>
      <c r="E321" s="184"/>
      <c r="F321" s="184"/>
      <c r="G321" s="184"/>
      <c r="H321" s="184"/>
      <c r="I321" s="184"/>
      <c r="J321" s="184"/>
      <c r="K321" s="184">
        <v>0</v>
      </c>
      <c r="L321" s="184">
        <v>800000</v>
      </c>
      <c r="M321" s="220">
        <v>0</v>
      </c>
      <c r="N321" s="221">
        <v>0</v>
      </c>
    </row>
    <row r="322" spans="1:14" s="28" customFormat="1" ht="14.25" x14ac:dyDescent="0.2">
      <c r="A322" s="25" t="s">
        <v>908</v>
      </c>
      <c r="B322" s="25"/>
      <c r="C322" s="26" t="s">
        <v>213</v>
      </c>
      <c r="D322" s="27">
        <f>VLOOKUP(A322,fin,3,FALSE)</f>
        <v>300000</v>
      </c>
      <c r="E322" s="27">
        <v>-141346.4</v>
      </c>
      <c r="F322" s="27">
        <v>0</v>
      </c>
      <c r="G322" s="27">
        <v>-848078.4</v>
      </c>
      <c r="H322" s="27">
        <v>-563200.6</v>
      </c>
      <c r="I322" s="27">
        <v>60.09</v>
      </c>
      <c r="J322" s="27">
        <f>+K322-D322</f>
        <v>168000</v>
      </c>
      <c r="K322" s="27">
        <f>VLOOKUP(A322,fin,4,FALSE)</f>
        <v>468000</v>
      </c>
      <c r="L322" s="27">
        <v>300000</v>
      </c>
      <c r="M322" s="107">
        <v>0</v>
      </c>
      <c r="N322" s="133">
        <v>300000</v>
      </c>
    </row>
    <row r="323" spans="1:14" s="28" customFormat="1" ht="14.25" x14ac:dyDescent="0.2">
      <c r="A323" s="25" t="s">
        <v>909</v>
      </c>
      <c r="B323" s="25"/>
      <c r="C323" s="26" t="s">
        <v>216</v>
      </c>
      <c r="D323" s="27">
        <f>VLOOKUP(A323,fin,3,FALSE)</f>
        <v>162340</v>
      </c>
      <c r="E323" s="27">
        <v>-141346.4</v>
      </c>
      <c r="F323" s="27">
        <v>0</v>
      </c>
      <c r="G323" s="27">
        <v>-848078.4</v>
      </c>
      <c r="H323" s="27">
        <v>-563200.6</v>
      </c>
      <c r="I323" s="27">
        <v>60.09</v>
      </c>
      <c r="J323" s="27">
        <f>+K323-D323</f>
        <v>0</v>
      </c>
      <c r="K323" s="27">
        <f>VLOOKUP(A323,fin,4,FALSE)</f>
        <v>162340</v>
      </c>
      <c r="L323" s="27">
        <f t="shared" ref="L323" si="71">K323*4.5/100+K323</f>
        <v>169645.3</v>
      </c>
      <c r="M323" s="107">
        <f t="shared" ref="M323:N323" si="72">L323*4.6/100+L323</f>
        <v>177448.98379999999</v>
      </c>
      <c r="N323" s="133">
        <f t="shared" si="72"/>
        <v>185611.6370548</v>
      </c>
    </row>
    <row r="324" spans="1:14" s="28" customFormat="1" ht="14.25" x14ac:dyDescent="0.2">
      <c r="A324" s="25"/>
      <c r="B324" s="25"/>
      <c r="C324" s="26"/>
      <c r="D324" s="27"/>
      <c r="E324" s="27"/>
      <c r="F324" s="27"/>
      <c r="G324" s="27"/>
      <c r="H324" s="27"/>
      <c r="I324" s="27"/>
      <c r="J324" s="27"/>
      <c r="K324" s="27"/>
      <c r="L324" s="27"/>
      <c r="M324" s="107"/>
      <c r="N324" s="133"/>
    </row>
    <row r="325" spans="1:14" s="24" customFormat="1" x14ac:dyDescent="0.25">
      <c r="A325" s="20"/>
      <c r="B325" s="20"/>
      <c r="C325" s="21" t="s">
        <v>217</v>
      </c>
      <c r="D325" s="22">
        <f>SUM(D320:D324)</f>
        <v>667340</v>
      </c>
      <c r="E325" s="22">
        <f>SUM(E320:E324)</f>
        <v>-424039.19999999995</v>
      </c>
      <c r="F325" s="22">
        <f>SUM(F320:F324)</f>
        <v>0</v>
      </c>
      <c r="G325" s="22">
        <f>SUM(G320:G324)</f>
        <v>-2544235.2000000002</v>
      </c>
      <c r="H325" s="22">
        <f>SUM(H320:H324)</f>
        <v>-1689601.7999999998</v>
      </c>
      <c r="I325" s="22">
        <v>29.36</v>
      </c>
      <c r="J325" s="27">
        <f>+K325-D325</f>
        <v>368000</v>
      </c>
      <c r="K325" s="22">
        <f>SUM(K320:K324)</f>
        <v>1035340</v>
      </c>
      <c r="L325" s="22">
        <f>SUM(L320:L324)</f>
        <v>1469645.3</v>
      </c>
      <c r="M325" s="134">
        <f>SUM(M320:M324)</f>
        <v>386648.98379999999</v>
      </c>
      <c r="N325" s="134">
        <f>SUM(N320:N324)</f>
        <v>704434.83705480001</v>
      </c>
    </row>
    <row r="326" spans="1:14" s="24" customFormat="1" x14ac:dyDescent="0.25">
      <c r="A326" s="20"/>
      <c r="B326" s="20"/>
      <c r="C326" s="21"/>
      <c r="D326" s="22"/>
      <c r="E326" s="22"/>
      <c r="F326" s="22"/>
      <c r="G326" s="22"/>
      <c r="H326" s="22"/>
      <c r="I326" s="22"/>
      <c r="J326" s="27"/>
      <c r="K326" s="27"/>
      <c r="L326" s="22"/>
      <c r="M326" s="134"/>
      <c r="N326" s="132"/>
    </row>
    <row r="327" spans="1:14" s="24" customFormat="1" x14ac:dyDescent="0.25">
      <c r="A327" s="20"/>
      <c r="B327" s="20"/>
      <c r="C327" s="21" t="s">
        <v>218</v>
      </c>
      <c r="D327" s="22"/>
      <c r="E327" s="22"/>
      <c r="F327" s="22"/>
      <c r="G327" s="22"/>
      <c r="H327" s="22"/>
      <c r="I327" s="22"/>
      <c r="J327" s="27">
        <f>+K327-D327</f>
        <v>0</v>
      </c>
      <c r="K327" s="27"/>
      <c r="L327" s="22"/>
      <c r="M327" s="134"/>
      <c r="N327" s="132"/>
    </row>
    <row r="328" spans="1:14" s="28" customFormat="1" ht="14.25" x14ac:dyDescent="0.2">
      <c r="A328" s="25"/>
      <c r="B328" s="25"/>
      <c r="C328" s="26"/>
      <c r="D328" s="27"/>
      <c r="E328" s="27"/>
      <c r="F328" s="27"/>
      <c r="G328" s="27"/>
      <c r="H328" s="27"/>
      <c r="I328" s="27"/>
      <c r="J328" s="27"/>
      <c r="K328" s="27"/>
      <c r="L328" s="27"/>
      <c r="M328" s="107"/>
      <c r="N328" s="133"/>
    </row>
    <row r="329" spans="1:14" s="185" customFormat="1" ht="14.25" x14ac:dyDescent="0.2">
      <c r="A329" s="182" t="s">
        <v>910</v>
      </c>
      <c r="B329" s="182" t="s">
        <v>3051</v>
      </c>
      <c r="C329" s="183" t="s">
        <v>219</v>
      </c>
      <c r="D329" s="184">
        <f>VLOOKUP(A329,fin,3,FALSE)</f>
        <v>700000</v>
      </c>
      <c r="E329" s="184">
        <v>-141346.4</v>
      </c>
      <c r="F329" s="184">
        <v>0</v>
      </c>
      <c r="G329" s="184">
        <v>-848078.4</v>
      </c>
      <c r="H329" s="184">
        <v>-563200.6</v>
      </c>
      <c r="I329" s="184">
        <v>60.09</v>
      </c>
      <c r="J329" s="184">
        <f>+K329-D329</f>
        <v>-52000</v>
      </c>
      <c r="K329" s="184">
        <f>VLOOKUP(A329,fin,4,FALSE)</f>
        <v>648000</v>
      </c>
      <c r="L329" s="184">
        <v>700000</v>
      </c>
      <c r="M329" s="220">
        <v>0</v>
      </c>
      <c r="N329" s="221">
        <f>M329*6/100+M329</f>
        <v>0</v>
      </c>
    </row>
    <row r="330" spans="1:14" s="185" customFormat="1" ht="14.25" x14ac:dyDescent="0.2">
      <c r="A330" s="182"/>
      <c r="B330" s="182"/>
      <c r="C330" s="183" t="s">
        <v>3066</v>
      </c>
      <c r="D330" s="184">
        <v>0</v>
      </c>
      <c r="E330" s="184"/>
      <c r="F330" s="184"/>
      <c r="G330" s="184"/>
      <c r="H330" s="184"/>
      <c r="I330" s="184"/>
      <c r="J330" s="184"/>
      <c r="K330" s="184">
        <v>0</v>
      </c>
      <c r="L330" s="184">
        <v>0</v>
      </c>
      <c r="M330" s="220">
        <v>2200000</v>
      </c>
      <c r="N330" s="221">
        <v>0</v>
      </c>
    </row>
    <row r="331" spans="1:14" s="28" customFormat="1" ht="14.25" x14ac:dyDescent="0.2">
      <c r="A331" s="25"/>
      <c r="B331" s="25"/>
      <c r="C331" s="26"/>
      <c r="D331" s="27"/>
      <c r="E331" s="27"/>
      <c r="F331" s="27"/>
      <c r="G331" s="27"/>
      <c r="H331" s="27"/>
      <c r="I331" s="27"/>
      <c r="J331" s="27"/>
      <c r="K331" s="27"/>
      <c r="L331" s="27"/>
      <c r="M331" s="107"/>
      <c r="N331" s="133"/>
    </row>
    <row r="332" spans="1:14" s="24" customFormat="1" x14ac:dyDescent="0.25">
      <c r="A332" s="20"/>
      <c r="B332" s="20"/>
      <c r="C332" s="21" t="s">
        <v>227</v>
      </c>
      <c r="D332" s="22">
        <f>SUM(D329:D331)</f>
        <v>700000</v>
      </c>
      <c r="E332" s="22">
        <f>SUM(E329:E331)</f>
        <v>-141346.4</v>
      </c>
      <c r="F332" s="22">
        <f>SUM(F329:F331)</f>
        <v>0</v>
      </c>
      <c r="G332" s="22">
        <f>SUM(G329:G331)</f>
        <v>-848078.4</v>
      </c>
      <c r="H332" s="22">
        <f>SUM(H329:H331)</f>
        <v>-563200.6</v>
      </c>
      <c r="I332" s="22">
        <v>0</v>
      </c>
      <c r="J332" s="27">
        <f>+K332-D332</f>
        <v>-52000</v>
      </c>
      <c r="K332" s="22">
        <f>SUM(K329:K331)</f>
        <v>648000</v>
      </c>
      <c r="L332" s="22">
        <f>SUM(L329:L331)</f>
        <v>700000</v>
      </c>
      <c r="M332" s="134">
        <f>SUM(M329:M331)</f>
        <v>2200000</v>
      </c>
      <c r="N332" s="134">
        <f>SUM(N329:N331)</f>
        <v>0</v>
      </c>
    </row>
    <row r="333" spans="1:14" s="28" customFormat="1" ht="14.25" x14ac:dyDescent="0.2">
      <c r="A333" s="25"/>
      <c r="B333" s="25"/>
      <c r="C333" s="26"/>
      <c r="D333" s="27"/>
      <c r="E333" s="27"/>
      <c r="F333" s="27"/>
      <c r="G333" s="27"/>
      <c r="H333" s="27"/>
      <c r="I333" s="27"/>
      <c r="J333" s="27"/>
      <c r="K333" s="27"/>
      <c r="L333" s="27"/>
      <c r="M333" s="107"/>
      <c r="N333" s="133"/>
    </row>
    <row r="334" spans="1:14" s="24" customFormat="1" x14ac:dyDescent="0.25">
      <c r="A334" s="20"/>
      <c r="B334" s="20"/>
      <c r="C334" s="21" t="s">
        <v>240</v>
      </c>
      <c r="D334" s="22">
        <f>D325+D332</f>
        <v>1367340</v>
      </c>
      <c r="E334" s="22">
        <f t="shared" ref="E334:N334" si="73">E325+E332</f>
        <v>-565385.6</v>
      </c>
      <c r="F334" s="22">
        <f t="shared" si="73"/>
        <v>0</v>
      </c>
      <c r="G334" s="22">
        <f t="shared" si="73"/>
        <v>-3392313.6</v>
      </c>
      <c r="H334" s="22">
        <f t="shared" si="73"/>
        <v>-2252802.4</v>
      </c>
      <c r="I334" s="22">
        <v>14.33</v>
      </c>
      <c r="J334" s="27">
        <f>+K334-D334</f>
        <v>316000</v>
      </c>
      <c r="K334" s="22">
        <f t="shared" si="73"/>
        <v>1683340</v>
      </c>
      <c r="L334" s="22">
        <f t="shared" si="73"/>
        <v>2169645.2999999998</v>
      </c>
      <c r="M334" s="134">
        <f t="shared" si="73"/>
        <v>2586648.9838</v>
      </c>
      <c r="N334" s="134">
        <f t="shared" si="73"/>
        <v>704434.83705480001</v>
      </c>
    </row>
    <row r="335" spans="1:14" s="24" customFormat="1" x14ac:dyDescent="0.25">
      <c r="A335" s="20"/>
      <c r="B335" s="20"/>
      <c r="C335" s="21"/>
      <c r="D335" s="22"/>
      <c r="E335" s="22"/>
      <c r="F335" s="22"/>
      <c r="G335" s="22"/>
      <c r="H335" s="22"/>
      <c r="I335" s="22"/>
      <c r="J335" s="27"/>
      <c r="K335" s="27"/>
      <c r="L335" s="22"/>
      <c r="M335" s="134"/>
      <c r="N335" s="132"/>
    </row>
    <row r="336" spans="1:14" s="24" customFormat="1" x14ac:dyDescent="0.25">
      <c r="A336" s="20"/>
      <c r="B336" s="20"/>
      <c r="C336" s="21" t="s">
        <v>241</v>
      </c>
      <c r="D336" s="22"/>
      <c r="E336" s="22"/>
      <c r="F336" s="22"/>
      <c r="G336" s="22"/>
      <c r="H336" s="22"/>
      <c r="I336" s="22"/>
      <c r="J336" s="27">
        <f>+K336-D336</f>
        <v>0</v>
      </c>
      <c r="K336" s="27"/>
      <c r="L336" s="22"/>
      <c r="M336" s="134"/>
      <c r="N336" s="132"/>
    </row>
    <row r="337" spans="1:14" s="28" customFormat="1" ht="14.25" x14ac:dyDescent="0.2">
      <c r="A337" s="25"/>
      <c r="B337" s="25"/>
      <c r="C337" s="26"/>
      <c r="D337" s="27"/>
      <c r="E337" s="27"/>
      <c r="F337" s="27"/>
      <c r="G337" s="27"/>
      <c r="H337" s="27"/>
      <c r="I337" s="27"/>
      <c r="J337" s="27"/>
      <c r="K337" s="27"/>
      <c r="L337" s="27"/>
      <c r="M337" s="107"/>
      <c r="N337" s="133"/>
    </row>
    <row r="338" spans="1:14" s="28" customFormat="1" ht="14.25" x14ac:dyDescent="0.2">
      <c r="A338" s="25" t="s">
        <v>911</v>
      </c>
      <c r="B338" s="25"/>
      <c r="C338" s="26" t="s">
        <v>248</v>
      </c>
      <c r="D338" s="27">
        <f>VLOOKUP(A338,fin,3,FALSE)</f>
        <v>1176923</v>
      </c>
      <c r="E338" s="27">
        <v>-141346.4</v>
      </c>
      <c r="F338" s="27">
        <v>0</v>
      </c>
      <c r="G338" s="27">
        <v>-848078.4</v>
      </c>
      <c r="H338" s="27">
        <v>-563200.6</v>
      </c>
      <c r="I338" s="27">
        <v>60.09</v>
      </c>
      <c r="J338" s="27">
        <f>+K338-D338</f>
        <v>600000</v>
      </c>
      <c r="K338" s="27">
        <f>VLOOKUP(A338,fin,4,FALSE)</f>
        <v>1776923</v>
      </c>
      <c r="L338" s="27">
        <v>2100000</v>
      </c>
      <c r="M338" s="27">
        <f t="shared" ref="L338:N341" si="74">L338*4.5/100+L338</f>
        <v>2194500</v>
      </c>
      <c r="N338" s="27">
        <f t="shared" si="74"/>
        <v>2293252.5</v>
      </c>
    </row>
    <row r="339" spans="1:14" s="28" customFormat="1" ht="14.25" x14ac:dyDescent="0.2">
      <c r="A339" s="25" t="s">
        <v>912</v>
      </c>
      <c r="B339" s="25"/>
      <c r="C339" s="26" t="s">
        <v>265</v>
      </c>
      <c r="D339" s="27">
        <f>VLOOKUP(A339,fin,3,FALSE)</f>
        <v>0</v>
      </c>
      <c r="E339" s="27">
        <v>-141346.4</v>
      </c>
      <c r="F339" s="27">
        <v>0</v>
      </c>
      <c r="G339" s="27">
        <v>-848078.4</v>
      </c>
      <c r="H339" s="27">
        <v>-563200.6</v>
      </c>
      <c r="I339" s="27">
        <v>60.09</v>
      </c>
      <c r="J339" s="27">
        <f>+K339-D339</f>
        <v>40000</v>
      </c>
      <c r="K339" s="27">
        <f>VLOOKUP(A339,fin,4,FALSE)</f>
        <v>40000</v>
      </c>
      <c r="L339" s="27">
        <f t="shared" si="74"/>
        <v>41800</v>
      </c>
      <c r="M339" s="27">
        <f t="shared" si="74"/>
        <v>43681</v>
      </c>
      <c r="N339" s="27">
        <f t="shared" si="74"/>
        <v>45646.644999999997</v>
      </c>
    </row>
    <row r="340" spans="1:14" s="28" customFormat="1" ht="14.25" x14ac:dyDescent="0.2">
      <c r="A340" s="25" t="s">
        <v>913</v>
      </c>
      <c r="B340" s="25"/>
      <c r="C340" s="26" t="s">
        <v>265</v>
      </c>
      <c r="D340" s="27">
        <f>VLOOKUP(A340,fin,3,FALSE)</f>
        <v>0</v>
      </c>
      <c r="E340" s="27">
        <v>-141346.4</v>
      </c>
      <c r="F340" s="27">
        <v>0</v>
      </c>
      <c r="G340" s="27">
        <v>-848078.4</v>
      </c>
      <c r="H340" s="27">
        <v>-563200.6</v>
      </c>
      <c r="I340" s="27">
        <v>60.09</v>
      </c>
      <c r="J340" s="27">
        <f>+K340-D340</f>
        <v>800</v>
      </c>
      <c r="K340" s="27">
        <f>VLOOKUP(A340,fin,4,FALSE)</f>
        <v>800</v>
      </c>
      <c r="L340" s="27">
        <f t="shared" si="74"/>
        <v>836</v>
      </c>
      <c r="M340" s="27">
        <f t="shared" si="74"/>
        <v>873.62</v>
      </c>
      <c r="N340" s="27">
        <f t="shared" si="74"/>
        <v>912.93290000000002</v>
      </c>
    </row>
    <row r="341" spans="1:14" s="28" customFormat="1" ht="14.25" x14ac:dyDescent="0.2">
      <c r="A341" s="25" t="s">
        <v>914</v>
      </c>
      <c r="B341" s="25"/>
      <c r="C341" s="26" t="s">
        <v>268</v>
      </c>
      <c r="D341" s="27">
        <f>VLOOKUP(A341,fin,3,FALSE)</f>
        <v>0</v>
      </c>
      <c r="E341" s="27">
        <v>-141346.4</v>
      </c>
      <c r="F341" s="27">
        <v>0</v>
      </c>
      <c r="G341" s="27">
        <v>-848078.4</v>
      </c>
      <c r="H341" s="27">
        <v>-563200.6</v>
      </c>
      <c r="I341" s="27">
        <v>60.09</v>
      </c>
      <c r="J341" s="27">
        <f>+K341-D341</f>
        <v>20000</v>
      </c>
      <c r="K341" s="27">
        <f>VLOOKUP(A341,fin,4,FALSE)</f>
        <v>20000</v>
      </c>
      <c r="L341" s="27">
        <f t="shared" si="74"/>
        <v>20900</v>
      </c>
      <c r="M341" s="27">
        <f t="shared" si="74"/>
        <v>21840.5</v>
      </c>
      <c r="N341" s="27">
        <f t="shared" si="74"/>
        <v>22823.322499999998</v>
      </c>
    </row>
    <row r="342" spans="1:14" s="28" customFormat="1" ht="14.25" x14ac:dyDescent="0.2">
      <c r="A342" s="25"/>
      <c r="B342" s="25"/>
      <c r="C342" s="26"/>
      <c r="D342" s="27"/>
      <c r="E342" s="27"/>
      <c r="F342" s="27"/>
      <c r="G342" s="27"/>
      <c r="H342" s="27"/>
      <c r="I342" s="27"/>
      <c r="J342" s="27"/>
      <c r="K342" s="27"/>
      <c r="L342" s="27"/>
      <c r="M342" s="107"/>
      <c r="N342" s="133"/>
    </row>
    <row r="343" spans="1:14" s="24" customFormat="1" x14ac:dyDescent="0.25">
      <c r="A343" s="20"/>
      <c r="B343" s="20"/>
      <c r="C343" s="21" t="s">
        <v>274</v>
      </c>
      <c r="D343" s="22">
        <f>SUM(D338:D342)</f>
        <v>1176923</v>
      </c>
      <c r="E343" s="22">
        <f>SUM(E338:E342)</f>
        <v>-565385.6</v>
      </c>
      <c r="F343" s="22">
        <f>SUM(F338:F342)</f>
        <v>0</v>
      </c>
      <c r="G343" s="22">
        <f>SUM(G338:G342)</f>
        <v>-3392313.6</v>
      </c>
      <c r="H343" s="22">
        <f>SUM(H338:H342)</f>
        <v>-2252802.4</v>
      </c>
      <c r="I343" s="22">
        <v>56.48</v>
      </c>
      <c r="J343" s="27">
        <f>+K343-D343</f>
        <v>660800</v>
      </c>
      <c r="K343" s="22">
        <f>SUM(K338:K342)</f>
        <v>1837723</v>
      </c>
      <c r="L343" s="22">
        <f>SUM(L338:L342)</f>
        <v>2163536</v>
      </c>
      <c r="M343" s="134">
        <f>SUM(M338:M342)</f>
        <v>2260895.12</v>
      </c>
      <c r="N343" s="134">
        <f>SUM(N338:N342)</f>
        <v>2362635.4003999997</v>
      </c>
    </row>
    <row r="344" spans="1:14" s="24" customFormat="1" x14ac:dyDescent="0.25">
      <c r="A344" s="20"/>
      <c r="B344" s="20"/>
      <c r="C344" s="21"/>
      <c r="D344" s="22"/>
      <c r="E344" s="22"/>
      <c r="F344" s="22"/>
      <c r="G344" s="22"/>
      <c r="H344" s="22"/>
      <c r="I344" s="22"/>
      <c r="J344" s="27"/>
      <c r="K344" s="27"/>
      <c r="L344" s="22"/>
      <c r="M344" s="134"/>
      <c r="N344" s="132"/>
    </row>
    <row r="345" spans="1:14" s="24" customFormat="1" x14ac:dyDescent="0.25">
      <c r="A345" s="20"/>
      <c r="B345" s="20"/>
      <c r="C345" s="21" t="s">
        <v>288</v>
      </c>
      <c r="D345" s="22"/>
      <c r="E345" s="22"/>
      <c r="F345" s="22"/>
      <c r="G345" s="22"/>
      <c r="H345" s="22"/>
      <c r="I345" s="22"/>
      <c r="J345" s="27">
        <f>+K345-D345</f>
        <v>0</v>
      </c>
      <c r="K345" s="27"/>
      <c r="L345" s="22"/>
      <c r="M345" s="134"/>
      <c r="N345" s="132"/>
    </row>
    <row r="346" spans="1:14" s="28" customFormat="1" ht="14.25" x14ac:dyDescent="0.2">
      <c r="A346" s="25"/>
      <c r="B346" s="25"/>
      <c r="C346" s="26"/>
      <c r="D346" s="27"/>
      <c r="E346" s="27"/>
      <c r="F346" s="27"/>
      <c r="G346" s="27"/>
      <c r="H346" s="27"/>
      <c r="I346" s="27"/>
      <c r="J346" s="27"/>
      <c r="K346" s="27"/>
      <c r="L346" s="27"/>
      <c r="M346" s="107"/>
      <c r="N346" s="133"/>
    </row>
    <row r="347" spans="1:14" s="28" customFormat="1" ht="14.25" x14ac:dyDescent="0.2">
      <c r="A347" s="25" t="s">
        <v>915</v>
      </c>
      <c r="B347" s="25"/>
      <c r="C347" s="26" t="s">
        <v>288</v>
      </c>
      <c r="D347" s="27">
        <f>VLOOKUP(A347,fin,3,FALSE)</f>
        <v>5837102</v>
      </c>
      <c r="E347" s="27">
        <v>-141346.4</v>
      </c>
      <c r="F347" s="27">
        <v>0</v>
      </c>
      <c r="G347" s="27">
        <v>-848078.4</v>
      </c>
      <c r="H347" s="27">
        <v>-563200.6</v>
      </c>
      <c r="I347" s="27">
        <v>60.09</v>
      </c>
      <c r="J347" s="27">
        <f>+K347-D347</f>
        <v>0</v>
      </c>
      <c r="K347" s="27">
        <f>VLOOKUP(A347,fin,4,FALSE)</f>
        <v>5837102</v>
      </c>
      <c r="L347" s="27">
        <f t="shared" ref="L347:N347" si="75">K347*4.5/100+K347</f>
        <v>6099771.5899999999</v>
      </c>
      <c r="M347" s="27">
        <f t="shared" si="75"/>
        <v>6374261.3115499998</v>
      </c>
      <c r="N347" s="27">
        <f t="shared" si="75"/>
        <v>6661103.0705697499</v>
      </c>
    </row>
    <row r="348" spans="1:14" s="28" customFormat="1" ht="14.25" x14ac:dyDescent="0.2">
      <c r="A348" s="25"/>
      <c r="B348" s="25"/>
      <c r="C348" s="26"/>
      <c r="D348" s="27"/>
      <c r="E348" s="27"/>
      <c r="F348" s="27"/>
      <c r="G348" s="27"/>
      <c r="H348" s="27"/>
      <c r="I348" s="27"/>
      <c r="J348" s="27"/>
      <c r="K348" s="27"/>
      <c r="L348" s="27"/>
      <c r="M348" s="107"/>
      <c r="N348" s="133"/>
    </row>
    <row r="349" spans="1:14" s="24" customFormat="1" x14ac:dyDescent="0.25">
      <c r="A349" s="20"/>
      <c r="B349" s="20"/>
      <c r="C349" s="21" t="s">
        <v>289</v>
      </c>
      <c r="D349" s="22">
        <f>SUM(D347:D348)</f>
        <v>5837102</v>
      </c>
      <c r="E349" s="22">
        <f>SUM(E347:E348)</f>
        <v>-141346.4</v>
      </c>
      <c r="F349" s="22">
        <f>SUM(F347:F348)</f>
        <v>0</v>
      </c>
      <c r="G349" s="22">
        <f>SUM(G347:G348)</f>
        <v>-848078.4</v>
      </c>
      <c r="H349" s="22">
        <f>SUM(H347:H348)</f>
        <v>-563200.6</v>
      </c>
      <c r="I349" s="22">
        <v>53.51</v>
      </c>
      <c r="J349" s="27">
        <f>+K349-D349</f>
        <v>0</v>
      </c>
      <c r="K349" s="22">
        <f>SUM(K347:K348)</f>
        <v>5837102</v>
      </c>
      <c r="L349" s="22">
        <f>SUM(L347:L348)</f>
        <v>6099771.5899999999</v>
      </c>
      <c r="M349" s="134">
        <f>SUM(M347:M348)</f>
        <v>6374261.3115499998</v>
      </c>
      <c r="N349" s="134">
        <f>SUM(N347:N348)</f>
        <v>6661103.0705697499</v>
      </c>
    </row>
    <row r="350" spans="1:14" s="24" customFormat="1" x14ac:dyDescent="0.25">
      <c r="A350" s="20"/>
      <c r="B350" s="20"/>
      <c r="C350" s="21"/>
      <c r="D350" s="22"/>
      <c r="E350" s="22"/>
      <c r="F350" s="22"/>
      <c r="G350" s="22"/>
      <c r="H350" s="22"/>
      <c r="I350" s="22"/>
      <c r="J350" s="27"/>
      <c r="K350" s="27"/>
      <c r="L350" s="22"/>
      <c r="M350" s="134"/>
      <c r="N350" s="132"/>
    </row>
    <row r="351" spans="1:14" s="24" customFormat="1" x14ac:dyDescent="0.25">
      <c r="A351" s="20"/>
      <c r="B351" s="20"/>
      <c r="C351" s="21" t="s">
        <v>290</v>
      </c>
      <c r="D351" s="22"/>
      <c r="E351" s="22"/>
      <c r="F351" s="22"/>
      <c r="G351" s="22"/>
      <c r="H351" s="22"/>
      <c r="I351" s="22"/>
      <c r="J351" s="27">
        <f>+K351-D351</f>
        <v>0</v>
      </c>
      <c r="K351" s="27"/>
      <c r="L351" s="22"/>
      <c r="M351" s="134"/>
      <c r="N351" s="132"/>
    </row>
    <row r="352" spans="1:14" s="28" customFormat="1" ht="14.25" x14ac:dyDescent="0.2">
      <c r="A352" s="25"/>
      <c r="B352" s="25"/>
      <c r="C352" s="26"/>
      <c r="D352" s="27"/>
      <c r="E352" s="27"/>
      <c r="F352" s="27"/>
      <c r="G352" s="27"/>
      <c r="H352" s="27"/>
      <c r="I352" s="27"/>
      <c r="J352" s="27"/>
      <c r="K352" s="27"/>
      <c r="L352" s="27"/>
      <c r="M352" s="107"/>
      <c r="N352" s="133"/>
    </row>
    <row r="353" spans="1:14" s="28" customFormat="1" ht="14.25" x14ac:dyDescent="0.2">
      <c r="A353" s="25" t="s">
        <v>916</v>
      </c>
      <c r="B353" s="25"/>
      <c r="C353" s="26" t="s">
        <v>291</v>
      </c>
      <c r="D353" s="27">
        <f>VLOOKUP(A353,fin,3,FALSE)</f>
        <v>3371</v>
      </c>
      <c r="E353" s="27">
        <v>-141346.4</v>
      </c>
      <c r="F353" s="27">
        <v>0</v>
      </c>
      <c r="G353" s="27">
        <v>-848078.4</v>
      </c>
      <c r="H353" s="27">
        <v>-563200.6</v>
      </c>
      <c r="I353" s="27">
        <v>60.09</v>
      </c>
      <c r="J353" s="27">
        <f>+K353-D353</f>
        <v>-3371</v>
      </c>
      <c r="K353" s="27">
        <f>VLOOKUP(A353,fin,4,FALSE)</f>
        <v>0</v>
      </c>
      <c r="L353" s="27">
        <f t="shared" ref="L353:N355" si="76">K353*4.5/100+K353</f>
        <v>0</v>
      </c>
      <c r="M353" s="27">
        <f t="shared" si="76"/>
        <v>0</v>
      </c>
      <c r="N353" s="27">
        <f t="shared" si="76"/>
        <v>0</v>
      </c>
    </row>
    <row r="354" spans="1:14" s="28" customFormat="1" ht="14.25" x14ac:dyDescent="0.2">
      <c r="A354" s="25" t="s">
        <v>917</v>
      </c>
      <c r="B354" s="25"/>
      <c r="C354" s="26" t="s">
        <v>292</v>
      </c>
      <c r="D354" s="27">
        <f>VLOOKUP(A354,fin,3,FALSE)</f>
        <v>10575</v>
      </c>
      <c r="E354" s="27">
        <v>-141346.4</v>
      </c>
      <c r="F354" s="27">
        <v>0</v>
      </c>
      <c r="G354" s="27">
        <v>-848078.4</v>
      </c>
      <c r="H354" s="27">
        <v>-563200.6</v>
      </c>
      <c r="I354" s="27">
        <v>60.09</v>
      </c>
      <c r="J354" s="27">
        <f>+K354-D354</f>
        <v>0</v>
      </c>
      <c r="K354" s="27">
        <f>VLOOKUP(A354,fin,4,FALSE)</f>
        <v>10575</v>
      </c>
      <c r="L354" s="27">
        <f t="shared" si="76"/>
        <v>11050.875</v>
      </c>
      <c r="M354" s="27">
        <f t="shared" si="76"/>
        <v>11548.164375</v>
      </c>
      <c r="N354" s="27">
        <f t="shared" si="76"/>
        <v>12067.831771875</v>
      </c>
    </row>
    <row r="355" spans="1:14" s="28" customFormat="1" ht="14.25" x14ac:dyDescent="0.2">
      <c r="A355" s="25" t="s">
        <v>918</v>
      </c>
      <c r="B355" s="25"/>
      <c r="C355" s="26" t="s">
        <v>293</v>
      </c>
      <c r="D355" s="27">
        <f>VLOOKUP(A355,fin,3,FALSE)</f>
        <v>109733</v>
      </c>
      <c r="E355" s="27">
        <v>-141346.4</v>
      </c>
      <c r="F355" s="27">
        <v>0</v>
      </c>
      <c r="G355" s="27">
        <v>-848078.4</v>
      </c>
      <c r="H355" s="27">
        <v>-563200.6</v>
      </c>
      <c r="I355" s="27">
        <v>60.09</v>
      </c>
      <c r="J355" s="27">
        <f>+K355-D355</f>
        <v>0</v>
      </c>
      <c r="K355" s="27">
        <f>VLOOKUP(A355,fin,4,FALSE)</f>
        <v>109733</v>
      </c>
      <c r="L355" s="27">
        <f t="shared" si="76"/>
        <v>114670.985</v>
      </c>
      <c r="M355" s="27">
        <f t="shared" si="76"/>
        <v>119831.179325</v>
      </c>
      <c r="N355" s="27">
        <f t="shared" si="76"/>
        <v>125223.582394625</v>
      </c>
    </row>
    <row r="356" spans="1:14" s="28" customFormat="1" ht="14.25" x14ac:dyDescent="0.2">
      <c r="A356" s="25" t="s">
        <v>919</v>
      </c>
      <c r="B356" s="25"/>
      <c r="C356" s="26" t="s">
        <v>296</v>
      </c>
      <c r="D356" s="27">
        <f>VLOOKUP(A356,fin,3,FALSE)</f>
        <v>0</v>
      </c>
      <c r="E356" s="27">
        <v>-141346.4</v>
      </c>
      <c r="F356" s="27">
        <v>0</v>
      </c>
      <c r="G356" s="27">
        <v>-848078.4</v>
      </c>
      <c r="H356" s="27">
        <v>-563200.6</v>
      </c>
      <c r="I356" s="27">
        <v>60.09</v>
      </c>
      <c r="J356" s="27">
        <f>+K356-D356</f>
        <v>0</v>
      </c>
      <c r="K356" s="27">
        <f>VLOOKUP(A356,fin,4,FALSE)</f>
        <v>0</v>
      </c>
      <c r="L356" s="27">
        <f t="shared" ref="L356:N356" si="77">K356*6/100+K356</f>
        <v>0</v>
      </c>
      <c r="M356" s="107">
        <f t="shared" si="77"/>
        <v>0</v>
      </c>
      <c r="N356" s="133">
        <f t="shared" si="77"/>
        <v>0</v>
      </c>
    </row>
    <row r="357" spans="1:14" s="28" customFormat="1" ht="14.25" x14ac:dyDescent="0.2">
      <c r="A357" s="25"/>
      <c r="B357" s="25"/>
      <c r="C357" s="26"/>
      <c r="D357" s="27"/>
      <c r="E357" s="27"/>
      <c r="F357" s="27"/>
      <c r="G357" s="27"/>
      <c r="H357" s="27"/>
      <c r="I357" s="27"/>
      <c r="J357" s="27"/>
      <c r="K357" s="27"/>
      <c r="L357" s="27"/>
      <c r="M357" s="107"/>
      <c r="N357" s="133"/>
    </row>
    <row r="358" spans="1:14" s="24" customFormat="1" x14ac:dyDescent="0.25">
      <c r="A358" s="20"/>
      <c r="B358" s="20"/>
      <c r="C358" s="21" t="s">
        <v>304</v>
      </c>
      <c r="D358" s="22">
        <f>SUM(D353:D357)</f>
        <v>123679</v>
      </c>
      <c r="E358" s="22">
        <f>SUM(E353:E357)</f>
        <v>-565385.6</v>
      </c>
      <c r="F358" s="22">
        <f>SUM(F353:F357)</f>
        <v>0</v>
      </c>
      <c r="G358" s="22">
        <f>SUM(G353:G357)</f>
        <v>-3392313.6</v>
      </c>
      <c r="H358" s="22">
        <f>SUM(H353:H357)</f>
        <v>-2252802.4</v>
      </c>
      <c r="I358" s="22">
        <v>98.8</v>
      </c>
      <c r="J358" s="27">
        <f>+K358-D358</f>
        <v>-3371</v>
      </c>
      <c r="K358" s="22">
        <f>SUM(K353:K357)</f>
        <v>120308</v>
      </c>
      <c r="L358" s="22">
        <f>SUM(L353:L357)</f>
        <v>125721.86</v>
      </c>
      <c r="M358" s="134">
        <f>SUM(M353:M357)</f>
        <v>131379.3437</v>
      </c>
      <c r="N358" s="134">
        <f>SUM(N353:N357)</f>
        <v>137291.41416650001</v>
      </c>
    </row>
    <row r="359" spans="1:14" s="24" customFormat="1" x14ac:dyDescent="0.25">
      <c r="A359" s="20"/>
      <c r="B359" s="20"/>
      <c r="C359" s="21"/>
      <c r="D359" s="22"/>
      <c r="E359" s="22"/>
      <c r="F359" s="22"/>
      <c r="G359" s="22"/>
      <c r="H359" s="22"/>
      <c r="I359" s="22"/>
      <c r="J359" s="27"/>
      <c r="K359" s="27"/>
      <c r="L359" s="22"/>
      <c r="M359" s="134"/>
      <c r="N359" s="132"/>
    </row>
    <row r="360" spans="1:14" s="24" customFormat="1" x14ac:dyDescent="0.25">
      <c r="A360" s="20"/>
      <c r="B360" s="20"/>
      <c r="C360" s="21" t="s">
        <v>305</v>
      </c>
      <c r="D360" s="22">
        <f>D314+D334+D343+D349+D358</f>
        <v>12928749</v>
      </c>
      <c r="E360" s="22">
        <f t="shared" ref="E360:N360" si="78">E314+E334+E343+E349+E358</f>
        <v>-4664431.2</v>
      </c>
      <c r="F360" s="22">
        <f t="shared" si="78"/>
        <v>0</v>
      </c>
      <c r="G360" s="22">
        <f t="shared" si="78"/>
        <v>-27986587.200000007</v>
      </c>
      <c r="H360" s="22">
        <f t="shared" si="78"/>
        <v>-18585619.800000001</v>
      </c>
      <c r="I360" s="22">
        <v>46.76</v>
      </c>
      <c r="J360" s="27">
        <f>+K360-D360</f>
        <v>721376.72000000067</v>
      </c>
      <c r="K360" s="22">
        <f t="shared" si="78"/>
        <v>13650125.720000001</v>
      </c>
      <c r="L360" s="22">
        <f t="shared" si="78"/>
        <v>14991055.765000001</v>
      </c>
      <c r="M360" s="134">
        <f t="shared" si="78"/>
        <v>16095832.445099998</v>
      </c>
      <c r="N360" s="134">
        <f t="shared" si="78"/>
        <v>14940097.746264549</v>
      </c>
    </row>
    <row r="361" spans="1:14" s="24" customFormat="1" x14ac:dyDescent="0.25">
      <c r="A361" s="20"/>
      <c r="B361" s="20"/>
      <c r="C361" s="21"/>
      <c r="D361" s="22"/>
      <c r="E361" s="22"/>
      <c r="F361" s="22"/>
      <c r="G361" s="22"/>
      <c r="H361" s="22"/>
      <c r="I361" s="22"/>
      <c r="J361" s="27"/>
      <c r="K361" s="27"/>
      <c r="L361" s="22"/>
      <c r="M361" s="134"/>
      <c r="N361" s="132"/>
    </row>
    <row r="362" spans="1:14" s="24" customFormat="1" x14ac:dyDescent="0.25">
      <c r="A362" s="20"/>
      <c r="B362" s="20"/>
      <c r="C362" s="21" t="s">
        <v>306</v>
      </c>
      <c r="D362" s="22">
        <f>D272+D360</f>
        <v>-5516246</v>
      </c>
      <c r="E362" s="22">
        <f t="shared" ref="E362:N362" si="79">E272+E360</f>
        <v>-4666905.6400000006</v>
      </c>
      <c r="F362" s="22">
        <f t="shared" si="79"/>
        <v>0</v>
      </c>
      <c r="G362" s="22">
        <f t="shared" si="79"/>
        <v>-28000789.900000006</v>
      </c>
      <c r="H362" s="22">
        <f t="shared" si="79"/>
        <v>-37016412.100000001</v>
      </c>
      <c r="I362" s="22">
        <v>-109.34</v>
      </c>
      <c r="J362" s="27">
        <f>+K362-D362</f>
        <v>-1117169.2799999993</v>
      </c>
      <c r="K362" s="22">
        <f t="shared" si="79"/>
        <v>-6633415.2799999993</v>
      </c>
      <c r="L362" s="22">
        <f t="shared" si="79"/>
        <v>-3965412.0799999982</v>
      </c>
      <c r="M362" s="134">
        <f t="shared" si="79"/>
        <v>-7845921.6484600008</v>
      </c>
      <c r="N362" s="134">
        <f t="shared" si="79"/>
        <v>-13260612.24778633</v>
      </c>
    </row>
    <row r="363" spans="1:14" s="24" customFormat="1" x14ac:dyDescent="0.25">
      <c r="A363" s="20"/>
      <c r="B363" s="20"/>
      <c r="C363" s="21"/>
      <c r="D363" s="22"/>
      <c r="E363" s="22"/>
      <c r="F363" s="22"/>
      <c r="G363" s="22"/>
      <c r="H363" s="22"/>
      <c r="I363" s="22"/>
      <c r="J363" s="27"/>
      <c r="K363" s="27"/>
      <c r="L363" s="22"/>
      <c r="M363" s="134"/>
      <c r="N363" s="132"/>
    </row>
    <row r="364" spans="1:14" s="24" customFormat="1" x14ac:dyDescent="0.25">
      <c r="A364" s="20"/>
      <c r="B364" s="20"/>
      <c r="C364" s="21" t="s">
        <v>308</v>
      </c>
      <c r="D364" s="22"/>
      <c r="E364" s="22"/>
      <c r="F364" s="22"/>
      <c r="G364" s="22"/>
      <c r="H364" s="22"/>
      <c r="I364" s="22"/>
      <c r="J364" s="27">
        <f>+K364-D364</f>
        <v>0</v>
      </c>
      <c r="K364" s="27"/>
      <c r="L364" s="22"/>
      <c r="M364" s="134"/>
      <c r="N364" s="132"/>
    </row>
    <row r="365" spans="1:14" s="24" customFormat="1" x14ac:dyDescent="0.25">
      <c r="A365" s="20"/>
      <c r="B365" s="20"/>
      <c r="C365" s="21"/>
      <c r="D365" s="22"/>
      <c r="E365" s="22"/>
      <c r="F365" s="22"/>
      <c r="G365" s="22"/>
      <c r="H365" s="22"/>
      <c r="I365" s="22"/>
      <c r="J365" s="27"/>
      <c r="K365" s="27"/>
      <c r="L365" s="22"/>
      <c r="M365" s="134"/>
      <c r="N365" s="132"/>
    </row>
    <row r="366" spans="1:14" s="28" customFormat="1" ht="14.25" x14ac:dyDescent="0.2">
      <c r="A366" s="25" t="s">
        <v>920</v>
      </c>
      <c r="B366" s="25"/>
      <c r="C366" s="26" t="s">
        <v>921</v>
      </c>
      <c r="D366" s="27">
        <f>VLOOKUP(A366,fin,3,FALSE)</f>
        <v>200000</v>
      </c>
      <c r="E366" s="27">
        <v>-141346.4</v>
      </c>
      <c r="F366" s="27">
        <v>0</v>
      </c>
      <c r="G366" s="27">
        <v>-848078.4</v>
      </c>
      <c r="H366" s="27">
        <v>-563200.6</v>
      </c>
      <c r="I366" s="27">
        <v>60.09</v>
      </c>
      <c r="J366" s="27">
        <f>+K366-D366</f>
        <v>40000</v>
      </c>
      <c r="K366" s="27">
        <f>VLOOKUP(A366,fin,4,FALSE)</f>
        <v>240000</v>
      </c>
      <c r="L366" s="27">
        <f>VLOOKUP(A366,fin,5,FALSE)</f>
        <v>200000</v>
      </c>
      <c r="M366" s="107">
        <f>VLOOKUP(A366,fin,6,FALSE)</f>
        <v>0</v>
      </c>
      <c r="N366" s="133"/>
    </row>
    <row r="367" spans="1:14" s="28" customFormat="1" ht="14.25" x14ac:dyDescent="0.2">
      <c r="A367" s="25"/>
      <c r="B367" s="25"/>
      <c r="C367" s="26"/>
      <c r="D367" s="27"/>
      <c r="E367" s="27"/>
      <c r="F367" s="27"/>
      <c r="G367" s="27"/>
      <c r="H367" s="27"/>
      <c r="I367" s="27"/>
      <c r="J367" s="27"/>
      <c r="K367" s="27"/>
      <c r="L367" s="27"/>
      <c r="M367" s="107"/>
      <c r="N367" s="133"/>
    </row>
    <row r="368" spans="1:14" s="24" customFormat="1" x14ac:dyDescent="0.25">
      <c r="A368" s="20"/>
      <c r="B368" s="20"/>
      <c r="C368" s="21" t="s">
        <v>320</v>
      </c>
      <c r="D368" s="22">
        <f>SUM(D366:D367)</f>
        <v>200000</v>
      </c>
      <c r="E368" s="22">
        <f>SUM(E366:E367)</f>
        <v>-141346.4</v>
      </c>
      <c r="F368" s="22">
        <f>SUM(F366:F367)</f>
        <v>0</v>
      </c>
      <c r="G368" s="22">
        <f>SUM(G366:G367)</f>
        <v>-848078.4</v>
      </c>
      <c r="H368" s="22">
        <f>SUM(H366:H367)</f>
        <v>-563200.6</v>
      </c>
      <c r="I368" s="22">
        <v>0</v>
      </c>
      <c r="J368" s="27">
        <f>+K368-D368</f>
        <v>40000</v>
      </c>
      <c r="K368" s="22">
        <f>SUM(K366:K367)</f>
        <v>240000</v>
      </c>
      <c r="L368" s="22">
        <f>SUM(L366:L367)</f>
        <v>200000</v>
      </c>
      <c r="M368" s="134">
        <f>SUM(M366:M367)</f>
        <v>0</v>
      </c>
      <c r="N368" s="134">
        <f>SUM(N366:N367)</f>
        <v>0</v>
      </c>
    </row>
    <row r="369" spans="1:14" s="28" customFormat="1" ht="14.25" x14ac:dyDescent="0.2">
      <c r="A369" s="25"/>
      <c r="B369" s="25"/>
      <c r="C369" s="26"/>
      <c r="D369" s="27"/>
      <c r="E369" s="27"/>
      <c r="F369" s="27"/>
      <c r="G369" s="27"/>
      <c r="H369" s="27"/>
      <c r="I369" s="27"/>
      <c r="J369" s="27"/>
      <c r="K369" s="27"/>
      <c r="L369" s="27"/>
      <c r="M369" s="107"/>
      <c r="N369" s="133"/>
    </row>
    <row r="370" spans="1:14" s="24" customFormat="1" x14ac:dyDescent="0.25">
      <c r="A370" s="20"/>
      <c r="B370" s="20"/>
      <c r="C370" s="21" t="s">
        <v>922</v>
      </c>
      <c r="D370" s="22"/>
      <c r="E370" s="22"/>
      <c r="F370" s="22"/>
      <c r="G370" s="22"/>
      <c r="H370" s="22"/>
      <c r="I370" s="22"/>
      <c r="J370" s="27">
        <f ca="1">+K370-D370</f>
        <v>276424</v>
      </c>
      <c r="K370" s="27">
        <f ca="1">D370+J370</f>
        <v>0</v>
      </c>
      <c r="L370" s="22"/>
      <c r="M370" s="134"/>
      <c r="N370" s="132"/>
    </row>
    <row r="371" spans="1:14" s="24" customFormat="1" x14ac:dyDescent="0.25">
      <c r="A371" s="20"/>
      <c r="B371" s="20"/>
      <c r="C371" s="21" t="s">
        <v>96</v>
      </c>
      <c r="D371" s="22"/>
      <c r="E371" s="22"/>
      <c r="F371" s="22"/>
      <c r="G371" s="22"/>
      <c r="H371" s="22"/>
      <c r="I371" s="22"/>
      <c r="J371" s="27">
        <f ca="1">+K371-D371</f>
        <v>276424</v>
      </c>
      <c r="K371" s="27">
        <f ca="1">D371+J371</f>
        <v>0</v>
      </c>
      <c r="L371" s="22"/>
      <c r="M371" s="134"/>
      <c r="N371" s="132"/>
    </row>
    <row r="372" spans="1:14" s="24" customFormat="1" x14ac:dyDescent="0.25">
      <c r="A372" s="20"/>
      <c r="B372" s="20"/>
      <c r="C372" s="21" t="s">
        <v>97</v>
      </c>
      <c r="D372" s="22"/>
      <c r="E372" s="22"/>
      <c r="F372" s="22"/>
      <c r="G372" s="22"/>
      <c r="H372" s="22"/>
      <c r="I372" s="22"/>
      <c r="J372" s="27">
        <f ca="1">+K372-D372</f>
        <v>276424</v>
      </c>
      <c r="K372" s="27">
        <f ca="1">D372+J372</f>
        <v>0</v>
      </c>
      <c r="L372" s="22"/>
      <c r="M372" s="134"/>
      <c r="N372" s="132"/>
    </row>
    <row r="373" spans="1:14" s="24" customFormat="1" x14ac:dyDescent="0.25">
      <c r="A373" s="20"/>
      <c r="B373" s="20"/>
      <c r="C373" s="21" t="s">
        <v>148</v>
      </c>
      <c r="D373" s="22"/>
      <c r="E373" s="22"/>
      <c r="F373" s="22"/>
      <c r="G373" s="22"/>
      <c r="H373" s="22"/>
      <c r="I373" s="22"/>
      <c r="J373" s="27">
        <f ca="1">+K373-D373</f>
        <v>276424</v>
      </c>
      <c r="K373" s="27">
        <f ca="1">D373+J373</f>
        <v>0</v>
      </c>
      <c r="L373" s="22"/>
      <c r="M373" s="134"/>
      <c r="N373" s="132"/>
    </row>
    <row r="374" spans="1:14" s="24" customFormat="1" x14ac:dyDescent="0.25">
      <c r="A374" s="20"/>
      <c r="B374" s="20"/>
      <c r="C374" s="21" t="s">
        <v>149</v>
      </c>
      <c r="D374" s="22"/>
      <c r="E374" s="22"/>
      <c r="F374" s="22"/>
      <c r="G374" s="22"/>
      <c r="H374" s="22"/>
      <c r="I374" s="22"/>
      <c r="J374" s="27">
        <f ca="1">+K374-D374</f>
        <v>276424</v>
      </c>
      <c r="K374" s="27">
        <f ca="1">D374+J374</f>
        <v>0</v>
      </c>
      <c r="L374" s="22"/>
      <c r="M374" s="134"/>
      <c r="N374" s="132"/>
    </row>
    <row r="375" spans="1:14" s="28" customFormat="1" ht="14.25" x14ac:dyDescent="0.2">
      <c r="A375" s="25"/>
      <c r="B375" s="25"/>
      <c r="C375" s="26"/>
      <c r="D375" s="27"/>
      <c r="E375" s="27"/>
      <c r="F375" s="27"/>
      <c r="G375" s="27"/>
      <c r="H375" s="27"/>
      <c r="I375" s="27"/>
      <c r="J375" s="27"/>
      <c r="K375" s="27"/>
      <c r="L375" s="27"/>
      <c r="M375" s="107"/>
      <c r="N375" s="133"/>
    </row>
    <row r="376" spans="1:14" s="28" customFormat="1" ht="14.25" x14ac:dyDescent="0.2">
      <c r="A376" s="25" t="s">
        <v>923</v>
      </c>
      <c r="B376" s="25"/>
      <c r="C376" s="26" t="s">
        <v>150</v>
      </c>
      <c r="D376" s="27">
        <f t="shared" ref="D376:D387" si="80">VLOOKUP(A376,fin,3,FALSE)</f>
        <v>2016139</v>
      </c>
      <c r="E376" s="27">
        <v>-141346.4</v>
      </c>
      <c r="F376" s="27">
        <v>0</v>
      </c>
      <c r="G376" s="27">
        <v>-848078.4</v>
      </c>
      <c r="H376" s="27">
        <v>-563200.6</v>
      </c>
      <c r="I376" s="27">
        <v>60.09</v>
      </c>
      <c r="J376" s="27">
        <f t="shared" ref="J376:J387" si="81">+K376-D376</f>
        <v>0</v>
      </c>
      <c r="K376" s="27">
        <f t="shared" ref="K376:K387" si="82">VLOOKUP(A376,fin,4,FALSE)</f>
        <v>2016139</v>
      </c>
      <c r="L376" s="27">
        <f t="shared" ref="L376:L387" si="83">K376*6.25/100+K376</f>
        <v>2142147.6875</v>
      </c>
      <c r="M376" s="107">
        <f t="shared" ref="M376:N387" si="84">L376*7/100+L376</f>
        <v>2292098.0256249998</v>
      </c>
      <c r="N376" s="133">
        <f t="shared" si="84"/>
        <v>2452544.8874187497</v>
      </c>
    </row>
    <row r="377" spans="1:14" s="28" customFormat="1" ht="14.25" x14ac:dyDescent="0.2">
      <c r="A377" s="25" t="s">
        <v>924</v>
      </c>
      <c r="B377" s="25"/>
      <c r="C377" s="26" t="s">
        <v>150</v>
      </c>
      <c r="D377" s="27">
        <f t="shared" si="80"/>
        <v>80600</v>
      </c>
      <c r="E377" s="27">
        <v>-141346.4</v>
      </c>
      <c r="F377" s="27">
        <v>0</v>
      </c>
      <c r="G377" s="27">
        <v>-848078.4</v>
      </c>
      <c r="H377" s="27">
        <v>-563200.6</v>
      </c>
      <c r="I377" s="27">
        <v>60.09</v>
      </c>
      <c r="J377" s="27">
        <f t="shared" si="81"/>
        <v>0</v>
      </c>
      <c r="K377" s="27">
        <f t="shared" si="82"/>
        <v>80600</v>
      </c>
      <c r="L377" s="27">
        <f t="shared" si="83"/>
        <v>85637.5</v>
      </c>
      <c r="M377" s="107">
        <f t="shared" si="84"/>
        <v>91632.125</v>
      </c>
      <c r="N377" s="133">
        <f t="shared" si="84"/>
        <v>98046.373749999999</v>
      </c>
    </row>
    <row r="378" spans="1:14" s="28" customFormat="1" ht="14.25" x14ac:dyDescent="0.2">
      <c r="A378" s="25" t="s">
        <v>925</v>
      </c>
      <c r="B378" s="25"/>
      <c r="C378" s="26" t="s">
        <v>151</v>
      </c>
      <c r="D378" s="27">
        <f t="shared" si="80"/>
        <v>83607</v>
      </c>
      <c r="E378" s="27">
        <v>-141346.4</v>
      </c>
      <c r="F378" s="27">
        <v>0</v>
      </c>
      <c r="G378" s="27">
        <v>-848078.4</v>
      </c>
      <c r="H378" s="27">
        <v>-563200.6</v>
      </c>
      <c r="I378" s="27">
        <v>60.09</v>
      </c>
      <c r="J378" s="27">
        <f t="shared" si="81"/>
        <v>-41271.550000000003</v>
      </c>
      <c r="K378" s="27">
        <f t="shared" si="82"/>
        <v>42335.45</v>
      </c>
      <c r="L378" s="27">
        <f t="shared" si="83"/>
        <v>44981.415624999994</v>
      </c>
      <c r="M378" s="107">
        <f t="shared" si="84"/>
        <v>48130.114718749996</v>
      </c>
      <c r="N378" s="133">
        <f t="shared" si="84"/>
        <v>51499.222749062494</v>
      </c>
    </row>
    <row r="379" spans="1:14" s="28" customFormat="1" ht="14.25" x14ac:dyDescent="0.2">
      <c r="A379" s="25" t="s">
        <v>926</v>
      </c>
      <c r="B379" s="25"/>
      <c r="C379" s="26" t="s">
        <v>152</v>
      </c>
      <c r="D379" s="27">
        <f t="shared" si="80"/>
        <v>52200</v>
      </c>
      <c r="E379" s="27">
        <v>-141346.4</v>
      </c>
      <c r="F379" s="27">
        <v>0</v>
      </c>
      <c r="G379" s="27">
        <v>-848078.4</v>
      </c>
      <c r="H379" s="27">
        <v>-563200.6</v>
      </c>
      <c r="I379" s="27">
        <v>60.09</v>
      </c>
      <c r="J379" s="27">
        <f t="shared" si="81"/>
        <v>0</v>
      </c>
      <c r="K379" s="27">
        <f t="shared" si="82"/>
        <v>52200</v>
      </c>
      <c r="L379" s="27">
        <f t="shared" si="83"/>
        <v>55462.5</v>
      </c>
      <c r="M379" s="107">
        <f t="shared" si="84"/>
        <v>59344.875</v>
      </c>
      <c r="N379" s="133">
        <f t="shared" si="84"/>
        <v>63499.016250000001</v>
      </c>
    </row>
    <row r="380" spans="1:14" s="28" customFormat="1" ht="14.25" x14ac:dyDescent="0.2">
      <c r="A380" s="25" t="s">
        <v>927</v>
      </c>
      <c r="B380" s="25"/>
      <c r="C380" s="26" t="s">
        <v>153</v>
      </c>
      <c r="D380" s="27">
        <f t="shared" si="80"/>
        <v>10893</v>
      </c>
      <c r="E380" s="27">
        <v>-141346.4</v>
      </c>
      <c r="F380" s="27">
        <v>0</v>
      </c>
      <c r="G380" s="27">
        <v>-848078.4</v>
      </c>
      <c r="H380" s="27">
        <v>-563200.6</v>
      </c>
      <c r="I380" s="27">
        <v>60.09</v>
      </c>
      <c r="J380" s="27">
        <f t="shared" si="81"/>
        <v>0</v>
      </c>
      <c r="K380" s="27">
        <f t="shared" si="82"/>
        <v>10893</v>
      </c>
      <c r="L380" s="27">
        <f t="shared" si="83"/>
        <v>11573.8125</v>
      </c>
      <c r="M380" s="107">
        <f t="shared" si="84"/>
        <v>12383.979375000001</v>
      </c>
      <c r="N380" s="133">
        <f t="shared" si="84"/>
        <v>13250.857931250001</v>
      </c>
    </row>
    <row r="381" spans="1:14" s="28" customFormat="1" ht="14.25" x14ac:dyDescent="0.2">
      <c r="A381" s="25" t="s">
        <v>928</v>
      </c>
      <c r="B381" s="25"/>
      <c r="C381" s="26" t="s">
        <v>155</v>
      </c>
      <c r="D381" s="27">
        <f t="shared" si="80"/>
        <v>59373</v>
      </c>
      <c r="E381" s="27">
        <v>-141346.4</v>
      </c>
      <c r="F381" s="27">
        <v>0</v>
      </c>
      <c r="G381" s="27">
        <v>-848078.4</v>
      </c>
      <c r="H381" s="27">
        <v>-563200.6</v>
      </c>
      <c r="I381" s="27">
        <v>60.09</v>
      </c>
      <c r="J381" s="27">
        <f t="shared" si="81"/>
        <v>0</v>
      </c>
      <c r="K381" s="27">
        <f t="shared" si="82"/>
        <v>59373</v>
      </c>
      <c r="L381" s="27">
        <f t="shared" si="83"/>
        <v>63083.8125</v>
      </c>
      <c r="M381" s="107">
        <f t="shared" si="84"/>
        <v>67499.679375000007</v>
      </c>
      <c r="N381" s="133">
        <f t="shared" si="84"/>
        <v>72224.656931250007</v>
      </c>
    </row>
    <row r="382" spans="1:14" s="28" customFormat="1" ht="14.25" x14ac:dyDescent="0.2">
      <c r="A382" s="25" t="s">
        <v>929</v>
      </c>
      <c r="B382" s="25"/>
      <c r="C382" s="26" t="s">
        <v>156</v>
      </c>
      <c r="D382" s="27">
        <f t="shared" si="80"/>
        <v>307875</v>
      </c>
      <c r="E382" s="27">
        <v>-141346.4</v>
      </c>
      <c r="F382" s="27">
        <v>0</v>
      </c>
      <c r="G382" s="27">
        <v>-848078.4</v>
      </c>
      <c r="H382" s="27">
        <v>-563200.6</v>
      </c>
      <c r="I382" s="27">
        <v>60.09</v>
      </c>
      <c r="J382" s="27">
        <f t="shared" si="81"/>
        <v>0</v>
      </c>
      <c r="K382" s="27">
        <f t="shared" si="82"/>
        <v>307875</v>
      </c>
      <c r="L382" s="27">
        <f t="shared" si="83"/>
        <v>327117.1875</v>
      </c>
      <c r="M382" s="107">
        <f t="shared" si="84"/>
        <v>350015.390625</v>
      </c>
      <c r="N382" s="133">
        <f t="shared" si="84"/>
        <v>374516.46796874999</v>
      </c>
    </row>
    <row r="383" spans="1:14" s="28" customFormat="1" ht="14.25" x14ac:dyDescent="0.2">
      <c r="A383" s="25" t="s">
        <v>930</v>
      </c>
      <c r="B383" s="25"/>
      <c r="C383" s="26" t="s">
        <v>157</v>
      </c>
      <c r="D383" s="27">
        <f t="shared" si="80"/>
        <v>10516</v>
      </c>
      <c r="E383" s="27">
        <v>-141346.4</v>
      </c>
      <c r="F383" s="27">
        <v>0</v>
      </c>
      <c r="G383" s="27">
        <v>-848078.4</v>
      </c>
      <c r="H383" s="27">
        <v>-563200.6</v>
      </c>
      <c r="I383" s="27">
        <v>60.09</v>
      </c>
      <c r="J383" s="27">
        <f t="shared" si="81"/>
        <v>0</v>
      </c>
      <c r="K383" s="27">
        <f t="shared" si="82"/>
        <v>10516</v>
      </c>
      <c r="L383" s="27">
        <f t="shared" si="83"/>
        <v>11173.25</v>
      </c>
      <c r="M383" s="107">
        <f t="shared" si="84"/>
        <v>11955.377500000001</v>
      </c>
      <c r="N383" s="133">
        <f t="shared" si="84"/>
        <v>12792.253925000001</v>
      </c>
    </row>
    <row r="384" spans="1:14" s="28" customFormat="1" ht="14.25" x14ac:dyDescent="0.2">
      <c r="A384" s="25" t="s">
        <v>931</v>
      </c>
      <c r="B384" s="25"/>
      <c r="C384" s="26" t="s">
        <v>158</v>
      </c>
      <c r="D384" s="27">
        <f t="shared" si="80"/>
        <v>11138</v>
      </c>
      <c r="E384" s="27">
        <v>-141346.4</v>
      </c>
      <c r="F384" s="27">
        <v>0</v>
      </c>
      <c r="G384" s="27">
        <v>-848078.4</v>
      </c>
      <c r="H384" s="27">
        <v>-563200.6</v>
      </c>
      <c r="I384" s="27">
        <v>60.09</v>
      </c>
      <c r="J384" s="27">
        <f t="shared" si="81"/>
        <v>0</v>
      </c>
      <c r="K384" s="27">
        <f t="shared" si="82"/>
        <v>11138</v>
      </c>
      <c r="L384" s="27">
        <f t="shared" si="83"/>
        <v>11834.125</v>
      </c>
      <c r="M384" s="107">
        <f t="shared" si="84"/>
        <v>12662.51375</v>
      </c>
      <c r="N384" s="133">
        <f t="shared" si="84"/>
        <v>13548.8897125</v>
      </c>
    </row>
    <row r="385" spans="1:14" s="28" customFormat="1" ht="14.25" x14ac:dyDescent="0.2">
      <c r="A385" s="25" t="s">
        <v>932</v>
      </c>
      <c r="B385" s="25"/>
      <c r="C385" s="26" t="s">
        <v>159</v>
      </c>
      <c r="D385" s="27">
        <f t="shared" si="80"/>
        <v>168012</v>
      </c>
      <c r="E385" s="27">
        <v>-141346.4</v>
      </c>
      <c r="F385" s="27">
        <v>0</v>
      </c>
      <c r="G385" s="27">
        <v>-848078.4</v>
      </c>
      <c r="H385" s="27">
        <v>-563200.6</v>
      </c>
      <c r="I385" s="27">
        <v>60.09</v>
      </c>
      <c r="J385" s="27">
        <f t="shared" si="81"/>
        <v>0</v>
      </c>
      <c r="K385" s="27">
        <f t="shared" si="82"/>
        <v>168012</v>
      </c>
      <c r="L385" s="27">
        <f t="shared" si="83"/>
        <v>178512.75</v>
      </c>
      <c r="M385" s="107">
        <f t="shared" si="84"/>
        <v>191008.64249999999</v>
      </c>
      <c r="N385" s="133">
        <f t="shared" si="84"/>
        <v>204379.24747499998</v>
      </c>
    </row>
    <row r="386" spans="1:14" s="28" customFormat="1" ht="14.25" x14ac:dyDescent="0.2">
      <c r="A386" s="25" t="s">
        <v>933</v>
      </c>
      <c r="B386" s="25"/>
      <c r="C386" s="26" t="s">
        <v>161</v>
      </c>
      <c r="D386" s="27">
        <f t="shared" si="80"/>
        <v>21018</v>
      </c>
      <c r="E386" s="27">
        <v>-141346.4</v>
      </c>
      <c r="F386" s="27">
        <v>0</v>
      </c>
      <c r="G386" s="27">
        <v>-848078.4</v>
      </c>
      <c r="H386" s="27">
        <v>-563200.6</v>
      </c>
      <c r="I386" s="27">
        <v>60.09</v>
      </c>
      <c r="J386" s="27">
        <f t="shared" si="81"/>
        <v>0</v>
      </c>
      <c r="K386" s="27">
        <f t="shared" si="82"/>
        <v>21018</v>
      </c>
      <c r="L386" s="27">
        <f t="shared" si="83"/>
        <v>22331.625</v>
      </c>
      <c r="M386" s="107">
        <f t="shared" si="84"/>
        <v>23894.838749999999</v>
      </c>
      <c r="N386" s="133">
        <f t="shared" si="84"/>
        <v>25567.477462499999</v>
      </c>
    </row>
    <row r="387" spans="1:14" s="28" customFormat="1" ht="14.25" x14ac:dyDescent="0.2">
      <c r="A387" s="25" t="s">
        <v>934</v>
      </c>
      <c r="B387" s="25"/>
      <c r="C387" s="26" t="s">
        <v>164</v>
      </c>
      <c r="D387" s="27">
        <f t="shared" si="80"/>
        <v>15692</v>
      </c>
      <c r="E387" s="27">
        <v>-141346.4</v>
      </c>
      <c r="F387" s="27">
        <v>0</v>
      </c>
      <c r="G387" s="27">
        <v>-848078.4</v>
      </c>
      <c r="H387" s="27">
        <v>-563200.6</v>
      </c>
      <c r="I387" s="27">
        <v>60.09</v>
      </c>
      <c r="J387" s="27">
        <f t="shared" si="81"/>
        <v>0</v>
      </c>
      <c r="K387" s="27">
        <f t="shared" si="82"/>
        <v>15692</v>
      </c>
      <c r="L387" s="27">
        <f t="shared" si="83"/>
        <v>16672.75</v>
      </c>
      <c r="M387" s="107">
        <f t="shared" si="84"/>
        <v>17839.842499999999</v>
      </c>
      <c r="N387" s="133">
        <f t="shared" si="84"/>
        <v>19088.631474999998</v>
      </c>
    </row>
    <row r="388" spans="1:14" s="28" customFormat="1" ht="14.25" x14ac:dyDescent="0.2">
      <c r="A388" s="25"/>
      <c r="B388" s="25"/>
      <c r="C388" s="26"/>
      <c r="D388" s="27"/>
      <c r="E388" s="27"/>
      <c r="F388" s="27"/>
      <c r="G388" s="27"/>
      <c r="H388" s="27"/>
      <c r="I388" s="27"/>
      <c r="J388" s="27"/>
      <c r="K388" s="27"/>
      <c r="L388" s="27"/>
      <c r="M388" s="107"/>
      <c r="N388" s="133"/>
    </row>
    <row r="389" spans="1:14" s="24" customFormat="1" x14ac:dyDescent="0.25">
      <c r="A389" s="20"/>
      <c r="B389" s="20"/>
      <c r="C389" s="21" t="s">
        <v>165</v>
      </c>
      <c r="D389" s="22">
        <f>SUM(D376:D388)</f>
        <v>2837063</v>
      </c>
      <c r="E389" s="22">
        <f>SUM(E376:E388)</f>
        <v>-1696156.7999999996</v>
      </c>
      <c r="F389" s="22">
        <f>SUM(F376:F388)</f>
        <v>0</v>
      </c>
      <c r="G389" s="22">
        <f>SUM(G376:G388)</f>
        <v>-10176940.800000003</v>
      </c>
      <c r="H389" s="22">
        <f>SUM(H376:H388)</f>
        <v>-6758407.1999999983</v>
      </c>
      <c r="I389" s="22">
        <v>38.1</v>
      </c>
      <c r="J389" s="27">
        <f>+K389-D389</f>
        <v>-41271.549999999814</v>
      </c>
      <c r="K389" s="22">
        <f>SUM(K376:K388)</f>
        <v>2795791.45</v>
      </c>
      <c r="L389" s="22">
        <f>SUM(L376:L388)</f>
        <v>2970528.4156249999</v>
      </c>
      <c r="M389" s="134">
        <f>SUM(M376:M388)</f>
        <v>3178465.4047187497</v>
      </c>
      <c r="N389" s="134">
        <f>SUM(N376:N388)</f>
        <v>3400957.9830490611</v>
      </c>
    </row>
    <row r="390" spans="1:14" s="24" customFormat="1" x14ac:dyDescent="0.25">
      <c r="A390" s="20"/>
      <c r="B390" s="20"/>
      <c r="C390" s="21"/>
      <c r="D390" s="22"/>
      <c r="E390" s="22"/>
      <c r="F390" s="22"/>
      <c r="G390" s="22"/>
      <c r="H390" s="22"/>
      <c r="I390" s="22"/>
      <c r="J390" s="27"/>
      <c r="K390" s="27"/>
      <c r="L390" s="22"/>
      <c r="M390" s="134"/>
      <c r="N390" s="132"/>
    </row>
    <row r="391" spans="1:14" s="24" customFormat="1" x14ac:dyDescent="0.25">
      <c r="A391" s="20"/>
      <c r="B391" s="20"/>
      <c r="C391" s="21" t="s">
        <v>166</v>
      </c>
      <c r="D391" s="22"/>
      <c r="E391" s="22"/>
      <c r="F391" s="22"/>
      <c r="G391" s="22"/>
      <c r="H391" s="22"/>
      <c r="I391" s="22"/>
      <c r="J391" s="27">
        <f>+K391-D391</f>
        <v>0</v>
      </c>
      <c r="K391" s="27"/>
      <c r="L391" s="22"/>
      <c r="M391" s="134"/>
      <c r="N391" s="132"/>
    </row>
    <row r="392" spans="1:14" s="28" customFormat="1" ht="14.25" x14ac:dyDescent="0.2">
      <c r="A392" s="25"/>
      <c r="B392" s="25"/>
      <c r="C392" s="26"/>
      <c r="D392" s="27"/>
      <c r="E392" s="27"/>
      <c r="F392" s="27"/>
      <c r="G392" s="27"/>
      <c r="H392" s="27"/>
      <c r="I392" s="27"/>
      <c r="J392" s="27"/>
      <c r="K392" s="27"/>
      <c r="L392" s="27"/>
      <c r="M392" s="107"/>
      <c r="N392" s="133"/>
    </row>
    <row r="393" spans="1:14" s="28" customFormat="1" ht="14.25" x14ac:dyDescent="0.2">
      <c r="A393" s="25" t="s">
        <v>935</v>
      </c>
      <c r="B393" s="25"/>
      <c r="C393" s="26" t="s">
        <v>167</v>
      </c>
      <c r="D393" s="27">
        <f>VLOOKUP(A393,fin,3,FALSE)</f>
        <v>674</v>
      </c>
      <c r="E393" s="27">
        <v>-141346.4</v>
      </c>
      <c r="F393" s="27">
        <v>0</v>
      </c>
      <c r="G393" s="27">
        <v>-848078.4</v>
      </c>
      <c r="H393" s="27">
        <v>-563200.6</v>
      </c>
      <c r="I393" s="27">
        <v>60.09</v>
      </c>
      <c r="J393" s="27">
        <f>+K393-D393</f>
        <v>0</v>
      </c>
      <c r="K393" s="27">
        <f>VLOOKUP(A393,fin,4,FALSE)</f>
        <v>674</v>
      </c>
      <c r="L393" s="27">
        <f t="shared" ref="L393:L396" si="85">K393*6.25/100+K393</f>
        <v>716.125</v>
      </c>
      <c r="M393" s="107">
        <f t="shared" ref="M393:N396" si="86">L393*7/100+L393</f>
        <v>766.25374999999997</v>
      </c>
      <c r="N393" s="133">
        <f t="shared" si="86"/>
        <v>819.89151249999998</v>
      </c>
    </row>
    <row r="394" spans="1:14" s="28" customFormat="1" ht="14.25" x14ac:dyDescent="0.2">
      <c r="A394" s="25" t="s">
        <v>936</v>
      </c>
      <c r="B394" s="25"/>
      <c r="C394" s="26" t="s">
        <v>168</v>
      </c>
      <c r="D394" s="27">
        <f>VLOOKUP(A394,fin,3,FALSE)</f>
        <v>161725</v>
      </c>
      <c r="E394" s="27">
        <v>-141346.4</v>
      </c>
      <c r="F394" s="27">
        <v>0</v>
      </c>
      <c r="G394" s="27">
        <v>-848078.4</v>
      </c>
      <c r="H394" s="27">
        <v>-563200.6</v>
      </c>
      <c r="I394" s="27">
        <v>60.09</v>
      </c>
      <c r="J394" s="27">
        <f>+K394-D394</f>
        <v>-100000</v>
      </c>
      <c r="K394" s="27">
        <f>VLOOKUP(A394,fin,4,FALSE)</f>
        <v>61725</v>
      </c>
      <c r="L394" s="27">
        <f t="shared" si="85"/>
        <v>65582.8125</v>
      </c>
      <c r="M394" s="107">
        <f t="shared" si="86"/>
        <v>70173.609375</v>
      </c>
      <c r="N394" s="133">
        <f t="shared" si="86"/>
        <v>75085.762031249993</v>
      </c>
    </row>
    <row r="395" spans="1:14" s="28" customFormat="1" ht="14.25" x14ac:dyDescent="0.2">
      <c r="A395" s="25" t="s">
        <v>937</v>
      </c>
      <c r="B395" s="25"/>
      <c r="C395" s="26" t="s">
        <v>169</v>
      </c>
      <c r="D395" s="27">
        <f>VLOOKUP(A395,fin,3,FALSE)</f>
        <v>443551</v>
      </c>
      <c r="E395" s="27">
        <v>-141346.4</v>
      </c>
      <c r="F395" s="27">
        <v>0</v>
      </c>
      <c r="G395" s="27">
        <v>-848078.4</v>
      </c>
      <c r="H395" s="27">
        <v>-563200.6</v>
      </c>
      <c r="I395" s="27">
        <v>60.09</v>
      </c>
      <c r="J395" s="27">
        <f>+K395-D395</f>
        <v>0</v>
      </c>
      <c r="K395" s="27">
        <f>VLOOKUP(A395,fin,4,FALSE)</f>
        <v>443551</v>
      </c>
      <c r="L395" s="27">
        <f t="shared" si="85"/>
        <v>471272.9375</v>
      </c>
      <c r="M395" s="107">
        <f t="shared" si="86"/>
        <v>504262.04312499997</v>
      </c>
      <c r="N395" s="133">
        <f t="shared" si="86"/>
        <v>539560.38614374993</v>
      </c>
    </row>
    <row r="396" spans="1:14" s="28" customFormat="1" ht="14.25" x14ac:dyDescent="0.2">
      <c r="A396" s="25" t="s">
        <v>938</v>
      </c>
      <c r="B396" s="25"/>
      <c r="C396" s="26" t="s">
        <v>170</v>
      </c>
      <c r="D396" s="27">
        <f>VLOOKUP(A396,fin,3,FALSE)</f>
        <v>10710</v>
      </c>
      <c r="E396" s="27">
        <v>-141346.4</v>
      </c>
      <c r="F396" s="27">
        <v>0</v>
      </c>
      <c r="G396" s="27">
        <v>-848078.4</v>
      </c>
      <c r="H396" s="27">
        <v>-563200.6</v>
      </c>
      <c r="I396" s="27">
        <v>60.09</v>
      </c>
      <c r="J396" s="27">
        <f>+K396-D396</f>
        <v>0</v>
      </c>
      <c r="K396" s="27">
        <f>VLOOKUP(A396,fin,4,FALSE)</f>
        <v>10710</v>
      </c>
      <c r="L396" s="27">
        <f t="shared" si="85"/>
        <v>11379.375</v>
      </c>
      <c r="M396" s="107">
        <f t="shared" si="86"/>
        <v>12175.93125</v>
      </c>
      <c r="N396" s="133">
        <f t="shared" si="86"/>
        <v>13028.2464375</v>
      </c>
    </row>
    <row r="397" spans="1:14" s="28" customFormat="1" ht="14.25" x14ac:dyDescent="0.2">
      <c r="A397" s="25" t="s">
        <v>939</v>
      </c>
      <c r="B397" s="25"/>
      <c r="C397" s="26" t="s">
        <v>170</v>
      </c>
      <c r="D397" s="27">
        <f>VLOOKUP(A397,fin,3,FALSE)</f>
        <v>0</v>
      </c>
      <c r="E397" s="27">
        <v>-141346.4</v>
      </c>
      <c r="F397" s="27">
        <v>0</v>
      </c>
      <c r="G397" s="27">
        <v>-848078.4</v>
      </c>
      <c r="H397" s="27">
        <v>-563200.6</v>
      </c>
      <c r="I397" s="27">
        <v>60.09</v>
      </c>
      <c r="J397" s="27">
        <f>+K397-D397</f>
        <v>0</v>
      </c>
      <c r="K397" s="27">
        <f>VLOOKUP(A397,fin,4,FALSE)</f>
        <v>0</v>
      </c>
      <c r="L397" s="27">
        <f>VLOOKUP(A397,fin,5,FALSE)</f>
        <v>0</v>
      </c>
      <c r="M397" s="107">
        <f>VLOOKUP(A397,fin,6,FALSE)</f>
        <v>0</v>
      </c>
      <c r="N397" s="133"/>
    </row>
    <row r="398" spans="1:14" s="28" customFormat="1" ht="14.25" x14ac:dyDescent="0.2">
      <c r="A398" s="25"/>
      <c r="B398" s="25"/>
      <c r="C398" s="26"/>
      <c r="D398" s="27"/>
      <c r="E398" s="27"/>
      <c r="F398" s="27"/>
      <c r="G398" s="27"/>
      <c r="H398" s="27"/>
      <c r="I398" s="27"/>
      <c r="J398" s="27"/>
      <c r="K398" s="27"/>
      <c r="L398" s="27"/>
      <c r="M398" s="107"/>
      <c r="N398" s="133"/>
    </row>
    <row r="399" spans="1:14" s="24" customFormat="1" x14ac:dyDescent="0.25">
      <c r="A399" s="20"/>
      <c r="B399" s="20"/>
      <c r="C399" s="21" t="s">
        <v>171</v>
      </c>
      <c r="D399" s="22">
        <f>SUM(D393:D398)</f>
        <v>616660</v>
      </c>
      <c r="E399" s="22">
        <f>SUM(E393:E398)</f>
        <v>-706732</v>
      </c>
      <c r="F399" s="22">
        <f>SUM(F393:F398)</f>
        <v>0</v>
      </c>
      <c r="G399" s="22">
        <f>SUM(G393:G398)</f>
        <v>-4240392</v>
      </c>
      <c r="H399" s="22">
        <f>SUM(H393:H398)</f>
        <v>-2816003</v>
      </c>
      <c r="I399" s="22">
        <v>27.57</v>
      </c>
      <c r="J399" s="27">
        <f>+K399-D399</f>
        <v>-100000</v>
      </c>
      <c r="K399" s="22">
        <f>SUM(K393:K398)</f>
        <v>516660</v>
      </c>
      <c r="L399" s="22">
        <f>SUM(L393:L398)</f>
        <v>548951.25</v>
      </c>
      <c r="M399" s="134">
        <f>SUM(M393:M398)</f>
        <v>587377.83750000002</v>
      </c>
      <c r="N399" s="134">
        <f>SUM(N393:N398)</f>
        <v>628494.28612499987</v>
      </c>
    </row>
    <row r="400" spans="1:14" s="24" customFormat="1" x14ac:dyDescent="0.25">
      <c r="A400" s="20"/>
      <c r="B400" s="20"/>
      <c r="C400" s="21"/>
      <c r="D400" s="22"/>
      <c r="E400" s="22"/>
      <c r="F400" s="22"/>
      <c r="G400" s="22"/>
      <c r="H400" s="22"/>
      <c r="I400" s="22"/>
      <c r="J400" s="27"/>
      <c r="K400" s="27"/>
      <c r="L400" s="22"/>
      <c r="M400" s="134"/>
      <c r="N400" s="132"/>
    </row>
    <row r="401" spans="1:14" s="24" customFormat="1" x14ac:dyDescent="0.25">
      <c r="A401" s="20"/>
      <c r="B401" s="20"/>
      <c r="C401" s="21" t="s">
        <v>172</v>
      </c>
      <c r="D401" s="22"/>
      <c r="E401" s="22"/>
      <c r="F401" s="22"/>
      <c r="G401" s="22"/>
      <c r="H401" s="22"/>
      <c r="I401" s="22"/>
      <c r="J401" s="27">
        <f>+K401-D401</f>
        <v>0</v>
      </c>
      <c r="K401" s="27"/>
      <c r="L401" s="22"/>
      <c r="M401" s="134"/>
      <c r="N401" s="132"/>
    </row>
    <row r="402" spans="1:14" s="28" customFormat="1" ht="14.25" x14ac:dyDescent="0.2">
      <c r="A402" s="25"/>
      <c r="B402" s="25"/>
      <c r="C402" s="26"/>
      <c r="D402" s="27"/>
      <c r="E402" s="27"/>
      <c r="F402" s="27"/>
      <c r="G402" s="27"/>
      <c r="H402" s="27"/>
      <c r="I402" s="27"/>
      <c r="J402" s="27"/>
      <c r="K402" s="27"/>
      <c r="L402" s="27"/>
      <c r="M402" s="107"/>
      <c r="N402" s="133"/>
    </row>
    <row r="403" spans="1:14" s="28" customFormat="1" ht="14.25" x14ac:dyDescent="0.2">
      <c r="A403" s="25" t="s">
        <v>940</v>
      </c>
      <c r="B403" s="25"/>
      <c r="C403" s="26" t="s">
        <v>173</v>
      </c>
      <c r="D403" s="27">
        <f>VLOOKUP(A403,fin,3,FALSE)</f>
        <v>13215</v>
      </c>
      <c r="E403" s="27">
        <v>-141346.4</v>
      </c>
      <c r="F403" s="27">
        <v>0</v>
      </c>
      <c r="G403" s="27">
        <v>-848078.4</v>
      </c>
      <c r="H403" s="27">
        <v>-563200.6</v>
      </c>
      <c r="I403" s="27">
        <v>60.09</v>
      </c>
      <c r="J403" s="27">
        <f>+K403-D403</f>
        <v>0</v>
      </c>
      <c r="K403" s="27">
        <f>VLOOKUP(A403,fin,4,FALSE)</f>
        <v>13215</v>
      </c>
      <c r="L403" s="27">
        <f t="shared" ref="L403:L405" si="87">K403*6.25/100+K403</f>
        <v>14040.9375</v>
      </c>
      <c r="M403" s="107">
        <f t="shared" ref="M403:N405" si="88">L403*7/100+L403</f>
        <v>15023.803125</v>
      </c>
      <c r="N403" s="133">
        <f t="shared" si="88"/>
        <v>16075.469343750001</v>
      </c>
    </row>
    <row r="404" spans="1:14" s="28" customFormat="1" ht="14.25" x14ac:dyDescent="0.2">
      <c r="A404" s="25" t="s">
        <v>941</v>
      </c>
      <c r="B404" s="25"/>
      <c r="C404" s="26" t="s">
        <v>174</v>
      </c>
      <c r="D404" s="27">
        <f>VLOOKUP(A404,fin,3,FALSE)</f>
        <v>7153</v>
      </c>
      <c r="E404" s="27">
        <v>-141346.4</v>
      </c>
      <c r="F404" s="27">
        <v>0</v>
      </c>
      <c r="G404" s="27">
        <v>-848078.4</v>
      </c>
      <c r="H404" s="27">
        <v>-563200.6</v>
      </c>
      <c r="I404" s="27">
        <v>60.09</v>
      </c>
      <c r="J404" s="27">
        <f>+K404-D404</f>
        <v>0</v>
      </c>
      <c r="K404" s="27">
        <f>VLOOKUP(A404,fin,4,FALSE)</f>
        <v>7153</v>
      </c>
      <c r="L404" s="27">
        <f t="shared" si="87"/>
        <v>7600.0625</v>
      </c>
      <c r="M404" s="107">
        <f t="shared" si="88"/>
        <v>8132.0668750000004</v>
      </c>
      <c r="N404" s="133">
        <f t="shared" si="88"/>
        <v>8701.3115562500006</v>
      </c>
    </row>
    <row r="405" spans="1:14" s="28" customFormat="1" ht="14.25" x14ac:dyDescent="0.2">
      <c r="A405" s="25" t="s">
        <v>942</v>
      </c>
      <c r="B405" s="25"/>
      <c r="C405" s="26" t="s">
        <v>175</v>
      </c>
      <c r="D405" s="27">
        <f>VLOOKUP(A405,fin,3,FALSE)</f>
        <v>24762</v>
      </c>
      <c r="E405" s="27">
        <v>-141346.4</v>
      </c>
      <c r="F405" s="27">
        <v>0</v>
      </c>
      <c r="G405" s="27">
        <v>-848078.4</v>
      </c>
      <c r="H405" s="27">
        <v>-563200.6</v>
      </c>
      <c r="I405" s="27">
        <v>60.09</v>
      </c>
      <c r="J405" s="27">
        <f>+K405-D405</f>
        <v>0</v>
      </c>
      <c r="K405" s="27">
        <f>VLOOKUP(A405,fin,4,FALSE)</f>
        <v>24762</v>
      </c>
      <c r="L405" s="27">
        <f t="shared" si="87"/>
        <v>26309.625</v>
      </c>
      <c r="M405" s="107">
        <f t="shared" si="88"/>
        <v>28151.298750000002</v>
      </c>
      <c r="N405" s="133">
        <f t="shared" si="88"/>
        <v>30121.889662500002</v>
      </c>
    </row>
    <row r="406" spans="1:14" s="28" customFormat="1" ht="14.25" x14ac:dyDescent="0.2">
      <c r="A406" s="25"/>
      <c r="B406" s="25"/>
      <c r="C406" s="26"/>
      <c r="D406" s="27"/>
      <c r="E406" s="27"/>
      <c r="F406" s="27"/>
      <c r="G406" s="27"/>
      <c r="H406" s="27"/>
      <c r="I406" s="27"/>
      <c r="J406" s="27"/>
      <c r="K406" s="27"/>
      <c r="L406" s="27"/>
      <c r="M406" s="107"/>
      <c r="N406" s="133"/>
    </row>
    <row r="407" spans="1:14" s="24" customFormat="1" x14ac:dyDescent="0.25">
      <c r="A407" s="20"/>
      <c r="B407" s="20"/>
      <c r="C407" s="21" t="s">
        <v>176</v>
      </c>
      <c r="D407" s="22">
        <f>SUM(D403:D406)</f>
        <v>45130</v>
      </c>
      <c r="E407" s="22">
        <f>SUM(E403:E406)</f>
        <v>-424039.19999999995</v>
      </c>
      <c r="F407" s="22">
        <f>SUM(F403:F406)</f>
        <v>0</v>
      </c>
      <c r="G407" s="22">
        <f>SUM(G403:G406)</f>
        <v>-2544235.2000000002</v>
      </c>
      <c r="H407" s="22">
        <f>SUM(H403:H406)</f>
        <v>-1689601.7999999998</v>
      </c>
      <c r="I407" s="22">
        <v>0</v>
      </c>
      <c r="J407" s="27">
        <f>+K407-D407</f>
        <v>0</v>
      </c>
      <c r="K407" s="22">
        <f>SUM(K403:K406)</f>
        <v>45130</v>
      </c>
      <c r="L407" s="22">
        <f>SUM(L403:L406)</f>
        <v>47950.625</v>
      </c>
      <c r="M407" s="134">
        <f>SUM(M403:M406)</f>
        <v>51307.168750000004</v>
      </c>
      <c r="N407" s="134">
        <f>SUM(N403:N406)</f>
        <v>54898.670562500003</v>
      </c>
    </row>
    <row r="408" spans="1:14" s="28" customFormat="1" ht="14.25" x14ac:dyDescent="0.2">
      <c r="A408" s="25"/>
      <c r="B408" s="25"/>
      <c r="C408" s="26"/>
      <c r="D408" s="27"/>
      <c r="E408" s="27"/>
      <c r="F408" s="27"/>
      <c r="G408" s="27"/>
      <c r="H408" s="27"/>
      <c r="I408" s="27"/>
      <c r="J408" s="27"/>
      <c r="K408" s="27"/>
      <c r="L408" s="27"/>
      <c r="M408" s="107"/>
      <c r="N408" s="133"/>
    </row>
    <row r="409" spans="1:14" s="24" customFormat="1" x14ac:dyDescent="0.25">
      <c r="A409" s="20"/>
      <c r="B409" s="20"/>
      <c r="C409" s="21" t="s">
        <v>177</v>
      </c>
      <c r="D409" s="22">
        <f>D389+D399+D407</f>
        <v>3498853</v>
      </c>
      <c r="E409" s="22">
        <f t="shared" ref="E409:N409" si="89">E389+E399+E407</f>
        <v>-2826928</v>
      </c>
      <c r="F409" s="22">
        <f t="shared" si="89"/>
        <v>0</v>
      </c>
      <c r="G409" s="22">
        <f t="shared" si="89"/>
        <v>-16961568.000000004</v>
      </c>
      <c r="H409" s="22">
        <f t="shared" si="89"/>
        <v>-11264012</v>
      </c>
      <c r="I409" s="22">
        <v>35.75</v>
      </c>
      <c r="J409" s="27">
        <f>+K409-D409</f>
        <v>-141271.54999999981</v>
      </c>
      <c r="K409" s="22">
        <f t="shared" si="89"/>
        <v>3357581.45</v>
      </c>
      <c r="L409" s="22">
        <f t="shared" si="89"/>
        <v>3567430.2906249999</v>
      </c>
      <c r="M409" s="134">
        <f t="shared" si="89"/>
        <v>3817150.4109687498</v>
      </c>
      <c r="N409" s="134">
        <f t="shared" si="89"/>
        <v>4084350.9397365609</v>
      </c>
    </row>
    <row r="410" spans="1:14" s="24" customFormat="1" x14ac:dyDescent="0.25">
      <c r="A410" s="20"/>
      <c r="B410" s="20"/>
      <c r="C410" s="21"/>
      <c r="D410" s="22"/>
      <c r="E410" s="22"/>
      <c r="F410" s="22"/>
      <c r="G410" s="22"/>
      <c r="H410" s="22"/>
      <c r="I410" s="22"/>
      <c r="J410" s="27"/>
      <c r="K410" s="27"/>
      <c r="L410" s="22"/>
      <c r="M410" s="134"/>
      <c r="N410" s="132"/>
    </row>
    <row r="411" spans="1:14" s="24" customFormat="1" x14ac:dyDescent="0.25">
      <c r="A411" s="20"/>
      <c r="B411" s="20"/>
      <c r="C411" s="21" t="s">
        <v>178</v>
      </c>
      <c r="D411" s="22">
        <f>D409</f>
        <v>3498853</v>
      </c>
      <c r="E411" s="22">
        <f t="shared" ref="E411:N411" si="90">E409</f>
        <v>-2826928</v>
      </c>
      <c r="F411" s="22">
        <f t="shared" si="90"/>
        <v>0</v>
      </c>
      <c r="G411" s="22">
        <f t="shared" si="90"/>
        <v>-16961568.000000004</v>
      </c>
      <c r="H411" s="22">
        <f t="shared" si="90"/>
        <v>-11264012</v>
      </c>
      <c r="I411" s="22">
        <v>35.75</v>
      </c>
      <c r="J411" s="27">
        <f>+K411-D411</f>
        <v>-141271.54999999981</v>
      </c>
      <c r="K411" s="22">
        <f t="shared" si="90"/>
        <v>3357581.45</v>
      </c>
      <c r="L411" s="22">
        <f t="shared" si="90"/>
        <v>3567430.2906249999</v>
      </c>
      <c r="M411" s="134">
        <f t="shared" si="90"/>
        <v>3817150.4109687498</v>
      </c>
      <c r="N411" s="134">
        <f t="shared" si="90"/>
        <v>4084350.9397365609</v>
      </c>
    </row>
    <row r="412" spans="1:14" s="24" customFormat="1" x14ac:dyDescent="0.25">
      <c r="A412" s="20"/>
      <c r="B412" s="20"/>
      <c r="C412" s="21"/>
      <c r="D412" s="22"/>
      <c r="E412" s="22"/>
      <c r="F412" s="22"/>
      <c r="G412" s="22"/>
      <c r="H412" s="22"/>
      <c r="I412" s="22"/>
      <c r="J412" s="27"/>
      <c r="K412" s="27"/>
      <c r="L412" s="22"/>
      <c r="M412" s="134"/>
      <c r="N412" s="132"/>
    </row>
    <row r="413" spans="1:14" s="24" customFormat="1" x14ac:dyDescent="0.25">
      <c r="A413" s="20"/>
      <c r="B413" s="20"/>
      <c r="C413" s="21" t="s">
        <v>208</v>
      </c>
      <c r="D413" s="22"/>
      <c r="E413" s="22"/>
      <c r="F413" s="22"/>
      <c r="G413" s="22"/>
      <c r="H413" s="22"/>
      <c r="I413" s="22"/>
      <c r="J413" s="27">
        <f>+K413-D413</f>
        <v>0</v>
      </c>
      <c r="K413" s="27"/>
      <c r="L413" s="22"/>
      <c r="M413" s="134"/>
      <c r="N413" s="132"/>
    </row>
    <row r="414" spans="1:14" s="24" customFormat="1" x14ac:dyDescent="0.25">
      <c r="A414" s="20"/>
      <c r="B414" s="20"/>
      <c r="C414" s="21"/>
      <c r="D414" s="22"/>
      <c r="E414" s="22"/>
      <c r="F414" s="22"/>
      <c r="G414" s="22"/>
      <c r="H414" s="22"/>
      <c r="I414" s="22"/>
      <c r="J414" s="27"/>
      <c r="K414" s="27"/>
      <c r="L414" s="22"/>
      <c r="M414" s="134"/>
      <c r="N414" s="132"/>
    </row>
    <row r="415" spans="1:14" s="24" customFormat="1" x14ac:dyDescent="0.25">
      <c r="A415" s="20"/>
      <c r="B415" s="20"/>
      <c r="C415" s="21" t="s">
        <v>209</v>
      </c>
      <c r="D415" s="22"/>
      <c r="E415" s="22"/>
      <c r="F415" s="22"/>
      <c r="G415" s="22"/>
      <c r="H415" s="22"/>
      <c r="I415" s="22"/>
      <c r="J415" s="27">
        <f>+K415-D415</f>
        <v>0</v>
      </c>
      <c r="K415" s="27"/>
      <c r="L415" s="22"/>
      <c r="M415" s="134"/>
      <c r="N415" s="132"/>
    </row>
    <row r="416" spans="1:14" s="28" customFormat="1" ht="14.25" x14ac:dyDescent="0.2">
      <c r="A416" s="25"/>
      <c r="B416" s="25"/>
      <c r="C416" s="26"/>
      <c r="D416" s="27"/>
      <c r="E416" s="27"/>
      <c r="F416" s="27"/>
      <c r="G416" s="27"/>
      <c r="H416" s="27"/>
      <c r="I416" s="27"/>
      <c r="J416" s="27"/>
      <c r="K416" s="27"/>
      <c r="L416" s="27"/>
      <c r="M416" s="107"/>
      <c r="N416" s="133"/>
    </row>
    <row r="417" spans="1:14" s="28" customFormat="1" ht="14.25" x14ac:dyDescent="0.2">
      <c r="A417" s="25" t="s">
        <v>943</v>
      </c>
      <c r="B417" s="25" t="s">
        <v>1368</v>
      </c>
      <c r="C417" s="26" t="s">
        <v>210</v>
      </c>
      <c r="D417" s="27">
        <f>VLOOKUP(A417,fin,3,FALSE)</f>
        <v>500000</v>
      </c>
      <c r="E417" s="27">
        <v>-141346.4</v>
      </c>
      <c r="F417" s="27">
        <v>0</v>
      </c>
      <c r="G417" s="27">
        <v>-848078.4</v>
      </c>
      <c r="H417" s="27">
        <v>-563200.6</v>
      </c>
      <c r="I417" s="27">
        <v>60.09</v>
      </c>
      <c r="J417" s="27">
        <f>+K417-D417</f>
        <v>-500000</v>
      </c>
      <c r="K417" s="27">
        <f>VLOOKUP(A417,fin,4,FALSE)</f>
        <v>0</v>
      </c>
      <c r="L417" s="27">
        <v>350000</v>
      </c>
      <c r="M417" s="107">
        <f>VLOOKUP(A417,fin,6,FALSE)</f>
        <v>0</v>
      </c>
      <c r="N417" s="133"/>
    </row>
    <row r="418" spans="1:14" s="28" customFormat="1" ht="14.25" x14ac:dyDescent="0.2">
      <c r="A418" s="25"/>
      <c r="B418" s="25"/>
      <c r="C418" s="26"/>
      <c r="D418" s="27"/>
      <c r="E418" s="27"/>
      <c r="F418" s="27"/>
      <c r="G418" s="27"/>
      <c r="H418" s="27"/>
      <c r="I418" s="27"/>
      <c r="J418" s="27"/>
      <c r="K418" s="27"/>
      <c r="L418" s="27"/>
      <c r="M418" s="107"/>
      <c r="N418" s="133"/>
    </row>
    <row r="419" spans="1:14" s="24" customFormat="1" x14ac:dyDescent="0.25">
      <c r="A419" s="20"/>
      <c r="B419" s="20"/>
      <c r="C419" s="21" t="s">
        <v>217</v>
      </c>
      <c r="D419" s="22">
        <f>SUM(D417:D418)</f>
        <v>500000</v>
      </c>
      <c r="E419" s="22">
        <f>SUM(E417:E418)</f>
        <v>-141346.4</v>
      </c>
      <c r="F419" s="22">
        <f>SUM(F417:F418)</f>
        <v>0</v>
      </c>
      <c r="G419" s="22">
        <f>SUM(G417:G418)</f>
        <v>-848078.4</v>
      </c>
      <c r="H419" s="22">
        <f>SUM(H417:H418)</f>
        <v>-563200.6</v>
      </c>
      <c r="I419" s="22">
        <v>0</v>
      </c>
      <c r="J419" s="27">
        <f>+K419-D419</f>
        <v>-500000</v>
      </c>
      <c r="K419" s="22">
        <f>SUM(K417:K418)</f>
        <v>0</v>
      </c>
      <c r="L419" s="22">
        <f>SUM(L417:L418)</f>
        <v>350000</v>
      </c>
      <c r="M419" s="134">
        <f>SUM(M417:M418)</f>
        <v>0</v>
      </c>
      <c r="N419" s="134">
        <f>SUM(N417:N418)</f>
        <v>0</v>
      </c>
    </row>
    <row r="420" spans="1:14" s="24" customFormat="1" x14ac:dyDescent="0.25">
      <c r="A420" s="20"/>
      <c r="B420" s="20"/>
      <c r="C420" s="21"/>
      <c r="D420" s="22"/>
      <c r="E420" s="22"/>
      <c r="F420" s="22"/>
      <c r="G420" s="22"/>
      <c r="H420" s="22"/>
      <c r="I420" s="22"/>
      <c r="J420" s="27"/>
      <c r="K420" s="27"/>
      <c r="L420" s="22"/>
      <c r="M420" s="134"/>
      <c r="N420" s="132"/>
    </row>
    <row r="421" spans="1:14" s="24" customFormat="1" x14ac:dyDescent="0.25">
      <c r="A421" s="20"/>
      <c r="B421" s="20"/>
      <c r="C421" s="21" t="s">
        <v>240</v>
      </c>
      <c r="D421" s="22">
        <f>D419</f>
        <v>500000</v>
      </c>
      <c r="E421" s="22">
        <f t="shared" ref="E421:N421" si="91">E419</f>
        <v>-141346.4</v>
      </c>
      <c r="F421" s="22">
        <f t="shared" si="91"/>
        <v>0</v>
      </c>
      <c r="G421" s="22">
        <f t="shared" si="91"/>
        <v>-848078.4</v>
      </c>
      <c r="H421" s="22">
        <f t="shared" si="91"/>
        <v>-563200.6</v>
      </c>
      <c r="I421" s="22">
        <v>0</v>
      </c>
      <c r="J421" s="27">
        <f>+K421-D421</f>
        <v>-500000</v>
      </c>
      <c r="K421" s="22">
        <f t="shared" si="91"/>
        <v>0</v>
      </c>
      <c r="L421" s="22">
        <f t="shared" si="91"/>
        <v>350000</v>
      </c>
      <c r="M421" s="134">
        <f t="shared" si="91"/>
        <v>0</v>
      </c>
      <c r="N421" s="134">
        <f t="shared" si="91"/>
        <v>0</v>
      </c>
    </row>
    <row r="422" spans="1:14" s="24" customFormat="1" x14ac:dyDescent="0.25">
      <c r="A422" s="20"/>
      <c r="B422" s="20"/>
      <c r="C422" s="21"/>
      <c r="D422" s="22"/>
      <c r="E422" s="22"/>
      <c r="F422" s="22"/>
      <c r="G422" s="22"/>
      <c r="H422" s="22"/>
      <c r="I422" s="22"/>
      <c r="J422" s="27"/>
      <c r="K422" s="27"/>
      <c r="L422" s="22"/>
      <c r="M422" s="134"/>
      <c r="N422" s="132"/>
    </row>
    <row r="423" spans="1:14" s="24" customFormat="1" x14ac:dyDescent="0.25">
      <c r="A423" s="20"/>
      <c r="B423" s="20"/>
      <c r="C423" s="21" t="s">
        <v>241</v>
      </c>
      <c r="D423" s="22"/>
      <c r="E423" s="22"/>
      <c r="F423" s="22"/>
      <c r="G423" s="22"/>
      <c r="H423" s="22"/>
      <c r="I423" s="22"/>
      <c r="J423" s="27">
        <f>+K423-D423</f>
        <v>0</v>
      </c>
      <c r="K423" s="27"/>
      <c r="L423" s="22"/>
      <c r="M423" s="134"/>
      <c r="N423" s="132"/>
    </row>
    <row r="424" spans="1:14" s="28" customFormat="1" ht="14.25" x14ac:dyDescent="0.2">
      <c r="A424" s="25"/>
      <c r="B424" s="25"/>
      <c r="C424" s="26"/>
      <c r="D424" s="27"/>
      <c r="E424" s="27"/>
      <c r="F424" s="27"/>
      <c r="G424" s="27"/>
      <c r="H424" s="27"/>
      <c r="I424" s="27"/>
      <c r="J424" s="27"/>
      <c r="K424" s="27"/>
      <c r="L424" s="27"/>
      <c r="M424" s="107"/>
      <c r="N424" s="133"/>
    </row>
    <row r="425" spans="1:14" s="28" customFormat="1" ht="14.25" x14ac:dyDescent="0.2">
      <c r="A425" s="25" t="s">
        <v>944</v>
      </c>
      <c r="B425" s="25"/>
      <c r="C425" s="26" t="s">
        <v>265</v>
      </c>
      <c r="D425" s="27">
        <f>VLOOKUP(A425,fin,3,FALSE)</f>
        <v>0</v>
      </c>
      <c r="E425" s="27">
        <v>-141346.4</v>
      </c>
      <c r="F425" s="27">
        <v>0</v>
      </c>
      <c r="G425" s="27">
        <v>-848078.4</v>
      </c>
      <c r="H425" s="27">
        <v>-563200.6</v>
      </c>
      <c r="I425" s="27">
        <v>60.09</v>
      </c>
      <c r="J425" s="27">
        <f>+K425-D425</f>
        <v>20000</v>
      </c>
      <c r="K425" s="27">
        <f>VLOOKUP(A425,fin,4,FALSE)</f>
        <v>20000</v>
      </c>
      <c r="L425" s="27">
        <f t="shared" ref="L425:N427" si="92">K425*4.5/100+K425</f>
        <v>20900</v>
      </c>
      <c r="M425" s="27">
        <f t="shared" si="92"/>
        <v>21840.5</v>
      </c>
      <c r="N425" s="27">
        <f t="shared" si="92"/>
        <v>22823.322499999998</v>
      </c>
    </row>
    <row r="426" spans="1:14" s="28" customFormat="1" ht="14.25" x14ac:dyDescent="0.2">
      <c r="A426" s="25" t="s">
        <v>945</v>
      </c>
      <c r="B426" s="25"/>
      <c r="C426" s="26" t="s">
        <v>265</v>
      </c>
      <c r="D426" s="27">
        <f>VLOOKUP(A426,fin,3,FALSE)</f>
        <v>0</v>
      </c>
      <c r="E426" s="27">
        <v>-141346.4</v>
      </c>
      <c r="F426" s="27">
        <v>0</v>
      </c>
      <c r="G426" s="27">
        <v>-848078.4</v>
      </c>
      <c r="H426" s="27">
        <v>-563200.6</v>
      </c>
      <c r="I426" s="27">
        <v>60.09</v>
      </c>
      <c r="J426" s="27">
        <f>+K426-D426</f>
        <v>800</v>
      </c>
      <c r="K426" s="27">
        <f>VLOOKUP(A426,fin,4,FALSE)</f>
        <v>800</v>
      </c>
      <c r="L426" s="27">
        <f t="shared" si="92"/>
        <v>836</v>
      </c>
      <c r="M426" s="27">
        <f t="shared" si="92"/>
        <v>873.62</v>
      </c>
      <c r="N426" s="27">
        <f t="shared" si="92"/>
        <v>912.93290000000002</v>
      </c>
    </row>
    <row r="427" spans="1:14" s="28" customFormat="1" ht="14.25" x14ac:dyDescent="0.2">
      <c r="A427" s="25" t="s">
        <v>946</v>
      </c>
      <c r="B427" s="25"/>
      <c r="C427" s="26" t="s">
        <v>268</v>
      </c>
      <c r="D427" s="27">
        <f>VLOOKUP(A427,fin,3,FALSE)</f>
        <v>0</v>
      </c>
      <c r="E427" s="27">
        <v>-141346.4</v>
      </c>
      <c r="F427" s="27">
        <v>0</v>
      </c>
      <c r="G427" s="27">
        <v>-848078.4</v>
      </c>
      <c r="H427" s="27">
        <v>-563200.6</v>
      </c>
      <c r="I427" s="27">
        <v>60.09</v>
      </c>
      <c r="J427" s="27">
        <f>+K427-D427</f>
        <v>30000</v>
      </c>
      <c r="K427" s="27">
        <f>VLOOKUP(A427,fin,4,FALSE)</f>
        <v>30000</v>
      </c>
      <c r="L427" s="27">
        <f t="shared" si="92"/>
        <v>31350</v>
      </c>
      <c r="M427" s="27">
        <f t="shared" si="92"/>
        <v>32760.75</v>
      </c>
      <c r="N427" s="27">
        <f t="shared" si="92"/>
        <v>34234.983749999999</v>
      </c>
    </row>
    <row r="428" spans="1:14" s="28" customFormat="1" ht="14.25" x14ac:dyDescent="0.2">
      <c r="A428" s="25"/>
      <c r="B428" s="25"/>
      <c r="C428" s="26"/>
      <c r="D428" s="27"/>
      <c r="E428" s="27"/>
      <c r="F428" s="27"/>
      <c r="G428" s="27"/>
      <c r="H428" s="27"/>
      <c r="I428" s="27"/>
      <c r="J428" s="27"/>
      <c r="K428" s="27"/>
      <c r="L428" s="27"/>
      <c r="M428" s="107"/>
      <c r="N428" s="133"/>
    </row>
    <row r="429" spans="1:14" s="24" customFormat="1" x14ac:dyDescent="0.25">
      <c r="A429" s="20"/>
      <c r="B429" s="20"/>
      <c r="C429" s="21" t="s">
        <v>274</v>
      </c>
      <c r="D429" s="22">
        <f>SUM(D425:D428)</f>
        <v>0</v>
      </c>
      <c r="E429" s="22">
        <f>SUM(E425:E428)</f>
        <v>-424039.19999999995</v>
      </c>
      <c r="F429" s="22">
        <f>SUM(F425:F428)</f>
        <v>0</v>
      </c>
      <c r="G429" s="22">
        <f>SUM(G425:G428)</f>
        <v>-2544235.2000000002</v>
      </c>
      <c r="H429" s="22">
        <f>SUM(H425:H428)</f>
        <v>-1689601.7999999998</v>
      </c>
      <c r="I429" s="22">
        <v>0</v>
      </c>
      <c r="J429" s="27">
        <f>+K429-D429</f>
        <v>50800</v>
      </c>
      <c r="K429" s="22">
        <f>SUM(K425:K428)</f>
        <v>50800</v>
      </c>
      <c r="L429" s="22">
        <f>SUM(L425:L428)</f>
        <v>53086</v>
      </c>
      <c r="M429" s="134">
        <f>SUM(M425:M428)</f>
        <v>55474.869999999995</v>
      </c>
      <c r="N429" s="134">
        <f>SUM(N425:N428)</f>
        <v>57971.239149999994</v>
      </c>
    </row>
    <row r="430" spans="1:14" s="24" customFormat="1" x14ac:dyDescent="0.25">
      <c r="A430" s="20"/>
      <c r="B430" s="20"/>
      <c r="C430" s="21"/>
      <c r="D430" s="22"/>
      <c r="E430" s="22"/>
      <c r="F430" s="22"/>
      <c r="G430" s="22"/>
      <c r="H430" s="22"/>
      <c r="I430" s="22"/>
      <c r="J430" s="27"/>
      <c r="K430" s="27"/>
      <c r="L430" s="22"/>
      <c r="M430" s="134"/>
      <c r="N430" s="132"/>
    </row>
    <row r="431" spans="1:14" s="24" customFormat="1" x14ac:dyDescent="0.25">
      <c r="A431" s="20"/>
      <c r="B431" s="20"/>
      <c r="C431" s="21" t="s">
        <v>275</v>
      </c>
      <c r="D431" s="22"/>
      <c r="E431" s="22"/>
      <c r="F431" s="22"/>
      <c r="G431" s="22"/>
      <c r="H431" s="22"/>
      <c r="I431" s="22"/>
      <c r="J431" s="27">
        <f>+K431-D431</f>
        <v>0</v>
      </c>
      <c r="K431" s="27"/>
      <c r="L431" s="22"/>
      <c r="M431" s="134"/>
      <c r="N431" s="132"/>
    </row>
    <row r="432" spans="1:14" s="28" customFormat="1" ht="14.25" x14ac:dyDescent="0.2">
      <c r="A432" s="25"/>
      <c r="B432" s="25"/>
      <c r="C432" s="26"/>
      <c r="D432" s="27"/>
      <c r="E432" s="27"/>
      <c r="F432" s="27"/>
      <c r="G432" s="27"/>
      <c r="H432" s="27"/>
      <c r="I432" s="27"/>
      <c r="J432" s="27"/>
      <c r="K432" s="27"/>
      <c r="L432" s="27"/>
      <c r="M432" s="107"/>
      <c r="N432" s="133"/>
    </row>
    <row r="433" spans="1:14" s="28" customFormat="1" ht="14.25" x14ac:dyDescent="0.2">
      <c r="A433" s="25" t="s">
        <v>947</v>
      </c>
      <c r="B433" s="25"/>
      <c r="C433" s="26" t="s">
        <v>276</v>
      </c>
      <c r="D433" s="27">
        <f>VLOOKUP(A433,fin,3,FALSE)</f>
        <v>1270074</v>
      </c>
      <c r="E433" s="27">
        <v>-141346.4</v>
      </c>
      <c r="F433" s="27">
        <v>0</v>
      </c>
      <c r="G433" s="27">
        <v>-848078.4</v>
      </c>
      <c r="H433" s="27">
        <v>-563200.6</v>
      </c>
      <c r="I433" s="27">
        <v>60.09</v>
      </c>
      <c r="J433" s="27">
        <f>+K433-D433</f>
        <v>300000</v>
      </c>
      <c r="K433" s="27">
        <f>VLOOKUP(A433,fin,4,FALSE)</f>
        <v>1570074</v>
      </c>
      <c r="L433" s="27">
        <f t="shared" ref="L433:N433" si="93">K433*4.5/100+K433</f>
        <v>1640727.33</v>
      </c>
      <c r="M433" s="27">
        <f t="shared" si="93"/>
        <v>1714560.0598500001</v>
      </c>
      <c r="N433" s="27">
        <f t="shared" si="93"/>
        <v>1791715.2625432501</v>
      </c>
    </row>
    <row r="434" spans="1:14" s="28" customFormat="1" ht="14.25" x14ac:dyDescent="0.2">
      <c r="A434" s="25"/>
      <c r="B434" s="25"/>
      <c r="C434" s="26"/>
      <c r="D434" s="27"/>
      <c r="E434" s="27"/>
      <c r="F434" s="27"/>
      <c r="G434" s="27"/>
      <c r="H434" s="27"/>
      <c r="I434" s="27"/>
      <c r="J434" s="27"/>
      <c r="K434" s="27"/>
      <c r="L434" s="27"/>
      <c r="M434" s="107"/>
      <c r="N434" s="133"/>
    </row>
    <row r="435" spans="1:14" s="24" customFormat="1" x14ac:dyDescent="0.25">
      <c r="A435" s="20"/>
      <c r="B435" s="20"/>
      <c r="C435" s="21" t="s">
        <v>279</v>
      </c>
      <c r="D435" s="22">
        <f>SUM(D433:D434)</f>
        <v>1270074</v>
      </c>
      <c r="E435" s="22">
        <f>SUM(E433:E434)</f>
        <v>-141346.4</v>
      </c>
      <c r="F435" s="22">
        <f>SUM(F433:F434)</f>
        <v>0</v>
      </c>
      <c r="G435" s="22">
        <f>SUM(G433:G434)</f>
        <v>-848078.4</v>
      </c>
      <c r="H435" s="22">
        <f>SUM(H433:H434)</f>
        <v>-563200.6</v>
      </c>
      <c r="I435" s="22">
        <v>47.51</v>
      </c>
      <c r="J435" s="27">
        <f>+K435-D435</f>
        <v>300000</v>
      </c>
      <c r="K435" s="22">
        <f>SUM(K433:K434)</f>
        <v>1570074</v>
      </c>
      <c r="L435" s="22">
        <f>SUM(L433:L434)</f>
        <v>1640727.33</v>
      </c>
      <c r="M435" s="134">
        <f>SUM(M433:M434)</f>
        <v>1714560.0598500001</v>
      </c>
      <c r="N435" s="134">
        <f>SUM(N433:N434)</f>
        <v>1791715.2625432501</v>
      </c>
    </row>
    <row r="436" spans="1:14" s="24" customFormat="1" x14ac:dyDescent="0.25">
      <c r="A436" s="20"/>
      <c r="B436" s="20"/>
      <c r="C436" s="21"/>
      <c r="D436" s="22"/>
      <c r="E436" s="22"/>
      <c r="F436" s="22"/>
      <c r="G436" s="22"/>
      <c r="H436" s="22"/>
      <c r="I436" s="22"/>
      <c r="J436" s="27"/>
      <c r="K436" s="27"/>
      <c r="L436" s="22"/>
      <c r="M436" s="134"/>
      <c r="N436" s="132"/>
    </row>
    <row r="437" spans="1:14" s="24" customFormat="1" x14ac:dyDescent="0.25">
      <c r="A437" s="20"/>
      <c r="B437" s="20"/>
      <c r="C437" s="21" t="s">
        <v>290</v>
      </c>
      <c r="D437" s="22"/>
      <c r="E437" s="22"/>
      <c r="F437" s="22"/>
      <c r="G437" s="22"/>
      <c r="H437" s="22"/>
      <c r="I437" s="22"/>
      <c r="J437" s="27">
        <f>+K437-D437</f>
        <v>0</v>
      </c>
      <c r="K437" s="27"/>
      <c r="L437" s="22"/>
      <c r="M437" s="134"/>
      <c r="N437" s="132"/>
    </row>
    <row r="438" spans="1:14" s="28" customFormat="1" ht="14.25" x14ac:dyDescent="0.2">
      <c r="A438" s="25"/>
      <c r="B438" s="25"/>
      <c r="C438" s="26"/>
      <c r="D438" s="27"/>
      <c r="E438" s="27"/>
      <c r="F438" s="27"/>
      <c r="G438" s="27"/>
      <c r="H438" s="27"/>
      <c r="I438" s="27"/>
      <c r="J438" s="27"/>
      <c r="K438" s="27"/>
      <c r="L438" s="27"/>
      <c r="M438" s="107"/>
      <c r="N438" s="133"/>
    </row>
    <row r="439" spans="1:14" s="28" customFormat="1" ht="14.25" x14ac:dyDescent="0.2">
      <c r="A439" s="25" t="s">
        <v>948</v>
      </c>
      <c r="B439" s="25"/>
      <c r="C439" s="26" t="s">
        <v>292</v>
      </c>
      <c r="D439" s="27">
        <f>VLOOKUP(A439,fin,3,FALSE)</f>
        <v>7648</v>
      </c>
      <c r="E439" s="27">
        <v>-141346.4</v>
      </c>
      <c r="F439" s="27">
        <v>0</v>
      </c>
      <c r="G439" s="27">
        <v>-848078.4</v>
      </c>
      <c r="H439" s="27">
        <v>-563200.6</v>
      </c>
      <c r="I439" s="27">
        <v>60.09</v>
      </c>
      <c r="J439" s="27">
        <f>+K439-D439</f>
        <v>0</v>
      </c>
      <c r="K439" s="27">
        <f>VLOOKUP(A439,fin,4,FALSE)</f>
        <v>7648</v>
      </c>
      <c r="L439" s="27">
        <f t="shared" ref="L439:N440" si="94">K439*4.5/100+K439</f>
        <v>7992.16</v>
      </c>
      <c r="M439" s="27">
        <f t="shared" si="94"/>
        <v>8351.8071999999993</v>
      </c>
      <c r="N439" s="27">
        <f t="shared" si="94"/>
        <v>8727.638524</v>
      </c>
    </row>
    <row r="440" spans="1:14" s="28" customFormat="1" ht="14.25" x14ac:dyDescent="0.2">
      <c r="A440" s="25" t="s">
        <v>949</v>
      </c>
      <c r="B440" s="25"/>
      <c r="C440" s="26" t="s">
        <v>293</v>
      </c>
      <c r="D440" s="27">
        <f>VLOOKUP(A440,fin,3,FALSE)</f>
        <v>2242</v>
      </c>
      <c r="E440" s="27">
        <v>-141346.4</v>
      </c>
      <c r="F440" s="27">
        <v>0</v>
      </c>
      <c r="G440" s="27">
        <v>-848078.4</v>
      </c>
      <c r="H440" s="27">
        <v>-563200.6</v>
      </c>
      <c r="I440" s="27">
        <v>60.09</v>
      </c>
      <c r="J440" s="27">
        <f>+K440-D440</f>
        <v>0</v>
      </c>
      <c r="K440" s="27">
        <f>VLOOKUP(A440,fin,4,FALSE)</f>
        <v>2242</v>
      </c>
      <c r="L440" s="27">
        <f t="shared" si="94"/>
        <v>2342.89</v>
      </c>
      <c r="M440" s="27">
        <f t="shared" si="94"/>
        <v>2448.3200499999998</v>
      </c>
      <c r="N440" s="27">
        <f t="shared" si="94"/>
        <v>2558.49445225</v>
      </c>
    </row>
    <row r="441" spans="1:14" s="28" customFormat="1" ht="14.25" x14ac:dyDescent="0.2">
      <c r="A441" s="25"/>
      <c r="B441" s="25"/>
      <c r="C441" s="26"/>
      <c r="D441" s="27"/>
      <c r="E441" s="27"/>
      <c r="F441" s="27"/>
      <c r="G441" s="27"/>
      <c r="H441" s="27"/>
      <c r="I441" s="27"/>
      <c r="J441" s="27"/>
      <c r="K441" s="27"/>
      <c r="L441" s="27"/>
      <c r="M441" s="107"/>
      <c r="N441" s="133"/>
    </row>
    <row r="442" spans="1:14" s="24" customFormat="1" x14ac:dyDescent="0.25">
      <c r="A442" s="20"/>
      <c r="B442" s="20"/>
      <c r="C442" s="21" t="s">
        <v>304</v>
      </c>
      <c r="D442" s="22">
        <f>SUM(D439:D441)</f>
        <v>9890</v>
      </c>
      <c r="E442" s="22">
        <f>SUM(E439:E441)</f>
        <v>-282692.8</v>
      </c>
      <c r="F442" s="22">
        <f>SUM(F439:F441)</f>
        <v>0</v>
      </c>
      <c r="G442" s="22">
        <f>SUM(G439:G441)</f>
        <v>-1696156.8</v>
      </c>
      <c r="H442" s="22">
        <f>SUM(H439:H441)</f>
        <v>-1126401.2</v>
      </c>
      <c r="I442" s="22">
        <v>150.57</v>
      </c>
      <c r="J442" s="27">
        <f>+K442-D442</f>
        <v>0</v>
      </c>
      <c r="K442" s="22">
        <f>SUM(K439:K441)</f>
        <v>9890</v>
      </c>
      <c r="L442" s="22">
        <f>SUM(L439:L441)</f>
        <v>10335.049999999999</v>
      </c>
      <c r="M442" s="134">
        <f>SUM(M439:M441)</f>
        <v>10800.12725</v>
      </c>
      <c r="N442" s="134">
        <f>SUM(N439:N441)</f>
        <v>11286.132976249999</v>
      </c>
    </row>
    <row r="443" spans="1:14" s="24" customFormat="1" x14ac:dyDescent="0.25">
      <c r="A443" s="20"/>
      <c r="B443" s="20"/>
      <c r="C443" s="21"/>
      <c r="D443" s="22"/>
      <c r="E443" s="22"/>
      <c r="F443" s="22"/>
      <c r="G443" s="22"/>
      <c r="H443" s="22"/>
      <c r="I443" s="22"/>
      <c r="J443" s="27"/>
      <c r="K443" s="27"/>
      <c r="L443" s="22"/>
      <c r="M443" s="134"/>
      <c r="N443" s="132"/>
    </row>
    <row r="444" spans="1:14" s="24" customFormat="1" x14ac:dyDescent="0.25">
      <c r="A444" s="20"/>
      <c r="B444" s="20"/>
      <c r="C444" s="21" t="s">
        <v>305</v>
      </c>
      <c r="D444" s="22">
        <f>D411+D421+D429+D435+D442</f>
        <v>5278817</v>
      </c>
      <c r="E444" s="22">
        <f t="shared" ref="E444:N444" si="95">E411+E421+E429+E435+E442</f>
        <v>-3816352.7999999993</v>
      </c>
      <c r="F444" s="22">
        <f t="shared" si="95"/>
        <v>0</v>
      </c>
      <c r="G444" s="22">
        <f t="shared" si="95"/>
        <v>-22898116.800000001</v>
      </c>
      <c r="H444" s="22">
        <f t="shared" si="95"/>
        <v>-15206416.199999997</v>
      </c>
      <c r="I444" s="22">
        <v>35.85</v>
      </c>
      <c r="J444" s="27">
        <f>+K444-D444</f>
        <v>-290471.54999999981</v>
      </c>
      <c r="K444" s="22">
        <f t="shared" si="95"/>
        <v>4988345.45</v>
      </c>
      <c r="L444" s="22">
        <f t="shared" si="95"/>
        <v>5621578.6706250003</v>
      </c>
      <c r="M444" s="134">
        <f t="shared" si="95"/>
        <v>5597985.4680687496</v>
      </c>
      <c r="N444" s="134">
        <f t="shared" si="95"/>
        <v>5945323.5744060604</v>
      </c>
    </row>
    <row r="445" spans="1:14" s="24" customFormat="1" x14ac:dyDescent="0.25">
      <c r="A445" s="20"/>
      <c r="B445" s="20"/>
      <c r="C445" s="21"/>
      <c r="D445" s="22"/>
      <c r="E445" s="22"/>
      <c r="F445" s="22"/>
      <c r="G445" s="22"/>
      <c r="H445" s="22"/>
      <c r="I445" s="22"/>
      <c r="J445" s="27"/>
      <c r="K445" s="22"/>
      <c r="L445" s="22"/>
      <c r="M445" s="134"/>
      <c r="N445" s="132"/>
    </row>
    <row r="446" spans="1:14" s="24" customFormat="1" x14ac:dyDescent="0.25">
      <c r="A446" s="20"/>
      <c r="B446" s="20"/>
      <c r="C446" s="21" t="s">
        <v>306</v>
      </c>
      <c r="D446" s="22">
        <f>D444</f>
        <v>5278817</v>
      </c>
      <c r="E446" s="22">
        <f t="shared" ref="E446:N446" si="96">E444</f>
        <v>-3816352.7999999993</v>
      </c>
      <c r="F446" s="22">
        <f t="shared" si="96"/>
        <v>0</v>
      </c>
      <c r="G446" s="22">
        <f t="shared" si="96"/>
        <v>-22898116.800000001</v>
      </c>
      <c r="H446" s="22">
        <f t="shared" si="96"/>
        <v>-15206416.199999997</v>
      </c>
      <c r="I446" s="22">
        <v>35.85</v>
      </c>
      <c r="J446" s="27">
        <f>+K446-D446</f>
        <v>-290471.54999999981</v>
      </c>
      <c r="K446" s="22">
        <f t="shared" si="96"/>
        <v>4988345.45</v>
      </c>
      <c r="L446" s="22">
        <f t="shared" si="96"/>
        <v>5621578.6706250003</v>
      </c>
      <c r="M446" s="134">
        <f t="shared" si="96"/>
        <v>5597985.4680687496</v>
      </c>
      <c r="N446" s="134">
        <f t="shared" si="96"/>
        <v>5945323.5744060604</v>
      </c>
    </row>
    <row r="447" spans="1:14" s="28" customFormat="1" ht="14.25" x14ac:dyDescent="0.2">
      <c r="A447" s="25"/>
      <c r="B447" s="25"/>
      <c r="C447" s="26"/>
      <c r="D447" s="27"/>
      <c r="E447" s="27"/>
      <c r="F447" s="27"/>
      <c r="G447" s="27"/>
      <c r="H447" s="27"/>
      <c r="I447" s="27"/>
      <c r="J447" s="27"/>
      <c r="K447" s="27"/>
      <c r="L447" s="27"/>
      <c r="M447" s="107"/>
      <c r="N447" s="133"/>
    </row>
    <row r="448" spans="1:14" s="24" customFormat="1" x14ac:dyDescent="0.25">
      <c r="A448" s="20"/>
      <c r="B448" s="20"/>
      <c r="C448" s="21" t="s">
        <v>96</v>
      </c>
      <c r="D448" s="22"/>
      <c r="E448" s="22"/>
      <c r="F448" s="22"/>
      <c r="G448" s="22"/>
      <c r="H448" s="22"/>
      <c r="I448" s="22"/>
      <c r="J448" s="27">
        <f>+K448-D448</f>
        <v>0</v>
      </c>
      <c r="K448" s="27"/>
      <c r="L448" s="22"/>
      <c r="M448" s="134"/>
      <c r="N448" s="132"/>
    </row>
    <row r="449" spans="1:14" s="24" customFormat="1" x14ac:dyDescent="0.25">
      <c r="A449" s="20"/>
      <c r="B449" s="20"/>
      <c r="C449" s="21" t="s">
        <v>96</v>
      </c>
      <c r="D449" s="22"/>
      <c r="E449" s="22"/>
      <c r="F449" s="22"/>
      <c r="G449" s="22"/>
      <c r="H449" s="22"/>
      <c r="I449" s="22"/>
      <c r="J449" s="27">
        <f>+K449-D449</f>
        <v>0</v>
      </c>
      <c r="K449" s="27"/>
      <c r="L449" s="22"/>
      <c r="M449" s="134"/>
      <c r="N449" s="132"/>
    </row>
    <row r="450" spans="1:14" s="24" customFormat="1" x14ac:dyDescent="0.25">
      <c r="A450" s="20"/>
      <c r="B450" s="20"/>
      <c r="C450" s="21" t="s">
        <v>97</v>
      </c>
      <c r="D450" s="22"/>
      <c r="E450" s="22"/>
      <c r="F450" s="22"/>
      <c r="G450" s="22"/>
      <c r="H450" s="22"/>
      <c r="I450" s="22"/>
      <c r="J450" s="27">
        <f>+K450-D450</f>
        <v>0</v>
      </c>
      <c r="K450" s="27"/>
      <c r="L450" s="22"/>
      <c r="M450" s="134"/>
      <c r="N450" s="132"/>
    </row>
    <row r="451" spans="1:14" s="24" customFormat="1" x14ac:dyDescent="0.25">
      <c r="A451" s="20"/>
      <c r="B451" s="20"/>
      <c r="C451" s="21" t="s">
        <v>148</v>
      </c>
      <c r="D451" s="22"/>
      <c r="E451" s="22"/>
      <c r="F451" s="22"/>
      <c r="G451" s="22"/>
      <c r="H451" s="22"/>
      <c r="I451" s="22"/>
      <c r="J451" s="27">
        <f>+K451-D451</f>
        <v>0</v>
      </c>
      <c r="K451" s="27"/>
      <c r="L451" s="22"/>
      <c r="M451" s="134"/>
      <c r="N451" s="132"/>
    </row>
    <row r="452" spans="1:14" s="24" customFormat="1" x14ac:dyDescent="0.25">
      <c r="A452" s="20"/>
      <c r="B452" s="20"/>
      <c r="C452" s="21" t="s">
        <v>149</v>
      </c>
      <c r="D452" s="22"/>
      <c r="E452" s="22"/>
      <c r="F452" s="22"/>
      <c r="G452" s="22"/>
      <c r="H452" s="22"/>
      <c r="I452" s="22"/>
      <c r="J452" s="27">
        <f>+K452-D452</f>
        <v>0</v>
      </c>
      <c r="K452" s="27"/>
      <c r="L452" s="22"/>
      <c r="M452" s="134"/>
      <c r="N452" s="132"/>
    </row>
    <row r="453" spans="1:14" s="28" customFormat="1" ht="14.25" x14ac:dyDescent="0.2">
      <c r="A453" s="25"/>
      <c r="B453" s="25"/>
      <c r="C453" s="26"/>
      <c r="D453" s="27"/>
      <c r="E453" s="27"/>
      <c r="F453" s="27"/>
      <c r="G453" s="27"/>
      <c r="H453" s="27"/>
      <c r="I453" s="27"/>
      <c r="J453" s="27"/>
      <c r="K453" s="27"/>
      <c r="L453" s="27"/>
      <c r="M453" s="107"/>
      <c r="N453" s="133"/>
    </row>
    <row r="454" spans="1:14" s="28" customFormat="1" ht="14.25" x14ac:dyDescent="0.2">
      <c r="A454" s="25" t="s">
        <v>950</v>
      </c>
      <c r="B454" s="25"/>
      <c r="C454" s="26" t="s">
        <v>150</v>
      </c>
      <c r="D454" s="27">
        <f t="shared" ref="D454:D465" si="97">VLOOKUP(A454,fin,3,FALSE)</f>
        <v>1687888</v>
      </c>
      <c r="E454" s="27">
        <v>-141346.4</v>
      </c>
      <c r="F454" s="27">
        <v>0</v>
      </c>
      <c r="G454" s="27">
        <v>-848078.4</v>
      </c>
      <c r="H454" s="27">
        <v>-563200.6</v>
      </c>
      <c r="I454" s="27">
        <v>60.09</v>
      </c>
      <c r="J454" s="27">
        <f t="shared" ref="J454:J465" si="98">+K454-D454</f>
        <v>0</v>
      </c>
      <c r="K454" s="27">
        <f t="shared" ref="K454:K465" si="99">VLOOKUP(A454,fin,4,FALSE)</f>
        <v>1687888</v>
      </c>
      <c r="L454" s="27">
        <f t="shared" ref="L454:L465" si="100">K454*6.25/100+K454</f>
        <v>1793381</v>
      </c>
      <c r="M454" s="107">
        <f t="shared" ref="M454:N465" si="101">L454*7/100+L454</f>
        <v>1918917.67</v>
      </c>
      <c r="N454" s="133">
        <f t="shared" si="101"/>
        <v>2053241.9068999998</v>
      </c>
    </row>
    <row r="455" spans="1:14" s="28" customFormat="1" ht="14.25" x14ac:dyDescent="0.2">
      <c r="A455" s="25" t="s">
        <v>951</v>
      </c>
      <c r="B455" s="25"/>
      <c r="C455" s="26" t="s">
        <v>150</v>
      </c>
      <c r="D455" s="27">
        <f t="shared" si="97"/>
        <v>80600</v>
      </c>
      <c r="E455" s="27">
        <v>-141346.4</v>
      </c>
      <c r="F455" s="27">
        <v>0</v>
      </c>
      <c r="G455" s="27">
        <v>-848078.4</v>
      </c>
      <c r="H455" s="27">
        <v>-563200.6</v>
      </c>
      <c r="I455" s="27">
        <v>60.09</v>
      </c>
      <c r="J455" s="27">
        <f t="shared" si="98"/>
        <v>0</v>
      </c>
      <c r="K455" s="27">
        <f t="shared" si="99"/>
        <v>80600</v>
      </c>
      <c r="L455" s="27">
        <f t="shared" si="100"/>
        <v>85637.5</v>
      </c>
      <c r="M455" s="107">
        <f t="shared" si="101"/>
        <v>91632.125</v>
      </c>
      <c r="N455" s="133">
        <f t="shared" si="101"/>
        <v>98046.373749999999</v>
      </c>
    </row>
    <row r="456" spans="1:14" s="28" customFormat="1" ht="14.25" x14ac:dyDescent="0.2">
      <c r="A456" s="25" t="s">
        <v>952</v>
      </c>
      <c r="B456" s="25"/>
      <c r="C456" s="26" t="s">
        <v>151</v>
      </c>
      <c r="D456" s="27">
        <f t="shared" si="97"/>
        <v>84394</v>
      </c>
      <c r="E456" s="27">
        <v>-141346.4</v>
      </c>
      <c r="F456" s="27">
        <v>0</v>
      </c>
      <c r="G456" s="27">
        <v>-848078.4</v>
      </c>
      <c r="H456" s="27">
        <v>-563200.6</v>
      </c>
      <c r="I456" s="27">
        <v>60.09</v>
      </c>
      <c r="J456" s="27">
        <f t="shared" si="98"/>
        <v>-50525.64</v>
      </c>
      <c r="K456" s="27">
        <f t="shared" si="99"/>
        <v>33868.36</v>
      </c>
      <c r="L456" s="27">
        <f t="shared" si="100"/>
        <v>35985.1325</v>
      </c>
      <c r="M456" s="107">
        <f t="shared" si="101"/>
        <v>38504.091775000001</v>
      </c>
      <c r="N456" s="133">
        <f t="shared" si="101"/>
        <v>41199.378199250001</v>
      </c>
    </row>
    <row r="457" spans="1:14" s="28" customFormat="1" ht="14.25" x14ac:dyDescent="0.2">
      <c r="A457" s="25" t="s">
        <v>953</v>
      </c>
      <c r="B457" s="25"/>
      <c r="C457" s="26" t="s">
        <v>152</v>
      </c>
      <c r="D457" s="27">
        <f t="shared" si="97"/>
        <v>52200</v>
      </c>
      <c r="E457" s="27">
        <v>-141346.4</v>
      </c>
      <c r="F457" s="27">
        <v>0</v>
      </c>
      <c r="G457" s="27">
        <v>-848078.4</v>
      </c>
      <c r="H457" s="27">
        <v>-563200.6</v>
      </c>
      <c r="I457" s="27">
        <v>60.09</v>
      </c>
      <c r="J457" s="27">
        <f t="shared" si="98"/>
        <v>0</v>
      </c>
      <c r="K457" s="27">
        <f t="shared" si="99"/>
        <v>52200</v>
      </c>
      <c r="L457" s="27">
        <f t="shared" si="100"/>
        <v>55462.5</v>
      </c>
      <c r="M457" s="107">
        <f t="shared" si="101"/>
        <v>59344.875</v>
      </c>
      <c r="N457" s="133">
        <f t="shared" si="101"/>
        <v>63499.016250000001</v>
      </c>
    </row>
    <row r="458" spans="1:14" s="28" customFormat="1" ht="14.25" x14ac:dyDescent="0.2">
      <c r="A458" s="25" t="s">
        <v>954</v>
      </c>
      <c r="B458" s="25"/>
      <c r="C458" s="26" t="s">
        <v>153</v>
      </c>
      <c r="D458" s="27">
        <f t="shared" si="97"/>
        <v>10893</v>
      </c>
      <c r="E458" s="27">
        <v>-141346.4</v>
      </c>
      <c r="F458" s="27">
        <v>0</v>
      </c>
      <c r="G458" s="27">
        <v>-848078.4</v>
      </c>
      <c r="H458" s="27">
        <v>-563200.6</v>
      </c>
      <c r="I458" s="27">
        <v>60.09</v>
      </c>
      <c r="J458" s="27">
        <f t="shared" si="98"/>
        <v>0</v>
      </c>
      <c r="K458" s="27">
        <f t="shared" si="99"/>
        <v>10893</v>
      </c>
      <c r="L458" s="27">
        <f t="shared" si="100"/>
        <v>11573.8125</v>
      </c>
      <c r="M458" s="107">
        <f t="shared" si="101"/>
        <v>12383.979375000001</v>
      </c>
      <c r="N458" s="133">
        <f t="shared" si="101"/>
        <v>13250.857931250001</v>
      </c>
    </row>
    <row r="459" spans="1:14" s="28" customFormat="1" ht="14.25" x14ac:dyDescent="0.2">
      <c r="A459" s="25" t="s">
        <v>955</v>
      </c>
      <c r="B459" s="25"/>
      <c r="C459" s="26" t="s">
        <v>155</v>
      </c>
      <c r="D459" s="27">
        <f t="shared" si="97"/>
        <v>55271</v>
      </c>
      <c r="E459" s="27">
        <v>-141346.4</v>
      </c>
      <c r="F459" s="27">
        <v>0</v>
      </c>
      <c r="G459" s="27">
        <v>-848078.4</v>
      </c>
      <c r="H459" s="27">
        <v>-563200.6</v>
      </c>
      <c r="I459" s="27">
        <v>60.09</v>
      </c>
      <c r="J459" s="27">
        <f t="shared" si="98"/>
        <v>0</v>
      </c>
      <c r="K459" s="27">
        <f t="shared" si="99"/>
        <v>55271</v>
      </c>
      <c r="L459" s="27">
        <f t="shared" si="100"/>
        <v>58725.4375</v>
      </c>
      <c r="M459" s="107">
        <f t="shared" si="101"/>
        <v>62836.218124999999</v>
      </c>
      <c r="N459" s="133">
        <f t="shared" si="101"/>
        <v>67234.753393749997</v>
      </c>
    </row>
    <row r="460" spans="1:14" s="28" customFormat="1" ht="14.25" x14ac:dyDescent="0.2">
      <c r="A460" s="25" t="s">
        <v>956</v>
      </c>
      <c r="B460" s="25"/>
      <c r="C460" s="26" t="s">
        <v>156</v>
      </c>
      <c r="D460" s="27">
        <f t="shared" si="97"/>
        <v>365236</v>
      </c>
      <c r="E460" s="27">
        <v>-141346.4</v>
      </c>
      <c r="F460" s="27">
        <v>0</v>
      </c>
      <c r="G460" s="27">
        <v>-848078.4</v>
      </c>
      <c r="H460" s="27">
        <v>-563200.6</v>
      </c>
      <c r="I460" s="27">
        <v>60.09</v>
      </c>
      <c r="J460" s="27">
        <f t="shared" si="98"/>
        <v>0</v>
      </c>
      <c r="K460" s="27">
        <f t="shared" si="99"/>
        <v>365236</v>
      </c>
      <c r="L460" s="27">
        <f t="shared" si="100"/>
        <v>388063.25</v>
      </c>
      <c r="M460" s="107">
        <f t="shared" si="101"/>
        <v>415227.67749999999</v>
      </c>
      <c r="N460" s="133">
        <f t="shared" si="101"/>
        <v>444293.614925</v>
      </c>
    </row>
    <row r="461" spans="1:14" s="28" customFormat="1" ht="14.25" x14ac:dyDescent="0.2">
      <c r="A461" s="25" t="s">
        <v>957</v>
      </c>
      <c r="B461" s="25"/>
      <c r="C461" s="26" t="s">
        <v>157</v>
      </c>
      <c r="D461" s="27">
        <f t="shared" si="97"/>
        <v>7383</v>
      </c>
      <c r="E461" s="27">
        <v>-141346.4</v>
      </c>
      <c r="F461" s="27">
        <v>0</v>
      </c>
      <c r="G461" s="27">
        <v>-848078.4</v>
      </c>
      <c r="H461" s="27">
        <v>-563200.6</v>
      </c>
      <c r="I461" s="27">
        <v>60.09</v>
      </c>
      <c r="J461" s="27">
        <f t="shared" si="98"/>
        <v>7617</v>
      </c>
      <c r="K461" s="27">
        <f t="shared" si="99"/>
        <v>15000</v>
      </c>
      <c r="L461" s="27">
        <f t="shared" si="100"/>
        <v>15937.5</v>
      </c>
      <c r="M461" s="107">
        <f t="shared" si="101"/>
        <v>17053.125</v>
      </c>
      <c r="N461" s="133">
        <f t="shared" si="101"/>
        <v>18246.84375</v>
      </c>
    </row>
    <row r="462" spans="1:14" s="28" customFormat="1" ht="14.25" x14ac:dyDescent="0.2">
      <c r="A462" s="25" t="s">
        <v>958</v>
      </c>
      <c r="B462" s="25"/>
      <c r="C462" s="26" t="s">
        <v>158</v>
      </c>
      <c r="D462" s="27">
        <f t="shared" si="97"/>
        <v>12841</v>
      </c>
      <c r="E462" s="27">
        <v>-141346.4</v>
      </c>
      <c r="F462" s="27">
        <v>0</v>
      </c>
      <c r="G462" s="27">
        <v>-848078.4</v>
      </c>
      <c r="H462" s="27">
        <v>-563200.6</v>
      </c>
      <c r="I462" s="27">
        <v>60.09</v>
      </c>
      <c r="J462" s="27">
        <f t="shared" si="98"/>
        <v>0</v>
      </c>
      <c r="K462" s="27">
        <f t="shared" si="99"/>
        <v>12841</v>
      </c>
      <c r="L462" s="27">
        <f t="shared" si="100"/>
        <v>13643.5625</v>
      </c>
      <c r="M462" s="107">
        <f t="shared" si="101"/>
        <v>14598.611875000001</v>
      </c>
      <c r="N462" s="133">
        <f t="shared" si="101"/>
        <v>15620.51470625</v>
      </c>
    </row>
    <row r="463" spans="1:14" s="28" customFormat="1" ht="14.25" x14ac:dyDescent="0.2">
      <c r="A463" s="25" t="s">
        <v>959</v>
      </c>
      <c r="B463" s="25"/>
      <c r="C463" s="26" t="s">
        <v>159</v>
      </c>
      <c r="D463" s="27">
        <f t="shared" si="97"/>
        <v>140657</v>
      </c>
      <c r="E463" s="27">
        <v>-141346.4</v>
      </c>
      <c r="F463" s="27">
        <v>0</v>
      </c>
      <c r="G463" s="27">
        <v>-848078.4</v>
      </c>
      <c r="H463" s="27">
        <v>-563200.6</v>
      </c>
      <c r="I463" s="27">
        <v>60.09</v>
      </c>
      <c r="J463" s="27">
        <f t="shared" si="98"/>
        <v>0</v>
      </c>
      <c r="K463" s="27">
        <f t="shared" si="99"/>
        <v>140657</v>
      </c>
      <c r="L463" s="27">
        <f t="shared" si="100"/>
        <v>149448.0625</v>
      </c>
      <c r="M463" s="107">
        <f t="shared" si="101"/>
        <v>159909.426875</v>
      </c>
      <c r="N463" s="133">
        <f t="shared" si="101"/>
        <v>171103.08675625001</v>
      </c>
    </row>
    <row r="464" spans="1:14" s="28" customFormat="1" ht="14.25" x14ac:dyDescent="0.2">
      <c r="A464" s="25" t="s">
        <v>960</v>
      </c>
      <c r="B464" s="25"/>
      <c r="C464" s="26" t="s">
        <v>161</v>
      </c>
      <c r="D464" s="27">
        <f t="shared" si="97"/>
        <v>57035</v>
      </c>
      <c r="E464" s="27">
        <v>-141346.4</v>
      </c>
      <c r="F464" s="27">
        <v>0</v>
      </c>
      <c r="G464" s="27">
        <v>-848078.4</v>
      </c>
      <c r="H464" s="27">
        <v>-563200.6</v>
      </c>
      <c r="I464" s="27">
        <v>60.09</v>
      </c>
      <c r="J464" s="27">
        <f t="shared" si="98"/>
        <v>0</v>
      </c>
      <c r="K464" s="27">
        <f t="shared" si="99"/>
        <v>57035</v>
      </c>
      <c r="L464" s="27">
        <f t="shared" si="100"/>
        <v>60599.6875</v>
      </c>
      <c r="M464" s="107">
        <f t="shared" si="101"/>
        <v>64841.665625000001</v>
      </c>
      <c r="N464" s="133">
        <f t="shared" si="101"/>
        <v>69380.582218750002</v>
      </c>
    </row>
    <row r="465" spans="1:14" s="28" customFormat="1" ht="14.25" x14ac:dyDescent="0.2">
      <c r="A465" s="25" t="s">
        <v>961</v>
      </c>
      <c r="B465" s="25"/>
      <c r="C465" s="26" t="s">
        <v>164</v>
      </c>
      <c r="D465" s="27">
        <f t="shared" si="97"/>
        <v>15692</v>
      </c>
      <c r="E465" s="27">
        <v>-141346.4</v>
      </c>
      <c r="F465" s="27">
        <v>0</v>
      </c>
      <c r="G465" s="27">
        <v>-848078.4</v>
      </c>
      <c r="H465" s="27">
        <v>-563200.6</v>
      </c>
      <c r="I465" s="27">
        <v>60.09</v>
      </c>
      <c r="J465" s="27">
        <f t="shared" si="98"/>
        <v>0</v>
      </c>
      <c r="K465" s="27">
        <f t="shared" si="99"/>
        <v>15692</v>
      </c>
      <c r="L465" s="27">
        <f t="shared" si="100"/>
        <v>16672.75</v>
      </c>
      <c r="M465" s="107">
        <f t="shared" si="101"/>
        <v>17839.842499999999</v>
      </c>
      <c r="N465" s="133">
        <f t="shared" si="101"/>
        <v>19088.631474999998</v>
      </c>
    </row>
    <row r="466" spans="1:14" s="28" customFormat="1" ht="14.25" x14ac:dyDescent="0.2">
      <c r="A466" s="25"/>
      <c r="B466" s="25"/>
      <c r="C466" s="26"/>
      <c r="D466" s="27"/>
      <c r="E466" s="27"/>
      <c r="F466" s="27"/>
      <c r="G466" s="27"/>
      <c r="H466" s="27"/>
      <c r="I466" s="27"/>
      <c r="J466" s="27"/>
      <c r="K466" s="27"/>
      <c r="L466" s="27"/>
      <c r="M466" s="107"/>
      <c r="N466" s="133"/>
    </row>
    <row r="467" spans="1:14" s="24" customFormat="1" x14ac:dyDescent="0.25">
      <c r="A467" s="20"/>
      <c r="B467" s="20"/>
      <c r="C467" s="21" t="s">
        <v>165</v>
      </c>
      <c r="D467" s="22">
        <f>SUM(D454:D466)</f>
        <v>2570090</v>
      </c>
      <c r="E467" s="22">
        <f>SUM(E454:E466)</f>
        <v>-1696156.7999999996</v>
      </c>
      <c r="F467" s="22">
        <f>SUM(F454:F466)</f>
        <v>0</v>
      </c>
      <c r="G467" s="22">
        <f>SUM(G454:G466)</f>
        <v>-10176940.800000003</v>
      </c>
      <c r="H467" s="22">
        <f>SUM(H454:H466)</f>
        <v>-6758407.1999999983</v>
      </c>
      <c r="I467" s="22">
        <v>47.32</v>
      </c>
      <c r="J467" s="27">
        <f>+K467-D467</f>
        <v>-42908.639999999665</v>
      </c>
      <c r="K467" s="22">
        <f>SUM(K454:K466)</f>
        <v>2527181.3600000003</v>
      </c>
      <c r="L467" s="22">
        <f>SUM(L454:L466)</f>
        <v>2685130.1950000003</v>
      </c>
      <c r="M467" s="134">
        <f>SUM(M454:M466)</f>
        <v>2873089.3086499996</v>
      </c>
      <c r="N467" s="134">
        <f>SUM(N454:N466)</f>
        <v>3074205.5602554991</v>
      </c>
    </row>
    <row r="468" spans="1:14" s="24" customFormat="1" x14ac:dyDescent="0.25">
      <c r="A468" s="20"/>
      <c r="B468" s="20"/>
      <c r="C468" s="21"/>
      <c r="D468" s="22"/>
      <c r="E468" s="22"/>
      <c r="F468" s="22"/>
      <c r="G468" s="22"/>
      <c r="H468" s="22"/>
      <c r="I468" s="22"/>
      <c r="J468" s="27"/>
      <c r="K468" s="27"/>
      <c r="L468" s="22"/>
      <c r="M468" s="134"/>
      <c r="N468" s="132"/>
    </row>
    <row r="469" spans="1:14" s="24" customFormat="1" x14ac:dyDescent="0.25">
      <c r="A469" s="20"/>
      <c r="B469" s="20"/>
      <c r="C469" s="21" t="s">
        <v>166</v>
      </c>
      <c r="D469" s="22"/>
      <c r="E469" s="22"/>
      <c r="F469" s="22"/>
      <c r="G469" s="22"/>
      <c r="H469" s="22"/>
      <c r="I469" s="22"/>
      <c r="J469" s="27">
        <f>+K469-D469</f>
        <v>0</v>
      </c>
      <c r="K469" s="27"/>
      <c r="L469" s="22"/>
      <c r="M469" s="134"/>
      <c r="N469" s="132"/>
    </row>
    <row r="470" spans="1:14" s="24" customFormat="1" x14ac:dyDescent="0.25">
      <c r="A470" s="20"/>
      <c r="B470" s="20"/>
      <c r="C470" s="21"/>
      <c r="D470" s="22"/>
      <c r="E470" s="22"/>
      <c r="F470" s="22"/>
      <c r="G470" s="22"/>
      <c r="H470" s="22"/>
      <c r="I470" s="22"/>
      <c r="J470" s="27"/>
      <c r="K470" s="27"/>
      <c r="L470" s="22"/>
      <c r="M470" s="134"/>
      <c r="N470" s="132"/>
    </row>
    <row r="471" spans="1:14" s="28" customFormat="1" ht="14.25" x14ac:dyDescent="0.2">
      <c r="A471" s="25" t="s">
        <v>962</v>
      </c>
      <c r="B471" s="25"/>
      <c r="C471" s="26" t="s">
        <v>167</v>
      </c>
      <c r="D471" s="27">
        <f>VLOOKUP(A471,fin,3,FALSE)</f>
        <v>449</v>
      </c>
      <c r="E471" s="27">
        <v>-141346.4</v>
      </c>
      <c r="F471" s="27">
        <v>0</v>
      </c>
      <c r="G471" s="27">
        <v>-848078.4</v>
      </c>
      <c r="H471" s="27">
        <v>-563200.6</v>
      </c>
      <c r="I471" s="27">
        <v>60.09</v>
      </c>
      <c r="J471" s="27">
        <f>+K471-D471</f>
        <v>0</v>
      </c>
      <c r="K471" s="27">
        <f>VLOOKUP(A471,fin,4,FALSE)</f>
        <v>449</v>
      </c>
      <c r="L471" s="27">
        <f t="shared" ref="L471:L474" si="102">K471*6.25/100+K471</f>
        <v>477.0625</v>
      </c>
      <c r="M471" s="107">
        <f t="shared" ref="M471:N474" si="103">L471*7/100+L471</f>
        <v>510.45687499999997</v>
      </c>
      <c r="N471" s="133">
        <f t="shared" si="103"/>
        <v>546.18885624999996</v>
      </c>
    </row>
    <row r="472" spans="1:14" s="28" customFormat="1" ht="14.25" x14ac:dyDescent="0.2">
      <c r="A472" s="25" t="s">
        <v>963</v>
      </c>
      <c r="B472" s="25"/>
      <c r="C472" s="26" t="s">
        <v>168</v>
      </c>
      <c r="D472" s="27">
        <f>VLOOKUP(A472,fin,3,FALSE)</f>
        <v>161725</v>
      </c>
      <c r="E472" s="27">
        <v>-141346.4</v>
      </c>
      <c r="F472" s="27">
        <v>0</v>
      </c>
      <c r="G472" s="27">
        <v>-848078.4</v>
      </c>
      <c r="H472" s="27">
        <v>-563200.6</v>
      </c>
      <c r="I472" s="27">
        <v>60.09</v>
      </c>
      <c r="J472" s="27">
        <f>+K472-D472</f>
        <v>0</v>
      </c>
      <c r="K472" s="27">
        <f>VLOOKUP(A472,fin,4,FALSE)</f>
        <v>161725</v>
      </c>
      <c r="L472" s="27">
        <f t="shared" si="102"/>
        <v>171832.8125</v>
      </c>
      <c r="M472" s="107">
        <f t="shared" si="103"/>
        <v>183861.109375</v>
      </c>
      <c r="N472" s="133">
        <f t="shared" si="103"/>
        <v>196731.38703124999</v>
      </c>
    </row>
    <row r="473" spans="1:14" s="28" customFormat="1" ht="14.25" x14ac:dyDescent="0.2">
      <c r="A473" s="25" t="s">
        <v>964</v>
      </c>
      <c r="B473" s="25"/>
      <c r="C473" s="26" t="s">
        <v>169</v>
      </c>
      <c r="D473" s="27">
        <f>VLOOKUP(A473,fin,3,FALSE)</f>
        <v>371335</v>
      </c>
      <c r="E473" s="27">
        <v>-141346.4</v>
      </c>
      <c r="F473" s="27">
        <v>0</v>
      </c>
      <c r="G473" s="27">
        <v>-848078.4</v>
      </c>
      <c r="H473" s="27">
        <v>-563200.6</v>
      </c>
      <c r="I473" s="27">
        <v>60.09</v>
      </c>
      <c r="J473" s="27">
        <f>+K473-D473</f>
        <v>0</v>
      </c>
      <c r="K473" s="27">
        <f>VLOOKUP(A473,fin,4,FALSE)</f>
        <v>371335</v>
      </c>
      <c r="L473" s="27">
        <f t="shared" si="102"/>
        <v>394543.4375</v>
      </c>
      <c r="M473" s="107">
        <f t="shared" si="103"/>
        <v>422161.47812500002</v>
      </c>
      <c r="N473" s="133">
        <f t="shared" si="103"/>
        <v>451712.78159375</v>
      </c>
    </row>
    <row r="474" spans="1:14" s="28" customFormat="1" ht="14.25" x14ac:dyDescent="0.2">
      <c r="A474" s="25" t="s">
        <v>965</v>
      </c>
      <c r="B474" s="25"/>
      <c r="C474" s="26" t="s">
        <v>170</v>
      </c>
      <c r="D474" s="27">
        <f>VLOOKUP(A474,fin,3,FALSE)</f>
        <v>7140</v>
      </c>
      <c r="E474" s="27">
        <v>-141346.4</v>
      </c>
      <c r="F474" s="27">
        <v>0</v>
      </c>
      <c r="G474" s="27">
        <v>-848078.4</v>
      </c>
      <c r="H474" s="27">
        <v>-563200.6</v>
      </c>
      <c r="I474" s="27">
        <v>60.09</v>
      </c>
      <c r="J474" s="27">
        <f>+K474-D474</f>
        <v>0</v>
      </c>
      <c r="K474" s="27">
        <f>VLOOKUP(A474,fin,4,FALSE)</f>
        <v>7140</v>
      </c>
      <c r="L474" s="27">
        <f t="shared" si="102"/>
        <v>7586.25</v>
      </c>
      <c r="M474" s="107">
        <f t="shared" si="103"/>
        <v>8117.2875000000004</v>
      </c>
      <c r="N474" s="133">
        <f t="shared" si="103"/>
        <v>8685.497625</v>
      </c>
    </row>
    <row r="475" spans="1:14" s="28" customFormat="1" ht="14.25" x14ac:dyDescent="0.2">
      <c r="A475" s="25"/>
      <c r="B475" s="25"/>
      <c r="C475" s="26"/>
      <c r="D475" s="27"/>
      <c r="E475" s="27"/>
      <c r="F475" s="27"/>
      <c r="G475" s="27"/>
      <c r="H475" s="27"/>
      <c r="I475" s="27"/>
      <c r="J475" s="27"/>
      <c r="K475" s="27"/>
      <c r="L475" s="27"/>
      <c r="M475" s="107"/>
      <c r="N475" s="133"/>
    </row>
    <row r="476" spans="1:14" s="24" customFormat="1" x14ac:dyDescent="0.25">
      <c r="A476" s="20"/>
      <c r="B476" s="20"/>
      <c r="C476" s="21" t="s">
        <v>171</v>
      </c>
      <c r="D476" s="22">
        <f>SUM(D471:D475)</f>
        <v>540649</v>
      </c>
      <c r="E476" s="22">
        <f>SUM(E471:E475)</f>
        <v>-565385.6</v>
      </c>
      <c r="F476" s="22">
        <f>SUM(F471:F475)</f>
        <v>0</v>
      </c>
      <c r="G476" s="22">
        <f>SUM(G471:G475)</f>
        <v>-3392313.6</v>
      </c>
      <c r="H476" s="22">
        <f>SUM(H471:H475)</f>
        <v>-2252802.4</v>
      </c>
      <c r="I476" s="22">
        <v>49.54</v>
      </c>
      <c r="J476" s="27">
        <f>+K476-D476</f>
        <v>0</v>
      </c>
      <c r="K476" s="22">
        <f>SUM(K471:K475)</f>
        <v>540649</v>
      </c>
      <c r="L476" s="22">
        <f>SUM(L471:L475)</f>
        <v>574439.5625</v>
      </c>
      <c r="M476" s="134">
        <f>SUM(M471:M475)</f>
        <v>614650.33187500003</v>
      </c>
      <c r="N476" s="134">
        <f>SUM(N471:N475)</f>
        <v>657675.85510624992</v>
      </c>
    </row>
    <row r="477" spans="1:14" s="24" customFormat="1" x14ac:dyDescent="0.25">
      <c r="A477" s="20"/>
      <c r="B477" s="20"/>
      <c r="C477" s="21"/>
      <c r="D477" s="22"/>
      <c r="E477" s="22"/>
      <c r="F477" s="22"/>
      <c r="G477" s="22"/>
      <c r="H477" s="22"/>
      <c r="I477" s="22"/>
      <c r="J477" s="27"/>
      <c r="K477" s="27"/>
      <c r="L477" s="22"/>
      <c r="M477" s="134"/>
      <c r="N477" s="132"/>
    </row>
    <row r="478" spans="1:14" s="24" customFormat="1" x14ac:dyDescent="0.25">
      <c r="A478" s="20"/>
      <c r="B478" s="20"/>
      <c r="C478" s="21" t="s">
        <v>172</v>
      </c>
      <c r="D478" s="22"/>
      <c r="E478" s="22"/>
      <c r="F478" s="22"/>
      <c r="G478" s="22"/>
      <c r="H478" s="22"/>
      <c r="I478" s="22"/>
      <c r="J478" s="27">
        <f>+K478-D478</f>
        <v>0</v>
      </c>
      <c r="K478" s="27"/>
      <c r="L478" s="22"/>
      <c r="M478" s="134"/>
      <c r="N478" s="132"/>
    </row>
    <row r="479" spans="1:14" s="24" customFormat="1" x14ac:dyDescent="0.25">
      <c r="A479" s="20"/>
      <c r="B479" s="20"/>
      <c r="C479" s="21"/>
      <c r="D479" s="22"/>
      <c r="E479" s="22"/>
      <c r="F479" s="22"/>
      <c r="G479" s="22"/>
      <c r="H479" s="22"/>
      <c r="I479" s="22"/>
      <c r="J479" s="27"/>
      <c r="K479" s="27"/>
      <c r="L479" s="22"/>
      <c r="M479" s="134"/>
      <c r="N479" s="132"/>
    </row>
    <row r="480" spans="1:14" s="28" customFormat="1" ht="14.25" x14ac:dyDescent="0.2">
      <c r="A480" s="25" t="s">
        <v>966</v>
      </c>
      <c r="B480" s="25"/>
      <c r="C480" s="26" t="s">
        <v>173</v>
      </c>
      <c r="D480" s="27">
        <f>VLOOKUP(A480,fin,3,FALSE)</f>
        <v>32206</v>
      </c>
      <c r="E480" s="27">
        <v>-141346.4</v>
      </c>
      <c r="F480" s="27">
        <v>0</v>
      </c>
      <c r="G480" s="27">
        <v>-848078.4</v>
      </c>
      <c r="H480" s="27">
        <v>-563200.6</v>
      </c>
      <c r="I480" s="27">
        <v>60.09</v>
      </c>
      <c r="J480" s="27">
        <f>+K480-D480</f>
        <v>0</v>
      </c>
      <c r="K480" s="27">
        <f>VLOOKUP(A480,fin,4,FALSE)</f>
        <v>32206</v>
      </c>
      <c r="L480" s="27">
        <f t="shared" ref="L480:L482" si="104">K480*6.25/100+K480</f>
        <v>34218.875</v>
      </c>
      <c r="M480" s="107">
        <f t="shared" ref="M480:N482" si="105">L480*7/100+L480</f>
        <v>36614.196250000001</v>
      </c>
      <c r="N480" s="133">
        <f t="shared" si="105"/>
        <v>39177.189987500002</v>
      </c>
    </row>
    <row r="481" spans="1:14" s="28" customFormat="1" ht="14.25" x14ac:dyDescent="0.2">
      <c r="A481" s="25" t="s">
        <v>967</v>
      </c>
      <c r="B481" s="25"/>
      <c r="C481" s="26" t="s">
        <v>174</v>
      </c>
      <c r="D481" s="27">
        <f>VLOOKUP(A481,fin,3,FALSE)</f>
        <v>40124</v>
      </c>
      <c r="E481" s="27">
        <v>-141346.4</v>
      </c>
      <c r="F481" s="27">
        <v>0</v>
      </c>
      <c r="G481" s="27">
        <v>-848078.4</v>
      </c>
      <c r="H481" s="27">
        <v>-563200.6</v>
      </c>
      <c r="I481" s="27">
        <v>60.09</v>
      </c>
      <c r="J481" s="27">
        <f>+K481-D481</f>
        <v>0</v>
      </c>
      <c r="K481" s="27">
        <f>VLOOKUP(A481,fin,4,FALSE)</f>
        <v>40124</v>
      </c>
      <c r="L481" s="27">
        <f t="shared" si="104"/>
        <v>42631.75</v>
      </c>
      <c r="M481" s="107">
        <f t="shared" si="105"/>
        <v>45615.972500000003</v>
      </c>
      <c r="N481" s="133">
        <f t="shared" si="105"/>
        <v>48809.090575000002</v>
      </c>
    </row>
    <row r="482" spans="1:14" s="28" customFormat="1" ht="14.25" x14ac:dyDescent="0.2">
      <c r="A482" s="25" t="s">
        <v>968</v>
      </c>
      <c r="B482" s="25"/>
      <c r="C482" s="26" t="s">
        <v>175</v>
      </c>
      <c r="D482" s="27">
        <f>VLOOKUP(A482,fin,3,FALSE)</f>
        <v>29542</v>
      </c>
      <c r="E482" s="27">
        <v>-141346.4</v>
      </c>
      <c r="F482" s="27">
        <v>0</v>
      </c>
      <c r="G482" s="27">
        <v>-848078.4</v>
      </c>
      <c r="H482" s="27">
        <v>-563200.6</v>
      </c>
      <c r="I482" s="27">
        <v>60.09</v>
      </c>
      <c r="J482" s="27">
        <f>+K482-D482</f>
        <v>0</v>
      </c>
      <c r="K482" s="27">
        <f>VLOOKUP(A482,fin,4,FALSE)</f>
        <v>29542</v>
      </c>
      <c r="L482" s="27">
        <f t="shared" si="104"/>
        <v>31388.375</v>
      </c>
      <c r="M482" s="107">
        <f t="shared" si="105"/>
        <v>33585.561249999999</v>
      </c>
      <c r="N482" s="133">
        <f t="shared" si="105"/>
        <v>35936.550537499999</v>
      </c>
    </row>
    <row r="483" spans="1:14" s="28" customFormat="1" ht="14.25" x14ac:dyDescent="0.2">
      <c r="A483" s="25"/>
      <c r="B483" s="25"/>
      <c r="C483" s="26"/>
      <c r="D483" s="27"/>
      <c r="E483" s="27"/>
      <c r="F483" s="27"/>
      <c r="G483" s="27"/>
      <c r="H483" s="27"/>
      <c r="I483" s="27"/>
      <c r="J483" s="27"/>
      <c r="K483" s="27"/>
      <c r="L483" s="27"/>
      <c r="M483" s="107"/>
      <c r="N483" s="133"/>
    </row>
    <row r="484" spans="1:14" s="24" customFormat="1" x14ac:dyDescent="0.25">
      <c r="A484" s="20"/>
      <c r="B484" s="20"/>
      <c r="C484" s="21" t="s">
        <v>176</v>
      </c>
      <c r="D484" s="22">
        <f>SUM(D480:D483)</f>
        <v>101872</v>
      </c>
      <c r="E484" s="22">
        <f>SUM(E480:E483)</f>
        <v>-424039.19999999995</v>
      </c>
      <c r="F484" s="22">
        <f>SUM(F480:F483)</f>
        <v>0</v>
      </c>
      <c r="G484" s="22">
        <f>SUM(G480:G483)</f>
        <v>-2544235.2000000002</v>
      </c>
      <c r="H484" s="22">
        <f>SUM(H480:H483)</f>
        <v>-1689601.7999999998</v>
      </c>
      <c r="I484" s="22">
        <v>0</v>
      </c>
      <c r="J484" s="27">
        <f>+K484-D484</f>
        <v>0</v>
      </c>
      <c r="K484" s="22">
        <f>SUM(K480:K483)</f>
        <v>101872</v>
      </c>
      <c r="L484" s="22">
        <f>SUM(L480:L483)</f>
        <v>108239</v>
      </c>
      <c r="M484" s="134">
        <f>SUM(M480:M483)</f>
        <v>115815.73000000001</v>
      </c>
      <c r="N484" s="134">
        <f>SUM(N480:N483)</f>
        <v>123922.83110000001</v>
      </c>
    </row>
    <row r="485" spans="1:14" s="28" customFormat="1" ht="14.25" x14ac:dyDescent="0.2">
      <c r="A485" s="25"/>
      <c r="B485" s="25"/>
      <c r="C485" s="26"/>
      <c r="D485" s="27"/>
      <c r="E485" s="27"/>
      <c r="F485" s="27"/>
      <c r="G485" s="27"/>
      <c r="H485" s="27"/>
      <c r="I485" s="27"/>
      <c r="J485" s="27"/>
      <c r="K485" s="27"/>
      <c r="L485" s="27"/>
      <c r="M485" s="107"/>
      <c r="N485" s="133"/>
    </row>
    <row r="486" spans="1:14" s="24" customFormat="1" x14ac:dyDescent="0.25">
      <c r="A486" s="20"/>
      <c r="B486" s="20"/>
      <c r="C486" s="21" t="s">
        <v>177</v>
      </c>
      <c r="D486" s="22">
        <f>D467+D476+D484</f>
        <v>3212611</v>
      </c>
      <c r="E486" s="22">
        <f t="shared" ref="E486:N486" si="106">E467+E476+E484</f>
        <v>-2685581.5999999996</v>
      </c>
      <c r="F486" s="22">
        <f t="shared" si="106"/>
        <v>0</v>
      </c>
      <c r="G486" s="22">
        <f t="shared" si="106"/>
        <v>-16113489.600000001</v>
      </c>
      <c r="H486" s="22">
        <f t="shared" si="106"/>
        <v>-10700811.399999999</v>
      </c>
      <c r="I486" s="22">
        <v>46.19</v>
      </c>
      <c r="J486" s="27">
        <f>+K486-D486</f>
        <v>-42908.639999999665</v>
      </c>
      <c r="K486" s="22">
        <f t="shared" si="106"/>
        <v>3169702.3600000003</v>
      </c>
      <c r="L486" s="22">
        <f t="shared" si="106"/>
        <v>3367808.7575000003</v>
      </c>
      <c r="M486" s="134">
        <f t="shared" si="106"/>
        <v>3603555.3705249997</v>
      </c>
      <c r="N486" s="134">
        <f t="shared" si="106"/>
        <v>3855804.2464617491</v>
      </c>
    </row>
    <row r="487" spans="1:14" s="24" customFormat="1" x14ac:dyDescent="0.25">
      <c r="A487" s="20"/>
      <c r="B487" s="20"/>
      <c r="C487" s="21"/>
      <c r="D487" s="22"/>
      <c r="E487" s="22"/>
      <c r="F487" s="22"/>
      <c r="G487" s="22"/>
      <c r="H487" s="22"/>
      <c r="I487" s="22"/>
      <c r="J487" s="27"/>
      <c r="K487" s="27"/>
      <c r="L487" s="22"/>
      <c r="M487" s="134"/>
      <c r="N487" s="132"/>
    </row>
    <row r="488" spans="1:14" s="24" customFormat="1" x14ac:dyDescent="0.25">
      <c r="A488" s="20"/>
      <c r="B488" s="20"/>
      <c r="C488" s="21" t="s">
        <v>178</v>
      </c>
      <c r="D488" s="22">
        <f>D486</f>
        <v>3212611</v>
      </c>
      <c r="E488" s="22">
        <f t="shared" ref="E488:N488" si="107">E486</f>
        <v>-2685581.5999999996</v>
      </c>
      <c r="F488" s="22">
        <f t="shared" si="107"/>
        <v>0</v>
      </c>
      <c r="G488" s="22">
        <f t="shared" si="107"/>
        <v>-16113489.600000001</v>
      </c>
      <c r="H488" s="22">
        <f t="shared" si="107"/>
        <v>-10700811.399999999</v>
      </c>
      <c r="I488" s="22">
        <f t="shared" si="107"/>
        <v>46.19</v>
      </c>
      <c r="J488" s="27">
        <f>+K488-D488</f>
        <v>-42908.639999999665</v>
      </c>
      <c r="K488" s="22">
        <f t="shared" si="107"/>
        <v>3169702.3600000003</v>
      </c>
      <c r="L488" s="22">
        <f t="shared" si="107"/>
        <v>3367808.7575000003</v>
      </c>
      <c r="M488" s="134">
        <f t="shared" si="107"/>
        <v>3603555.3705249997</v>
      </c>
      <c r="N488" s="134">
        <f t="shared" si="107"/>
        <v>3855804.2464617491</v>
      </c>
    </row>
    <row r="489" spans="1:14" s="24" customFormat="1" x14ac:dyDescent="0.25">
      <c r="A489" s="20"/>
      <c r="B489" s="20"/>
      <c r="C489" s="21"/>
      <c r="D489" s="22"/>
      <c r="E489" s="22"/>
      <c r="F489" s="22"/>
      <c r="G489" s="22"/>
      <c r="H489" s="22"/>
      <c r="I489" s="22"/>
      <c r="J489" s="27"/>
      <c r="K489" s="27"/>
      <c r="L489" s="22"/>
      <c r="M489" s="134"/>
      <c r="N489" s="132"/>
    </row>
    <row r="490" spans="1:14" s="24" customFormat="1" x14ac:dyDescent="0.25">
      <c r="A490" s="20"/>
      <c r="B490" s="20"/>
      <c r="C490" s="21" t="s">
        <v>241</v>
      </c>
      <c r="D490" s="22"/>
      <c r="E490" s="22"/>
      <c r="F490" s="22"/>
      <c r="G490" s="22"/>
      <c r="H490" s="22"/>
      <c r="I490" s="22"/>
      <c r="J490" s="27">
        <f>+K490-D490</f>
        <v>0</v>
      </c>
      <c r="K490" s="27"/>
      <c r="L490" s="22"/>
      <c r="M490" s="134"/>
      <c r="N490" s="132"/>
    </row>
    <row r="491" spans="1:14" s="28" customFormat="1" ht="14.25" x14ac:dyDescent="0.2">
      <c r="A491" s="25"/>
      <c r="B491" s="25"/>
      <c r="C491" s="26"/>
      <c r="D491" s="27"/>
      <c r="E491" s="27"/>
      <c r="F491" s="27"/>
      <c r="G491" s="27"/>
      <c r="H491" s="27"/>
      <c r="I491" s="27"/>
      <c r="J491" s="27"/>
      <c r="K491" s="27"/>
      <c r="L491" s="27"/>
      <c r="M491" s="107"/>
      <c r="N491" s="133"/>
    </row>
    <row r="492" spans="1:14" s="28" customFormat="1" ht="14.25" x14ac:dyDescent="0.2">
      <c r="A492" s="25" t="s">
        <v>969</v>
      </c>
      <c r="B492" s="25"/>
      <c r="C492" s="26" t="s">
        <v>246</v>
      </c>
      <c r="D492" s="27">
        <f>VLOOKUP(A492,fin,3,FALSE)</f>
        <v>402221</v>
      </c>
      <c r="E492" s="27">
        <v>-141346.4</v>
      </c>
      <c r="F492" s="27">
        <v>0</v>
      </c>
      <c r="G492" s="27">
        <v>-848078.4</v>
      </c>
      <c r="H492" s="27">
        <v>-563200.6</v>
      </c>
      <c r="I492" s="27">
        <v>60.09</v>
      </c>
      <c r="J492" s="27">
        <f>+K492-D492</f>
        <v>0</v>
      </c>
      <c r="K492" s="27">
        <f>VLOOKUP(A492,fin,4,FALSE)</f>
        <v>402221</v>
      </c>
      <c r="L492" s="27">
        <f t="shared" ref="L492:N495" si="108">K492*4.5/100+K492</f>
        <v>420320.94500000001</v>
      </c>
      <c r="M492" s="27">
        <f t="shared" si="108"/>
        <v>439235.38752500003</v>
      </c>
      <c r="N492" s="27">
        <f t="shared" si="108"/>
        <v>459000.97996362502</v>
      </c>
    </row>
    <row r="493" spans="1:14" s="28" customFormat="1" ht="14.25" x14ac:dyDescent="0.2">
      <c r="A493" s="25" t="s">
        <v>970</v>
      </c>
      <c r="B493" s="25"/>
      <c r="C493" s="26" t="s">
        <v>252</v>
      </c>
      <c r="D493" s="27">
        <f>VLOOKUP(A493,fin,3,FALSE)</f>
        <v>8917</v>
      </c>
      <c r="E493" s="27">
        <v>-141346.4</v>
      </c>
      <c r="F493" s="27">
        <v>0</v>
      </c>
      <c r="G493" s="27">
        <v>-848078.4</v>
      </c>
      <c r="H493" s="27">
        <v>-563200.6</v>
      </c>
      <c r="I493" s="27">
        <v>60.09</v>
      </c>
      <c r="J493" s="27">
        <f>+K493-D493</f>
        <v>0</v>
      </c>
      <c r="K493" s="27">
        <f>VLOOKUP(A493,fin,4,FALSE)</f>
        <v>8917</v>
      </c>
      <c r="L493" s="27">
        <f t="shared" si="108"/>
        <v>9318.2649999999994</v>
      </c>
      <c r="M493" s="27">
        <f t="shared" si="108"/>
        <v>9737.5869249999996</v>
      </c>
      <c r="N493" s="27">
        <f t="shared" si="108"/>
        <v>10175.778336624999</v>
      </c>
    </row>
    <row r="494" spans="1:14" s="28" customFormat="1" ht="14.25" x14ac:dyDescent="0.2">
      <c r="A494" s="25" t="s">
        <v>971</v>
      </c>
      <c r="B494" s="25"/>
      <c r="C494" s="26" t="s">
        <v>265</v>
      </c>
      <c r="D494" s="27">
        <f>VLOOKUP(A494,fin,3,FALSE)</f>
        <v>0</v>
      </c>
      <c r="E494" s="27">
        <v>-141346.4</v>
      </c>
      <c r="F494" s="27">
        <v>0</v>
      </c>
      <c r="G494" s="27">
        <v>-848078.4</v>
      </c>
      <c r="H494" s="27">
        <v>-563200.6</v>
      </c>
      <c r="I494" s="27">
        <v>60.09</v>
      </c>
      <c r="J494" s="27">
        <f>+K494-D494</f>
        <v>30000</v>
      </c>
      <c r="K494" s="27">
        <f>VLOOKUP(A494,fin,4,FALSE)</f>
        <v>30000</v>
      </c>
      <c r="L494" s="27">
        <f t="shared" si="108"/>
        <v>31350</v>
      </c>
      <c r="M494" s="27">
        <f t="shared" si="108"/>
        <v>32760.75</v>
      </c>
      <c r="N494" s="27">
        <f t="shared" si="108"/>
        <v>34234.983749999999</v>
      </c>
    </row>
    <row r="495" spans="1:14" s="28" customFormat="1" ht="14.25" x14ac:dyDescent="0.2">
      <c r="A495" s="25" t="s">
        <v>972</v>
      </c>
      <c r="B495" s="25"/>
      <c r="C495" s="26" t="s">
        <v>268</v>
      </c>
      <c r="D495" s="27">
        <f>VLOOKUP(A495,fin,3,FALSE)</f>
        <v>0</v>
      </c>
      <c r="E495" s="27">
        <v>-141346.4</v>
      </c>
      <c r="F495" s="27">
        <v>0</v>
      </c>
      <c r="G495" s="27">
        <v>-848078.4</v>
      </c>
      <c r="H495" s="27">
        <v>-563200.6</v>
      </c>
      <c r="I495" s="27">
        <v>60.09</v>
      </c>
      <c r="J495" s="27">
        <f>+K495-D495</f>
        <v>40000</v>
      </c>
      <c r="K495" s="27">
        <f>VLOOKUP(A495,fin,4,FALSE)</f>
        <v>40000</v>
      </c>
      <c r="L495" s="27">
        <f t="shared" si="108"/>
        <v>41800</v>
      </c>
      <c r="M495" s="27">
        <f t="shared" si="108"/>
        <v>43681</v>
      </c>
      <c r="N495" s="27">
        <f t="shared" si="108"/>
        <v>45646.644999999997</v>
      </c>
    </row>
    <row r="496" spans="1:14" s="28" customFormat="1" ht="14.25" x14ac:dyDescent="0.2">
      <c r="A496" s="25"/>
      <c r="B496" s="25"/>
      <c r="C496" s="26"/>
      <c r="D496" s="27"/>
      <c r="E496" s="27"/>
      <c r="F496" s="27"/>
      <c r="G496" s="27"/>
      <c r="H496" s="27"/>
      <c r="I496" s="27"/>
      <c r="J496" s="27"/>
      <c r="K496" s="27"/>
      <c r="L496" s="27"/>
      <c r="M496" s="107"/>
      <c r="N496" s="133"/>
    </row>
    <row r="497" spans="1:14" s="24" customFormat="1" x14ac:dyDescent="0.25">
      <c r="A497" s="20"/>
      <c r="B497" s="20"/>
      <c r="C497" s="21" t="s">
        <v>274</v>
      </c>
      <c r="D497" s="22">
        <f>SUM(D492:D496)</f>
        <v>411138</v>
      </c>
      <c r="E497" s="22">
        <f>SUM(E492:E496)</f>
        <v>-565385.6</v>
      </c>
      <c r="F497" s="22">
        <f>SUM(F492:F496)</f>
        <v>0</v>
      </c>
      <c r="G497" s="22">
        <f>SUM(G492:G496)</f>
        <v>-3392313.6</v>
      </c>
      <c r="H497" s="22">
        <f>SUM(H492:H496)</f>
        <v>-2252802.4</v>
      </c>
      <c r="I497" s="22">
        <v>38.74</v>
      </c>
      <c r="J497" s="27">
        <f>+K497-D497</f>
        <v>70000</v>
      </c>
      <c r="K497" s="22">
        <f>SUM(K492:K496)</f>
        <v>481138</v>
      </c>
      <c r="L497" s="22">
        <f>SUM(L492:L496)</f>
        <v>502789.21</v>
      </c>
      <c r="M497" s="134">
        <f>SUM(M492:M496)</f>
        <v>525414.7244500001</v>
      </c>
      <c r="N497" s="134">
        <f>SUM(N492:N496)</f>
        <v>549058.38705025008</v>
      </c>
    </row>
    <row r="498" spans="1:14" s="28" customFormat="1" ht="14.25" x14ac:dyDescent="0.2">
      <c r="A498" s="25"/>
      <c r="B498" s="25"/>
      <c r="C498" s="26"/>
      <c r="D498" s="27"/>
      <c r="E498" s="27"/>
      <c r="F498" s="27"/>
      <c r="G498" s="27"/>
      <c r="H498" s="27"/>
      <c r="I498" s="27"/>
      <c r="J498" s="27"/>
      <c r="K498" s="27"/>
      <c r="L498" s="27"/>
      <c r="M498" s="107"/>
      <c r="N498" s="133"/>
    </row>
    <row r="499" spans="1:14" s="24" customFormat="1" x14ac:dyDescent="0.25">
      <c r="A499" s="20"/>
      <c r="B499" s="20"/>
      <c r="C499" s="21" t="s">
        <v>56</v>
      </c>
      <c r="D499" s="22"/>
      <c r="E499" s="22"/>
      <c r="F499" s="22"/>
      <c r="G499" s="22"/>
      <c r="H499" s="22"/>
      <c r="I499" s="22"/>
      <c r="J499" s="27">
        <f>+K499-D499</f>
        <v>0</v>
      </c>
      <c r="K499" s="27"/>
      <c r="L499" s="22"/>
      <c r="M499" s="134"/>
      <c r="N499" s="132"/>
    </row>
    <row r="500" spans="1:14" s="28" customFormat="1" ht="14.25" x14ac:dyDescent="0.2">
      <c r="A500" s="25"/>
      <c r="B500" s="25"/>
      <c r="C500" s="26"/>
      <c r="D500" s="27"/>
      <c r="E500" s="27"/>
      <c r="F500" s="27"/>
      <c r="G500" s="27"/>
      <c r="H500" s="27"/>
      <c r="I500" s="27"/>
      <c r="J500" s="27"/>
      <c r="K500" s="27"/>
      <c r="L500" s="27"/>
      <c r="M500" s="107"/>
      <c r="N500" s="133"/>
    </row>
    <row r="501" spans="1:14" s="28" customFormat="1" ht="14.25" x14ac:dyDescent="0.2">
      <c r="A501" s="25" t="s">
        <v>973</v>
      </c>
      <c r="B501" s="25"/>
      <c r="C501" s="26" t="s">
        <v>283</v>
      </c>
      <c r="D501" s="27">
        <f>VLOOKUP(A501,fin,3,FALSE)</f>
        <v>1255286</v>
      </c>
      <c r="E501" s="27">
        <v>-141346.4</v>
      </c>
      <c r="F501" s="27">
        <v>0</v>
      </c>
      <c r="G501" s="27">
        <v>-848078.4</v>
      </c>
      <c r="H501" s="27">
        <v>-563200.6</v>
      </c>
      <c r="I501" s="27">
        <v>60.09</v>
      </c>
      <c r="J501" s="27">
        <f>+K501-D501</f>
        <v>0</v>
      </c>
      <c r="K501" s="27">
        <f>VLOOKUP(A501,fin,4,FALSE)</f>
        <v>1255286</v>
      </c>
      <c r="L501" s="27">
        <f t="shared" ref="L501:N501" si="109">K501*4.5/100+K501</f>
        <v>1311773.8700000001</v>
      </c>
      <c r="M501" s="27">
        <f t="shared" si="109"/>
        <v>1370803.6941500001</v>
      </c>
      <c r="N501" s="27">
        <f t="shared" si="109"/>
        <v>1432489.8603867502</v>
      </c>
    </row>
    <row r="502" spans="1:14" s="28" customFormat="1" ht="14.25" x14ac:dyDescent="0.2">
      <c r="A502" s="25"/>
      <c r="B502" s="25"/>
      <c r="C502" s="26"/>
      <c r="D502" s="27"/>
      <c r="E502" s="27"/>
      <c r="F502" s="27"/>
      <c r="G502" s="27"/>
      <c r="H502" s="27"/>
      <c r="I502" s="27"/>
      <c r="J502" s="27"/>
      <c r="K502" s="27"/>
      <c r="L502" s="27"/>
      <c r="M502" s="107"/>
      <c r="N502" s="133"/>
    </row>
    <row r="503" spans="1:14" s="24" customFormat="1" x14ac:dyDescent="0.25">
      <c r="A503" s="20"/>
      <c r="B503" s="20"/>
      <c r="C503" s="21" t="s">
        <v>284</v>
      </c>
      <c r="D503" s="22">
        <f>SUM(D501:D502)</f>
        <v>1255286</v>
      </c>
      <c r="E503" s="22">
        <f>SUM(E501:E502)</f>
        <v>-141346.4</v>
      </c>
      <c r="F503" s="22">
        <f>SUM(F501:F502)</f>
        <v>0</v>
      </c>
      <c r="G503" s="22">
        <f>SUM(G501:G502)</f>
        <v>-848078.4</v>
      </c>
      <c r="H503" s="22">
        <f>SUM(H501:H502)</f>
        <v>-563200.6</v>
      </c>
      <c r="I503" s="22">
        <v>0.02</v>
      </c>
      <c r="J503" s="27">
        <f>+K503-D503</f>
        <v>0</v>
      </c>
      <c r="K503" s="22">
        <f>SUM(K501:K502)</f>
        <v>1255286</v>
      </c>
      <c r="L503" s="22">
        <f>SUM(L501:L502)</f>
        <v>1311773.8700000001</v>
      </c>
      <c r="M503" s="134">
        <f>SUM(M501:M502)</f>
        <v>1370803.6941500001</v>
      </c>
      <c r="N503" s="134">
        <f>SUM(N501:N502)</f>
        <v>1432489.8603867502</v>
      </c>
    </row>
    <row r="504" spans="1:14" s="28" customFormat="1" ht="14.25" x14ac:dyDescent="0.2">
      <c r="A504" s="25"/>
      <c r="B504" s="25"/>
      <c r="C504" s="26"/>
      <c r="D504" s="27"/>
      <c r="E504" s="27"/>
      <c r="F504" s="27"/>
      <c r="G504" s="27"/>
      <c r="H504" s="27"/>
      <c r="I504" s="27"/>
      <c r="J504" s="27"/>
      <c r="K504" s="27"/>
      <c r="L504" s="27"/>
      <c r="M504" s="107"/>
      <c r="N504" s="133"/>
    </row>
    <row r="505" spans="1:14" s="24" customFormat="1" x14ac:dyDescent="0.25">
      <c r="A505" s="20"/>
      <c r="B505" s="20"/>
      <c r="C505" s="21" t="s">
        <v>290</v>
      </c>
      <c r="D505" s="22"/>
      <c r="E505" s="22"/>
      <c r="F505" s="22"/>
      <c r="G505" s="22"/>
      <c r="H505" s="22"/>
      <c r="I505" s="22"/>
      <c r="J505" s="27">
        <f>+K505-D505</f>
        <v>0</v>
      </c>
      <c r="K505" s="27"/>
      <c r="L505" s="22"/>
      <c r="M505" s="134"/>
      <c r="N505" s="132"/>
    </row>
    <row r="506" spans="1:14" s="28" customFormat="1" ht="14.25" x14ac:dyDescent="0.2">
      <c r="A506" s="25"/>
      <c r="B506" s="25"/>
      <c r="C506" s="26"/>
      <c r="D506" s="27"/>
      <c r="E506" s="27"/>
      <c r="F506" s="27"/>
      <c r="G506" s="27"/>
      <c r="H506" s="27"/>
      <c r="I506" s="27"/>
      <c r="J506" s="27"/>
      <c r="K506" s="27"/>
      <c r="L506" s="27"/>
      <c r="M506" s="107"/>
      <c r="N506" s="133"/>
    </row>
    <row r="507" spans="1:14" s="28" customFormat="1" ht="14.25" x14ac:dyDescent="0.2">
      <c r="A507" s="25" t="s">
        <v>974</v>
      </c>
      <c r="B507" s="25"/>
      <c r="C507" s="26" t="s">
        <v>292</v>
      </c>
      <c r="D507" s="27">
        <f>VLOOKUP(A507,fin,3,FALSE)</f>
        <v>23297</v>
      </c>
      <c r="E507" s="27">
        <v>-141346.4</v>
      </c>
      <c r="F507" s="27">
        <v>0</v>
      </c>
      <c r="G507" s="27">
        <v>-848078.4</v>
      </c>
      <c r="H507" s="27">
        <v>-563200.6</v>
      </c>
      <c r="I507" s="27">
        <v>60.09</v>
      </c>
      <c r="J507" s="27">
        <f>+K507-D507</f>
        <v>0</v>
      </c>
      <c r="K507" s="27">
        <f>VLOOKUP(A507,fin,4,FALSE)</f>
        <v>23297</v>
      </c>
      <c r="L507" s="27">
        <f t="shared" ref="L507:N508" si="110">K507*4.5/100+K507</f>
        <v>24345.365000000002</v>
      </c>
      <c r="M507" s="27">
        <f t="shared" si="110"/>
        <v>25440.906425000001</v>
      </c>
      <c r="N507" s="27">
        <f t="shared" si="110"/>
        <v>26585.747214125</v>
      </c>
    </row>
    <row r="508" spans="1:14" s="28" customFormat="1" ht="14.25" x14ac:dyDescent="0.2">
      <c r="A508" s="25" t="s">
        <v>975</v>
      </c>
      <c r="B508" s="25"/>
      <c r="C508" s="26" t="s">
        <v>293</v>
      </c>
      <c r="D508" s="27">
        <f>VLOOKUP(A508,fin,3,FALSE)</f>
        <v>18297</v>
      </c>
      <c r="E508" s="27">
        <v>-141346.4</v>
      </c>
      <c r="F508" s="27">
        <v>0</v>
      </c>
      <c r="G508" s="27">
        <v>-848078.4</v>
      </c>
      <c r="H508" s="27">
        <v>-563200.6</v>
      </c>
      <c r="I508" s="27">
        <v>60.09</v>
      </c>
      <c r="J508" s="27">
        <f>+K508-D508</f>
        <v>0</v>
      </c>
      <c r="K508" s="27">
        <f>VLOOKUP(A508,fin,4,FALSE)</f>
        <v>18297</v>
      </c>
      <c r="L508" s="27">
        <f t="shared" si="110"/>
        <v>19120.365000000002</v>
      </c>
      <c r="M508" s="27">
        <f t="shared" si="110"/>
        <v>19980.781425000001</v>
      </c>
      <c r="N508" s="27">
        <f t="shared" si="110"/>
        <v>20879.916589125001</v>
      </c>
    </row>
    <row r="509" spans="1:14" s="28" customFormat="1" ht="14.25" x14ac:dyDescent="0.2">
      <c r="A509" s="25"/>
      <c r="B509" s="25"/>
      <c r="C509" s="26"/>
      <c r="D509" s="27"/>
      <c r="E509" s="27"/>
      <c r="F509" s="27"/>
      <c r="G509" s="27"/>
      <c r="H509" s="27"/>
      <c r="I509" s="27"/>
      <c r="J509" s="27"/>
      <c r="K509" s="27"/>
      <c r="L509" s="27"/>
      <c r="M509" s="107"/>
      <c r="N509" s="133"/>
    </row>
    <row r="510" spans="1:14" s="24" customFormat="1" x14ac:dyDescent="0.25">
      <c r="A510" s="20"/>
      <c r="B510" s="20"/>
      <c r="C510" s="21" t="s">
        <v>304</v>
      </c>
      <c r="D510" s="22">
        <f>SUM(D507:D509)</f>
        <v>41594</v>
      </c>
      <c r="E510" s="22">
        <f>SUM(E507:E509)</f>
        <v>-282692.8</v>
      </c>
      <c r="F510" s="22">
        <f>SUM(F507:F509)</f>
        <v>0</v>
      </c>
      <c r="G510" s="22">
        <f>SUM(G507:G509)</f>
        <v>-1696156.8</v>
      </c>
      <c r="H510" s="22">
        <f>SUM(H507:H509)</f>
        <v>-1126401.2</v>
      </c>
      <c r="I510" s="22">
        <v>40.4</v>
      </c>
      <c r="J510" s="27">
        <f>+K510-D510</f>
        <v>0</v>
      </c>
      <c r="K510" s="22">
        <f>SUM(K507:K509)</f>
        <v>41594</v>
      </c>
      <c r="L510" s="22">
        <f>SUM(L507:L509)</f>
        <v>43465.73</v>
      </c>
      <c r="M510" s="134">
        <f>SUM(M507:M509)</f>
        <v>45421.687850000002</v>
      </c>
      <c r="N510" s="134">
        <f>SUM(N507:N509)</f>
        <v>47465.663803250005</v>
      </c>
    </row>
    <row r="511" spans="1:14" s="24" customFormat="1" x14ac:dyDescent="0.25">
      <c r="A511" s="20"/>
      <c r="B511" s="20"/>
      <c r="C511" s="21"/>
      <c r="D511" s="22"/>
      <c r="E511" s="22"/>
      <c r="F511" s="22"/>
      <c r="G511" s="22"/>
      <c r="H511" s="22"/>
      <c r="I511" s="22"/>
      <c r="J511" s="27"/>
      <c r="K511" s="27"/>
      <c r="L511" s="22"/>
      <c r="M511" s="134"/>
      <c r="N511" s="132"/>
    </row>
    <row r="512" spans="1:14" s="24" customFormat="1" x14ac:dyDescent="0.25">
      <c r="A512" s="20"/>
      <c r="B512" s="20"/>
      <c r="C512" s="21" t="s">
        <v>305</v>
      </c>
      <c r="D512" s="22">
        <f>D488+D497+D503+D510</f>
        <v>4920629</v>
      </c>
      <c r="E512" s="22">
        <f t="shared" ref="E512:N512" si="111">E488+E497+E503+E510</f>
        <v>-3675006.3999999994</v>
      </c>
      <c r="F512" s="22">
        <f t="shared" si="111"/>
        <v>0</v>
      </c>
      <c r="G512" s="22">
        <f t="shared" si="111"/>
        <v>-22050038.400000002</v>
      </c>
      <c r="H512" s="22">
        <f t="shared" si="111"/>
        <v>-14643215.599999998</v>
      </c>
      <c r="I512" s="22">
        <v>33.74</v>
      </c>
      <c r="J512" s="27">
        <f>+K512-D512</f>
        <v>27091.360000000335</v>
      </c>
      <c r="K512" s="22">
        <f t="shared" si="111"/>
        <v>4947720.3600000003</v>
      </c>
      <c r="L512" s="22">
        <f t="shared" si="111"/>
        <v>5225837.5675000008</v>
      </c>
      <c r="M512" s="134">
        <f t="shared" si="111"/>
        <v>5545195.4769750005</v>
      </c>
      <c r="N512" s="134">
        <f t="shared" si="111"/>
        <v>5884818.1577019989</v>
      </c>
    </row>
    <row r="513" spans="1:14" s="24" customFormat="1" x14ac:dyDescent="0.25">
      <c r="A513" s="20"/>
      <c r="B513" s="20"/>
      <c r="C513" s="21"/>
      <c r="D513" s="22"/>
      <c r="E513" s="22"/>
      <c r="F513" s="22"/>
      <c r="G513" s="22"/>
      <c r="H513" s="22"/>
      <c r="I513" s="22"/>
      <c r="J513" s="27"/>
      <c r="K513" s="27"/>
      <c r="L513" s="22"/>
      <c r="M513" s="134"/>
      <c r="N513" s="132"/>
    </row>
    <row r="514" spans="1:14" s="24" customFormat="1" x14ac:dyDescent="0.25">
      <c r="A514" s="20"/>
      <c r="B514" s="20"/>
      <c r="C514" s="21" t="s">
        <v>306</v>
      </c>
      <c r="D514" s="22">
        <f>D512</f>
        <v>4920629</v>
      </c>
      <c r="E514" s="22">
        <f t="shared" ref="E514:N514" si="112">E512</f>
        <v>-3675006.3999999994</v>
      </c>
      <c r="F514" s="22">
        <f t="shared" si="112"/>
        <v>0</v>
      </c>
      <c r="G514" s="22">
        <f t="shared" si="112"/>
        <v>-22050038.400000002</v>
      </c>
      <c r="H514" s="22">
        <f t="shared" si="112"/>
        <v>-14643215.599999998</v>
      </c>
      <c r="I514" s="22">
        <v>33.74</v>
      </c>
      <c r="J514" s="27">
        <f>+K514-D514</f>
        <v>27091.360000000335</v>
      </c>
      <c r="K514" s="22">
        <f t="shared" si="112"/>
        <v>4947720.3600000003</v>
      </c>
      <c r="L514" s="22">
        <f t="shared" si="112"/>
        <v>5225837.5675000008</v>
      </c>
      <c r="M514" s="134">
        <f t="shared" si="112"/>
        <v>5545195.4769750005</v>
      </c>
      <c r="N514" s="134">
        <f t="shared" si="112"/>
        <v>5884818.1577019989</v>
      </c>
    </row>
    <row r="515" spans="1:14" s="28" customFormat="1" ht="14.25" x14ac:dyDescent="0.2">
      <c r="A515" s="25"/>
      <c r="B515" s="25"/>
      <c r="C515" s="26"/>
      <c r="D515" s="27"/>
      <c r="E515" s="27"/>
      <c r="F515" s="27"/>
      <c r="G515" s="27"/>
      <c r="H515" s="27"/>
      <c r="I515" s="27"/>
      <c r="J515" s="27"/>
      <c r="K515" s="27"/>
      <c r="L515" s="27"/>
      <c r="M515" s="107"/>
      <c r="N515" s="133"/>
    </row>
    <row r="517" spans="1:14" x14ac:dyDescent="0.25">
      <c r="C517" s="24" t="s">
        <v>3038</v>
      </c>
      <c r="D517" s="152">
        <f>D58+D181+D272</f>
        <v>-185365535</v>
      </c>
      <c r="E517" s="152">
        <f t="shared" ref="E517:N517" si="113">E58+E181+E272</f>
        <v>-49025889.049999997</v>
      </c>
      <c r="F517" s="152">
        <f t="shared" si="113"/>
        <v>0</v>
      </c>
      <c r="G517" s="152">
        <f t="shared" si="113"/>
        <v>-118214054.98</v>
      </c>
      <c r="H517" s="152">
        <f t="shared" si="113"/>
        <v>-66714941.019999996</v>
      </c>
      <c r="I517" s="152">
        <f t="shared" si="113"/>
        <v>121.6</v>
      </c>
      <c r="J517" s="152">
        <f t="shared" si="113"/>
        <v>-5846405</v>
      </c>
      <c r="K517" s="152">
        <f t="shared" si="113"/>
        <v>-191211940</v>
      </c>
      <c r="L517" s="152">
        <f t="shared" si="113"/>
        <v>-198590377.12799999</v>
      </c>
      <c r="M517" s="152">
        <f t="shared" si="113"/>
        <v>-210701611.66211399</v>
      </c>
      <c r="N517" s="152">
        <f t="shared" si="113"/>
        <v>-223316636.21130413</v>
      </c>
    </row>
    <row r="518" spans="1:14" x14ac:dyDescent="0.25">
      <c r="C518" s="24" t="s">
        <v>3052</v>
      </c>
      <c r="D518" s="152">
        <f>D149+D244+D360+D444+D512</f>
        <v>32963249</v>
      </c>
      <c r="E518" s="152">
        <f t="shared" ref="E518:N518" si="114">E149+E244+E360+E444+E512</f>
        <v>-19929842.399999999</v>
      </c>
      <c r="F518" s="152">
        <f t="shared" si="114"/>
        <v>0</v>
      </c>
      <c r="G518" s="152">
        <f t="shared" si="114"/>
        <v>-119579054.40000001</v>
      </c>
      <c r="H518" s="152">
        <f t="shared" si="114"/>
        <v>-79411284.599999994</v>
      </c>
      <c r="I518" s="152">
        <f t="shared" si="114"/>
        <v>225.37</v>
      </c>
      <c r="J518" s="152">
        <f t="shared" si="114"/>
        <v>416013.13000000129</v>
      </c>
      <c r="K518" s="152">
        <f t="shared" si="114"/>
        <v>33379262.129999999</v>
      </c>
      <c r="L518" s="152">
        <f t="shared" si="114"/>
        <v>35213395.988125004</v>
      </c>
      <c r="M518" s="152">
        <f t="shared" si="114"/>
        <v>37211560.467253745</v>
      </c>
      <c r="N518" s="152">
        <f t="shared" si="114"/>
        <v>37378965.111045673</v>
      </c>
    </row>
    <row r="519" spans="1:14" x14ac:dyDescent="0.25">
      <c r="C519" s="24" t="s">
        <v>3053</v>
      </c>
      <c r="D519" s="152">
        <f>D252</f>
        <v>350000</v>
      </c>
      <c r="E519" s="152">
        <f t="shared" ref="E519:N519" si="115">E252</f>
        <v>-141346.4</v>
      </c>
      <c r="F519" s="152">
        <f t="shared" si="115"/>
        <v>0</v>
      </c>
      <c r="G519" s="152">
        <f t="shared" si="115"/>
        <v>-848078.4</v>
      </c>
      <c r="H519" s="152">
        <f t="shared" si="115"/>
        <v>-563200.6</v>
      </c>
      <c r="I519" s="152">
        <f t="shared" si="115"/>
        <v>0</v>
      </c>
      <c r="J519" s="152">
        <f t="shared" si="115"/>
        <v>-350000</v>
      </c>
      <c r="K519" s="152">
        <f t="shared" si="115"/>
        <v>0</v>
      </c>
      <c r="L519" s="152">
        <f t="shared" si="115"/>
        <v>350000</v>
      </c>
      <c r="M519" s="152">
        <f t="shared" si="115"/>
        <v>0</v>
      </c>
      <c r="N519" s="152">
        <f t="shared" si="115"/>
        <v>0</v>
      </c>
    </row>
  </sheetData>
  <autoFilter ref="A1:M515"/>
  <pageMargins left="0.7" right="0.7" top="0.75" bottom="0.75" header="0.3" footer="0.3"/>
  <pageSetup paperSize="9" scale="75" orientation="landscape" horizontalDpi="4294967293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546"/>
  <sheetViews>
    <sheetView zoomScaleNormal="100" workbookViewId="0">
      <pane xSplit="3" ySplit="1" topLeftCell="D566" activePane="bottomRight" state="frozen"/>
      <selection pane="topRight" activeCell="C1" sqref="C1"/>
      <selection pane="bottomLeft" activeCell="A2" sqref="A2"/>
      <selection pane="bottomRight" sqref="A1:N587"/>
    </sheetView>
  </sheetViews>
  <sheetFormatPr defaultColWidth="9.140625" defaultRowHeight="15" x14ac:dyDescent="0.25"/>
  <cols>
    <col min="1" max="1" width="28.28515625" style="30" bestFit="1" customWidth="1"/>
    <col min="2" max="2" width="24.42578125" style="30" customWidth="1"/>
    <col min="3" max="3" width="56.5703125" style="30" bestFit="1" customWidth="1"/>
    <col min="4" max="4" width="13.28515625" style="30" customWidth="1"/>
    <col min="5" max="5" width="12" style="30" hidden="1" customWidth="1"/>
    <col min="6" max="6" width="14.85546875" style="30" hidden="1" customWidth="1"/>
    <col min="7" max="8" width="12" style="30" hidden="1" customWidth="1"/>
    <col min="9" max="9" width="7.28515625" style="30" hidden="1" customWidth="1"/>
    <col min="10" max="10" width="13.5703125" style="76" hidden="1" customWidth="1"/>
    <col min="11" max="11" width="13.85546875" style="30" bestFit="1" customWidth="1"/>
    <col min="12" max="13" width="14.5703125" style="77" customWidth="1"/>
    <col min="14" max="14" width="15.42578125" style="80" bestFit="1" customWidth="1"/>
    <col min="15" max="16384" width="9.140625" style="30"/>
  </cols>
  <sheetData>
    <row r="1" spans="1:14" s="24" customFormat="1" ht="60.75" thickBot="1" x14ac:dyDescent="0.3">
      <c r="A1" s="20" t="s">
        <v>0</v>
      </c>
      <c r="B1" s="20" t="s">
        <v>1356</v>
      </c>
      <c r="C1" s="21" t="s">
        <v>1</v>
      </c>
      <c r="D1" s="29" t="s">
        <v>2</v>
      </c>
      <c r="E1" s="70" t="s">
        <v>3</v>
      </c>
      <c r="F1" s="29" t="s">
        <v>4</v>
      </c>
      <c r="G1" s="70" t="s">
        <v>5</v>
      </c>
      <c r="H1" s="70" t="s">
        <v>6</v>
      </c>
      <c r="I1" s="29" t="s">
        <v>7</v>
      </c>
      <c r="J1" s="22" t="s">
        <v>1322</v>
      </c>
      <c r="K1" s="13" t="s">
        <v>3012</v>
      </c>
      <c r="L1" s="14" t="s">
        <v>3013</v>
      </c>
      <c r="M1" s="101" t="s">
        <v>3014</v>
      </c>
      <c r="N1" s="6" t="s">
        <v>3015</v>
      </c>
    </row>
    <row r="2" spans="1:14" s="24" customFormat="1" x14ac:dyDescent="0.25">
      <c r="A2" s="20"/>
      <c r="B2" s="20"/>
      <c r="C2" s="21"/>
      <c r="D2" s="29"/>
      <c r="E2" s="70"/>
      <c r="F2" s="29"/>
      <c r="G2" s="70"/>
      <c r="H2" s="70"/>
      <c r="I2" s="29"/>
      <c r="J2" s="22"/>
      <c r="K2" s="71"/>
      <c r="L2" s="70"/>
      <c r="M2" s="102"/>
      <c r="N2" s="84"/>
    </row>
    <row r="3" spans="1:14" s="24" customFormat="1" x14ac:dyDescent="0.25">
      <c r="A3" s="20"/>
      <c r="B3" s="20"/>
      <c r="C3" s="21" t="s">
        <v>976</v>
      </c>
      <c r="D3" s="29"/>
      <c r="E3" s="29"/>
      <c r="F3" s="29"/>
      <c r="G3" s="29"/>
      <c r="H3" s="29"/>
      <c r="I3" s="29"/>
      <c r="J3" s="22"/>
      <c r="K3" s="21"/>
      <c r="L3" s="29"/>
      <c r="M3" s="103"/>
      <c r="N3" s="84"/>
    </row>
    <row r="4" spans="1:14" s="24" customFormat="1" x14ac:dyDescent="0.25">
      <c r="A4" s="20"/>
      <c r="B4" s="20"/>
      <c r="C4" s="21" t="s">
        <v>9</v>
      </c>
      <c r="D4" s="29"/>
      <c r="E4" s="29"/>
      <c r="F4" s="29"/>
      <c r="G4" s="29"/>
      <c r="H4" s="29"/>
      <c r="I4" s="29"/>
      <c r="J4" s="22"/>
      <c r="K4" s="21"/>
      <c r="L4" s="29"/>
      <c r="M4" s="103"/>
      <c r="N4" s="84"/>
    </row>
    <row r="5" spans="1:14" s="24" customFormat="1" x14ac:dyDescent="0.25">
      <c r="A5" s="20"/>
      <c r="B5" s="20"/>
      <c r="C5" s="21"/>
      <c r="D5" s="29"/>
      <c r="E5" s="29"/>
      <c r="F5" s="29"/>
      <c r="G5" s="29"/>
      <c r="H5" s="29"/>
      <c r="I5" s="29"/>
      <c r="J5" s="22"/>
      <c r="K5" s="21"/>
      <c r="L5" s="29"/>
      <c r="M5" s="103"/>
      <c r="N5" s="84"/>
    </row>
    <row r="6" spans="1:14" s="24" customFormat="1" x14ac:dyDescent="0.25">
      <c r="A6" s="20"/>
      <c r="B6" s="20"/>
      <c r="C6" s="21" t="s">
        <v>29</v>
      </c>
      <c r="D6" s="29"/>
      <c r="E6" s="29"/>
      <c r="F6" s="29"/>
      <c r="G6" s="29"/>
      <c r="H6" s="29"/>
      <c r="I6" s="29"/>
      <c r="J6" s="22"/>
      <c r="K6" s="21"/>
      <c r="L6" s="29"/>
      <c r="M6" s="103"/>
      <c r="N6" s="84"/>
    </row>
    <row r="7" spans="1:14" s="24" customFormat="1" x14ac:dyDescent="0.25">
      <c r="A7" s="20"/>
      <c r="B7" s="20"/>
      <c r="C7" s="21" t="s">
        <v>30</v>
      </c>
      <c r="D7" s="29"/>
      <c r="E7" s="29"/>
      <c r="F7" s="29"/>
      <c r="G7" s="29"/>
      <c r="H7" s="29"/>
      <c r="I7" s="29"/>
      <c r="J7" s="22"/>
      <c r="K7" s="21"/>
      <c r="L7" s="29"/>
      <c r="M7" s="103"/>
      <c r="N7" s="84"/>
    </row>
    <row r="8" spans="1:14" s="28" customFormat="1" ht="14.25" x14ac:dyDescent="0.2">
      <c r="A8" s="25"/>
      <c r="B8" s="25"/>
      <c r="C8" s="26"/>
      <c r="D8" s="23"/>
      <c r="E8" s="23"/>
      <c r="F8" s="23"/>
      <c r="G8" s="23"/>
      <c r="H8" s="23"/>
      <c r="I8" s="23"/>
      <c r="J8" s="27"/>
      <c r="K8" s="26"/>
      <c r="L8" s="23"/>
      <c r="M8" s="104"/>
      <c r="N8" s="105"/>
    </row>
    <row r="9" spans="1:14" s="28" customFormat="1" ht="14.25" x14ac:dyDescent="0.2">
      <c r="A9" s="25" t="s">
        <v>977</v>
      </c>
      <c r="B9" s="25"/>
      <c r="C9" s="26" t="s">
        <v>31</v>
      </c>
      <c r="D9" s="23">
        <f>'Revenue per source'!C33</f>
        <v>-1167000</v>
      </c>
      <c r="E9" s="23">
        <f>'Revenue per source'!D33</f>
        <v>-290187</v>
      </c>
      <c r="F9" s="23">
        <f>'Revenue per source'!E33</f>
        <v>0</v>
      </c>
      <c r="G9" s="23">
        <f>'Revenue per source'!F33</f>
        <v>-524054</v>
      </c>
      <c r="H9" s="23">
        <f>'Revenue per source'!G33</f>
        <v>-642946</v>
      </c>
      <c r="I9" s="23">
        <f>'Revenue per source'!H33</f>
        <v>44.9</v>
      </c>
      <c r="J9" s="23">
        <f>'Revenue per source'!I33</f>
        <v>0</v>
      </c>
      <c r="K9" s="23">
        <f>'Revenue per source'!J33</f>
        <v>-1167000</v>
      </c>
      <c r="L9" s="23">
        <f>'Revenue per source'!K33</f>
        <v>-1304000</v>
      </c>
      <c r="M9" s="23">
        <f>'Revenue per source'!L33</f>
        <v>0</v>
      </c>
      <c r="N9" s="23">
        <f>'Revenue per source'!M33</f>
        <v>0</v>
      </c>
    </row>
    <row r="10" spans="1:14" s="28" customFormat="1" ht="14.25" x14ac:dyDescent="0.2">
      <c r="A10" s="25"/>
      <c r="B10" s="25"/>
      <c r="C10" s="26"/>
      <c r="D10" s="23"/>
      <c r="E10" s="23"/>
      <c r="F10" s="23"/>
      <c r="G10" s="23"/>
      <c r="H10" s="23"/>
      <c r="I10" s="23"/>
      <c r="J10" s="27"/>
      <c r="K10" s="23"/>
      <c r="L10" s="23"/>
      <c r="M10" s="104"/>
      <c r="N10" s="105"/>
    </row>
    <row r="11" spans="1:14" s="24" customFormat="1" x14ac:dyDescent="0.25">
      <c r="A11" s="20"/>
      <c r="B11" s="20"/>
      <c r="C11" s="21" t="s">
        <v>35</v>
      </c>
      <c r="D11" s="29">
        <f>SUM(D9:D10)</f>
        <v>-1167000</v>
      </c>
      <c r="E11" s="29">
        <f>SUM(E9:E10)</f>
        <v>-290187</v>
      </c>
      <c r="F11" s="29">
        <f>SUM(F9:F10)</f>
        <v>0</v>
      </c>
      <c r="G11" s="29">
        <f>SUM(G9:G10)</f>
        <v>-524054</v>
      </c>
      <c r="H11" s="29">
        <f>SUM(H9:H10)</f>
        <v>-642946</v>
      </c>
      <c r="I11" s="29">
        <v>44.9</v>
      </c>
      <c r="J11" s="27">
        <f>+K11-D11</f>
        <v>0</v>
      </c>
      <c r="K11" s="29">
        <f>SUM(K9:K10)</f>
        <v>-1167000</v>
      </c>
      <c r="L11" s="29">
        <f>SUM(L9:L10)</f>
        <v>-1304000</v>
      </c>
      <c r="M11" s="103">
        <f>SUM(M9:M10)</f>
        <v>0</v>
      </c>
      <c r="N11" s="103">
        <f>SUM(N9:N10)</f>
        <v>0</v>
      </c>
    </row>
    <row r="12" spans="1:14" s="24" customFormat="1" x14ac:dyDescent="0.25">
      <c r="A12" s="20"/>
      <c r="B12" s="20"/>
      <c r="C12" s="21"/>
      <c r="D12" s="29"/>
      <c r="E12" s="29"/>
      <c r="F12" s="29"/>
      <c r="G12" s="29"/>
      <c r="H12" s="29"/>
      <c r="I12" s="29"/>
      <c r="J12" s="27"/>
      <c r="K12" s="23"/>
      <c r="L12" s="29"/>
      <c r="M12" s="103"/>
      <c r="N12" s="84"/>
    </row>
    <row r="13" spans="1:14" s="24" customFormat="1" x14ac:dyDescent="0.25">
      <c r="A13" s="20"/>
      <c r="B13" s="20"/>
      <c r="C13" s="21" t="s">
        <v>95</v>
      </c>
      <c r="D13" s="29">
        <f>D11</f>
        <v>-1167000</v>
      </c>
      <c r="E13" s="29">
        <f t="shared" ref="E13:N13" si="0">E11</f>
        <v>-290187</v>
      </c>
      <c r="F13" s="29">
        <f t="shared" si="0"/>
        <v>0</v>
      </c>
      <c r="G13" s="29">
        <f t="shared" si="0"/>
        <v>-524054</v>
      </c>
      <c r="H13" s="29">
        <f t="shared" si="0"/>
        <v>-642946</v>
      </c>
      <c r="I13" s="29">
        <v>44.9</v>
      </c>
      <c r="J13" s="27">
        <f>+K13-D13</f>
        <v>0</v>
      </c>
      <c r="K13" s="29">
        <f t="shared" si="0"/>
        <v>-1167000</v>
      </c>
      <c r="L13" s="29">
        <f t="shared" si="0"/>
        <v>-1304000</v>
      </c>
      <c r="M13" s="103">
        <f t="shared" si="0"/>
        <v>0</v>
      </c>
      <c r="N13" s="103">
        <f t="shared" si="0"/>
        <v>0</v>
      </c>
    </row>
    <row r="14" spans="1:14" s="24" customFormat="1" x14ac:dyDescent="0.25">
      <c r="A14" s="20"/>
      <c r="B14" s="20"/>
      <c r="C14" s="21"/>
      <c r="D14" s="29"/>
      <c r="E14" s="29"/>
      <c r="F14" s="29"/>
      <c r="G14" s="29"/>
      <c r="H14" s="29"/>
      <c r="I14" s="29"/>
      <c r="J14" s="27"/>
      <c r="K14" s="23"/>
      <c r="L14" s="29"/>
      <c r="M14" s="103"/>
      <c r="N14" s="84"/>
    </row>
    <row r="15" spans="1:14" s="24" customFormat="1" x14ac:dyDescent="0.25">
      <c r="A15" s="20"/>
      <c r="B15" s="20"/>
      <c r="C15" s="21" t="s">
        <v>96</v>
      </c>
      <c r="D15" s="29"/>
      <c r="E15" s="29"/>
      <c r="F15" s="29"/>
      <c r="G15" s="29"/>
      <c r="H15" s="29"/>
      <c r="I15" s="29"/>
      <c r="J15" s="27">
        <f>+K15-D15</f>
        <v>0</v>
      </c>
      <c r="K15" s="23"/>
      <c r="L15" s="29"/>
      <c r="M15" s="103"/>
      <c r="N15" s="84"/>
    </row>
    <row r="16" spans="1:14" s="24" customFormat="1" x14ac:dyDescent="0.25">
      <c r="A16" s="20"/>
      <c r="B16" s="20"/>
      <c r="C16" s="21" t="s">
        <v>97</v>
      </c>
      <c r="D16" s="29"/>
      <c r="E16" s="29"/>
      <c r="F16" s="29"/>
      <c r="G16" s="29"/>
      <c r="H16" s="29"/>
      <c r="I16" s="29"/>
      <c r="J16" s="27">
        <f>+K16-D16</f>
        <v>0</v>
      </c>
      <c r="K16" s="23"/>
      <c r="L16" s="29"/>
      <c r="M16" s="103"/>
      <c r="N16" s="84"/>
    </row>
    <row r="17" spans="1:14" s="24" customFormat="1" x14ac:dyDescent="0.25">
      <c r="A17" s="20"/>
      <c r="B17" s="20"/>
      <c r="C17" s="21" t="s">
        <v>98</v>
      </c>
      <c r="D17" s="29"/>
      <c r="E17" s="29"/>
      <c r="F17" s="29"/>
      <c r="G17" s="29"/>
      <c r="H17" s="29"/>
      <c r="I17" s="29"/>
      <c r="J17" s="27">
        <f>+K17-D17</f>
        <v>0</v>
      </c>
      <c r="K17" s="23"/>
      <c r="L17" s="29"/>
      <c r="M17" s="103"/>
      <c r="N17" s="84"/>
    </row>
    <row r="18" spans="1:14" s="24" customFormat="1" x14ac:dyDescent="0.25">
      <c r="A18" s="20"/>
      <c r="B18" s="20"/>
      <c r="C18" s="21" t="s">
        <v>99</v>
      </c>
      <c r="D18" s="29"/>
      <c r="E18" s="29"/>
      <c r="F18" s="29"/>
      <c r="G18" s="29"/>
      <c r="H18" s="29"/>
      <c r="I18" s="29"/>
      <c r="J18" s="27">
        <f>+K18-D18</f>
        <v>0</v>
      </c>
      <c r="K18" s="23"/>
      <c r="L18" s="29"/>
      <c r="M18" s="103"/>
      <c r="N18" s="84"/>
    </row>
    <row r="19" spans="1:14" s="24" customFormat="1" x14ac:dyDescent="0.25">
      <c r="A19" s="20"/>
      <c r="B19" s="20"/>
      <c r="C19" s="21" t="s">
        <v>138</v>
      </c>
      <c r="D19" s="29"/>
      <c r="E19" s="29"/>
      <c r="F19" s="29"/>
      <c r="G19" s="29"/>
      <c r="H19" s="29"/>
      <c r="I19" s="29"/>
      <c r="J19" s="27">
        <f>+K19-D19</f>
        <v>0</v>
      </c>
      <c r="K19" s="23"/>
      <c r="L19" s="29"/>
      <c r="M19" s="103"/>
      <c r="N19" s="84"/>
    </row>
    <row r="20" spans="1:14" s="28" customFormat="1" ht="14.25" x14ac:dyDescent="0.2">
      <c r="A20" s="25"/>
      <c r="B20" s="25"/>
      <c r="C20" s="26"/>
      <c r="D20" s="23"/>
      <c r="E20" s="23"/>
      <c r="F20" s="23"/>
      <c r="G20" s="23"/>
      <c r="H20" s="23"/>
      <c r="I20" s="23"/>
      <c r="J20" s="27"/>
      <c r="K20" s="23"/>
      <c r="L20" s="23"/>
      <c r="M20" s="104"/>
      <c r="N20" s="105"/>
    </row>
    <row r="21" spans="1:14" s="28" customFormat="1" ht="14.25" x14ac:dyDescent="0.2">
      <c r="A21" s="25" t="s">
        <v>978</v>
      </c>
      <c r="B21" s="25"/>
      <c r="C21" s="26" t="s">
        <v>139</v>
      </c>
      <c r="D21" s="23">
        <f t="shared" ref="D21:D26" si="1">VLOOKUP(A21,fin,3,FALSE)</f>
        <v>651161</v>
      </c>
      <c r="E21" s="23">
        <v>-290187</v>
      </c>
      <c r="F21" s="23">
        <v>0</v>
      </c>
      <c r="G21" s="23">
        <v>-524054</v>
      </c>
      <c r="H21" s="23">
        <v>-642946</v>
      </c>
      <c r="I21" s="23">
        <v>44.9</v>
      </c>
      <c r="J21" s="27">
        <f t="shared" ref="J21:J26" si="2">+K21-D21</f>
        <v>0</v>
      </c>
      <c r="K21" s="23">
        <f t="shared" ref="K21:K26" si="3">VLOOKUP(A21,fin,4,FALSE)</f>
        <v>651161</v>
      </c>
      <c r="L21" s="23">
        <f t="shared" ref="L21:L26" si="4">K21*6.25/100+K21</f>
        <v>691858.5625</v>
      </c>
      <c r="M21" s="179">
        <f>L21*7/100+L21</f>
        <v>740288.66187499999</v>
      </c>
      <c r="N21" s="105">
        <f>M21*7/100+M21</f>
        <v>792108.86820625002</v>
      </c>
    </row>
    <row r="22" spans="1:14" s="28" customFormat="1" ht="14.25" x14ac:dyDescent="0.2">
      <c r="A22" s="25" t="s">
        <v>979</v>
      </c>
      <c r="B22" s="25"/>
      <c r="C22" s="26" t="s">
        <v>140</v>
      </c>
      <c r="D22" s="23">
        <f t="shared" si="1"/>
        <v>32558</v>
      </c>
      <c r="E22" s="23">
        <v>-290187</v>
      </c>
      <c r="F22" s="23">
        <v>0</v>
      </c>
      <c r="G22" s="23">
        <v>-524054</v>
      </c>
      <c r="H22" s="23">
        <v>-642946</v>
      </c>
      <c r="I22" s="23">
        <v>44.9</v>
      </c>
      <c r="J22" s="27">
        <f t="shared" si="2"/>
        <v>0</v>
      </c>
      <c r="K22" s="23">
        <f t="shared" si="3"/>
        <v>32558</v>
      </c>
      <c r="L22" s="23">
        <f t="shared" si="4"/>
        <v>34592.875</v>
      </c>
      <c r="M22" s="179">
        <f t="shared" ref="M22:N26" si="5">L22*7/100+L22</f>
        <v>37014.376250000001</v>
      </c>
      <c r="N22" s="105">
        <f t="shared" si="5"/>
        <v>39605.382587500004</v>
      </c>
    </row>
    <row r="23" spans="1:14" s="28" customFormat="1" ht="14.25" x14ac:dyDescent="0.2">
      <c r="A23" s="25" t="s">
        <v>980</v>
      </c>
      <c r="B23" s="25"/>
      <c r="C23" s="26" t="s">
        <v>141</v>
      </c>
      <c r="D23" s="23">
        <f t="shared" si="1"/>
        <v>40000</v>
      </c>
      <c r="E23" s="23">
        <v>-290187</v>
      </c>
      <c r="F23" s="23">
        <v>0</v>
      </c>
      <c r="G23" s="23">
        <v>-524054</v>
      </c>
      <c r="H23" s="23">
        <v>-642946</v>
      </c>
      <c r="I23" s="23">
        <v>44.9</v>
      </c>
      <c r="J23" s="27">
        <f t="shared" si="2"/>
        <v>0</v>
      </c>
      <c r="K23" s="23">
        <f t="shared" si="3"/>
        <v>40000</v>
      </c>
      <c r="L23" s="23">
        <f t="shared" si="4"/>
        <v>42500</v>
      </c>
      <c r="M23" s="179">
        <f t="shared" si="5"/>
        <v>45475</v>
      </c>
      <c r="N23" s="105">
        <f t="shared" si="5"/>
        <v>48658.25</v>
      </c>
    </row>
    <row r="24" spans="1:14" s="28" customFormat="1" ht="14.25" x14ac:dyDescent="0.2">
      <c r="A24" s="25" t="s">
        <v>981</v>
      </c>
      <c r="B24" s="25"/>
      <c r="C24" s="26" t="s">
        <v>142</v>
      </c>
      <c r="D24" s="23">
        <f t="shared" si="1"/>
        <v>205628</v>
      </c>
      <c r="E24" s="23">
        <v>-290187</v>
      </c>
      <c r="F24" s="23">
        <v>0</v>
      </c>
      <c r="G24" s="23">
        <v>-524054</v>
      </c>
      <c r="H24" s="23">
        <v>-642946</v>
      </c>
      <c r="I24" s="23">
        <v>44.9</v>
      </c>
      <c r="J24" s="27">
        <f t="shared" si="2"/>
        <v>0</v>
      </c>
      <c r="K24" s="23">
        <f t="shared" si="3"/>
        <v>205628</v>
      </c>
      <c r="L24" s="23">
        <f t="shared" si="4"/>
        <v>218479.75</v>
      </c>
      <c r="M24" s="179">
        <f t="shared" si="5"/>
        <v>233773.33249999999</v>
      </c>
      <c r="N24" s="105">
        <f t="shared" si="5"/>
        <v>250137.46577499999</v>
      </c>
    </row>
    <row r="25" spans="1:14" s="28" customFormat="1" ht="14.25" x14ac:dyDescent="0.2">
      <c r="A25" s="25" t="s">
        <v>982</v>
      </c>
      <c r="B25" s="25"/>
      <c r="C25" s="26" t="s">
        <v>143</v>
      </c>
      <c r="D25" s="23">
        <f t="shared" si="1"/>
        <v>17000</v>
      </c>
      <c r="E25" s="23">
        <v>-290187</v>
      </c>
      <c r="F25" s="23">
        <v>0</v>
      </c>
      <c r="G25" s="23">
        <v>-524054</v>
      </c>
      <c r="H25" s="23">
        <v>-642946</v>
      </c>
      <c r="I25" s="23">
        <v>44.9</v>
      </c>
      <c r="J25" s="27">
        <f t="shared" si="2"/>
        <v>0</v>
      </c>
      <c r="K25" s="23">
        <f t="shared" si="3"/>
        <v>17000</v>
      </c>
      <c r="L25" s="23">
        <f t="shared" si="4"/>
        <v>18062.5</v>
      </c>
      <c r="M25" s="179">
        <f t="shared" si="5"/>
        <v>19326.875</v>
      </c>
      <c r="N25" s="105">
        <f t="shared" si="5"/>
        <v>20679.756249999999</v>
      </c>
    </row>
    <row r="26" spans="1:14" s="28" customFormat="1" ht="14.25" x14ac:dyDescent="0.2">
      <c r="A26" s="25" t="s">
        <v>983</v>
      </c>
      <c r="B26" s="25"/>
      <c r="C26" s="26" t="s">
        <v>144</v>
      </c>
      <c r="D26" s="23">
        <f t="shared" si="1"/>
        <v>18580</v>
      </c>
      <c r="E26" s="23">
        <v>-290187</v>
      </c>
      <c r="F26" s="23">
        <v>0</v>
      </c>
      <c r="G26" s="23">
        <v>-524054</v>
      </c>
      <c r="H26" s="23">
        <v>-642946</v>
      </c>
      <c r="I26" s="23">
        <v>44.9</v>
      </c>
      <c r="J26" s="27">
        <f t="shared" si="2"/>
        <v>-18580</v>
      </c>
      <c r="K26" s="23">
        <f t="shared" si="3"/>
        <v>0</v>
      </c>
      <c r="L26" s="23">
        <f t="shared" si="4"/>
        <v>0</v>
      </c>
      <c r="M26" s="179">
        <f t="shared" si="5"/>
        <v>0</v>
      </c>
      <c r="N26" s="105"/>
    </row>
    <row r="27" spans="1:14" s="28" customFormat="1" ht="14.25" x14ac:dyDescent="0.2">
      <c r="A27" s="25"/>
      <c r="B27" s="25"/>
      <c r="C27" s="26"/>
      <c r="D27" s="23"/>
      <c r="E27" s="23"/>
      <c r="F27" s="23"/>
      <c r="G27" s="23"/>
      <c r="H27" s="23"/>
      <c r="I27" s="23"/>
      <c r="J27" s="27"/>
      <c r="K27" s="23"/>
      <c r="L27" s="23"/>
      <c r="M27" s="104"/>
      <c r="N27" s="105"/>
    </row>
    <row r="28" spans="1:14" s="24" customFormat="1" x14ac:dyDescent="0.25">
      <c r="A28" s="20"/>
      <c r="B28" s="20"/>
      <c r="C28" s="21" t="s">
        <v>145</v>
      </c>
      <c r="D28" s="29">
        <f>SUM(D21:D27)</f>
        <v>964927</v>
      </c>
      <c r="E28" s="29">
        <f>SUM(E21:E27)</f>
        <v>-1741122</v>
      </c>
      <c r="F28" s="29">
        <f>SUM(F21:F27)</f>
        <v>0</v>
      </c>
      <c r="G28" s="29">
        <f>SUM(G21:G27)</f>
        <v>-3144324</v>
      </c>
      <c r="H28" s="29">
        <f>SUM(H21:H27)</f>
        <v>-3857676</v>
      </c>
      <c r="I28" s="29">
        <v>37.49</v>
      </c>
      <c r="J28" s="27">
        <f>+K28-D28</f>
        <v>-18580</v>
      </c>
      <c r="K28" s="29">
        <f>SUM(K21:K27)</f>
        <v>946347</v>
      </c>
      <c r="L28" s="29">
        <f>SUM(L21:L27)</f>
        <v>1005493.6875</v>
      </c>
      <c r="M28" s="103">
        <f>SUM(M21:M27)</f>
        <v>1075878.245625</v>
      </c>
      <c r="N28" s="103">
        <f>SUM(N21:N27)</f>
        <v>1151189.7228187502</v>
      </c>
    </row>
    <row r="29" spans="1:14" s="24" customFormat="1" x14ac:dyDescent="0.25">
      <c r="A29" s="20"/>
      <c r="B29" s="20"/>
      <c r="C29" s="21"/>
      <c r="D29" s="29"/>
      <c r="E29" s="29"/>
      <c r="F29" s="29"/>
      <c r="G29" s="29"/>
      <c r="H29" s="29"/>
      <c r="I29" s="29"/>
      <c r="J29" s="27"/>
      <c r="K29" s="23"/>
      <c r="L29" s="29"/>
      <c r="M29" s="103"/>
      <c r="N29" s="84"/>
    </row>
    <row r="30" spans="1:14" s="24" customFormat="1" x14ac:dyDescent="0.25">
      <c r="A30" s="20"/>
      <c r="B30" s="20"/>
      <c r="C30" s="21" t="s">
        <v>146</v>
      </c>
      <c r="D30" s="29">
        <f>D28</f>
        <v>964927</v>
      </c>
      <c r="E30" s="29">
        <f t="shared" ref="E30:N30" si="6">E28</f>
        <v>-1741122</v>
      </c>
      <c r="F30" s="29">
        <f t="shared" si="6"/>
        <v>0</v>
      </c>
      <c r="G30" s="29">
        <f t="shared" si="6"/>
        <v>-3144324</v>
      </c>
      <c r="H30" s="29">
        <f t="shared" si="6"/>
        <v>-3857676</v>
      </c>
      <c r="I30" s="29">
        <v>37.49</v>
      </c>
      <c r="J30" s="27">
        <f>+K30-D30</f>
        <v>-18580</v>
      </c>
      <c r="K30" s="29">
        <f t="shared" si="6"/>
        <v>946347</v>
      </c>
      <c r="L30" s="29">
        <f t="shared" si="6"/>
        <v>1005493.6875</v>
      </c>
      <c r="M30" s="103">
        <f t="shared" si="6"/>
        <v>1075878.245625</v>
      </c>
      <c r="N30" s="103">
        <f t="shared" si="6"/>
        <v>1151189.7228187502</v>
      </c>
    </row>
    <row r="31" spans="1:14" s="24" customFormat="1" x14ac:dyDescent="0.25">
      <c r="A31" s="20"/>
      <c r="B31" s="20"/>
      <c r="C31" s="21"/>
      <c r="D31" s="29"/>
      <c r="E31" s="29"/>
      <c r="F31" s="29"/>
      <c r="G31" s="29"/>
      <c r="H31" s="29"/>
      <c r="I31" s="29"/>
      <c r="J31" s="27"/>
      <c r="K31" s="23"/>
      <c r="L31" s="29"/>
      <c r="M31" s="103"/>
      <c r="N31" s="84"/>
    </row>
    <row r="32" spans="1:14" s="24" customFormat="1" x14ac:dyDescent="0.25">
      <c r="A32" s="20"/>
      <c r="B32" s="20"/>
      <c r="C32" s="21" t="s">
        <v>147</v>
      </c>
      <c r="D32" s="29">
        <f>D30</f>
        <v>964927</v>
      </c>
      <c r="E32" s="29">
        <f t="shared" ref="E32:N32" si="7">E30</f>
        <v>-1741122</v>
      </c>
      <c r="F32" s="29">
        <f t="shared" si="7"/>
        <v>0</v>
      </c>
      <c r="G32" s="29">
        <f t="shared" si="7"/>
        <v>-3144324</v>
      </c>
      <c r="H32" s="29">
        <f t="shared" si="7"/>
        <v>-3857676</v>
      </c>
      <c r="I32" s="29">
        <v>37.49</v>
      </c>
      <c r="J32" s="27">
        <f>+K32-D32</f>
        <v>-18580</v>
      </c>
      <c r="K32" s="29">
        <f t="shared" si="7"/>
        <v>946347</v>
      </c>
      <c r="L32" s="29">
        <f t="shared" si="7"/>
        <v>1005493.6875</v>
      </c>
      <c r="M32" s="103">
        <f t="shared" si="7"/>
        <v>1075878.245625</v>
      </c>
      <c r="N32" s="103">
        <f t="shared" si="7"/>
        <v>1151189.7228187502</v>
      </c>
    </row>
    <row r="33" spans="1:14" s="24" customFormat="1" x14ac:dyDescent="0.25">
      <c r="A33" s="20"/>
      <c r="B33" s="20"/>
      <c r="C33" s="21"/>
      <c r="D33" s="29"/>
      <c r="E33" s="29"/>
      <c r="F33" s="29"/>
      <c r="G33" s="29"/>
      <c r="H33" s="29"/>
      <c r="I33" s="29"/>
      <c r="J33" s="27"/>
      <c r="K33" s="23"/>
      <c r="L33" s="29"/>
      <c r="M33" s="103"/>
      <c r="N33" s="84"/>
    </row>
    <row r="34" spans="1:14" s="24" customFormat="1" x14ac:dyDescent="0.25">
      <c r="A34" s="20"/>
      <c r="B34" s="20"/>
      <c r="C34" s="21" t="s">
        <v>148</v>
      </c>
      <c r="D34" s="29"/>
      <c r="E34" s="29"/>
      <c r="F34" s="29"/>
      <c r="G34" s="29"/>
      <c r="H34" s="29"/>
      <c r="I34" s="29"/>
      <c r="J34" s="27">
        <f>+K34-D34</f>
        <v>0</v>
      </c>
      <c r="K34" s="23"/>
      <c r="L34" s="29"/>
      <c r="M34" s="103"/>
      <c r="N34" s="84"/>
    </row>
    <row r="35" spans="1:14" s="24" customFormat="1" x14ac:dyDescent="0.25">
      <c r="A35" s="20"/>
      <c r="B35" s="20"/>
      <c r="C35" s="21"/>
      <c r="D35" s="29"/>
      <c r="E35" s="29"/>
      <c r="F35" s="29"/>
      <c r="G35" s="29"/>
      <c r="H35" s="29"/>
      <c r="I35" s="29"/>
      <c r="J35" s="27"/>
      <c r="K35" s="23"/>
      <c r="L35" s="29"/>
      <c r="M35" s="103"/>
      <c r="N35" s="84"/>
    </row>
    <row r="36" spans="1:14" s="24" customFormat="1" x14ac:dyDescent="0.25">
      <c r="A36" s="20"/>
      <c r="B36" s="20"/>
      <c r="C36" s="21" t="s">
        <v>149</v>
      </c>
      <c r="D36" s="29"/>
      <c r="E36" s="29"/>
      <c r="F36" s="29"/>
      <c r="G36" s="29"/>
      <c r="H36" s="29"/>
      <c r="I36" s="29"/>
      <c r="J36" s="27">
        <f>+K36-D36</f>
        <v>0</v>
      </c>
      <c r="K36" s="23"/>
      <c r="L36" s="29"/>
      <c r="M36" s="103"/>
      <c r="N36" s="84"/>
    </row>
    <row r="37" spans="1:14" s="28" customFormat="1" ht="14.25" x14ac:dyDescent="0.2">
      <c r="A37" s="25"/>
      <c r="B37" s="25"/>
      <c r="C37" s="26"/>
      <c r="D37" s="23"/>
      <c r="E37" s="23"/>
      <c r="F37" s="23"/>
      <c r="G37" s="23"/>
      <c r="H37" s="23"/>
      <c r="I37" s="23"/>
      <c r="J37" s="27"/>
      <c r="K37" s="23"/>
      <c r="L37" s="23"/>
      <c r="M37" s="104"/>
      <c r="N37" s="105"/>
    </row>
    <row r="38" spans="1:14" s="28" customFormat="1" ht="14.25" x14ac:dyDescent="0.2">
      <c r="A38" s="25" t="s">
        <v>984</v>
      </c>
      <c r="B38" s="25"/>
      <c r="C38" s="26" t="s">
        <v>150</v>
      </c>
      <c r="D38" s="23">
        <f t="shared" ref="D38:D43" si="8">VLOOKUP(A38,fin,3,FALSE)</f>
        <v>215677</v>
      </c>
      <c r="E38" s="23">
        <v>-290187</v>
      </c>
      <c r="F38" s="23">
        <v>0</v>
      </c>
      <c r="G38" s="23">
        <v>-524054</v>
      </c>
      <c r="H38" s="23">
        <v>-642946</v>
      </c>
      <c r="I38" s="23">
        <v>44.9</v>
      </c>
      <c r="J38" s="27">
        <f t="shared" ref="J38:J43" si="9">+K38-D38</f>
        <v>0</v>
      </c>
      <c r="K38" s="23">
        <f t="shared" ref="K38:K43" si="10">VLOOKUP(A38,fin,4,FALSE)</f>
        <v>215677</v>
      </c>
      <c r="L38" s="23">
        <f t="shared" ref="L38:L43" si="11">K38*6.25/100+K38</f>
        <v>229156.8125</v>
      </c>
      <c r="M38" s="179">
        <f t="shared" ref="M38:N43" si="12">L38*7/100+L38</f>
        <v>245197.78937499999</v>
      </c>
      <c r="N38" s="105">
        <f t="shared" si="12"/>
        <v>262361.63463125</v>
      </c>
    </row>
    <row r="39" spans="1:14" s="28" customFormat="1" ht="14.25" x14ac:dyDescent="0.2">
      <c r="A39" s="25" t="s">
        <v>985</v>
      </c>
      <c r="B39" s="25"/>
      <c r="C39" s="26" t="s">
        <v>151</v>
      </c>
      <c r="D39" s="23">
        <f t="shared" si="8"/>
        <v>10078</v>
      </c>
      <c r="E39" s="23">
        <v>-290187</v>
      </c>
      <c r="F39" s="23">
        <v>0</v>
      </c>
      <c r="G39" s="23">
        <v>-524054</v>
      </c>
      <c r="H39" s="23">
        <v>-642946</v>
      </c>
      <c r="I39" s="23">
        <v>44.9</v>
      </c>
      <c r="J39" s="27">
        <f t="shared" si="9"/>
        <v>-1610.9099999999999</v>
      </c>
      <c r="K39" s="23">
        <f t="shared" si="10"/>
        <v>8467.09</v>
      </c>
      <c r="L39" s="23">
        <f t="shared" si="11"/>
        <v>8996.2831249999999</v>
      </c>
      <c r="M39" s="179">
        <f t="shared" si="12"/>
        <v>9626.0229437500002</v>
      </c>
      <c r="N39" s="105">
        <f t="shared" si="12"/>
        <v>10299.8445498125</v>
      </c>
    </row>
    <row r="40" spans="1:14" s="28" customFormat="1" ht="14.25" x14ac:dyDescent="0.2">
      <c r="A40" s="25" t="s">
        <v>986</v>
      </c>
      <c r="B40" s="25"/>
      <c r="C40" s="26" t="s">
        <v>155</v>
      </c>
      <c r="D40" s="23">
        <f t="shared" si="8"/>
        <v>7157</v>
      </c>
      <c r="E40" s="23">
        <v>-290187</v>
      </c>
      <c r="F40" s="23">
        <v>0</v>
      </c>
      <c r="G40" s="23">
        <v>-524054</v>
      </c>
      <c r="H40" s="23">
        <v>-642946</v>
      </c>
      <c r="I40" s="23">
        <v>44.9</v>
      </c>
      <c r="J40" s="27">
        <f t="shared" si="9"/>
        <v>0</v>
      </c>
      <c r="K40" s="23">
        <f t="shared" si="10"/>
        <v>7157</v>
      </c>
      <c r="L40" s="23">
        <f t="shared" si="11"/>
        <v>7604.3125</v>
      </c>
      <c r="M40" s="179">
        <f t="shared" si="12"/>
        <v>8136.6143750000001</v>
      </c>
      <c r="N40" s="105">
        <f t="shared" si="12"/>
        <v>8706.1773812499996</v>
      </c>
    </row>
    <row r="41" spans="1:14" s="28" customFormat="1" ht="14.25" x14ac:dyDescent="0.2">
      <c r="A41" s="25" t="s">
        <v>987</v>
      </c>
      <c r="B41" s="25"/>
      <c r="C41" s="26" t="s">
        <v>157</v>
      </c>
      <c r="D41" s="23">
        <f t="shared" si="8"/>
        <v>36901</v>
      </c>
      <c r="E41" s="23">
        <v>-290187</v>
      </c>
      <c r="F41" s="23">
        <v>0</v>
      </c>
      <c r="G41" s="23">
        <v>-524054</v>
      </c>
      <c r="H41" s="23">
        <v>-642946</v>
      </c>
      <c r="I41" s="23">
        <v>44.9</v>
      </c>
      <c r="J41" s="27">
        <f t="shared" si="9"/>
        <v>0</v>
      </c>
      <c r="K41" s="23">
        <f t="shared" si="10"/>
        <v>36901</v>
      </c>
      <c r="L41" s="23">
        <f t="shared" si="11"/>
        <v>39207.3125</v>
      </c>
      <c r="M41" s="179">
        <f t="shared" si="12"/>
        <v>41951.824374999997</v>
      </c>
      <c r="N41" s="105">
        <f t="shared" si="12"/>
        <v>44888.452081249998</v>
      </c>
    </row>
    <row r="42" spans="1:14" s="28" customFormat="1" ht="14.25" x14ac:dyDescent="0.2">
      <c r="A42" s="25" t="s">
        <v>988</v>
      </c>
      <c r="B42" s="25"/>
      <c r="C42" s="26" t="s">
        <v>159</v>
      </c>
      <c r="D42" s="23">
        <f t="shared" si="8"/>
        <v>17973</v>
      </c>
      <c r="E42" s="23">
        <v>-290187</v>
      </c>
      <c r="F42" s="23">
        <v>0</v>
      </c>
      <c r="G42" s="23">
        <v>-524054</v>
      </c>
      <c r="H42" s="23">
        <v>-642946</v>
      </c>
      <c r="I42" s="23">
        <v>44.9</v>
      </c>
      <c r="J42" s="27">
        <f t="shared" si="9"/>
        <v>0</v>
      </c>
      <c r="K42" s="23">
        <f t="shared" si="10"/>
        <v>17973</v>
      </c>
      <c r="L42" s="23">
        <f t="shared" si="11"/>
        <v>19096.3125</v>
      </c>
      <c r="M42" s="179">
        <f t="shared" si="12"/>
        <v>20433.054375</v>
      </c>
      <c r="N42" s="105">
        <f t="shared" si="12"/>
        <v>21863.36818125</v>
      </c>
    </row>
    <row r="43" spans="1:14" s="28" customFormat="1" ht="14.25" x14ac:dyDescent="0.2">
      <c r="A43" s="25" t="s">
        <v>989</v>
      </c>
      <c r="B43" s="25"/>
      <c r="C43" s="26" t="s">
        <v>164</v>
      </c>
      <c r="D43" s="23">
        <f t="shared" si="8"/>
        <v>32457</v>
      </c>
      <c r="E43" s="23">
        <v>-290187</v>
      </c>
      <c r="F43" s="23">
        <v>0</v>
      </c>
      <c r="G43" s="23">
        <v>-524054</v>
      </c>
      <c r="H43" s="23">
        <v>-642946</v>
      </c>
      <c r="I43" s="23">
        <v>44.9</v>
      </c>
      <c r="J43" s="27">
        <f t="shared" si="9"/>
        <v>0</v>
      </c>
      <c r="K43" s="23">
        <f t="shared" si="10"/>
        <v>32457</v>
      </c>
      <c r="L43" s="23">
        <f t="shared" si="11"/>
        <v>34485.5625</v>
      </c>
      <c r="M43" s="179">
        <f t="shared" si="12"/>
        <v>36899.551874999997</v>
      </c>
      <c r="N43" s="105">
        <f t="shared" si="12"/>
        <v>39482.520506249995</v>
      </c>
    </row>
    <row r="44" spans="1:14" s="28" customFormat="1" ht="14.25" x14ac:dyDescent="0.2">
      <c r="A44" s="25"/>
      <c r="B44" s="25"/>
      <c r="C44" s="26"/>
      <c r="D44" s="23"/>
      <c r="E44" s="23"/>
      <c r="F44" s="23"/>
      <c r="G44" s="23"/>
      <c r="H44" s="23"/>
      <c r="I44" s="23"/>
      <c r="J44" s="27"/>
      <c r="K44" s="23"/>
      <c r="N44" s="105"/>
    </row>
    <row r="45" spans="1:14" s="24" customFormat="1" x14ac:dyDescent="0.25">
      <c r="A45" s="20"/>
      <c r="B45" s="20"/>
      <c r="C45" s="21" t="s">
        <v>165</v>
      </c>
      <c r="D45" s="29">
        <f>SUM(D38:D44)</f>
        <v>320243</v>
      </c>
      <c r="E45" s="29">
        <f>SUM(E38:E44)</f>
        <v>-1741122</v>
      </c>
      <c r="F45" s="29">
        <f>SUM(F38:F44)</f>
        <v>0</v>
      </c>
      <c r="G45" s="29">
        <f>SUM(G38:G44)</f>
        <v>-3144324</v>
      </c>
      <c r="H45" s="29">
        <f>SUM(H38:H44)</f>
        <v>-3857676</v>
      </c>
      <c r="I45" s="29">
        <v>43.61</v>
      </c>
      <c r="J45" s="27">
        <f>+K45-D45</f>
        <v>-1610.9100000000326</v>
      </c>
      <c r="K45" s="29">
        <f>SUM(K38:K44)</f>
        <v>318632.08999999997</v>
      </c>
      <c r="L45" s="29">
        <f>SUM(L38:L44)</f>
        <v>338546.59562499996</v>
      </c>
      <c r="M45" s="103">
        <f>SUM(M38:M44)</f>
        <v>362244.85731874994</v>
      </c>
      <c r="N45" s="103">
        <f>SUM(N38:N44)</f>
        <v>387601.99733106251</v>
      </c>
    </row>
    <row r="46" spans="1:14" s="24" customFormat="1" x14ac:dyDescent="0.25">
      <c r="A46" s="20"/>
      <c r="B46" s="20"/>
      <c r="C46" s="21"/>
      <c r="D46" s="29"/>
      <c r="E46" s="29"/>
      <c r="F46" s="29"/>
      <c r="G46" s="29"/>
      <c r="H46" s="29"/>
      <c r="I46" s="29"/>
      <c r="J46" s="27"/>
      <c r="K46" s="23"/>
      <c r="L46" s="29"/>
      <c r="M46" s="103"/>
      <c r="N46" s="84"/>
    </row>
    <row r="47" spans="1:14" s="24" customFormat="1" x14ac:dyDescent="0.25">
      <c r="A47" s="20"/>
      <c r="B47" s="20"/>
      <c r="C47" s="21" t="s">
        <v>166</v>
      </c>
      <c r="D47" s="29"/>
      <c r="E47" s="29"/>
      <c r="F47" s="29"/>
      <c r="G47" s="29"/>
      <c r="H47" s="29"/>
      <c r="I47" s="29"/>
      <c r="J47" s="27">
        <f>+K47-D47</f>
        <v>0</v>
      </c>
      <c r="K47" s="23"/>
      <c r="L47" s="29"/>
      <c r="M47" s="103"/>
      <c r="N47" s="84"/>
    </row>
    <row r="48" spans="1:14" s="28" customFormat="1" ht="14.25" x14ac:dyDescent="0.2">
      <c r="A48" s="25"/>
      <c r="B48" s="25"/>
      <c r="C48" s="26"/>
      <c r="D48" s="23"/>
      <c r="E48" s="23"/>
      <c r="F48" s="23"/>
      <c r="G48" s="23"/>
      <c r="H48" s="23"/>
      <c r="I48" s="23"/>
      <c r="J48" s="27"/>
      <c r="K48" s="23"/>
      <c r="N48" s="105"/>
    </row>
    <row r="49" spans="1:14" s="28" customFormat="1" ht="14.25" x14ac:dyDescent="0.2">
      <c r="A49" s="25" t="s">
        <v>990</v>
      </c>
      <c r="B49" s="25"/>
      <c r="C49" s="26" t="s">
        <v>167</v>
      </c>
      <c r="D49" s="23">
        <f>VLOOKUP(A49,fin,3,FALSE)</f>
        <v>112</v>
      </c>
      <c r="E49" s="23">
        <v>-290187</v>
      </c>
      <c r="F49" s="23">
        <v>0</v>
      </c>
      <c r="G49" s="23">
        <v>-524054</v>
      </c>
      <c r="H49" s="23">
        <v>-642946</v>
      </c>
      <c r="I49" s="23">
        <v>44.9</v>
      </c>
      <c r="J49" s="27">
        <f>+K49-D49</f>
        <v>0</v>
      </c>
      <c r="K49" s="23">
        <f>VLOOKUP(A49,fin,4,FALSE)</f>
        <v>112</v>
      </c>
      <c r="L49" s="23">
        <f>K49*6.25/100+K49</f>
        <v>119</v>
      </c>
      <c r="M49" s="179">
        <f t="shared" ref="M49:N52" si="13">L49*7/100+L49</f>
        <v>127.33</v>
      </c>
      <c r="N49" s="105">
        <f t="shared" si="13"/>
        <v>136.2431</v>
      </c>
    </row>
    <row r="50" spans="1:14" s="28" customFormat="1" ht="14.25" x14ac:dyDescent="0.2">
      <c r="A50" s="25" t="s">
        <v>991</v>
      </c>
      <c r="B50" s="25"/>
      <c r="C50" s="26" t="s">
        <v>168</v>
      </c>
      <c r="D50" s="23">
        <f>VLOOKUP(A50,fin,3,FALSE)</f>
        <v>53908</v>
      </c>
      <c r="E50" s="23">
        <v>-290187</v>
      </c>
      <c r="F50" s="23">
        <v>0</v>
      </c>
      <c r="G50" s="23">
        <v>-524054</v>
      </c>
      <c r="H50" s="23">
        <v>-642946</v>
      </c>
      <c r="I50" s="23">
        <v>44.9</v>
      </c>
      <c r="J50" s="27">
        <f>+K50-D50</f>
        <v>-20000</v>
      </c>
      <c r="K50" s="23">
        <f>VLOOKUP(A50,fin,4,FALSE)</f>
        <v>33908</v>
      </c>
      <c r="L50" s="23">
        <f>K50*6.25/100+K50</f>
        <v>36027.25</v>
      </c>
      <c r="M50" s="179">
        <f t="shared" si="13"/>
        <v>38549.157500000001</v>
      </c>
      <c r="N50" s="105">
        <f t="shared" si="13"/>
        <v>41247.598525000001</v>
      </c>
    </row>
    <row r="51" spans="1:14" s="28" customFormat="1" ht="14.25" x14ac:dyDescent="0.2">
      <c r="A51" s="25" t="s">
        <v>992</v>
      </c>
      <c r="B51" s="25"/>
      <c r="C51" s="26" t="s">
        <v>169</v>
      </c>
      <c r="D51" s="23">
        <f>VLOOKUP(A51,fin,3,FALSE)</f>
        <v>47449</v>
      </c>
      <c r="E51" s="23">
        <v>-290187</v>
      </c>
      <c r="F51" s="23">
        <v>0</v>
      </c>
      <c r="G51" s="23">
        <v>-524054</v>
      </c>
      <c r="H51" s="23">
        <v>-642946</v>
      </c>
      <c r="I51" s="23">
        <v>44.9</v>
      </c>
      <c r="J51" s="27">
        <f>+K51-D51</f>
        <v>0</v>
      </c>
      <c r="K51" s="23">
        <f>VLOOKUP(A51,fin,4,FALSE)</f>
        <v>47449</v>
      </c>
      <c r="L51" s="23">
        <f>K51*6.25/100+K51</f>
        <v>50414.5625</v>
      </c>
      <c r="M51" s="179">
        <f t="shared" si="13"/>
        <v>53943.581875000003</v>
      </c>
      <c r="N51" s="105">
        <f t="shared" si="13"/>
        <v>57719.632606250001</v>
      </c>
    </row>
    <row r="52" spans="1:14" s="28" customFormat="1" ht="14.25" x14ac:dyDescent="0.2">
      <c r="A52" s="25" t="s">
        <v>993</v>
      </c>
      <c r="B52" s="25"/>
      <c r="C52" s="26" t="s">
        <v>170</v>
      </c>
      <c r="D52" s="23">
        <f>VLOOKUP(A52,fin,3,FALSE)</f>
        <v>1785</v>
      </c>
      <c r="E52" s="23">
        <v>-290187</v>
      </c>
      <c r="F52" s="23">
        <v>0</v>
      </c>
      <c r="G52" s="23">
        <v>-524054</v>
      </c>
      <c r="H52" s="23">
        <v>-642946</v>
      </c>
      <c r="I52" s="23">
        <v>44.9</v>
      </c>
      <c r="J52" s="27">
        <f>+K52-D52</f>
        <v>0</v>
      </c>
      <c r="K52" s="23">
        <f>VLOOKUP(A52,fin,4,FALSE)</f>
        <v>1785</v>
      </c>
      <c r="L52" s="23">
        <f>K52*6.25/100+K52</f>
        <v>1896.5625</v>
      </c>
      <c r="M52" s="179">
        <f t="shared" si="13"/>
        <v>2029.3218750000001</v>
      </c>
      <c r="N52" s="105">
        <f t="shared" si="13"/>
        <v>2171.37440625</v>
      </c>
    </row>
    <row r="53" spans="1:14" s="28" customFormat="1" ht="14.25" x14ac:dyDescent="0.2">
      <c r="A53" s="25"/>
      <c r="B53" s="25"/>
      <c r="C53" s="26"/>
      <c r="D53" s="23"/>
      <c r="E53" s="23"/>
      <c r="F53" s="23"/>
      <c r="G53" s="23"/>
      <c r="H53" s="23"/>
      <c r="I53" s="23"/>
      <c r="J53" s="27"/>
      <c r="K53" s="23"/>
      <c r="L53" s="23"/>
      <c r="M53" s="104"/>
      <c r="N53" s="105"/>
    </row>
    <row r="54" spans="1:14" s="24" customFormat="1" x14ac:dyDescent="0.25">
      <c r="A54" s="20"/>
      <c r="B54" s="20"/>
      <c r="C54" s="21" t="s">
        <v>171</v>
      </c>
      <c r="D54" s="29">
        <f>SUM(D49:D53)</f>
        <v>103254</v>
      </c>
      <c r="E54" s="29">
        <f>SUM(E49:E53)</f>
        <v>-1160748</v>
      </c>
      <c r="F54" s="29">
        <f>SUM(F49:F53)</f>
        <v>0</v>
      </c>
      <c r="G54" s="29">
        <f>SUM(G49:G53)</f>
        <v>-2096216</v>
      </c>
      <c r="H54" s="29">
        <f>SUM(H49:H53)</f>
        <v>-2571784</v>
      </c>
      <c r="I54" s="29">
        <v>32.340000000000003</v>
      </c>
      <c r="J54" s="27">
        <f>+K54-D54</f>
        <v>-20000</v>
      </c>
      <c r="K54" s="29">
        <f>SUM(K49:K53)</f>
        <v>83254</v>
      </c>
      <c r="L54" s="29">
        <f>SUM(L49:L53)</f>
        <v>88457.375</v>
      </c>
      <c r="M54" s="103">
        <f>SUM(M49:M53)</f>
        <v>94649.391250000001</v>
      </c>
      <c r="N54" s="103">
        <f>SUM(N49:N53)</f>
        <v>101274.84863750001</v>
      </c>
    </row>
    <row r="55" spans="1:14" s="24" customFormat="1" x14ac:dyDescent="0.25">
      <c r="A55" s="20"/>
      <c r="B55" s="20"/>
      <c r="C55" s="21"/>
      <c r="D55" s="29"/>
      <c r="E55" s="29"/>
      <c r="F55" s="29"/>
      <c r="G55" s="29"/>
      <c r="H55" s="29"/>
      <c r="I55" s="29"/>
      <c r="J55" s="27"/>
      <c r="K55" s="23"/>
      <c r="L55" s="29"/>
      <c r="M55" s="103"/>
      <c r="N55" s="84"/>
    </row>
    <row r="56" spans="1:14" s="24" customFormat="1" x14ac:dyDescent="0.25">
      <c r="A56" s="20"/>
      <c r="B56" s="20"/>
      <c r="C56" s="21" t="s">
        <v>172</v>
      </c>
      <c r="D56" s="29"/>
      <c r="E56" s="29"/>
      <c r="F56" s="29"/>
      <c r="G56" s="29"/>
      <c r="H56" s="29"/>
      <c r="I56" s="29"/>
      <c r="J56" s="27">
        <f>+K56-D56</f>
        <v>0</v>
      </c>
      <c r="K56" s="23"/>
      <c r="L56" s="29"/>
      <c r="M56" s="103"/>
      <c r="N56" s="84"/>
    </row>
    <row r="57" spans="1:14" s="28" customFormat="1" ht="14.25" x14ac:dyDescent="0.2">
      <c r="A57" s="25"/>
      <c r="B57" s="25"/>
      <c r="C57" s="26"/>
      <c r="D57" s="23"/>
      <c r="E57" s="23"/>
      <c r="F57" s="23"/>
      <c r="G57" s="23"/>
      <c r="H57" s="23"/>
      <c r="I57" s="23"/>
      <c r="J57" s="27"/>
      <c r="K57" s="23"/>
      <c r="N57" s="105"/>
    </row>
    <row r="58" spans="1:14" s="28" customFormat="1" ht="14.25" x14ac:dyDescent="0.2">
      <c r="A58" s="25" t="s">
        <v>994</v>
      </c>
      <c r="B58" s="25"/>
      <c r="C58" s="26" t="s">
        <v>173</v>
      </c>
      <c r="D58" s="23">
        <f>VLOOKUP(A58,fin,3,FALSE)</f>
        <v>1667</v>
      </c>
      <c r="E58" s="23">
        <v>-290187</v>
      </c>
      <c r="F58" s="23">
        <v>0</v>
      </c>
      <c r="G58" s="23">
        <v>-524054</v>
      </c>
      <c r="H58" s="23">
        <v>-642946</v>
      </c>
      <c r="I58" s="23">
        <v>44.9</v>
      </c>
      <c r="J58" s="27">
        <f>+K58-D58</f>
        <v>0</v>
      </c>
      <c r="K58" s="23">
        <f>VLOOKUP(A58,fin,4,FALSE)</f>
        <v>1667</v>
      </c>
      <c r="L58" s="23">
        <f>K58*6.25/100+K58</f>
        <v>1771.1875</v>
      </c>
      <c r="M58" s="179">
        <f t="shared" ref="M58:N60" si="14">L58*7/100+L58</f>
        <v>1895.170625</v>
      </c>
      <c r="N58" s="105">
        <f t="shared" si="14"/>
        <v>2027.8325687500001</v>
      </c>
    </row>
    <row r="59" spans="1:14" s="28" customFormat="1" ht="14.25" x14ac:dyDescent="0.2">
      <c r="A59" s="25" t="s">
        <v>995</v>
      </c>
      <c r="B59" s="25"/>
      <c r="C59" s="26" t="s">
        <v>174</v>
      </c>
      <c r="D59" s="23">
        <f>VLOOKUP(A59,fin,3,FALSE)</f>
        <v>978</v>
      </c>
      <c r="E59" s="23">
        <v>-290187</v>
      </c>
      <c r="F59" s="23">
        <v>0</v>
      </c>
      <c r="G59" s="23">
        <v>-524054</v>
      </c>
      <c r="H59" s="23">
        <v>-642946</v>
      </c>
      <c r="I59" s="23">
        <v>44.9</v>
      </c>
      <c r="J59" s="27">
        <f>+K59-D59</f>
        <v>0</v>
      </c>
      <c r="K59" s="23">
        <f>VLOOKUP(A59,fin,4,FALSE)</f>
        <v>978</v>
      </c>
      <c r="L59" s="23">
        <f>K59*6.25/100+K59</f>
        <v>1039.125</v>
      </c>
      <c r="M59" s="179">
        <f t="shared" si="14"/>
        <v>1111.86375</v>
      </c>
      <c r="N59" s="105">
        <f t="shared" si="14"/>
        <v>1189.6942125</v>
      </c>
    </row>
    <row r="60" spans="1:14" s="28" customFormat="1" ht="14.25" x14ac:dyDescent="0.2">
      <c r="A60" s="25" t="s">
        <v>996</v>
      </c>
      <c r="B60" s="25"/>
      <c r="C60" s="26" t="s">
        <v>175</v>
      </c>
      <c r="D60" s="23">
        <f>VLOOKUP(A60,fin,3,FALSE)</f>
        <v>2483</v>
      </c>
      <c r="E60" s="23">
        <v>-290187</v>
      </c>
      <c r="F60" s="23">
        <v>0</v>
      </c>
      <c r="G60" s="23">
        <v>-524054</v>
      </c>
      <c r="H60" s="23">
        <v>-642946</v>
      </c>
      <c r="I60" s="23">
        <v>44.9</v>
      </c>
      <c r="J60" s="27">
        <f>+K60-D60</f>
        <v>0</v>
      </c>
      <c r="K60" s="23">
        <f>VLOOKUP(A60,fin,4,FALSE)</f>
        <v>2483</v>
      </c>
      <c r="L60" s="23">
        <f>K60*6.25/100+K60</f>
        <v>2638.1875</v>
      </c>
      <c r="M60" s="179">
        <f t="shared" si="14"/>
        <v>2822.8606249999998</v>
      </c>
      <c r="N60" s="105">
        <f t="shared" si="14"/>
        <v>3020.4608687499999</v>
      </c>
    </row>
    <row r="61" spans="1:14" s="28" customFormat="1" ht="14.25" x14ac:dyDescent="0.2">
      <c r="A61" s="25"/>
      <c r="B61" s="25"/>
      <c r="C61" s="26"/>
      <c r="D61" s="23"/>
      <c r="E61" s="23"/>
      <c r="F61" s="23"/>
      <c r="G61" s="23"/>
      <c r="H61" s="23"/>
      <c r="I61" s="23"/>
      <c r="J61" s="27"/>
      <c r="K61" s="23"/>
      <c r="L61" s="23"/>
      <c r="M61" s="104"/>
      <c r="N61" s="105"/>
    </row>
    <row r="62" spans="1:14" s="24" customFormat="1" x14ac:dyDescent="0.25">
      <c r="A62" s="20"/>
      <c r="B62" s="20"/>
      <c r="C62" s="21" t="s">
        <v>176</v>
      </c>
      <c r="D62" s="29">
        <f>SUM(D58:D61)</f>
        <v>5128</v>
      </c>
      <c r="E62" s="29">
        <f>SUM(E58:E61)</f>
        <v>-870561</v>
      </c>
      <c r="F62" s="29">
        <f>SUM(F58:F61)</f>
        <v>0</v>
      </c>
      <c r="G62" s="29">
        <f>SUM(G58:G61)</f>
        <v>-1572162</v>
      </c>
      <c r="H62" s="29">
        <f>SUM(H58:H61)</f>
        <v>-1928838</v>
      </c>
      <c r="I62" s="29">
        <v>0</v>
      </c>
      <c r="J62" s="27">
        <f>+K62-D62</f>
        <v>0</v>
      </c>
      <c r="K62" s="29">
        <f>SUM(K58:K61)</f>
        <v>5128</v>
      </c>
      <c r="L62" s="29">
        <f>SUM(L58:L61)</f>
        <v>5448.5</v>
      </c>
      <c r="M62" s="103">
        <f>SUM(M58:M61)</f>
        <v>5829.8950000000004</v>
      </c>
      <c r="N62" s="103">
        <f>SUM(N58:N61)</f>
        <v>6237.98765</v>
      </c>
    </row>
    <row r="63" spans="1:14" s="24" customFormat="1" x14ac:dyDescent="0.25">
      <c r="A63" s="20"/>
      <c r="B63" s="20"/>
      <c r="C63" s="21"/>
      <c r="D63" s="29"/>
      <c r="E63" s="29"/>
      <c r="F63" s="29"/>
      <c r="G63" s="29"/>
      <c r="H63" s="29"/>
      <c r="I63" s="29"/>
      <c r="J63" s="27"/>
      <c r="K63" s="23"/>
      <c r="L63" s="29"/>
      <c r="M63" s="103"/>
      <c r="N63" s="84"/>
    </row>
    <row r="64" spans="1:14" s="24" customFormat="1" x14ac:dyDescent="0.25">
      <c r="A64" s="20"/>
      <c r="B64" s="20"/>
      <c r="C64" s="21" t="s">
        <v>177</v>
      </c>
      <c r="D64" s="29">
        <f>D45+D54+D62</f>
        <v>428625</v>
      </c>
      <c r="E64" s="29">
        <f t="shared" ref="E64:N64" si="15">E45+E54+E62</f>
        <v>-3772431</v>
      </c>
      <c r="F64" s="29">
        <f t="shared" si="15"/>
        <v>0</v>
      </c>
      <c r="G64" s="29">
        <f t="shared" si="15"/>
        <v>-6812702</v>
      </c>
      <c r="H64" s="29">
        <f t="shared" si="15"/>
        <v>-8358298</v>
      </c>
      <c r="I64" s="29">
        <v>40.369999999999997</v>
      </c>
      <c r="J64" s="27">
        <f>+K64-D64</f>
        <v>-21610.910000000033</v>
      </c>
      <c r="K64" s="29">
        <f t="shared" si="15"/>
        <v>407014.08999999997</v>
      </c>
      <c r="L64" s="29">
        <f t="shared" si="15"/>
        <v>432452.47062499996</v>
      </c>
      <c r="M64" s="103">
        <f t="shared" si="15"/>
        <v>462724.14356874995</v>
      </c>
      <c r="N64" s="103">
        <f t="shared" si="15"/>
        <v>495114.83361856255</v>
      </c>
    </row>
    <row r="65" spans="1:14" s="24" customFormat="1" x14ac:dyDescent="0.25">
      <c r="A65" s="20"/>
      <c r="B65" s="20"/>
      <c r="C65" s="21"/>
      <c r="D65" s="29"/>
      <c r="E65" s="29"/>
      <c r="F65" s="29"/>
      <c r="G65" s="29"/>
      <c r="H65" s="29"/>
      <c r="I65" s="29"/>
      <c r="J65" s="27"/>
      <c r="K65" s="23"/>
      <c r="L65" s="29"/>
      <c r="M65" s="103"/>
      <c r="N65" s="84"/>
    </row>
    <row r="66" spans="1:14" s="24" customFormat="1" x14ac:dyDescent="0.25">
      <c r="A66" s="20"/>
      <c r="B66" s="20"/>
      <c r="C66" s="21" t="s">
        <v>178</v>
      </c>
      <c r="D66" s="29">
        <f>D32+D64</f>
        <v>1393552</v>
      </c>
      <c r="E66" s="29">
        <f t="shared" ref="E66:N66" si="16">E32+E64</f>
        <v>-5513553</v>
      </c>
      <c r="F66" s="29">
        <f t="shared" si="16"/>
        <v>0</v>
      </c>
      <c r="G66" s="29">
        <f t="shared" si="16"/>
        <v>-9957026</v>
      </c>
      <c r="H66" s="29">
        <f>H32+H64</f>
        <v>-12215974</v>
      </c>
      <c r="I66" s="29">
        <v>38.380000000000003</v>
      </c>
      <c r="J66" s="27">
        <f>+K66-D66</f>
        <v>-40190.910000000149</v>
      </c>
      <c r="K66" s="29">
        <f t="shared" si="16"/>
        <v>1353361.0899999999</v>
      </c>
      <c r="L66" s="29">
        <f t="shared" si="16"/>
        <v>1437946.1581250001</v>
      </c>
      <c r="M66" s="103">
        <f t="shared" si="16"/>
        <v>1538602.38919375</v>
      </c>
      <c r="N66" s="103">
        <f t="shared" si="16"/>
        <v>1646304.5564373126</v>
      </c>
    </row>
    <row r="67" spans="1:14" s="28" customFormat="1" ht="14.25" x14ac:dyDescent="0.2">
      <c r="A67" s="25"/>
      <c r="B67" s="25"/>
      <c r="C67" s="26"/>
      <c r="D67" s="23"/>
      <c r="E67" s="23"/>
      <c r="F67" s="23"/>
      <c r="G67" s="23"/>
      <c r="H67" s="23"/>
      <c r="I67" s="23"/>
      <c r="J67" s="27"/>
      <c r="K67" s="23"/>
      <c r="L67" s="23"/>
      <c r="M67" s="104"/>
      <c r="N67" s="105"/>
    </row>
    <row r="68" spans="1:14" s="24" customFormat="1" x14ac:dyDescent="0.25">
      <c r="A68" s="20"/>
      <c r="B68" s="20"/>
      <c r="C68" s="21" t="s">
        <v>228</v>
      </c>
      <c r="D68" s="29"/>
      <c r="E68" s="29"/>
      <c r="F68" s="29"/>
      <c r="G68" s="29"/>
      <c r="H68" s="29"/>
      <c r="I68" s="29"/>
      <c r="J68" s="27">
        <f>+K68-D68</f>
        <v>0</v>
      </c>
      <c r="K68" s="23"/>
      <c r="L68" s="29"/>
      <c r="M68" s="103"/>
      <c r="N68" s="84"/>
    </row>
    <row r="69" spans="1:14" s="28" customFormat="1" ht="14.25" x14ac:dyDescent="0.2">
      <c r="A69" s="25"/>
      <c r="B69" s="25"/>
      <c r="C69" s="26"/>
      <c r="D69" s="23"/>
      <c r="E69" s="23"/>
      <c r="F69" s="23"/>
      <c r="G69" s="23"/>
      <c r="H69" s="23"/>
      <c r="I69" s="23"/>
      <c r="J69" s="27"/>
      <c r="K69" s="23"/>
      <c r="L69" s="23"/>
      <c r="M69" s="104"/>
      <c r="N69" s="105"/>
    </row>
    <row r="70" spans="1:14" s="28" customFormat="1" ht="14.25" x14ac:dyDescent="0.2">
      <c r="A70" s="25" t="s">
        <v>997</v>
      </c>
      <c r="B70" s="25"/>
      <c r="C70" s="26" t="s">
        <v>235</v>
      </c>
      <c r="D70" s="23">
        <f>VLOOKUP(A70,fin,3,FALSE)</f>
        <v>120000</v>
      </c>
      <c r="E70" s="23">
        <v>-290187</v>
      </c>
      <c r="F70" s="23">
        <v>0</v>
      </c>
      <c r="G70" s="23">
        <v>-524054</v>
      </c>
      <c r="H70" s="23">
        <v>-642946</v>
      </c>
      <c r="I70" s="23">
        <v>44.9</v>
      </c>
      <c r="J70" s="27">
        <f>+K70-D70</f>
        <v>-50000</v>
      </c>
      <c r="K70" s="23">
        <f>VLOOKUP(A70,fin,4,FALSE)</f>
        <v>70000</v>
      </c>
      <c r="L70" s="23">
        <f>K70*4.5/100+K70</f>
        <v>73150</v>
      </c>
      <c r="M70" s="104">
        <f>L70*4.6/100+L70</f>
        <v>76514.899999999994</v>
      </c>
      <c r="N70" s="105">
        <f>M70*4.6/100+M70</f>
        <v>80034.585399999996</v>
      </c>
    </row>
    <row r="71" spans="1:14" s="28" customFormat="1" ht="14.25" x14ac:dyDescent="0.2">
      <c r="A71" s="25"/>
      <c r="B71" s="25"/>
      <c r="C71" s="26"/>
      <c r="D71" s="23"/>
      <c r="E71" s="23"/>
      <c r="F71" s="23"/>
      <c r="G71" s="23"/>
      <c r="H71" s="23"/>
      <c r="I71" s="23"/>
      <c r="J71" s="27"/>
      <c r="K71" s="23"/>
      <c r="L71" s="23"/>
      <c r="M71" s="104"/>
      <c r="N71" s="105"/>
    </row>
    <row r="72" spans="1:14" s="24" customFormat="1" x14ac:dyDescent="0.25">
      <c r="A72" s="20"/>
      <c r="B72" s="20"/>
      <c r="C72" s="21" t="s">
        <v>239</v>
      </c>
      <c r="D72" s="29">
        <f>SUM(D70:D71)</f>
        <v>120000</v>
      </c>
      <c r="E72" s="29">
        <f>SUM(E70:E71)</f>
        <v>-290187</v>
      </c>
      <c r="F72" s="29">
        <f>SUM(F70:F71)</f>
        <v>0</v>
      </c>
      <c r="G72" s="29">
        <f>SUM(G70:G71)</f>
        <v>-524054</v>
      </c>
      <c r="H72" s="29">
        <f>SUM(H70:H71)</f>
        <v>-642946</v>
      </c>
      <c r="I72" s="29">
        <v>0</v>
      </c>
      <c r="J72" s="27">
        <f>+K72-D72</f>
        <v>-50000</v>
      </c>
      <c r="K72" s="29">
        <f>SUM(K70:K71)</f>
        <v>70000</v>
      </c>
      <c r="L72" s="29">
        <f>SUM(L70:L71)</f>
        <v>73150</v>
      </c>
      <c r="M72" s="103">
        <f>SUM(M70:M71)</f>
        <v>76514.899999999994</v>
      </c>
      <c r="N72" s="103">
        <f>SUM(N70:N71)</f>
        <v>80034.585399999996</v>
      </c>
    </row>
    <row r="73" spans="1:14" s="24" customFormat="1" x14ac:dyDescent="0.25">
      <c r="A73" s="20"/>
      <c r="B73" s="20"/>
      <c r="C73" s="21"/>
      <c r="D73" s="29"/>
      <c r="E73" s="29"/>
      <c r="F73" s="29"/>
      <c r="G73" s="29"/>
      <c r="H73" s="29"/>
      <c r="I73" s="29"/>
      <c r="J73" s="27"/>
      <c r="K73" s="23"/>
      <c r="L73" s="29"/>
      <c r="M73" s="103"/>
      <c r="N73" s="84"/>
    </row>
    <row r="74" spans="1:14" s="24" customFormat="1" x14ac:dyDescent="0.25">
      <c r="A74" s="20"/>
      <c r="B74" s="20"/>
      <c r="C74" s="21" t="s">
        <v>240</v>
      </c>
      <c r="D74" s="29">
        <f>SUM(D72)</f>
        <v>120000</v>
      </c>
      <c r="E74" s="29">
        <f t="shared" ref="E74:N74" si="17">SUM(E72)</f>
        <v>-290187</v>
      </c>
      <c r="F74" s="29">
        <f t="shared" si="17"/>
        <v>0</v>
      </c>
      <c r="G74" s="29">
        <f t="shared" si="17"/>
        <v>-524054</v>
      </c>
      <c r="H74" s="29">
        <f t="shared" si="17"/>
        <v>-642946</v>
      </c>
      <c r="I74" s="29">
        <v>0</v>
      </c>
      <c r="J74" s="27">
        <f>+K74-D74</f>
        <v>-50000</v>
      </c>
      <c r="K74" s="29">
        <f t="shared" si="17"/>
        <v>70000</v>
      </c>
      <c r="L74" s="29">
        <f t="shared" si="17"/>
        <v>73150</v>
      </c>
      <c r="M74" s="103">
        <f t="shared" si="17"/>
        <v>76514.899999999994</v>
      </c>
      <c r="N74" s="103">
        <f t="shared" si="17"/>
        <v>80034.585399999996</v>
      </c>
    </row>
    <row r="75" spans="1:14" s="28" customFormat="1" ht="14.25" x14ac:dyDescent="0.2">
      <c r="A75" s="25"/>
      <c r="B75" s="25"/>
      <c r="C75" s="26"/>
      <c r="D75" s="23"/>
      <c r="E75" s="23"/>
      <c r="F75" s="23"/>
      <c r="G75" s="23"/>
      <c r="H75" s="23"/>
      <c r="I75" s="23"/>
      <c r="J75" s="27"/>
      <c r="K75" s="23"/>
      <c r="L75" s="23"/>
      <c r="M75" s="104"/>
      <c r="N75" s="105"/>
    </row>
    <row r="76" spans="1:14" s="24" customFormat="1" x14ac:dyDescent="0.25">
      <c r="A76" s="20"/>
      <c r="B76" s="20"/>
      <c r="C76" s="21" t="s">
        <v>241</v>
      </c>
      <c r="D76" s="29"/>
      <c r="E76" s="29"/>
      <c r="F76" s="29"/>
      <c r="G76" s="29"/>
      <c r="H76" s="29"/>
      <c r="I76" s="29"/>
      <c r="J76" s="27">
        <f>+K76-D76</f>
        <v>0</v>
      </c>
      <c r="K76" s="23"/>
      <c r="L76" s="29"/>
      <c r="M76" s="103"/>
      <c r="N76" s="84"/>
    </row>
    <row r="77" spans="1:14" s="28" customFormat="1" ht="14.25" x14ac:dyDescent="0.2">
      <c r="A77" s="25"/>
      <c r="B77" s="25"/>
      <c r="C77" s="26"/>
      <c r="D77" s="23"/>
      <c r="E77" s="23"/>
      <c r="F77" s="23"/>
      <c r="G77" s="23"/>
      <c r="H77" s="23"/>
      <c r="I77" s="23"/>
      <c r="J77" s="27"/>
      <c r="K77" s="23"/>
      <c r="L77" s="23"/>
      <c r="M77" s="104"/>
      <c r="N77" s="105"/>
    </row>
    <row r="78" spans="1:14" s="28" customFormat="1" ht="14.25" x14ac:dyDescent="0.2">
      <c r="A78" s="25" t="s">
        <v>998</v>
      </c>
      <c r="B78" s="25"/>
      <c r="C78" s="26" t="s">
        <v>242</v>
      </c>
      <c r="D78" s="23">
        <f t="shared" ref="D78:D86" si="18">VLOOKUP(A78,fin,3,FALSE)</f>
        <v>57680</v>
      </c>
      <c r="E78" s="23">
        <v>-290187</v>
      </c>
      <c r="F78" s="23">
        <v>0</v>
      </c>
      <c r="G78" s="23">
        <v>-524054</v>
      </c>
      <c r="H78" s="23">
        <v>-642946</v>
      </c>
      <c r="I78" s="23">
        <v>44.9</v>
      </c>
      <c r="J78" s="27">
        <f t="shared" ref="J78:J86" si="19">+K78-D78</f>
        <v>-30000</v>
      </c>
      <c r="K78" s="23">
        <f t="shared" ref="K78:K86" si="20">VLOOKUP(A78,fin,4,FALSE)</f>
        <v>27680</v>
      </c>
      <c r="L78" s="23">
        <f t="shared" ref="L78:L86" si="21">K78*4.5/100+K78</f>
        <v>28925.599999999999</v>
      </c>
      <c r="M78" s="104">
        <f>L78*4.6/100+L78</f>
        <v>30256.177599999999</v>
      </c>
      <c r="N78" s="105">
        <f>M78*4.6/100+M78</f>
        <v>31647.961769599999</v>
      </c>
    </row>
    <row r="79" spans="1:14" s="28" customFormat="1" ht="14.25" x14ac:dyDescent="0.2">
      <c r="A79" s="25" t="s">
        <v>999</v>
      </c>
      <c r="B79" s="25"/>
      <c r="C79" s="26" t="s">
        <v>253</v>
      </c>
      <c r="D79" s="23">
        <f t="shared" si="18"/>
        <v>2000</v>
      </c>
      <c r="E79" s="23">
        <v>-290187</v>
      </c>
      <c r="F79" s="23">
        <v>0</v>
      </c>
      <c r="G79" s="23">
        <v>-524054</v>
      </c>
      <c r="H79" s="23">
        <v>-642946</v>
      </c>
      <c r="I79" s="23">
        <v>44.9</v>
      </c>
      <c r="J79" s="27">
        <f t="shared" si="19"/>
        <v>0</v>
      </c>
      <c r="K79" s="23">
        <f t="shared" si="20"/>
        <v>2000</v>
      </c>
      <c r="L79" s="23">
        <v>2000</v>
      </c>
      <c r="M79" s="104">
        <v>2000</v>
      </c>
      <c r="N79" s="105">
        <v>2000</v>
      </c>
    </row>
    <row r="80" spans="1:14" s="28" customFormat="1" ht="14.25" x14ac:dyDescent="0.2">
      <c r="A80" s="25" t="s">
        <v>1000</v>
      </c>
      <c r="B80" s="25"/>
      <c r="C80" s="26" t="s">
        <v>261</v>
      </c>
      <c r="D80" s="23">
        <f t="shared" si="18"/>
        <v>3147</v>
      </c>
      <c r="E80" s="23">
        <v>-290187</v>
      </c>
      <c r="F80" s="23">
        <v>0</v>
      </c>
      <c r="G80" s="23">
        <v>-524054</v>
      </c>
      <c r="H80" s="23">
        <v>-642946</v>
      </c>
      <c r="I80" s="23">
        <v>44.9</v>
      </c>
      <c r="J80" s="27">
        <f t="shared" si="19"/>
        <v>0</v>
      </c>
      <c r="K80" s="23">
        <f t="shared" si="20"/>
        <v>3147</v>
      </c>
      <c r="L80" s="23">
        <f t="shared" si="21"/>
        <v>3288.6149999999998</v>
      </c>
      <c r="M80" s="104">
        <f t="shared" ref="M80:N86" si="22">L80*4.6/100+L80</f>
        <v>3439.8912899999996</v>
      </c>
      <c r="N80" s="105">
        <f t="shared" si="22"/>
        <v>3598.1262893399994</v>
      </c>
    </row>
    <row r="81" spans="1:14" s="28" customFormat="1" x14ac:dyDescent="0.25">
      <c r="A81" s="30" t="s">
        <v>1369</v>
      </c>
      <c r="B81" s="25"/>
      <c r="C81" s="26" t="s">
        <v>1370</v>
      </c>
      <c r="D81" s="23">
        <f t="shared" si="18"/>
        <v>0</v>
      </c>
      <c r="E81" s="23">
        <v>-290187</v>
      </c>
      <c r="F81" s="23">
        <v>0</v>
      </c>
      <c r="G81" s="23">
        <v>-524054</v>
      </c>
      <c r="H81" s="23">
        <v>-642946</v>
      </c>
      <c r="I81" s="23">
        <v>44.9</v>
      </c>
      <c r="J81" s="27">
        <f t="shared" si="19"/>
        <v>350000</v>
      </c>
      <c r="K81" s="23">
        <f t="shared" si="20"/>
        <v>350000</v>
      </c>
      <c r="L81" s="23">
        <f t="shared" si="21"/>
        <v>365750</v>
      </c>
      <c r="M81" s="104">
        <f t="shared" si="22"/>
        <v>382574.5</v>
      </c>
      <c r="N81" s="105">
        <f t="shared" si="22"/>
        <v>400172.92700000003</v>
      </c>
    </row>
    <row r="82" spans="1:14" s="28" customFormat="1" ht="14.25" x14ac:dyDescent="0.2">
      <c r="A82" s="25" t="s">
        <v>1001</v>
      </c>
      <c r="B82" s="25"/>
      <c r="C82" s="26" t="s">
        <v>265</v>
      </c>
      <c r="D82" s="23">
        <f t="shared" si="18"/>
        <v>214343</v>
      </c>
      <c r="E82" s="23">
        <v>-290187</v>
      </c>
      <c r="F82" s="23">
        <v>0</v>
      </c>
      <c r="G82" s="23">
        <v>-524054</v>
      </c>
      <c r="H82" s="23">
        <v>-642946</v>
      </c>
      <c r="I82" s="23">
        <v>44.9</v>
      </c>
      <c r="J82" s="27">
        <f t="shared" si="19"/>
        <v>-190000</v>
      </c>
      <c r="K82" s="23">
        <f t="shared" si="20"/>
        <v>24343</v>
      </c>
      <c r="L82" s="23">
        <f t="shared" si="21"/>
        <v>25438.435000000001</v>
      </c>
      <c r="M82" s="104">
        <f t="shared" si="22"/>
        <v>26608.603010000003</v>
      </c>
      <c r="N82" s="105">
        <f t="shared" si="22"/>
        <v>27832.598748460001</v>
      </c>
    </row>
    <row r="83" spans="1:14" s="28" customFormat="1" ht="14.25" x14ac:dyDescent="0.2">
      <c r="A83" s="25" t="s">
        <v>1002</v>
      </c>
      <c r="B83" s="25"/>
      <c r="C83" s="26" t="s">
        <v>268</v>
      </c>
      <c r="D83" s="23">
        <f t="shared" si="18"/>
        <v>341356</v>
      </c>
      <c r="E83" s="23">
        <v>-290187</v>
      </c>
      <c r="F83" s="23">
        <v>0</v>
      </c>
      <c r="G83" s="23">
        <v>-524054</v>
      </c>
      <c r="H83" s="23">
        <v>-642946</v>
      </c>
      <c r="I83" s="23">
        <v>44.9</v>
      </c>
      <c r="J83" s="27">
        <f t="shared" si="19"/>
        <v>-280000</v>
      </c>
      <c r="K83" s="23">
        <f t="shared" si="20"/>
        <v>61356</v>
      </c>
      <c r="L83" s="23">
        <f t="shared" si="21"/>
        <v>64117.02</v>
      </c>
      <c r="M83" s="104">
        <f t="shared" si="22"/>
        <v>67066.402919999993</v>
      </c>
      <c r="N83" s="105">
        <f t="shared" si="22"/>
        <v>70151.45745432</v>
      </c>
    </row>
    <row r="84" spans="1:14" s="28" customFormat="1" ht="14.25" x14ac:dyDescent="0.2">
      <c r="A84" s="25" t="s">
        <v>1003</v>
      </c>
      <c r="B84" s="25"/>
      <c r="C84" s="26" t="s">
        <v>268</v>
      </c>
      <c r="D84" s="23">
        <f t="shared" si="18"/>
        <v>299131</v>
      </c>
      <c r="E84" s="23">
        <v>-290187</v>
      </c>
      <c r="F84" s="23">
        <v>0</v>
      </c>
      <c r="G84" s="23">
        <v>-524054</v>
      </c>
      <c r="H84" s="23">
        <v>-642946</v>
      </c>
      <c r="I84" s="23">
        <v>44.9</v>
      </c>
      <c r="J84" s="27">
        <f t="shared" si="19"/>
        <v>-150000</v>
      </c>
      <c r="K84" s="23">
        <f t="shared" si="20"/>
        <v>149131</v>
      </c>
      <c r="L84" s="23">
        <f t="shared" si="21"/>
        <v>155841.89499999999</v>
      </c>
      <c r="M84" s="104">
        <f t="shared" si="22"/>
        <v>163010.62216999999</v>
      </c>
      <c r="N84" s="105">
        <f t="shared" si="22"/>
        <v>170509.11078982</v>
      </c>
    </row>
    <row r="85" spans="1:14" s="28" customFormat="1" ht="14.25" x14ac:dyDescent="0.2">
      <c r="A85" s="25" t="s">
        <v>1004</v>
      </c>
      <c r="B85" s="25"/>
      <c r="C85" s="26" t="s">
        <v>269</v>
      </c>
      <c r="D85" s="23">
        <f t="shared" si="18"/>
        <v>25440</v>
      </c>
      <c r="E85" s="23">
        <v>-290187</v>
      </c>
      <c r="F85" s="23">
        <v>0</v>
      </c>
      <c r="G85" s="23">
        <v>-524054</v>
      </c>
      <c r="H85" s="23">
        <v>-642946</v>
      </c>
      <c r="I85" s="23">
        <v>44.9</v>
      </c>
      <c r="J85" s="27">
        <f t="shared" si="19"/>
        <v>-10000</v>
      </c>
      <c r="K85" s="23">
        <f t="shared" si="20"/>
        <v>15440</v>
      </c>
      <c r="L85" s="23">
        <f t="shared" si="21"/>
        <v>16134.8</v>
      </c>
      <c r="M85" s="104">
        <f t="shared" si="22"/>
        <v>16877.000799999998</v>
      </c>
      <c r="N85" s="105">
        <f t="shared" si="22"/>
        <v>17653.342836799999</v>
      </c>
    </row>
    <row r="86" spans="1:14" s="28" customFormat="1" ht="14.25" x14ac:dyDescent="0.2">
      <c r="A86" s="25" t="s">
        <v>1005</v>
      </c>
      <c r="B86" s="25"/>
      <c r="C86" s="26" t="s">
        <v>272</v>
      </c>
      <c r="D86" s="23">
        <f t="shared" si="18"/>
        <v>20324</v>
      </c>
      <c r="E86" s="23">
        <v>-290187</v>
      </c>
      <c r="F86" s="23">
        <v>0</v>
      </c>
      <c r="G86" s="23">
        <v>-524054</v>
      </c>
      <c r="H86" s="23">
        <v>-642946</v>
      </c>
      <c r="I86" s="23">
        <v>44.9</v>
      </c>
      <c r="J86" s="27">
        <f t="shared" si="19"/>
        <v>-15000</v>
      </c>
      <c r="K86" s="23">
        <f t="shared" si="20"/>
        <v>5324</v>
      </c>
      <c r="L86" s="23">
        <f t="shared" si="21"/>
        <v>5563.58</v>
      </c>
      <c r="M86" s="104">
        <f t="shared" si="22"/>
        <v>5819.50468</v>
      </c>
      <c r="N86" s="105">
        <f t="shared" si="22"/>
        <v>6087.2018952799999</v>
      </c>
    </row>
    <row r="87" spans="1:14" s="28" customFormat="1" ht="14.25" x14ac:dyDescent="0.2">
      <c r="A87" s="25"/>
      <c r="B87" s="25"/>
      <c r="C87" s="26"/>
      <c r="D87" s="23"/>
      <c r="E87" s="23"/>
      <c r="F87" s="23"/>
      <c r="G87" s="23"/>
      <c r="H87" s="23"/>
      <c r="I87" s="23"/>
      <c r="J87" s="27"/>
      <c r="K87" s="23"/>
      <c r="L87" s="23"/>
      <c r="M87" s="104"/>
      <c r="N87" s="105"/>
    </row>
    <row r="88" spans="1:14" s="24" customFormat="1" x14ac:dyDescent="0.25">
      <c r="A88" s="20"/>
      <c r="B88" s="20"/>
      <c r="C88" s="21" t="s">
        <v>274</v>
      </c>
      <c r="D88" s="29">
        <f>SUM(D78:D87)</f>
        <v>963421</v>
      </c>
      <c r="E88" s="29">
        <f>SUM(E78:E87)</f>
        <v>-2611683</v>
      </c>
      <c r="F88" s="29">
        <f>SUM(F78:F87)</f>
        <v>0</v>
      </c>
      <c r="G88" s="29">
        <f>SUM(G78:G87)</f>
        <v>-4716486</v>
      </c>
      <c r="H88" s="29">
        <f>SUM(H78:H87)</f>
        <v>-5786514</v>
      </c>
      <c r="I88" s="29">
        <v>9.26</v>
      </c>
      <c r="J88" s="27">
        <f>+K88-D88</f>
        <v>-325000</v>
      </c>
      <c r="K88" s="29">
        <f>SUM(K78:K87)</f>
        <v>638421</v>
      </c>
      <c r="L88" s="29">
        <f>SUM(L78:L87)</f>
        <v>667059.94499999995</v>
      </c>
      <c r="M88" s="103">
        <f>SUM(M78:M87)</f>
        <v>697652.70247000002</v>
      </c>
      <c r="N88" s="103">
        <f>SUM(N78:N87)</f>
        <v>729652.72678362008</v>
      </c>
    </row>
    <row r="89" spans="1:14" s="24" customFormat="1" x14ac:dyDescent="0.25">
      <c r="A89" s="20"/>
      <c r="B89" s="20"/>
      <c r="C89" s="21"/>
      <c r="D89" s="29"/>
      <c r="E89" s="29"/>
      <c r="F89" s="29"/>
      <c r="G89" s="29"/>
      <c r="H89" s="29"/>
      <c r="I89" s="29"/>
      <c r="J89" s="27"/>
      <c r="K89" s="23"/>
      <c r="L89" s="29"/>
      <c r="M89" s="103"/>
      <c r="N89" s="84"/>
    </row>
    <row r="90" spans="1:14" s="24" customFormat="1" x14ac:dyDescent="0.25">
      <c r="A90" s="20"/>
      <c r="B90" s="20"/>
      <c r="C90" s="21" t="s">
        <v>275</v>
      </c>
      <c r="D90" s="29"/>
      <c r="E90" s="29"/>
      <c r="F90" s="29"/>
      <c r="G90" s="29"/>
      <c r="H90" s="29"/>
      <c r="I90" s="29"/>
      <c r="J90" s="27">
        <f>+K90-D90</f>
        <v>0</v>
      </c>
      <c r="K90" s="23"/>
      <c r="L90" s="29"/>
      <c r="M90" s="103"/>
      <c r="N90" s="84"/>
    </row>
    <row r="91" spans="1:14" s="28" customFormat="1" ht="14.25" x14ac:dyDescent="0.2">
      <c r="A91" s="25"/>
      <c r="B91" s="25"/>
      <c r="C91" s="26"/>
      <c r="D91" s="23"/>
      <c r="E91" s="23"/>
      <c r="F91" s="23"/>
      <c r="G91" s="23"/>
      <c r="H91" s="23"/>
      <c r="I91" s="23"/>
      <c r="J91" s="27"/>
      <c r="K91" s="23"/>
      <c r="L91" s="23"/>
      <c r="M91" s="104"/>
      <c r="N91" s="105"/>
    </row>
    <row r="92" spans="1:14" s="28" customFormat="1" ht="14.25" x14ac:dyDescent="0.2">
      <c r="A92" s="25" t="s">
        <v>1006</v>
      </c>
      <c r="B92" s="25"/>
      <c r="C92" s="26" t="s">
        <v>277</v>
      </c>
      <c r="D92" s="23">
        <f>VLOOKUP(A92,fin,3,FALSE)</f>
        <v>283871</v>
      </c>
      <c r="E92" s="23">
        <v>-290187</v>
      </c>
      <c r="F92" s="23">
        <v>0</v>
      </c>
      <c r="G92" s="23">
        <v>-524054</v>
      </c>
      <c r="H92" s="23">
        <v>-642946</v>
      </c>
      <c r="I92" s="23">
        <v>44.9</v>
      </c>
      <c r="J92" s="27">
        <f>+K92-D92</f>
        <v>0</v>
      </c>
      <c r="K92" s="23">
        <f>VLOOKUP(A92,fin,4,FALSE)</f>
        <v>283871</v>
      </c>
      <c r="L92" s="23">
        <f>K92*4.5/100+K92</f>
        <v>296645.19500000001</v>
      </c>
      <c r="M92" s="104">
        <f>L92*4.6/100+L92</f>
        <v>310290.87397000002</v>
      </c>
      <c r="N92" s="105">
        <f>M92*4.6/100+M92</f>
        <v>324564.25417262001</v>
      </c>
    </row>
    <row r="93" spans="1:14" s="28" customFormat="1" ht="14.25" x14ac:dyDescent="0.2">
      <c r="A93" s="25" t="s">
        <v>1007</v>
      </c>
      <c r="B93" s="25"/>
      <c r="C93" s="26" t="s">
        <v>278</v>
      </c>
      <c r="D93" s="23">
        <f>VLOOKUP(A93,fin,3,FALSE)</f>
        <v>94743</v>
      </c>
      <c r="E93" s="23">
        <v>-290187</v>
      </c>
      <c r="F93" s="23">
        <v>0</v>
      </c>
      <c r="G93" s="23">
        <v>-524054</v>
      </c>
      <c r="H93" s="23">
        <v>-642946</v>
      </c>
      <c r="I93" s="23">
        <v>44.9</v>
      </c>
      <c r="J93" s="27">
        <f>+K93-D93</f>
        <v>25257</v>
      </c>
      <c r="K93" s="23">
        <f>VLOOKUP(A93,fin,4,FALSE)</f>
        <v>120000</v>
      </c>
      <c r="L93" s="23">
        <f>K93*4.5/100+K93</f>
        <v>125400</v>
      </c>
      <c r="M93" s="104">
        <f>L93*4.6/100+L93</f>
        <v>131168.4</v>
      </c>
      <c r="N93" s="105">
        <f>M93*4.6/100+M93</f>
        <v>137202.1464</v>
      </c>
    </row>
    <row r="94" spans="1:14" s="28" customFormat="1" ht="14.25" x14ac:dyDescent="0.2">
      <c r="A94" s="25"/>
      <c r="B94" s="25"/>
      <c r="C94" s="26"/>
      <c r="D94" s="23"/>
      <c r="E94" s="23"/>
      <c r="F94" s="23"/>
      <c r="G94" s="23"/>
      <c r="H94" s="23"/>
      <c r="I94" s="23"/>
      <c r="J94" s="27"/>
      <c r="K94" s="23"/>
      <c r="L94" s="23"/>
      <c r="M94" s="104"/>
      <c r="N94" s="105"/>
    </row>
    <row r="95" spans="1:14" s="24" customFormat="1" x14ac:dyDescent="0.25">
      <c r="A95" s="20"/>
      <c r="B95" s="20"/>
      <c r="C95" s="21" t="s">
        <v>279</v>
      </c>
      <c r="D95" s="29">
        <f>SUM(D92:D94)</f>
        <v>378614</v>
      </c>
      <c r="E95" s="29">
        <f>SUM(E92:E94)</f>
        <v>-580374</v>
      </c>
      <c r="F95" s="29">
        <f>SUM(F92:F94)</f>
        <v>0</v>
      </c>
      <c r="G95" s="29">
        <f>SUM(G92:G94)</f>
        <v>-1048108</v>
      </c>
      <c r="H95" s="29">
        <f>SUM(H92:H94)</f>
        <v>-1285892</v>
      </c>
      <c r="I95" s="29">
        <v>40.299999999999997</v>
      </c>
      <c r="J95" s="27">
        <f>+K95-D95</f>
        <v>25257</v>
      </c>
      <c r="K95" s="29">
        <f>SUM(K92:K94)</f>
        <v>403871</v>
      </c>
      <c r="L95" s="29">
        <f>SUM(L92:L94)</f>
        <v>422045.19500000001</v>
      </c>
      <c r="M95" s="103">
        <f>SUM(M92:M94)</f>
        <v>441459.27396999998</v>
      </c>
      <c r="N95" s="103">
        <f>SUM(N92:N94)</f>
        <v>461766.40057261998</v>
      </c>
    </row>
    <row r="96" spans="1:14" s="24" customFormat="1" x14ac:dyDescent="0.25">
      <c r="A96" s="20"/>
      <c r="B96" s="20"/>
      <c r="C96" s="21"/>
      <c r="D96" s="29"/>
      <c r="E96" s="29"/>
      <c r="F96" s="29"/>
      <c r="G96" s="29"/>
      <c r="H96" s="29"/>
      <c r="I96" s="29"/>
      <c r="J96" s="27"/>
      <c r="K96" s="23"/>
      <c r="L96" s="29"/>
      <c r="M96" s="103"/>
      <c r="N96" s="84"/>
    </row>
    <row r="97" spans="1:14" s="24" customFormat="1" x14ac:dyDescent="0.25">
      <c r="A97" s="20"/>
      <c r="B97" s="20"/>
      <c r="C97" s="21" t="s">
        <v>290</v>
      </c>
      <c r="D97" s="29"/>
      <c r="E97" s="29"/>
      <c r="F97" s="29"/>
      <c r="G97" s="29"/>
      <c r="H97" s="29"/>
      <c r="I97" s="29"/>
      <c r="J97" s="27">
        <f>+K97-D97</f>
        <v>0</v>
      </c>
      <c r="K97" s="23"/>
      <c r="L97" s="29"/>
      <c r="M97" s="103"/>
      <c r="N97" s="84"/>
    </row>
    <row r="98" spans="1:14" s="28" customFormat="1" ht="14.25" x14ac:dyDescent="0.2">
      <c r="A98" s="25"/>
      <c r="B98" s="25"/>
      <c r="C98" s="26"/>
      <c r="D98" s="23"/>
      <c r="E98" s="23"/>
      <c r="F98" s="23"/>
      <c r="G98" s="23"/>
      <c r="H98" s="23"/>
      <c r="I98" s="23"/>
      <c r="J98" s="27"/>
      <c r="K98" s="23"/>
      <c r="L98" s="23"/>
      <c r="M98" s="104"/>
      <c r="N98" s="105"/>
    </row>
    <row r="99" spans="1:14" s="28" customFormat="1" ht="14.25" x14ac:dyDescent="0.2">
      <c r="A99" s="25" t="s">
        <v>1008</v>
      </c>
      <c r="B99" s="25"/>
      <c r="C99" s="26" t="s">
        <v>292</v>
      </c>
      <c r="D99" s="23">
        <f t="shared" ref="D99:D106" si="23">VLOOKUP(A99,fin,3,FALSE)</f>
        <v>3371</v>
      </c>
      <c r="E99" s="23">
        <v>-290187</v>
      </c>
      <c r="F99" s="23">
        <v>0</v>
      </c>
      <c r="G99" s="23">
        <v>-524054</v>
      </c>
      <c r="H99" s="23">
        <v>-642946</v>
      </c>
      <c r="I99" s="23">
        <v>44.9</v>
      </c>
      <c r="J99" s="27">
        <f t="shared" ref="J99:J106" si="24">+K99-D99</f>
        <v>0</v>
      </c>
      <c r="K99" s="23">
        <f t="shared" ref="K99:K106" si="25">VLOOKUP(A99,fin,4,FALSE)</f>
        <v>3371</v>
      </c>
      <c r="L99" s="23">
        <f t="shared" ref="L99:L106" si="26">K99*4.5/100+K99</f>
        <v>3522.6950000000002</v>
      </c>
      <c r="M99" s="104">
        <f t="shared" ref="M99:N106" si="27">L99*4.6/100+L99</f>
        <v>3684.7389700000003</v>
      </c>
      <c r="N99" s="105">
        <f t="shared" si="27"/>
        <v>3854.2369626200002</v>
      </c>
    </row>
    <row r="100" spans="1:14" s="28" customFormat="1" ht="14.25" x14ac:dyDescent="0.2">
      <c r="A100" s="25" t="s">
        <v>1009</v>
      </c>
      <c r="B100" s="25"/>
      <c r="C100" s="26" t="s">
        <v>293</v>
      </c>
      <c r="D100" s="23">
        <f t="shared" si="23"/>
        <v>20133</v>
      </c>
      <c r="E100" s="23">
        <v>-290187</v>
      </c>
      <c r="F100" s="23">
        <v>0</v>
      </c>
      <c r="G100" s="23">
        <v>-524054</v>
      </c>
      <c r="H100" s="23">
        <v>-642946</v>
      </c>
      <c r="I100" s="23">
        <v>44.9</v>
      </c>
      <c r="J100" s="27">
        <f t="shared" si="24"/>
        <v>0</v>
      </c>
      <c r="K100" s="23">
        <f t="shared" si="25"/>
        <v>20133</v>
      </c>
      <c r="L100" s="23">
        <f t="shared" si="26"/>
        <v>21038.985000000001</v>
      </c>
      <c r="M100" s="104">
        <f t="shared" si="27"/>
        <v>22006.778310000002</v>
      </c>
      <c r="N100" s="105">
        <f t="shared" si="27"/>
        <v>23019.090112260001</v>
      </c>
    </row>
    <row r="101" spans="1:14" s="28" customFormat="1" ht="14.25" x14ac:dyDescent="0.2">
      <c r="A101" s="25" t="s">
        <v>1010</v>
      </c>
      <c r="B101" s="25"/>
      <c r="C101" s="26" t="s">
        <v>296</v>
      </c>
      <c r="D101" s="23">
        <f t="shared" si="23"/>
        <v>170617</v>
      </c>
      <c r="E101" s="23">
        <v>-290187</v>
      </c>
      <c r="F101" s="23">
        <v>0</v>
      </c>
      <c r="G101" s="23">
        <v>-524054</v>
      </c>
      <c r="H101" s="23">
        <v>-642946</v>
      </c>
      <c r="I101" s="23">
        <v>44.9</v>
      </c>
      <c r="J101" s="27">
        <f t="shared" si="24"/>
        <v>0</v>
      </c>
      <c r="K101" s="23">
        <f t="shared" si="25"/>
        <v>170617</v>
      </c>
      <c r="L101" s="23">
        <f t="shared" si="26"/>
        <v>178294.76500000001</v>
      </c>
      <c r="M101" s="104">
        <f t="shared" si="27"/>
        <v>186496.32419000001</v>
      </c>
      <c r="N101" s="105">
        <f t="shared" si="27"/>
        <v>195075.15510274001</v>
      </c>
    </row>
    <row r="102" spans="1:14" s="28" customFormat="1" ht="14.25" x14ac:dyDescent="0.2">
      <c r="A102" s="25" t="s">
        <v>1011</v>
      </c>
      <c r="B102" s="25"/>
      <c r="C102" s="26" t="s">
        <v>297</v>
      </c>
      <c r="D102" s="23">
        <f t="shared" si="23"/>
        <v>871352</v>
      </c>
      <c r="E102" s="23">
        <v>-290187</v>
      </c>
      <c r="F102" s="23">
        <v>0</v>
      </c>
      <c r="G102" s="23">
        <v>-524054</v>
      </c>
      <c r="H102" s="23">
        <v>-642946</v>
      </c>
      <c r="I102" s="23">
        <v>44.9</v>
      </c>
      <c r="J102" s="27">
        <f t="shared" si="24"/>
        <v>0</v>
      </c>
      <c r="K102" s="23">
        <f t="shared" si="25"/>
        <v>871352</v>
      </c>
      <c r="L102" s="23">
        <f t="shared" si="26"/>
        <v>910562.84</v>
      </c>
      <c r="M102" s="104">
        <f t="shared" si="27"/>
        <v>952448.73063999997</v>
      </c>
      <c r="N102" s="105">
        <f t="shared" si="27"/>
        <v>996261.37224943994</v>
      </c>
    </row>
    <row r="103" spans="1:14" s="28" customFormat="1" ht="14.25" x14ac:dyDescent="0.2">
      <c r="A103" s="25" t="s">
        <v>1012</v>
      </c>
      <c r="B103" s="25"/>
      <c r="C103" s="26" t="s">
        <v>298</v>
      </c>
      <c r="D103" s="23">
        <f t="shared" si="23"/>
        <v>0</v>
      </c>
      <c r="E103" s="23">
        <v>-290187</v>
      </c>
      <c r="F103" s="23">
        <v>0</v>
      </c>
      <c r="G103" s="23">
        <v>-524054</v>
      </c>
      <c r="H103" s="23">
        <v>-642946</v>
      </c>
      <c r="I103" s="23">
        <v>44.9</v>
      </c>
      <c r="J103" s="27">
        <f t="shared" si="24"/>
        <v>0</v>
      </c>
      <c r="K103" s="23">
        <f t="shared" si="25"/>
        <v>0</v>
      </c>
      <c r="L103" s="23">
        <f t="shared" si="26"/>
        <v>0</v>
      </c>
      <c r="M103" s="104">
        <f t="shared" si="27"/>
        <v>0</v>
      </c>
      <c r="N103" s="105">
        <f t="shared" si="27"/>
        <v>0</v>
      </c>
    </row>
    <row r="104" spans="1:14" s="28" customFormat="1" ht="14.25" x14ac:dyDescent="0.2">
      <c r="A104" s="25" t="s">
        <v>1013</v>
      </c>
      <c r="B104" s="25"/>
      <c r="C104" s="26" t="s">
        <v>299</v>
      </c>
      <c r="D104" s="23">
        <f t="shared" si="23"/>
        <v>5688</v>
      </c>
      <c r="E104" s="23">
        <v>-290187</v>
      </c>
      <c r="F104" s="23">
        <v>0</v>
      </c>
      <c r="G104" s="23">
        <v>-524054</v>
      </c>
      <c r="H104" s="23">
        <v>-642946</v>
      </c>
      <c r="I104" s="23">
        <v>44.9</v>
      </c>
      <c r="J104" s="27">
        <f t="shared" si="24"/>
        <v>0</v>
      </c>
      <c r="K104" s="23">
        <f t="shared" si="25"/>
        <v>5688</v>
      </c>
      <c r="L104" s="23">
        <f t="shared" si="26"/>
        <v>5943.96</v>
      </c>
      <c r="M104" s="104">
        <f t="shared" si="27"/>
        <v>6217.3821600000001</v>
      </c>
      <c r="N104" s="105">
        <f t="shared" si="27"/>
        <v>6503.3817393600002</v>
      </c>
    </row>
    <row r="105" spans="1:14" s="28" customFormat="1" ht="14.25" x14ac:dyDescent="0.2">
      <c r="A105" s="25" t="s">
        <v>1014</v>
      </c>
      <c r="B105" s="25"/>
      <c r="C105" s="26" t="s">
        <v>300</v>
      </c>
      <c r="D105" s="23">
        <f t="shared" si="23"/>
        <v>398294</v>
      </c>
      <c r="E105" s="23">
        <v>-290187</v>
      </c>
      <c r="F105" s="23">
        <v>0</v>
      </c>
      <c r="G105" s="23">
        <v>-524054</v>
      </c>
      <c r="H105" s="23">
        <v>-642946</v>
      </c>
      <c r="I105" s="23">
        <v>44.9</v>
      </c>
      <c r="J105" s="27">
        <f t="shared" si="24"/>
        <v>0</v>
      </c>
      <c r="K105" s="23">
        <f t="shared" si="25"/>
        <v>398294</v>
      </c>
      <c r="L105" s="23">
        <f t="shared" si="26"/>
        <v>416217.23</v>
      </c>
      <c r="M105" s="104">
        <f t="shared" si="27"/>
        <v>435363.22258</v>
      </c>
      <c r="N105" s="105">
        <f t="shared" si="27"/>
        <v>455389.93081867998</v>
      </c>
    </row>
    <row r="106" spans="1:14" s="28" customFormat="1" ht="14.25" x14ac:dyDescent="0.2">
      <c r="A106" s="25" t="s">
        <v>1015</v>
      </c>
      <c r="B106" s="25"/>
      <c r="C106" s="26" t="s">
        <v>303</v>
      </c>
      <c r="D106" s="23">
        <f t="shared" si="23"/>
        <v>412489</v>
      </c>
      <c r="E106" s="23">
        <v>-290187</v>
      </c>
      <c r="F106" s="23">
        <v>0</v>
      </c>
      <c r="G106" s="23">
        <v>-524054</v>
      </c>
      <c r="H106" s="23">
        <v>-642946</v>
      </c>
      <c r="I106" s="23">
        <v>44.9</v>
      </c>
      <c r="J106" s="27">
        <f t="shared" si="24"/>
        <v>0</v>
      </c>
      <c r="K106" s="23">
        <f t="shared" si="25"/>
        <v>412489</v>
      </c>
      <c r="L106" s="23">
        <f t="shared" si="26"/>
        <v>431051.005</v>
      </c>
      <c r="M106" s="104">
        <f t="shared" si="27"/>
        <v>450879.35123000003</v>
      </c>
      <c r="N106" s="105">
        <f t="shared" si="27"/>
        <v>471619.80138658005</v>
      </c>
    </row>
    <row r="107" spans="1:14" s="28" customFormat="1" x14ac:dyDescent="0.25">
      <c r="A107" s="25"/>
      <c r="B107" s="25"/>
      <c r="C107" s="26"/>
      <c r="D107" s="23"/>
      <c r="E107" s="23"/>
      <c r="F107" s="23"/>
      <c r="G107" s="23"/>
      <c r="H107" s="23"/>
      <c r="I107" s="23"/>
      <c r="J107" s="27"/>
      <c r="K107" s="23"/>
      <c r="L107" s="29"/>
      <c r="M107" s="103"/>
      <c r="N107" s="105"/>
    </row>
    <row r="108" spans="1:14" s="24" customFormat="1" x14ac:dyDescent="0.25">
      <c r="A108" s="20"/>
      <c r="B108" s="20"/>
      <c r="C108" s="21" t="s">
        <v>304</v>
      </c>
      <c r="D108" s="29">
        <f>SUM(D99:D107)</f>
        <v>1881944</v>
      </c>
      <c r="E108" s="29">
        <f>SUM(E99:E107)</f>
        <v>-2321496</v>
      </c>
      <c r="F108" s="29">
        <f>SUM(F99:F107)</f>
        <v>0</v>
      </c>
      <c r="G108" s="29">
        <f>SUM(G99:G107)</f>
        <v>-4192432</v>
      </c>
      <c r="H108" s="29">
        <f>SUM(H99:H107)</f>
        <v>-5143568</v>
      </c>
      <c r="I108" s="29">
        <v>33.57</v>
      </c>
      <c r="J108" s="27">
        <f>+K108-D108</f>
        <v>0</v>
      </c>
      <c r="K108" s="29">
        <f>SUM(K99:K107)</f>
        <v>1881944</v>
      </c>
      <c r="L108" s="29">
        <f>SUM(L99:L107)</f>
        <v>1966631.48</v>
      </c>
      <c r="M108" s="103">
        <f>SUM(M99:M107)</f>
        <v>2057096.5280800001</v>
      </c>
      <c r="N108" s="103">
        <f>SUM(N99:N107)</f>
        <v>2151722.96837168</v>
      </c>
    </row>
    <row r="109" spans="1:14" s="24" customFormat="1" x14ac:dyDescent="0.25">
      <c r="A109" s="20"/>
      <c r="B109" s="20"/>
      <c r="C109" s="21"/>
      <c r="D109" s="29"/>
      <c r="E109" s="29"/>
      <c r="F109" s="29"/>
      <c r="G109" s="29"/>
      <c r="H109" s="29"/>
      <c r="I109" s="29"/>
      <c r="J109" s="27"/>
      <c r="K109" s="23"/>
      <c r="L109" s="29"/>
      <c r="M109" s="103"/>
      <c r="N109" s="84"/>
    </row>
    <row r="110" spans="1:14" s="24" customFormat="1" x14ac:dyDescent="0.25">
      <c r="A110" s="20"/>
      <c r="B110" s="20"/>
      <c r="C110" s="21" t="s">
        <v>305</v>
      </c>
      <c r="D110" s="29">
        <f>D66+D74+D88+D95+D108</f>
        <v>4737531</v>
      </c>
      <c r="E110" s="29">
        <f t="shared" ref="E110:N110" si="28">E66+E74+E88+E95+E108</f>
        <v>-11317293</v>
      </c>
      <c r="F110" s="29">
        <f t="shared" si="28"/>
        <v>0</v>
      </c>
      <c r="G110" s="29">
        <f t="shared" si="28"/>
        <v>-20438106</v>
      </c>
      <c r="H110" s="29">
        <f t="shared" si="28"/>
        <v>-25074894</v>
      </c>
      <c r="I110" s="29">
        <f t="shared" si="28"/>
        <v>121.50999999999999</v>
      </c>
      <c r="J110" s="29">
        <f t="shared" si="28"/>
        <v>-389933.91000000015</v>
      </c>
      <c r="K110" s="29">
        <f t="shared" si="28"/>
        <v>4347597.09</v>
      </c>
      <c r="L110" s="29">
        <f t="shared" si="28"/>
        <v>4566832.7781249993</v>
      </c>
      <c r="M110" s="29">
        <f t="shared" si="28"/>
        <v>4811325.7937137503</v>
      </c>
      <c r="N110" s="29">
        <f t="shared" si="28"/>
        <v>5069481.2375652324</v>
      </c>
    </row>
    <row r="111" spans="1:14" s="24" customFormat="1" x14ac:dyDescent="0.25">
      <c r="A111" s="20"/>
      <c r="B111" s="20"/>
      <c r="C111" s="21"/>
      <c r="D111" s="29"/>
      <c r="E111" s="29"/>
      <c r="F111" s="29"/>
      <c r="G111" s="29"/>
      <c r="H111" s="29"/>
      <c r="I111" s="29"/>
      <c r="J111" s="27"/>
      <c r="K111" s="23"/>
      <c r="N111" s="84"/>
    </row>
    <row r="112" spans="1:14" s="24" customFormat="1" x14ac:dyDescent="0.25">
      <c r="A112" s="20"/>
      <c r="B112" s="20"/>
      <c r="C112" s="21" t="s">
        <v>306</v>
      </c>
      <c r="D112" s="29">
        <f>D13+D110</f>
        <v>3570531</v>
      </c>
      <c r="E112" s="29">
        <f t="shared" ref="E112:N112" si="29">E13+E110</f>
        <v>-11607480</v>
      </c>
      <c r="F112" s="29">
        <f t="shared" si="29"/>
        <v>0</v>
      </c>
      <c r="G112" s="29">
        <f t="shared" si="29"/>
        <v>-20962160</v>
      </c>
      <c r="H112" s="29">
        <f t="shared" si="29"/>
        <v>-25717840</v>
      </c>
      <c r="I112" s="29">
        <v>24.77</v>
      </c>
      <c r="J112" s="27">
        <f>+K112-D112</f>
        <v>-389933.91000000015</v>
      </c>
      <c r="K112" s="29">
        <f t="shared" si="29"/>
        <v>3180597.09</v>
      </c>
      <c r="L112" s="29">
        <f t="shared" si="29"/>
        <v>3262832.7781249993</v>
      </c>
      <c r="M112" s="103">
        <f t="shared" si="29"/>
        <v>4811325.7937137503</v>
      </c>
      <c r="N112" s="103">
        <f t="shared" si="29"/>
        <v>5069481.2375652324</v>
      </c>
    </row>
    <row r="113" spans="1:14" s="28" customFormat="1" ht="14.25" x14ac:dyDescent="0.2">
      <c r="A113" s="25"/>
      <c r="B113" s="25"/>
      <c r="C113" s="26"/>
      <c r="D113" s="23"/>
      <c r="E113" s="23"/>
      <c r="F113" s="23"/>
      <c r="G113" s="23"/>
      <c r="H113" s="23"/>
      <c r="I113" s="23"/>
      <c r="J113" s="27"/>
      <c r="K113" s="23"/>
      <c r="L113" s="23"/>
      <c r="M113" s="104"/>
      <c r="N113" s="105"/>
    </row>
    <row r="114" spans="1:14" s="24" customFormat="1" x14ac:dyDescent="0.25">
      <c r="A114" s="20"/>
      <c r="B114" s="20"/>
      <c r="C114" s="21" t="s">
        <v>1016</v>
      </c>
      <c r="D114" s="29"/>
      <c r="E114" s="29"/>
      <c r="F114" s="29"/>
      <c r="G114" s="29"/>
      <c r="H114" s="29"/>
      <c r="I114" s="29"/>
      <c r="J114" s="27">
        <f>+K114-D114</f>
        <v>0</v>
      </c>
      <c r="K114" s="23"/>
      <c r="L114" s="29"/>
      <c r="M114" s="103"/>
      <c r="N114" s="84"/>
    </row>
    <row r="115" spans="1:14" s="24" customFormat="1" x14ac:dyDescent="0.25">
      <c r="A115" s="20"/>
      <c r="B115" s="20"/>
      <c r="C115" s="21" t="s">
        <v>96</v>
      </c>
      <c r="D115" s="29"/>
      <c r="E115" s="29"/>
      <c r="F115" s="29"/>
      <c r="G115" s="29"/>
      <c r="H115" s="29"/>
      <c r="I115" s="29"/>
      <c r="J115" s="27">
        <f>+K115-D115</f>
        <v>0</v>
      </c>
      <c r="K115" s="23"/>
      <c r="L115" s="29"/>
      <c r="M115" s="103"/>
      <c r="N115" s="84"/>
    </row>
    <row r="116" spans="1:14" s="24" customFormat="1" x14ac:dyDescent="0.25">
      <c r="A116" s="20"/>
      <c r="B116" s="20"/>
      <c r="C116" s="21" t="s">
        <v>97</v>
      </c>
      <c r="D116" s="29"/>
      <c r="E116" s="29"/>
      <c r="F116" s="29"/>
      <c r="G116" s="29"/>
      <c r="H116" s="29"/>
      <c r="I116" s="29"/>
      <c r="J116" s="27">
        <f>+K116-D116</f>
        <v>0</v>
      </c>
      <c r="K116" s="23"/>
      <c r="L116" s="29"/>
      <c r="M116" s="103"/>
      <c r="N116" s="84"/>
    </row>
    <row r="117" spans="1:14" s="24" customFormat="1" x14ac:dyDescent="0.25">
      <c r="A117" s="20"/>
      <c r="B117" s="20"/>
      <c r="C117" s="21" t="s">
        <v>148</v>
      </c>
      <c r="D117" s="29"/>
      <c r="E117" s="29"/>
      <c r="F117" s="29"/>
      <c r="G117" s="29"/>
      <c r="H117" s="29"/>
      <c r="I117" s="29"/>
      <c r="J117" s="27">
        <f>+K117-D117</f>
        <v>0</v>
      </c>
      <c r="K117" s="23"/>
      <c r="L117" s="29"/>
      <c r="M117" s="103"/>
      <c r="N117" s="84"/>
    </row>
    <row r="118" spans="1:14" s="24" customFormat="1" x14ac:dyDescent="0.25">
      <c r="A118" s="20"/>
      <c r="B118" s="20"/>
      <c r="C118" s="21" t="s">
        <v>149</v>
      </c>
      <c r="D118" s="29"/>
      <c r="E118" s="29"/>
      <c r="F118" s="29"/>
      <c r="G118" s="29"/>
      <c r="H118" s="29"/>
      <c r="I118" s="29"/>
      <c r="J118" s="27">
        <f>+K118-D118</f>
        <v>0</v>
      </c>
      <c r="K118" s="23"/>
      <c r="L118" s="29"/>
      <c r="M118" s="103"/>
      <c r="N118" s="84"/>
    </row>
    <row r="119" spans="1:14" s="28" customFormat="1" ht="14.25" x14ac:dyDescent="0.2">
      <c r="A119" s="25"/>
      <c r="B119" s="25"/>
      <c r="C119" s="26"/>
      <c r="D119" s="23"/>
      <c r="E119" s="23"/>
      <c r="F119" s="23"/>
      <c r="G119" s="23"/>
      <c r="H119" s="23"/>
      <c r="I119" s="23"/>
      <c r="J119" s="27"/>
      <c r="K119" s="23"/>
      <c r="L119" s="23"/>
      <c r="M119" s="104"/>
      <c r="N119" s="105"/>
    </row>
    <row r="120" spans="1:14" s="28" customFormat="1" ht="14.25" x14ac:dyDescent="0.2">
      <c r="A120" s="25" t="s">
        <v>1017</v>
      </c>
      <c r="B120" s="25"/>
      <c r="C120" s="26" t="s">
        <v>150</v>
      </c>
      <c r="D120" s="23">
        <f t="shared" ref="D120:D126" si="30">VLOOKUP(A120,fin,3,FALSE)</f>
        <v>686133</v>
      </c>
      <c r="E120" s="23">
        <v>-290187</v>
      </c>
      <c r="F120" s="23">
        <v>0</v>
      </c>
      <c r="G120" s="23">
        <v>-524054</v>
      </c>
      <c r="H120" s="23">
        <v>-642946</v>
      </c>
      <c r="I120" s="23">
        <v>44.9</v>
      </c>
      <c r="J120" s="27">
        <f t="shared" ref="J120:J126" si="31">+K120-D120</f>
        <v>0</v>
      </c>
      <c r="K120" s="23">
        <f t="shared" ref="K120:K126" si="32">VLOOKUP(A120,fin,4,FALSE)</f>
        <v>686133</v>
      </c>
      <c r="L120" s="23">
        <f t="shared" ref="L120:L126" si="33">K120*6.25/100+K120</f>
        <v>729016.3125</v>
      </c>
      <c r="M120" s="179">
        <f t="shared" ref="M120:N126" si="34">L120*7/100+L120</f>
        <v>780047.45437499997</v>
      </c>
      <c r="N120" s="105">
        <f t="shared" si="34"/>
        <v>834650.77618125</v>
      </c>
    </row>
    <row r="121" spans="1:14" s="28" customFormat="1" ht="14.25" x14ac:dyDescent="0.2">
      <c r="A121" s="25" t="s">
        <v>1018</v>
      </c>
      <c r="B121" s="25"/>
      <c r="C121" s="26" t="s">
        <v>151</v>
      </c>
      <c r="D121" s="23">
        <f t="shared" si="30"/>
        <v>33502</v>
      </c>
      <c r="E121" s="23">
        <v>-290187</v>
      </c>
      <c r="F121" s="23">
        <v>0</v>
      </c>
      <c r="G121" s="23">
        <v>-524054</v>
      </c>
      <c r="H121" s="23">
        <v>-642946</v>
      </c>
      <c r="I121" s="23">
        <v>44.9</v>
      </c>
      <c r="J121" s="27">
        <f t="shared" si="31"/>
        <v>-25034.91</v>
      </c>
      <c r="K121" s="23">
        <f t="shared" si="32"/>
        <v>8467.09</v>
      </c>
      <c r="L121" s="23">
        <f t="shared" si="33"/>
        <v>8996.2831249999999</v>
      </c>
      <c r="M121" s="179">
        <f t="shared" si="34"/>
        <v>9626.0229437500002</v>
      </c>
      <c r="N121" s="105">
        <f t="shared" si="34"/>
        <v>10299.8445498125</v>
      </c>
    </row>
    <row r="122" spans="1:14" s="28" customFormat="1" ht="14.25" x14ac:dyDescent="0.2">
      <c r="A122" s="25" t="s">
        <v>1019</v>
      </c>
      <c r="B122" s="25"/>
      <c r="C122" s="26" t="s">
        <v>152</v>
      </c>
      <c r="D122" s="23">
        <f t="shared" si="30"/>
        <v>14100</v>
      </c>
      <c r="E122" s="23">
        <v>-290187</v>
      </c>
      <c r="F122" s="23">
        <v>0</v>
      </c>
      <c r="G122" s="23">
        <v>-524054</v>
      </c>
      <c r="H122" s="23">
        <v>-642946</v>
      </c>
      <c r="I122" s="23">
        <v>44.9</v>
      </c>
      <c r="J122" s="27">
        <f t="shared" si="31"/>
        <v>0</v>
      </c>
      <c r="K122" s="23">
        <f t="shared" si="32"/>
        <v>14100</v>
      </c>
      <c r="L122" s="23">
        <f t="shared" si="33"/>
        <v>14981.25</v>
      </c>
      <c r="M122" s="179">
        <f t="shared" si="34"/>
        <v>16029.9375</v>
      </c>
      <c r="N122" s="105">
        <f t="shared" si="34"/>
        <v>17152.033125000002</v>
      </c>
    </row>
    <row r="123" spans="1:14" s="28" customFormat="1" ht="14.25" x14ac:dyDescent="0.2">
      <c r="A123" s="25" t="s">
        <v>1020</v>
      </c>
      <c r="B123" s="25"/>
      <c r="C123" s="26" t="s">
        <v>155</v>
      </c>
      <c r="D123" s="23">
        <f t="shared" si="30"/>
        <v>23791</v>
      </c>
      <c r="E123" s="23">
        <v>-290187</v>
      </c>
      <c r="F123" s="23">
        <v>0</v>
      </c>
      <c r="G123" s="23">
        <v>-524054</v>
      </c>
      <c r="H123" s="23">
        <v>-642946</v>
      </c>
      <c r="I123" s="23">
        <v>44.9</v>
      </c>
      <c r="J123" s="27">
        <f t="shared" si="31"/>
        <v>0</v>
      </c>
      <c r="K123" s="23">
        <f t="shared" si="32"/>
        <v>23791</v>
      </c>
      <c r="L123" s="23">
        <f t="shared" si="33"/>
        <v>25277.9375</v>
      </c>
      <c r="M123" s="179">
        <f t="shared" si="34"/>
        <v>27047.393124999999</v>
      </c>
      <c r="N123" s="105">
        <f t="shared" si="34"/>
        <v>28940.710643749997</v>
      </c>
    </row>
    <row r="124" spans="1:14" s="28" customFormat="1" ht="14.25" x14ac:dyDescent="0.2">
      <c r="A124" s="25" t="s">
        <v>1021</v>
      </c>
      <c r="B124" s="25"/>
      <c r="C124" s="26" t="s">
        <v>156</v>
      </c>
      <c r="D124" s="23">
        <f t="shared" si="30"/>
        <v>97889</v>
      </c>
      <c r="E124" s="23">
        <v>-290187</v>
      </c>
      <c r="F124" s="23">
        <v>0</v>
      </c>
      <c r="G124" s="23">
        <v>-524054</v>
      </c>
      <c r="H124" s="23">
        <v>-642946</v>
      </c>
      <c r="I124" s="23">
        <v>44.9</v>
      </c>
      <c r="J124" s="27">
        <f t="shared" si="31"/>
        <v>-97889</v>
      </c>
      <c r="K124" s="23">
        <f t="shared" si="32"/>
        <v>0</v>
      </c>
      <c r="L124" s="23">
        <f t="shared" si="33"/>
        <v>0</v>
      </c>
      <c r="M124" s="179">
        <f t="shared" si="34"/>
        <v>0</v>
      </c>
      <c r="N124" s="105">
        <f t="shared" si="34"/>
        <v>0</v>
      </c>
    </row>
    <row r="125" spans="1:14" s="28" customFormat="1" ht="14.25" x14ac:dyDescent="0.2">
      <c r="A125" s="25" t="s">
        <v>1022</v>
      </c>
      <c r="B125" s="25"/>
      <c r="C125" s="26" t="s">
        <v>159</v>
      </c>
      <c r="D125" s="23">
        <f t="shared" si="30"/>
        <v>57178</v>
      </c>
      <c r="E125" s="23">
        <v>-290187</v>
      </c>
      <c r="F125" s="23">
        <v>0</v>
      </c>
      <c r="G125" s="23">
        <v>-524054</v>
      </c>
      <c r="H125" s="23">
        <v>-642946</v>
      </c>
      <c r="I125" s="23">
        <v>44.9</v>
      </c>
      <c r="J125" s="27">
        <f t="shared" si="31"/>
        <v>0</v>
      </c>
      <c r="K125" s="23">
        <f t="shared" si="32"/>
        <v>57178</v>
      </c>
      <c r="L125" s="23">
        <f t="shared" si="33"/>
        <v>60751.625</v>
      </c>
      <c r="M125" s="179">
        <f t="shared" si="34"/>
        <v>65004.238750000004</v>
      </c>
      <c r="N125" s="105">
        <f t="shared" si="34"/>
        <v>69554.535462500004</v>
      </c>
    </row>
    <row r="126" spans="1:14" s="28" customFormat="1" ht="14.25" x14ac:dyDescent="0.2">
      <c r="A126" s="25" t="s">
        <v>1023</v>
      </c>
      <c r="B126" s="25"/>
      <c r="C126" s="26" t="s">
        <v>161</v>
      </c>
      <c r="D126" s="23">
        <f t="shared" si="30"/>
        <v>57035</v>
      </c>
      <c r="E126" s="23">
        <v>-290187</v>
      </c>
      <c r="F126" s="23">
        <v>0</v>
      </c>
      <c r="G126" s="23">
        <v>-524054</v>
      </c>
      <c r="H126" s="23">
        <v>-642946</v>
      </c>
      <c r="I126" s="23">
        <v>44.9</v>
      </c>
      <c r="J126" s="27">
        <f t="shared" si="31"/>
        <v>0</v>
      </c>
      <c r="K126" s="23">
        <f t="shared" si="32"/>
        <v>57035</v>
      </c>
      <c r="L126" s="23">
        <f t="shared" si="33"/>
        <v>60599.6875</v>
      </c>
      <c r="M126" s="179">
        <f t="shared" si="34"/>
        <v>64841.665625000001</v>
      </c>
      <c r="N126" s="105">
        <f t="shared" si="34"/>
        <v>69380.582218750002</v>
      </c>
    </row>
    <row r="127" spans="1:14" s="28" customFormat="1" ht="14.25" x14ac:dyDescent="0.2">
      <c r="A127" s="25"/>
      <c r="B127" s="25"/>
      <c r="C127" s="26"/>
      <c r="D127" s="23"/>
      <c r="E127" s="23"/>
      <c r="F127" s="23"/>
      <c r="G127" s="23"/>
      <c r="H127" s="23"/>
      <c r="I127" s="23"/>
      <c r="J127" s="27"/>
      <c r="K127" s="23"/>
      <c r="L127" s="23"/>
      <c r="M127" s="104"/>
      <c r="N127" s="105"/>
    </row>
    <row r="128" spans="1:14" s="24" customFormat="1" x14ac:dyDescent="0.25">
      <c r="A128" s="20"/>
      <c r="B128" s="20"/>
      <c r="C128" s="21" t="s">
        <v>165</v>
      </c>
      <c r="D128" s="29">
        <f>SUM(D120:D127)</f>
        <v>969628</v>
      </c>
      <c r="E128" s="29">
        <f>SUM(E120:E127)</f>
        <v>-2031309</v>
      </c>
      <c r="F128" s="29">
        <f>SUM(F120:F127)</f>
        <v>0</v>
      </c>
      <c r="G128" s="29">
        <f>SUM(G120:G127)</f>
        <v>-3668378</v>
      </c>
      <c r="H128" s="29">
        <f>SUM(H120:H127)</f>
        <v>-4500622</v>
      </c>
      <c r="I128" s="29">
        <v>17.05</v>
      </c>
      <c r="J128" s="27">
        <f>+K128-D128</f>
        <v>-122923.91000000003</v>
      </c>
      <c r="K128" s="29">
        <f>SUM(K120:K127)</f>
        <v>846704.09</v>
      </c>
      <c r="L128" s="29">
        <f>SUM(L120:L127)</f>
        <v>899623.09562499996</v>
      </c>
      <c r="M128" s="103">
        <f>SUM(M120:M127)</f>
        <v>962596.71231874998</v>
      </c>
      <c r="N128" s="103">
        <f>SUM(N120:N127)</f>
        <v>1029978.4821810626</v>
      </c>
    </row>
    <row r="129" spans="1:14" s="24" customFormat="1" x14ac:dyDescent="0.25">
      <c r="A129" s="20"/>
      <c r="B129" s="20"/>
      <c r="C129" s="21"/>
      <c r="D129" s="29"/>
      <c r="E129" s="29"/>
      <c r="F129" s="29"/>
      <c r="G129" s="29"/>
      <c r="H129" s="29"/>
      <c r="I129" s="29"/>
      <c r="J129" s="27"/>
      <c r="K129" s="23"/>
      <c r="L129" s="29"/>
      <c r="M129" s="103"/>
      <c r="N129" s="84"/>
    </row>
    <row r="130" spans="1:14" s="24" customFormat="1" x14ac:dyDescent="0.25">
      <c r="A130" s="20"/>
      <c r="B130" s="20"/>
      <c r="C130" s="21" t="s">
        <v>166</v>
      </c>
      <c r="D130" s="29"/>
      <c r="E130" s="29"/>
      <c r="F130" s="29"/>
      <c r="G130" s="29"/>
      <c r="H130" s="29"/>
      <c r="I130" s="29"/>
      <c r="J130" s="27">
        <f>+K130-D130</f>
        <v>0</v>
      </c>
      <c r="K130" s="23"/>
      <c r="L130" s="29"/>
      <c r="M130" s="103"/>
      <c r="N130" s="84"/>
    </row>
    <row r="131" spans="1:14" s="28" customFormat="1" ht="14.25" x14ac:dyDescent="0.2">
      <c r="A131" s="25"/>
      <c r="B131" s="25"/>
      <c r="C131" s="26"/>
      <c r="D131" s="23"/>
      <c r="E131" s="23"/>
      <c r="F131" s="23"/>
      <c r="G131" s="23"/>
      <c r="H131" s="23"/>
      <c r="I131" s="23"/>
      <c r="J131" s="27"/>
      <c r="K131" s="23"/>
      <c r="L131" s="23"/>
      <c r="M131" s="104"/>
      <c r="N131" s="105"/>
    </row>
    <row r="132" spans="1:14" s="28" customFormat="1" ht="14.25" x14ac:dyDescent="0.2">
      <c r="A132" s="25" t="s">
        <v>1024</v>
      </c>
      <c r="B132" s="25"/>
      <c r="C132" s="26" t="s">
        <v>167</v>
      </c>
      <c r="D132" s="23">
        <f>VLOOKUP(A132,fin,3,FALSE)</f>
        <v>225</v>
      </c>
      <c r="E132" s="23">
        <v>-290187</v>
      </c>
      <c r="F132" s="23">
        <v>0</v>
      </c>
      <c r="G132" s="23">
        <v>-524054</v>
      </c>
      <c r="H132" s="23">
        <v>-642946</v>
      </c>
      <c r="I132" s="23">
        <v>44.9</v>
      </c>
      <c r="J132" s="27">
        <f>+K132-D132</f>
        <v>0</v>
      </c>
      <c r="K132" s="23">
        <f>VLOOKUP(A132,fin,4,FALSE)</f>
        <v>225</v>
      </c>
      <c r="L132" s="23">
        <f>K132*6.25/100+K132</f>
        <v>239.0625</v>
      </c>
      <c r="M132" s="179">
        <f t="shared" ref="M132:N135" si="35">L132*7/100+L132</f>
        <v>255.796875</v>
      </c>
      <c r="N132" s="105">
        <f t="shared" si="35"/>
        <v>273.70265625000002</v>
      </c>
    </row>
    <row r="133" spans="1:14" s="28" customFormat="1" ht="14.25" x14ac:dyDescent="0.2">
      <c r="A133" s="25" t="s">
        <v>1025</v>
      </c>
      <c r="B133" s="25"/>
      <c r="C133" s="26" t="s">
        <v>168</v>
      </c>
      <c r="D133" s="23">
        <f>VLOOKUP(A133,fin,3,FALSE)</f>
        <v>107816</v>
      </c>
      <c r="E133" s="23">
        <v>-290187</v>
      </c>
      <c r="F133" s="23">
        <v>0</v>
      </c>
      <c r="G133" s="23">
        <v>-524054</v>
      </c>
      <c r="H133" s="23">
        <v>-642946</v>
      </c>
      <c r="I133" s="23">
        <v>44.9</v>
      </c>
      <c r="J133" s="27">
        <f>+K133-D133</f>
        <v>-80000</v>
      </c>
      <c r="K133" s="23">
        <f>VLOOKUP(A133,fin,4,FALSE)</f>
        <v>27816</v>
      </c>
      <c r="L133" s="23">
        <f>K133*6.25/100+K133</f>
        <v>29554.5</v>
      </c>
      <c r="M133" s="179">
        <f t="shared" si="35"/>
        <v>31623.314999999999</v>
      </c>
      <c r="N133" s="105">
        <f t="shared" si="35"/>
        <v>33836.947049999995</v>
      </c>
    </row>
    <row r="134" spans="1:14" s="28" customFormat="1" ht="14.25" x14ac:dyDescent="0.2">
      <c r="A134" s="25" t="s">
        <v>1026</v>
      </c>
      <c r="B134" s="25"/>
      <c r="C134" s="26" t="s">
        <v>169</v>
      </c>
      <c r="D134" s="23">
        <f>VLOOKUP(A134,fin,3,FALSE)</f>
        <v>150949</v>
      </c>
      <c r="E134" s="23">
        <v>-290187</v>
      </c>
      <c r="F134" s="23">
        <v>0</v>
      </c>
      <c r="G134" s="23">
        <v>-524054</v>
      </c>
      <c r="H134" s="23">
        <v>-642946</v>
      </c>
      <c r="I134" s="23">
        <v>44.9</v>
      </c>
      <c r="J134" s="27">
        <f>+K134-D134</f>
        <v>0</v>
      </c>
      <c r="K134" s="23">
        <f>VLOOKUP(A134,fin,4,FALSE)</f>
        <v>150949</v>
      </c>
      <c r="L134" s="23">
        <f>K134*6.25/100+K134</f>
        <v>160383.3125</v>
      </c>
      <c r="M134" s="179">
        <f t="shared" si="35"/>
        <v>171610.144375</v>
      </c>
      <c r="N134" s="105">
        <f t="shared" si="35"/>
        <v>183622.85448124999</v>
      </c>
    </row>
    <row r="135" spans="1:14" s="28" customFormat="1" ht="14.25" x14ac:dyDescent="0.2">
      <c r="A135" s="25" t="s">
        <v>1027</v>
      </c>
      <c r="B135" s="25"/>
      <c r="C135" s="26" t="s">
        <v>170</v>
      </c>
      <c r="D135" s="23">
        <f>VLOOKUP(A135,fin,3,FALSE)</f>
        <v>3570</v>
      </c>
      <c r="E135" s="23">
        <v>-290187</v>
      </c>
      <c r="F135" s="23">
        <v>0</v>
      </c>
      <c r="G135" s="23">
        <v>-524054</v>
      </c>
      <c r="H135" s="23">
        <v>-642946</v>
      </c>
      <c r="I135" s="23">
        <v>44.9</v>
      </c>
      <c r="J135" s="27">
        <f>+K135-D135</f>
        <v>0</v>
      </c>
      <c r="K135" s="23">
        <f>VLOOKUP(A135,fin,4,FALSE)</f>
        <v>3570</v>
      </c>
      <c r="L135" s="23">
        <f>K135*6.25/100+K135</f>
        <v>3793.125</v>
      </c>
      <c r="M135" s="179">
        <f t="shared" si="35"/>
        <v>4058.6437500000002</v>
      </c>
      <c r="N135" s="105">
        <f t="shared" si="35"/>
        <v>4342.7488125</v>
      </c>
    </row>
    <row r="136" spans="1:14" s="28" customFormat="1" ht="14.25" x14ac:dyDescent="0.2">
      <c r="A136" s="25"/>
      <c r="B136" s="25"/>
      <c r="C136" s="26"/>
      <c r="D136" s="23"/>
      <c r="E136" s="23"/>
      <c r="F136" s="23"/>
      <c r="G136" s="23"/>
      <c r="H136" s="23"/>
      <c r="I136" s="23"/>
      <c r="J136" s="27"/>
      <c r="K136" s="23"/>
      <c r="L136" s="23"/>
      <c r="M136" s="104"/>
      <c r="N136" s="105"/>
    </row>
    <row r="137" spans="1:14" s="24" customFormat="1" x14ac:dyDescent="0.25">
      <c r="A137" s="20"/>
      <c r="B137" s="20"/>
      <c r="C137" s="21" t="s">
        <v>171</v>
      </c>
      <c r="D137" s="29">
        <f>SUM(D132:D136)</f>
        <v>262560</v>
      </c>
      <c r="E137" s="29">
        <f>SUM(E132:E136)</f>
        <v>-1160748</v>
      </c>
      <c r="F137" s="29">
        <f>SUM(F132:F136)</f>
        <v>0</v>
      </c>
      <c r="G137" s="29">
        <f>SUM(G132:G136)</f>
        <v>-2096216</v>
      </c>
      <c r="H137" s="29">
        <f>SUM(H132:H136)</f>
        <v>-2571784</v>
      </c>
      <c r="I137" s="29">
        <v>17.82</v>
      </c>
      <c r="J137" s="27">
        <f>+K137-D137</f>
        <v>-80000</v>
      </c>
      <c r="K137" s="29">
        <f>SUM(K132:K136)</f>
        <v>182560</v>
      </c>
      <c r="L137" s="29">
        <f>SUM(L132:L136)</f>
        <v>193970</v>
      </c>
      <c r="M137" s="103">
        <f>SUM(M132:M136)</f>
        <v>207547.9</v>
      </c>
      <c r="N137" s="103">
        <f>SUM(N132:N136)</f>
        <v>222076.253</v>
      </c>
    </row>
    <row r="138" spans="1:14" s="24" customFormat="1" x14ac:dyDescent="0.25">
      <c r="A138" s="20"/>
      <c r="B138" s="20"/>
      <c r="C138" s="21"/>
      <c r="D138" s="29"/>
      <c r="E138" s="29"/>
      <c r="F138" s="29"/>
      <c r="G138" s="29"/>
      <c r="H138" s="29"/>
      <c r="I138" s="29"/>
      <c r="J138" s="27"/>
      <c r="K138" s="23"/>
      <c r="L138" s="29"/>
      <c r="M138" s="103"/>
      <c r="N138" s="84"/>
    </row>
    <row r="139" spans="1:14" s="24" customFormat="1" x14ac:dyDescent="0.25">
      <c r="A139" s="20"/>
      <c r="B139" s="20"/>
      <c r="C139" s="21" t="s">
        <v>172</v>
      </c>
      <c r="D139" s="29"/>
      <c r="E139" s="29"/>
      <c r="F139" s="29"/>
      <c r="G139" s="29"/>
      <c r="H139" s="29"/>
      <c r="I139" s="29"/>
      <c r="J139" s="27">
        <f>+K139-D139</f>
        <v>0</v>
      </c>
      <c r="K139" s="23"/>
      <c r="L139" s="29"/>
      <c r="M139" s="103"/>
      <c r="N139" s="84"/>
    </row>
    <row r="140" spans="1:14" s="28" customFormat="1" ht="14.25" x14ac:dyDescent="0.2">
      <c r="A140" s="25"/>
      <c r="B140" s="25"/>
      <c r="C140" s="26"/>
      <c r="D140" s="23"/>
      <c r="E140" s="23"/>
      <c r="F140" s="23"/>
      <c r="G140" s="23"/>
      <c r="H140" s="23"/>
      <c r="I140" s="23"/>
      <c r="J140" s="27"/>
      <c r="K140" s="23"/>
      <c r="L140" s="23"/>
      <c r="M140" s="104"/>
      <c r="N140" s="105"/>
    </row>
    <row r="141" spans="1:14" s="28" customFormat="1" ht="14.25" x14ac:dyDescent="0.2">
      <c r="A141" s="25" t="s">
        <v>1028</v>
      </c>
      <c r="B141" s="25"/>
      <c r="C141" s="26" t="s">
        <v>173</v>
      </c>
      <c r="D141" s="23">
        <f>VLOOKUP(A141,fin,3,FALSE)</f>
        <v>19440</v>
      </c>
      <c r="E141" s="23">
        <v>-290187</v>
      </c>
      <c r="F141" s="23">
        <v>0</v>
      </c>
      <c r="G141" s="23">
        <v>-524054</v>
      </c>
      <c r="H141" s="23">
        <v>-642946</v>
      </c>
      <c r="I141" s="23">
        <v>44.9</v>
      </c>
      <c r="J141" s="27">
        <f>+K141-D141</f>
        <v>0</v>
      </c>
      <c r="K141" s="23">
        <f>VLOOKUP(A141,fin,4,FALSE)</f>
        <v>19440</v>
      </c>
      <c r="L141" s="23">
        <f>K141*6.25/100+K141</f>
        <v>20655</v>
      </c>
      <c r="M141" s="179">
        <f t="shared" ref="M141:N143" si="36">L141*7/100+L141</f>
        <v>22100.85</v>
      </c>
      <c r="N141" s="105">
        <f t="shared" si="36"/>
        <v>23647.909499999998</v>
      </c>
    </row>
    <row r="142" spans="1:14" s="28" customFormat="1" ht="14.25" x14ac:dyDescent="0.2">
      <c r="A142" s="25" t="s">
        <v>1029</v>
      </c>
      <c r="B142" s="25"/>
      <c r="C142" s="26" t="s">
        <v>174</v>
      </c>
      <c r="D142" s="23">
        <f>VLOOKUP(A142,fin,3,FALSE)</f>
        <v>30812</v>
      </c>
      <c r="E142" s="23">
        <v>-290187</v>
      </c>
      <c r="F142" s="23">
        <v>0</v>
      </c>
      <c r="G142" s="23">
        <v>-524054</v>
      </c>
      <c r="H142" s="23">
        <v>-642946</v>
      </c>
      <c r="I142" s="23">
        <v>44.9</v>
      </c>
      <c r="J142" s="27">
        <f>+K142-D142</f>
        <v>0</v>
      </c>
      <c r="K142" s="23">
        <f>VLOOKUP(A142,fin,4,FALSE)</f>
        <v>30812</v>
      </c>
      <c r="L142" s="23">
        <f>K142*6.25/100+K142</f>
        <v>32737.75</v>
      </c>
      <c r="M142" s="179">
        <f t="shared" si="36"/>
        <v>35029.392500000002</v>
      </c>
      <c r="N142" s="105">
        <f t="shared" si="36"/>
        <v>37481.449975000003</v>
      </c>
    </row>
    <row r="143" spans="1:14" s="28" customFormat="1" ht="14.25" x14ac:dyDescent="0.2">
      <c r="A143" s="25" t="s">
        <v>1030</v>
      </c>
      <c r="B143" s="25"/>
      <c r="C143" s="26" t="s">
        <v>175</v>
      </c>
      <c r="D143" s="23">
        <f>VLOOKUP(A143,fin,3,FALSE)</f>
        <v>8784</v>
      </c>
      <c r="E143" s="23">
        <v>-290187</v>
      </c>
      <c r="F143" s="23">
        <v>0</v>
      </c>
      <c r="G143" s="23">
        <v>-524054</v>
      </c>
      <c r="H143" s="23">
        <v>-642946</v>
      </c>
      <c r="I143" s="23">
        <v>44.9</v>
      </c>
      <c r="J143" s="27">
        <f>+K143-D143</f>
        <v>0</v>
      </c>
      <c r="K143" s="23">
        <f>VLOOKUP(A143,fin,4,FALSE)</f>
        <v>8784</v>
      </c>
      <c r="L143" s="23">
        <f>K143*6.25/100+K143</f>
        <v>9333</v>
      </c>
      <c r="M143" s="179">
        <f t="shared" si="36"/>
        <v>9986.31</v>
      </c>
      <c r="N143" s="105">
        <f t="shared" si="36"/>
        <v>10685.351699999999</v>
      </c>
    </row>
    <row r="144" spans="1:14" s="28" customFormat="1" ht="14.25" x14ac:dyDescent="0.2">
      <c r="A144" s="25"/>
      <c r="B144" s="25"/>
      <c r="C144" s="26"/>
      <c r="D144" s="23"/>
      <c r="E144" s="23"/>
      <c r="F144" s="23"/>
      <c r="G144" s="23"/>
      <c r="H144" s="23"/>
      <c r="I144" s="23"/>
      <c r="J144" s="27"/>
      <c r="K144" s="23"/>
      <c r="L144" s="23"/>
      <c r="M144" s="104"/>
      <c r="N144" s="105"/>
    </row>
    <row r="145" spans="1:14" s="24" customFormat="1" x14ac:dyDescent="0.25">
      <c r="A145" s="20"/>
      <c r="B145" s="20"/>
      <c r="C145" s="21" t="s">
        <v>176</v>
      </c>
      <c r="D145" s="29">
        <f>SUM(D141:D144)</f>
        <v>59036</v>
      </c>
      <c r="E145" s="29">
        <f>SUM(E141:E144)</f>
        <v>-870561</v>
      </c>
      <c r="F145" s="29">
        <f>SUM(F141:F144)</f>
        <v>0</v>
      </c>
      <c r="G145" s="29">
        <f>SUM(G141:G144)</f>
        <v>-1572162</v>
      </c>
      <c r="H145" s="29">
        <f>SUM(H141:H144)</f>
        <v>-1928838</v>
      </c>
      <c r="I145" s="29">
        <v>0</v>
      </c>
      <c r="J145" s="27">
        <f>+K145-D145</f>
        <v>0</v>
      </c>
      <c r="K145" s="29">
        <f>SUM(K141:K144)</f>
        <v>59036</v>
      </c>
      <c r="L145" s="29">
        <f>SUM(L141:L144)</f>
        <v>62725.75</v>
      </c>
      <c r="M145" s="103">
        <f>SUM(M141:M144)</f>
        <v>67116.552500000005</v>
      </c>
      <c r="N145" s="103">
        <f>SUM(N141:N144)</f>
        <v>71814.711175000004</v>
      </c>
    </row>
    <row r="146" spans="1:14" s="24" customFormat="1" x14ac:dyDescent="0.25">
      <c r="A146" s="20"/>
      <c r="B146" s="20"/>
      <c r="C146" s="21"/>
      <c r="D146" s="29"/>
      <c r="E146" s="29"/>
      <c r="F146" s="29"/>
      <c r="G146" s="29"/>
      <c r="H146" s="29"/>
      <c r="I146" s="29"/>
      <c r="J146" s="27"/>
      <c r="K146" s="23"/>
      <c r="L146" s="29"/>
      <c r="M146" s="103"/>
      <c r="N146" s="84"/>
    </row>
    <row r="147" spans="1:14" s="24" customFormat="1" x14ac:dyDescent="0.25">
      <c r="A147" s="20"/>
      <c r="B147" s="20"/>
      <c r="C147" s="21" t="s">
        <v>177</v>
      </c>
      <c r="D147" s="29">
        <f>D128+D137+D145</f>
        <v>1291224</v>
      </c>
      <c r="E147" s="29">
        <f t="shared" ref="E147:N147" si="37">E128+E137+E145</f>
        <v>-4062618</v>
      </c>
      <c r="F147" s="29">
        <f t="shared" si="37"/>
        <v>0</v>
      </c>
      <c r="G147" s="29">
        <f t="shared" si="37"/>
        <v>-7336756</v>
      </c>
      <c r="H147" s="29">
        <f t="shared" si="37"/>
        <v>-9001244</v>
      </c>
      <c r="I147" s="29">
        <v>16.420000000000002</v>
      </c>
      <c r="J147" s="27">
        <f>+K147-D147</f>
        <v>-202923.91000000015</v>
      </c>
      <c r="K147" s="29">
        <f t="shared" si="37"/>
        <v>1088300.0899999999</v>
      </c>
      <c r="L147" s="29">
        <f t="shared" si="37"/>
        <v>1156318.8456250001</v>
      </c>
      <c r="M147" s="103">
        <f t="shared" si="37"/>
        <v>1237261.16481875</v>
      </c>
      <c r="N147" s="103">
        <f t="shared" si="37"/>
        <v>1323869.4463560625</v>
      </c>
    </row>
    <row r="148" spans="1:14" s="24" customFormat="1" x14ac:dyDescent="0.25">
      <c r="A148" s="20"/>
      <c r="B148" s="20"/>
      <c r="C148" s="21"/>
      <c r="D148" s="29"/>
      <c r="E148" s="29"/>
      <c r="F148" s="29"/>
      <c r="G148" s="29"/>
      <c r="H148" s="29"/>
      <c r="I148" s="29"/>
      <c r="J148" s="27"/>
      <c r="K148" s="23"/>
      <c r="L148" s="29"/>
      <c r="M148" s="103"/>
      <c r="N148" s="84"/>
    </row>
    <row r="149" spans="1:14" s="24" customFormat="1" x14ac:dyDescent="0.25">
      <c r="A149" s="20"/>
      <c r="B149" s="20"/>
      <c r="C149" s="21" t="s">
        <v>178</v>
      </c>
      <c r="D149" s="29">
        <f>D147</f>
        <v>1291224</v>
      </c>
      <c r="E149" s="29">
        <f t="shared" ref="E149:N149" si="38">E147</f>
        <v>-4062618</v>
      </c>
      <c r="F149" s="29">
        <f t="shared" si="38"/>
        <v>0</v>
      </c>
      <c r="G149" s="29">
        <f t="shared" si="38"/>
        <v>-7336756</v>
      </c>
      <c r="H149" s="29">
        <f t="shared" si="38"/>
        <v>-9001244</v>
      </c>
      <c r="I149" s="29">
        <v>16.420000000000002</v>
      </c>
      <c r="J149" s="27">
        <f>+K149-D149</f>
        <v>-202923.91000000015</v>
      </c>
      <c r="K149" s="29">
        <f t="shared" si="38"/>
        <v>1088300.0899999999</v>
      </c>
      <c r="L149" s="29">
        <f t="shared" si="38"/>
        <v>1156318.8456250001</v>
      </c>
      <c r="M149" s="103">
        <f t="shared" si="38"/>
        <v>1237261.16481875</v>
      </c>
      <c r="N149" s="103">
        <f t="shared" si="38"/>
        <v>1323869.4463560625</v>
      </c>
    </row>
    <row r="150" spans="1:14" s="28" customFormat="1" ht="14.25" x14ac:dyDescent="0.2">
      <c r="A150" s="25"/>
      <c r="B150" s="25"/>
      <c r="C150" s="26"/>
      <c r="D150" s="23"/>
      <c r="E150" s="23"/>
      <c r="F150" s="23"/>
      <c r="G150" s="23"/>
      <c r="H150" s="23"/>
      <c r="I150" s="23"/>
      <c r="J150" s="27"/>
      <c r="K150" s="23"/>
      <c r="L150" s="23"/>
      <c r="M150" s="104"/>
      <c r="N150" s="105"/>
    </row>
    <row r="151" spans="1:14" s="24" customFormat="1" x14ac:dyDescent="0.25">
      <c r="A151" s="20"/>
      <c r="B151" s="20"/>
      <c r="C151" s="21" t="s">
        <v>241</v>
      </c>
      <c r="D151" s="29"/>
      <c r="E151" s="29"/>
      <c r="F151" s="29"/>
      <c r="G151" s="29"/>
      <c r="H151" s="29"/>
      <c r="I151" s="29"/>
      <c r="J151" s="27">
        <f>+K151-D151</f>
        <v>0</v>
      </c>
      <c r="K151" s="23"/>
      <c r="L151" s="29"/>
      <c r="M151" s="103"/>
      <c r="N151" s="84"/>
    </row>
    <row r="152" spans="1:14" s="28" customFormat="1" ht="14.25" x14ac:dyDescent="0.2">
      <c r="A152" s="25"/>
      <c r="B152" s="25"/>
      <c r="C152" s="26"/>
      <c r="D152" s="23"/>
      <c r="E152" s="23"/>
      <c r="F152" s="23"/>
      <c r="G152" s="23"/>
      <c r="H152" s="23"/>
      <c r="I152" s="23"/>
      <c r="J152" s="27"/>
      <c r="K152" s="23"/>
      <c r="L152" s="23"/>
      <c r="M152" s="104"/>
      <c r="N152" s="105"/>
    </row>
    <row r="153" spans="1:14" s="28" customFormat="1" ht="14.25" x14ac:dyDescent="0.2">
      <c r="A153" s="25" t="s">
        <v>1031</v>
      </c>
      <c r="B153" s="25"/>
      <c r="C153" s="26" t="s">
        <v>265</v>
      </c>
      <c r="D153" s="23">
        <f>VLOOKUP(A153,fin,3,FALSE)</f>
        <v>0</v>
      </c>
      <c r="E153" s="23">
        <v>-290187</v>
      </c>
      <c r="F153" s="23">
        <v>0</v>
      </c>
      <c r="G153" s="23">
        <v>-524054</v>
      </c>
      <c r="H153" s="23">
        <v>-642946</v>
      </c>
      <c r="I153" s="23">
        <v>44.9</v>
      </c>
      <c r="J153" s="27">
        <f>+K153-D153</f>
        <v>4000</v>
      </c>
      <c r="K153" s="23">
        <f>VLOOKUP(A153,fin,4,FALSE)</f>
        <v>4000</v>
      </c>
      <c r="L153" s="23">
        <f>K153*4.5/100+K153</f>
        <v>4180</v>
      </c>
      <c r="M153" s="104">
        <f>L153*4.6/100+L153</f>
        <v>4372.28</v>
      </c>
      <c r="N153" s="105">
        <f>M153*4.6/100+M153</f>
        <v>4573.40488</v>
      </c>
    </row>
    <row r="154" spans="1:14" s="28" customFormat="1" ht="14.25" x14ac:dyDescent="0.2">
      <c r="A154" s="25"/>
      <c r="B154" s="25"/>
      <c r="C154" s="26"/>
      <c r="D154" s="23"/>
      <c r="E154" s="23"/>
      <c r="F154" s="23"/>
      <c r="G154" s="23"/>
      <c r="H154" s="23"/>
      <c r="I154" s="23"/>
      <c r="J154" s="27"/>
      <c r="K154" s="23"/>
      <c r="L154" s="23"/>
      <c r="M154" s="104"/>
      <c r="N154" s="105"/>
    </row>
    <row r="155" spans="1:14" s="24" customFormat="1" x14ac:dyDescent="0.25">
      <c r="A155" s="20"/>
      <c r="B155" s="20"/>
      <c r="C155" s="21" t="s">
        <v>274</v>
      </c>
      <c r="D155" s="29">
        <f>SUM(D153:D154)</f>
        <v>0</v>
      </c>
      <c r="E155" s="29">
        <f>SUM(E153:E154)</f>
        <v>-290187</v>
      </c>
      <c r="F155" s="29">
        <f>SUM(F153:F154)</f>
        <v>0</v>
      </c>
      <c r="G155" s="29">
        <f>SUM(G153:G154)</f>
        <v>-524054</v>
      </c>
      <c r="H155" s="29">
        <f>SUM(H153:H154)</f>
        <v>-642946</v>
      </c>
      <c r="I155" s="29">
        <v>0</v>
      </c>
      <c r="J155" s="27">
        <f>+K155-D155</f>
        <v>4000</v>
      </c>
      <c r="K155" s="29">
        <f>SUM(K153:K154)</f>
        <v>4000</v>
      </c>
      <c r="L155" s="29">
        <f>SUM(L153:L154)</f>
        <v>4180</v>
      </c>
      <c r="M155" s="103">
        <f>SUM(M153:M154)</f>
        <v>4372.28</v>
      </c>
      <c r="N155" s="103">
        <f>SUM(N153:N154)</f>
        <v>4573.40488</v>
      </c>
    </row>
    <row r="156" spans="1:14" s="24" customFormat="1" x14ac:dyDescent="0.25">
      <c r="A156" s="20"/>
      <c r="B156" s="20"/>
      <c r="C156" s="21"/>
      <c r="D156" s="29"/>
      <c r="E156" s="29"/>
      <c r="F156" s="29"/>
      <c r="G156" s="29"/>
      <c r="H156" s="29"/>
      <c r="I156" s="29"/>
      <c r="J156" s="27"/>
      <c r="K156" s="23"/>
      <c r="L156" s="29"/>
      <c r="M156" s="103"/>
      <c r="N156" s="84"/>
    </row>
    <row r="157" spans="1:14" s="24" customFormat="1" x14ac:dyDescent="0.25">
      <c r="A157" s="20"/>
      <c r="B157" s="20"/>
      <c r="C157" s="21" t="s">
        <v>290</v>
      </c>
      <c r="D157" s="29"/>
      <c r="E157" s="29"/>
      <c r="F157" s="29"/>
      <c r="G157" s="29"/>
      <c r="H157" s="29"/>
      <c r="I157" s="29"/>
      <c r="J157" s="27">
        <f>+K157-D157</f>
        <v>0</v>
      </c>
      <c r="K157" s="23"/>
      <c r="L157" s="29"/>
      <c r="M157" s="103"/>
      <c r="N157" s="84"/>
    </row>
    <row r="158" spans="1:14" s="28" customFormat="1" ht="14.25" x14ac:dyDescent="0.2">
      <c r="A158" s="25"/>
      <c r="B158" s="25"/>
      <c r="C158" s="26"/>
      <c r="D158" s="23"/>
      <c r="E158" s="23"/>
      <c r="F158" s="23"/>
      <c r="G158" s="23"/>
      <c r="H158" s="23"/>
      <c r="I158" s="23"/>
      <c r="J158" s="27"/>
      <c r="K158" s="23"/>
      <c r="L158" s="23"/>
      <c r="M158" s="104"/>
      <c r="N158" s="105"/>
    </row>
    <row r="159" spans="1:14" s="28" customFormat="1" ht="14.25" x14ac:dyDescent="0.2">
      <c r="A159" s="25" t="s">
        <v>1032</v>
      </c>
      <c r="B159" s="25"/>
      <c r="C159" s="26" t="s">
        <v>292</v>
      </c>
      <c r="D159" s="23">
        <f>VLOOKUP(A159,fin,3,FALSE)</f>
        <v>3371</v>
      </c>
      <c r="E159" s="23">
        <v>-290187</v>
      </c>
      <c r="F159" s="23">
        <v>0</v>
      </c>
      <c r="G159" s="23">
        <v>-524054</v>
      </c>
      <c r="H159" s="23">
        <v>-642946</v>
      </c>
      <c r="I159" s="23">
        <v>44.9</v>
      </c>
      <c r="J159" s="27">
        <f>+K159-D159</f>
        <v>0</v>
      </c>
      <c r="K159" s="23">
        <f>VLOOKUP(A159,fin,4,FALSE)</f>
        <v>3371</v>
      </c>
      <c r="L159" s="23">
        <f>K159*4.5/100+K159</f>
        <v>3522.6950000000002</v>
      </c>
      <c r="M159" s="104">
        <f>L159*4.6/100+L159</f>
        <v>3684.7389700000003</v>
      </c>
      <c r="N159" s="105">
        <f>M159*4.6/100+M159</f>
        <v>3854.2369626200002</v>
      </c>
    </row>
    <row r="160" spans="1:14" s="28" customFormat="1" ht="14.25" x14ac:dyDescent="0.2">
      <c r="A160" s="25" t="s">
        <v>1033</v>
      </c>
      <c r="B160" s="25"/>
      <c r="C160" s="26" t="s">
        <v>293</v>
      </c>
      <c r="D160" s="23">
        <f>VLOOKUP(A160,fin,3,FALSE)</f>
        <v>6582</v>
      </c>
      <c r="E160" s="23">
        <v>-290187</v>
      </c>
      <c r="F160" s="23">
        <v>0</v>
      </c>
      <c r="G160" s="23">
        <v>-524054</v>
      </c>
      <c r="H160" s="23">
        <v>-642946</v>
      </c>
      <c r="I160" s="23">
        <v>44.9</v>
      </c>
      <c r="J160" s="27">
        <f>+K160-D160</f>
        <v>0</v>
      </c>
      <c r="K160" s="23">
        <f>VLOOKUP(A160,fin,4,FALSE)</f>
        <v>6582</v>
      </c>
      <c r="L160" s="23">
        <f>K160*4.5/100+K160</f>
        <v>6878.19</v>
      </c>
      <c r="M160" s="104">
        <f>L160*4.6/100+L160</f>
        <v>7194.5867399999997</v>
      </c>
      <c r="N160" s="105">
        <f>M160*4.6/100+M160</f>
        <v>7525.5377300399996</v>
      </c>
    </row>
    <row r="161" spans="1:14" s="28" customFormat="1" ht="14.25" x14ac:dyDescent="0.2">
      <c r="A161" s="25"/>
      <c r="B161" s="25"/>
      <c r="C161" s="26"/>
      <c r="D161" s="23"/>
      <c r="E161" s="23"/>
      <c r="F161" s="23"/>
      <c r="G161" s="23"/>
      <c r="H161" s="23"/>
      <c r="I161" s="23"/>
      <c r="J161" s="27"/>
      <c r="K161" s="23"/>
      <c r="L161" s="23"/>
      <c r="M161" s="104"/>
      <c r="N161" s="105"/>
    </row>
    <row r="162" spans="1:14" s="24" customFormat="1" x14ac:dyDescent="0.25">
      <c r="A162" s="20"/>
      <c r="B162" s="20"/>
      <c r="C162" s="21" t="s">
        <v>304</v>
      </c>
      <c r="D162" s="29">
        <f>SUM(D159:D161)</f>
        <v>9953</v>
      </c>
      <c r="E162" s="29">
        <f>SUM(E159:E161)</f>
        <v>-580374</v>
      </c>
      <c r="F162" s="29">
        <f>SUM(F159:F161)</f>
        <v>0</v>
      </c>
      <c r="G162" s="29">
        <f>SUM(G159:G161)</f>
        <v>-1048108</v>
      </c>
      <c r="H162" s="29">
        <f>SUM(H159:H161)</f>
        <v>-1285892</v>
      </c>
      <c r="I162" s="29">
        <v>28.6</v>
      </c>
      <c r="J162" s="27">
        <f>+K162-D162</f>
        <v>0</v>
      </c>
      <c r="K162" s="29">
        <f>SUM(K159:K161)</f>
        <v>9953</v>
      </c>
      <c r="L162" s="29">
        <f>SUM(L159:L161)</f>
        <v>10400.885</v>
      </c>
      <c r="M162" s="103">
        <f>SUM(M159:M161)</f>
        <v>10879.325710000001</v>
      </c>
      <c r="N162" s="103">
        <f>SUM(N159:N161)</f>
        <v>11379.774692659999</v>
      </c>
    </row>
    <row r="163" spans="1:14" s="24" customFormat="1" x14ac:dyDescent="0.25">
      <c r="A163" s="20"/>
      <c r="B163" s="20"/>
      <c r="C163" s="21"/>
      <c r="D163" s="29"/>
      <c r="E163" s="29"/>
      <c r="F163" s="29"/>
      <c r="G163" s="29"/>
      <c r="H163" s="29"/>
      <c r="I163" s="29"/>
      <c r="J163" s="27"/>
      <c r="K163" s="23"/>
      <c r="L163" s="29"/>
      <c r="M163" s="103"/>
      <c r="N163" s="84"/>
    </row>
    <row r="164" spans="1:14" s="24" customFormat="1" x14ac:dyDescent="0.25">
      <c r="A164" s="20"/>
      <c r="B164" s="20"/>
      <c r="C164" s="21" t="s">
        <v>305</v>
      </c>
      <c r="D164" s="29">
        <f>D149+D155+D162</f>
        <v>1301177</v>
      </c>
      <c r="E164" s="29">
        <f t="shared" ref="E164:N164" si="39">E149+E155+E162</f>
        <v>-4933179</v>
      </c>
      <c r="F164" s="29">
        <f t="shared" si="39"/>
        <v>0</v>
      </c>
      <c r="G164" s="29">
        <f t="shared" si="39"/>
        <v>-8908918</v>
      </c>
      <c r="H164" s="29">
        <f t="shared" si="39"/>
        <v>-10930082</v>
      </c>
      <c r="I164" s="29">
        <v>16.64</v>
      </c>
      <c r="J164" s="27">
        <f>+K164-D164</f>
        <v>-198923.91000000015</v>
      </c>
      <c r="K164" s="29">
        <f t="shared" si="39"/>
        <v>1102253.0899999999</v>
      </c>
      <c r="L164" s="29">
        <f t="shared" si="39"/>
        <v>1170899.7306250001</v>
      </c>
      <c r="M164" s="103">
        <f t="shared" si="39"/>
        <v>1252512.77052875</v>
      </c>
      <c r="N164" s="103">
        <f t="shared" si="39"/>
        <v>1339822.6259287226</v>
      </c>
    </row>
    <row r="165" spans="1:14" s="24" customFormat="1" x14ac:dyDescent="0.25">
      <c r="A165" s="20"/>
      <c r="B165" s="20"/>
      <c r="C165" s="21"/>
      <c r="D165" s="29"/>
      <c r="E165" s="29"/>
      <c r="F165" s="29"/>
      <c r="G165" s="29"/>
      <c r="H165" s="29"/>
      <c r="I165" s="29"/>
      <c r="J165" s="27"/>
      <c r="K165" s="23"/>
      <c r="L165" s="29"/>
      <c r="M165" s="103"/>
      <c r="N165" s="84"/>
    </row>
    <row r="166" spans="1:14" s="24" customFormat="1" x14ac:dyDescent="0.25">
      <c r="A166" s="20"/>
      <c r="B166" s="20"/>
      <c r="C166" s="21" t="s">
        <v>306</v>
      </c>
      <c r="D166" s="29">
        <f>D164</f>
        <v>1301177</v>
      </c>
      <c r="E166" s="29">
        <f t="shared" ref="E166:N166" si="40">E164</f>
        <v>-4933179</v>
      </c>
      <c r="F166" s="29">
        <f t="shared" si="40"/>
        <v>0</v>
      </c>
      <c r="G166" s="29">
        <f t="shared" si="40"/>
        <v>-8908918</v>
      </c>
      <c r="H166" s="29">
        <f t="shared" si="40"/>
        <v>-10930082</v>
      </c>
      <c r="I166" s="29">
        <v>16.64</v>
      </c>
      <c r="J166" s="27">
        <f>+K166-D166</f>
        <v>-198923.91000000015</v>
      </c>
      <c r="K166" s="29">
        <f t="shared" si="40"/>
        <v>1102253.0899999999</v>
      </c>
      <c r="L166" s="29">
        <f t="shared" si="40"/>
        <v>1170899.7306250001</v>
      </c>
      <c r="M166" s="103">
        <f t="shared" si="40"/>
        <v>1252512.77052875</v>
      </c>
      <c r="N166" s="103">
        <f t="shared" si="40"/>
        <v>1339822.6259287226</v>
      </c>
    </row>
    <row r="167" spans="1:14" s="28" customFormat="1" ht="14.25" x14ac:dyDescent="0.2">
      <c r="A167" s="25"/>
      <c r="B167" s="25"/>
      <c r="C167" s="26"/>
      <c r="D167" s="23"/>
      <c r="E167" s="23"/>
      <c r="F167" s="23"/>
      <c r="G167" s="23"/>
      <c r="H167" s="23"/>
      <c r="I167" s="23"/>
      <c r="J167" s="27"/>
      <c r="K167" s="23"/>
      <c r="L167" s="23"/>
      <c r="M167" s="104"/>
      <c r="N167" s="105"/>
    </row>
    <row r="168" spans="1:14" s="24" customFormat="1" x14ac:dyDescent="0.25">
      <c r="A168" s="20"/>
      <c r="B168" s="20"/>
      <c r="C168" s="21" t="s">
        <v>1034</v>
      </c>
      <c r="D168" s="29"/>
      <c r="E168" s="29"/>
      <c r="F168" s="29"/>
      <c r="G168" s="29"/>
      <c r="H168" s="29"/>
      <c r="I168" s="29"/>
      <c r="J168" s="27">
        <f>+K168-D168</f>
        <v>0</v>
      </c>
      <c r="K168" s="23"/>
      <c r="L168" s="29"/>
      <c r="M168" s="103"/>
      <c r="N168" s="84"/>
    </row>
    <row r="169" spans="1:14" s="24" customFormat="1" x14ac:dyDescent="0.25">
      <c r="A169" s="20"/>
      <c r="B169" s="20"/>
      <c r="C169" s="21" t="s">
        <v>9</v>
      </c>
      <c r="D169" s="29"/>
      <c r="E169" s="29"/>
      <c r="F169" s="29"/>
      <c r="G169" s="29"/>
      <c r="H169" s="29"/>
      <c r="I169" s="29"/>
      <c r="J169" s="27">
        <f>+K169-D169</f>
        <v>0</v>
      </c>
      <c r="K169" s="23"/>
      <c r="L169" s="29"/>
      <c r="M169" s="103"/>
      <c r="N169" s="84"/>
    </row>
    <row r="170" spans="1:14" s="24" customFormat="1" x14ac:dyDescent="0.25">
      <c r="A170" s="20"/>
      <c r="B170" s="20"/>
      <c r="C170" s="21" t="s">
        <v>10</v>
      </c>
      <c r="D170" s="29"/>
      <c r="E170" s="29"/>
      <c r="F170" s="29"/>
      <c r="G170" s="29"/>
      <c r="H170" s="29"/>
      <c r="I170" s="29"/>
      <c r="J170" s="27">
        <f>+K170-D170</f>
        <v>0</v>
      </c>
      <c r="K170" s="23"/>
      <c r="L170" s="29"/>
      <c r="M170" s="103"/>
      <c r="N170" s="84"/>
    </row>
    <row r="171" spans="1:14" s="24" customFormat="1" x14ac:dyDescent="0.25">
      <c r="A171" s="20"/>
      <c r="B171" s="20"/>
      <c r="C171" s="21" t="s">
        <v>22</v>
      </c>
      <c r="D171" s="29"/>
      <c r="E171" s="29"/>
      <c r="F171" s="29"/>
      <c r="G171" s="29"/>
      <c r="H171" s="29"/>
      <c r="I171" s="29"/>
      <c r="J171" s="27">
        <f>+K171-D171</f>
        <v>0</v>
      </c>
      <c r="K171" s="23"/>
      <c r="L171" s="21"/>
      <c r="M171" s="106"/>
      <c r="N171" s="84"/>
    </row>
    <row r="172" spans="1:14" s="28" customFormat="1" ht="14.25" x14ac:dyDescent="0.2">
      <c r="A172" s="25"/>
      <c r="B172" s="25"/>
      <c r="C172" s="26"/>
      <c r="D172" s="23"/>
      <c r="E172" s="23"/>
      <c r="F172" s="23"/>
      <c r="G172" s="23"/>
      <c r="H172" s="23"/>
      <c r="I172" s="23"/>
      <c r="J172" s="27"/>
      <c r="K172" s="23"/>
      <c r="L172" s="26"/>
      <c r="M172" s="108"/>
      <c r="N172" s="105"/>
    </row>
    <row r="173" spans="1:14" s="28" customFormat="1" ht="14.25" x14ac:dyDescent="0.2">
      <c r="A173" s="25" t="s">
        <v>1035</v>
      </c>
      <c r="B173" s="25"/>
      <c r="C173" s="26" t="s">
        <v>25</v>
      </c>
      <c r="D173" s="23">
        <f>VLOOKUP(A173,fin,3,FALSE)</f>
        <v>-827</v>
      </c>
      <c r="E173" s="23">
        <v>-290187</v>
      </c>
      <c r="F173" s="23">
        <v>0</v>
      </c>
      <c r="G173" s="23">
        <v>-524054</v>
      </c>
      <c r="H173" s="23">
        <v>-642946</v>
      </c>
      <c r="I173" s="23">
        <v>44.9</v>
      </c>
      <c r="J173" s="27">
        <f>+K173-D173</f>
        <v>0</v>
      </c>
      <c r="K173" s="23">
        <f>VLOOKUP(A173,fin,4,FALSE)</f>
        <v>-827</v>
      </c>
      <c r="L173" s="23">
        <f>'Revenue per source'!K24</f>
        <v>-864.21500000000003</v>
      </c>
      <c r="M173" s="23">
        <f>'Revenue per source'!L24</f>
        <v>-905.69731999999999</v>
      </c>
      <c r="N173" s="23">
        <f>'Revenue per source'!M24</f>
        <v>-947.35939671999995</v>
      </c>
    </row>
    <row r="174" spans="1:14" s="28" customFormat="1" ht="14.25" x14ac:dyDescent="0.2">
      <c r="A174" s="25"/>
      <c r="B174" s="25"/>
      <c r="C174" s="26"/>
      <c r="D174" s="23"/>
      <c r="E174" s="23"/>
      <c r="F174" s="23"/>
      <c r="G174" s="23"/>
      <c r="H174" s="23"/>
      <c r="I174" s="23"/>
      <c r="J174" s="27"/>
      <c r="K174" s="23"/>
      <c r="L174" s="23"/>
      <c r="M174" s="104"/>
      <c r="N174" s="105"/>
    </row>
    <row r="175" spans="1:14" s="24" customFormat="1" x14ac:dyDescent="0.25">
      <c r="A175" s="20"/>
      <c r="B175" s="20"/>
      <c r="C175" s="21" t="s">
        <v>28</v>
      </c>
      <c r="D175" s="29">
        <f>SUM(D173:D174)</f>
        <v>-827</v>
      </c>
      <c r="E175" s="29">
        <f>SUM(E173:E174)</f>
        <v>-290187</v>
      </c>
      <c r="F175" s="29">
        <f>SUM(F173:F174)</f>
        <v>0</v>
      </c>
      <c r="G175" s="29">
        <f>SUM(G173:G174)</f>
        <v>-524054</v>
      </c>
      <c r="H175" s="29">
        <f>SUM(H173:H174)</f>
        <v>-642946</v>
      </c>
      <c r="I175" s="29">
        <v>8.7200000000000006</v>
      </c>
      <c r="J175" s="27">
        <f>+K175-D175</f>
        <v>0</v>
      </c>
      <c r="K175" s="29">
        <f>SUM(K173:K174)</f>
        <v>-827</v>
      </c>
      <c r="L175" s="29">
        <f>SUM(L173:L174)</f>
        <v>-864.21500000000003</v>
      </c>
      <c r="M175" s="103">
        <f>SUM(M173:M174)</f>
        <v>-905.69731999999999</v>
      </c>
      <c r="N175" s="103">
        <f>SUM(N173:N174)</f>
        <v>-947.35939671999995</v>
      </c>
    </row>
    <row r="176" spans="1:14" s="24" customFormat="1" x14ac:dyDescent="0.25">
      <c r="A176" s="20"/>
      <c r="B176" s="20"/>
      <c r="C176" s="21"/>
      <c r="D176" s="29"/>
      <c r="E176" s="29"/>
      <c r="F176" s="29"/>
      <c r="G176" s="29"/>
      <c r="H176" s="29"/>
      <c r="I176" s="29"/>
      <c r="J176" s="27"/>
      <c r="K176" s="23"/>
      <c r="L176" s="23"/>
      <c r="M176" s="104"/>
      <c r="N176" s="84"/>
    </row>
    <row r="177" spans="1:14" s="24" customFormat="1" x14ac:dyDescent="0.25">
      <c r="A177" s="20"/>
      <c r="B177" s="20"/>
      <c r="C177" s="21" t="s">
        <v>40</v>
      </c>
      <c r="D177" s="29">
        <f>D175</f>
        <v>-827</v>
      </c>
      <c r="E177" s="29">
        <v>0</v>
      </c>
      <c r="F177" s="29">
        <v>0</v>
      </c>
      <c r="G177" s="29">
        <v>-72.17</v>
      </c>
      <c r="H177" s="29">
        <v>-754.83</v>
      </c>
      <c r="I177" s="29">
        <v>8.7200000000000006</v>
      </c>
      <c r="J177" s="27">
        <f>+K177-D177</f>
        <v>0</v>
      </c>
      <c r="K177" s="29">
        <f>K175</f>
        <v>-827</v>
      </c>
      <c r="L177" s="29">
        <f>L175</f>
        <v>-864.21500000000003</v>
      </c>
      <c r="M177" s="103">
        <f>M175</f>
        <v>-905.69731999999999</v>
      </c>
      <c r="N177" s="103">
        <f>N175</f>
        <v>-947.35939671999995</v>
      </c>
    </row>
    <row r="178" spans="1:14" s="28" customFormat="1" x14ac:dyDescent="0.25">
      <c r="A178" s="25"/>
      <c r="B178" s="25"/>
      <c r="C178" s="26"/>
      <c r="D178" s="23"/>
      <c r="E178" s="23"/>
      <c r="F178" s="23"/>
      <c r="G178" s="23"/>
      <c r="H178" s="23"/>
      <c r="I178" s="23"/>
      <c r="J178" s="27"/>
      <c r="K178" s="23"/>
      <c r="L178" s="29"/>
      <c r="M178" s="103"/>
      <c r="N178" s="105"/>
    </row>
    <row r="179" spans="1:14" s="24" customFormat="1" x14ac:dyDescent="0.25">
      <c r="A179" s="20"/>
      <c r="B179" s="20"/>
      <c r="C179" s="21" t="s">
        <v>41</v>
      </c>
      <c r="D179" s="29"/>
      <c r="E179" s="29"/>
      <c r="F179" s="29"/>
      <c r="G179" s="29"/>
      <c r="H179" s="29"/>
      <c r="I179" s="29"/>
      <c r="J179" s="27">
        <f>+K179-D179</f>
        <v>0</v>
      </c>
      <c r="K179" s="23"/>
      <c r="L179" s="29"/>
      <c r="M179" s="103"/>
      <c r="N179" s="84"/>
    </row>
    <row r="180" spans="1:14" s="24" customFormat="1" x14ac:dyDescent="0.25">
      <c r="A180" s="20"/>
      <c r="B180" s="20"/>
      <c r="C180" s="21" t="s">
        <v>42</v>
      </c>
      <c r="D180" s="29"/>
      <c r="E180" s="29"/>
      <c r="F180" s="29"/>
      <c r="G180" s="29"/>
      <c r="H180" s="29"/>
      <c r="I180" s="29"/>
      <c r="J180" s="27">
        <f>+K180-D180</f>
        <v>0</v>
      </c>
      <c r="K180" s="23"/>
      <c r="L180" s="23"/>
      <c r="M180" s="104"/>
      <c r="N180" s="84"/>
    </row>
    <row r="181" spans="1:14" s="24" customFormat="1" x14ac:dyDescent="0.25">
      <c r="A181" s="20"/>
      <c r="B181" s="20"/>
      <c r="C181" s="21" t="s">
        <v>70</v>
      </c>
      <c r="D181" s="29"/>
      <c r="E181" s="29"/>
      <c r="F181" s="29"/>
      <c r="G181" s="29"/>
      <c r="H181" s="29"/>
      <c r="I181" s="29"/>
      <c r="J181" s="27">
        <f>+K181-D181</f>
        <v>0</v>
      </c>
      <c r="K181" s="23"/>
      <c r="L181" s="29"/>
      <c r="M181" s="103"/>
      <c r="N181" s="84"/>
    </row>
    <row r="182" spans="1:14" s="28" customFormat="1" x14ac:dyDescent="0.25">
      <c r="A182" s="25"/>
      <c r="B182" s="25"/>
      <c r="C182" s="26"/>
      <c r="D182" s="23"/>
      <c r="E182" s="23"/>
      <c r="F182" s="23"/>
      <c r="G182" s="23"/>
      <c r="H182" s="23"/>
      <c r="I182" s="23"/>
      <c r="J182" s="27"/>
      <c r="K182" s="23"/>
      <c r="L182" s="29"/>
      <c r="M182" s="103"/>
      <c r="N182" s="105"/>
    </row>
    <row r="183" spans="1:14" s="28" customFormat="1" ht="14.25" x14ac:dyDescent="0.2">
      <c r="A183" s="25" t="s">
        <v>1036</v>
      </c>
      <c r="B183" s="25"/>
      <c r="C183" s="26" t="s">
        <v>71</v>
      </c>
      <c r="D183" s="23">
        <f>VLOOKUP(A183,fin,3,FALSE)</f>
        <v>-310</v>
      </c>
      <c r="E183" s="23">
        <v>-290187</v>
      </c>
      <c r="F183" s="23">
        <v>0</v>
      </c>
      <c r="G183" s="23">
        <v>-524054</v>
      </c>
      <c r="H183" s="23">
        <v>-642946</v>
      </c>
      <c r="I183" s="23">
        <v>44.9</v>
      </c>
      <c r="J183" s="27">
        <f>+K183-D183</f>
        <v>0</v>
      </c>
      <c r="K183" s="23">
        <f>VLOOKUP(A183,fin,4,FALSE)</f>
        <v>-310</v>
      </c>
      <c r="L183" s="23">
        <f>'Revenue per source'!K98</f>
        <v>-323.95</v>
      </c>
      <c r="M183" s="23">
        <f>'Revenue per source'!L98</f>
        <v>-338.85169999999999</v>
      </c>
      <c r="N183" s="23">
        <f>'Revenue per source'!M98</f>
        <v>-354.43887819999998</v>
      </c>
    </row>
    <row r="184" spans="1:14" s="28" customFormat="1" ht="14.25" x14ac:dyDescent="0.2">
      <c r="A184" s="25"/>
      <c r="B184" s="25"/>
      <c r="C184" s="26"/>
      <c r="D184" s="23"/>
      <c r="E184" s="23"/>
      <c r="F184" s="23"/>
      <c r="G184" s="23"/>
      <c r="H184" s="23"/>
      <c r="I184" s="23"/>
      <c r="J184" s="27"/>
      <c r="K184" s="23"/>
      <c r="L184" s="23"/>
      <c r="M184" s="104"/>
      <c r="N184" s="105"/>
    </row>
    <row r="185" spans="1:14" s="24" customFormat="1" x14ac:dyDescent="0.25">
      <c r="A185" s="20"/>
      <c r="B185" s="20"/>
      <c r="C185" s="21" t="s">
        <v>77</v>
      </c>
      <c r="D185" s="29">
        <f>D183</f>
        <v>-310</v>
      </c>
      <c r="E185" s="29">
        <v>0</v>
      </c>
      <c r="F185" s="29">
        <v>0</v>
      </c>
      <c r="G185" s="29">
        <v>0</v>
      </c>
      <c r="H185" s="29">
        <v>-310</v>
      </c>
      <c r="I185" s="29">
        <v>0</v>
      </c>
      <c r="J185" s="27">
        <f>+K185-D185</f>
        <v>0</v>
      </c>
      <c r="K185" s="29">
        <f>K183</f>
        <v>-310</v>
      </c>
      <c r="L185" s="29">
        <f>L183</f>
        <v>-323.95</v>
      </c>
      <c r="M185" s="103">
        <f>M183</f>
        <v>-338.85169999999999</v>
      </c>
      <c r="N185" s="103">
        <f>N183</f>
        <v>-354.43887819999998</v>
      </c>
    </row>
    <row r="186" spans="1:14" s="24" customFormat="1" x14ac:dyDescent="0.25">
      <c r="A186" s="20"/>
      <c r="B186" s="20"/>
      <c r="C186" s="21"/>
      <c r="D186" s="29"/>
      <c r="E186" s="29"/>
      <c r="F186" s="29"/>
      <c r="G186" s="29"/>
      <c r="H186" s="29"/>
      <c r="I186" s="29"/>
      <c r="J186" s="27"/>
      <c r="K186" s="23"/>
      <c r="L186" s="23"/>
      <c r="M186" s="104"/>
      <c r="N186" s="84"/>
    </row>
    <row r="187" spans="1:14" s="24" customFormat="1" x14ac:dyDescent="0.25">
      <c r="A187" s="20"/>
      <c r="B187" s="20"/>
      <c r="C187" s="21" t="s">
        <v>78</v>
      </c>
      <c r="D187" s="29"/>
      <c r="E187" s="29"/>
      <c r="F187" s="29"/>
      <c r="G187" s="29"/>
      <c r="H187" s="29"/>
      <c r="I187" s="29"/>
      <c r="J187" s="27">
        <f ca="1">+K187-D187</f>
        <v>276424</v>
      </c>
      <c r="K187" s="23">
        <f ca="1">D187+J187</f>
        <v>0</v>
      </c>
      <c r="L187" s="29"/>
      <c r="M187" s="103"/>
      <c r="N187" s="84"/>
    </row>
    <row r="188" spans="1:14" s="28" customFormat="1" x14ac:dyDescent="0.25">
      <c r="A188" s="25"/>
      <c r="B188" s="25"/>
      <c r="C188" s="26"/>
      <c r="D188" s="23"/>
      <c r="E188" s="23"/>
      <c r="F188" s="23"/>
      <c r="G188" s="23"/>
      <c r="H188" s="23"/>
      <c r="I188" s="23"/>
      <c r="J188" s="27"/>
      <c r="K188" s="23"/>
      <c r="L188" s="29"/>
      <c r="M188" s="103"/>
      <c r="N188" s="105"/>
    </row>
    <row r="189" spans="1:14" s="28" customFormat="1" ht="14.25" x14ac:dyDescent="0.2">
      <c r="A189" s="25" t="s">
        <v>1037</v>
      </c>
      <c r="B189" s="25"/>
      <c r="C189" s="26" t="s">
        <v>79</v>
      </c>
      <c r="D189" s="23">
        <f>VLOOKUP(A189,fin,3,FALSE)</f>
        <v>-283935</v>
      </c>
      <c r="E189" s="23">
        <v>-290187</v>
      </c>
      <c r="F189" s="23">
        <v>0</v>
      </c>
      <c r="G189" s="23">
        <v>-524054</v>
      </c>
      <c r="H189" s="23">
        <v>-642946</v>
      </c>
      <c r="I189" s="23">
        <v>44.9</v>
      </c>
      <c r="J189" s="27">
        <f>+K189-D189</f>
        <v>50000</v>
      </c>
      <c r="K189" s="23">
        <f>VLOOKUP(A189,fin,4,FALSE)</f>
        <v>-233935</v>
      </c>
      <c r="L189" s="23">
        <f>'Revenue per source'!K109</f>
        <v>-244462.07500000001</v>
      </c>
      <c r="M189" s="23">
        <f>'Revenue per source'!L109</f>
        <v>-255707.33045000001</v>
      </c>
      <c r="N189" s="23">
        <f>'Revenue per source'!M109</f>
        <v>-267469.86765070003</v>
      </c>
    </row>
    <row r="190" spans="1:14" s="28" customFormat="1" ht="14.25" x14ac:dyDescent="0.2">
      <c r="A190" s="25"/>
      <c r="B190" s="25"/>
      <c r="C190" s="26"/>
      <c r="D190" s="23"/>
      <c r="E190" s="23"/>
      <c r="F190" s="23"/>
      <c r="G190" s="23"/>
      <c r="H190" s="23"/>
      <c r="I190" s="23"/>
      <c r="J190" s="27"/>
      <c r="K190" s="23"/>
      <c r="L190" s="23"/>
      <c r="M190" s="104"/>
      <c r="N190" s="105"/>
    </row>
    <row r="191" spans="1:14" s="24" customFormat="1" x14ac:dyDescent="0.25">
      <c r="A191" s="20"/>
      <c r="B191" s="20"/>
      <c r="C191" s="21" t="s">
        <v>80</v>
      </c>
      <c r="D191" s="29">
        <f>D189</f>
        <v>-283935</v>
      </c>
      <c r="E191" s="29">
        <v>-15256.34</v>
      </c>
      <c r="F191" s="29">
        <v>0</v>
      </c>
      <c r="G191" s="29">
        <v>-100969.64</v>
      </c>
      <c r="H191" s="29">
        <v>-182965.36</v>
      </c>
      <c r="I191" s="29">
        <v>35.56</v>
      </c>
      <c r="J191" s="27">
        <f>+K191-D191</f>
        <v>50000</v>
      </c>
      <c r="K191" s="29">
        <f>K189</f>
        <v>-233935</v>
      </c>
      <c r="L191" s="29">
        <f>L189</f>
        <v>-244462.07500000001</v>
      </c>
      <c r="M191" s="103">
        <f>M189</f>
        <v>-255707.33045000001</v>
      </c>
      <c r="N191" s="103">
        <f>N189</f>
        <v>-267469.86765070003</v>
      </c>
    </row>
    <row r="192" spans="1:14" s="24" customFormat="1" x14ac:dyDescent="0.25">
      <c r="A192" s="20"/>
      <c r="B192" s="20"/>
      <c r="C192" s="21"/>
      <c r="D192" s="29"/>
      <c r="E192" s="29"/>
      <c r="F192" s="29"/>
      <c r="G192" s="29"/>
      <c r="H192" s="29"/>
      <c r="I192" s="29"/>
      <c r="J192" s="27"/>
      <c r="K192" s="23"/>
      <c r="L192" s="23"/>
      <c r="M192" s="104"/>
      <c r="N192" s="84"/>
    </row>
    <row r="193" spans="1:14" s="24" customFormat="1" x14ac:dyDescent="0.25">
      <c r="A193" s="20"/>
      <c r="B193" s="20"/>
      <c r="C193" s="21" t="s">
        <v>81</v>
      </c>
      <c r="D193" s="29"/>
      <c r="E193" s="29"/>
      <c r="F193" s="29"/>
      <c r="G193" s="29"/>
      <c r="H193" s="29"/>
      <c r="I193" s="29"/>
      <c r="J193" s="27">
        <f ca="1">+K193-D193</f>
        <v>276424</v>
      </c>
      <c r="K193" s="23">
        <f ca="1">D193+J193</f>
        <v>0</v>
      </c>
      <c r="L193" s="29"/>
      <c r="M193" s="103"/>
      <c r="N193" s="84"/>
    </row>
    <row r="194" spans="1:14" s="28" customFormat="1" x14ac:dyDescent="0.25">
      <c r="A194" s="25"/>
      <c r="B194" s="25"/>
      <c r="C194" s="26"/>
      <c r="D194" s="23"/>
      <c r="E194" s="23"/>
      <c r="F194" s="23"/>
      <c r="G194" s="23"/>
      <c r="H194" s="23"/>
      <c r="I194" s="23"/>
      <c r="J194" s="27"/>
      <c r="K194" s="23"/>
      <c r="L194" s="29"/>
      <c r="M194" s="103"/>
      <c r="N194" s="105"/>
    </row>
    <row r="195" spans="1:14" s="28" customFormat="1" ht="14.25" x14ac:dyDescent="0.2">
      <c r="A195" s="25" t="s">
        <v>1038</v>
      </c>
      <c r="B195" s="25"/>
      <c r="C195" s="26" t="s">
        <v>84</v>
      </c>
      <c r="D195" s="23">
        <f>VLOOKUP(A195,fin,3,FALSE)</f>
        <v>-2200</v>
      </c>
      <c r="E195" s="23">
        <v>-290187</v>
      </c>
      <c r="F195" s="23">
        <v>0</v>
      </c>
      <c r="G195" s="23">
        <v>-524054</v>
      </c>
      <c r="H195" s="23">
        <v>-642946</v>
      </c>
      <c r="I195" s="23">
        <v>44.9</v>
      </c>
      <c r="J195" s="27">
        <f>+K195-D195</f>
        <v>0</v>
      </c>
      <c r="K195" s="23">
        <f>VLOOKUP(A195,fin,4,FALSE)</f>
        <v>-2200</v>
      </c>
      <c r="L195" s="23">
        <f>'Revenue per source'!K117</f>
        <v>-2299</v>
      </c>
      <c r="M195" s="23">
        <f>'Revenue per source'!L117</f>
        <v>-2404.7539999999999</v>
      </c>
      <c r="N195" s="23">
        <f>'Revenue per source'!M117</f>
        <v>-2515.3726839999999</v>
      </c>
    </row>
    <row r="196" spans="1:14" s="28" customFormat="1" ht="14.25" x14ac:dyDescent="0.2">
      <c r="A196" s="25"/>
      <c r="B196" s="25"/>
      <c r="C196" s="26"/>
      <c r="D196" s="23"/>
      <c r="E196" s="23"/>
      <c r="F196" s="23"/>
      <c r="G196" s="23"/>
      <c r="H196" s="23"/>
      <c r="I196" s="23"/>
      <c r="J196" s="27"/>
      <c r="K196" s="23"/>
      <c r="L196" s="23"/>
      <c r="M196" s="104"/>
      <c r="N196" s="105"/>
    </row>
    <row r="197" spans="1:14" s="24" customFormat="1" x14ac:dyDescent="0.25">
      <c r="A197" s="20"/>
      <c r="B197" s="20"/>
      <c r="C197" s="21" t="s">
        <v>90</v>
      </c>
      <c r="D197" s="29">
        <f>SUM(D195:D196)</f>
        <v>-2200</v>
      </c>
      <c r="E197" s="29">
        <v>0</v>
      </c>
      <c r="F197" s="29">
        <v>0</v>
      </c>
      <c r="G197" s="29">
        <v>0</v>
      </c>
      <c r="H197" s="29">
        <v>-2200</v>
      </c>
      <c r="I197" s="29">
        <v>0</v>
      </c>
      <c r="J197" s="27">
        <f>+K197-D197</f>
        <v>0</v>
      </c>
      <c r="K197" s="29">
        <f>SUM(K195:K196)</f>
        <v>-2200</v>
      </c>
      <c r="L197" s="29">
        <f>SUM(L195:L196)</f>
        <v>-2299</v>
      </c>
      <c r="M197" s="103">
        <f>SUM(M195:M196)</f>
        <v>-2404.7539999999999</v>
      </c>
      <c r="N197" s="103">
        <f>SUM(N195:N196)</f>
        <v>-2515.3726839999999</v>
      </c>
    </row>
    <row r="198" spans="1:14" s="24" customFormat="1" x14ac:dyDescent="0.25">
      <c r="A198" s="20"/>
      <c r="B198" s="20"/>
      <c r="C198" s="21"/>
      <c r="D198" s="29"/>
      <c r="E198" s="29"/>
      <c r="F198" s="29"/>
      <c r="G198" s="29"/>
      <c r="H198" s="29"/>
      <c r="I198" s="29"/>
      <c r="J198" s="27"/>
      <c r="K198" s="23"/>
      <c r="L198" s="23"/>
      <c r="M198" s="104"/>
      <c r="N198" s="84"/>
    </row>
    <row r="199" spans="1:14" s="24" customFormat="1" x14ac:dyDescent="0.25">
      <c r="A199" s="20"/>
      <c r="B199" s="20"/>
      <c r="C199" s="21" t="s">
        <v>94</v>
      </c>
      <c r="D199" s="29">
        <f>+D191+D197</f>
        <v>-286135</v>
      </c>
      <c r="E199" s="29">
        <v>-15256.34</v>
      </c>
      <c r="F199" s="29">
        <v>0</v>
      </c>
      <c r="G199" s="29">
        <v>-100969.64</v>
      </c>
      <c r="H199" s="29">
        <v>-185475.36</v>
      </c>
      <c r="I199" s="29">
        <v>35.24</v>
      </c>
      <c r="J199" s="27">
        <f>+K199-D199</f>
        <v>50000</v>
      </c>
      <c r="K199" s="29">
        <f>+K191+K197</f>
        <v>-236135</v>
      </c>
      <c r="L199" s="29">
        <f>+L191+L197</f>
        <v>-246761.07500000001</v>
      </c>
      <c r="M199" s="103">
        <f>+M191+M197</f>
        <v>-258112.08444999999</v>
      </c>
      <c r="N199" s="103">
        <f>+N191+N197</f>
        <v>-269985.24033470004</v>
      </c>
    </row>
    <row r="200" spans="1:14" s="24" customFormat="1" x14ac:dyDescent="0.25">
      <c r="A200" s="20"/>
      <c r="B200" s="20"/>
      <c r="C200" s="21"/>
      <c r="D200" s="29"/>
      <c r="E200" s="29"/>
      <c r="F200" s="29"/>
      <c r="G200" s="29"/>
      <c r="H200" s="29"/>
      <c r="I200" s="29"/>
      <c r="J200" s="27"/>
      <c r="K200" s="23"/>
      <c r="L200" s="29"/>
      <c r="M200" s="103"/>
      <c r="N200" s="84"/>
    </row>
    <row r="201" spans="1:14" s="24" customFormat="1" x14ac:dyDescent="0.25">
      <c r="A201" s="20"/>
      <c r="B201" s="20"/>
      <c r="C201" s="21" t="s">
        <v>95</v>
      </c>
      <c r="D201" s="29">
        <f>+D177+D185+D191+D197</f>
        <v>-287272</v>
      </c>
      <c r="E201" s="29">
        <v>-15256.34</v>
      </c>
      <c r="F201" s="29">
        <v>0</v>
      </c>
      <c r="G201" s="29">
        <v>-101041.81</v>
      </c>
      <c r="H201" s="29">
        <v>-186230.19</v>
      </c>
      <c r="I201" s="29">
        <v>35.17</v>
      </c>
      <c r="J201" s="27">
        <f>+K201-D201</f>
        <v>50000</v>
      </c>
      <c r="K201" s="29">
        <f>+K177+K185+K191+K197</f>
        <v>-237272</v>
      </c>
      <c r="L201" s="29">
        <f>+L177+L185+L191+L197</f>
        <v>-247949.24000000002</v>
      </c>
      <c r="M201" s="103">
        <f>+M177+M185+M191+M197</f>
        <v>-259356.63347</v>
      </c>
      <c r="N201" s="103">
        <f>+N177+N185+N191+N197</f>
        <v>-271287.03860962001</v>
      </c>
    </row>
    <row r="202" spans="1:14" s="24" customFormat="1" x14ac:dyDescent="0.25">
      <c r="A202" s="20"/>
      <c r="B202" s="20"/>
      <c r="C202" s="21"/>
      <c r="D202" s="29"/>
      <c r="E202" s="29"/>
      <c r="F202" s="29"/>
      <c r="G202" s="29"/>
      <c r="H202" s="29"/>
      <c r="I202" s="29"/>
      <c r="J202" s="27"/>
      <c r="K202" s="23"/>
      <c r="L202" s="29"/>
      <c r="M202" s="103"/>
      <c r="N202" s="84"/>
    </row>
    <row r="203" spans="1:14" s="24" customFormat="1" x14ac:dyDescent="0.25">
      <c r="A203" s="20"/>
      <c r="B203" s="20"/>
      <c r="C203" s="21" t="s">
        <v>96</v>
      </c>
      <c r="D203" s="29"/>
      <c r="E203" s="29"/>
      <c r="F203" s="29"/>
      <c r="G203" s="29"/>
      <c r="H203" s="29"/>
      <c r="I203" s="29"/>
      <c r="J203" s="27">
        <f>+K203-D203</f>
        <v>0</v>
      </c>
      <c r="K203" s="23"/>
      <c r="L203" s="29"/>
      <c r="M203" s="103"/>
      <c r="N203" s="84"/>
    </row>
    <row r="204" spans="1:14" s="24" customFormat="1" x14ac:dyDescent="0.25">
      <c r="A204" s="20"/>
      <c r="B204" s="20"/>
      <c r="C204" s="21" t="s">
        <v>97</v>
      </c>
      <c r="D204" s="29"/>
      <c r="E204" s="29"/>
      <c r="F204" s="29"/>
      <c r="G204" s="29"/>
      <c r="H204" s="29"/>
      <c r="I204" s="29"/>
      <c r="J204" s="27">
        <f>+K204-D204</f>
        <v>0</v>
      </c>
      <c r="K204" s="23"/>
      <c r="L204" s="29"/>
      <c r="M204" s="103"/>
      <c r="N204" s="84"/>
    </row>
    <row r="205" spans="1:14" s="24" customFormat="1" x14ac:dyDescent="0.25">
      <c r="A205" s="20"/>
      <c r="B205" s="20"/>
      <c r="C205" s="21" t="s">
        <v>148</v>
      </c>
      <c r="D205" s="29"/>
      <c r="E205" s="29"/>
      <c r="F205" s="29"/>
      <c r="G205" s="29"/>
      <c r="H205" s="29"/>
      <c r="I205" s="29"/>
      <c r="J205" s="27">
        <f>+K205-D205</f>
        <v>0</v>
      </c>
      <c r="K205" s="23"/>
      <c r="L205" s="29"/>
      <c r="M205" s="103"/>
      <c r="N205" s="84"/>
    </row>
    <row r="206" spans="1:14" s="24" customFormat="1" x14ac:dyDescent="0.25">
      <c r="A206" s="20"/>
      <c r="B206" s="20"/>
      <c r="C206" s="21" t="s">
        <v>149</v>
      </c>
      <c r="D206" s="29"/>
      <c r="E206" s="29"/>
      <c r="F206" s="29"/>
      <c r="G206" s="29"/>
      <c r="H206" s="29"/>
      <c r="I206" s="29"/>
      <c r="J206" s="27">
        <f>+K206-D206</f>
        <v>0</v>
      </c>
      <c r="K206" s="23"/>
      <c r="L206" s="29"/>
      <c r="M206" s="103"/>
      <c r="N206" s="84"/>
    </row>
    <row r="207" spans="1:14" s="28" customFormat="1" ht="14.25" x14ac:dyDescent="0.2">
      <c r="A207" s="25"/>
      <c r="B207" s="25"/>
      <c r="C207" s="26"/>
      <c r="D207" s="23"/>
      <c r="E207" s="23"/>
      <c r="F207" s="23"/>
      <c r="G207" s="23"/>
      <c r="H207" s="23"/>
      <c r="I207" s="23"/>
      <c r="J207" s="27"/>
      <c r="K207" s="23"/>
      <c r="L207" s="23"/>
      <c r="M207" s="104"/>
      <c r="N207" s="105"/>
    </row>
    <row r="208" spans="1:14" s="28" customFormat="1" ht="14.25" x14ac:dyDescent="0.2">
      <c r="A208" s="25" t="s">
        <v>1039</v>
      </c>
      <c r="B208" s="25"/>
      <c r="C208" s="26" t="s">
        <v>150</v>
      </c>
      <c r="D208" s="23">
        <f t="shared" ref="D208:D217" si="41">VLOOKUP(A208,fin,3,FALSE)</f>
        <v>642046</v>
      </c>
      <c r="E208" s="23">
        <v>-290187</v>
      </c>
      <c r="F208" s="23">
        <v>0</v>
      </c>
      <c r="G208" s="23">
        <v>-524054</v>
      </c>
      <c r="H208" s="23">
        <v>-642946</v>
      </c>
      <c r="I208" s="23">
        <v>44.9</v>
      </c>
      <c r="J208" s="27">
        <f t="shared" ref="J208:J217" si="42">+K208-D208</f>
        <v>0</v>
      </c>
      <c r="K208" s="23">
        <f t="shared" ref="K208:K217" si="43">VLOOKUP(A208,fin,4,FALSE)</f>
        <v>642046</v>
      </c>
      <c r="L208" s="23">
        <f t="shared" ref="L208:L217" si="44">K208*6.25/100+K208</f>
        <v>682173.875</v>
      </c>
      <c r="M208" s="179">
        <f t="shared" ref="M208:N217" si="45">L208*7/100+L208</f>
        <v>729926.04625000001</v>
      </c>
      <c r="N208" s="105">
        <f t="shared" si="45"/>
        <v>781020.86948750005</v>
      </c>
    </row>
    <row r="209" spans="1:14" s="28" customFormat="1" ht="14.25" x14ac:dyDescent="0.2">
      <c r="A209" s="25" t="s">
        <v>1040</v>
      </c>
      <c r="B209" s="25"/>
      <c r="C209" s="26" t="s">
        <v>151</v>
      </c>
      <c r="D209" s="23">
        <f t="shared" si="41"/>
        <v>30002</v>
      </c>
      <c r="E209" s="23">
        <v>-290187</v>
      </c>
      <c r="F209" s="23">
        <v>0</v>
      </c>
      <c r="G209" s="23">
        <v>-524054</v>
      </c>
      <c r="H209" s="23">
        <v>-642946</v>
      </c>
      <c r="I209" s="23">
        <v>44.9</v>
      </c>
      <c r="J209" s="27">
        <f t="shared" si="42"/>
        <v>-13067.82</v>
      </c>
      <c r="K209" s="23">
        <f t="shared" si="43"/>
        <v>16934.18</v>
      </c>
      <c r="L209" s="23">
        <f t="shared" si="44"/>
        <v>17992.56625</v>
      </c>
      <c r="M209" s="179">
        <f t="shared" si="45"/>
        <v>19252.0458875</v>
      </c>
      <c r="N209" s="105">
        <f t="shared" si="45"/>
        <v>20599.689099625</v>
      </c>
    </row>
    <row r="210" spans="1:14" s="28" customFormat="1" ht="14.25" x14ac:dyDescent="0.2">
      <c r="A210" s="25" t="s">
        <v>1041</v>
      </c>
      <c r="B210" s="25"/>
      <c r="C210" s="26" t="s">
        <v>152</v>
      </c>
      <c r="D210" s="23">
        <f t="shared" si="41"/>
        <v>24000</v>
      </c>
      <c r="E210" s="23">
        <v>-290187</v>
      </c>
      <c r="F210" s="23">
        <v>0</v>
      </c>
      <c r="G210" s="23">
        <v>-524054</v>
      </c>
      <c r="H210" s="23">
        <v>-642946</v>
      </c>
      <c r="I210" s="23">
        <v>44.9</v>
      </c>
      <c r="J210" s="27">
        <f t="shared" si="42"/>
        <v>0</v>
      </c>
      <c r="K210" s="23">
        <f t="shared" si="43"/>
        <v>24000</v>
      </c>
      <c r="L210" s="23">
        <f t="shared" si="44"/>
        <v>25500</v>
      </c>
      <c r="M210" s="179">
        <f t="shared" si="45"/>
        <v>27285</v>
      </c>
      <c r="N210" s="105">
        <f t="shared" si="45"/>
        <v>29194.95</v>
      </c>
    </row>
    <row r="211" spans="1:14" s="28" customFormat="1" ht="14.25" x14ac:dyDescent="0.2">
      <c r="A211" s="25" t="s">
        <v>1042</v>
      </c>
      <c r="B211" s="25"/>
      <c r="C211" s="26" t="s">
        <v>153</v>
      </c>
      <c r="D211" s="23">
        <f t="shared" si="41"/>
        <v>10893</v>
      </c>
      <c r="E211" s="23">
        <v>-290187</v>
      </c>
      <c r="F211" s="23">
        <v>0</v>
      </c>
      <c r="G211" s="23">
        <v>-524054</v>
      </c>
      <c r="H211" s="23">
        <v>-642946</v>
      </c>
      <c r="I211" s="23">
        <v>44.9</v>
      </c>
      <c r="J211" s="27">
        <f t="shared" si="42"/>
        <v>0</v>
      </c>
      <c r="K211" s="23">
        <f t="shared" si="43"/>
        <v>10893</v>
      </c>
      <c r="L211" s="23">
        <f t="shared" si="44"/>
        <v>11573.8125</v>
      </c>
      <c r="M211" s="179">
        <f t="shared" si="45"/>
        <v>12383.979375000001</v>
      </c>
      <c r="N211" s="105">
        <f t="shared" si="45"/>
        <v>13250.857931250001</v>
      </c>
    </row>
    <row r="212" spans="1:14" s="28" customFormat="1" ht="14.25" x14ac:dyDescent="0.2">
      <c r="A212" s="25" t="s">
        <v>1043</v>
      </c>
      <c r="B212" s="25"/>
      <c r="C212" s="26" t="s">
        <v>155</v>
      </c>
      <c r="D212" s="23">
        <f t="shared" si="41"/>
        <v>21306</v>
      </c>
      <c r="E212" s="23">
        <v>-290187</v>
      </c>
      <c r="F212" s="23">
        <v>0</v>
      </c>
      <c r="G212" s="23">
        <v>-524054</v>
      </c>
      <c r="H212" s="23">
        <v>-642946</v>
      </c>
      <c r="I212" s="23">
        <v>44.9</v>
      </c>
      <c r="J212" s="27">
        <f t="shared" si="42"/>
        <v>0</v>
      </c>
      <c r="K212" s="23">
        <f t="shared" si="43"/>
        <v>21306</v>
      </c>
      <c r="L212" s="23">
        <f t="shared" si="44"/>
        <v>22637.625</v>
      </c>
      <c r="M212" s="179">
        <f t="shared" si="45"/>
        <v>24222.258750000001</v>
      </c>
      <c r="N212" s="105">
        <f t="shared" si="45"/>
        <v>25917.8168625</v>
      </c>
    </row>
    <row r="213" spans="1:14" s="28" customFormat="1" ht="14.25" x14ac:dyDescent="0.2">
      <c r="A213" s="25" t="s">
        <v>1044</v>
      </c>
      <c r="B213" s="25"/>
      <c r="C213" s="26" t="s">
        <v>156</v>
      </c>
      <c r="D213" s="23">
        <f t="shared" si="41"/>
        <v>160511</v>
      </c>
      <c r="E213" s="23">
        <v>-290187</v>
      </c>
      <c r="F213" s="23">
        <v>0</v>
      </c>
      <c r="G213" s="23">
        <v>-524054</v>
      </c>
      <c r="H213" s="23">
        <v>-642946</v>
      </c>
      <c r="I213" s="23">
        <v>44.9</v>
      </c>
      <c r="J213" s="27">
        <f t="shared" si="42"/>
        <v>0</v>
      </c>
      <c r="K213" s="23">
        <f t="shared" si="43"/>
        <v>160511</v>
      </c>
      <c r="L213" s="23">
        <f t="shared" si="44"/>
        <v>170542.9375</v>
      </c>
      <c r="M213" s="179">
        <f t="shared" si="45"/>
        <v>182480.94312499999</v>
      </c>
      <c r="N213" s="105">
        <f t="shared" si="45"/>
        <v>195254.60914374999</v>
      </c>
    </row>
    <row r="214" spans="1:14" s="28" customFormat="1" ht="14.25" x14ac:dyDescent="0.2">
      <c r="A214" s="25" t="s">
        <v>1045</v>
      </c>
      <c r="B214" s="25"/>
      <c r="C214" s="26" t="s">
        <v>158</v>
      </c>
      <c r="D214" s="23">
        <f t="shared" si="41"/>
        <v>12961</v>
      </c>
      <c r="E214" s="23">
        <v>-290187</v>
      </c>
      <c r="F214" s="23">
        <v>0</v>
      </c>
      <c r="G214" s="23">
        <v>-524054</v>
      </c>
      <c r="H214" s="23">
        <v>-642946</v>
      </c>
      <c r="I214" s="23">
        <v>44.9</v>
      </c>
      <c r="J214" s="27">
        <f t="shared" si="42"/>
        <v>-12961</v>
      </c>
      <c r="K214" s="23">
        <f t="shared" si="43"/>
        <v>0</v>
      </c>
      <c r="L214" s="23">
        <f t="shared" si="44"/>
        <v>0</v>
      </c>
      <c r="M214" s="179">
        <f t="shared" si="45"/>
        <v>0</v>
      </c>
      <c r="N214" s="105">
        <f t="shared" si="45"/>
        <v>0</v>
      </c>
    </row>
    <row r="215" spans="1:14" s="28" customFormat="1" ht="14.25" x14ac:dyDescent="0.2">
      <c r="A215" s="25" t="s">
        <v>1046</v>
      </c>
      <c r="B215" s="25"/>
      <c r="C215" s="26" t="s">
        <v>159</v>
      </c>
      <c r="D215" s="23">
        <f t="shared" si="41"/>
        <v>53504</v>
      </c>
      <c r="E215" s="23">
        <v>-290187</v>
      </c>
      <c r="F215" s="23">
        <v>0</v>
      </c>
      <c r="G215" s="23">
        <v>-524054</v>
      </c>
      <c r="H215" s="23">
        <v>-642946</v>
      </c>
      <c r="I215" s="23">
        <v>44.9</v>
      </c>
      <c r="J215" s="27">
        <f t="shared" si="42"/>
        <v>0</v>
      </c>
      <c r="K215" s="23">
        <f t="shared" si="43"/>
        <v>53504</v>
      </c>
      <c r="L215" s="23">
        <f t="shared" si="44"/>
        <v>56848</v>
      </c>
      <c r="M215" s="179">
        <f t="shared" si="45"/>
        <v>60827.360000000001</v>
      </c>
      <c r="N215" s="105">
        <f t="shared" si="45"/>
        <v>65085.275200000004</v>
      </c>
    </row>
    <row r="216" spans="1:14" s="28" customFormat="1" ht="14.25" x14ac:dyDescent="0.2">
      <c r="A216" s="25" t="s">
        <v>1047</v>
      </c>
      <c r="B216" s="25"/>
      <c r="C216" s="26" t="s">
        <v>161</v>
      </c>
      <c r="D216" s="23">
        <f t="shared" si="41"/>
        <v>81402</v>
      </c>
      <c r="E216" s="23">
        <v>-290187</v>
      </c>
      <c r="F216" s="23">
        <v>0</v>
      </c>
      <c r="G216" s="23">
        <v>-524054</v>
      </c>
      <c r="H216" s="23">
        <v>-642946</v>
      </c>
      <c r="I216" s="23">
        <v>44.9</v>
      </c>
      <c r="J216" s="27">
        <f t="shared" si="42"/>
        <v>0</v>
      </c>
      <c r="K216" s="23">
        <f t="shared" si="43"/>
        <v>81402</v>
      </c>
      <c r="L216" s="23">
        <f t="shared" si="44"/>
        <v>86489.625</v>
      </c>
      <c r="M216" s="179">
        <f t="shared" si="45"/>
        <v>92543.898749999993</v>
      </c>
      <c r="N216" s="105">
        <f t="shared" si="45"/>
        <v>99021.9716625</v>
      </c>
    </row>
    <row r="217" spans="1:14" s="28" customFormat="1" ht="14.25" x14ac:dyDescent="0.2">
      <c r="A217" s="25" t="s">
        <v>1048</v>
      </c>
      <c r="B217" s="25"/>
      <c r="C217" s="26" t="s">
        <v>164</v>
      </c>
      <c r="D217" s="23">
        <f t="shared" si="41"/>
        <v>15692</v>
      </c>
      <c r="E217" s="23">
        <v>-290187</v>
      </c>
      <c r="F217" s="23">
        <v>0</v>
      </c>
      <c r="G217" s="23">
        <v>-524054</v>
      </c>
      <c r="H217" s="23">
        <v>-642946</v>
      </c>
      <c r="I217" s="23">
        <v>44.9</v>
      </c>
      <c r="J217" s="27">
        <f t="shared" si="42"/>
        <v>0</v>
      </c>
      <c r="K217" s="23">
        <f t="shared" si="43"/>
        <v>15692</v>
      </c>
      <c r="L217" s="23">
        <f t="shared" si="44"/>
        <v>16672.75</v>
      </c>
      <c r="M217" s="179">
        <f t="shared" si="45"/>
        <v>17839.842499999999</v>
      </c>
      <c r="N217" s="105">
        <f t="shared" si="45"/>
        <v>19088.631474999998</v>
      </c>
    </row>
    <row r="218" spans="1:14" s="28" customFormat="1" ht="14.25" x14ac:dyDescent="0.2">
      <c r="A218" s="25"/>
      <c r="B218" s="25"/>
      <c r="C218" s="26"/>
      <c r="D218" s="23"/>
      <c r="E218" s="23"/>
      <c r="F218" s="23"/>
      <c r="G218" s="23"/>
      <c r="H218" s="23"/>
      <c r="I218" s="23"/>
      <c r="J218" s="27"/>
      <c r="K218" s="23"/>
      <c r="L218" s="23"/>
      <c r="M218" s="104"/>
      <c r="N218" s="105"/>
    </row>
    <row r="219" spans="1:14" s="24" customFormat="1" x14ac:dyDescent="0.25">
      <c r="A219" s="20"/>
      <c r="B219" s="20"/>
      <c r="C219" s="21" t="s">
        <v>165</v>
      </c>
      <c r="D219" s="29">
        <f>SUM(D208:D218)</f>
        <v>1052317</v>
      </c>
      <c r="E219" s="29">
        <v>131420.04</v>
      </c>
      <c r="F219" s="29">
        <v>0</v>
      </c>
      <c r="G219" s="29">
        <v>703849.34</v>
      </c>
      <c r="H219" s="29">
        <v>348467.66</v>
      </c>
      <c r="I219" s="29">
        <v>66.88</v>
      </c>
      <c r="J219" s="27">
        <f>+K219-D219</f>
        <v>-26028.819999999949</v>
      </c>
      <c r="K219" s="29">
        <f>SUM(K208:K218)</f>
        <v>1026288.18</v>
      </c>
      <c r="L219" s="29">
        <f>SUM(L208:L218)</f>
        <v>1090431.1912500001</v>
      </c>
      <c r="M219" s="103">
        <f>SUM(M208:M218)</f>
        <v>1166761.3746375002</v>
      </c>
      <c r="N219" s="103">
        <f>SUM(N208:N218)</f>
        <v>1248434.670862125</v>
      </c>
    </row>
    <row r="220" spans="1:14" s="24" customFormat="1" x14ac:dyDescent="0.25">
      <c r="A220" s="20"/>
      <c r="B220" s="20"/>
      <c r="C220" s="21"/>
      <c r="D220" s="29"/>
      <c r="E220" s="29"/>
      <c r="F220" s="29"/>
      <c r="G220" s="29"/>
      <c r="H220" s="29"/>
      <c r="I220" s="29"/>
      <c r="J220" s="27"/>
      <c r="K220" s="23"/>
      <c r="N220" s="84"/>
    </row>
    <row r="221" spans="1:14" s="24" customFormat="1" x14ac:dyDescent="0.25">
      <c r="A221" s="20"/>
      <c r="B221" s="20"/>
      <c r="C221" s="21" t="s">
        <v>166</v>
      </c>
      <c r="D221" s="29"/>
      <c r="E221" s="29"/>
      <c r="F221" s="29"/>
      <c r="G221" s="29"/>
      <c r="H221" s="29"/>
      <c r="I221" s="29"/>
      <c r="J221" s="27">
        <f>+K221-D221</f>
        <v>0</v>
      </c>
      <c r="K221" s="23"/>
      <c r="L221" s="29"/>
      <c r="M221" s="103"/>
      <c r="N221" s="84"/>
    </row>
    <row r="222" spans="1:14" s="28" customFormat="1" ht="14.25" x14ac:dyDescent="0.2">
      <c r="A222" s="25"/>
      <c r="B222" s="25"/>
      <c r="C222" s="26"/>
      <c r="D222" s="23"/>
      <c r="E222" s="23"/>
      <c r="F222" s="23"/>
      <c r="G222" s="23"/>
      <c r="H222" s="23"/>
      <c r="I222" s="23"/>
      <c r="J222" s="27"/>
      <c r="K222" s="23"/>
      <c r="L222" s="23"/>
      <c r="M222" s="104"/>
      <c r="N222" s="105"/>
    </row>
    <row r="223" spans="1:14" s="28" customFormat="1" ht="14.25" x14ac:dyDescent="0.2">
      <c r="A223" s="25" t="s">
        <v>1049</v>
      </c>
      <c r="B223" s="25"/>
      <c r="C223" s="26" t="s">
        <v>167</v>
      </c>
      <c r="D223" s="23">
        <f>VLOOKUP(A223,fin,3,FALSE)</f>
        <v>112</v>
      </c>
      <c r="E223" s="23">
        <v>-290187</v>
      </c>
      <c r="F223" s="23">
        <v>0</v>
      </c>
      <c r="G223" s="23">
        <v>-524054</v>
      </c>
      <c r="H223" s="23">
        <v>-642946</v>
      </c>
      <c r="I223" s="23">
        <v>44.9</v>
      </c>
      <c r="J223" s="27">
        <f>+K223-D223</f>
        <v>38</v>
      </c>
      <c r="K223" s="23">
        <f>VLOOKUP(A223,fin,4,FALSE)</f>
        <v>150</v>
      </c>
      <c r="L223" s="23">
        <f>K223*6.25/100+K223</f>
        <v>159.375</v>
      </c>
      <c r="M223" s="179">
        <f t="shared" ref="M223:N226" si="46">L223*7/100+L223</f>
        <v>170.53125</v>
      </c>
      <c r="N223" s="105">
        <f t="shared" si="46"/>
        <v>182.46843749999999</v>
      </c>
    </row>
    <row r="224" spans="1:14" s="28" customFormat="1" ht="14.25" x14ac:dyDescent="0.2">
      <c r="A224" s="25" t="s">
        <v>1050</v>
      </c>
      <c r="B224" s="25"/>
      <c r="C224" s="26" t="s">
        <v>168</v>
      </c>
      <c r="D224" s="23">
        <f>VLOOKUP(A224,fin,3,FALSE)</f>
        <v>53908</v>
      </c>
      <c r="E224" s="23">
        <v>-290187</v>
      </c>
      <c r="F224" s="23">
        <v>0</v>
      </c>
      <c r="G224" s="23">
        <v>-524054</v>
      </c>
      <c r="H224" s="23">
        <v>-642946</v>
      </c>
      <c r="I224" s="23">
        <v>44.9</v>
      </c>
      <c r="J224" s="27">
        <f>+K224-D224</f>
        <v>0</v>
      </c>
      <c r="K224" s="23">
        <f>VLOOKUP(A224,fin,4,FALSE)</f>
        <v>53908</v>
      </c>
      <c r="L224" s="23">
        <f>K224*6.25/100+K224</f>
        <v>57277.25</v>
      </c>
      <c r="M224" s="179">
        <f t="shared" si="46"/>
        <v>61286.657500000001</v>
      </c>
      <c r="N224" s="105">
        <f t="shared" si="46"/>
        <v>65576.723525000009</v>
      </c>
    </row>
    <row r="225" spans="1:14" s="28" customFormat="1" ht="14.25" x14ac:dyDescent="0.2">
      <c r="A225" s="25" t="s">
        <v>1051</v>
      </c>
      <c r="B225" s="25"/>
      <c r="C225" s="26" t="s">
        <v>169</v>
      </c>
      <c r="D225" s="23">
        <f>VLOOKUP(A225,fin,3,FALSE)</f>
        <v>141250</v>
      </c>
      <c r="E225" s="23">
        <v>-290187</v>
      </c>
      <c r="F225" s="23">
        <v>0</v>
      </c>
      <c r="G225" s="23">
        <v>-524054</v>
      </c>
      <c r="H225" s="23">
        <v>-642946</v>
      </c>
      <c r="I225" s="23">
        <v>44.9</v>
      </c>
      <c r="J225" s="27">
        <f>+K225-D225</f>
        <v>0</v>
      </c>
      <c r="K225" s="23">
        <f>VLOOKUP(A225,fin,4,FALSE)</f>
        <v>141250</v>
      </c>
      <c r="L225" s="23">
        <f>K225*6.25/100+K225</f>
        <v>150078.125</v>
      </c>
      <c r="M225" s="179">
        <f t="shared" si="46"/>
        <v>160583.59375</v>
      </c>
      <c r="N225" s="105">
        <f t="shared" si="46"/>
        <v>171824.4453125</v>
      </c>
    </row>
    <row r="226" spans="1:14" s="28" customFormat="1" ht="14.25" x14ac:dyDescent="0.2">
      <c r="A226" s="25" t="s">
        <v>1052</v>
      </c>
      <c r="B226" s="25"/>
      <c r="C226" s="26" t="s">
        <v>170</v>
      </c>
      <c r="D226" s="23">
        <f>VLOOKUP(A226,fin,3,FALSE)</f>
        <v>1785</v>
      </c>
      <c r="E226" s="23">
        <v>-290187</v>
      </c>
      <c r="F226" s="23">
        <v>0</v>
      </c>
      <c r="G226" s="23">
        <v>-524054</v>
      </c>
      <c r="H226" s="23">
        <v>-642946</v>
      </c>
      <c r="I226" s="23">
        <v>44.9</v>
      </c>
      <c r="J226" s="27">
        <f>+K226-D226</f>
        <v>715</v>
      </c>
      <c r="K226" s="23">
        <f>VLOOKUP(A226,fin,4,FALSE)</f>
        <v>2500</v>
      </c>
      <c r="L226" s="23">
        <f>K226*6.25/100+K226</f>
        <v>2656.25</v>
      </c>
      <c r="M226" s="179">
        <f t="shared" si="46"/>
        <v>2842.1875</v>
      </c>
      <c r="N226" s="105">
        <f t="shared" si="46"/>
        <v>3041.140625</v>
      </c>
    </row>
    <row r="227" spans="1:14" s="28" customFormat="1" ht="14.25" x14ac:dyDescent="0.2">
      <c r="A227" s="25"/>
      <c r="B227" s="25"/>
      <c r="C227" s="26"/>
      <c r="D227" s="23"/>
      <c r="E227" s="23"/>
      <c r="F227" s="23"/>
      <c r="G227" s="23"/>
      <c r="H227" s="23"/>
      <c r="I227" s="23"/>
      <c r="J227" s="27"/>
      <c r="K227" s="23"/>
      <c r="L227" s="23"/>
      <c r="M227" s="104"/>
      <c r="N227" s="105"/>
    </row>
    <row r="228" spans="1:14" s="24" customFormat="1" x14ac:dyDescent="0.25">
      <c r="A228" s="20"/>
      <c r="B228" s="20"/>
      <c r="C228" s="21" t="s">
        <v>171</v>
      </c>
      <c r="D228" s="29">
        <f>SUM(D223:D227)</f>
        <v>197055</v>
      </c>
      <c r="E228" s="29">
        <v>26688.18</v>
      </c>
      <c r="F228" s="29">
        <v>0</v>
      </c>
      <c r="G228" s="29">
        <v>160129.07999999999</v>
      </c>
      <c r="H228" s="29">
        <v>36925.919999999998</v>
      </c>
      <c r="I228" s="29">
        <v>81.260000000000005</v>
      </c>
      <c r="J228" s="27">
        <f>+K228-D228</f>
        <v>753</v>
      </c>
      <c r="K228" s="29">
        <f>SUM(K223:K227)</f>
        <v>197808</v>
      </c>
      <c r="L228" s="29">
        <f>SUM(L223:L227)</f>
        <v>210171</v>
      </c>
      <c r="M228" s="103">
        <f>SUM(M223:M227)</f>
        <v>224882.97</v>
      </c>
      <c r="N228" s="103">
        <f>SUM(N223:N227)</f>
        <v>240624.77790000002</v>
      </c>
    </row>
    <row r="229" spans="1:14" s="24" customFormat="1" x14ac:dyDescent="0.25">
      <c r="A229" s="20"/>
      <c r="B229" s="20"/>
      <c r="C229" s="21"/>
      <c r="D229" s="29"/>
      <c r="E229" s="29"/>
      <c r="F229" s="29"/>
      <c r="G229" s="29"/>
      <c r="H229" s="29"/>
      <c r="I229" s="29"/>
      <c r="J229" s="27"/>
      <c r="K229" s="23"/>
      <c r="L229" s="29"/>
      <c r="M229" s="103"/>
      <c r="N229" s="84"/>
    </row>
    <row r="230" spans="1:14" s="24" customFormat="1" x14ac:dyDescent="0.25">
      <c r="A230" s="20"/>
      <c r="B230" s="20"/>
      <c r="C230" s="21" t="s">
        <v>172</v>
      </c>
      <c r="D230" s="29"/>
      <c r="E230" s="29"/>
      <c r="F230" s="29"/>
      <c r="G230" s="29"/>
      <c r="H230" s="29"/>
      <c r="I230" s="29"/>
      <c r="J230" s="27">
        <f>+K230-D230</f>
        <v>0</v>
      </c>
      <c r="K230" s="23"/>
      <c r="L230" s="29"/>
      <c r="M230" s="103"/>
      <c r="N230" s="84"/>
    </row>
    <row r="231" spans="1:14" s="28" customFormat="1" ht="14.25" x14ac:dyDescent="0.2">
      <c r="A231" s="25"/>
      <c r="B231" s="25"/>
      <c r="C231" s="26"/>
      <c r="D231" s="23"/>
      <c r="E231" s="23"/>
      <c r="F231" s="23"/>
      <c r="G231" s="23"/>
      <c r="H231" s="23"/>
      <c r="I231" s="23"/>
      <c r="J231" s="27"/>
      <c r="K231" s="23"/>
      <c r="L231" s="23"/>
      <c r="M231" s="104"/>
      <c r="N231" s="105"/>
    </row>
    <row r="232" spans="1:14" s="28" customFormat="1" ht="14.25" x14ac:dyDescent="0.2">
      <c r="A232" s="25" t="s">
        <v>1053</v>
      </c>
      <c r="B232" s="25"/>
      <c r="C232" s="26" t="s">
        <v>173</v>
      </c>
      <c r="D232" s="23">
        <f>VLOOKUP(A232,fin,3,FALSE)</f>
        <v>11869</v>
      </c>
      <c r="E232" s="23">
        <v>-290187</v>
      </c>
      <c r="F232" s="23">
        <v>0</v>
      </c>
      <c r="G232" s="23">
        <v>-524054</v>
      </c>
      <c r="H232" s="23">
        <v>-642946</v>
      </c>
      <c r="I232" s="23">
        <v>44.9</v>
      </c>
      <c r="J232" s="27">
        <f>+K232-D232</f>
        <v>0</v>
      </c>
      <c r="K232" s="23">
        <f>VLOOKUP(A232,fin,4,FALSE)</f>
        <v>11869</v>
      </c>
      <c r="L232" s="23">
        <f>K232*6.25/100+K232</f>
        <v>12610.8125</v>
      </c>
      <c r="M232" s="179">
        <f t="shared" ref="M232:N234" si="47">L232*7/100+L232</f>
        <v>13493.569374999999</v>
      </c>
      <c r="N232" s="105">
        <f t="shared" si="47"/>
        <v>14438.119231249999</v>
      </c>
    </row>
    <row r="233" spans="1:14" s="28" customFormat="1" ht="14.25" x14ac:dyDescent="0.2">
      <c r="A233" s="25" t="s">
        <v>1054</v>
      </c>
      <c r="B233" s="25"/>
      <c r="C233" s="26" t="s">
        <v>174</v>
      </c>
      <c r="D233" s="23">
        <f>VLOOKUP(A233,fin,3,FALSE)</f>
        <v>19452</v>
      </c>
      <c r="E233" s="23">
        <v>-290187</v>
      </c>
      <c r="F233" s="23">
        <v>0</v>
      </c>
      <c r="G233" s="23">
        <v>-524054</v>
      </c>
      <c r="H233" s="23">
        <v>-642946</v>
      </c>
      <c r="I233" s="23">
        <v>44.9</v>
      </c>
      <c r="J233" s="27">
        <f>+K233-D233</f>
        <v>0</v>
      </c>
      <c r="K233" s="23">
        <f>VLOOKUP(A233,fin,4,FALSE)</f>
        <v>19452</v>
      </c>
      <c r="L233" s="23">
        <f>K233*6.25/100+K233</f>
        <v>20667.75</v>
      </c>
      <c r="M233" s="179">
        <f t="shared" si="47"/>
        <v>22114.4925</v>
      </c>
      <c r="N233" s="105">
        <f t="shared" si="47"/>
        <v>23662.506975</v>
      </c>
    </row>
    <row r="234" spans="1:14" s="28" customFormat="1" ht="14.25" x14ac:dyDescent="0.2">
      <c r="A234" s="25" t="s">
        <v>1055</v>
      </c>
      <c r="B234" s="25"/>
      <c r="C234" s="26" t="s">
        <v>175</v>
      </c>
      <c r="D234" s="23">
        <f>VLOOKUP(A234,fin,3,FALSE)</f>
        <v>13540</v>
      </c>
      <c r="E234" s="23">
        <v>-290187</v>
      </c>
      <c r="F234" s="23">
        <v>0</v>
      </c>
      <c r="G234" s="23">
        <v>-524054</v>
      </c>
      <c r="H234" s="23">
        <v>-642946</v>
      </c>
      <c r="I234" s="23">
        <v>44.9</v>
      </c>
      <c r="J234" s="27">
        <f>+K234-D234</f>
        <v>0</v>
      </c>
      <c r="K234" s="23">
        <f>VLOOKUP(A234,fin,4,FALSE)</f>
        <v>13540</v>
      </c>
      <c r="L234" s="23">
        <f>K234*6.25/100+K234</f>
        <v>14386.25</v>
      </c>
      <c r="M234" s="179">
        <f t="shared" si="47"/>
        <v>15393.2875</v>
      </c>
      <c r="N234" s="105">
        <f t="shared" si="47"/>
        <v>16470.817625</v>
      </c>
    </row>
    <row r="235" spans="1:14" s="28" customFormat="1" ht="14.25" x14ac:dyDescent="0.2">
      <c r="A235" s="25"/>
      <c r="B235" s="25"/>
      <c r="C235" s="26"/>
      <c r="D235" s="23"/>
      <c r="E235" s="23"/>
      <c r="F235" s="23"/>
      <c r="G235" s="23"/>
      <c r="H235" s="23"/>
      <c r="I235" s="23"/>
      <c r="J235" s="27"/>
      <c r="K235" s="23"/>
      <c r="L235" s="23"/>
      <c r="M235" s="104"/>
      <c r="N235" s="105"/>
    </row>
    <row r="236" spans="1:14" s="24" customFormat="1" x14ac:dyDescent="0.25">
      <c r="A236" s="20"/>
      <c r="B236" s="20"/>
      <c r="C236" s="21" t="s">
        <v>176</v>
      </c>
      <c r="D236" s="29">
        <f>SUM(D232:D235)</f>
        <v>44861</v>
      </c>
      <c r="E236" s="29">
        <v>0</v>
      </c>
      <c r="F236" s="29">
        <v>0</v>
      </c>
      <c r="G236" s="29">
        <v>0</v>
      </c>
      <c r="H236" s="29">
        <v>44861</v>
      </c>
      <c r="I236" s="29">
        <v>0</v>
      </c>
      <c r="J236" s="27">
        <f>+K236-D236</f>
        <v>0</v>
      </c>
      <c r="K236" s="29">
        <f>SUM(K232:K235)</f>
        <v>44861</v>
      </c>
      <c r="L236" s="29">
        <f>SUM(L232:L235)</f>
        <v>47664.8125</v>
      </c>
      <c r="M236" s="103">
        <f>SUM(M232:M235)</f>
        <v>51001.349374999998</v>
      </c>
      <c r="N236" s="103">
        <f>SUM(N232:N235)</f>
        <v>54571.443831249999</v>
      </c>
    </row>
    <row r="237" spans="1:14" s="24" customFormat="1" x14ac:dyDescent="0.25">
      <c r="A237" s="20"/>
      <c r="B237" s="20"/>
      <c r="C237" s="21"/>
      <c r="D237" s="29"/>
      <c r="E237" s="29"/>
      <c r="F237" s="29"/>
      <c r="G237" s="29"/>
      <c r="H237" s="29"/>
      <c r="I237" s="29"/>
      <c r="J237" s="27"/>
      <c r="K237" s="23"/>
      <c r="L237" s="29"/>
      <c r="M237" s="103"/>
      <c r="N237" s="84"/>
    </row>
    <row r="238" spans="1:14" s="24" customFormat="1" x14ac:dyDescent="0.25">
      <c r="A238" s="20"/>
      <c r="B238" s="20"/>
      <c r="C238" s="21" t="s">
        <v>177</v>
      </c>
      <c r="D238" s="29">
        <f>+D219+D228+D236</f>
        <v>1294233</v>
      </c>
      <c r="E238" s="29">
        <v>158108.22</v>
      </c>
      <c r="F238" s="29">
        <v>0</v>
      </c>
      <c r="G238" s="29">
        <v>863978.42</v>
      </c>
      <c r="H238" s="29">
        <v>430254.58</v>
      </c>
      <c r="I238" s="29">
        <v>66.75</v>
      </c>
      <c r="J238" s="27">
        <f>+K238-D238</f>
        <v>-25275.819999999832</v>
      </c>
      <c r="K238" s="29">
        <f>+K219+K228+K236</f>
        <v>1268957.1800000002</v>
      </c>
      <c r="L238" s="29">
        <f>+L219+L228+L236</f>
        <v>1348267.0037500001</v>
      </c>
      <c r="M238" s="103">
        <f>+M219+M228+M236</f>
        <v>1442645.6940125001</v>
      </c>
      <c r="N238" s="103">
        <f>+N219+N228+N236</f>
        <v>1543630.8925933752</v>
      </c>
    </row>
    <row r="239" spans="1:14" s="24" customFormat="1" x14ac:dyDescent="0.25">
      <c r="A239" s="20"/>
      <c r="B239" s="20"/>
      <c r="C239" s="21"/>
      <c r="D239" s="29"/>
      <c r="E239" s="29"/>
      <c r="F239" s="29"/>
      <c r="G239" s="29"/>
      <c r="H239" s="29"/>
      <c r="I239" s="29"/>
      <c r="J239" s="27"/>
      <c r="K239" s="23"/>
      <c r="L239" s="29"/>
      <c r="M239" s="103"/>
      <c r="N239" s="84"/>
    </row>
    <row r="240" spans="1:14" s="24" customFormat="1" x14ac:dyDescent="0.25">
      <c r="A240" s="20"/>
      <c r="B240" s="20"/>
      <c r="C240" s="21" t="s">
        <v>178</v>
      </c>
      <c r="D240" s="29">
        <f>D238</f>
        <v>1294233</v>
      </c>
      <c r="E240" s="29">
        <v>158108.22</v>
      </c>
      <c r="F240" s="29">
        <v>0</v>
      </c>
      <c r="G240" s="29">
        <v>863978.42</v>
      </c>
      <c r="H240" s="29">
        <v>430254.58</v>
      </c>
      <c r="I240" s="29">
        <v>66.75</v>
      </c>
      <c r="J240" s="27">
        <f>+K240-D240</f>
        <v>-25275.819999999832</v>
      </c>
      <c r="K240" s="29">
        <f>K238</f>
        <v>1268957.1800000002</v>
      </c>
      <c r="L240" s="29">
        <f>L238</f>
        <v>1348267.0037500001</v>
      </c>
      <c r="M240" s="103">
        <f>M238</f>
        <v>1442645.6940125001</v>
      </c>
      <c r="N240" s="103">
        <f>N238</f>
        <v>1543630.8925933752</v>
      </c>
    </row>
    <row r="241" spans="1:14" s="24" customFormat="1" x14ac:dyDescent="0.25">
      <c r="A241" s="20"/>
      <c r="B241" s="20"/>
      <c r="C241" s="21"/>
      <c r="D241" s="29"/>
      <c r="E241" s="29"/>
      <c r="F241" s="29"/>
      <c r="G241" s="29"/>
      <c r="H241" s="29"/>
      <c r="I241" s="29"/>
      <c r="J241" s="27"/>
      <c r="K241" s="23"/>
      <c r="L241" s="29"/>
      <c r="M241" s="103"/>
      <c r="N241" s="84"/>
    </row>
    <row r="242" spans="1:14" s="24" customFormat="1" x14ac:dyDescent="0.25">
      <c r="A242" s="20"/>
      <c r="B242" s="20"/>
      <c r="C242" s="21" t="s">
        <v>208</v>
      </c>
      <c r="D242" s="29"/>
      <c r="E242" s="29"/>
      <c r="F242" s="29"/>
      <c r="G242" s="29"/>
      <c r="H242" s="29"/>
      <c r="I242" s="29"/>
      <c r="J242" s="27">
        <f ca="1">+K242-D242</f>
        <v>276424</v>
      </c>
      <c r="K242" s="23">
        <f ca="1">D242+J242</f>
        <v>0</v>
      </c>
      <c r="L242" s="29"/>
      <c r="M242" s="103"/>
      <c r="N242" s="84"/>
    </row>
    <row r="243" spans="1:14" s="24" customFormat="1" x14ac:dyDescent="0.25">
      <c r="A243" s="20"/>
      <c r="B243" s="20"/>
      <c r="C243" s="21" t="s">
        <v>209</v>
      </c>
      <c r="D243" s="29"/>
      <c r="E243" s="29"/>
      <c r="F243" s="29"/>
      <c r="G243" s="29"/>
      <c r="H243" s="29"/>
      <c r="I243" s="29"/>
      <c r="J243" s="27">
        <f ca="1">+K243-D243</f>
        <v>276424</v>
      </c>
      <c r="K243" s="23">
        <f ca="1">D243+J243</f>
        <v>0</v>
      </c>
      <c r="L243" s="29"/>
      <c r="M243" s="103"/>
      <c r="N243" s="84"/>
    </row>
    <row r="244" spans="1:14" s="28" customFormat="1" ht="14.25" x14ac:dyDescent="0.2">
      <c r="A244" s="25"/>
      <c r="B244" s="25"/>
      <c r="C244" s="26"/>
      <c r="D244" s="23"/>
      <c r="E244" s="23"/>
      <c r="F244" s="23"/>
      <c r="G244" s="23"/>
      <c r="H244" s="23"/>
      <c r="I244" s="23"/>
      <c r="J244" s="27"/>
      <c r="K244" s="23"/>
      <c r="L244" s="23"/>
      <c r="M244" s="104"/>
      <c r="N244" s="105"/>
    </row>
    <row r="245" spans="1:14" s="28" customFormat="1" ht="14.25" x14ac:dyDescent="0.2">
      <c r="A245" s="25" t="s">
        <v>1056</v>
      </c>
      <c r="B245" s="25" t="s">
        <v>3037</v>
      </c>
      <c r="C245" s="26" t="s">
        <v>216</v>
      </c>
      <c r="D245" s="23">
        <f>VLOOKUP(A245,fin,3,FALSE)</f>
        <v>42400</v>
      </c>
      <c r="E245" s="23">
        <v>-290187</v>
      </c>
      <c r="F245" s="23">
        <v>0</v>
      </c>
      <c r="G245" s="23">
        <v>-524054</v>
      </c>
      <c r="H245" s="23">
        <v>-642946</v>
      </c>
      <c r="I245" s="23">
        <v>44.9</v>
      </c>
      <c r="J245" s="27">
        <f>+K245-D245</f>
        <v>0</v>
      </c>
      <c r="K245" s="23">
        <f>VLOOKUP(A245,fin,4,FALSE)</f>
        <v>42400</v>
      </c>
      <c r="L245" s="23">
        <f>K245*4.5/100+K245</f>
        <v>44308</v>
      </c>
      <c r="M245" s="104">
        <f>L245*4.6/100+L245</f>
        <v>46346.167999999998</v>
      </c>
      <c r="N245" s="105">
        <f>M245*4.6/100+M245</f>
        <v>48478.091727999999</v>
      </c>
    </row>
    <row r="246" spans="1:14" s="28" customFormat="1" ht="14.25" x14ac:dyDescent="0.2">
      <c r="A246" s="25"/>
      <c r="B246" s="25"/>
      <c r="C246" s="26"/>
      <c r="D246" s="23"/>
      <c r="E246" s="23"/>
      <c r="F246" s="23"/>
      <c r="G246" s="23"/>
      <c r="H246" s="23"/>
      <c r="I246" s="23"/>
      <c r="J246" s="27"/>
      <c r="K246" s="23"/>
      <c r="L246" s="23"/>
      <c r="M246" s="104"/>
      <c r="N246" s="105"/>
    </row>
    <row r="247" spans="1:14" s="24" customFormat="1" x14ac:dyDescent="0.25">
      <c r="A247" s="20"/>
      <c r="B247" s="20"/>
      <c r="C247" s="21" t="s">
        <v>217</v>
      </c>
      <c r="D247" s="29">
        <f>SUM(D245:D246)</f>
        <v>42400</v>
      </c>
      <c r="E247" s="29">
        <v>0</v>
      </c>
      <c r="F247" s="29">
        <v>0</v>
      </c>
      <c r="G247" s="29">
        <v>28992</v>
      </c>
      <c r="H247" s="29">
        <v>13408</v>
      </c>
      <c r="I247" s="29">
        <v>68.37</v>
      </c>
      <c r="J247" s="27">
        <f>+K247-D247</f>
        <v>0</v>
      </c>
      <c r="K247" s="29">
        <f>SUM(K245:K246)</f>
        <v>42400</v>
      </c>
      <c r="L247" s="29">
        <f>SUM(L245:L246)</f>
        <v>44308</v>
      </c>
      <c r="M247" s="103">
        <f>SUM(M245:M246)</f>
        <v>46346.167999999998</v>
      </c>
      <c r="N247" s="103">
        <f>SUM(N245:N246)</f>
        <v>48478.091727999999</v>
      </c>
    </row>
    <row r="248" spans="1:14" s="24" customFormat="1" x14ac:dyDescent="0.25">
      <c r="A248" s="20"/>
      <c r="B248" s="20"/>
      <c r="C248" s="21"/>
      <c r="D248" s="29"/>
      <c r="E248" s="29"/>
      <c r="F248" s="29"/>
      <c r="G248" s="29"/>
      <c r="H248" s="29"/>
      <c r="I248" s="29"/>
      <c r="J248" s="27"/>
      <c r="K248" s="23"/>
      <c r="L248" s="29"/>
      <c r="M248" s="103"/>
      <c r="N248" s="84"/>
    </row>
    <row r="249" spans="1:14" s="24" customFormat="1" x14ac:dyDescent="0.25">
      <c r="A249" s="20"/>
      <c r="B249" s="20"/>
      <c r="C249" s="21" t="s">
        <v>218</v>
      </c>
      <c r="D249" s="29"/>
      <c r="E249" s="29"/>
      <c r="F249" s="29"/>
      <c r="G249" s="29"/>
      <c r="H249" s="29"/>
      <c r="I249" s="29"/>
      <c r="J249" s="27">
        <f ca="1">+K249-D249</f>
        <v>276424</v>
      </c>
      <c r="K249" s="23">
        <f ca="1">D249+J249</f>
        <v>0</v>
      </c>
      <c r="L249" s="29"/>
      <c r="M249" s="103"/>
      <c r="N249" s="84"/>
    </row>
    <row r="250" spans="1:14" s="28" customFormat="1" ht="14.25" x14ac:dyDescent="0.2">
      <c r="A250" s="25"/>
      <c r="B250" s="25"/>
      <c r="C250" s="26"/>
      <c r="D250" s="23"/>
      <c r="E250" s="23"/>
      <c r="F250" s="23"/>
      <c r="G250" s="23"/>
      <c r="H250" s="23"/>
      <c r="I250" s="23"/>
      <c r="J250" s="27"/>
      <c r="K250" s="23"/>
      <c r="L250" s="23"/>
      <c r="M250" s="104"/>
      <c r="N250" s="105"/>
    </row>
    <row r="251" spans="1:14" s="28" customFormat="1" ht="14.25" x14ac:dyDescent="0.2">
      <c r="A251" s="25" t="s">
        <v>1057</v>
      </c>
      <c r="B251" s="25"/>
      <c r="C251" s="26" t="s">
        <v>222</v>
      </c>
      <c r="D251" s="23">
        <f>VLOOKUP(A251,fin,3,FALSE)</f>
        <v>59380</v>
      </c>
      <c r="E251" s="23">
        <v>-290187</v>
      </c>
      <c r="F251" s="23">
        <v>0</v>
      </c>
      <c r="G251" s="23">
        <v>-524054</v>
      </c>
      <c r="H251" s="23">
        <v>-642946</v>
      </c>
      <c r="I251" s="23">
        <v>44.9</v>
      </c>
      <c r="J251" s="27">
        <f>+K251-D251</f>
        <v>0</v>
      </c>
      <c r="K251" s="23">
        <f>VLOOKUP(A251,fin,4,FALSE)</f>
        <v>59380</v>
      </c>
      <c r="L251" s="23">
        <f>K251*4.5/100+K251</f>
        <v>62052.1</v>
      </c>
      <c r="M251" s="104">
        <f>L251*4.6/100+L251</f>
        <v>64906.496599999999</v>
      </c>
      <c r="N251" s="105">
        <f>M251*4.6/100+M251</f>
        <v>67892.195443599994</v>
      </c>
    </row>
    <row r="252" spans="1:14" s="28" customFormat="1" ht="14.25" x14ac:dyDescent="0.2">
      <c r="A252" s="25"/>
      <c r="B252" s="25"/>
      <c r="C252" s="26"/>
      <c r="D252" s="23"/>
      <c r="E252" s="23"/>
      <c r="F252" s="23"/>
      <c r="G252" s="23"/>
      <c r="H252" s="23"/>
      <c r="I252" s="23"/>
      <c r="J252" s="27"/>
      <c r="K252" s="23"/>
      <c r="L252" s="23"/>
      <c r="M252" s="104"/>
      <c r="N252" s="105"/>
    </row>
    <row r="253" spans="1:14" s="24" customFormat="1" x14ac:dyDescent="0.25">
      <c r="A253" s="20"/>
      <c r="B253" s="20"/>
      <c r="C253" s="21" t="s">
        <v>227</v>
      </c>
      <c r="D253" s="29">
        <f>SUM(D251:D252)</f>
        <v>59380</v>
      </c>
      <c r="E253" s="29">
        <v>0</v>
      </c>
      <c r="F253" s="29">
        <v>0</v>
      </c>
      <c r="G253" s="29">
        <v>0</v>
      </c>
      <c r="H253" s="29">
        <v>59380</v>
      </c>
      <c r="I253" s="29">
        <v>0</v>
      </c>
      <c r="J253" s="27">
        <f>+K253-D253</f>
        <v>0</v>
      </c>
      <c r="K253" s="29">
        <f>SUM(K251:K252)</f>
        <v>59380</v>
      </c>
      <c r="L253" s="29">
        <f>SUM(L251:L252)</f>
        <v>62052.1</v>
      </c>
      <c r="M253" s="103">
        <f>SUM(M251:M252)</f>
        <v>64906.496599999999</v>
      </c>
      <c r="N253" s="103">
        <f>SUM(N251:N252)</f>
        <v>67892.195443599994</v>
      </c>
    </row>
    <row r="254" spans="1:14" s="24" customFormat="1" x14ac:dyDescent="0.25">
      <c r="A254" s="20"/>
      <c r="B254" s="20"/>
      <c r="C254" s="21"/>
      <c r="D254" s="29"/>
      <c r="E254" s="29"/>
      <c r="F254" s="29"/>
      <c r="G254" s="29"/>
      <c r="H254" s="29"/>
      <c r="I254" s="29"/>
      <c r="J254" s="27"/>
      <c r="K254" s="23"/>
      <c r="L254" s="29"/>
      <c r="M254" s="103"/>
      <c r="N254" s="84"/>
    </row>
    <row r="255" spans="1:14" s="24" customFormat="1" x14ac:dyDescent="0.25">
      <c r="A255" s="20"/>
      <c r="B255" s="20"/>
      <c r="C255" s="21" t="s">
        <v>228</v>
      </c>
      <c r="D255" s="29"/>
      <c r="E255" s="29"/>
      <c r="F255" s="29"/>
      <c r="G255" s="29"/>
      <c r="H255" s="29"/>
      <c r="I255" s="29"/>
      <c r="J255" s="27">
        <f ca="1">+K255-D255</f>
        <v>276424</v>
      </c>
      <c r="K255" s="23">
        <f ca="1">D255+J255</f>
        <v>0</v>
      </c>
      <c r="L255" s="29"/>
      <c r="M255" s="103"/>
      <c r="N255" s="84"/>
    </row>
    <row r="256" spans="1:14" s="24" customFormat="1" x14ac:dyDescent="0.25">
      <c r="A256" s="20"/>
      <c r="B256" s="20"/>
      <c r="C256" s="21"/>
      <c r="D256" s="29"/>
      <c r="E256" s="29"/>
      <c r="F256" s="29"/>
      <c r="G256" s="29"/>
      <c r="H256" s="29"/>
      <c r="I256" s="29"/>
      <c r="J256" s="27"/>
      <c r="K256" s="23"/>
      <c r="L256" s="29"/>
      <c r="M256" s="103"/>
      <c r="N256" s="84"/>
    </row>
    <row r="257" spans="1:14" s="28" customFormat="1" ht="14.25" x14ac:dyDescent="0.2">
      <c r="A257" s="25" t="s">
        <v>1058</v>
      </c>
      <c r="B257" s="25"/>
      <c r="C257" s="26" t="s">
        <v>234</v>
      </c>
      <c r="D257" s="23">
        <f>VLOOKUP(A257,fin,3,FALSE)</f>
        <v>318000</v>
      </c>
      <c r="E257" s="23">
        <v>-290187</v>
      </c>
      <c r="F257" s="23">
        <v>0</v>
      </c>
      <c r="G257" s="23">
        <v>-524054</v>
      </c>
      <c r="H257" s="23">
        <v>-642946</v>
      </c>
      <c r="I257" s="23">
        <v>44.9</v>
      </c>
      <c r="J257" s="27">
        <f>+K257-D257</f>
        <v>0</v>
      </c>
      <c r="K257" s="23">
        <f>VLOOKUP(A257,fin,4,FALSE)</f>
        <v>318000</v>
      </c>
      <c r="L257" s="23">
        <f>K257*4.5/100+K257</f>
        <v>332310</v>
      </c>
      <c r="M257" s="104">
        <f>L257*4.6/100+L257</f>
        <v>347596.26</v>
      </c>
      <c r="N257" s="105">
        <f>M257*4.6/100+M257</f>
        <v>363585.68796000001</v>
      </c>
    </row>
    <row r="258" spans="1:14" s="28" customFormat="1" ht="14.25" x14ac:dyDescent="0.2">
      <c r="A258" s="25" t="s">
        <v>1059</v>
      </c>
      <c r="B258" s="25"/>
      <c r="C258" s="26" t="s">
        <v>237</v>
      </c>
      <c r="D258" s="23">
        <f>VLOOKUP(A258,fin,3,FALSE)</f>
        <v>134336</v>
      </c>
      <c r="E258" s="23">
        <v>-290187</v>
      </c>
      <c r="F258" s="23">
        <v>0</v>
      </c>
      <c r="G258" s="23">
        <v>-524054</v>
      </c>
      <c r="H258" s="23">
        <v>-642946</v>
      </c>
      <c r="I258" s="23">
        <v>44.9</v>
      </c>
      <c r="J258" s="27">
        <f>+K258-D258</f>
        <v>0</v>
      </c>
      <c r="K258" s="23">
        <f>VLOOKUP(A258,fin,4,FALSE)</f>
        <v>134336</v>
      </c>
      <c r="L258" s="23">
        <f>K258*4.5/100+K258</f>
        <v>140381.12</v>
      </c>
      <c r="M258" s="104">
        <f>L258*4.6/100+L258</f>
        <v>146838.65151999998</v>
      </c>
      <c r="N258" s="105">
        <f>M258*4.6/100+M258</f>
        <v>153593.22948991999</v>
      </c>
    </row>
    <row r="259" spans="1:14" s="28" customFormat="1" ht="14.25" x14ac:dyDescent="0.2">
      <c r="A259" s="25"/>
      <c r="B259" s="25"/>
      <c r="C259" s="26"/>
      <c r="D259" s="23"/>
      <c r="E259" s="23"/>
      <c r="F259" s="23"/>
      <c r="G259" s="23"/>
      <c r="H259" s="23"/>
      <c r="I259" s="23"/>
      <c r="J259" s="27"/>
      <c r="K259" s="23"/>
      <c r="L259" s="23"/>
      <c r="M259" s="104"/>
      <c r="N259" s="105"/>
    </row>
    <row r="260" spans="1:14" s="24" customFormat="1" x14ac:dyDescent="0.25">
      <c r="A260" s="20"/>
      <c r="B260" s="20"/>
      <c r="C260" s="21" t="s">
        <v>239</v>
      </c>
      <c r="D260" s="29">
        <f>SUM(D257:D259)</f>
        <v>452336</v>
      </c>
      <c r="E260" s="29">
        <v>59495</v>
      </c>
      <c r="F260" s="29">
        <v>29820</v>
      </c>
      <c r="G260" s="29">
        <v>229879.38</v>
      </c>
      <c r="H260" s="29">
        <v>222456.62</v>
      </c>
      <c r="I260" s="29">
        <v>50.82</v>
      </c>
      <c r="J260" s="27">
        <f>+K260-D260</f>
        <v>0</v>
      </c>
      <c r="K260" s="29">
        <f>SUM(K257:K259)</f>
        <v>452336</v>
      </c>
      <c r="L260" s="29">
        <f>SUM(L257:L259)</f>
        <v>472691.12</v>
      </c>
      <c r="M260" s="103">
        <f>SUM(M257:M259)</f>
        <v>494434.91151999997</v>
      </c>
      <c r="N260" s="103">
        <f>SUM(N257:N259)</f>
        <v>517178.91744991997</v>
      </c>
    </row>
    <row r="261" spans="1:14" s="24" customFormat="1" x14ac:dyDescent="0.25">
      <c r="A261" s="20"/>
      <c r="B261" s="20"/>
      <c r="C261" s="21"/>
      <c r="D261" s="29"/>
      <c r="E261" s="29"/>
      <c r="F261" s="29"/>
      <c r="G261" s="29"/>
      <c r="H261" s="29"/>
      <c r="I261" s="29"/>
      <c r="J261" s="27"/>
      <c r="K261" s="23"/>
      <c r="L261" s="29"/>
      <c r="M261" s="103"/>
      <c r="N261" s="84"/>
    </row>
    <row r="262" spans="1:14" s="24" customFormat="1" x14ac:dyDescent="0.25">
      <c r="A262" s="20"/>
      <c r="B262" s="20"/>
      <c r="C262" s="21" t="s">
        <v>240</v>
      </c>
      <c r="D262" s="29">
        <f>+D247+D253+D260</f>
        <v>554116</v>
      </c>
      <c r="E262" s="29">
        <v>59495</v>
      </c>
      <c r="F262" s="29">
        <v>29820</v>
      </c>
      <c r="G262" s="29">
        <v>258871.38</v>
      </c>
      <c r="H262" s="29">
        <v>295244.62</v>
      </c>
      <c r="I262" s="29">
        <v>46.71</v>
      </c>
      <c r="J262" s="27">
        <f>+K262-D262</f>
        <v>0</v>
      </c>
      <c r="K262" s="29">
        <f>+K247+K253+K260</f>
        <v>554116</v>
      </c>
      <c r="L262" s="29">
        <f>+L247+L253+L260</f>
        <v>579051.22</v>
      </c>
      <c r="M262" s="103">
        <f>+M247+M253+M260</f>
        <v>605687.57611999998</v>
      </c>
      <c r="N262" s="103">
        <f>+N247+N253+N260</f>
        <v>633549.20462152001</v>
      </c>
    </row>
    <row r="263" spans="1:14" s="24" customFormat="1" x14ac:dyDescent="0.25">
      <c r="A263" s="20"/>
      <c r="B263" s="20"/>
      <c r="C263" s="21"/>
      <c r="D263" s="29"/>
      <c r="E263" s="29"/>
      <c r="F263" s="29"/>
      <c r="G263" s="29"/>
      <c r="H263" s="29"/>
      <c r="I263" s="29"/>
      <c r="J263" s="27"/>
      <c r="K263" s="23"/>
      <c r="L263" s="29"/>
      <c r="M263" s="103"/>
      <c r="N263" s="84"/>
    </row>
    <row r="264" spans="1:14" s="24" customFormat="1" x14ac:dyDescent="0.25">
      <c r="A264" s="20"/>
      <c r="B264" s="20"/>
      <c r="C264" s="21" t="s">
        <v>241</v>
      </c>
      <c r="D264" s="29"/>
      <c r="E264" s="29"/>
      <c r="F264" s="29"/>
      <c r="G264" s="29"/>
      <c r="H264" s="29"/>
      <c r="I264" s="29"/>
      <c r="J264" s="27">
        <f>+K264-D264</f>
        <v>0</v>
      </c>
      <c r="K264" s="23"/>
      <c r="L264" s="29"/>
      <c r="M264" s="103"/>
      <c r="N264" s="84"/>
    </row>
    <row r="265" spans="1:14" s="28" customFormat="1" ht="14.25" x14ac:dyDescent="0.2">
      <c r="A265" s="25"/>
      <c r="B265" s="25"/>
      <c r="C265" s="26"/>
      <c r="D265" s="23"/>
      <c r="E265" s="23"/>
      <c r="F265" s="23"/>
      <c r="G265" s="23"/>
      <c r="H265" s="23"/>
      <c r="I265" s="23"/>
      <c r="J265" s="27"/>
      <c r="K265" s="23"/>
      <c r="L265" s="23"/>
      <c r="M265" s="104"/>
      <c r="N265" s="105"/>
    </row>
    <row r="266" spans="1:14" s="28" customFormat="1" ht="14.25" x14ac:dyDescent="0.2">
      <c r="A266" s="25" t="s">
        <v>1060</v>
      </c>
      <c r="B266" s="25"/>
      <c r="C266" s="26" t="s">
        <v>242</v>
      </c>
      <c r="D266" s="23">
        <f>VLOOKUP(A266,fin,3,FALSE)</f>
        <v>31800</v>
      </c>
      <c r="E266" s="23">
        <v>-290187</v>
      </c>
      <c r="F266" s="23">
        <v>0</v>
      </c>
      <c r="G266" s="23">
        <v>-524054</v>
      </c>
      <c r="H266" s="23">
        <v>-642946</v>
      </c>
      <c r="I266" s="23">
        <v>44.9</v>
      </c>
      <c r="J266" s="27">
        <f>+K266-D266</f>
        <v>0</v>
      </c>
      <c r="K266" s="23">
        <f>VLOOKUP(A266,fin,4,FALSE)</f>
        <v>31800</v>
      </c>
      <c r="L266" s="23">
        <f>K266*4.5/100+K266</f>
        <v>33231</v>
      </c>
      <c r="M266" s="104">
        <f t="shared" ref="M266:N269" si="48">L266*4.6/100+L266</f>
        <v>34759.625999999997</v>
      </c>
      <c r="N266" s="105">
        <f t="shared" si="48"/>
        <v>36358.568796</v>
      </c>
    </row>
    <row r="267" spans="1:14" s="28" customFormat="1" ht="14.25" x14ac:dyDescent="0.2">
      <c r="A267" s="25" t="s">
        <v>1061</v>
      </c>
      <c r="B267" s="25"/>
      <c r="C267" s="26" t="s">
        <v>260</v>
      </c>
      <c r="D267" s="23">
        <f>VLOOKUP(A267,fin,3,FALSE)</f>
        <v>31800</v>
      </c>
      <c r="E267" s="23">
        <v>-290187</v>
      </c>
      <c r="F267" s="23">
        <v>0</v>
      </c>
      <c r="G267" s="23">
        <v>-524054</v>
      </c>
      <c r="H267" s="23">
        <v>-642946</v>
      </c>
      <c r="I267" s="23">
        <v>44.9</v>
      </c>
      <c r="J267" s="27">
        <f>+K267-D267</f>
        <v>0</v>
      </c>
      <c r="K267" s="23">
        <f>VLOOKUP(A267,fin,4,FALSE)</f>
        <v>31800</v>
      </c>
      <c r="L267" s="23">
        <f>K267*4.5/100+K267</f>
        <v>33231</v>
      </c>
      <c r="M267" s="104">
        <f t="shared" si="48"/>
        <v>34759.625999999997</v>
      </c>
      <c r="N267" s="105">
        <f t="shared" si="48"/>
        <v>36358.568796</v>
      </c>
    </row>
    <row r="268" spans="1:14" s="28" customFormat="1" ht="14.25" x14ac:dyDescent="0.2">
      <c r="A268" s="25" t="s">
        <v>1062</v>
      </c>
      <c r="B268" s="25"/>
      <c r="C268" s="26" t="s">
        <v>265</v>
      </c>
      <c r="D268" s="23">
        <f>VLOOKUP(A268,fin,3,FALSE)</f>
        <v>0</v>
      </c>
      <c r="E268" s="23">
        <v>-290187</v>
      </c>
      <c r="F268" s="23">
        <v>0</v>
      </c>
      <c r="G268" s="23">
        <v>-524054</v>
      </c>
      <c r="H268" s="23">
        <v>-642946</v>
      </c>
      <c r="I268" s="23">
        <v>44.9</v>
      </c>
      <c r="J268" s="27">
        <f>+K268-D268</f>
        <v>15000</v>
      </c>
      <c r="K268" s="23">
        <f>VLOOKUP(A268,fin,4,FALSE)</f>
        <v>15000</v>
      </c>
      <c r="L268" s="23">
        <f>K268*4.5/100+K268</f>
        <v>15675</v>
      </c>
      <c r="M268" s="104">
        <f t="shared" si="48"/>
        <v>16396.05</v>
      </c>
      <c r="N268" s="105">
        <f t="shared" si="48"/>
        <v>17150.2683</v>
      </c>
    </row>
    <row r="269" spans="1:14" s="28" customFormat="1" ht="14.25" x14ac:dyDescent="0.2">
      <c r="A269" s="25" t="s">
        <v>1063</v>
      </c>
      <c r="B269" s="25"/>
      <c r="C269" s="26" t="s">
        <v>268</v>
      </c>
      <c r="D269" s="23">
        <f>VLOOKUP(A269,fin,3,FALSE)</f>
        <v>0</v>
      </c>
      <c r="E269" s="23">
        <v>-290187</v>
      </c>
      <c r="F269" s="23">
        <v>0</v>
      </c>
      <c r="G269" s="23">
        <v>-524054</v>
      </c>
      <c r="H269" s="23">
        <v>-642946</v>
      </c>
      <c r="I269" s="23">
        <v>44.9</v>
      </c>
      <c r="J269" s="27">
        <f>+K269-D269</f>
        <v>110000</v>
      </c>
      <c r="K269" s="23">
        <f>VLOOKUP(A269,fin,4,FALSE)</f>
        <v>110000</v>
      </c>
      <c r="L269" s="23">
        <f>K269*4.5/100+K269</f>
        <v>114950</v>
      </c>
      <c r="M269" s="104">
        <f t="shared" si="48"/>
        <v>120237.7</v>
      </c>
      <c r="N269" s="105">
        <f t="shared" si="48"/>
        <v>125768.6342</v>
      </c>
    </row>
    <row r="270" spans="1:14" s="28" customFormat="1" ht="14.25" x14ac:dyDescent="0.2">
      <c r="A270" s="25"/>
      <c r="B270" s="25"/>
      <c r="C270" s="26"/>
      <c r="D270" s="23"/>
      <c r="E270" s="23"/>
      <c r="F270" s="23"/>
      <c r="G270" s="23"/>
      <c r="H270" s="23"/>
      <c r="I270" s="23"/>
      <c r="J270" s="27"/>
      <c r="K270" s="23"/>
      <c r="L270" s="23"/>
      <c r="M270" s="104"/>
      <c r="N270" s="105"/>
    </row>
    <row r="271" spans="1:14" s="24" customFormat="1" x14ac:dyDescent="0.25">
      <c r="A271" s="20"/>
      <c r="B271" s="20"/>
      <c r="C271" s="21" t="s">
        <v>274</v>
      </c>
      <c r="D271" s="29">
        <f>SUM(D266:D270)</f>
        <v>63600</v>
      </c>
      <c r="E271" s="29">
        <v>10196.67</v>
      </c>
      <c r="F271" s="29">
        <v>0</v>
      </c>
      <c r="G271" s="29">
        <v>56059.86</v>
      </c>
      <c r="H271" s="29">
        <v>7540.14</v>
      </c>
      <c r="I271" s="29">
        <v>88.14</v>
      </c>
      <c r="J271" s="27">
        <f>+K271-D271</f>
        <v>125000</v>
      </c>
      <c r="K271" s="29">
        <f>SUM(K266:K270)</f>
        <v>188600</v>
      </c>
      <c r="L271" s="29">
        <f>SUM(L266:L270)</f>
        <v>197087</v>
      </c>
      <c r="M271" s="103">
        <f>SUM(M266:M270)</f>
        <v>206153.00199999998</v>
      </c>
      <c r="N271" s="103">
        <f>SUM(N266:N270)</f>
        <v>215636.04009199998</v>
      </c>
    </row>
    <row r="272" spans="1:14" s="24" customFormat="1" x14ac:dyDescent="0.25">
      <c r="A272" s="20"/>
      <c r="B272" s="20"/>
      <c r="C272" s="21"/>
      <c r="D272" s="29"/>
      <c r="E272" s="29"/>
      <c r="F272" s="29"/>
      <c r="G272" s="29"/>
      <c r="H272" s="29"/>
      <c r="I272" s="29"/>
      <c r="J272" s="27"/>
      <c r="K272" s="23"/>
      <c r="L272" s="29"/>
      <c r="M272" s="103"/>
      <c r="N272" s="84"/>
    </row>
    <row r="273" spans="1:14" s="24" customFormat="1" x14ac:dyDescent="0.25">
      <c r="A273" s="20"/>
      <c r="B273" s="20"/>
      <c r="C273" s="21" t="s">
        <v>290</v>
      </c>
      <c r="D273" s="29"/>
      <c r="E273" s="29"/>
      <c r="F273" s="29"/>
      <c r="G273" s="29"/>
      <c r="H273" s="29"/>
      <c r="I273" s="29"/>
      <c r="J273" s="27">
        <f ca="1">+K273-D273</f>
        <v>276424</v>
      </c>
      <c r="K273" s="23">
        <f ca="1">D273+J273</f>
        <v>0</v>
      </c>
      <c r="L273" s="29"/>
      <c r="M273" s="103"/>
      <c r="N273" s="84"/>
    </row>
    <row r="274" spans="1:14" s="28" customFormat="1" ht="14.25" x14ac:dyDescent="0.2">
      <c r="A274" s="25"/>
      <c r="B274" s="25"/>
      <c r="C274" s="26"/>
      <c r="D274" s="23"/>
      <c r="E274" s="23"/>
      <c r="F274" s="23"/>
      <c r="G274" s="23"/>
      <c r="H274" s="23"/>
      <c r="I274" s="23"/>
      <c r="J274" s="27"/>
      <c r="K274" s="23"/>
      <c r="L274" s="23"/>
      <c r="M274" s="104"/>
      <c r="N274" s="105"/>
    </row>
    <row r="275" spans="1:14" s="28" customFormat="1" ht="14.25" x14ac:dyDescent="0.2">
      <c r="A275" s="25" t="s">
        <v>1064</v>
      </c>
      <c r="B275" s="25"/>
      <c r="C275" s="26" t="s">
        <v>293</v>
      </c>
      <c r="D275" s="23">
        <f>VLOOKUP(A275,fin,3,FALSE)</f>
        <v>2688</v>
      </c>
      <c r="E275" s="23">
        <v>-290187</v>
      </c>
      <c r="F275" s="23">
        <v>0</v>
      </c>
      <c r="G275" s="23">
        <v>-524054</v>
      </c>
      <c r="H275" s="23">
        <v>-642946</v>
      </c>
      <c r="I275" s="23">
        <v>44.9</v>
      </c>
      <c r="J275" s="27">
        <f>+K275-D275</f>
        <v>0</v>
      </c>
      <c r="K275" s="23">
        <f>VLOOKUP(A275,fin,4,FALSE)</f>
        <v>2688</v>
      </c>
      <c r="L275" s="23">
        <f>K275*4.5/100+K275</f>
        <v>2808.96</v>
      </c>
      <c r="M275" s="104">
        <f t="shared" ref="M275:N279" si="49">L275*4.6/100+L275</f>
        <v>2938.1721600000001</v>
      </c>
      <c r="N275" s="105">
        <f t="shared" si="49"/>
        <v>3073.3280793600002</v>
      </c>
    </row>
    <row r="276" spans="1:14" s="28" customFormat="1" ht="14.25" x14ac:dyDescent="0.2">
      <c r="A276" s="25" t="s">
        <v>1065</v>
      </c>
      <c r="B276" s="25"/>
      <c r="C276" s="26" t="s">
        <v>296</v>
      </c>
      <c r="D276" s="23">
        <f>VLOOKUP(A276,fin,3,FALSE)</f>
        <v>34540</v>
      </c>
      <c r="E276" s="23">
        <v>-290187</v>
      </c>
      <c r="F276" s="23">
        <v>0</v>
      </c>
      <c r="G276" s="23">
        <v>-524054</v>
      </c>
      <c r="H276" s="23">
        <v>-642946</v>
      </c>
      <c r="I276" s="23">
        <v>44.9</v>
      </c>
      <c r="J276" s="27">
        <f>+K276-D276</f>
        <v>0</v>
      </c>
      <c r="K276" s="23">
        <f>VLOOKUP(A276,fin,4,FALSE)</f>
        <v>34540</v>
      </c>
      <c r="L276" s="23">
        <f>K276*4.5/100+K276</f>
        <v>36094.300000000003</v>
      </c>
      <c r="M276" s="104">
        <f t="shared" si="49"/>
        <v>37754.637800000004</v>
      </c>
      <c r="N276" s="105">
        <f t="shared" si="49"/>
        <v>39491.351138800004</v>
      </c>
    </row>
    <row r="277" spans="1:14" s="28" customFormat="1" ht="14.25" x14ac:dyDescent="0.2">
      <c r="A277" s="25" t="s">
        <v>1066</v>
      </c>
      <c r="B277" s="25"/>
      <c r="C277" s="26" t="s">
        <v>300</v>
      </c>
      <c r="D277" s="23">
        <f>VLOOKUP(A277,fin,3,FALSE)</f>
        <v>0</v>
      </c>
      <c r="E277" s="23">
        <v>-290187</v>
      </c>
      <c r="F277" s="23">
        <v>0</v>
      </c>
      <c r="G277" s="23">
        <v>-524054</v>
      </c>
      <c r="H277" s="23">
        <v>-642946</v>
      </c>
      <c r="I277" s="23">
        <v>44.9</v>
      </c>
      <c r="J277" s="27">
        <f>+K277-D277</f>
        <v>0</v>
      </c>
      <c r="K277" s="23">
        <f>VLOOKUP(A277,fin,4,FALSE)</f>
        <v>0</v>
      </c>
      <c r="L277" s="23">
        <f>K277*4.5/100+K277</f>
        <v>0</v>
      </c>
      <c r="M277" s="104">
        <f t="shared" si="49"/>
        <v>0</v>
      </c>
      <c r="N277" s="105">
        <f t="shared" si="49"/>
        <v>0</v>
      </c>
    </row>
    <row r="278" spans="1:14" s="28" customFormat="1" ht="14.25" x14ac:dyDescent="0.2">
      <c r="A278" s="25" t="s">
        <v>1067</v>
      </c>
      <c r="B278" s="25"/>
      <c r="C278" s="26" t="s">
        <v>302</v>
      </c>
      <c r="D278" s="23">
        <f>VLOOKUP(A278,fin,3,FALSE)</f>
        <v>623329</v>
      </c>
      <c r="E278" s="23">
        <v>-290187</v>
      </c>
      <c r="F278" s="23">
        <v>0</v>
      </c>
      <c r="G278" s="23">
        <v>-524054</v>
      </c>
      <c r="H278" s="23">
        <v>-642946</v>
      </c>
      <c r="I278" s="23">
        <v>44.9</v>
      </c>
      <c r="J278" s="27">
        <f>+K278-D278</f>
        <v>0</v>
      </c>
      <c r="K278" s="23">
        <f>VLOOKUP(A278,fin,4,FALSE)</f>
        <v>623329</v>
      </c>
      <c r="L278" s="23">
        <f>K278*4.5/100+K278</f>
        <v>651378.80500000005</v>
      </c>
      <c r="M278" s="104">
        <f t="shared" si="49"/>
        <v>681342.23003000009</v>
      </c>
      <c r="N278" s="105">
        <f t="shared" si="49"/>
        <v>712683.97261138004</v>
      </c>
    </row>
    <row r="279" spans="1:14" s="28" customFormat="1" ht="14.25" x14ac:dyDescent="0.2">
      <c r="A279" s="25" t="s">
        <v>1068</v>
      </c>
      <c r="B279" s="25"/>
      <c r="C279" s="26" t="s">
        <v>303</v>
      </c>
      <c r="D279" s="23">
        <f>VLOOKUP(A279,fin,3,FALSE)</f>
        <v>12477</v>
      </c>
      <c r="E279" s="23">
        <v>-290187</v>
      </c>
      <c r="F279" s="23">
        <v>0</v>
      </c>
      <c r="G279" s="23">
        <v>-524054</v>
      </c>
      <c r="H279" s="23">
        <v>-642946</v>
      </c>
      <c r="I279" s="23">
        <v>44.9</v>
      </c>
      <c r="J279" s="27">
        <f>+K279-D279</f>
        <v>0</v>
      </c>
      <c r="K279" s="23">
        <f>VLOOKUP(A279,fin,4,FALSE)</f>
        <v>12477</v>
      </c>
      <c r="L279" s="23">
        <f>K279*4.5/100+K279</f>
        <v>13038.465</v>
      </c>
      <c r="M279" s="104">
        <f t="shared" si="49"/>
        <v>13638.23439</v>
      </c>
      <c r="N279" s="105">
        <f t="shared" si="49"/>
        <v>14265.59317194</v>
      </c>
    </row>
    <row r="280" spans="1:14" s="28" customFormat="1" x14ac:dyDescent="0.25">
      <c r="A280" s="25"/>
      <c r="B280" s="25"/>
      <c r="C280" s="26"/>
      <c r="D280" s="23"/>
      <c r="E280" s="23"/>
      <c r="F280" s="23"/>
      <c r="G280" s="23"/>
      <c r="H280" s="23"/>
      <c r="I280" s="23"/>
      <c r="J280" s="27"/>
      <c r="K280" s="23"/>
      <c r="L280" s="29"/>
      <c r="M280" s="103"/>
      <c r="N280" s="105"/>
    </row>
    <row r="281" spans="1:14" s="24" customFormat="1" x14ac:dyDescent="0.25">
      <c r="A281" s="20"/>
      <c r="B281" s="20"/>
      <c r="C281" s="21" t="s">
        <v>304</v>
      </c>
      <c r="D281" s="29">
        <f>SUM(D275:D280)</f>
        <v>673034</v>
      </c>
      <c r="E281" s="29">
        <v>108225.26</v>
      </c>
      <c r="F281" s="29">
        <v>0</v>
      </c>
      <c r="G281" s="29">
        <v>247488.71</v>
      </c>
      <c r="H281" s="29">
        <v>425545.29</v>
      </c>
      <c r="I281" s="29">
        <v>36.770000000000003</v>
      </c>
      <c r="J281" s="27">
        <f>+K281-D281</f>
        <v>0</v>
      </c>
      <c r="K281" s="29">
        <f>SUM(K275:K280)</f>
        <v>673034</v>
      </c>
      <c r="L281" s="29">
        <f>SUM(L275:L280)</f>
        <v>703320.53</v>
      </c>
      <c r="M281" s="103">
        <f>SUM(M275:M280)</f>
        <v>735673.27438000008</v>
      </c>
      <c r="N281" s="103">
        <f>SUM(N275:N280)</f>
        <v>769514.24500147998</v>
      </c>
    </row>
    <row r="282" spans="1:14" s="24" customFormat="1" x14ac:dyDescent="0.25">
      <c r="A282" s="20"/>
      <c r="B282" s="20"/>
      <c r="C282" s="21"/>
      <c r="D282" s="29"/>
      <c r="E282" s="29"/>
      <c r="F282" s="29"/>
      <c r="G282" s="29"/>
      <c r="H282" s="29"/>
      <c r="I282" s="29"/>
      <c r="J282" s="27"/>
      <c r="K282" s="23"/>
      <c r="L282" s="29"/>
      <c r="M282" s="103"/>
      <c r="N282" s="84"/>
    </row>
    <row r="283" spans="1:14" s="24" customFormat="1" x14ac:dyDescent="0.25">
      <c r="A283" s="20"/>
      <c r="B283" s="20"/>
      <c r="C283" s="21" t="s">
        <v>305</v>
      </c>
      <c r="D283" s="29">
        <f>+D238+D262+D271+D281</f>
        <v>2584983</v>
      </c>
      <c r="E283" s="29">
        <v>336025.15</v>
      </c>
      <c r="F283" s="29">
        <v>29820</v>
      </c>
      <c r="G283" s="29">
        <v>1426398.37</v>
      </c>
      <c r="H283" s="29">
        <v>1158584.6299999999</v>
      </c>
      <c r="I283" s="29">
        <v>55.18</v>
      </c>
      <c r="J283" s="27">
        <f>+K283-D283</f>
        <v>99724.180000000168</v>
      </c>
      <c r="K283" s="29">
        <f>+K238+K262+K271+K281</f>
        <v>2684707.18</v>
      </c>
      <c r="L283" s="29">
        <f>+L238+L262+L271+L281</f>
        <v>2827725.7537500001</v>
      </c>
      <c r="M283" s="103">
        <f>+M238+M262+M271+M281</f>
        <v>2990159.5465125004</v>
      </c>
      <c r="N283" s="103">
        <f>+N238+N262+N271+N281</f>
        <v>3162330.3823083751</v>
      </c>
    </row>
    <row r="284" spans="1:14" s="24" customFormat="1" x14ac:dyDescent="0.25">
      <c r="A284" s="20"/>
      <c r="B284" s="20"/>
      <c r="C284" s="21"/>
      <c r="D284" s="29"/>
      <c r="E284" s="29"/>
      <c r="F284" s="29"/>
      <c r="G284" s="29"/>
      <c r="H284" s="29"/>
      <c r="I284" s="29"/>
      <c r="J284" s="27"/>
      <c r="K284" s="23"/>
      <c r="L284" s="21"/>
      <c r="M284" s="106"/>
      <c r="N284" s="84"/>
    </row>
    <row r="285" spans="1:14" s="24" customFormat="1" x14ac:dyDescent="0.25">
      <c r="A285" s="20"/>
      <c r="B285" s="20"/>
      <c r="C285" s="21" t="s">
        <v>306</v>
      </c>
      <c r="D285" s="29">
        <f>+D201+D283</f>
        <v>2297711</v>
      </c>
      <c r="E285" s="29">
        <v>320768.81</v>
      </c>
      <c r="F285" s="29">
        <v>29820</v>
      </c>
      <c r="G285" s="29">
        <v>1325356.56</v>
      </c>
      <c r="H285" s="29">
        <v>972354.44</v>
      </c>
      <c r="I285" s="29">
        <v>57.68</v>
      </c>
      <c r="J285" s="27">
        <f>+K285-D285</f>
        <v>149724.18000000017</v>
      </c>
      <c r="K285" s="29">
        <f>+K201+K283</f>
        <v>2447435.1800000002</v>
      </c>
      <c r="L285" s="29">
        <f>+L201+L283</f>
        <v>2579776.5137499999</v>
      </c>
      <c r="M285" s="103">
        <f>+M201+M283</f>
        <v>2730802.9130425006</v>
      </c>
      <c r="N285" s="103">
        <f>+N201+N283</f>
        <v>2891043.3436987549</v>
      </c>
    </row>
    <row r="286" spans="1:14" s="28" customFormat="1" ht="14.25" x14ac:dyDescent="0.2">
      <c r="A286" s="25"/>
      <c r="B286" s="25"/>
      <c r="C286" s="26"/>
      <c r="D286" s="23"/>
      <c r="E286" s="23"/>
      <c r="F286" s="23"/>
      <c r="G286" s="23"/>
      <c r="H286" s="23"/>
      <c r="I286" s="23"/>
      <c r="J286" s="27"/>
      <c r="K286" s="23"/>
      <c r="L286" s="23"/>
      <c r="M286" s="104"/>
      <c r="N286" s="105"/>
    </row>
    <row r="287" spans="1:14" s="24" customFormat="1" x14ac:dyDescent="0.25">
      <c r="A287" s="20"/>
      <c r="B287" s="20"/>
      <c r="C287" s="21" t="s">
        <v>308</v>
      </c>
      <c r="D287" s="29"/>
      <c r="E287" s="29"/>
      <c r="F287" s="29"/>
      <c r="G287" s="29"/>
      <c r="H287" s="29"/>
      <c r="I287" s="29"/>
      <c r="J287" s="27">
        <f>+K287-D287</f>
        <v>0</v>
      </c>
      <c r="K287" s="23"/>
      <c r="L287" s="29"/>
      <c r="M287" s="103"/>
      <c r="N287" s="84"/>
    </row>
    <row r="288" spans="1:14" s="28" customFormat="1" ht="14.25" x14ac:dyDescent="0.2">
      <c r="A288" s="25"/>
      <c r="B288" s="25"/>
      <c r="C288" s="26"/>
      <c r="D288" s="23"/>
      <c r="E288" s="23"/>
      <c r="F288" s="23"/>
      <c r="G288" s="23"/>
      <c r="H288" s="23"/>
      <c r="I288" s="23"/>
      <c r="J288" s="27"/>
      <c r="K288" s="23"/>
      <c r="L288" s="23"/>
      <c r="M288" s="104"/>
      <c r="N288" s="105"/>
    </row>
    <row r="289" spans="1:14" s="28" customFormat="1" ht="14.25" x14ac:dyDescent="0.2">
      <c r="A289" s="25" t="s">
        <v>1069</v>
      </c>
      <c r="B289" s="25"/>
      <c r="C289" s="26" t="s">
        <v>1070</v>
      </c>
      <c r="D289" s="23">
        <f>VLOOKUP(A289,fin,3,FALSE)</f>
        <v>900000</v>
      </c>
      <c r="E289" s="23">
        <v>-290187</v>
      </c>
      <c r="F289" s="23">
        <v>0</v>
      </c>
      <c r="G289" s="23">
        <v>-524054</v>
      </c>
      <c r="H289" s="23">
        <v>-642946</v>
      </c>
      <c r="I289" s="23">
        <v>44.9</v>
      </c>
      <c r="J289" s="27">
        <f>+K289-D289</f>
        <v>-185724</v>
      </c>
      <c r="K289" s="23">
        <f>VLOOKUP(A289,fin,4,FALSE)</f>
        <v>714276</v>
      </c>
      <c r="L289" s="23">
        <f>VLOOKUP(A289,fin,5,FALSE)</f>
        <v>0</v>
      </c>
      <c r="M289" s="104">
        <f>VLOOKUP(A289,fin,6,FALSE)</f>
        <v>0</v>
      </c>
      <c r="N289" s="105"/>
    </row>
    <row r="290" spans="1:14" s="28" customFormat="1" ht="14.25" x14ac:dyDescent="0.2">
      <c r="A290" s="25"/>
      <c r="B290" s="25"/>
      <c r="C290" s="26" t="s">
        <v>3064</v>
      </c>
      <c r="D290" s="23"/>
      <c r="E290" s="23"/>
      <c r="F290" s="23"/>
      <c r="G290" s="23"/>
      <c r="H290" s="23"/>
      <c r="I290" s="23"/>
      <c r="J290" s="27"/>
      <c r="K290" s="23"/>
      <c r="L290" s="23">
        <v>0</v>
      </c>
      <c r="M290" s="104">
        <v>400000</v>
      </c>
      <c r="N290" s="105">
        <v>0</v>
      </c>
    </row>
    <row r="291" spans="1:14" s="28" customFormat="1" ht="14.25" x14ac:dyDescent="0.2">
      <c r="A291" s="25"/>
      <c r="B291" s="25"/>
      <c r="C291" s="26" t="s">
        <v>3065</v>
      </c>
      <c r="D291" s="23">
        <v>0</v>
      </c>
      <c r="E291" s="23"/>
      <c r="F291" s="23"/>
      <c r="G291" s="23"/>
      <c r="H291" s="23"/>
      <c r="I291" s="23"/>
      <c r="J291" s="27"/>
      <c r="K291" s="23">
        <v>0</v>
      </c>
      <c r="L291" s="23">
        <v>0</v>
      </c>
      <c r="M291" s="104">
        <v>500000</v>
      </c>
      <c r="N291" s="105">
        <v>600000</v>
      </c>
    </row>
    <row r="292" spans="1:14" s="28" customFormat="1" ht="14.25" x14ac:dyDescent="0.2">
      <c r="A292" s="25" t="s">
        <v>1071</v>
      </c>
      <c r="B292" s="25"/>
      <c r="C292" s="26" t="s">
        <v>1072</v>
      </c>
      <c r="D292" s="23">
        <f>VLOOKUP(A292,fin,3,FALSE)</f>
        <v>1200000</v>
      </c>
      <c r="E292" s="23">
        <v>-290187</v>
      </c>
      <c r="F292" s="23">
        <v>0</v>
      </c>
      <c r="G292" s="23">
        <v>-524054</v>
      </c>
      <c r="H292" s="23">
        <v>-642946</v>
      </c>
      <c r="I292" s="23">
        <v>44.9</v>
      </c>
      <c r="J292" s="27">
        <f>+K292-D292</f>
        <v>-1200000</v>
      </c>
      <c r="K292" s="23">
        <f>VLOOKUP(A292,fin,4,FALSE)</f>
        <v>0</v>
      </c>
      <c r="L292" s="23">
        <v>0</v>
      </c>
      <c r="M292" s="104">
        <f>VLOOKUP(A292,fin,6,FALSE)</f>
        <v>0</v>
      </c>
      <c r="N292" s="105"/>
    </row>
    <row r="293" spans="1:14" s="28" customFormat="1" ht="14.25" x14ac:dyDescent="0.2">
      <c r="A293" s="25"/>
      <c r="B293" s="25"/>
      <c r="C293" s="26"/>
      <c r="D293" s="23"/>
      <c r="E293" s="23"/>
      <c r="F293" s="23"/>
      <c r="G293" s="23"/>
      <c r="H293" s="23"/>
      <c r="I293" s="23"/>
      <c r="J293" s="27"/>
      <c r="K293" s="23"/>
      <c r="L293" s="23"/>
      <c r="M293" s="104"/>
      <c r="N293" s="105"/>
    </row>
    <row r="294" spans="1:14" s="24" customFormat="1" x14ac:dyDescent="0.25">
      <c r="A294" s="20"/>
      <c r="B294" s="20"/>
      <c r="C294" s="21" t="s">
        <v>320</v>
      </c>
      <c r="D294" s="29">
        <f>SUM(D289:D293)</f>
        <v>2100000</v>
      </c>
      <c r="E294" s="29">
        <f>SUM(E289:E293)</f>
        <v>-580374</v>
      </c>
      <c r="F294" s="29">
        <f>SUM(F289:F293)</f>
        <v>0</v>
      </c>
      <c r="G294" s="29">
        <f>SUM(G289:G293)</f>
        <v>-1048108</v>
      </c>
      <c r="H294" s="29">
        <f>SUM(H289:H293)</f>
        <v>-1285892</v>
      </c>
      <c r="I294" s="29">
        <v>34.01</v>
      </c>
      <c r="J294" s="27">
        <f>+K294-D294</f>
        <v>-1385724</v>
      </c>
      <c r="K294" s="29">
        <f>SUM(K289:K293)</f>
        <v>714276</v>
      </c>
      <c r="L294" s="29">
        <f>SUM(L289:L293)</f>
        <v>0</v>
      </c>
      <c r="M294" s="103">
        <f>SUM(M289:M293)</f>
        <v>900000</v>
      </c>
      <c r="N294" s="103">
        <f>SUM(N289:N293)</f>
        <v>600000</v>
      </c>
    </row>
    <row r="295" spans="1:14" s="24" customFormat="1" x14ac:dyDescent="0.25">
      <c r="A295" s="20"/>
      <c r="B295" s="20"/>
      <c r="C295" s="21"/>
      <c r="D295" s="29"/>
      <c r="E295" s="29"/>
      <c r="F295" s="29"/>
      <c r="G295" s="29"/>
      <c r="H295" s="29"/>
      <c r="I295" s="29"/>
      <c r="J295" s="27"/>
      <c r="K295" s="23"/>
      <c r="L295" s="29"/>
      <c r="M295" s="103"/>
      <c r="N295" s="84"/>
    </row>
    <row r="296" spans="1:14" s="24" customFormat="1" x14ac:dyDescent="0.25">
      <c r="A296" s="20"/>
      <c r="B296" s="20"/>
      <c r="C296" s="21" t="s">
        <v>1073</v>
      </c>
      <c r="D296" s="29"/>
      <c r="E296" s="29"/>
      <c r="F296" s="29"/>
      <c r="G296" s="29"/>
      <c r="H296" s="29"/>
      <c r="I296" s="29"/>
      <c r="J296" s="27">
        <f>+K296-D296</f>
        <v>0</v>
      </c>
      <c r="K296" s="23"/>
      <c r="L296" s="29"/>
      <c r="M296" s="103"/>
      <c r="N296" s="84"/>
    </row>
    <row r="297" spans="1:14" s="24" customFormat="1" x14ac:dyDescent="0.25">
      <c r="A297" s="20"/>
      <c r="B297" s="20"/>
      <c r="C297" s="21" t="s">
        <v>9</v>
      </c>
      <c r="D297" s="29"/>
      <c r="E297" s="29"/>
      <c r="F297" s="29"/>
      <c r="G297" s="29"/>
      <c r="H297" s="29"/>
      <c r="I297" s="29"/>
      <c r="J297" s="27">
        <f>+K297-D297</f>
        <v>0</v>
      </c>
      <c r="K297" s="23"/>
      <c r="L297" s="29"/>
      <c r="M297" s="103"/>
      <c r="N297" s="84"/>
    </row>
    <row r="298" spans="1:14" s="24" customFormat="1" x14ac:dyDescent="0.25">
      <c r="A298" s="20"/>
      <c r="B298" s="20"/>
      <c r="C298" s="21" t="s">
        <v>10</v>
      </c>
      <c r="D298" s="29"/>
      <c r="E298" s="29"/>
      <c r="F298" s="29"/>
      <c r="G298" s="29"/>
      <c r="H298" s="29"/>
      <c r="I298" s="29"/>
      <c r="J298" s="27">
        <f>+K298-D298</f>
        <v>0</v>
      </c>
      <c r="K298" s="23"/>
      <c r="L298" s="29"/>
      <c r="M298" s="103"/>
      <c r="N298" s="84"/>
    </row>
    <row r="299" spans="1:14" s="24" customFormat="1" x14ac:dyDescent="0.25">
      <c r="A299" s="20"/>
      <c r="B299" s="20"/>
      <c r="C299" s="21" t="s">
        <v>22</v>
      </c>
      <c r="D299" s="29"/>
      <c r="E299" s="29"/>
      <c r="F299" s="29"/>
      <c r="G299" s="29"/>
      <c r="H299" s="29"/>
      <c r="I299" s="29"/>
      <c r="J299" s="27">
        <f>+K299-D299</f>
        <v>0</v>
      </c>
      <c r="K299" s="23"/>
      <c r="L299" s="29"/>
      <c r="M299" s="103"/>
      <c r="N299" s="84"/>
    </row>
    <row r="300" spans="1:14" s="28" customFormat="1" ht="14.25" x14ac:dyDescent="0.2">
      <c r="A300" s="25"/>
      <c r="B300" s="25"/>
      <c r="C300" s="26"/>
      <c r="D300" s="23"/>
      <c r="E300" s="23"/>
      <c r="F300" s="23"/>
      <c r="G300" s="23"/>
      <c r="H300" s="23"/>
      <c r="I300" s="23"/>
      <c r="J300" s="27"/>
      <c r="K300" s="23"/>
      <c r="L300" s="23"/>
      <c r="M300" s="104"/>
      <c r="N300" s="105"/>
    </row>
    <row r="301" spans="1:14" s="28" customFormat="1" ht="14.25" x14ac:dyDescent="0.2">
      <c r="A301" s="25" t="s">
        <v>1074</v>
      </c>
      <c r="B301" s="25"/>
      <c r="C301" s="26" t="s">
        <v>24</v>
      </c>
      <c r="D301" s="23">
        <f>VLOOKUP(A301,fin,3,FALSE)</f>
        <v>-1200007</v>
      </c>
      <c r="E301" s="23">
        <v>-290187</v>
      </c>
      <c r="F301" s="23">
        <v>0</v>
      </c>
      <c r="G301" s="23">
        <v>-524054</v>
      </c>
      <c r="H301" s="23">
        <v>-642946</v>
      </c>
      <c r="I301" s="23">
        <v>44.9</v>
      </c>
      <c r="J301" s="27">
        <f>+K301-D301</f>
        <v>0</v>
      </c>
      <c r="K301" s="23">
        <f>VLOOKUP(A301,fin,4,FALSE)</f>
        <v>-1200007</v>
      </c>
      <c r="L301" s="23">
        <f>'Revenue per source'!K23</f>
        <v>-1254007.3149999999</v>
      </c>
      <c r="M301" s="23">
        <f>'Revenue per source'!L23</f>
        <v>-1314199.66612</v>
      </c>
      <c r="N301" s="23">
        <f>'Revenue per source'!M23</f>
        <v>-1374652.85076152</v>
      </c>
    </row>
    <row r="302" spans="1:14" s="28" customFormat="1" ht="14.25" x14ac:dyDescent="0.2">
      <c r="A302" s="25" t="s">
        <v>1075</v>
      </c>
      <c r="B302" s="25"/>
      <c r="C302" s="26" t="s">
        <v>26</v>
      </c>
      <c r="D302" s="23">
        <f>VLOOKUP(A302,fin,3,FALSE)</f>
        <v>0</v>
      </c>
      <c r="E302" s="23">
        <v>-290187</v>
      </c>
      <c r="F302" s="23">
        <v>0</v>
      </c>
      <c r="G302" s="23">
        <v>-524054</v>
      </c>
      <c r="H302" s="23">
        <v>-642946</v>
      </c>
      <c r="I302" s="23">
        <v>44.9</v>
      </c>
      <c r="J302" s="27">
        <f>+K302-D302</f>
        <v>0</v>
      </c>
      <c r="K302" s="23">
        <f>VLOOKUP(A302,fin,4,FALSE)</f>
        <v>0</v>
      </c>
      <c r="L302" s="23">
        <f>VLOOKUP(A302,fin,5,FALSE)</f>
        <v>0</v>
      </c>
      <c r="M302" s="104">
        <f>VLOOKUP(A302,fin,6,FALSE)</f>
        <v>0</v>
      </c>
      <c r="N302" s="105"/>
    </row>
    <row r="303" spans="1:14" s="28" customFormat="1" ht="14.25" x14ac:dyDescent="0.2">
      <c r="A303" s="25"/>
      <c r="B303" s="25"/>
      <c r="C303" s="26"/>
      <c r="D303" s="23"/>
      <c r="E303" s="23"/>
      <c r="F303" s="23"/>
      <c r="G303" s="23"/>
      <c r="H303" s="23"/>
      <c r="I303" s="23"/>
      <c r="J303" s="27"/>
      <c r="K303" s="23"/>
      <c r="L303" s="23"/>
      <c r="M303" s="104"/>
      <c r="N303" s="105"/>
    </row>
    <row r="304" spans="1:14" s="24" customFormat="1" x14ac:dyDescent="0.25">
      <c r="A304" s="20"/>
      <c r="B304" s="20"/>
      <c r="C304" s="21" t="s">
        <v>28</v>
      </c>
      <c r="D304" s="29">
        <f>SUM(D301:D303)</f>
        <v>-1200007</v>
      </c>
      <c r="E304" s="29">
        <v>-21350</v>
      </c>
      <c r="F304" s="29">
        <v>0</v>
      </c>
      <c r="G304" s="29">
        <v>-1878981.33</v>
      </c>
      <c r="H304" s="29">
        <v>678974.33</v>
      </c>
      <c r="I304" s="29">
        <v>156.58000000000001</v>
      </c>
      <c r="J304" s="27">
        <f>+K304-D304</f>
        <v>0</v>
      </c>
      <c r="K304" s="29">
        <f>SUM(K301:K303)</f>
        <v>-1200007</v>
      </c>
      <c r="L304" s="29">
        <f>SUM(L301:L303)</f>
        <v>-1254007.3149999999</v>
      </c>
      <c r="M304" s="103">
        <f>SUM(M301:M303)</f>
        <v>-1314199.66612</v>
      </c>
      <c r="N304" s="103">
        <f>SUM(N301:N303)</f>
        <v>-1374652.85076152</v>
      </c>
    </row>
    <row r="305" spans="1:14" s="24" customFormat="1" x14ac:dyDescent="0.25">
      <c r="A305" s="20"/>
      <c r="B305" s="20"/>
      <c r="C305" s="21"/>
      <c r="D305" s="29"/>
      <c r="E305" s="29"/>
      <c r="F305" s="29"/>
      <c r="G305" s="29"/>
      <c r="H305" s="29"/>
      <c r="I305" s="29"/>
      <c r="J305" s="27"/>
      <c r="K305" s="23"/>
      <c r="L305" s="29"/>
      <c r="M305" s="103"/>
      <c r="N305" s="84"/>
    </row>
    <row r="306" spans="1:14" s="24" customFormat="1" x14ac:dyDescent="0.25">
      <c r="A306" s="20"/>
      <c r="B306" s="20"/>
      <c r="C306" s="21" t="s">
        <v>40</v>
      </c>
      <c r="D306" s="29">
        <f>D304</f>
        <v>-1200007</v>
      </c>
      <c r="E306" s="29">
        <v>-21350</v>
      </c>
      <c r="F306" s="29">
        <v>0</v>
      </c>
      <c r="G306" s="29">
        <v>-1878981.33</v>
      </c>
      <c r="H306" s="29">
        <v>678974.33</v>
      </c>
      <c r="I306" s="29">
        <v>156.58000000000001</v>
      </c>
      <c r="J306" s="27">
        <f>+K306-D306</f>
        <v>0</v>
      </c>
      <c r="K306" s="29">
        <f>K304</f>
        <v>-1200007</v>
      </c>
      <c r="L306" s="29">
        <f>L304</f>
        <v>-1254007.3149999999</v>
      </c>
      <c r="M306" s="103">
        <f>M304</f>
        <v>-1314199.66612</v>
      </c>
      <c r="N306" s="103">
        <f>N304</f>
        <v>-1374652.85076152</v>
      </c>
    </row>
    <row r="307" spans="1:14" s="28" customFormat="1" ht="14.25" x14ac:dyDescent="0.2">
      <c r="A307" s="25"/>
      <c r="B307" s="25"/>
      <c r="C307" s="26"/>
      <c r="D307" s="23"/>
      <c r="E307" s="23"/>
      <c r="F307" s="23"/>
      <c r="G307" s="23"/>
      <c r="H307" s="23"/>
      <c r="I307" s="23"/>
      <c r="J307" s="27"/>
      <c r="K307" s="23"/>
      <c r="L307" s="23"/>
      <c r="M307" s="104"/>
      <c r="N307" s="105"/>
    </row>
    <row r="308" spans="1:14" s="24" customFormat="1" x14ac:dyDescent="0.25">
      <c r="A308" s="20"/>
      <c r="B308" s="20"/>
      <c r="C308" s="21" t="s">
        <v>41</v>
      </c>
      <c r="D308" s="29"/>
      <c r="E308" s="29"/>
      <c r="F308" s="29"/>
      <c r="G308" s="29"/>
      <c r="H308" s="29"/>
      <c r="I308" s="29"/>
      <c r="J308" s="27">
        <f>+K308-D308</f>
        <v>0</v>
      </c>
      <c r="K308" s="23"/>
      <c r="L308" s="29"/>
      <c r="M308" s="103"/>
      <c r="N308" s="84"/>
    </row>
    <row r="309" spans="1:14" s="24" customFormat="1" x14ac:dyDescent="0.25">
      <c r="A309" s="20"/>
      <c r="B309" s="20"/>
      <c r="C309" s="21" t="s">
        <v>91</v>
      </c>
      <c r="D309" s="29"/>
      <c r="E309" s="29"/>
      <c r="F309" s="29"/>
      <c r="G309" s="29"/>
      <c r="H309" s="29"/>
      <c r="I309" s="29"/>
      <c r="J309" s="27">
        <f>+K309-D309</f>
        <v>0</v>
      </c>
      <c r="K309" s="23"/>
      <c r="L309" s="29"/>
      <c r="M309" s="103"/>
      <c r="N309" s="84"/>
    </row>
    <row r="310" spans="1:14" s="28" customFormat="1" ht="14.25" x14ac:dyDescent="0.2">
      <c r="A310" s="25"/>
      <c r="B310" s="25"/>
      <c r="C310" s="26"/>
      <c r="D310" s="23"/>
      <c r="E310" s="23"/>
      <c r="F310" s="23"/>
      <c r="G310" s="23"/>
      <c r="H310" s="23"/>
      <c r="I310" s="23"/>
      <c r="J310" s="27"/>
      <c r="K310" s="23"/>
      <c r="L310" s="23"/>
      <c r="M310" s="104"/>
      <c r="N310" s="105"/>
    </row>
    <row r="311" spans="1:14" s="28" customFormat="1" ht="14.25" x14ac:dyDescent="0.2">
      <c r="A311" s="25" t="s">
        <v>1076</v>
      </c>
      <c r="B311" s="25"/>
      <c r="C311" s="26" t="s">
        <v>92</v>
      </c>
      <c r="D311" s="23">
        <f>VLOOKUP(A311,fin,3,FALSE)</f>
        <v>-7065504</v>
      </c>
      <c r="E311" s="23">
        <v>-290187</v>
      </c>
      <c r="F311" s="23">
        <v>0</v>
      </c>
      <c r="G311" s="23">
        <v>-524054</v>
      </c>
      <c r="H311" s="23">
        <v>-642946</v>
      </c>
      <c r="I311" s="23">
        <v>44.9</v>
      </c>
      <c r="J311" s="27">
        <f>+K311-D311</f>
        <v>0</v>
      </c>
      <c r="K311" s="23">
        <f>VLOOKUP(A311,fin,4,FALSE)</f>
        <v>-7065504</v>
      </c>
      <c r="L311" s="23">
        <f>'Revenue per source'!K128</f>
        <v>-7383451.6799999997</v>
      </c>
      <c r="M311" s="23">
        <f>'Revenue per source'!L128</f>
        <v>-7723090.4572799997</v>
      </c>
      <c r="N311" s="23">
        <f>'Revenue per source'!M128</f>
        <v>-8078352.6183148799</v>
      </c>
    </row>
    <row r="312" spans="1:14" s="28" customFormat="1" ht="14.25" x14ac:dyDescent="0.2">
      <c r="A312" s="25"/>
      <c r="B312" s="25"/>
      <c r="C312" s="26"/>
      <c r="D312" s="23"/>
      <c r="E312" s="23"/>
      <c r="F312" s="23"/>
      <c r="G312" s="23"/>
      <c r="H312" s="23"/>
      <c r="I312" s="23"/>
      <c r="J312" s="27"/>
      <c r="K312" s="23"/>
      <c r="L312" s="23"/>
      <c r="M312" s="104"/>
      <c r="N312" s="105"/>
    </row>
    <row r="313" spans="1:14" s="24" customFormat="1" x14ac:dyDescent="0.25">
      <c r="A313" s="20"/>
      <c r="B313" s="20"/>
      <c r="C313" s="21" t="s">
        <v>93</v>
      </c>
      <c r="D313" s="29">
        <f>SUM(D311:D312)</f>
        <v>-7065504</v>
      </c>
      <c r="E313" s="29">
        <v>-667782.97</v>
      </c>
      <c r="F313" s="29">
        <v>0</v>
      </c>
      <c r="G313" s="29">
        <v>-2221218.98</v>
      </c>
      <c r="H313" s="29">
        <v>-4844285.0199999996</v>
      </c>
      <c r="I313" s="29">
        <v>31.43</v>
      </c>
      <c r="J313" s="27">
        <f>+K313-D313</f>
        <v>0</v>
      </c>
      <c r="K313" s="29">
        <f>SUM(K311:K312)</f>
        <v>-7065504</v>
      </c>
      <c r="L313" s="29">
        <f>SUM(L311:L312)</f>
        <v>-7383451.6799999997</v>
      </c>
      <c r="M313" s="103">
        <f>SUM(M311:M312)</f>
        <v>-7723090.4572799997</v>
      </c>
      <c r="N313" s="103">
        <f>SUM(N311:N312)</f>
        <v>-8078352.6183148799</v>
      </c>
    </row>
    <row r="314" spans="1:14" s="24" customFormat="1" x14ac:dyDescent="0.25">
      <c r="A314" s="20"/>
      <c r="B314" s="20"/>
      <c r="C314" s="21"/>
      <c r="D314" s="29"/>
      <c r="E314" s="29"/>
      <c r="F314" s="29"/>
      <c r="G314" s="29"/>
      <c r="H314" s="29"/>
      <c r="I314" s="29"/>
      <c r="J314" s="27"/>
      <c r="K314" s="23"/>
      <c r="L314" s="29"/>
      <c r="M314" s="103"/>
      <c r="N314" s="84"/>
    </row>
    <row r="315" spans="1:14" s="24" customFormat="1" x14ac:dyDescent="0.25">
      <c r="A315" s="20"/>
      <c r="B315" s="20"/>
      <c r="C315" s="21" t="s">
        <v>94</v>
      </c>
      <c r="D315" s="29">
        <f>D313</f>
        <v>-7065504</v>
      </c>
      <c r="E315" s="29">
        <v>-667782.97</v>
      </c>
      <c r="F315" s="29">
        <v>0</v>
      </c>
      <c r="G315" s="29">
        <v>-2221218.98</v>
      </c>
      <c r="H315" s="29">
        <v>-4844285.0199999996</v>
      </c>
      <c r="I315" s="29">
        <v>31.43</v>
      </c>
      <c r="J315" s="27">
        <f>+K315-D315</f>
        <v>0</v>
      </c>
      <c r="K315" s="29">
        <f>K313</f>
        <v>-7065504</v>
      </c>
      <c r="L315" s="29">
        <f>L313</f>
        <v>-7383451.6799999997</v>
      </c>
      <c r="M315" s="103">
        <f>M313</f>
        <v>-7723090.4572799997</v>
      </c>
      <c r="N315" s="103">
        <f>N313</f>
        <v>-8078352.6183148799</v>
      </c>
    </row>
    <row r="316" spans="1:14" s="24" customFormat="1" x14ac:dyDescent="0.25">
      <c r="A316" s="20"/>
      <c r="B316" s="20"/>
      <c r="C316" s="21"/>
      <c r="D316" s="29"/>
      <c r="E316" s="29"/>
      <c r="F316" s="29"/>
      <c r="G316" s="29"/>
      <c r="H316" s="29"/>
      <c r="I316" s="29"/>
      <c r="J316" s="27"/>
      <c r="K316" s="23"/>
      <c r="L316" s="29"/>
      <c r="M316" s="103"/>
      <c r="N316" s="84"/>
    </row>
    <row r="317" spans="1:14" s="24" customFormat="1" x14ac:dyDescent="0.25">
      <c r="A317" s="20"/>
      <c r="B317" s="20"/>
      <c r="C317" s="21" t="s">
        <v>95</v>
      </c>
      <c r="D317" s="29">
        <f>+D306+D315</f>
        <v>-8265511</v>
      </c>
      <c r="E317" s="29">
        <v>-689132.97</v>
      </c>
      <c r="F317" s="29">
        <v>0</v>
      </c>
      <c r="G317" s="29">
        <v>-4100200.31</v>
      </c>
      <c r="H317" s="29">
        <v>-4165310.69</v>
      </c>
      <c r="I317" s="29">
        <v>49.6</v>
      </c>
      <c r="J317" s="27">
        <f>+K317-D317</f>
        <v>0</v>
      </c>
      <c r="K317" s="29">
        <f>+K306+K315</f>
        <v>-8265511</v>
      </c>
      <c r="L317" s="29">
        <f>+L306+L315</f>
        <v>-8637458.9949999992</v>
      </c>
      <c r="M317" s="103">
        <f>+M306+M315</f>
        <v>-9037290.123399999</v>
      </c>
      <c r="N317" s="103">
        <f>+N306+N315</f>
        <v>-9453005.4690764006</v>
      </c>
    </row>
    <row r="318" spans="1:14" s="24" customFormat="1" x14ac:dyDescent="0.25">
      <c r="A318" s="20"/>
      <c r="B318" s="20"/>
      <c r="C318" s="21"/>
      <c r="D318" s="29"/>
      <c r="E318" s="29"/>
      <c r="F318" s="29"/>
      <c r="G318" s="29"/>
      <c r="H318" s="29"/>
      <c r="I318" s="29"/>
      <c r="J318" s="27"/>
      <c r="K318" s="23"/>
      <c r="L318" s="29"/>
      <c r="M318" s="103"/>
      <c r="N318" s="84"/>
    </row>
    <row r="319" spans="1:14" s="24" customFormat="1" x14ac:dyDescent="0.25">
      <c r="A319" s="20"/>
      <c r="B319" s="20"/>
      <c r="C319" s="21" t="s">
        <v>96</v>
      </c>
      <c r="D319" s="29"/>
      <c r="E319" s="29"/>
      <c r="F319" s="29"/>
      <c r="G319" s="29"/>
      <c r="H319" s="29"/>
      <c r="I319" s="29"/>
      <c r="J319" s="27">
        <f>+K319-D319</f>
        <v>0</v>
      </c>
      <c r="K319" s="23"/>
      <c r="L319" s="29"/>
      <c r="M319" s="103"/>
      <c r="N319" s="84"/>
    </row>
    <row r="320" spans="1:14" s="24" customFormat="1" x14ac:dyDescent="0.25">
      <c r="A320" s="20"/>
      <c r="B320" s="20"/>
      <c r="C320" s="21" t="s">
        <v>97</v>
      </c>
      <c r="D320" s="29"/>
      <c r="E320" s="29"/>
      <c r="F320" s="29"/>
      <c r="G320" s="29"/>
      <c r="H320" s="29"/>
      <c r="I320" s="29"/>
      <c r="J320" s="27">
        <f>+K320-D320</f>
        <v>0</v>
      </c>
      <c r="K320" s="23"/>
      <c r="L320" s="29"/>
      <c r="M320" s="103"/>
      <c r="N320" s="84"/>
    </row>
    <row r="321" spans="1:14" s="24" customFormat="1" x14ac:dyDescent="0.25">
      <c r="A321" s="20"/>
      <c r="B321" s="20"/>
      <c r="C321" s="21" t="s">
        <v>148</v>
      </c>
      <c r="D321" s="29"/>
      <c r="E321" s="29"/>
      <c r="F321" s="29"/>
      <c r="G321" s="29"/>
      <c r="H321" s="29"/>
      <c r="I321" s="29"/>
      <c r="J321" s="27">
        <f>+K321-D321</f>
        <v>0</v>
      </c>
      <c r="K321" s="23"/>
      <c r="L321" s="29"/>
      <c r="M321" s="103"/>
      <c r="N321" s="84"/>
    </row>
    <row r="322" spans="1:14" s="24" customFormat="1" x14ac:dyDescent="0.25">
      <c r="A322" s="20"/>
      <c r="B322" s="20"/>
      <c r="C322" s="21" t="s">
        <v>149</v>
      </c>
      <c r="D322" s="29"/>
      <c r="E322" s="29"/>
      <c r="F322" s="29"/>
      <c r="G322" s="29"/>
      <c r="H322" s="29"/>
      <c r="I322" s="29"/>
      <c r="J322" s="27">
        <f>+K322-D322</f>
        <v>0</v>
      </c>
      <c r="K322" s="23"/>
      <c r="L322" s="29"/>
      <c r="M322" s="103"/>
      <c r="N322" s="84"/>
    </row>
    <row r="323" spans="1:14" s="24" customFormat="1" x14ac:dyDescent="0.25">
      <c r="A323" s="20"/>
      <c r="B323" s="20"/>
      <c r="C323" s="21"/>
      <c r="D323" s="29"/>
      <c r="E323" s="29"/>
      <c r="F323" s="29"/>
      <c r="G323" s="29"/>
      <c r="H323" s="29"/>
      <c r="I323" s="29"/>
      <c r="J323" s="27"/>
      <c r="K323" s="23"/>
      <c r="L323" s="29"/>
      <c r="M323" s="103"/>
      <c r="N323" s="84"/>
    </row>
    <row r="324" spans="1:14" s="28" customFormat="1" ht="14.25" x14ac:dyDescent="0.2">
      <c r="A324" s="25" t="s">
        <v>1077</v>
      </c>
      <c r="B324" s="25"/>
      <c r="C324" s="26" t="s">
        <v>150</v>
      </c>
      <c r="D324" s="23">
        <f t="shared" ref="D324:D334" si="50">VLOOKUP(A324,fin,3,FALSE)</f>
        <v>7800438</v>
      </c>
      <c r="E324" s="23">
        <v>-290187</v>
      </c>
      <c r="F324" s="23">
        <v>0</v>
      </c>
      <c r="G324" s="23">
        <v>-524054</v>
      </c>
      <c r="H324" s="23">
        <v>-642946</v>
      </c>
      <c r="I324" s="23">
        <v>44.9</v>
      </c>
      <c r="J324" s="27">
        <f t="shared" ref="J324:J334" si="51">+K324-D324</f>
        <v>0</v>
      </c>
      <c r="K324" s="23">
        <f t="shared" ref="K324:K334" si="52">VLOOKUP(A324,fin,4,FALSE)</f>
        <v>7800438</v>
      </c>
      <c r="L324" s="23">
        <f t="shared" ref="L324:L334" si="53">K324*6.25/100+K324</f>
        <v>8287965.375</v>
      </c>
      <c r="M324" s="179">
        <f t="shared" ref="M324:N334" si="54">L324*7/100+L324</f>
        <v>8868122.9512499999</v>
      </c>
      <c r="N324" s="105">
        <f t="shared" si="54"/>
        <v>9488891.5578374993</v>
      </c>
    </row>
    <row r="325" spans="1:14" s="28" customFormat="1" ht="14.25" x14ac:dyDescent="0.2">
      <c r="A325" s="25" t="s">
        <v>1078</v>
      </c>
      <c r="B325" s="25"/>
      <c r="C325" s="26" t="s">
        <v>151</v>
      </c>
      <c r="D325" s="23">
        <f t="shared" si="50"/>
        <v>364506</v>
      </c>
      <c r="E325" s="23">
        <v>-290187</v>
      </c>
      <c r="F325" s="23">
        <v>0</v>
      </c>
      <c r="G325" s="23">
        <v>-524054</v>
      </c>
      <c r="H325" s="23">
        <v>-642946</v>
      </c>
      <c r="I325" s="23">
        <v>44.9</v>
      </c>
      <c r="J325" s="27">
        <f t="shared" si="51"/>
        <v>-144361.65999999992</v>
      </c>
      <c r="K325" s="23">
        <f t="shared" si="52"/>
        <v>220144.34000000008</v>
      </c>
      <c r="L325" s="23">
        <f t="shared" si="53"/>
        <v>233903.36125000007</v>
      </c>
      <c r="M325" s="179">
        <f t="shared" si="54"/>
        <v>250276.59653750007</v>
      </c>
      <c r="N325" s="105">
        <f t="shared" si="54"/>
        <v>267795.95829512505</v>
      </c>
    </row>
    <row r="326" spans="1:14" s="28" customFormat="1" ht="14.25" x14ac:dyDescent="0.2">
      <c r="A326" s="25" t="s">
        <v>1079</v>
      </c>
      <c r="B326" s="25"/>
      <c r="C326" s="26" t="s">
        <v>152</v>
      </c>
      <c r="D326" s="23">
        <f t="shared" si="50"/>
        <v>136800</v>
      </c>
      <c r="E326" s="23">
        <v>-290187</v>
      </c>
      <c r="F326" s="23">
        <v>0</v>
      </c>
      <c r="G326" s="23">
        <v>-524054</v>
      </c>
      <c r="H326" s="23">
        <v>-642946</v>
      </c>
      <c r="I326" s="23">
        <v>44.9</v>
      </c>
      <c r="J326" s="27">
        <f t="shared" si="51"/>
        <v>0</v>
      </c>
      <c r="K326" s="23">
        <f t="shared" si="52"/>
        <v>136800</v>
      </c>
      <c r="L326" s="23">
        <f t="shared" si="53"/>
        <v>145350</v>
      </c>
      <c r="M326" s="179">
        <f t="shared" si="54"/>
        <v>155524.5</v>
      </c>
      <c r="N326" s="105">
        <f t="shared" si="54"/>
        <v>166411.215</v>
      </c>
    </row>
    <row r="327" spans="1:14" s="28" customFormat="1" ht="14.25" x14ac:dyDescent="0.2">
      <c r="A327" s="25" t="s">
        <v>1080</v>
      </c>
      <c r="B327" s="25"/>
      <c r="C327" s="26" t="s">
        <v>153</v>
      </c>
      <c r="D327" s="23">
        <f t="shared" si="50"/>
        <v>0</v>
      </c>
      <c r="E327" s="23">
        <v>-290187</v>
      </c>
      <c r="F327" s="23">
        <v>0</v>
      </c>
      <c r="G327" s="23">
        <v>-524054</v>
      </c>
      <c r="H327" s="23">
        <v>-642946</v>
      </c>
      <c r="I327" s="23">
        <v>44.9</v>
      </c>
      <c r="J327" s="27">
        <f t="shared" si="51"/>
        <v>65358.84</v>
      </c>
      <c r="K327" s="23">
        <f t="shared" si="52"/>
        <v>65358.84</v>
      </c>
      <c r="L327" s="23">
        <f t="shared" si="53"/>
        <v>69443.767500000002</v>
      </c>
      <c r="M327" s="179">
        <f t="shared" si="54"/>
        <v>74304.831225000002</v>
      </c>
      <c r="N327" s="105">
        <f t="shared" si="54"/>
        <v>79506.169410750008</v>
      </c>
    </row>
    <row r="328" spans="1:14" s="28" customFormat="1" ht="14.25" x14ac:dyDescent="0.2">
      <c r="A328" s="25" t="s">
        <v>1081</v>
      </c>
      <c r="B328" s="25"/>
      <c r="C328" s="26" t="s">
        <v>155</v>
      </c>
      <c r="D328" s="23">
        <f t="shared" si="50"/>
        <v>258849</v>
      </c>
      <c r="E328" s="23">
        <v>-290187</v>
      </c>
      <c r="F328" s="23">
        <v>0</v>
      </c>
      <c r="G328" s="23">
        <v>-524054</v>
      </c>
      <c r="H328" s="23">
        <v>-642946</v>
      </c>
      <c r="I328" s="23">
        <v>44.9</v>
      </c>
      <c r="J328" s="27">
        <f t="shared" si="51"/>
        <v>0</v>
      </c>
      <c r="K328" s="23">
        <f t="shared" si="52"/>
        <v>258849</v>
      </c>
      <c r="L328" s="23">
        <f t="shared" si="53"/>
        <v>275027.0625</v>
      </c>
      <c r="M328" s="179">
        <f t="shared" si="54"/>
        <v>294278.95687499997</v>
      </c>
      <c r="N328" s="105">
        <f t="shared" si="54"/>
        <v>314878.48385624995</v>
      </c>
    </row>
    <row r="329" spans="1:14" s="28" customFormat="1" ht="14.25" x14ac:dyDescent="0.2">
      <c r="A329" s="25" t="s">
        <v>1082</v>
      </c>
      <c r="B329" s="25"/>
      <c r="C329" s="26" t="s">
        <v>156</v>
      </c>
      <c r="D329" s="23">
        <f t="shared" si="50"/>
        <v>241565</v>
      </c>
      <c r="E329" s="23">
        <v>-290187</v>
      </c>
      <c r="F329" s="23">
        <v>0</v>
      </c>
      <c r="G329" s="23">
        <v>-524054</v>
      </c>
      <c r="H329" s="23">
        <v>-642946</v>
      </c>
      <c r="I329" s="23">
        <v>44.9</v>
      </c>
      <c r="J329" s="27">
        <f t="shared" si="51"/>
        <v>457044.24</v>
      </c>
      <c r="K329" s="23">
        <f t="shared" si="52"/>
        <v>698609.24</v>
      </c>
      <c r="L329" s="23">
        <f t="shared" si="53"/>
        <v>742272.3175</v>
      </c>
      <c r="M329" s="179">
        <f t="shared" si="54"/>
        <v>794231.37972500001</v>
      </c>
      <c r="N329" s="105">
        <f t="shared" si="54"/>
        <v>849827.57630575006</v>
      </c>
    </row>
    <row r="330" spans="1:14" s="28" customFormat="1" ht="14.25" x14ac:dyDescent="0.2">
      <c r="A330" s="25" t="s">
        <v>1083</v>
      </c>
      <c r="B330" s="25"/>
      <c r="C330" s="26" t="s">
        <v>157</v>
      </c>
      <c r="D330" s="23">
        <f t="shared" si="50"/>
        <v>258730</v>
      </c>
      <c r="E330" s="23">
        <v>-290187</v>
      </c>
      <c r="F330" s="23">
        <v>0</v>
      </c>
      <c r="G330" s="23">
        <v>-524054</v>
      </c>
      <c r="H330" s="23">
        <v>-642946</v>
      </c>
      <c r="I330" s="23">
        <v>44.9</v>
      </c>
      <c r="J330" s="27">
        <f t="shared" si="51"/>
        <v>-258730</v>
      </c>
      <c r="K330" s="23">
        <f t="shared" si="52"/>
        <v>0</v>
      </c>
      <c r="L330" s="23">
        <f t="shared" si="53"/>
        <v>0</v>
      </c>
      <c r="M330" s="179">
        <f t="shared" si="54"/>
        <v>0</v>
      </c>
      <c r="N330" s="105">
        <f t="shared" si="54"/>
        <v>0</v>
      </c>
    </row>
    <row r="331" spans="1:14" s="28" customFormat="1" ht="14.25" x14ac:dyDescent="0.2">
      <c r="A331" s="25" t="s">
        <v>1084</v>
      </c>
      <c r="B331" s="25"/>
      <c r="C331" s="26" t="s">
        <v>158</v>
      </c>
      <c r="D331" s="23">
        <f t="shared" si="50"/>
        <v>0</v>
      </c>
      <c r="E331" s="23">
        <v>-290187</v>
      </c>
      <c r="F331" s="23">
        <v>0</v>
      </c>
      <c r="G331" s="23">
        <v>-524054</v>
      </c>
      <c r="H331" s="23">
        <v>-642946</v>
      </c>
      <c r="I331" s="23">
        <v>44.9</v>
      </c>
      <c r="J331" s="27">
        <f t="shared" si="51"/>
        <v>110000</v>
      </c>
      <c r="K331" s="23">
        <f t="shared" si="52"/>
        <v>110000</v>
      </c>
      <c r="L331" s="23">
        <f t="shared" si="53"/>
        <v>116875</v>
      </c>
      <c r="M331" s="179">
        <f t="shared" si="54"/>
        <v>125056.25</v>
      </c>
      <c r="N331" s="105">
        <f t="shared" si="54"/>
        <v>133810.1875</v>
      </c>
    </row>
    <row r="332" spans="1:14" s="28" customFormat="1" ht="14.25" x14ac:dyDescent="0.2">
      <c r="A332" s="25" t="s">
        <v>1085</v>
      </c>
      <c r="B332" s="25"/>
      <c r="C332" s="26" t="s">
        <v>159</v>
      </c>
      <c r="D332" s="23">
        <f t="shared" si="50"/>
        <v>650036</v>
      </c>
      <c r="E332" s="23">
        <v>-290187</v>
      </c>
      <c r="F332" s="23">
        <v>0</v>
      </c>
      <c r="G332" s="23">
        <v>-524054</v>
      </c>
      <c r="H332" s="23">
        <v>-642946</v>
      </c>
      <c r="I332" s="23">
        <v>44.9</v>
      </c>
      <c r="J332" s="27">
        <f t="shared" si="51"/>
        <v>0</v>
      </c>
      <c r="K332" s="23">
        <f t="shared" si="52"/>
        <v>650036</v>
      </c>
      <c r="L332" s="23">
        <f t="shared" si="53"/>
        <v>690663.25</v>
      </c>
      <c r="M332" s="179">
        <f t="shared" si="54"/>
        <v>739009.67749999999</v>
      </c>
      <c r="N332" s="105">
        <f t="shared" si="54"/>
        <v>790740.35492499999</v>
      </c>
    </row>
    <row r="333" spans="1:14" s="28" customFormat="1" ht="14.25" x14ac:dyDescent="0.2">
      <c r="A333" s="25" t="s">
        <v>1086</v>
      </c>
      <c r="B333" s="25"/>
      <c r="C333" s="26" t="s">
        <v>160</v>
      </c>
      <c r="D333" s="23">
        <f t="shared" si="50"/>
        <v>115560</v>
      </c>
      <c r="E333" s="23">
        <v>-290187</v>
      </c>
      <c r="F333" s="23">
        <v>0</v>
      </c>
      <c r="G333" s="23">
        <v>-524054</v>
      </c>
      <c r="H333" s="23">
        <v>-642946</v>
      </c>
      <c r="I333" s="23">
        <v>44.9</v>
      </c>
      <c r="J333" s="27">
        <f t="shared" si="51"/>
        <v>0</v>
      </c>
      <c r="K333" s="23">
        <f t="shared" si="52"/>
        <v>115560</v>
      </c>
      <c r="L333" s="23">
        <f t="shared" si="53"/>
        <v>122782.5</v>
      </c>
      <c r="M333" s="179">
        <f t="shared" si="54"/>
        <v>131377.27499999999</v>
      </c>
      <c r="N333" s="105">
        <f t="shared" si="54"/>
        <v>140573.68424999999</v>
      </c>
    </row>
    <row r="334" spans="1:14" s="28" customFormat="1" ht="14.25" x14ac:dyDescent="0.2">
      <c r="A334" s="25" t="s">
        <v>1087</v>
      </c>
      <c r="B334" s="25"/>
      <c r="C334" s="26" t="s">
        <v>164</v>
      </c>
      <c r="D334" s="23">
        <f t="shared" si="50"/>
        <v>0</v>
      </c>
      <c r="E334" s="23">
        <v>-290187</v>
      </c>
      <c r="F334" s="23">
        <v>0</v>
      </c>
      <c r="G334" s="23">
        <v>-524054</v>
      </c>
      <c r="H334" s="23">
        <v>-642946</v>
      </c>
      <c r="I334" s="23">
        <v>44.9</v>
      </c>
      <c r="J334" s="27">
        <f t="shared" si="51"/>
        <v>15692.4</v>
      </c>
      <c r="K334" s="23">
        <f t="shared" si="52"/>
        <v>15692.4</v>
      </c>
      <c r="L334" s="23">
        <f t="shared" si="53"/>
        <v>16673.174999999999</v>
      </c>
      <c r="M334" s="179">
        <f t="shared" si="54"/>
        <v>17840.29725</v>
      </c>
      <c r="N334" s="105">
        <f t="shared" si="54"/>
        <v>19089.1180575</v>
      </c>
    </row>
    <row r="335" spans="1:14" s="28" customFormat="1" ht="14.25" x14ac:dyDescent="0.2">
      <c r="A335" s="25"/>
      <c r="B335" s="25"/>
      <c r="C335" s="26"/>
      <c r="D335" s="23"/>
      <c r="E335" s="23"/>
      <c r="F335" s="23"/>
      <c r="G335" s="23"/>
      <c r="H335" s="23"/>
      <c r="I335" s="23"/>
      <c r="J335" s="27"/>
      <c r="K335" s="23"/>
      <c r="L335" s="23"/>
      <c r="M335" s="104"/>
      <c r="N335" s="105"/>
    </row>
    <row r="336" spans="1:14" s="24" customFormat="1" x14ac:dyDescent="0.25">
      <c r="A336" s="20"/>
      <c r="B336" s="20"/>
      <c r="C336" s="21" t="s">
        <v>165</v>
      </c>
      <c r="D336" s="29">
        <f>SUM(D324:D335)</f>
        <v>9826484</v>
      </c>
      <c r="E336" s="29">
        <v>1097302.82</v>
      </c>
      <c r="F336" s="29">
        <v>0</v>
      </c>
      <c r="G336" s="29">
        <v>5749632.79</v>
      </c>
      <c r="H336" s="29">
        <v>4076851.21</v>
      </c>
      <c r="I336" s="29">
        <v>58.51</v>
      </c>
      <c r="J336" s="27">
        <f>+K336-D336</f>
        <v>245003.8200000003</v>
      </c>
      <c r="K336" s="29">
        <f>SUM(K324:K335)</f>
        <v>10071487.82</v>
      </c>
      <c r="L336" s="29">
        <f>SUM(L324:L335)</f>
        <v>10700955.808750002</v>
      </c>
      <c r="M336" s="103">
        <f>SUM(M324:M335)</f>
        <v>11450022.715362502</v>
      </c>
      <c r="N336" s="103">
        <f>SUM(N324:N335)</f>
        <v>12251524.305437876</v>
      </c>
    </row>
    <row r="337" spans="1:14" s="24" customFormat="1" x14ac:dyDescent="0.25">
      <c r="A337" s="20"/>
      <c r="B337" s="20"/>
      <c r="C337" s="21"/>
      <c r="D337" s="29"/>
      <c r="E337" s="29"/>
      <c r="F337" s="29"/>
      <c r="G337" s="29"/>
      <c r="H337" s="29"/>
      <c r="I337" s="29"/>
      <c r="J337" s="27"/>
      <c r="K337" s="23"/>
      <c r="L337" s="29"/>
      <c r="M337" s="103"/>
      <c r="N337" s="84"/>
    </row>
    <row r="338" spans="1:14" s="24" customFormat="1" x14ac:dyDescent="0.25">
      <c r="A338" s="20"/>
      <c r="B338" s="20"/>
      <c r="C338" s="21" t="s">
        <v>166</v>
      </c>
      <c r="D338" s="29"/>
      <c r="E338" s="29"/>
      <c r="F338" s="29"/>
      <c r="G338" s="29"/>
      <c r="H338" s="29"/>
      <c r="I338" s="29"/>
      <c r="J338" s="27">
        <f>+K338-D338</f>
        <v>0</v>
      </c>
      <c r="K338" s="23"/>
      <c r="L338" s="29"/>
      <c r="M338" s="103"/>
      <c r="N338" s="84"/>
    </row>
    <row r="339" spans="1:14" s="28" customFormat="1" ht="14.25" x14ac:dyDescent="0.2">
      <c r="A339" s="25"/>
      <c r="B339" s="25"/>
      <c r="C339" s="26"/>
      <c r="D339" s="23"/>
      <c r="E339" s="23"/>
      <c r="F339" s="23"/>
      <c r="G339" s="23"/>
      <c r="H339" s="23"/>
      <c r="I339" s="23"/>
      <c r="J339" s="27"/>
      <c r="K339" s="23"/>
      <c r="L339" s="23"/>
      <c r="M339" s="104"/>
      <c r="N339" s="105"/>
    </row>
    <row r="340" spans="1:14" s="28" customFormat="1" ht="14.25" x14ac:dyDescent="0.2">
      <c r="A340" s="25" t="s">
        <v>1088</v>
      </c>
      <c r="B340" s="25"/>
      <c r="C340" s="26" t="s">
        <v>167</v>
      </c>
      <c r="D340" s="23">
        <f>VLOOKUP(A340,fin,3,FALSE)</f>
        <v>2921</v>
      </c>
      <c r="E340" s="23">
        <v>-290187</v>
      </c>
      <c r="F340" s="23">
        <v>0</v>
      </c>
      <c r="G340" s="23">
        <v>-524054</v>
      </c>
      <c r="H340" s="23">
        <v>-642946</v>
      </c>
      <c r="I340" s="23">
        <v>44.9</v>
      </c>
      <c r="J340" s="27">
        <f>+K340-D340</f>
        <v>0</v>
      </c>
      <c r="K340" s="23">
        <f>VLOOKUP(A340,fin,4,FALSE)</f>
        <v>2921</v>
      </c>
      <c r="L340" s="23">
        <f>K340*6.25/100+K340</f>
        <v>3103.5625</v>
      </c>
      <c r="M340" s="179">
        <f t="shared" ref="M340:N343" si="55">L340*7/100+L340</f>
        <v>3320.8118749999999</v>
      </c>
      <c r="N340" s="105">
        <f t="shared" si="55"/>
        <v>3553.2687062499999</v>
      </c>
    </row>
    <row r="341" spans="1:14" s="28" customFormat="1" ht="14.25" x14ac:dyDescent="0.2">
      <c r="A341" s="25" t="s">
        <v>1089</v>
      </c>
      <c r="B341" s="25"/>
      <c r="C341" s="26" t="s">
        <v>168</v>
      </c>
      <c r="D341" s="23">
        <f>VLOOKUP(A341,fin,3,FALSE)</f>
        <v>1401613</v>
      </c>
      <c r="E341" s="23">
        <v>-290187</v>
      </c>
      <c r="F341" s="23">
        <v>0</v>
      </c>
      <c r="G341" s="23">
        <v>-524054</v>
      </c>
      <c r="H341" s="23">
        <v>-642946</v>
      </c>
      <c r="I341" s="23">
        <v>44.9</v>
      </c>
      <c r="J341" s="27">
        <f>+K341-D341</f>
        <v>-500000</v>
      </c>
      <c r="K341" s="23">
        <f>VLOOKUP(A341,fin,4,FALSE)</f>
        <v>901613</v>
      </c>
      <c r="L341" s="23">
        <f>K341*6.25/100+K341</f>
        <v>957963.8125</v>
      </c>
      <c r="M341" s="179">
        <f t="shared" si="55"/>
        <v>1025021.279375</v>
      </c>
      <c r="N341" s="105">
        <f t="shared" si="55"/>
        <v>1096772.7689312501</v>
      </c>
    </row>
    <row r="342" spans="1:14" s="28" customFormat="1" ht="14.25" x14ac:dyDescent="0.2">
      <c r="A342" s="25" t="s">
        <v>1090</v>
      </c>
      <c r="B342" s="25"/>
      <c r="C342" s="26" t="s">
        <v>169</v>
      </c>
      <c r="D342" s="23">
        <f>VLOOKUP(A342,fin,3,FALSE)</f>
        <v>1716096</v>
      </c>
      <c r="E342" s="23">
        <v>-290187</v>
      </c>
      <c r="F342" s="23">
        <v>0</v>
      </c>
      <c r="G342" s="23">
        <v>-524054</v>
      </c>
      <c r="H342" s="23">
        <v>-642946</v>
      </c>
      <c r="I342" s="23">
        <v>44.9</v>
      </c>
      <c r="J342" s="27">
        <f>+K342-D342</f>
        <v>0</v>
      </c>
      <c r="K342" s="23">
        <f>VLOOKUP(A342,fin,4,FALSE)</f>
        <v>1716096</v>
      </c>
      <c r="L342" s="23">
        <f>K342*6.25/100+K342</f>
        <v>1823352</v>
      </c>
      <c r="M342" s="179">
        <f t="shared" si="55"/>
        <v>1950986.64</v>
      </c>
      <c r="N342" s="105">
        <f t="shared" si="55"/>
        <v>2087555.7047999999</v>
      </c>
    </row>
    <row r="343" spans="1:14" s="28" customFormat="1" ht="14.25" x14ac:dyDescent="0.2">
      <c r="A343" s="25" t="s">
        <v>1091</v>
      </c>
      <c r="B343" s="25"/>
      <c r="C343" s="26" t="s">
        <v>170</v>
      </c>
      <c r="D343" s="23">
        <f>VLOOKUP(A343,fin,3,FALSE)</f>
        <v>46410</v>
      </c>
      <c r="E343" s="23">
        <v>-290187</v>
      </c>
      <c r="F343" s="23">
        <v>0</v>
      </c>
      <c r="G343" s="23">
        <v>-524054</v>
      </c>
      <c r="H343" s="23">
        <v>-642946</v>
      </c>
      <c r="I343" s="23">
        <v>44.9</v>
      </c>
      <c r="J343" s="27">
        <f>+K343-D343</f>
        <v>0</v>
      </c>
      <c r="K343" s="23">
        <f>VLOOKUP(A343,fin,4,FALSE)</f>
        <v>46410</v>
      </c>
      <c r="L343" s="23">
        <f>K343*6.25/100+K343</f>
        <v>49310.625</v>
      </c>
      <c r="M343" s="179">
        <f t="shared" si="55"/>
        <v>52762.368750000001</v>
      </c>
      <c r="N343" s="105">
        <f t="shared" si="55"/>
        <v>56455.734562500002</v>
      </c>
    </row>
    <row r="344" spans="1:14" s="28" customFormat="1" ht="14.25" x14ac:dyDescent="0.2">
      <c r="A344" s="25"/>
      <c r="B344" s="25"/>
      <c r="C344" s="26"/>
      <c r="D344" s="23"/>
      <c r="E344" s="23"/>
      <c r="F344" s="23"/>
      <c r="G344" s="23"/>
      <c r="H344" s="23"/>
      <c r="I344" s="23"/>
      <c r="J344" s="27"/>
      <c r="K344" s="23"/>
      <c r="L344" s="23"/>
      <c r="M344" s="104"/>
      <c r="N344" s="105"/>
    </row>
    <row r="345" spans="1:14" s="24" customFormat="1" x14ac:dyDescent="0.25">
      <c r="A345" s="20"/>
      <c r="B345" s="20"/>
      <c r="C345" s="21" t="s">
        <v>171</v>
      </c>
      <c r="D345" s="29">
        <f>SUM(D340:D344)</f>
        <v>3167040</v>
      </c>
      <c r="E345" s="29">
        <v>217136.93</v>
      </c>
      <c r="F345" s="29">
        <v>0</v>
      </c>
      <c r="G345" s="29">
        <v>1278619.72</v>
      </c>
      <c r="H345" s="29">
        <v>1888420.28</v>
      </c>
      <c r="I345" s="29">
        <v>40.369999999999997</v>
      </c>
      <c r="J345" s="27">
        <f>+K345-D345</f>
        <v>-500000</v>
      </c>
      <c r="K345" s="29">
        <f>SUM(K340:K344)</f>
        <v>2667040</v>
      </c>
      <c r="L345" s="29">
        <f>SUM(L340:L344)</f>
        <v>2833730</v>
      </c>
      <c r="M345" s="103">
        <f>SUM(M340:M344)</f>
        <v>3032091.1</v>
      </c>
      <c r="N345" s="103">
        <f>SUM(N340:N344)</f>
        <v>3244337.477</v>
      </c>
    </row>
    <row r="346" spans="1:14" s="24" customFormat="1" x14ac:dyDescent="0.25">
      <c r="A346" s="20"/>
      <c r="B346" s="20"/>
      <c r="C346" s="21"/>
      <c r="D346" s="29"/>
      <c r="E346" s="29"/>
      <c r="F346" s="29"/>
      <c r="G346" s="29"/>
      <c r="H346" s="29"/>
      <c r="I346" s="29"/>
      <c r="J346" s="27"/>
      <c r="K346" s="23"/>
      <c r="L346" s="29"/>
      <c r="M346" s="103"/>
      <c r="N346" s="84"/>
    </row>
    <row r="347" spans="1:14" s="24" customFormat="1" x14ac:dyDescent="0.25">
      <c r="A347" s="20"/>
      <c r="B347" s="20"/>
      <c r="C347" s="21" t="s">
        <v>172</v>
      </c>
      <c r="D347" s="29"/>
      <c r="E347" s="29"/>
      <c r="F347" s="29"/>
      <c r="G347" s="29"/>
      <c r="H347" s="29"/>
      <c r="I347" s="29"/>
      <c r="J347" s="27">
        <f>+K347-D347</f>
        <v>0</v>
      </c>
      <c r="K347" s="23"/>
      <c r="L347" s="29"/>
      <c r="M347" s="103"/>
      <c r="N347" s="84"/>
    </row>
    <row r="348" spans="1:14" s="28" customFormat="1" ht="14.25" x14ac:dyDescent="0.2">
      <c r="A348" s="25"/>
      <c r="B348" s="25"/>
      <c r="C348" s="26"/>
      <c r="D348" s="23"/>
      <c r="E348" s="23"/>
      <c r="F348" s="23"/>
      <c r="G348" s="23"/>
      <c r="H348" s="23"/>
      <c r="I348" s="23"/>
      <c r="J348" s="27"/>
      <c r="K348" s="23"/>
      <c r="L348" s="23"/>
      <c r="M348" s="104"/>
      <c r="N348" s="105"/>
    </row>
    <row r="349" spans="1:14" s="28" customFormat="1" ht="14.25" x14ac:dyDescent="0.2">
      <c r="A349" s="25" t="s">
        <v>1092</v>
      </c>
      <c r="B349" s="25"/>
      <c r="C349" s="26" t="s">
        <v>173</v>
      </c>
      <c r="D349" s="23">
        <f>VLOOKUP(A349,fin,3,FALSE)</f>
        <v>111281</v>
      </c>
      <c r="E349" s="23">
        <v>-290187</v>
      </c>
      <c r="F349" s="23">
        <v>0</v>
      </c>
      <c r="G349" s="23">
        <v>-524054</v>
      </c>
      <c r="H349" s="23">
        <v>-642946</v>
      </c>
      <c r="I349" s="23">
        <v>44.9</v>
      </c>
      <c r="J349" s="27">
        <f>+K349-D349</f>
        <v>0</v>
      </c>
      <c r="K349" s="23">
        <f>VLOOKUP(A349,fin,4,FALSE)</f>
        <v>111281</v>
      </c>
      <c r="L349" s="23">
        <f t="shared" ref="L349:L351" si="56">K349*6.25/100+K349</f>
        <v>118236.0625</v>
      </c>
      <c r="M349" s="179">
        <f t="shared" ref="M349:N349" si="57">L349*7/100+L349</f>
        <v>126512.58687500001</v>
      </c>
      <c r="N349" s="105">
        <f t="shared" si="57"/>
        <v>135368.46795625001</v>
      </c>
    </row>
    <row r="350" spans="1:14" s="28" customFormat="1" ht="14.25" x14ac:dyDescent="0.2">
      <c r="A350" s="25" t="s">
        <v>1093</v>
      </c>
      <c r="B350" s="25"/>
      <c r="C350" s="26" t="s">
        <v>174</v>
      </c>
      <c r="D350" s="23">
        <f>VLOOKUP(A350,fin,3,FALSE)</f>
        <v>84517</v>
      </c>
      <c r="E350" s="23">
        <v>-290187</v>
      </c>
      <c r="F350" s="23">
        <v>0</v>
      </c>
      <c r="G350" s="23">
        <v>-524054</v>
      </c>
      <c r="H350" s="23">
        <v>-642946</v>
      </c>
      <c r="I350" s="23">
        <v>44.9</v>
      </c>
      <c r="J350" s="27">
        <f>+K350-D350</f>
        <v>0</v>
      </c>
      <c r="K350" s="23">
        <f>VLOOKUP(A350,fin,4,FALSE)</f>
        <v>84517</v>
      </c>
      <c r="L350" s="23">
        <f t="shared" si="56"/>
        <v>89799.3125</v>
      </c>
      <c r="M350" s="179">
        <f t="shared" ref="M350:N350" si="58">L350*7/100+L350</f>
        <v>96085.264374999999</v>
      </c>
      <c r="N350" s="105">
        <f t="shared" si="58"/>
        <v>102811.23288125001</v>
      </c>
    </row>
    <row r="351" spans="1:14" s="28" customFormat="1" ht="14.25" x14ac:dyDescent="0.2">
      <c r="A351" s="25" t="s">
        <v>1094</v>
      </c>
      <c r="B351" s="25"/>
      <c r="C351" s="26" t="s">
        <v>175</v>
      </c>
      <c r="D351" s="23">
        <f>VLOOKUP(A351,fin,3,FALSE)</f>
        <v>120219</v>
      </c>
      <c r="E351" s="23">
        <v>-290187</v>
      </c>
      <c r="F351" s="23">
        <v>0</v>
      </c>
      <c r="G351" s="23">
        <v>-524054</v>
      </c>
      <c r="H351" s="23">
        <v>-642946</v>
      </c>
      <c r="I351" s="23">
        <v>44.9</v>
      </c>
      <c r="J351" s="27">
        <f>+K351-D351</f>
        <v>0</v>
      </c>
      <c r="K351" s="23">
        <f>VLOOKUP(A351,fin,4,FALSE)</f>
        <v>120219</v>
      </c>
      <c r="L351" s="23">
        <f t="shared" si="56"/>
        <v>127732.6875</v>
      </c>
      <c r="M351" s="179">
        <f t="shared" ref="M351:N351" si="59">L351*7/100+L351</f>
        <v>136673.97562499999</v>
      </c>
      <c r="N351" s="105">
        <f t="shared" si="59"/>
        <v>146241.15391875</v>
      </c>
    </row>
    <row r="352" spans="1:14" s="28" customFormat="1" ht="14.25" x14ac:dyDescent="0.2">
      <c r="A352" s="25"/>
      <c r="B352" s="25"/>
      <c r="C352" s="26"/>
      <c r="D352" s="23"/>
      <c r="E352" s="23"/>
      <c r="F352" s="23"/>
      <c r="G352" s="23"/>
      <c r="H352" s="23"/>
      <c r="I352" s="23"/>
      <c r="J352" s="27"/>
      <c r="K352" s="23"/>
      <c r="L352" s="23"/>
      <c r="M352" s="104"/>
      <c r="N352" s="105"/>
    </row>
    <row r="353" spans="1:14" s="24" customFormat="1" x14ac:dyDescent="0.25">
      <c r="A353" s="20"/>
      <c r="B353" s="20"/>
      <c r="C353" s="21" t="s">
        <v>176</v>
      </c>
      <c r="D353" s="29">
        <f>SUM(D349:D352)</f>
        <v>316017</v>
      </c>
      <c r="E353" s="29">
        <v>0</v>
      </c>
      <c r="F353" s="29">
        <v>0</v>
      </c>
      <c r="G353" s="29">
        <v>0</v>
      </c>
      <c r="H353" s="29">
        <v>316017</v>
      </c>
      <c r="I353" s="29">
        <v>0</v>
      </c>
      <c r="J353" s="27">
        <f>+K353-D353</f>
        <v>0</v>
      </c>
      <c r="K353" s="29">
        <f>SUM(K349:K352)</f>
        <v>316017</v>
      </c>
      <c r="L353" s="29">
        <f>SUM(L349:L352)</f>
        <v>335768.0625</v>
      </c>
      <c r="M353" s="103">
        <f>SUM(M349:M352)</f>
        <v>359271.82687500003</v>
      </c>
      <c r="N353" s="103">
        <f>SUM(N349:N352)</f>
        <v>384420.85475625005</v>
      </c>
    </row>
    <row r="354" spans="1:14" s="24" customFormat="1" x14ac:dyDescent="0.25">
      <c r="A354" s="20"/>
      <c r="B354" s="20"/>
      <c r="C354" s="21"/>
      <c r="D354" s="29"/>
      <c r="E354" s="29"/>
      <c r="F354" s="29"/>
      <c r="G354" s="29"/>
      <c r="H354" s="29"/>
      <c r="I354" s="29"/>
      <c r="J354" s="27"/>
      <c r="K354" s="23"/>
      <c r="L354" s="29"/>
      <c r="M354" s="103"/>
      <c r="N354" s="84"/>
    </row>
    <row r="355" spans="1:14" s="24" customFormat="1" x14ac:dyDescent="0.25">
      <c r="A355" s="20"/>
      <c r="B355" s="20"/>
      <c r="C355" s="21" t="s">
        <v>177</v>
      </c>
      <c r="D355" s="29">
        <f>+D336+D345+D353</f>
        <v>13309541</v>
      </c>
      <c r="E355" s="29">
        <v>1314439.75</v>
      </c>
      <c r="F355" s="29">
        <v>0</v>
      </c>
      <c r="G355" s="29">
        <v>7028252.5099999998</v>
      </c>
      <c r="H355" s="29">
        <v>6281288.4900000002</v>
      </c>
      <c r="I355" s="29">
        <v>52.8</v>
      </c>
      <c r="J355" s="27">
        <f>+K355-D355</f>
        <v>-254996.1799999997</v>
      </c>
      <c r="K355" s="29">
        <f>+K336+K345+K353</f>
        <v>13054544.82</v>
      </c>
      <c r="L355" s="29">
        <f>+L336+L345+L353</f>
        <v>13870453.871250002</v>
      </c>
      <c r="M355" s="103">
        <f>+M336+M345+M353</f>
        <v>14841385.642237501</v>
      </c>
      <c r="N355" s="103">
        <f>+N336+N345+N353</f>
        <v>15880282.637194127</v>
      </c>
    </row>
    <row r="356" spans="1:14" s="24" customFormat="1" x14ac:dyDescent="0.25">
      <c r="A356" s="20"/>
      <c r="B356" s="20"/>
      <c r="C356" s="21"/>
      <c r="D356" s="29"/>
      <c r="E356" s="29"/>
      <c r="F356" s="29"/>
      <c r="G356" s="29"/>
      <c r="H356" s="29"/>
      <c r="I356" s="29"/>
      <c r="J356" s="27"/>
      <c r="K356" s="23"/>
      <c r="L356" s="29"/>
      <c r="M356" s="103"/>
      <c r="N356" s="84"/>
    </row>
    <row r="357" spans="1:14" s="24" customFormat="1" x14ac:dyDescent="0.25">
      <c r="A357" s="20"/>
      <c r="B357" s="20"/>
      <c r="C357" s="21" t="s">
        <v>178</v>
      </c>
      <c r="D357" s="29">
        <f>D355</f>
        <v>13309541</v>
      </c>
      <c r="E357" s="29">
        <v>1314439.75</v>
      </c>
      <c r="F357" s="29">
        <v>0</v>
      </c>
      <c r="G357" s="29">
        <v>7028252.5099999998</v>
      </c>
      <c r="H357" s="29">
        <v>6281288.4900000002</v>
      </c>
      <c r="I357" s="29">
        <v>52.8</v>
      </c>
      <c r="J357" s="27">
        <f>+K357-D357</f>
        <v>-254996.1799999997</v>
      </c>
      <c r="K357" s="29">
        <f>K355</f>
        <v>13054544.82</v>
      </c>
      <c r="L357" s="29">
        <f>L355</f>
        <v>13870453.871250002</v>
      </c>
      <c r="M357" s="103">
        <f>M355</f>
        <v>14841385.642237501</v>
      </c>
      <c r="N357" s="103">
        <f>N355</f>
        <v>15880282.637194127</v>
      </c>
    </row>
    <row r="358" spans="1:14" s="24" customFormat="1" x14ac:dyDescent="0.25">
      <c r="A358" s="20"/>
      <c r="B358" s="20"/>
      <c r="C358" s="21"/>
      <c r="D358" s="29"/>
      <c r="E358" s="29"/>
      <c r="F358" s="29"/>
      <c r="G358" s="29"/>
      <c r="H358" s="29"/>
      <c r="I358" s="29"/>
      <c r="J358" s="27"/>
      <c r="K358" s="23"/>
      <c r="L358" s="29"/>
      <c r="M358" s="103"/>
      <c r="N358" s="84"/>
    </row>
    <row r="359" spans="1:14" s="24" customFormat="1" x14ac:dyDescent="0.25">
      <c r="A359" s="20"/>
      <c r="B359" s="20"/>
      <c r="C359" s="21" t="s">
        <v>208</v>
      </c>
      <c r="D359" s="29"/>
      <c r="E359" s="29"/>
      <c r="F359" s="29"/>
      <c r="G359" s="29"/>
      <c r="H359" s="29"/>
      <c r="I359" s="29"/>
      <c r="J359" s="27">
        <f>+K359-D359</f>
        <v>0</v>
      </c>
      <c r="K359" s="23"/>
      <c r="L359" s="29"/>
      <c r="M359" s="103"/>
      <c r="N359" s="84"/>
    </row>
    <row r="360" spans="1:14" s="24" customFormat="1" x14ac:dyDescent="0.25">
      <c r="A360" s="20"/>
      <c r="B360" s="20"/>
      <c r="C360" s="21" t="s">
        <v>228</v>
      </c>
      <c r="D360" s="29"/>
      <c r="E360" s="29"/>
      <c r="F360" s="29"/>
      <c r="G360" s="29"/>
      <c r="H360" s="29"/>
      <c r="I360" s="29"/>
      <c r="J360" s="27">
        <f>+K360-D360</f>
        <v>0</v>
      </c>
      <c r="K360" s="23"/>
      <c r="L360" s="29"/>
      <c r="M360" s="103"/>
      <c r="N360" s="84"/>
    </row>
    <row r="361" spans="1:14" s="24" customFormat="1" x14ac:dyDescent="0.25">
      <c r="A361" s="20"/>
      <c r="B361" s="20"/>
      <c r="C361" s="21"/>
      <c r="D361" s="29"/>
      <c r="E361" s="29"/>
      <c r="F361" s="29"/>
      <c r="G361" s="29"/>
      <c r="H361" s="29"/>
      <c r="I361" s="29"/>
      <c r="J361" s="27"/>
      <c r="K361" s="23"/>
      <c r="L361" s="29"/>
      <c r="M361" s="103"/>
      <c r="N361" s="84"/>
    </row>
    <row r="362" spans="1:14" s="28" customFormat="1" ht="14.25" x14ac:dyDescent="0.2">
      <c r="A362" s="25" t="s">
        <v>1095</v>
      </c>
      <c r="B362" s="25"/>
      <c r="C362" s="26" t="s">
        <v>235</v>
      </c>
      <c r="D362" s="23">
        <f>VLOOKUP(A362,fin,3,FALSE)</f>
        <v>39987</v>
      </c>
      <c r="E362" s="23">
        <v>-290187</v>
      </c>
      <c r="F362" s="23">
        <v>0</v>
      </c>
      <c r="G362" s="23">
        <v>-524054</v>
      </c>
      <c r="H362" s="23">
        <v>-642946</v>
      </c>
      <c r="I362" s="23">
        <v>44.9</v>
      </c>
      <c r="J362" s="27">
        <f>+K362-D362</f>
        <v>0</v>
      </c>
      <c r="K362" s="23">
        <f>VLOOKUP(A362,fin,4,FALSE)</f>
        <v>39987</v>
      </c>
      <c r="L362" s="23">
        <f>K362*4.5/100+K362</f>
        <v>41786.415000000001</v>
      </c>
      <c r="M362" s="104">
        <f t="shared" ref="M362:N362" si="60">L362*4.6/100+L362</f>
        <v>43708.590089999998</v>
      </c>
      <c r="N362" s="105">
        <f t="shared" si="60"/>
        <v>45719.185234140001</v>
      </c>
    </row>
    <row r="363" spans="1:14" s="28" customFormat="1" ht="14.25" x14ac:dyDescent="0.2">
      <c r="A363" s="25"/>
      <c r="B363" s="25"/>
      <c r="C363" s="26"/>
      <c r="D363" s="23"/>
      <c r="E363" s="23"/>
      <c r="F363" s="23"/>
      <c r="G363" s="23"/>
      <c r="H363" s="23"/>
      <c r="I363" s="23"/>
      <c r="J363" s="27"/>
      <c r="K363" s="23"/>
      <c r="L363" s="23"/>
      <c r="M363" s="104"/>
      <c r="N363" s="105"/>
    </row>
    <row r="364" spans="1:14" s="24" customFormat="1" x14ac:dyDescent="0.25">
      <c r="A364" s="20"/>
      <c r="B364" s="20"/>
      <c r="C364" s="21" t="s">
        <v>239</v>
      </c>
      <c r="D364" s="29">
        <f>SUM(D362:D363)</f>
        <v>39987</v>
      </c>
      <c r="E364" s="29">
        <v>12482.61</v>
      </c>
      <c r="F364" s="29">
        <v>0</v>
      </c>
      <c r="G364" s="29">
        <v>12482.61</v>
      </c>
      <c r="H364" s="29">
        <v>27504.39</v>
      </c>
      <c r="I364" s="29">
        <v>31.21</v>
      </c>
      <c r="J364" s="27">
        <f>+K364-D364</f>
        <v>0</v>
      </c>
      <c r="K364" s="29">
        <f>SUM(K362:K363)</f>
        <v>39987</v>
      </c>
      <c r="L364" s="29">
        <f>SUM(L362:L363)</f>
        <v>41786.415000000001</v>
      </c>
      <c r="M364" s="103">
        <f>SUM(M362:M363)</f>
        <v>43708.590089999998</v>
      </c>
      <c r="N364" s="103">
        <f>SUM(N362:N363)</f>
        <v>45719.185234140001</v>
      </c>
    </row>
    <row r="365" spans="1:14" s="24" customFormat="1" x14ac:dyDescent="0.25">
      <c r="A365" s="20"/>
      <c r="B365" s="20"/>
      <c r="C365" s="21"/>
      <c r="D365" s="29"/>
      <c r="E365" s="29"/>
      <c r="F365" s="29"/>
      <c r="G365" s="29"/>
      <c r="H365" s="29"/>
      <c r="I365" s="29"/>
      <c r="J365" s="27"/>
      <c r="K365" s="23"/>
      <c r="L365" s="29"/>
      <c r="M365" s="103"/>
      <c r="N365" s="84"/>
    </row>
    <row r="366" spans="1:14" s="24" customFormat="1" x14ac:dyDescent="0.25">
      <c r="A366" s="20"/>
      <c r="B366" s="20"/>
      <c r="C366" s="21" t="s">
        <v>240</v>
      </c>
      <c r="D366" s="29">
        <f>D364</f>
        <v>39987</v>
      </c>
      <c r="E366" s="29">
        <v>12482.61</v>
      </c>
      <c r="F366" s="29">
        <v>0</v>
      </c>
      <c r="G366" s="29">
        <v>12482.61</v>
      </c>
      <c r="H366" s="29">
        <v>27504.39</v>
      </c>
      <c r="I366" s="29">
        <v>31.21</v>
      </c>
      <c r="J366" s="27">
        <f>+K366-D366</f>
        <v>0</v>
      </c>
      <c r="K366" s="29">
        <f>K364</f>
        <v>39987</v>
      </c>
      <c r="L366" s="29">
        <f>L364</f>
        <v>41786.415000000001</v>
      </c>
      <c r="M366" s="103">
        <f>M364</f>
        <v>43708.590089999998</v>
      </c>
      <c r="N366" s="103">
        <f>N364</f>
        <v>45719.185234140001</v>
      </c>
    </row>
    <row r="367" spans="1:14" s="24" customFormat="1" x14ac:dyDescent="0.25">
      <c r="A367" s="20"/>
      <c r="B367" s="20"/>
      <c r="C367" s="21"/>
      <c r="D367" s="29"/>
      <c r="E367" s="29"/>
      <c r="F367" s="29"/>
      <c r="G367" s="29"/>
      <c r="H367" s="29"/>
      <c r="I367" s="29"/>
      <c r="J367" s="27"/>
      <c r="K367" s="23"/>
      <c r="L367" s="29"/>
      <c r="M367" s="103"/>
      <c r="N367" s="84"/>
    </row>
    <row r="368" spans="1:14" s="24" customFormat="1" x14ac:dyDescent="0.25">
      <c r="A368" s="20"/>
      <c r="B368" s="20"/>
      <c r="C368" s="21" t="s">
        <v>241</v>
      </c>
      <c r="D368" s="29"/>
      <c r="E368" s="29"/>
      <c r="F368" s="29"/>
      <c r="G368" s="29"/>
      <c r="H368" s="29"/>
      <c r="I368" s="29"/>
      <c r="J368" s="27">
        <f>+K368-D368</f>
        <v>0</v>
      </c>
      <c r="K368" s="23"/>
      <c r="L368" s="29"/>
      <c r="M368" s="103"/>
      <c r="N368" s="84"/>
    </row>
    <row r="369" spans="1:14" s="28" customFormat="1" ht="14.25" x14ac:dyDescent="0.2">
      <c r="A369" s="25"/>
      <c r="B369" s="25"/>
      <c r="C369" s="26"/>
      <c r="D369" s="23"/>
      <c r="E369" s="23"/>
      <c r="F369" s="23"/>
      <c r="G369" s="23"/>
      <c r="H369" s="23"/>
      <c r="I369" s="23"/>
      <c r="J369" s="27"/>
      <c r="K369" s="23"/>
      <c r="L369" s="23"/>
      <c r="M369" s="104"/>
      <c r="N369" s="105"/>
    </row>
    <row r="370" spans="1:14" s="28" customFormat="1" ht="14.25" x14ac:dyDescent="0.2">
      <c r="A370" s="25" t="s">
        <v>1096</v>
      </c>
      <c r="B370" s="25"/>
      <c r="C370" s="26" t="s">
        <v>265</v>
      </c>
      <c r="D370" s="23">
        <f>VLOOKUP(A370,fin,3,FALSE)</f>
        <v>0</v>
      </c>
      <c r="E370" s="23">
        <v>-290187</v>
      </c>
      <c r="F370" s="23">
        <v>0</v>
      </c>
      <c r="G370" s="23">
        <v>-524054</v>
      </c>
      <c r="H370" s="23">
        <v>-642946</v>
      </c>
      <c r="I370" s="23">
        <v>44.9</v>
      </c>
      <c r="J370" s="27">
        <f>+K370-D370</f>
        <v>174021.27</v>
      </c>
      <c r="K370" s="23">
        <f>VLOOKUP(A370,fin,4,FALSE)</f>
        <v>174021.27</v>
      </c>
      <c r="L370" s="23">
        <f t="shared" ref="L370:L371" si="61">K370*4.5/100+K370</f>
        <v>181852.22714999999</v>
      </c>
      <c r="M370" s="104">
        <f t="shared" ref="M370:N370" si="62">L370*4.6/100+L370</f>
        <v>190217.42959889999</v>
      </c>
      <c r="N370" s="105">
        <f t="shared" si="62"/>
        <v>198967.43136044941</v>
      </c>
    </row>
    <row r="371" spans="1:14" s="28" customFormat="1" ht="14.25" x14ac:dyDescent="0.2">
      <c r="A371" s="25" t="s">
        <v>1097</v>
      </c>
      <c r="B371" s="25"/>
      <c r="C371" s="26" t="s">
        <v>268</v>
      </c>
      <c r="D371" s="23">
        <f>VLOOKUP(A371,fin,3,FALSE)</f>
        <v>0</v>
      </c>
      <c r="E371" s="23">
        <v>-290187</v>
      </c>
      <c r="F371" s="23">
        <v>0</v>
      </c>
      <c r="G371" s="23">
        <v>-524054</v>
      </c>
      <c r="H371" s="23">
        <v>-642946</v>
      </c>
      <c r="I371" s="23">
        <v>44.9</v>
      </c>
      <c r="J371" s="27">
        <f>+K371-D371</f>
        <v>219649.7</v>
      </c>
      <c r="K371" s="23">
        <f>VLOOKUP(A371,fin,4,FALSE)</f>
        <v>219649.7</v>
      </c>
      <c r="L371" s="23">
        <f t="shared" si="61"/>
        <v>229533.93650000001</v>
      </c>
      <c r="M371" s="104">
        <f t="shared" ref="M371:N371" si="63">L371*4.6/100+L371</f>
        <v>240092.49757900002</v>
      </c>
      <c r="N371" s="105">
        <f t="shared" si="63"/>
        <v>251136.75246763401</v>
      </c>
    </row>
    <row r="372" spans="1:14" s="28" customFormat="1" ht="14.25" x14ac:dyDescent="0.2">
      <c r="A372" s="25"/>
      <c r="B372" s="25"/>
      <c r="C372" s="26"/>
      <c r="D372" s="23"/>
      <c r="E372" s="23"/>
      <c r="F372" s="23"/>
      <c r="G372" s="23"/>
      <c r="H372" s="23"/>
      <c r="I372" s="23"/>
      <c r="J372" s="27"/>
      <c r="K372" s="23"/>
      <c r="L372" s="23"/>
      <c r="M372" s="104"/>
      <c r="N372" s="105"/>
    </row>
    <row r="373" spans="1:14" s="24" customFormat="1" x14ac:dyDescent="0.25">
      <c r="A373" s="20"/>
      <c r="B373" s="20"/>
      <c r="C373" s="21" t="s">
        <v>274</v>
      </c>
      <c r="D373" s="29">
        <f>SUM(D370:D372)</f>
        <v>0</v>
      </c>
      <c r="E373" s="29">
        <v>29249.72</v>
      </c>
      <c r="F373" s="29">
        <v>0</v>
      </c>
      <c r="G373" s="29">
        <v>167831.94</v>
      </c>
      <c r="H373" s="29">
        <v>-167831.94</v>
      </c>
      <c r="I373" s="29">
        <v>0</v>
      </c>
      <c r="J373" s="27">
        <f>+K373-D373</f>
        <v>393670.97</v>
      </c>
      <c r="K373" s="29">
        <f>SUM(K370:K372)</f>
        <v>393670.97</v>
      </c>
      <c r="L373" s="29">
        <f>SUM(L370:L372)</f>
        <v>411386.16365</v>
      </c>
      <c r="M373" s="103">
        <f>SUM(M370:M372)</f>
        <v>430309.92717789998</v>
      </c>
      <c r="N373" s="103">
        <f>SUM(N370:N372)</f>
        <v>450104.18382808345</v>
      </c>
    </row>
    <row r="374" spans="1:14" s="24" customFormat="1" x14ac:dyDescent="0.25">
      <c r="A374" s="20"/>
      <c r="B374" s="20"/>
      <c r="C374" s="21"/>
      <c r="D374" s="29"/>
      <c r="E374" s="29"/>
      <c r="F374" s="29"/>
      <c r="G374" s="29"/>
      <c r="H374" s="29"/>
      <c r="I374" s="29"/>
      <c r="J374" s="27"/>
      <c r="K374" s="23"/>
      <c r="L374" s="29"/>
      <c r="M374" s="103"/>
      <c r="N374" s="84"/>
    </row>
    <row r="375" spans="1:14" s="24" customFormat="1" x14ac:dyDescent="0.25">
      <c r="A375" s="20"/>
      <c r="B375" s="20"/>
      <c r="C375" s="21" t="s">
        <v>290</v>
      </c>
      <c r="D375" s="29"/>
      <c r="E375" s="29"/>
      <c r="F375" s="29"/>
      <c r="G375" s="29"/>
      <c r="H375" s="29"/>
      <c r="I375" s="29"/>
      <c r="J375" s="27">
        <f>+K375-D375</f>
        <v>0</v>
      </c>
      <c r="K375" s="23"/>
      <c r="L375" s="29"/>
      <c r="M375" s="103"/>
      <c r="N375" s="84"/>
    </row>
    <row r="376" spans="1:14" s="28" customFormat="1" ht="14.25" x14ac:dyDescent="0.2">
      <c r="A376" s="25"/>
      <c r="B376" s="25"/>
      <c r="C376" s="26"/>
      <c r="D376" s="23"/>
      <c r="E376" s="23"/>
      <c r="F376" s="23"/>
      <c r="G376" s="23"/>
      <c r="H376" s="23"/>
      <c r="I376" s="23"/>
      <c r="J376" s="27"/>
      <c r="K376" s="23"/>
      <c r="L376" s="23"/>
      <c r="M376" s="104"/>
      <c r="N376" s="105"/>
    </row>
    <row r="377" spans="1:14" s="28" customFormat="1" ht="14.25" x14ac:dyDescent="0.2">
      <c r="A377" s="25" t="s">
        <v>1098</v>
      </c>
      <c r="B377" s="25"/>
      <c r="C377" s="26" t="s">
        <v>291</v>
      </c>
      <c r="D377" s="23">
        <f t="shared" ref="D377:D382" si="64">VLOOKUP(A377,fin,3,FALSE)</f>
        <v>3371</v>
      </c>
      <c r="E377" s="23">
        <v>-290187</v>
      </c>
      <c r="F377" s="23">
        <v>0</v>
      </c>
      <c r="G377" s="23">
        <v>-524054</v>
      </c>
      <c r="H377" s="23">
        <v>-642946</v>
      </c>
      <c r="I377" s="23">
        <v>44.9</v>
      </c>
      <c r="J377" s="27">
        <f t="shared" ref="J377:J382" si="65">+K377-D377</f>
        <v>0</v>
      </c>
      <c r="K377" s="23">
        <f t="shared" ref="K377:K382" si="66">VLOOKUP(A377,fin,4,FALSE)</f>
        <v>3371</v>
      </c>
      <c r="L377" s="23">
        <f t="shared" ref="L377:L382" si="67">K377*4.5/100+K377</f>
        <v>3522.6950000000002</v>
      </c>
      <c r="M377" s="104">
        <f t="shared" ref="M377:N377" si="68">L377*4.6/100+L377</f>
        <v>3684.7389700000003</v>
      </c>
      <c r="N377" s="105">
        <f t="shared" si="68"/>
        <v>3854.2369626200002</v>
      </c>
    </row>
    <row r="378" spans="1:14" s="28" customFormat="1" ht="14.25" x14ac:dyDescent="0.2">
      <c r="A378" s="25" t="s">
        <v>1099</v>
      </c>
      <c r="B378" s="25"/>
      <c r="C378" s="26" t="s">
        <v>292</v>
      </c>
      <c r="D378" s="23">
        <f t="shared" si="64"/>
        <v>3371</v>
      </c>
      <c r="E378" s="23">
        <v>-290187</v>
      </c>
      <c r="F378" s="23">
        <v>0</v>
      </c>
      <c r="G378" s="23">
        <v>-524054</v>
      </c>
      <c r="H378" s="23">
        <v>-642946</v>
      </c>
      <c r="I378" s="23">
        <v>44.9</v>
      </c>
      <c r="J378" s="27">
        <f t="shared" si="65"/>
        <v>0</v>
      </c>
      <c r="K378" s="23">
        <f t="shared" si="66"/>
        <v>3371</v>
      </c>
      <c r="L378" s="23">
        <f t="shared" si="67"/>
        <v>3522.6950000000002</v>
      </c>
      <c r="M378" s="104">
        <f t="shared" ref="M378:N378" si="69">L378*4.6/100+L378</f>
        <v>3684.7389700000003</v>
      </c>
      <c r="N378" s="105">
        <f t="shared" si="69"/>
        <v>3854.2369626200002</v>
      </c>
    </row>
    <row r="379" spans="1:14" s="28" customFormat="1" ht="14.25" x14ac:dyDescent="0.2">
      <c r="A379" s="25" t="s">
        <v>1100</v>
      </c>
      <c r="B379" s="25"/>
      <c r="C379" s="26" t="s">
        <v>293</v>
      </c>
      <c r="D379" s="23">
        <f t="shared" si="64"/>
        <v>62309</v>
      </c>
      <c r="E379" s="23">
        <v>-290187</v>
      </c>
      <c r="F379" s="23">
        <v>0</v>
      </c>
      <c r="G379" s="23">
        <v>-524054</v>
      </c>
      <c r="H379" s="23">
        <v>-642946</v>
      </c>
      <c r="I379" s="23">
        <v>44.9</v>
      </c>
      <c r="J379" s="27">
        <f t="shared" si="65"/>
        <v>0</v>
      </c>
      <c r="K379" s="23">
        <f t="shared" si="66"/>
        <v>62309</v>
      </c>
      <c r="L379" s="23">
        <f t="shared" si="67"/>
        <v>65112.904999999999</v>
      </c>
      <c r="M379" s="104">
        <f t="shared" ref="M379:N379" si="70">L379*4.6/100+L379</f>
        <v>68108.098629999993</v>
      </c>
      <c r="N379" s="105">
        <f t="shared" si="70"/>
        <v>71241.071166979993</v>
      </c>
    </row>
    <row r="380" spans="1:14" s="28" customFormat="1" ht="14.25" x14ac:dyDescent="0.2">
      <c r="A380" s="25" t="s">
        <v>1101</v>
      </c>
      <c r="B380" s="25"/>
      <c r="C380" s="26" t="s">
        <v>296</v>
      </c>
      <c r="D380" s="23">
        <f t="shared" si="64"/>
        <v>10426</v>
      </c>
      <c r="E380" s="23">
        <v>-290187</v>
      </c>
      <c r="F380" s="23">
        <v>0</v>
      </c>
      <c r="G380" s="23">
        <v>-524054</v>
      </c>
      <c r="H380" s="23">
        <v>-642946</v>
      </c>
      <c r="I380" s="23">
        <v>44.9</v>
      </c>
      <c r="J380" s="27">
        <f t="shared" si="65"/>
        <v>0</v>
      </c>
      <c r="K380" s="23">
        <f t="shared" si="66"/>
        <v>10426</v>
      </c>
      <c r="L380" s="23">
        <f t="shared" si="67"/>
        <v>10895.17</v>
      </c>
      <c r="M380" s="104">
        <f t="shared" ref="M380:N380" si="71">L380*4.6/100+L380</f>
        <v>11396.347820000001</v>
      </c>
      <c r="N380" s="105">
        <f t="shared" si="71"/>
        <v>11920.57981972</v>
      </c>
    </row>
    <row r="381" spans="1:14" s="28" customFormat="1" ht="14.25" x14ac:dyDescent="0.2">
      <c r="A381" s="25" t="s">
        <v>1102</v>
      </c>
      <c r="B381" s="25"/>
      <c r="C381" s="26" t="s">
        <v>300</v>
      </c>
      <c r="D381" s="23">
        <f t="shared" si="64"/>
        <v>0</v>
      </c>
      <c r="E381" s="23">
        <v>-290187</v>
      </c>
      <c r="F381" s="23">
        <v>0</v>
      </c>
      <c r="G381" s="23">
        <v>-524054</v>
      </c>
      <c r="H381" s="23">
        <v>-642946</v>
      </c>
      <c r="I381" s="23">
        <v>44.9</v>
      </c>
      <c r="J381" s="27">
        <f t="shared" si="65"/>
        <v>0</v>
      </c>
      <c r="K381" s="23">
        <f t="shared" si="66"/>
        <v>0</v>
      </c>
      <c r="L381" s="23">
        <f t="shared" si="67"/>
        <v>0</v>
      </c>
      <c r="M381" s="104">
        <f t="shared" ref="M381:N381" si="72">L381*4.6/100+L381</f>
        <v>0</v>
      </c>
      <c r="N381" s="105">
        <f t="shared" si="72"/>
        <v>0</v>
      </c>
    </row>
    <row r="382" spans="1:14" s="28" customFormat="1" ht="14.25" x14ac:dyDescent="0.2">
      <c r="A382" s="25" t="s">
        <v>1103</v>
      </c>
      <c r="B382" s="25"/>
      <c r="C382" s="26" t="s">
        <v>301</v>
      </c>
      <c r="D382" s="23">
        <f t="shared" si="64"/>
        <v>11236</v>
      </c>
      <c r="E382" s="23">
        <v>-290187</v>
      </c>
      <c r="F382" s="23">
        <v>0</v>
      </c>
      <c r="G382" s="23">
        <v>-524054</v>
      </c>
      <c r="H382" s="23">
        <v>-642946</v>
      </c>
      <c r="I382" s="23">
        <v>44.9</v>
      </c>
      <c r="J382" s="27">
        <f t="shared" si="65"/>
        <v>0</v>
      </c>
      <c r="K382" s="23">
        <f t="shared" si="66"/>
        <v>11236</v>
      </c>
      <c r="L382" s="23">
        <f t="shared" si="67"/>
        <v>11741.62</v>
      </c>
      <c r="M382" s="104">
        <f t="shared" ref="M382:N382" si="73">L382*4.6/100+L382</f>
        <v>12281.73452</v>
      </c>
      <c r="N382" s="105">
        <f t="shared" si="73"/>
        <v>12846.694307919999</v>
      </c>
    </row>
    <row r="383" spans="1:14" s="28" customFormat="1" ht="14.25" x14ac:dyDescent="0.2">
      <c r="A383" s="25"/>
      <c r="B383" s="25"/>
      <c r="C383" s="26"/>
      <c r="D383" s="23"/>
      <c r="E383" s="23"/>
      <c r="F383" s="23"/>
      <c r="G383" s="23"/>
      <c r="H383" s="23"/>
      <c r="I383" s="23"/>
      <c r="J383" s="27"/>
      <c r="K383" s="23"/>
      <c r="L383" s="23"/>
      <c r="M383" s="104"/>
      <c r="N383" s="105"/>
    </row>
    <row r="384" spans="1:14" s="24" customFormat="1" x14ac:dyDescent="0.25">
      <c r="A384" s="20"/>
      <c r="B384" s="20"/>
      <c r="C384" s="21" t="s">
        <v>304</v>
      </c>
      <c r="D384" s="29">
        <f>SUM(D377:D383)</f>
        <v>90713</v>
      </c>
      <c r="E384" s="29">
        <v>69295.72</v>
      </c>
      <c r="F384" s="29">
        <v>0</v>
      </c>
      <c r="G384" s="29">
        <v>187108.56</v>
      </c>
      <c r="H384" s="29">
        <v>-96395.56</v>
      </c>
      <c r="I384" s="29">
        <v>206.26</v>
      </c>
      <c r="J384" s="27">
        <f>+K384-D384</f>
        <v>0</v>
      </c>
      <c r="K384" s="29">
        <f>SUM(K377:K383)</f>
        <v>90713</v>
      </c>
      <c r="L384" s="29">
        <f>SUM(L377:L383)</f>
        <v>94795.084999999992</v>
      </c>
      <c r="M384" s="103">
        <f>SUM(M377:M383)</f>
        <v>99155.658909999984</v>
      </c>
      <c r="N384" s="103">
        <f>SUM(N377:N383)</f>
        <v>103716.81921986</v>
      </c>
    </row>
    <row r="385" spans="1:14" s="24" customFormat="1" x14ac:dyDescent="0.25">
      <c r="A385" s="20"/>
      <c r="B385" s="20"/>
      <c r="C385" s="21"/>
      <c r="D385" s="29"/>
      <c r="E385" s="29"/>
      <c r="F385" s="29"/>
      <c r="G385" s="29"/>
      <c r="H385" s="29"/>
      <c r="I385" s="29"/>
      <c r="J385" s="27"/>
      <c r="K385" s="23"/>
      <c r="L385" s="29"/>
      <c r="M385" s="103"/>
      <c r="N385" s="84"/>
    </row>
    <row r="386" spans="1:14" s="24" customFormat="1" x14ac:dyDescent="0.25">
      <c r="A386" s="20"/>
      <c r="B386" s="20"/>
      <c r="C386" s="21" t="s">
        <v>305</v>
      </c>
      <c r="D386" s="29">
        <f>+D357+D366+D373+D384</f>
        <v>13440241</v>
      </c>
      <c r="E386" s="29">
        <v>1425467.8</v>
      </c>
      <c r="F386" s="29">
        <v>0</v>
      </c>
      <c r="G386" s="29">
        <v>7395675.6200000001</v>
      </c>
      <c r="H386" s="29">
        <v>6044565.3799999999</v>
      </c>
      <c r="I386" s="29">
        <v>55.02</v>
      </c>
      <c r="J386" s="27">
        <f>+K386-D386</f>
        <v>138674.79000000097</v>
      </c>
      <c r="K386" s="29">
        <f>+K357+K366+K373+K384</f>
        <v>13578915.790000001</v>
      </c>
      <c r="L386" s="29">
        <f>+L357+L366+L373+L384</f>
        <v>14418421.534900002</v>
      </c>
      <c r="M386" s="103">
        <f>+M357+M366+M373+M384</f>
        <v>15414559.818415402</v>
      </c>
      <c r="N386" s="103">
        <f>+N357+N366+N373+N384</f>
        <v>16479822.825476211</v>
      </c>
    </row>
    <row r="387" spans="1:14" s="24" customFormat="1" x14ac:dyDescent="0.25">
      <c r="A387" s="20"/>
      <c r="B387" s="20"/>
      <c r="C387" s="21"/>
      <c r="D387" s="29"/>
      <c r="E387" s="29"/>
      <c r="F387" s="29"/>
      <c r="G387" s="29"/>
      <c r="H387" s="29"/>
      <c r="I387" s="29"/>
      <c r="J387" s="27"/>
      <c r="K387" s="23"/>
      <c r="L387" s="29"/>
      <c r="M387" s="103"/>
      <c r="N387" s="84"/>
    </row>
    <row r="388" spans="1:14" s="24" customFormat="1" x14ac:dyDescent="0.25">
      <c r="A388" s="20"/>
      <c r="B388" s="20"/>
      <c r="C388" s="21" t="s">
        <v>306</v>
      </c>
      <c r="D388" s="29">
        <f>+D317+D386</f>
        <v>5174730</v>
      </c>
      <c r="E388" s="29">
        <v>736334.83</v>
      </c>
      <c r="F388" s="29">
        <v>0</v>
      </c>
      <c r="G388" s="29">
        <v>3295475.31</v>
      </c>
      <c r="H388" s="29">
        <v>1879254.69</v>
      </c>
      <c r="I388" s="29">
        <v>63.68</v>
      </c>
      <c r="J388" s="27">
        <f>+K388-D388</f>
        <v>138674.79000000097</v>
      </c>
      <c r="K388" s="29">
        <f>+K317+K386</f>
        <v>5313404.790000001</v>
      </c>
      <c r="L388" s="29">
        <f>+L317+L386</f>
        <v>5780962.539900003</v>
      </c>
      <c r="M388" s="103">
        <f>+M317+M386</f>
        <v>6377269.6950154025</v>
      </c>
      <c r="N388" s="103">
        <f>+N317+N386</f>
        <v>7026817.3563998099</v>
      </c>
    </row>
    <row r="389" spans="1:14" s="24" customFormat="1" x14ac:dyDescent="0.25">
      <c r="A389" s="20"/>
      <c r="B389" s="20"/>
      <c r="C389" s="21"/>
      <c r="D389" s="29"/>
      <c r="E389" s="29"/>
      <c r="F389" s="29"/>
      <c r="G389" s="29"/>
      <c r="H389" s="29"/>
      <c r="I389" s="29"/>
      <c r="J389" s="27"/>
      <c r="K389" s="23"/>
      <c r="L389" s="29"/>
      <c r="M389" s="103"/>
      <c r="N389" s="84"/>
    </row>
    <row r="390" spans="1:14" s="24" customFormat="1" x14ac:dyDescent="0.25">
      <c r="A390" s="20"/>
      <c r="B390" s="20"/>
      <c r="C390" s="21" t="s">
        <v>308</v>
      </c>
      <c r="D390" s="29"/>
      <c r="E390" s="29"/>
      <c r="F390" s="29"/>
      <c r="G390" s="29"/>
      <c r="H390" s="29"/>
      <c r="I390" s="29"/>
      <c r="J390" s="27">
        <f>+K390-D390</f>
        <v>0</v>
      </c>
      <c r="K390" s="23"/>
      <c r="L390" s="29"/>
      <c r="M390" s="103"/>
      <c r="N390" s="84"/>
    </row>
    <row r="391" spans="1:14" s="24" customFormat="1" x14ac:dyDescent="0.25">
      <c r="A391" s="20"/>
      <c r="B391" s="20"/>
      <c r="C391" s="21"/>
      <c r="D391" s="29"/>
      <c r="E391" s="29"/>
      <c r="F391" s="29"/>
      <c r="G391" s="29"/>
      <c r="H391" s="29"/>
      <c r="I391" s="29"/>
      <c r="J391" s="27"/>
      <c r="K391" s="23"/>
      <c r="L391" s="29"/>
      <c r="M391" s="103"/>
      <c r="N391" s="84"/>
    </row>
    <row r="392" spans="1:14" s="28" customFormat="1" ht="14.25" x14ac:dyDescent="0.2">
      <c r="A392" s="25" t="s">
        <v>1104</v>
      </c>
      <c r="B392" s="25"/>
      <c r="C392" s="26" t="s">
        <v>1105</v>
      </c>
      <c r="D392" s="23">
        <f>VLOOKUP(A392,fin,3,FALSE)</f>
        <v>100000</v>
      </c>
      <c r="E392" s="23">
        <v>-290187</v>
      </c>
      <c r="F392" s="23">
        <v>0</v>
      </c>
      <c r="G392" s="23">
        <v>-524054</v>
      </c>
      <c r="H392" s="23">
        <v>-642946</v>
      </c>
      <c r="I392" s="23">
        <v>44.9</v>
      </c>
      <c r="J392" s="27">
        <f>+K392-D392</f>
        <v>-100000</v>
      </c>
      <c r="K392" s="23">
        <f>VLOOKUP(A392,fin,4,FALSE)</f>
        <v>0</v>
      </c>
      <c r="L392" s="23">
        <v>300000</v>
      </c>
      <c r="M392" s="104">
        <f>VLOOKUP(A392,fin,6,FALSE)</f>
        <v>0</v>
      </c>
      <c r="N392" s="105"/>
    </row>
    <row r="393" spans="1:14" s="28" customFormat="1" ht="14.25" x14ac:dyDescent="0.2">
      <c r="A393" s="25"/>
      <c r="B393" s="25"/>
      <c r="C393" s="26"/>
      <c r="D393" s="23"/>
      <c r="E393" s="23"/>
      <c r="F393" s="23"/>
      <c r="G393" s="23"/>
      <c r="H393" s="23"/>
      <c r="I393" s="23"/>
      <c r="J393" s="27"/>
      <c r="K393" s="23"/>
      <c r="L393" s="23"/>
      <c r="M393" s="104"/>
      <c r="N393" s="105"/>
    </row>
    <row r="394" spans="1:14" s="24" customFormat="1" x14ac:dyDescent="0.25">
      <c r="A394" s="20"/>
      <c r="B394" s="20"/>
      <c r="C394" s="21" t="s">
        <v>320</v>
      </c>
      <c r="D394" s="29">
        <f>SUM(D392:D393)</f>
        <v>100000</v>
      </c>
      <c r="E394" s="29">
        <v>0</v>
      </c>
      <c r="F394" s="29">
        <v>0</v>
      </c>
      <c r="G394" s="29">
        <v>0</v>
      </c>
      <c r="H394" s="29">
        <v>100000</v>
      </c>
      <c r="I394" s="29">
        <v>0</v>
      </c>
      <c r="J394" s="27">
        <f>+K394-D394</f>
        <v>-100000</v>
      </c>
      <c r="K394" s="29">
        <f>SUM(K392:K393)</f>
        <v>0</v>
      </c>
      <c r="L394" s="29">
        <f>SUM(L392:L393)</f>
        <v>300000</v>
      </c>
      <c r="M394" s="103">
        <f>SUM(M392:M393)</f>
        <v>0</v>
      </c>
      <c r="N394" s="103">
        <f>SUM(N392:N393)</f>
        <v>0</v>
      </c>
    </row>
    <row r="395" spans="1:14" s="24" customFormat="1" x14ac:dyDescent="0.25">
      <c r="A395" s="20"/>
      <c r="B395" s="20"/>
      <c r="C395" s="21"/>
      <c r="D395" s="29"/>
      <c r="E395" s="29"/>
      <c r="F395" s="29"/>
      <c r="G395" s="29"/>
      <c r="H395" s="29"/>
      <c r="I395" s="29"/>
      <c r="J395" s="27"/>
      <c r="K395" s="23"/>
      <c r="L395" s="29"/>
      <c r="M395" s="103"/>
      <c r="N395" s="84"/>
    </row>
    <row r="396" spans="1:14" s="24" customFormat="1" x14ac:dyDescent="0.25">
      <c r="A396" s="20"/>
      <c r="B396" s="20"/>
      <c r="C396" s="21" t="s">
        <v>1106</v>
      </c>
      <c r="D396" s="29"/>
      <c r="E396" s="29"/>
      <c r="F396" s="29"/>
      <c r="G396" s="29"/>
      <c r="H396" s="29"/>
      <c r="I396" s="29"/>
      <c r="J396" s="27">
        <f>+K396-D396</f>
        <v>0</v>
      </c>
      <c r="K396" s="23"/>
      <c r="L396" s="29"/>
      <c r="M396" s="103"/>
      <c r="N396" s="84"/>
    </row>
    <row r="397" spans="1:14" s="24" customFormat="1" x14ac:dyDescent="0.25">
      <c r="A397" s="20"/>
      <c r="B397" s="20"/>
      <c r="C397" s="21" t="s">
        <v>9</v>
      </c>
      <c r="D397" s="29"/>
      <c r="E397" s="29"/>
      <c r="F397" s="29"/>
      <c r="G397" s="29"/>
      <c r="H397" s="29"/>
      <c r="I397" s="29"/>
      <c r="J397" s="27">
        <f>+K397-D397</f>
        <v>0</v>
      </c>
      <c r="K397" s="23"/>
      <c r="L397" s="29"/>
      <c r="M397" s="103"/>
      <c r="N397" s="84"/>
    </row>
    <row r="398" spans="1:14" s="24" customFormat="1" x14ac:dyDescent="0.25">
      <c r="A398" s="20"/>
      <c r="B398" s="20"/>
      <c r="C398" s="21" t="s">
        <v>81</v>
      </c>
      <c r="D398" s="29"/>
      <c r="E398" s="29"/>
      <c r="F398" s="29"/>
      <c r="G398" s="29"/>
      <c r="H398" s="29"/>
      <c r="I398" s="29"/>
      <c r="J398" s="27">
        <f>+K398-D398</f>
        <v>0</v>
      </c>
      <c r="K398" s="23"/>
      <c r="L398" s="29"/>
      <c r="M398" s="103"/>
      <c r="N398" s="84"/>
    </row>
    <row r="399" spans="1:14" s="28" customFormat="1" ht="14.25" x14ac:dyDescent="0.2">
      <c r="A399" s="25"/>
      <c r="B399" s="25"/>
      <c r="C399" s="26"/>
      <c r="D399" s="23"/>
      <c r="E399" s="23"/>
      <c r="F399" s="23"/>
      <c r="G399" s="23"/>
      <c r="H399" s="23"/>
      <c r="I399" s="23"/>
      <c r="J399" s="27"/>
      <c r="K399" s="23"/>
      <c r="L399" s="23"/>
      <c r="M399" s="104"/>
      <c r="N399" s="105"/>
    </row>
    <row r="400" spans="1:14" s="28" customFormat="1" ht="14.25" x14ac:dyDescent="0.2">
      <c r="A400" s="25" t="s">
        <v>1107</v>
      </c>
      <c r="B400" s="25"/>
      <c r="C400" s="26" t="s">
        <v>83</v>
      </c>
      <c r="D400" s="23">
        <f>VLOOKUP(A400,fin,3,FALSE)</f>
        <v>-12565</v>
      </c>
      <c r="E400" s="23">
        <v>-290187</v>
      </c>
      <c r="F400" s="23">
        <v>0</v>
      </c>
      <c r="G400" s="23">
        <v>-524054</v>
      </c>
      <c r="H400" s="23">
        <v>-642946</v>
      </c>
      <c r="I400" s="23">
        <v>44.9</v>
      </c>
      <c r="J400" s="27">
        <f>+K400-D400</f>
        <v>0</v>
      </c>
      <c r="K400" s="23">
        <f>VLOOKUP(A400,fin,4,FALSE)</f>
        <v>-12565</v>
      </c>
      <c r="L400" s="23">
        <f>'Revenue per source'!K116</f>
        <v>-13130.424999999999</v>
      </c>
      <c r="M400" s="23">
        <f>'Revenue per source'!L116</f>
        <v>-13734.42455</v>
      </c>
      <c r="N400" s="23">
        <f>'Revenue per source'!M116</f>
        <v>-14366.2080793</v>
      </c>
    </row>
    <row r="401" spans="1:14" s="28" customFormat="1" ht="14.25" x14ac:dyDescent="0.2">
      <c r="A401" s="25"/>
      <c r="B401" s="25"/>
      <c r="C401" s="26"/>
      <c r="D401" s="23"/>
      <c r="E401" s="23"/>
      <c r="F401" s="23"/>
      <c r="G401" s="23"/>
      <c r="H401" s="23"/>
      <c r="I401" s="23"/>
      <c r="J401" s="27"/>
      <c r="K401" s="23"/>
      <c r="L401" s="23"/>
      <c r="M401" s="104"/>
      <c r="N401" s="105"/>
    </row>
    <row r="402" spans="1:14" s="24" customFormat="1" x14ac:dyDescent="0.25">
      <c r="A402" s="20"/>
      <c r="B402" s="20"/>
      <c r="C402" s="21" t="s">
        <v>90</v>
      </c>
      <c r="D402" s="29">
        <f>SUM(D400:D401)</f>
        <v>-12565</v>
      </c>
      <c r="E402" s="29">
        <v>-3408.84</v>
      </c>
      <c r="F402" s="29">
        <v>0</v>
      </c>
      <c r="G402" s="29">
        <v>-4408.84</v>
      </c>
      <c r="H402" s="29">
        <v>-8156.16</v>
      </c>
      <c r="I402" s="29">
        <v>35.08</v>
      </c>
      <c r="J402" s="27">
        <f>+K402-D402</f>
        <v>0</v>
      </c>
      <c r="K402" s="29">
        <f>SUM(K400:K401)</f>
        <v>-12565</v>
      </c>
      <c r="L402" s="29">
        <f>SUM(L400:L401)</f>
        <v>-13130.424999999999</v>
      </c>
      <c r="M402" s="103">
        <f>SUM(M400:M401)</f>
        <v>-13734.42455</v>
      </c>
      <c r="N402" s="103">
        <f>SUM(N400:N401)</f>
        <v>-14366.2080793</v>
      </c>
    </row>
    <row r="403" spans="1:14" s="24" customFormat="1" x14ac:dyDescent="0.25">
      <c r="A403" s="20"/>
      <c r="B403" s="20"/>
      <c r="C403" s="21"/>
      <c r="D403" s="29"/>
      <c r="E403" s="29"/>
      <c r="F403" s="29"/>
      <c r="G403" s="29"/>
      <c r="H403" s="29"/>
      <c r="I403" s="29"/>
      <c r="J403" s="27"/>
      <c r="K403" s="23"/>
      <c r="L403" s="29"/>
      <c r="M403" s="103"/>
      <c r="N403" s="84"/>
    </row>
    <row r="404" spans="1:14" s="24" customFormat="1" x14ac:dyDescent="0.25">
      <c r="A404" s="20"/>
      <c r="B404" s="20"/>
      <c r="C404" s="21" t="s">
        <v>94</v>
      </c>
      <c r="D404" s="29">
        <f>D402</f>
        <v>-12565</v>
      </c>
      <c r="E404" s="29">
        <v>-3408.84</v>
      </c>
      <c r="F404" s="29">
        <v>0</v>
      </c>
      <c r="G404" s="29">
        <v>-4408.84</v>
      </c>
      <c r="H404" s="29">
        <v>-8156.16</v>
      </c>
      <c r="I404" s="29">
        <v>35.08</v>
      </c>
      <c r="J404" s="27">
        <f>+K404-D404</f>
        <v>0</v>
      </c>
      <c r="K404" s="29">
        <f>K402</f>
        <v>-12565</v>
      </c>
      <c r="L404" s="29">
        <f>L402</f>
        <v>-13130.424999999999</v>
      </c>
      <c r="M404" s="103">
        <f>M402</f>
        <v>-13734.42455</v>
      </c>
      <c r="N404" s="103">
        <f>N402</f>
        <v>-14366.2080793</v>
      </c>
    </row>
    <row r="405" spans="1:14" s="24" customFormat="1" x14ac:dyDescent="0.25">
      <c r="A405" s="20"/>
      <c r="B405" s="20"/>
      <c r="C405" s="21"/>
      <c r="D405" s="29"/>
      <c r="E405" s="29"/>
      <c r="F405" s="29"/>
      <c r="G405" s="29"/>
      <c r="H405" s="29"/>
      <c r="I405" s="29"/>
      <c r="J405" s="27"/>
      <c r="K405" s="23"/>
      <c r="L405" s="29"/>
      <c r="M405" s="103"/>
      <c r="N405" s="84"/>
    </row>
    <row r="406" spans="1:14" s="24" customFormat="1" x14ac:dyDescent="0.25">
      <c r="A406" s="20"/>
      <c r="B406" s="20"/>
      <c r="C406" s="21" t="s">
        <v>95</v>
      </c>
      <c r="D406" s="29">
        <f>D404</f>
        <v>-12565</v>
      </c>
      <c r="E406" s="29">
        <v>-3408.84</v>
      </c>
      <c r="F406" s="29">
        <v>0</v>
      </c>
      <c r="G406" s="29">
        <v>-4408.84</v>
      </c>
      <c r="H406" s="29">
        <v>-8156.16</v>
      </c>
      <c r="I406" s="29">
        <v>35.08</v>
      </c>
      <c r="J406" s="27">
        <f>+K406-D406</f>
        <v>0</v>
      </c>
      <c r="K406" s="29">
        <f>K404</f>
        <v>-12565</v>
      </c>
      <c r="L406" s="29">
        <f>L404</f>
        <v>-13130.424999999999</v>
      </c>
      <c r="M406" s="103">
        <f>M404</f>
        <v>-13734.42455</v>
      </c>
      <c r="N406" s="103">
        <f>N404</f>
        <v>-14366.2080793</v>
      </c>
    </row>
    <row r="407" spans="1:14" s="24" customFormat="1" x14ac:dyDescent="0.25">
      <c r="A407" s="20"/>
      <c r="B407" s="20"/>
      <c r="C407" s="21"/>
      <c r="D407" s="29"/>
      <c r="E407" s="29"/>
      <c r="F407" s="29"/>
      <c r="G407" s="29"/>
      <c r="H407" s="29"/>
      <c r="I407" s="29"/>
      <c r="J407" s="27"/>
      <c r="K407" s="23"/>
      <c r="L407" s="29"/>
      <c r="M407" s="103"/>
      <c r="N407" s="84"/>
    </row>
    <row r="408" spans="1:14" s="24" customFormat="1" x14ac:dyDescent="0.25">
      <c r="A408" s="20"/>
      <c r="B408" s="20"/>
      <c r="C408" s="21" t="s">
        <v>96</v>
      </c>
      <c r="D408" s="29"/>
      <c r="E408" s="29"/>
      <c r="F408" s="29"/>
      <c r="G408" s="29"/>
      <c r="H408" s="29"/>
      <c r="I408" s="29"/>
      <c r="J408" s="27">
        <f>+K408-D408</f>
        <v>0</v>
      </c>
      <c r="K408" s="23"/>
      <c r="L408" s="29"/>
      <c r="M408" s="103"/>
      <c r="N408" s="84"/>
    </row>
    <row r="409" spans="1:14" s="24" customFormat="1" x14ac:dyDescent="0.25">
      <c r="A409" s="20"/>
      <c r="B409" s="20"/>
      <c r="C409" s="21" t="s">
        <v>97</v>
      </c>
      <c r="D409" s="29"/>
      <c r="E409" s="29"/>
      <c r="F409" s="29"/>
      <c r="G409" s="29"/>
      <c r="H409" s="29"/>
      <c r="I409" s="29"/>
      <c r="J409" s="27">
        <f>+K409-D409</f>
        <v>0</v>
      </c>
      <c r="K409" s="23"/>
      <c r="L409" s="29"/>
      <c r="M409" s="103"/>
      <c r="N409" s="84"/>
    </row>
    <row r="410" spans="1:14" s="24" customFormat="1" x14ac:dyDescent="0.25">
      <c r="A410" s="20"/>
      <c r="B410" s="20"/>
      <c r="C410" s="21" t="s">
        <v>148</v>
      </c>
      <c r="D410" s="29"/>
      <c r="E410" s="29"/>
      <c r="F410" s="29"/>
      <c r="G410" s="29"/>
      <c r="H410" s="29"/>
      <c r="I410" s="29"/>
      <c r="J410" s="27">
        <f>+K410-D410</f>
        <v>0</v>
      </c>
      <c r="K410" s="23"/>
      <c r="L410" s="29"/>
      <c r="M410" s="103"/>
      <c r="N410" s="84"/>
    </row>
    <row r="411" spans="1:14" s="24" customFormat="1" x14ac:dyDescent="0.25">
      <c r="A411" s="20"/>
      <c r="B411" s="20"/>
      <c r="C411" s="21" t="s">
        <v>149</v>
      </c>
      <c r="D411" s="29"/>
      <c r="E411" s="29"/>
      <c r="F411" s="29"/>
      <c r="G411" s="29"/>
      <c r="H411" s="29"/>
      <c r="I411" s="29"/>
      <c r="J411" s="27">
        <f>+K411-D411</f>
        <v>0</v>
      </c>
      <c r="K411" s="23"/>
      <c r="L411" s="29"/>
      <c r="M411" s="103"/>
      <c r="N411" s="84"/>
    </row>
    <row r="412" spans="1:14" s="28" customFormat="1" ht="14.25" x14ac:dyDescent="0.2">
      <c r="A412" s="25"/>
      <c r="B412" s="25"/>
      <c r="C412" s="26"/>
      <c r="D412" s="23"/>
      <c r="E412" s="23"/>
      <c r="F412" s="23"/>
      <c r="G412" s="23"/>
      <c r="H412" s="23"/>
      <c r="I412" s="23"/>
      <c r="J412" s="27"/>
      <c r="K412" s="23"/>
      <c r="L412" s="23"/>
      <c r="M412" s="104"/>
      <c r="N412" s="105"/>
    </row>
    <row r="413" spans="1:14" s="28" customFormat="1" ht="14.25" x14ac:dyDescent="0.2">
      <c r="A413" s="25" t="s">
        <v>1108</v>
      </c>
      <c r="B413" s="25"/>
      <c r="C413" s="26" t="s">
        <v>150</v>
      </c>
      <c r="D413" s="23">
        <f t="shared" ref="D413:D419" si="74">VLOOKUP(A413,fin,3,FALSE)</f>
        <v>666935</v>
      </c>
      <c r="E413" s="23">
        <v>-290187</v>
      </c>
      <c r="F413" s="23">
        <v>0</v>
      </c>
      <c r="G413" s="23">
        <v>-524054</v>
      </c>
      <c r="H413" s="23">
        <v>-642946</v>
      </c>
      <c r="I413" s="23">
        <v>44.9</v>
      </c>
      <c r="J413" s="27">
        <f t="shared" ref="J413:J419" si="75">+K413-D413</f>
        <v>0</v>
      </c>
      <c r="K413" s="23">
        <f t="shared" ref="K413:K419" si="76">VLOOKUP(A413,fin,4,FALSE)</f>
        <v>666935</v>
      </c>
      <c r="L413" s="23">
        <f t="shared" ref="L413:L419" si="77">K413*6.25/100+K413</f>
        <v>708618.4375</v>
      </c>
      <c r="M413" s="179">
        <f t="shared" ref="M413:N413" si="78">L413*7/100+L413</f>
        <v>758221.72812500002</v>
      </c>
      <c r="N413" s="105">
        <f t="shared" si="78"/>
        <v>811297.24909375003</v>
      </c>
    </row>
    <row r="414" spans="1:14" s="28" customFormat="1" ht="14.25" x14ac:dyDescent="0.2">
      <c r="A414" s="25" t="s">
        <v>1109</v>
      </c>
      <c r="B414" s="25"/>
      <c r="C414" s="26" t="s">
        <v>151</v>
      </c>
      <c r="D414" s="23">
        <f t="shared" si="74"/>
        <v>30877</v>
      </c>
      <c r="E414" s="23">
        <v>-290187</v>
      </c>
      <c r="F414" s="23">
        <v>0</v>
      </c>
      <c r="G414" s="23">
        <v>-524054</v>
      </c>
      <c r="H414" s="23">
        <v>-642946</v>
      </c>
      <c r="I414" s="23">
        <v>44.9</v>
      </c>
      <c r="J414" s="27">
        <f t="shared" si="75"/>
        <v>-13942.82</v>
      </c>
      <c r="K414" s="23">
        <f t="shared" si="76"/>
        <v>16934.18</v>
      </c>
      <c r="L414" s="23">
        <f t="shared" si="77"/>
        <v>17992.56625</v>
      </c>
      <c r="M414" s="179">
        <f t="shared" ref="M414:N414" si="79">L414*7/100+L414</f>
        <v>19252.0458875</v>
      </c>
      <c r="N414" s="105">
        <f t="shared" si="79"/>
        <v>20599.689099625</v>
      </c>
    </row>
    <row r="415" spans="1:14" s="28" customFormat="1" ht="14.25" x14ac:dyDescent="0.2">
      <c r="A415" s="25" t="s">
        <v>1110</v>
      </c>
      <c r="B415" s="25"/>
      <c r="C415" s="26" t="s">
        <v>155</v>
      </c>
      <c r="D415" s="23">
        <f t="shared" si="74"/>
        <v>21927</v>
      </c>
      <c r="E415" s="23">
        <v>-290187</v>
      </c>
      <c r="F415" s="23">
        <v>0</v>
      </c>
      <c r="G415" s="23">
        <v>-524054</v>
      </c>
      <c r="H415" s="23">
        <v>-642946</v>
      </c>
      <c r="I415" s="23">
        <v>44.9</v>
      </c>
      <c r="J415" s="27">
        <f t="shared" si="75"/>
        <v>0</v>
      </c>
      <c r="K415" s="23">
        <f t="shared" si="76"/>
        <v>21927</v>
      </c>
      <c r="L415" s="23">
        <f t="shared" si="77"/>
        <v>23297.4375</v>
      </c>
      <c r="M415" s="179">
        <f t="shared" ref="M415:N415" si="80">L415*7/100+L415</f>
        <v>24928.258125</v>
      </c>
      <c r="N415" s="105">
        <f t="shared" si="80"/>
        <v>26673.236193749999</v>
      </c>
    </row>
    <row r="416" spans="1:14" s="28" customFormat="1" ht="14.25" x14ac:dyDescent="0.2">
      <c r="A416" s="25" t="s">
        <v>1111</v>
      </c>
      <c r="B416" s="25"/>
      <c r="C416" s="26" t="s">
        <v>157</v>
      </c>
      <c r="D416" s="23">
        <f t="shared" si="74"/>
        <v>58869</v>
      </c>
      <c r="E416" s="23">
        <v>-290187</v>
      </c>
      <c r="F416" s="23">
        <v>0</v>
      </c>
      <c r="G416" s="23">
        <v>-524054</v>
      </c>
      <c r="H416" s="23">
        <v>-642946</v>
      </c>
      <c r="I416" s="23">
        <v>44.9</v>
      </c>
      <c r="J416" s="27">
        <f t="shared" si="75"/>
        <v>0</v>
      </c>
      <c r="K416" s="23">
        <f t="shared" si="76"/>
        <v>58869</v>
      </c>
      <c r="L416" s="23">
        <f t="shared" si="77"/>
        <v>62548.3125</v>
      </c>
      <c r="M416" s="179">
        <f t="shared" ref="M416:N416" si="81">L416*7/100+L416</f>
        <v>66926.694375000006</v>
      </c>
      <c r="N416" s="105">
        <f t="shared" si="81"/>
        <v>71611.562981250012</v>
      </c>
    </row>
    <row r="417" spans="1:14" s="28" customFormat="1" ht="14.25" x14ac:dyDescent="0.2">
      <c r="A417" s="25" t="s">
        <v>1112</v>
      </c>
      <c r="B417" s="25"/>
      <c r="C417" s="26" t="s">
        <v>159</v>
      </c>
      <c r="D417" s="23">
        <f t="shared" si="74"/>
        <v>55578</v>
      </c>
      <c r="E417" s="23">
        <v>-290187</v>
      </c>
      <c r="F417" s="23">
        <v>0</v>
      </c>
      <c r="G417" s="23">
        <v>-524054</v>
      </c>
      <c r="H417" s="23">
        <v>-642946</v>
      </c>
      <c r="I417" s="23">
        <v>44.9</v>
      </c>
      <c r="J417" s="27">
        <f t="shared" si="75"/>
        <v>0</v>
      </c>
      <c r="K417" s="23">
        <f t="shared" si="76"/>
        <v>55578</v>
      </c>
      <c r="L417" s="23">
        <f t="shared" si="77"/>
        <v>59051.625</v>
      </c>
      <c r="M417" s="179">
        <f t="shared" ref="M417:N417" si="82">L417*7/100+L417</f>
        <v>63185.238750000004</v>
      </c>
      <c r="N417" s="105">
        <f t="shared" si="82"/>
        <v>67608.205462500002</v>
      </c>
    </row>
    <row r="418" spans="1:14" s="28" customFormat="1" ht="14.25" x14ac:dyDescent="0.2">
      <c r="A418" s="25" t="s">
        <v>1113</v>
      </c>
      <c r="B418" s="25"/>
      <c r="C418" s="26" t="s">
        <v>161</v>
      </c>
      <c r="D418" s="23">
        <f t="shared" si="74"/>
        <v>19114</v>
      </c>
      <c r="E418" s="23">
        <v>-290187</v>
      </c>
      <c r="F418" s="23">
        <v>0</v>
      </c>
      <c r="G418" s="23">
        <v>-524054</v>
      </c>
      <c r="H418" s="23">
        <v>-642946</v>
      </c>
      <c r="I418" s="23">
        <v>44.9</v>
      </c>
      <c r="J418" s="27">
        <f t="shared" si="75"/>
        <v>0</v>
      </c>
      <c r="K418" s="23">
        <f t="shared" si="76"/>
        <v>19114</v>
      </c>
      <c r="L418" s="23">
        <f t="shared" si="77"/>
        <v>20308.625</v>
      </c>
      <c r="M418" s="179">
        <f t="shared" ref="M418:N418" si="83">L418*7/100+L418</f>
        <v>21730.228749999998</v>
      </c>
      <c r="N418" s="105">
        <f t="shared" si="83"/>
        <v>23251.344762499997</v>
      </c>
    </row>
    <row r="419" spans="1:14" s="28" customFormat="1" ht="14.25" x14ac:dyDescent="0.2">
      <c r="A419" s="25" t="s">
        <v>1114</v>
      </c>
      <c r="B419" s="25"/>
      <c r="C419" s="26" t="s">
        <v>162</v>
      </c>
      <c r="D419" s="23">
        <f t="shared" si="74"/>
        <v>0</v>
      </c>
      <c r="E419" s="23">
        <v>-290187</v>
      </c>
      <c r="F419" s="23">
        <v>0</v>
      </c>
      <c r="G419" s="23">
        <v>-524054</v>
      </c>
      <c r="H419" s="23">
        <v>-642946</v>
      </c>
      <c r="I419" s="23">
        <v>44.9</v>
      </c>
      <c r="J419" s="27">
        <f t="shared" si="75"/>
        <v>3000</v>
      </c>
      <c r="K419" s="23">
        <f t="shared" si="76"/>
        <v>3000</v>
      </c>
      <c r="L419" s="23">
        <f t="shared" si="77"/>
        <v>3187.5</v>
      </c>
      <c r="M419" s="179">
        <f t="shared" ref="M419:N419" si="84">L419*7/100+L419</f>
        <v>3410.625</v>
      </c>
      <c r="N419" s="105">
        <f t="shared" si="84"/>
        <v>3649.3687500000001</v>
      </c>
    </row>
    <row r="420" spans="1:14" s="28" customFormat="1" ht="14.25" x14ac:dyDescent="0.2">
      <c r="A420" s="25"/>
      <c r="B420" s="25"/>
      <c r="C420" s="26"/>
      <c r="D420" s="23"/>
      <c r="E420" s="23"/>
      <c r="F420" s="23"/>
      <c r="G420" s="23"/>
      <c r="H420" s="23"/>
      <c r="I420" s="23"/>
      <c r="J420" s="27"/>
      <c r="K420" s="23"/>
      <c r="N420" s="105"/>
    </row>
    <row r="421" spans="1:14" s="24" customFormat="1" x14ac:dyDescent="0.25">
      <c r="A421" s="20"/>
      <c r="B421" s="20"/>
      <c r="C421" s="21" t="s">
        <v>165</v>
      </c>
      <c r="D421" s="29">
        <f>SUM(D413:D420)</f>
        <v>853300</v>
      </c>
      <c r="E421" s="29">
        <v>73056.45</v>
      </c>
      <c r="F421" s="29">
        <v>0</v>
      </c>
      <c r="G421" s="29">
        <v>415819.66</v>
      </c>
      <c r="H421" s="29">
        <v>437480.34</v>
      </c>
      <c r="I421" s="29">
        <v>48.73</v>
      </c>
      <c r="J421" s="27">
        <f>+K421-D421</f>
        <v>-10942.819999999949</v>
      </c>
      <c r="K421" s="29">
        <f>SUM(K413:K420)</f>
        <v>842357.18</v>
      </c>
      <c r="L421" s="29">
        <f>SUM(L413:L420)</f>
        <v>895004.50375000003</v>
      </c>
      <c r="M421" s="103">
        <f>SUM(M413:M420)</f>
        <v>957654.81901250011</v>
      </c>
      <c r="N421" s="103">
        <f>SUM(N413:N420)</f>
        <v>1024690.6563433751</v>
      </c>
    </row>
    <row r="422" spans="1:14" s="24" customFormat="1" x14ac:dyDescent="0.25">
      <c r="A422" s="20"/>
      <c r="B422" s="20"/>
      <c r="C422" s="21"/>
      <c r="D422" s="29"/>
      <c r="E422" s="29"/>
      <c r="F422" s="29"/>
      <c r="G422" s="29"/>
      <c r="H422" s="29"/>
      <c r="I422" s="29"/>
      <c r="J422" s="27"/>
      <c r="K422" s="23"/>
      <c r="L422" s="29"/>
      <c r="M422" s="103"/>
      <c r="N422" s="84"/>
    </row>
    <row r="423" spans="1:14" s="24" customFormat="1" x14ac:dyDescent="0.25">
      <c r="A423" s="20"/>
      <c r="B423" s="20"/>
      <c r="C423" s="21" t="s">
        <v>166</v>
      </c>
      <c r="D423" s="29"/>
      <c r="E423" s="29"/>
      <c r="F423" s="29"/>
      <c r="G423" s="29"/>
      <c r="H423" s="29"/>
      <c r="I423" s="29"/>
      <c r="J423" s="27">
        <f>+K423-D423</f>
        <v>0</v>
      </c>
      <c r="K423" s="23"/>
      <c r="L423" s="29"/>
      <c r="M423" s="103"/>
      <c r="N423" s="84"/>
    </row>
    <row r="424" spans="1:14" s="28" customFormat="1" x14ac:dyDescent="0.25">
      <c r="A424" s="25"/>
      <c r="B424" s="25"/>
      <c r="C424" s="26"/>
      <c r="D424" s="23"/>
      <c r="E424" s="23"/>
      <c r="F424" s="23"/>
      <c r="G424" s="23"/>
      <c r="H424" s="23"/>
      <c r="I424" s="23"/>
      <c r="J424" s="27"/>
      <c r="K424" s="23"/>
      <c r="L424" s="29"/>
      <c r="M424" s="103"/>
      <c r="N424" s="105"/>
    </row>
    <row r="425" spans="1:14" s="28" customFormat="1" ht="14.25" x14ac:dyDescent="0.2">
      <c r="A425" s="25" t="s">
        <v>1115</v>
      </c>
      <c r="B425" s="25"/>
      <c r="C425" s="26" t="s">
        <v>167</v>
      </c>
      <c r="D425" s="23">
        <f>VLOOKUP(A425,fin,3,FALSE)</f>
        <v>449</v>
      </c>
      <c r="E425" s="23">
        <v>-290187</v>
      </c>
      <c r="F425" s="23">
        <v>0</v>
      </c>
      <c r="G425" s="23">
        <v>-524054</v>
      </c>
      <c r="H425" s="23">
        <v>-642946</v>
      </c>
      <c r="I425" s="23">
        <v>44.9</v>
      </c>
      <c r="J425" s="27">
        <f>+K425-D425</f>
        <v>0</v>
      </c>
      <c r="K425" s="23">
        <f>VLOOKUP(A425,fin,4,FALSE)</f>
        <v>449</v>
      </c>
      <c r="L425" s="23">
        <f t="shared" ref="L425:L428" si="85">K425*6.25/100+K425</f>
        <v>477.0625</v>
      </c>
      <c r="M425" s="179">
        <f t="shared" ref="M425:N425" si="86">L425*7/100+L425</f>
        <v>510.45687499999997</v>
      </c>
      <c r="N425" s="105">
        <f t="shared" si="86"/>
        <v>546.18885624999996</v>
      </c>
    </row>
    <row r="426" spans="1:14" s="28" customFormat="1" ht="14.25" x14ac:dyDescent="0.2">
      <c r="A426" s="25" t="s">
        <v>1116</v>
      </c>
      <c r="B426" s="25"/>
      <c r="C426" s="26" t="s">
        <v>168</v>
      </c>
      <c r="D426" s="23">
        <f>VLOOKUP(A426,fin,3,FALSE)</f>
        <v>67191</v>
      </c>
      <c r="E426" s="23">
        <v>-290187</v>
      </c>
      <c r="F426" s="23">
        <v>0</v>
      </c>
      <c r="G426" s="23">
        <v>-524054</v>
      </c>
      <c r="H426" s="23">
        <v>-642946</v>
      </c>
      <c r="I426" s="23">
        <v>44.9</v>
      </c>
      <c r="J426" s="27">
        <f>+K426-D426</f>
        <v>0</v>
      </c>
      <c r="K426" s="23">
        <f>VLOOKUP(A426,fin,4,FALSE)</f>
        <v>67191</v>
      </c>
      <c r="L426" s="23">
        <f t="shared" si="85"/>
        <v>71390.4375</v>
      </c>
      <c r="M426" s="179">
        <f t="shared" ref="M426:N426" si="87">L426*7/100+L426</f>
        <v>76387.768125000002</v>
      </c>
      <c r="N426" s="105">
        <f t="shared" si="87"/>
        <v>81734.911893750002</v>
      </c>
    </row>
    <row r="427" spans="1:14" s="28" customFormat="1" ht="14.25" x14ac:dyDescent="0.2">
      <c r="A427" s="25" t="s">
        <v>1117</v>
      </c>
      <c r="B427" s="25"/>
      <c r="C427" s="26" t="s">
        <v>169</v>
      </c>
      <c r="D427" s="23">
        <f>VLOOKUP(A427,fin,3,FALSE)</f>
        <v>146726</v>
      </c>
      <c r="E427" s="23">
        <v>-290187</v>
      </c>
      <c r="F427" s="23">
        <v>0</v>
      </c>
      <c r="G427" s="23">
        <v>-524054</v>
      </c>
      <c r="H427" s="23">
        <v>-642946</v>
      </c>
      <c r="I427" s="23">
        <v>44.9</v>
      </c>
      <c r="J427" s="27">
        <f>+K427-D427</f>
        <v>0</v>
      </c>
      <c r="K427" s="23">
        <f>VLOOKUP(A427,fin,4,FALSE)</f>
        <v>146726</v>
      </c>
      <c r="L427" s="23">
        <f t="shared" si="85"/>
        <v>155896.375</v>
      </c>
      <c r="M427" s="179">
        <f t="shared" ref="M427:N427" si="88">L427*7/100+L427</f>
        <v>166809.12125</v>
      </c>
      <c r="N427" s="105">
        <f t="shared" si="88"/>
        <v>178485.75973749999</v>
      </c>
    </row>
    <row r="428" spans="1:14" s="28" customFormat="1" ht="14.25" x14ac:dyDescent="0.2">
      <c r="A428" s="25" t="s">
        <v>1118</v>
      </c>
      <c r="B428" s="25"/>
      <c r="C428" s="26" t="s">
        <v>170</v>
      </c>
      <c r="D428" s="23">
        <f>VLOOKUP(A428,fin,3,FALSE)</f>
        <v>7140</v>
      </c>
      <c r="E428" s="23">
        <v>-290187</v>
      </c>
      <c r="F428" s="23">
        <v>0</v>
      </c>
      <c r="G428" s="23">
        <v>-524054</v>
      </c>
      <c r="H428" s="23">
        <v>-642946</v>
      </c>
      <c r="I428" s="23">
        <v>44.9</v>
      </c>
      <c r="J428" s="27">
        <f>+K428-D428</f>
        <v>0</v>
      </c>
      <c r="K428" s="23">
        <f>VLOOKUP(A428,fin,4,FALSE)</f>
        <v>7140</v>
      </c>
      <c r="L428" s="23">
        <f t="shared" si="85"/>
        <v>7586.25</v>
      </c>
      <c r="M428" s="179">
        <f t="shared" ref="M428:N428" si="89">L428*7/100+L428</f>
        <v>8117.2875000000004</v>
      </c>
      <c r="N428" s="105">
        <f t="shared" si="89"/>
        <v>8685.497625</v>
      </c>
    </row>
    <row r="429" spans="1:14" s="28" customFormat="1" ht="14.25" x14ac:dyDescent="0.2">
      <c r="A429" s="25"/>
      <c r="B429" s="25"/>
      <c r="C429" s="26"/>
      <c r="D429" s="23"/>
      <c r="E429" s="23"/>
      <c r="F429" s="23"/>
      <c r="G429" s="23"/>
      <c r="H429" s="23"/>
      <c r="I429" s="23"/>
      <c r="J429" s="27"/>
      <c r="K429" s="23"/>
      <c r="L429" s="23"/>
      <c r="M429" s="104"/>
      <c r="N429" s="105"/>
    </row>
    <row r="430" spans="1:14" s="24" customFormat="1" x14ac:dyDescent="0.25">
      <c r="A430" s="20"/>
      <c r="B430" s="20"/>
      <c r="C430" s="21" t="s">
        <v>171</v>
      </c>
      <c r="D430" s="29">
        <f>SUM(D425:D429)</f>
        <v>221506</v>
      </c>
      <c r="E430" s="29">
        <v>18251.89</v>
      </c>
      <c r="F430" s="29">
        <v>0</v>
      </c>
      <c r="G430" s="29">
        <v>109067.47</v>
      </c>
      <c r="H430" s="29">
        <v>112438.53</v>
      </c>
      <c r="I430" s="29">
        <v>49.23</v>
      </c>
      <c r="J430" s="27">
        <f>+K430-D430</f>
        <v>0</v>
      </c>
      <c r="K430" s="29">
        <f>SUM(K425:K429)</f>
        <v>221506</v>
      </c>
      <c r="L430" s="29">
        <f>SUM(L425:L429)</f>
        <v>235350.125</v>
      </c>
      <c r="M430" s="103">
        <f>SUM(M425:M429)</f>
        <v>251824.63375000001</v>
      </c>
      <c r="N430" s="103">
        <f>SUM(N425:N429)</f>
        <v>269452.35811249999</v>
      </c>
    </row>
    <row r="431" spans="1:14" s="24" customFormat="1" x14ac:dyDescent="0.25">
      <c r="A431" s="20"/>
      <c r="B431" s="20"/>
      <c r="C431" s="21"/>
      <c r="D431" s="29"/>
      <c r="E431" s="29"/>
      <c r="F431" s="29"/>
      <c r="G431" s="29"/>
      <c r="H431" s="29"/>
      <c r="I431" s="29"/>
      <c r="J431" s="27"/>
      <c r="K431" s="23"/>
      <c r="L431" s="29"/>
      <c r="M431" s="103"/>
      <c r="N431" s="84"/>
    </row>
    <row r="432" spans="1:14" s="24" customFormat="1" x14ac:dyDescent="0.25">
      <c r="A432" s="20"/>
      <c r="B432" s="20"/>
      <c r="C432" s="21" t="s">
        <v>172</v>
      </c>
      <c r="D432" s="29"/>
      <c r="E432" s="29"/>
      <c r="F432" s="29"/>
      <c r="G432" s="29"/>
      <c r="H432" s="29"/>
      <c r="I432" s="29"/>
      <c r="J432" s="27">
        <f>+K432-D432</f>
        <v>0</v>
      </c>
      <c r="K432" s="23"/>
      <c r="L432" s="29"/>
      <c r="M432" s="103"/>
      <c r="N432" s="84"/>
    </row>
    <row r="433" spans="1:14" s="28" customFormat="1" ht="14.25" x14ac:dyDescent="0.2">
      <c r="A433" s="25"/>
      <c r="B433" s="25"/>
      <c r="C433" s="26"/>
      <c r="D433" s="23"/>
      <c r="E433" s="23"/>
      <c r="F433" s="23"/>
      <c r="G433" s="23"/>
      <c r="H433" s="23"/>
      <c r="I433" s="23"/>
      <c r="J433" s="27"/>
      <c r="K433" s="23"/>
      <c r="L433" s="23"/>
      <c r="M433" s="104"/>
      <c r="N433" s="105"/>
    </row>
    <row r="434" spans="1:14" s="28" customFormat="1" ht="14.25" x14ac:dyDescent="0.2">
      <c r="A434" s="25" t="s">
        <v>1119</v>
      </c>
      <c r="B434" s="25"/>
      <c r="C434" s="26" t="s">
        <v>173</v>
      </c>
      <c r="D434" s="23">
        <f>VLOOKUP(A434,fin,3,FALSE)</f>
        <v>46893</v>
      </c>
      <c r="E434" s="23">
        <v>-290187</v>
      </c>
      <c r="F434" s="23">
        <v>0</v>
      </c>
      <c r="G434" s="23">
        <v>-524054</v>
      </c>
      <c r="H434" s="23">
        <v>-642946</v>
      </c>
      <c r="I434" s="23">
        <v>44.9</v>
      </c>
      <c r="J434" s="27">
        <f>+K434-D434</f>
        <v>0</v>
      </c>
      <c r="K434" s="23">
        <f>VLOOKUP(A434,fin,4,FALSE)</f>
        <v>46893</v>
      </c>
      <c r="L434" s="23">
        <f t="shared" ref="L434:L436" si="90">K434*6.25/100+K434</f>
        <v>49823.8125</v>
      </c>
      <c r="M434" s="179">
        <f t="shared" ref="M434:N434" si="91">L434*7/100+L434</f>
        <v>53311.479375000003</v>
      </c>
      <c r="N434" s="105">
        <f t="shared" si="91"/>
        <v>57043.282931250003</v>
      </c>
    </row>
    <row r="435" spans="1:14" s="28" customFormat="1" ht="14.25" x14ac:dyDescent="0.2">
      <c r="A435" s="25" t="s">
        <v>1120</v>
      </c>
      <c r="B435" s="25"/>
      <c r="C435" s="26" t="s">
        <v>174</v>
      </c>
      <c r="D435" s="23">
        <f>VLOOKUP(A435,fin,3,FALSE)</f>
        <v>26482</v>
      </c>
      <c r="E435" s="23">
        <v>-290187</v>
      </c>
      <c r="F435" s="23">
        <v>0</v>
      </c>
      <c r="G435" s="23">
        <v>-524054</v>
      </c>
      <c r="H435" s="23">
        <v>-642946</v>
      </c>
      <c r="I435" s="23">
        <v>44.9</v>
      </c>
      <c r="J435" s="27">
        <f>+K435-D435</f>
        <v>0</v>
      </c>
      <c r="K435" s="23">
        <f>VLOOKUP(A435,fin,4,FALSE)</f>
        <v>26482</v>
      </c>
      <c r="L435" s="23">
        <f t="shared" si="90"/>
        <v>28137.125</v>
      </c>
      <c r="M435" s="179">
        <f t="shared" ref="M435:N435" si="92">L435*7/100+L435</f>
        <v>30106.723750000001</v>
      </c>
      <c r="N435" s="105">
        <f t="shared" si="92"/>
        <v>32214.194412500001</v>
      </c>
    </row>
    <row r="436" spans="1:14" s="28" customFormat="1" ht="14.25" x14ac:dyDescent="0.2">
      <c r="A436" s="25" t="s">
        <v>1121</v>
      </c>
      <c r="B436" s="25"/>
      <c r="C436" s="26" t="s">
        <v>175</v>
      </c>
      <c r="D436" s="23">
        <f>VLOOKUP(A436,fin,3,FALSE)</f>
        <v>4306</v>
      </c>
      <c r="E436" s="23">
        <v>-290187</v>
      </c>
      <c r="F436" s="23">
        <v>0</v>
      </c>
      <c r="G436" s="23">
        <v>-524054</v>
      </c>
      <c r="H436" s="23">
        <v>-642946</v>
      </c>
      <c r="I436" s="23">
        <v>44.9</v>
      </c>
      <c r="J436" s="27">
        <f>+K436-D436</f>
        <v>0</v>
      </c>
      <c r="K436" s="23">
        <f>VLOOKUP(A436,fin,4,FALSE)</f>
        <v>4306</v>
      </c>
      <c r="L436" s="23">
        <f t="shared" si="90"/>
        <v>4575.125</v>
      </c>
      <c r="M436" s="179">
        <f t="shared" ref="M436:N436" si="93">L436*7/100+L436</f>
        <v>4895.38375</v>
      </c>
      <c r="N436" s="105">
        <f t="shared" si="93"/>
        <v>5238.0606124999995</v>
      </c>
    </row>
    <row r="437" spans="1:14" s="28" customFormat="1" ht="14.25" x14ac:dyDescent="0.2">
      <c r="A437" s="25"/>
      <c r="B437" s="25"/>
      <c r="C437" s="26"/>
      <c r="D437" s="23"/>
      <c r="E437" s="23"/>
      <c r="F437" s="23"/>
      <c r="G437" s="23"/>
      <c r="H437" s="23"/>
      <c r="I437" s="23"/>
      <c r="J437" s="27"/>
      <c r="K437" s="23"/>
      <c r="L437" s="23"/>
      <c r="M437" s="104"/>
      <c r="N437" s="105"/>
    </row>
    <row r="438" spans="1:14" s="24" customFormat="1" x14ac:dyDescent="0.25">
      <c r="A438" s="20"/>
      <c r="B438" s="20"/>
      <c r="C438" s="21" t="s">
        <v>176</v>
      </c>
      <c r="D438" s="29">
        <f>SUM(D434:D437)</f>
        <v>77681</v>
      </c>
      <c r="E438" s="29">
        <v>0</v>
      </c>
      <c r="F438" s="29">
        <v>0</v>
      </c>
      <c r="G438" s="29">
        <v>0</v>
      </c>
      <c r="H438" s="29">
        <v>77681</v>
      </c>
      <c r="I438" s="29">
        <v>0</v>
      </c>
      <c r="J438" s="27">
        <f>+K438-D438</f>
        <v>0</v>
      </c>
      <c r="K438" s="29">
        <f>SUM(K434:K437)</f>
        <v>77681</v>
      </c>
      <c r="L438" s="29">
        <f>SUM(L434:L437)</f>
        <v>82536.0625</v>
      </c>
      <c r="M438" s="103">
        <f>SUM(M434:M437)</f>
        <v>88313.586874999994</v>
      </c>
      <c r="N438" s="103">
        <f>SUM(N434:N437)</f>
        <v>94495.537956250017</v>
      </c>
    </row>
    <row r="439" spans="1:14" s="24" customFormat="1" x14ac:dyDescent="0.25">
      <c r="A439" s="20"/>
      <c r="B439" s="20"/>
      <c r="C439" s="21"/>
      <c r="D439" s="29"/>
      <c r="E439" s="29"/>
      <c r="F439" s="29"/>
      <c r="G439" s="29"/>
      <c r="H439" s="29"/>
      <c r="I439" s="29"/>
      <c r="J439" s="27"/>
      <c r="K439" s="23"/>
      <c r="L439" s="29"/>
      <c r="M439" s="103"/>
      <c r="N439" s="84"/>
    </row>
    <row r="440" spans="1:14" s="24" customFormat="1" x14ac:dyDescent="0.25">
      <c r="A440" s="20"/>
      <c r="B440" s="20"/>
      <c r="C440" s="21" t="s">
        <v>177</v>
      </c>
      <c r="D440" s="29">
        <f>+D421+D430+D438</f>
        <v>1152487</v>
      </c>
      <c r="E440" s="29">
        <v>91308.34</v>
      </c>
      <c r="F440" s="29">
        <v>0</v>
      </c>
      <c r="G440" s="29">
        <v>524887.13</v>
      </c>
      <c r="H440" s="29">
        <v>627599.87</v>
      </c>
      <c r="I440" s="29">
        <v>45.54</v>
      </c>
      <c r="J440" s="27">
        <f>+K440-D440</f>
        <v>-10942.819999999832</v>
      </c>
      <c r="K440" s="29">
        <f>+K421+K430+K438</f>
        <v>1141544.1800000002</v>
      </c>
      <c r="L440" s="29">
        <f>+L421+L430+L438</f>
        <v>1212890.6912500001</v>
      </c>
      <c r="M440" s="103">
        <f>+M421+M430+M438</f>
        <v>1297793.0396375002</v>
      </c>
      <c r="N440" s="103">
        <f>+N421+N430+N438</f>
        <v>1388638.5524121253</v>
      </c>
    </row>
    <row r="441" spans="1:14" s="24" customFormat="1" x14ac:dyDescent="0.25">
      <c r="A441" s="20"/>
      <c r="B441" s="20"/>
      <c r="C441" s="21"/>
      <c r="D441" s="29"/>
      <c r="E441" s="29"/>
      <c r="F441" s="29"/>
      <c r="G441" s="29"/>
      <c r="H441" s="29"/>
      <c r="I441" s="29"/>
      <c r="J441" s="27"/>
      <c r="K441" s="23"/>
      <c r="L441" s="29"/>
      <c r="M441" s="103"/>
      <c r="N441" s="84"/>
    </row>
    <row r="442" spans="1:14" s="24" customFormat="1" x14ac:dyDescent="0.25">
      <c r="A442" s="20"/>
      <c r="B442" s="20"/>
      <c r="C442" s="21" t="s">
        <v>178</v>
      </c>
      <c r="D442" s="29">
        <f>D440</f>
        <v>1152487</v>
      </c>
      <c r="E442" s="29">
        <v>91308.34</v>
      </c>
      <c r="F442" s="29">
        <v>0</v>
      </c>
      <c r="G442" s="29">
        <v>524887.13</v>
      </c>
      <c r="H442" s="29">
        <v>627599.87</v>
      </c>
      <c r="I442" s="29">
        <v>45.54</v>
      </c>
      <c r="J442" s="27">
        <f>+K442-D442</f>
        <v>-10942.819999999832</v>
      </c>
      <c r="K442" s="29">
        <f>K440</f>
        <v>1141544.1800000002</v>
      </c>
      <c r="L442" s="29">
        <f>L440</f>
        <v>1212890.6912500001</v>
      </c>
      <c r="M442" s="103">
        <f>M440</f>
        <v>1297793.0396375002</v>
      </c>
      <c r="N442" s="103">
        <f>N440</f>
        <v>1388638.5524121253</v>
      </c>
    </row>
    <row r="443" spans="1:14" s="24" customFormat="1" x14ac:dyDescent="0.25">
      <c r="A443" s="20"/>
      <c r="B443" s="20"/>
      <c r="C443" s="21"/>
      <c r="D443" s="29"/>
      <c r="E443" s="29"/>
      <c r="F443" s="29"/>
      <c r="G443" s="29"/>
      <c r="H443" s="29"/>
      <c r="I443" s="29"/>
      <c r="J443" s="27"/>
      <c r="K443" s="23"/>
      <c r="L443" s="29"/>
      <c r="M443" s="103"/>
      <c r="N443" s="84"/>
    </row>
    <row r="444" spans="1:14" s="24" customFormat="1" x14ac:dyDescent="0.25">
      <c r="A444" s="20"/>
      <c r="B444" s="20"/>
      <c r="C444" s="21" t="s">
        <v>208</v>
      </c>
      <c r="D444" s="29"/>
      <c r="E444" s="29"/>
      <c r="F444" s="29"/>
      <c r="G444" s="29"/>
      <c r="H444" s="29"/>
      <c r="I444" s="29"/>
      <c r="J444" s="27">
        <f>+K444-D444</f>
        <v>0</v>
      </c>
      <c r="K444" s="23"/>
      <c r="L444" s="29"/>
      <c r="M444" s="103"/>
      <c r="N444" s="84"/>
    </row>
    <row r="445" spans="1:14" s="24" customFormat="1" x14ac:dyDescent="0.25">
      <c r="A445" s="20"/>
      <c r="B445" s="20"/>
      <c r="C445" s="21" t="s">
        <v>228</v>
      </c>
      <c r="D445" s="29"/>
      <c r="E445" s="29"/>
      <c r="F445" s="29"/>
      <c r="G445" s="29"/>
      <c r="H445" s="29"/>
      <c r="I445" s="29"/>
      <c r="J445" s="27">
        <f>+K445-D445</f>
        <v>0</v>
      </c>
      <c r="K445" s="23"/>
      <c r="L445" s="29"/>
      <c r="M445" s="103"/>
      <c r="N445" s="84"/>
    </row>
    <row r="446" spans="1:14" s="24" customFormat="1" x14ac:dyDescent="0.25">
      <c r="A446" s="20"/>
      <c r="B446" s="20"/>
      <c r="C446" s="21"/>
      <c r="D446" s="29"/>
      <c r="E446" s="29"/>
      <c r="F446" s="29"/>
      <c r="G446" s="29"/>
      <c r="H446" s="29"/>
      <c r="I446" s="29"/>
      <c r="J446" s="27"/>
      <c r="K446" s="23"/>
      <c r="L446" s="29"/>
      <c r="M446" s="103"/>
      <c r="N446" s="84"/>
    </row>
    <row r="447" spans="1:14" s="28" customFormat="1" ht="14.25" x14ac:dyDescent="0.2">
      <c r="A447" s="25" t="s">
        <v>1122</v>
      </c>
      <c r="B447" s="25"/>
      <c r="C447" s="26" t="s">
        <v>234</v>
      </c>
      <c r="D447" s="23">
        <f>VLOOKUP(A447,fin,3,FALSE)</f>
        <v>159000</v>
      </c>
      <c r="E447" s="23">
        <v>-290187</v>
      </c>
      <c r="F447" s="23">
        <v>0</v>
      </c>
      <c r="G447" s="23">
        <v>-524054</v>
      </c>
      <c r="H447" s="23">
        <v>-642946</v>
      </c>
      <c r="I447" s="23">
        <v>44.9</v>
      </c>
      <c r="J447" s="27">
        <f>+K447-D447</f>
        <v>0</v>
      </c>
      <c r="K447" s="23">
        <f>VLOOKUP(A447,fin,4,FALSE)</f>
        <v>159000</v>
      </c>
      <c r="L447" s="23">
        <f t="shared" ref="L447" si="94">K447*4.5/100+K447</f>
        <v>166155</v>
      </c>
      <c r="M447" s="104">
        <f t="shared" ref="M447:N447" si="95">L447*4.6/100+L447</f>
        <v>173798.13</v>
      </c>
      <c r="N447" s="105">
        <f t="shared" si="95"/>
        <v>181792.84398000001</v>
      </c>
    </row>
    <row r="448" spans="1:14" s="28" customFormat="1" ht="14.25" x14ac:dyDescent="0.2">
      <c r="A448" s="25"/>
      <c r="B448" s="25"/>
      <c r="C448" s="26"/>
      <c r="D448" s="23"/>
      <c r="E448" s="23"/>
      <c r="F448" s="23"/>
      <c r="G448" s="23"/>
      <c r="H448" s="23"/>
      <c r="I448" s="23"/>
      <c r="J448" s="27"/>
      <c r="K448" s="23"/>
      <c r="L448" s="23"/>
      <c r="M448" s="104"/>
      <c r="N448" s="105"/>
    </row>
    <row r="449" spans="1:14" s="24" customFormat="1" x14ac:dyDescent="0.25">
      <c r="A449" s="20"/>
      <c r="B449" s="20"/>
      <c r="C449" s="21" t="s">
        <v>239</v>
      </c>
      <c r="D449" s="29">
        <f>SUM(D447:D448)</f>
        <v>159000</v>
      </c>
      <c r="E449" s="29">
        <v>0</v>
      </c>
      <c r="F449" s="29">
        <v>0</v>
      </c>
      <c r="G449" s="29">
        <v>55600</v>
      </c>
      <c r="H449" s="29">
        <v>103400</v>
      </c>
      <c r="I449" s="29">
        <v>34.96</v>
      </c>
      <c r="J449" s="27">
        <f>+K449-D449</f>
        <v>0</v>
      </c>
      <c r="K449" s="29">
        <f>SUM(K447:K448)</f>
        <v>159000</v>
      </c>
      <c r="L449" s="29">
        <f>SUM(L447:L448)</f>
        <v>166155</v>
      </c>
      <c r="M449" s="103">
        <f>SUM(M447:M448)</f>
        <v>173798.13</v>
      </c>
      <c r="N449" s="103">
        <f>SUM(N447:N448)</f>
        <v>181792.84398000001</v>
      </c>
    </row>
    <row r="450" spans="1:14" s="24" customFormat="1" x14ac:dyDescent="0.25">
      <c r="A450" s="20"/>
      <c r="B450" s="20"/>
      <c r="C450" s="21"/>
      <c r="D450" s="29"/>
      <c r="E450" s="29"/>
      <c r="F450" s="29"/>
      <c r="G450" s="29"/>
      <c r="H450" s="29"/>
      <c r="I450" s="29"/>
      <c r="J450" s="27"/>
      <c r="K450" s="23"/>
      <c r="L450" s="29"/>
      <c r="M450" s="103"/>
      <c r="N450" s="84"/>
    </row>
    <row r="451" spans="1:14" s="24" customFormat="1" x14ac:dyDescent="0.25">
      <c r="A451" s="20"/>
      <c r="B451" s="20"/>
      <c r="C451" s="21" t="s">
        <v>240</v>
      </c>
      <c r="D451" s="29">
        <f>D449</f>
        <v>159000</v>
      </c>
      <c r="E451" s="29">
        <v>0</v>
      </c>
      <c r="F451" s="29">
        <v>0</v>
      </c>
      <c r="G451" s="29">
        <v>55600</v>
      </c>
      <c r="H451" s="29">
        <v>103400</v>
      </c>
      <c r="I451" s="29">
        <v>34.96</v>
      </c>
      <c r="J451" s="27">
        <f>+K451-D451</f>
        <v>0</v>
      </c>
      <c r="K451" s="29">
        <f>K449</f>
        <v>159000</v>
      </c>
      <c r="L451" s="29">
        <f>L449</f>
        <v>166155</v>
      </c>
      <c r="M451" s="103">
        <f>M449</f>
        <v>173798.13</v>
      </c>
      <c r="N451" s="103">
        <f>N449</f>
        <v>181792.84398000001</v>
      </c>
    </row>
    <row r="452" spans="1:14" s="24" customFormat="1" x14ac:dyDescent="0.25">
      <c r="A452" s="20"/>
      <c r="B452" s="20"/>
      <c r="C452" s="21"/>
      <c r="D452" s="29"/>
      <c r="E452" s="29"/>
      <c r="F452" s="29"/>
      <c r="G452" s="29"/>
      <c r="H452" s="29"/>
      <c r="I452" s="29"/>
      <c r="J452" s="27"/>
      <c r="K452" s="23"/>
      <c r="L452" s="29"/>
      <c r="M452" s="103"/>
      <c r="N452" s="84"/>
    </row>
    <row r="453" spans="1:14" s="24" customFormat="1" x14ac:dyDescent="0.25">
      <c r="A453" s="20"/>
      <c r="B453" s="20"/>
      <c r="C453" s="21" t="s">
        <v>241</v>
      </c>
      <c r="D453" s="29"/>
      <c r="E453" s="29"/>
      <c r="F453" s="29"/>
      <c r="G453" s="29"/>
      <c r="H453" s="29"/>
      <c r="I453" s="29"/>
      <c r="J453" s="27">
        <f>+K453-D453</f>
        <v>0</v>
      </c>
      <c r="K453" s="23"/>
      <c r="L453" s="29"/>
      <c r="M453" s="103"/>
      <c r="N453" s="84"/>
    </row>
    <row r="454" spans="1:14" s="28" customFormat="1" ht="14.25" x14ac:dyDescent="0.2">
      <c r="A454" s="25"/>
      <c r="B454" s="25"/>
      <c r="C454" s="26"/>
      <c r="D454" s="23"/>
      <c r="E454" s="23"/>
      <c r="F454" s="23"/>
      <c r="G454" s="23"/>
      <c r="H454" s="23"/>
      <c r="I454" s="23"/>
      <c r="J454" s="27"/>
      <c r="K454" s="23"/>
      <c r="L454" s="23"/>
      <c r="M454" s="104"/>
      <c r="N454" s="105"/>
    </row>
    <row r="455" spans="1:14" s="28" customFormat="1" ht="14.25" x14ac:dyDescent="0.2">
      <c r="A455" s="25" t="s">
        <v>1123</v>
      </c>
      <c r="B455" s="25"/>
      <c r="C455" s="26" t="s">
        <v>265</v>
      </c>
      <c r="D455" s="23">
        <f>VLOOKUP(A455,fin,3,FALSE)</f>
        <v>0</v>
      </c>
      <c r="E455" s="23">
        <v>-290187</v>
      </c>
      <c r="F455" s="23">
        <v>0</v>
      </c>
      <c r="G455" s="23">
        <v>-524054</v>
      </c>
      <c r="H455" s="23">
        <v>-642946</v>
      </c>
      <c r="I455" s="23">
        <v>44.9</v>
      </c>
      <c r="J455" s="27">
        <f>+K455-D455</f>
        <v>8562.4</v>
      </c>
      <c r="K455" s="23">
        <f>VLOOKUP(A455,fin,4,FALSE)</f>
        <v>8562.4</v>
      </c>
      <c r="L455" s="23">
        <f t="shared" ref="L455" si="96">K455*4.5/100+K455</f>
        <v>8947.7079999999987</v>
      </c>
      <c r="M455" s="104">
        <f t="shared" ref="M455:N455" si="97">L455*4.6/100+L455</f>
        <v>9359.3025679999992</v>
      </c>
      <c r="N455" s="105">
        <f t="shared" si="97"/>
        <v>9789.8304861279994</v>
      </c>
    </row>
    <row r="456" spans="1:14" s="28" customFormat="1" ht="14.25" x14ac:dyDescent="0.2">
      <c r="A456" s="25"/>
      <c r="B456" s="25"/>
      <c r="C456" s="26"/>
      <c r="D456" s="23"/>
      <c r="E456" s="23"/>
      <c r="F456" s="23"/>
      <c r="G456" s="23"/>
      <c r="H456" s="23"/>
      <c r="I456" s="23"/>
      <c r="J456" s="27"/>
      <c r="K456" s="23"/>
      <c r="L456" s="23"/>
      <c r="M456" s="104"/>
      <c r="N456" s="105"/>
    </row>
    <row r="457" spans="1:14" s="24" customFormat="1" x14ac:dyDescent="0.25">
      <c r="A457" s="20"/>
      <c r="B457" s="20"/>
      <c r="C457" s="21" t="s">
        <v>274</v>
      </c>
      <c r="D457" s="29">
        <f>SUM(D455:D456)</f>
        <v>0</v>
      </c>
      <c r="E457" s="29">
        <v>750.78</v>
      </c>
      <c r="F457" s="29">
        <v>0</v>
      </c>
      <c r="G457" s="29">
        <v>4281.2</v>
      </c>
      <c r="H457" s="29">
        <v>-4281.2</v>
      </c>
      <c r="I457" s="29">
        <v>0</v>
      </c>
      <c r="J457" s="27">
        <f>+K457-D457</f>
        <v>8562.4</v>
      </c>
      <c r="K457" s="29">
        <f>SUM(K455:K456)</f>
        <v>8562.4</v>
      </c>
      <c r="L457" s="29">
        <f>SUM(L455:L456)</f>
        <v>8947.7079999999987</v>
      </c>
      <c r="M457" s="103">
        <f>SUM(M455:M456)</f>
        <v>9359.3025679999992</v>
      </c>
      <c r="N457" s="103">
        <f>SUM(N455:N456)</f>
        <v>9789.8304861279994</v>
      </c>
    </row>
    <row r="458" spans="1:14" s="24" customFormat="1" x14ac:dyDescent="0.25">
      <c r="A458" s="20"/>
      <c r="B458" s="20"/>
      <c r="C458" s="21"/>
      <c r="D458" s="29"/>
      <c r="E458" s="29"/>
      <c r="F458" s="29"/>
      <c r="G458" s="29"/>
      <c r="H458" s="29"/>
      <c r="I458" s="29"/>
      <c r="J458" s="27"/>
      <c r="K458" s="23"/>
      <c r="L458" s="29"/>
      <c r="M458" s="103"/>
      <c r="N458" s="84"/>
    </row>
    <row r="459" spans="1:14" s="24" customFormat="1" x14ac:dyDescent="0.25">
      <c r="A459" s="20"/>
      <c r="B459" s="20"/>
      <c r="C459" s="21" t="s">
        <v>290</v>
      </c>
      <c r="D459" s="29"/>
      <c r="E459" s="29"/>
      <c r="F459" s="29"/>
      <c r="G459" s="29"/>
      <c r="H459" s="29"/>
      <c r="I459" s="29"/>
      <c r="J459" s="27">
        <f>+K459-D459</f>
        <v>0</v>
      </c>
      <c r="K459" s="23"/>
      <c r="L459" s="29"/>
      <c r="M459" s="103"/>
      <c r="N459" s="84"/>
    </row>
    <row r="460" spans="1:14" s="28" customFormat="1" ht="14.25" x14ac:dyDescent="0.2">
      <c r="A460" s="25"/>
      <c r="B460" s="25"/>
      <c r="C460" s="26"/>
      <c r="D460" s="23"/>
      <c r="E460" s="23"/>
      <c r="F460" s="23"/>
      <c r="G460" s="23"/>
      <c r="H460" s="23"/>
      <c r="I460" s="23"/>
      <c r="J460" s="27"/>
      <c r="K460" s="23"/>
      <c r="L460" s="23"/>
      <c r="M460" s="104"/>
      <c r="N460" s="105"/>
    </row>
    <row r="461" spans="1:14" s="28" customFormat="1" ht="14.25" x14ac:dyDescent="0.2">
      <c r="A461" s="25" t="s">
        <v>1124</v>
      </c>
      <c r="B461" s="25"/>
      <c r="C461" s="26" t="s">
        <v>296</v>
      </c>
      <c r="D461" s="23">
        <f>VLOOKUP(A461,fin,3,FALSE)</f>
        <v>0</v>
      </c>
      <c r="E461" s="23">
        <v>-290187</v>
      </c>
      <c r="F461" s="23">
        <v>0</v>
      </c>
      <c r="G461" s="23">
        <v>-524054</v>
      </c>
      <c r="H461" s="23">
        <v>-642946</v>
      </c>
      <c r="I461" s="23">
        <v>44.9</v>
      </c>
      <c r="J461" s="27">
        <f>+K461-D461</f>
        <v>0</v>
      </c>
      <c r="K461" s="23">
        <f>VLOOKUP(A461,fin,4,FALSE)</f>
        <v>0</v>
      </c>
      <c r="L461" s="23">
        <f>VLOOKUP(A461,fin,5,FALSE)</f>
        <v>0</v>
      </c>
      <c r="M461" s="104">
        <f>VLOOKUP(A461,fin,6,FALSE)</f>
        <v>0</v>
      </c>
      <c r="N461" s="105"/>
    </row>
    <row r="462" spans="1:14" s="28" customFormat="1" ht="14.25" x14ac:dyDescent="0.2">
      <c r="A462" s="25"/>
      <c r="B462" s="25"/>
      <c r="C462" s="26"/>
      <c r="D462" s="23"/>
      <c r="E462" s="23"/>
      <c r="F462" s="23"/>
      <c r="G462" s="23"/>
      <c r="H462" s="23"/>
      <c r="I462" s="23"/>
      <c r="J462" s="27"/>
      <c r="K462" s="23"/>
      <c r="L462" s="23"/>
      <c r="M462" s="104"/>
      <c r="N462" s="105"/>
    </row>
    <row r="463" spans="1:14" s="24" customFormat="1" x14ac:dyDescent="0.25">
      <c r="A463" s="20"/>
      <c r="B463" s="20"/>
      <c r="C463" s="21" t="s">
        <v>304</v>
      </c>
      <c r="D463" s="29">
        <f>SUM(D461:D462)</f>
        <v>0</v>
      </c>
      <c r="E463" s="29">
        <v>9027.1</v>
      </c>
      <c r="F463" s="29">
        <v>0</v>
      </c>
      <c r="G463" s="29">
        <v>18054.2</v>
      </c>
      <c r="H463" s="29">
        <v>-18054.2</v>
      </c>
      <c r="I463" s="29">
        <v>0</v>
      </c>
      <c r="J463" s="27">
        <f>+K463-D463</f>
        <v>0</v>
      </c>
      <c r="K463" s="29">
        <f>SUM(K461:K462)</f>
        <v>0</v>
      </c>
      <c r="L463" s="29">
        <f>SUM(L461:L462)</f>
        <v>0</v>
      </c>
      <c r="M463" s="103">
        <f>SUM(M461:M462)</f>
        <v>0</v>
      </c>
      <c r="N463" s="103">
        <f>SUM(N461:N462)</f>
        <v>0</v>
      </c>
    </row>
    <row r="464" spans="1:14" s="24" customFormat="1" x14ac:dyDescent="0.25">
      <c r="A464" s="20"/>
      <c r="B464" s="20"/>
      <c r="C464" s="21"/>
      <c r="D464" s="29"/>
      <c r="E464" s="29"/>
      <c r="F464" s="29"/>
      <c r="G464" s="29"/>
      <c r="H464" s="29"/>
      <c r="I464" s="29"/>
      <c r="J464" s="27"/>
      <c r="K464" s="23"/>
      <c r="L464" s="29"/>
      <c r="M464" s="103"/>
      <c r="N464" s="84"/>
    </row>
    <row r="465" spans="1:14" s="24" customFormat="1" x14ac:dyDescent="0.25">
      <c r="A465" s="20"/>
      <c r="B465" s="20"/>
      <c r="C465" s="21" t="s">
        <v>305</v>
      </c>
      <c r="D465" s="29">
        <f>+D442+D451+D457</f>
        <v>1311487</v>
      </c>
      <c r="E465" s="29">
        <v>101086.22</v>
      </c>
      <c r="F465" s="29">
        <v>0</v>
      </c>
      <c r="G465" s="29">
        <v>602822.53</v>
      </c>
      <c r="H465" s="29">
        <v>708664.47</v>
      </c>
      <c r="I465" s="29">
        <v>45.96</v>
      </c>
      <c r="J465" s="27">
        <f>+K465-D465</f>
        <v>-2380.4199999999255</v>
      </c>
      <c r="K465" s="29">
        <f>+K442+K451+K457</f>
        <v>1309106.58</v>
      </c>
      <c r="L465" s="29">
        <f>+L442+L451+L457</f>
        <v>1387993.3992500002</v>
      </c>
      <c r="M465" s="103">
        <f>+M442+M451+M457</f>
        <v>1480950.4722055004</v>
      </c>
      <c r="N465" s="103">
        <f>+N442+N451+N457</f>
        <v>1580221.2268782533</v>
      </c>
    </row>
    <row r="466" spans="1:14" s="24" customFormat="1" x14ac:dyDescent="0.25">
      <c r="A466" s="20"/>
      <c r="B466" s="20"/>
      <c r="C466" s="21"/>
      <c r="D466" s="29"/>
      <c r="E466" s="29"/>
      <c r="F466" s="29"/>
      <c r="G466" s="29"/>
      <c r="H466" s="29"/>
      <c r="I466" s="29"/>
      <c r="J466" s="27"/>
      <c r="K466" s="23"/>
      <c r="L466" s="29"/>
      <c r="M466" s="103"/>
      <c r="N466" s="84"/>
    </row>
    <row r="467" spans="1:14" s="24" customFormat="1" x14ac:dyDescent="0.25">
      <c r="A467" s="20"/>
      <c r="B467" s="20"/>
      <c r="C467" s="21" t="s">
        <v>306</v>
      </c>
      <c r="D467" s="29">
        <f>+D406+D465</f>
        <v>1298922</v>
      </c>
      <c r="E467" s="29">
        <v>97677.38</v>
      </c>
      <c r="F467" s="29">
        <v>0</v>
      </c>
      <c r="G467" s="29">
        <v>598413.68999999994</v>
      </c>
      <c r="H467" s="29">
        <v>700508.31</v>
      </c>
      <c r="I467" s="29">
        <v>46.07</v>
      </c>
      <c r="J467" s="27">
        <f>+K467-D467</f>
        <v>-2380.4199999999255</v>
      </c>
      <c r="K467" s="29">
        <f>+K406+K465</f>
        <v>1296541.58</v>
      </c>
      <c r="L467" s="29">
        <f>+L406+L465</f>
        <v>1374862.9742500002</v>
      </c>
      <c r="M467" s="103">
        <f>+M406+M465</f>
        <v>1467216.0476555002</v>
      </c>
      <c r="N467" s="103">
        <f>+N406+N465</f>
        <v>1565855.0187989534</v>
      </c>
    </row>
    <row r="468" spans="1:14" s="24" customFormat="1" x14ac:dyDescent="0.25">
      <c r="A468" s="20"/>
      <c r="B468" s="20"/>
      <c r="C468" s="21"/>
      <c r="D468" s="29"/>
      <c r="E468" s="29"/>
      <c r="F468" s="29"/>
      <c r="G468" s="29"/>
      <c r="H468" s="29"/>
      <c r="I468" s="29"/>
      <c r="J468" s="27"/>
      <c r="K468" s="23"/>
      <c r="L468" s="29"/>
      <c r="M468" s="103"/>
      <c r="N468" s="84"/>
    </row>
    <row r="469" spans="1:14" s="24" customFormat="1" x14ac:dyDescent="0.25">
      <c r="A469" s="20"/>
      <c r="B469" s="20"/>
      <c r="C469" s="21" t="s">
        <v>308</v>
      </c>
      <c r="D469" s="29"/>
      <c r="E469" s="29"/>
      <c r="F469" s="29"/>
      <c r="G469" s="29"/>
      <c r="H469" s="29"/>
      <c r="I469" s="29"/>
      <c r="J469" s="27">
        <f>+K469-D469</f>
        <v>0</v>
      </c>
      <c r="K469" s="23"/>
      <c r="L469" s="29"/>
      <c r="M469" s="103"/>
      <c r="N469" s="84"/>
    </row>
    <row r="470" spans="1:14" s="24" customFormat="1" x14ac:dyDescent="0.25">
      <c r="A470" s="20"/>
      <c r="B470" s="20"/>
      <c r="C470" s="21"/>
      <c r="D470" s="29"/>
      <c r="E470" s="29"/>
      <c r="F470" s="29"/>
      <c r="G470" s="29"/>
      <c r="H470" s="29"/>
      <c r="I470" s="29"/>
      <c r="J470" s="27"/>
      <c r="K470" s="23"/>
      <c r="L470" s="29"/>
      <c r="M470" s="103"/>
      <c r="N470" s="84"/>
    </row>
    <row r="471" spans="1:14" s="24" customFormat="1" x14ac:dyDescent="0.25">
      <c r="A471" s="20"/>
      <c r="B471" s="20"/>
      <c r="C471" s="21" t="s">
        <v>1125</v>
      </c>
      <c r="D471" s="29"/>
      <c r="E471" s="29"/>
      <c r="F471" s="29"/>
      <c r="G471" s="29"/>
      <c r="H471" s="29"/>
      <c r="I471" s="29"/>
      <c r="J471" s="27">
        <f>+K471-D471</f>
        <v>0</v>
      </c>
      <c r="K471" s="23"/>
      <c r="L471" s="29"/>
      <c r="M471" s="103"/>
      <c r="N471" s="84"/>
    </row>
    <row r="472" spans="1:14" s="24" customFormat="1" x14ac:dyDescent="0.25">
      <c r="A472" s="20"/>
      <c r="B472" s="20"/>
      <c r="C472" s="21" t="s">
        <v>9</v>
      </c>
      <c r="D472" s="29"/>
      <c r="E472" s="29"/>
      <c r="F472" s="29"/>
      <c r="G472" s="29"/>
      <c r="H472" s="29"/>
      <c r="I472" s="29"/>
      <c r="J472" s="27">
        <f>+K472-D472</f>
        <v>0</v>
      </c>
      <c r="K472" s="23"/>
      <c r="L472" s="29"/>
      <c r="M472" s="103"/>
      <c r="N472" s="84"/>
    </row>
    <row r="473" spans="1:14" s="24" customFormat="1" x14ac:dyDescent="0.25">
      <c r="A473" s="20"/>
      <c r="B473" s="20"/>
      <c r="C473" s="21" t="s">
        <v>42</v>
      </c>
      <c r="D473" s="29"/>
      <c r="E473" s="29"/>
      <c r="F473" s="29"/>
      <c r="G473" s="29"/>
      <c r="H473" s="29"/>
      <c r="I473" s="29"/>
      <c r="J473" s="27">
        <f>+K473-D473</f>
        <v>0</v>
      </c>
      <c r="K473" s="23"/>
      <c r="L473" s="29"/>
      <c r="M473" s="103"/>
      <c r="N473" s="84"/>
    </row>
    <row r="474" spans="1:14" s="28" customFormat="1" ht="14.25" x14ac:dyDescent="0.2">
      <c r="A474" s="25"/>
      <c r="B474" s="25"/>
      <c r="C474" s="26"/>
      <c r="D474" s="23"/>
      <c r="E474" s="23"/>
      <c r="F474" s="23"/>
      <c r="G474" s="23"/>
      <c r="H474" s="23"/>
      <c r="I474" s="23"/>
      <c r="J474" s="27"/>
      <c r="K474" s="23"/>
      <c r="L474" s="23"/>
      <c r="M474" s="104"/>
      <c r="N474" s="105"/>
    </row>
    <row r="475" spans="1:14" s="28" customFormat="1" ht="14.25" x14ac:dyDescent="0.2">
      <c r="A475" s="25" t="s">
        <v>1126</v>
      </c>
      <c r="B475" s="25"/>
      <c r="C475" s="26" t="s">
        <v>49</v>
      </c>
      <c r="D475" s="23">
        <f>VLOOKUP(A475,fin,3,FALSE)</f>
        <v>-2285558</v>
      </c>
      <c r="E475" s="23">
        <v>-290187</v>
      </c>
      <c r="F475" s="23">
        <v>0</v>
      </c>
      <c r="G475" s="23">
        <v>-524054</v>
      </c>
      <c r="H475" s="23">
        <v>-642946</v>
      </c>
      <c r="I475" s="23">
        <v>44.9</v>
      </c>
      <c r="J475" s="27">
        <f>+K475-D475</f>
        <v>0</v>
      </c>
      <c r="K475" s="23">
        <f>VLOOKUP(A475,fin,4,FALSE)</f>
        <v>-2285558</v>
      </c>
      <c r="L475" s="23">
        <f>'Revenue per source'!K61</f>
        <v>-2388408.11</v>
      </c>
      <c r="M475" s="23">
        <f>'Revenue per source'!L61</f>
        <v>-2498274.8830599999</v>
      </c>
      <c r="N475" s="23">
        <f>'Revenue per source'!M61</f>
        <v>-2613195.5276807598</v>
      </c>
    </row>
    <row r="476" spans="1:14" s="28" customFormat="1" ht="14.25" x14ac:dyDescent="0.2">
      <c r="A476" s="25" t="s">
        <v>1127</v>
      </c>
      <c r="B476" s="25"/>
      <c r="C476" s="26" t="s">
        <v>50</v>
      </c>
      <c r="D476" s="23">
        <f>VLOOKUP(A476,fin,3,FALSE)</f>
        <v>0</v>
      </c>
      <c r="E476" s="23">
        <v>-290187</v>
      </c>
      <c r="F476" s="23">
        <v>0</v>
      </c>
      <c r="G476" s="23">
        <v>-524054</v>
      </c>
      <c r="H476" s="23">
        <v>-642946</v>
      </c>
      <c r="I476" s="23">
        <v>44.9</v>
      </c>
      <c r="J476" s="27">
        <f>+K476-D476</f>
        <v>0</v>
      </c>
      <c r="K476" s="23">
        <f>VLOOKUP(A476,fin,4,FALSE)</f>
        <v>0</v>
      </c>
      <c r="L476" s="23">
        <f>VLOOKUP(A476,fin,5,FALSE)</f>
        <v>0</v>
      </c>
      <c r="M476" s="104">
        <f>VLOOKUP(A476,fin,6,FALSE)</f>
        <v>0</v>
      </c>
      <c r="N476" s="105"/>
    </row>
    <row r="477" spans="1:14" s="28" customFormat="1" ht="14.25" x14ac:dyDescent="0.2">
      <c r="A477" s="25" t="s">
        <v>1128</v>
      </c>
      <c r="B477" s="25"/>
      <c r="C477" s="26" t="s">
        <v>51</v>
      </c>
      <c r="D477" s="23">
        <f>VLOOKUP(A477,fin,3,FALSE)</f>
        <v>-2779</v>
      </c>
      <c r="E477" s="23">
        <v>-290187</v>
      </c>
      <c r="F477" s="23">
        <v>0</v>
      </c>
      <c r="G477" s="23">
        <v>-524054</v>
      </c>
      <c r="H477" s="23">
        <v>-642946</v>
      </c>
      <c r="I477" s="23">
        <v>44.9</v>
      </c>
      <c r="J477" s="27">
        <f>+K477-D477</f>
        <v>0</v>
      </c>
      <c r="K477" s="23">
        <f>VLOOKUP(A477,fin,4,FALSE)</f>
        <v>-2779</v>
      </c>
      <c r="L477" s="23">
        <f>'Revenue per source'!K63</f>
        <v>-2904.0549999999998</v>
      </c>
      <c r="M477" s="23">
        <f>'Revenue per source'!L63</f>
        <v>-3037.6415299999999</v>
      </c>
      <c r="N477" s="23">
        <f>'Revenue per source'!M63</f>
        <v>-3177.37304038</v>
      </c>
    </row>
    <row r="478" spans="1:14" s="28" customFormat="1" x14ac:dyDescent="0.25">
      <c r="A478" s="25"/>
      <c r="B478" s="25"/>
      <c r="C478" s="26"/>
      <c r="D478" s="23"/>
      <c r="E478" s="23"/>
      <c r="F478" s="23"/>
      <c r="G478" s="23"/>
      <c r="H478" s="23"/>
      <c r="I478" s="23"/>
      <c r="J478" s="27"/>
      <c r="K478" s="23"/>
      <c r="L478" s="29"/>
      <c r="M478" s="103"/>
      <c r="N478" s="105"/>
    </row>
    <row r="479" spans="1:14" s="24" customFormat="1" x14ac:dyDescent="0.25">
      <c r="A479" s="20"/>
      <c r="B479" s="20"/>
      <c r="C479" s="21" t="s">
        <v>55</v>
      </c>
      <c r="D479" s="29">
        <f>SUM(D475:D478)</f>
        <v>-2288337</v>
      </c>
      <c r="E479" s="29">
        <v>-183433.4</v>
      </c>
      <c r="F479" s="29">
        <v>0</v>
      </c>
      <c r="G479" s="29">
        <v>-1100205.7</v>
      </c>
      <c r="H479" s="29">
        <v>-1188131.3</v>
      </c>
      <c r="I479" s="29">
        <v>48.07</v>
      </c>
      <c r="J479" s="27">
        <f>+K479-D479</f>
        <v>0</v>
      </c>
      <c r="K479" s="29">
        <f>SUM(K475:K478)</f>
        <v>-2288337</v>
      </c>
      <c r="L479" s="29">
        <f>SUM(L475:L478)</f>
        <v>-2391312.165</v>
      </c>
      <c r="M479" s="103">
        <f>SUM(M475:M478)</f>
        <v>-2501312.52459</v>
      </c>
      <c r="N479" s="103">
        <f>SUM(N475:N478)</f>
        <v>-2616372.9007211397</v>
      </c>
    </row>
    <row r="480" spans="1:14" s="24" customFormat="1" x14ac:dyDescent="0.25">
      <c r="A480" s="20"/>
      <c r="B480" s="20"/>
      <c r="C480" s="21"/>
      <c r="D480" s="29"/>
      <c r="E480" s="29"/>
      <c r="F480" s="29"/>
      <c r="G480" s="29"/>
      <c r="H480" s="29"/>
      <c r="I480" s="29"/>
      <c r="J480" s="27"/>
      <c r="K480" s="23"/>
      <c r="L480" s="29"/>
      <c r="M480" s="103"/>
      <c r="N480" s="84"/>
    </row>
    <row r="481" spans="1:14" s="24" customFormat="1" x14ac:dyDescent="0.25">
      <c r="A481" s="20"/>
      <c r="B481" s="20"/>
      <c r="C481" s="21" t="s">
        <v>56</v>
      </c>
      <c r="D481" s="29"/>
      <c r="E481" s="29"/>
      <c r="F481" s="29"/>
      <c r="G481" s="29"/>
      <c r="H481" s="29"/>
      <c r="I481" s="29"/>
      <c r="J481" s="27">
        <f>+K481-D481</f>
        <v>0</v>
      </c>
      <c r="K481" s="23"/>
      <c r="L481" s="23"/>
      <c r="M481" s="104"/>
      <c r="N481" s="84"/>
    </row>
    <row r="482" spans="1:14" s="28" customFormat="1" ht="14.25" x14ac:dyDescent="0.2">
      <c r="A482" s="25"/>
      <c r="B482" s="25"/>
      <c r="C482" s="26"/>
      <c r="D482" s="23"/>
      <c r="E482" s="23"/>
      <c r="F482" s="23"/>
      <c r="G482" s="23"/>
      <c r="H482" s="23"/>
      <c r="I482" s="23"/>
      <c r="J482" s="27"/>
      <c r="K482" s="23"/>
      <c r="L482" s="23"/>
      <c r="M482" s="104"/>
      <c r="N482" s="105"/>
    </row>
    <row r="483" spans="1:14" s="28" customFormat="1" ht="14.25" x14ac:dyDescent="0.2">
      <c r="A483" s="25" t="s">
        <v>1129</v>
      </c>
      <c r="B483" s="25"/>
      <c r="C483" s="26" t="s">
        <v>59</v>
      </c>
      <c r="D483" s="23">
        <f>'Revenue per source'!C74</f>
        <v>-219191</v>
      </c>
      <c r="E483" s="23">
        <f>'Revenue per source'!D74</f>
        <v>-17032.490000000002</v>
      </c>
      <c r="F483" s="23">
        <f>'Revenue per source'!E74</f>
        <v>0</v>
      </c>
      <c r="G483" s="23">
        <f>'Revenue per source'!F74</f>
        <v>-97021.84</v>
      </c>
      <c r="H483" s="23">
        <f>'Revenue per source'!G74</f>
        <v>-122169.16</v>
      </c>
      <c r="I483" s="23">
        <f>'Revenue per source'!H74</f>
        <v>44.26</v>
      </c>
      <c r="J483" s="23">
        <f>'Revenue per source'!I74</f>
        <v>0</v>
      </c>
      <c r="K483" s="23">
        <f>'Revenue per source'!J74</f>
        <v>-219191</v>
      </c>
      <c r="L483" s="23">
        <f>'Revenue per source'!K74</f>
        <v>-229931.359</v>
      </c>
      <c r="M483" s="23">
        <f>'Revenue per source'!L74</f>
        <v>-240968.064232</v>
      </c>
      <c r="N483" s="23">
        <f>'Revenue per source'!M74</f>
        <v>-252534.531315136</v>
      </c>
    </row>
    <row r="484" spans="1:14" s="28" customFormat="1" x14ac:dyDescent="0.25">
      <c r="A484" s="25"/>
      <c r="B484" s="25"/>
      <c r="C484" s="26"/>
      <c r="D484" s="23"/>
      <c r="E484" s="23"/>
      <c r="F484" s="23"/>
      <c r="G484" s="23"/>
      <c r="H484" s="23"/>
      <c r="I484" s="23"/>
      <c r="J484" s="27"/>
      <c r="K484" s="23"/>
      <c r="L484" s="29"/>
      <c r="M484" s="103"/>
      <c r="N484" s="105"/>
    </row>
    <row r="485" spans="1:14" s="24" customFormat="1" x14ac:dyDescent="0.25">
      <c r="A485" s="20"/>
      <c r="B485" s="20"/>
      <c r="C485" s="21" t="s">
        <v>64</v>
      </c>
      <c r="D485" s="29">
        <f>SUM(D483:D484)</f>
        <v>-219191</v>
      </c>
      <c r="E485" s="29">
        <v>-17032.490000000002</v>
      </c>
      <c r="F485" s="29">
        <v>0</v>
      </c>
      <c r="G485" s="29">
        <v>-97021.84</v>
      </c>
      <c r="H485" s="29">
        <v>-122169.16</v>
      </c>
      <c r="I485" s="29">
        <v>44.26</v>
      </c>
      <c r="J485" s="27">
        <f>+K485-D485</f>
        <v>0</v>
      </c>
      <c r="K485" s="29">
        <f>SUM(K483:K484)</f>
        <v>-219191</v>
      </c>
      <c r="L485" s="29">
        <f>SUM(L483:L484)</f>
        <v>-229931.359</v>
      </c>
      <c r="M485" s="103">
        <f>SUM(M483:M484)</f>
        <v>-240968.064232</v>
      </c>
      <c r="N485" s="103">
        <f>SUM(N483:N484)</f>
        <v>-252534.531315136</v>
      </c>
    </row>
    <row r="486" spans="1:14" s="28" customFormat="1" x14ac:dyDescent="0.25">
      <c r="A486" s="25"/>
      <c r="B486" s="25"/>
      <c r="C486" s="26"/>
      <c r="D486" s="23"/>
      <c r="E486" s="23"/>
      <c r="F486" s="23"/>
      <c r="G486" s="23"/>
      <c r="H486" s="23"/>
      <c r="I486" s="23"/>
      <c r="J486" s="27"/>
      <c r="K486" s="23"/>
      <c r="L486" s="29"/>
      <c r="M486" s="103"/>
      <c r="N486" s="105"/>
    </row>
    <row r="487" spans="1:14" s="24" customFormat="1" x14ac:dyDescent="0.25">
      <c r="A487" s="20"/>
      <c r="B487" s="20"/>
      <c r="C487" s="21" t="s">
        <v>94</v>
      </c>
      <c r="D487" s="29">
        <f>+D479+D485</f>
        <v>-2507528</v>
      </c>
      <c r="E487" s="29">
        <v>-200465.89</v>
      </c>
      <c r="F487" s="29">
        <v>0</v>
      </c>
      <c r="G487" s="29">
        <v>-1197227.54</v>
      </c>
      <c r="H487" s="29">
        <v>-1310300.46</v>
      </c>
      <c r="I487" s="29">
        <v>47.74</v>
      </c>
      <c r="J487" s="27">
        <f>+K487-D487</f>
        <v>0</v>
      </c>
      <c r="K487" s="29">
        <f>+K479+K485</f>
        <v>-2507528</v>
      </c>
      <c r="L487" s="29">
        <f>+L479+L485</f>
        <v>-2621243.5240000002</v>
      </c>
      <c r="M487" s="103">
        <f>+M479+M485</f>
        <v>-2742280.5888220002</v>
      </c>
      <c r="N487" s="103">
        <f>+N479+N485</f>
        <v>-2868907.432036276</v>
      </c>
    </row>
    <row r="488" spans="1:14" s="24" customFormat="1" x14ac:dyDescent="0.25">
      <c r="A488" s="20"/>
      <c r="B488" s="20"/>
      <c r="C488" s="21"/>
      <c r="D488" s="29"/>
      <c r="E488" s="29"/>
      <c r="F488" s="29"/>
      <c r="G488" s="29"/>
      <c r="H488" s="29"/>
      <c r="I488" s="29"/>
      <c r="J488" s="27"/>
      <c r="K488" s="23"/>
      <c r="L488" s="29"/>
      <c r="M488" s="103"/>
      <c r="N488" s="84"/>
    </row>
    <row r="489" spans="1:14" s="24" customFormat="1" x14ac:dyDescent="0.25">
      <c r="A489" s="20"/>
      <c r="B489" s="20"/>
      <c r="C489" s="21" t="s">
        <v>95</v>
      </c>
      <c r="D489" s="29">
        <f>D487</f>
        <v>-2507528</v>
      </c>
      <c r="E489" s="29">
        <v>-200465.89</v>
      </c>
      <c r="F489" s="29">
        <v>0</v>
      </c>
      <c r="G489" s="29">
        <v>-1197227.54</v>
      </c>
      <c r="H489" s="29">
        <v>-1310300.46</v>
      </c>
      <c r="I489" s="29">
        <v>47.74</v>
      </c>
      <c r="J489" s="27">
        <f>+K489-D489</f>
        <v>0</v>
      </c>
      <c r="K489" s="29">
        <f>K487</f>
        <v>-2507528</v>
      </c>
      <c r="L489" s="29">
        <f>L487</f>
        <v>-2621243.5240000002</v>
      </c>
      <c r="M489" s="103">
        <f>M487</f>
        <v>-2742280.5888220002</v>
      </c>
      <c r="N489" s="103">
        <f>N487</f>
        <v>-2868907.432036276</v>
      </c>
    </row>
    <row r="490" spans="1:14" s="24" customFormat="1" x14ac:dyDescent="0.25">
      <c r="A490" s="20"/>
      <c r="B490" s="20"/>
      <c r="C490" s="21"/>
      <c r="D490" s="29"/>
      <c r="E490" s="29"/>
      <c r="F490" s="29"/>
      <c r="G490" s="29"/>
      <c r="H490" s="29"/>
      <c r="I490" s="29"/>
      <c r="J490" s="27"/>
      <c r="K490" s="23"/>
      <c r="L490" s="21"/>
      <c r="M490" s="106"/>
      <c r="N490" s="84"/>
    </row>
    <row r="491" spans="1:14" s="24" customFormat="1" x14ac:dyDescent="0.25">
      <c r="A491" s="20"/>
      <c r="B491" s="20"/>
      <c r="C491" s="21" t="s">
        <v>96</v>
      </c>
      <c r="D491" s="29"/>
      <c r="E491" s="29"/>
      <c r="F491" s="29"/>
      <c r="G491" s="29"/>
      <c r="H491" s="29"/>
      <c r="I491" s="29"/>
      <c r="J491" s="27">
        <f>+K491-D491</f>
        <v>0</v>
      </c>
      <c r="K491" s="23"/>
      <c r="L491" s="29"/>
      <c r="M491" s="103"/>
      <c r="N491" s="84"/>
    </row>
    <row r="492" spans="1:14" s="24" customFormat="1" x14ac:dyDescent="0.25">
      <c r="A492" s="20"/>
      <c r="B492" s="20"/>
      <c r="C492" s="21" t="s">
        <v>97</v>
      </c>
      <c r="D492" s="29"/>
      <c r="E492" s="29"/>
      <c r="F492" s="29"/>
      <c r="G492" s="29"/>
      <c r="H492" s="29"/>
      <c r="I492" s="29"/>
      <c r="J492" s="27">
        <f>+K492-D492</f>
        <v>0</v>
      </c>
      <c r="K492" s="23"/>
      <c r="L492" s="29"/>
      <c r="M492" s="103"/>
      <c r="N492" s="84"/>
    </row>
    <row r="493" spans="1:14" s="24" customFormat="1" x14ac:dyDescent="0.25">
      <c r="A493" s="20"/>
      <c r="B493" s="20"/>
      <c r="C493" s="21" t="s">
        <v>148</v>
      </c>
      <c r="D493" s="29"/>
      <c r="E493" s="29"/>
      <c r="F493" s="29"/>
      <c r="G493" s="29"/>
      <c r="H493" s="29"/>
      <c r="I493" s="29"/>
      <c r="J493" s="27">
        <f>+K493-D493</f>
        <v>0</v>
      </c>
      <c r="K493" s="23"/>
      <c r="L493" s="29"/>
      <c r="M493" s="103"/>
      <c r="N493" s="84"/>
    </row>
    <row r="494" spans="1:14" s="24" customFormat="1" x14ac:dyDescent="0.25">
      <c r="A494" s="20"/>
      <c r="B494" s="20"/>
      <c r="C494" s="21" t="s">
        <v>149</v>
      </c>
      <c r="D494" s="29"/>
      <c r="E494" s="29"/>
      <c r="F494" s="29"/>
      <c r="G494" s="29"/>
      <c r="H494" s="29"/>
      <c r="I494" s="29"/>
      <c r="J494" s="27">
        <f>+K494-D494</f>
        <v>0</v>
      </c>
      <c r="K494" s="23"/>
      <c r="L494" s="29"/>
      <c r="M494" s="103"/>
      <c r="N494" s="84"/>
    </row>
    <row r="495" spans="1:14" s="28" customFormat="1" ht="14.25" x14ac:dyDescent="0.2">
      <c r="A495" s="25"/>
      <c r="B495" s="25"/>
      <c r="C495" s="26"/>
      <c r="D495" s="23"/>
      <c r="E495" s="23"/>
      <c r="F495" s="23"/>
      <c r="G495" s="23"/>
      <c r="H495" s="23"/>
      <c r="I495" s="23"/>
      <c r="J495" s="27"/>
      <c r="K495" s="23"/>
      <c r="L495" s="23"/>
      <c r="M495" s="104"/>
      <c r="N495" s="105"/>
    </row>
    <row r="496" spans="1:14" s="28" customFormat="1" ht="14.25" x14ac:dyDescent="0.2">
      <c r="A496" s="25" t="s">
        <v>1130</v>
      </c>
      <c r="B496" s="25"/>
      <c r="C496" s="26" t="s">
        <v>150</v>
      </c>
      <c r="D496" s="23">
        <f t="shared" ref="D496:D504" si="98">VLOOKUP(A496,fin,3,FALSE)</f>
        <v>3160845</v>
      </c>
      <c r="E496" s="23">
        <v>-290187</v>
      </c>
      <c r="F496" s="23">
        <v>0</v>
      </c>
      <c r="G496" s="23">
        <v>-524054</v>
      </c>
      <c r="H496" s="23">
        <v>-642946</v>
      </c>
      <c r="I496" s="23">
        <v>44.9</v>
      </c>
      <c r="J496" s="27">
        <f t="shared" ref="J496:J504" si="99">+K496-D496</f>
        <v>0</v>
      </c>
      <c r="K496" s="23">
        <f t="shared" ref="K496:K504" si="100">VLOOKUP(A496,fin,4,FALSE)</f>
        <v>3160845</v>
      </c>
      <c r="L496" s="23">
        <f t="shared" ref="L496:L504" si="101">K496*6.25/100+K496</f>
        <v>3358397.8125</v>
      </c>
      <c r="M496" s="179">
        <f t="shared" ref="M496:N496" si="102">L496*7/100+L496</f>
        <v>3593485.6593749998</v>
      </c>
      <c r="N496" s="105">
        <f t="shared" si="102"/>
        <v>3845029.6555312499</v>
      </c>
    </row>
    <row r="497" spans="1:14" s="28" customFormat="1" ht="14.25" x14ac:dyDescent="0.2">
      <c r="A497" s="25" t="s">
        <v>1131</v>
      </c>
      <c r="B497" s="25"/>
      <c r="C497" s="26" t="s">
        <v>151</v>
      </c>
      <c r="D497" s="23">
        <f t="shared" si="98"/>
        <v>146335</v>
      </c>
      <c r="E497" s="23">
        <v>-290187</v>
      </c>
      <c r="F497" s="23">
        <v>0</v>
      </c>
      <c r="G497" s="23">
        <v>-524054</v>
      </c>
      <c r="H497" s="23">
        <v>-642946</v>
      </c>
      <c r="I497" s="23">
        <v>44.9</v>
      </c>
      <c r="J497" s="27">
        <f t="shared" si="99"/>
        <v>-27795.740000000049</v>
      </c>
      <c r="K497" s="23">
        <f t="shared" si="100"/>
        <v>118539.25999999995</v>
      </c>
      <c r="L497" s="23">
        <f t="shared" si="101"/>
        <v>125947.96374999995</v>
      </c>
      <c r="M497" s="179">
        <f t="shared" ref="M497:N497" si="103">L497*7/100+L497</f>
        <v>134764.32121249996</v>
      </c>
      <c r="N497" s="105">
        <f t="shared" si="103"/>
        <v>144197.82369737496</v>
      </c>
    </row>
    <row r="498" spans="1:14" s="28" customFormat="1" ht="14.25" x14ac:dyDescent="0.2">
      <c r="A498" s="25" t="s">
        <v>1132</v>
      </c>
      <c r="B498" s="25"/>
      <c r="C498" s="26" t="s">
        <v>152</v>
      </c>
      <c r="D498" s="23">
        <f t="shared" si="98"/>
        <v>28200</v>
      </c>
      <c r="E498" s="23">
        <v>-290187</v>
      </c>
      <c r="F498" s="23">
        <v>0</v>
      </c>
      <c r="G498" s="23">
        <v>-524054</v>
      </c>
      <c r="H498" s="23">
        <v>-642946</v>
      </c>
      <c r="I498" s="23">
        <v>44.9</v>
      </c>
      <c r="J498" s="27">
        <f t="shared" si="99"/>
        <v>0</v>
      </c>
      <c r="K498" s="23">
        <f t="shared" si="100"/>
        <v>28200</v>
      </c>
      <c r="L498" s="23">
        <f t="shared" si="101"/>
        <v>29962.5</v>
      </c>
      <c r="M498" s="179">
        <f t="shared" ref="M498:N498" si="104">L498*7/100+L498</f>
        <v>32059.875</v>
      </c>
      <c r="N498" s="105">
        <f t="shared" si="104"/>
        <v>34304.066250000003</v>
      </c>
    </row>
    <row r="499" spans="1:14" s="28" customFormat="1" ht="14.25" x14ac:dyDescent="0.2">
      <c r="A499" s="25" t="s">
        <v>1133</v>
      </c>
      <c r="B499" s="25"/>
      <c r="C499" s="26" t="s">
        <v>155</v>
      </c>
      <c r="D499" s="23">
        <f t="shared" si="98"/>
        <v>103918</v>
      </c>
      <c r="E499" s="23">
        <v>-290187</v>
      </c>
      <c r="F499" s="23">
        <v>0</v>
      </c>
      <c r="G499" s="23">
        <v>-524054</v>
      </c>
      <c r="H499" s="23">
        <v>-642946</v>
      </c>
      <c r="I499" s="23">
        <v>44.9</v>
      </c>
      <c r="J499" s="27">
        <f t="shared" si="99"/>
        <v>0</v>
      </c>
      <c r="K499" s="23">
        <f t="shared" si="100"/>
        <v>103918</v>
      </c>
      <c r="L499" s="23">
        <f t="shared" si="101"/>
        <v>110412.875</v>
      </c>
      <c r="M499" s="179">
        <f t="shared" ref="M499:N499" si="105">L499*7/100+L499</f>
        <v>118141.77625</v>
      </c>
      <c r="N499" s="105">
        <f t="shared" si="105"/>
        <v>126411.7005875</v>
      </c>
    </row>
    <row r="500" spans="1:14" s="28" customFormat="1" ht="14.25" x14ac:dyDescent="0.2">
      <c r="A500" s="25" t="s">
        <v>1134</v>
      </c>
      <c r="B500" s="25"/>
      <c r="C500" s="26" t="s">
        <v>156</v>
      </c>
      <c r="D500" s="23">
        <f t="shared" si="98"/>
        <v>199536</v>
      </c>
      <c r="E500" s="23">
        <v>-290187</v>
      </c>
      <c r="F500" s="23">
        <v>0</v>
      </c>
      <c r="G500" s="23">
        <v>-524054</v>
      </c>
      <c r="H500" s="23">
        <v>-642946</v>
      </c>
      <c r="I500" s="23">
        <v>44.9</v>
      </c>
      <c r="J500" s="27">
        <f t="shared" si="99"/>
        <v>0</v>
      </c>
      <c r="K500" s="23">
        <f t="shared" si="100"/>
        <v>199536</v>
      </c>
      <c r="L500" s="23">
        <f t="shared" si="101"/>
        <v>212007</v>
      </c>
      <c r="M500" s="179">
        <f t="shared" ref="M500:N500" si="106">L500*7/100+L500</f>
        <v>226847.49</v>
      </c>
      <c r="N500" s="105">
        <f t="shared" si="106"/>
        <v>242726.8143</v>
      </c>
    </row>
    <row r="501" spans="1:14" s="28" customFormat="1" ht="14.25" x14ac:dyDescent="0.2">
      <c r="A501" s="25" t="s">
        <v>1135</v>
      </c>
      <c r="B501" s="25"/>
      <c r="C501" s="26" t="s">
        <v>157</v>
      </c>
      <c r="D501" s="23">
        <f t="shared" si="98"/>
        <v>249992</v>
      </c>
      <c r="E501" s="23">
        <v>-290187</v>
      </c>
      <c r="F501" s="23">
        <v>0</v>
      </c>
      <c r="G501" s="23">
        <v>-524054</v>
      </c>
      <c r="H501" s="23">
        <v>-642946</v>
      </c>
      <c r="I501" s="23">
        <v>44.9</v>
      </c>
      <c r="J501" s="27">
        <f t="shared" si="99"/>
        <v>0</v>
      </c>
      <c r="K501" s="23">
        <f t="shared" si="100"/>
        <v>249992</v>
      </c>
      <c r="L501" s="23">
        <f t="shared" si="101"/>
        <v>265616.5</v>
      </c>
      <c r="M501" s="179">
        <f t="shared" ref="M501:N501" si="107">L501*7/100+L501</f>
        <v>284209.65500000003</v>
      </c>
      <c r="N501" s="105">
        <f t="shared" si="107"/>
        <v>304104.33085000003</v>
      </c>
    </row>
    <row r="502" spans="1:14" s="28" customFormat="1" ht="14.25" x14ac:dyDescent="0.2">
      <c r="A502" s="25" t="s">
        <v>1136</v>
      </c>
      <c r="B502" s="25"/>
      <c r="C502" s="26" t="s">
        <v>159</v>
      </c>
      <c r="D502" s="23">
        <f t="shared" si="98"/>
        <v>263404</v>
      </c>
      <c r="E502" s="23">
        <v>-290187</v>
      </c>
      <c r="F502" s="23">
        <v>0</v>
      </c>
      <c r="G502" s="23">
        <v>-524054</v>
      </c>
      <c r="H502" s="23">
        <v>-642946</v>
      </c>
      <c r="I502" s="23">
        <v>44.9</v>
      </c>
      <c r="J502" s="27">
        <f t="shared" si="99"/>
        <v>0</v>
      </c>
      <c r="K502" s="23">
        <f t="shared" si="100"/>
        <v>263404</v>
      </c>
      <c r="L502" s="23">
        <f t="shared" si="101"/>
        <v>279866.75</v>
      </c>
      <c r="M502" s="179">
        <f t="shared" ref="M502:N502" si="108">L502*7/100+L502</f>
        <v>299457.42249999999</v>
      </c>
      <c r="N502" s="105">
        <f t="shared" si="108"/>
        <v>320419.44207499997</v>
      </c>
    </row>
    <row r="503" spans="1:14" s="28" customFormat="1" ht="14.25" x14ac:dyDescent="0.2">
      <c r="A503" s="25" t="s">
        <v>1137</v>
      </c>
      <c r="B503" s="25"/>
      <c r="C503" s="26" t="s">
        <v>161</v>
      </c>
      <c r="D503" s="23">
        <f t="shared" si="98"/>
        <v>56699</v>
      </c>
      <c r="E503" s="23">
        <v>-290187</v>
      </c>
      <c r="F503" s="23">
        <v>0</v>
      </c>
      <c r="G503" s="23">
        <v>-524054</v>
      </c>
      <c r="H503" s="23">
        <v>-642946</v>
      </c>
      <c r="I503" s="23">
        <v>44.9</v>
      </c>
      <c r="J503" s="27">
        <f t="shared" si="99"/>
        <v>0</v>
      </c>
      <c r="K503" s="23">
        <f t="shared" si="100"/>
        <v>56699</v>
      </c>
      <c r="L503" s="23">
        <f t="shared" si="101"/>
        <v>60242.6875</v>
      </c>
      <c r="M503" s="179">
        <f t="shared" ref="M503:N503" si="109">L503*7/100+L503</f>
        <v>64459.675625000003</v>
      </c>
      <c r="N503" s="105">
        <f t="shared" si="109"/>
        <v>68971.85291875001</v>
      </c>
    </row>
    <row r="504" spans="1:14" s="28" customFormat="1" ht="14.25" x14ac:dyDescent="0.2">
      <c r="A504" s="25" t="s">
        <v>1138</v>
      </c>
      <c r="B504" s="25"/>
      <c r="C504" s="26" t="s">
        <v>162</v>
      </c>
      <c r="D504" s="23">
        <f t="shared" si="98"/>
        <v>0</v>
      </c>
      <c r="E504" s="23">
        <v>-290187</v>
      </c>
      <c r="F504" s="23">
        <v>0</v>
      </c>
      <c r="G504" s="23">
        <v>-524054</v>
      </c>
      <c r="H504" s="23">
        <v>-642946</v>
      </c>
      <c r="I504" s="23">
        <v>44.9</v>
      </c>
      <c r="J504" s="27">
        <f t="shared" si="99"/>
        <v>24000</v>
      </c>
      <c r="K504" s="23">
        <f t="shared" si="100"/>
        <v>24000</v>
      </c>
      <c r="L504" s="23">
        <f t="shared" si="101"/>
        <v>25500</v>
      </c>
      <c r="M504" s="179">
        <f t="shared" ref="M504:N504" si="110">L504*7/100+L504</f>
        <v>27285</v>
      </c>
      <c r="N504" s="105">
        <f t="shared" si="110"/>
        <v>29194.95</v>
      </c>
    </row>
    <row r="505" spans="1:14" s="28" customFormat="1" ht="14.25" x14ac:dyDescent="0.2">
      <c r="A505" s="25"/>
      <c r="B505" s="25"/>
      <c r="C505" s="26"/>
      <c r="D505" s="23"/>
      <c r="E505" s="23"/>
      <c r="F505" s="23"/>
      <c r="G505" s="23"/>
      <c r="H505" s="23"/>
      <c r="I505" s="23"/>
      <c r="J505" s="27"/>
      <c r="K505" s="23"/>
      <c r="L505" s="23"/>
      <c r="M505" s="104"/>
      <c r="N505" s="105"/>
    </row>
    <row r="506" spans="1:14" s="24" customFormat="1" x14ac:dyDescent="0.25">
      <c r="A506" s="20"/>
      <c r="B506" s="20"/>
      <c r="C506" s="21" t="s">
        <v>165</v>
      </c>
      <c r="D506" s="29">
        <f>SUM(D496:D505)</f>
        <v>4208929</v>
      </c>
      <c r="E506" s="29">
        <v>409905.86</v>
      </c>
      <c r="F506" s="29">
        <v>0</v>
      </c>
      <c r="G506" s="29">
        <v>1964430.97</v>
      </c>
      <c r="H506" s="29">
        <v>2244498.0299999998</v>
      </c>
      <c r="I506" s="29">
        <v>46.67</v>
      </c>
      <c r="J506" s="27">
        <f>+K506-D506</f>
        <v>-3795.7400000002235</v>
      </c>
      <c r="K506" s="29">
        <f>SUM(K496:K505)</f>
        <v>4205133.26</v>
      </c>
      <c r="L506" s="29">
        <f>SUM(L496:L505)</f>
        <v>4467954.0887500001</v>
      </c>
      <c r="M506" s="103">
        <f>SUM(M496:M505)</f>
        <v>4780710.8749625003</v>
      </c>
      <c r="N506" s="103">
        <f>SUM(N496:N505)</f>
        <v>5115360.6362098753</v>
      </c>
    </row>
    <row r="507" spans="1:14" s="24" customFormat="1" x14ac:dyDescent="0.25">
      <c r="A507" s="20"/>
      <c r="B507" s="20"/>
      <c r="C507" s="21"/>
      <c r="D507" s="29"/>
      <c r="E507" s="29"/>
      <c r="F507" s="29"/>
      <c r="G507" s="29"/>
      <c r="H507" s="29"/>
      <c r="I507" s="29"/>
      <c r="J507" s="27"/>
      <c r="K507" s="23"/>
      <c r="L507" s="29"/>
      <c r="M507" s="103"/>
      <c r="N507" s="84"/>
    </row>
    <row r="508" spans="1:14" s="24" customFormat="1" x14ac:dyDescent="0.25">
      <c r="A508" s="20"/>
      <c r="B508" s="20"/>
      <c r="C508" s="21" t="s">
        <v>166</v>
      </c>
      <c r="D508" s="29"/>
      <c r="E508" s="29"/>
      <c r="F508" s="29"/>
      <c r="G508" s="29"/>
      <c r="H508" s="29"/>
      <c r="I508" s="29"/>
      <c r="J508" s="27">
        <f ca="1">+K508-D508</f>
        <v>276424</v>
      </c>
      <c r="K508" s="23">
        <f ca="1">D508+J508</f>
        <v>0</v>
      </c>
      <c r="L508" s="29"/>
      <c r="M508" s="103"/>
      <c r="N508" s="84"/>
    </row>
    <row r="509" spans="1:14" s="28" customFormat="1" ht="14.25" x14ac:dyDescent="0.2">
      <c r="A509" s="25"/>
      <c r="B509" s="25"/>
      <c r="C509" s="26"/>
      <c r="D509" s="23"/>
      <c r="E509" s="23"/>
      <c r="F509" s="23"/>
      <c r="G509" s="23"/>
      <c r="H509" s="23"/>
      <c r="I509" s="23"/>
      <c r="J509" s="27"/>
      <c r="K509" s="23"/>
      <c r="L509" s="23"/>
      <c r="M509" s="104"/>
      <c r="N509" s="105"/>
    </row>
    <row r="510" spans="1:14" s="28" customFormat="1" ht="14.25" x14ac:dyDescent="0.2">
      <c r="A510" s="25" t="s">
        <v>1139</v>
      </c>
      <c r="B510" s="25"/>
      <c r="C510" s="26" t="s">
        <v>167</v>
      </c>
      <c r="D510" s="23">
        <f>VLOOKUP(A510,fin,3,FALSE)</f>
        <v>1573</v>
      </c>
      <c r="E510" s="23">
        <v>-290187</v>
      </c>
      <c r="F510" s="23">
        <v>0</v>
      </c>
      <c r="G510" s="23">
        <v>-524054</v>
      </c>
      <c r="H510" s="23">
        <v>-642946</v>
      </c>
      <c r="I510" s="23">
        <v>44.9</v>
      </c>
      <c r="J510" s="27">
        <f>+K510-D510</f>
        <v>0</v>
      </c>
      <c r="K510" s="23">
        <f>VLOOKUP(A510,fin,4,FALSE)</f>
        <v>1573</v>
      </c>
      <c r="L510" s="23">
        <f t="shared" ref="L510:L513" si="111">K510*6.25/100+K510</f>
        <v>1671.3125</v>
      </c>
      <c r="M510" s="179">
        <f t="shared" ref="M510:N510" si="112">L510*7/100+L510</f>
        <v>1788.3043749999999</v>
      </c>
      <c r="N510" s="105">
        <f t="shared" si="112"/>
        <v>1913.48568125</v>
      </c>
    </row>
    <row r="511" spans="1:14" s="28" customFormat="1" ht="14.25" x14ac:dyDescent="0.2">
      <c r="A511" s="25" t="s">
        <v>1140</v>
      </c>
      <c r="B511" s="25"/>
      <c r="C511" s="26" t="s">
        <v>168</v>
      </c>
      <c r="D511" s="23">
        <f>VLOOKUP(A511,fin,3,FALSE)</f>
        <v>268764</v>
      </c>
      <c r="E511" s="23">
        <v>-290187</v>
      </c>
      <c r="F511" s="23">
        <v>0</v>
      </c>
      <c r="G511" s="23">
        <v>-524054</v>
      </c>
      <c r="H511" s="23">
        <v>-642946</v>
      </c>
      <c r="I511" s="23">
        <v>44.9</v>
      </c>
      <c r="J511" s="27">
        <f>+K511-D511</f>
        <v>0</v>
      </c>
      <c r="K511" s="23">
        <f>VLOOKUP(A511,fin,4,FALSE)</f>
        <v>268764</v>
      </c>
      <c r="L511" s="23">
        <f t="shared" si="111"/>
        <v>285561.75</v>
      </c>
      <c r="M511" s="179">
        <f t="shared" ref="M511:N511" si="113">L511*7/100+L511</f>
        <v>305551.07250000001</v>
      </c>
      <c r="N511" s="105">
        <f t="shared" si="113"/>
        <v>326939.64757500001</v>
      </c>
    </row>
    <row r="512" spans="1:14" s="28" customFormat="1" ht="14.25" x14ac:dyDescent="0.2">
      <c r="A512" s="25" t="s">
        <v>1141</v>
      </c>
      <c r="B512" s="25"/>
      <c r="C512" s="26" t="s">
        <v>169</v>
      </c>
      <c r="D512" s="23">
        <f>VLOOKUP(A512,fin,3,FALSE)</f>
        <v>695386</v>
      </c>
      <c r="E512" s="23">
        <v>-290187</v>
      </c>
      <c r="F512" s="23">
        <v>0</v>
      </c>
      <c r="G512" s="23">
        <v>-524054</v>
      </c>
      <c r="H512" s="23">
        <v>-642946</v>
      </c>
      <c r="I512" s="23">
        <v>44.9</v>
      </c>
      <c r="J512" s="27">
        <f>+K512-D512</f>
        <v>0</v>
      </c>
      <c r="K512" s="23">
        <f>VLOOKUP(A512,fin,4,FALSE)</f>
        <v>695386</v>
      </c>
      <c r="L512" s="23">
        <f t="shared" si="111"/>
        <v>738847.625</v>
      </c>
      <c r="M512" s="179">
        <f t="shared" ref="M512:N512" si="114">L512*7/100+L512</f>
        <v>790566.95874999999</v>
      </c>
      <c r="N512" s="105">
        <f t="shared" si="114"/>
        <v>845906.64586249995</v>
      </c>
    </row>
    <row r="513" spans="1:14" s="28" customFormat="1" ht="14.25" x14ac:dyDescent="0.2">
      <c r="A513" s="25" t="s">
        <v>1142</v>
      </c>
      <c r="B513" s="25"/>
      <c r="C513" s="26" t="s">
        <v>170</v>
      </c>
      <c r="D513" s="23">
        <f>VLOOKUP(A513,fin,3,FALSE)</f>
        <v>24990</v>
      </c>
      <c r="E513" s="23">
        <v>-290187</v>
      </c>
      <c r="F513" s="23">
        <v>0</v>
      </c>
      <c r="G513" s="23">
        <v>-524054</v>
      </c>
      <c r="H513" s="23">
        <v>-642946</v>
      </c>
      <c r="I513" s="23">
        <v>44.9</v>
      </c>
      <c r="J513" s="27">
        <f>+K513-D513</f>
        <v>0</v>
      </c>
      <c r="K513" s="23">
        <f>VLOOKUP(A513,fin,4,FALSE)</f>
        <v>24990</v>
      </c>
      <c r="L513" s="23">
        <f t="shared" si="111"/>
        <v>26551.875</v>
      </c>
      <c r="M513" s="179">
        <f t="shared" ref="M513:N513" si="115">L513*7/100+L513</f>
        <v>28410.506249999999</v>
      </c>
      <c r="N513" s="105">
        <f t="shared" si="115"/>
        <v>30399.241687499998</v>
      </c>
    </row>
    <row r="514" spans="1:14" s="28" customFormat="1" ht="14.25" x14ac:dyDescent="0.2">
      <c r="A514" s="25"/>
      <c r="B514" s="25"/>
      <c r="C514" s="26"/>
      <c r="D514" s="23"/>
      <c r="E514" s="23"/>
      <c r="F514" s="23"/>
      <c r="G514" s="23"/>
      <c r="H514" s="23"/>
      <c r="I514" s="23"/>
      <c r="J514" s="27"/>
      <c r="K514" s="23"/>
      <c r="L514" s="23"/>
      <c r="M514" s="104"/>
      <c r="N514" s="105"/>
    </row>
    <row r="515" spans="1:14" s="24" customFormat="1" x14ac:dyDescent="0.25">
      <c r="A515" s="20"/>
      <c r="B515" s="20"/>
      <c r="C515" s="21" t="s">
        <v>171</v>
      </c>
      <c r="D515" s="29">
        <f>SUM(D510:D514)</f>
        <v>990713</v>
      </c>
      <c r="E515" s="29">
        <v>78220.03</v>
      </c>
      <c r="F515" s="29">
        <v>0</v>
      </c>
      <c r="G515" s="29">
        <v>468306.97</v>
      </c>
      <c r="H515" s="29">
        <v>522406.03</v>
      </c>
      <c r="I515" s="29">
        <v>47.26</v>
      </c>
      <c r="J515" s="27">
        <f>+K515-D515</f>
        <v>0</v>
      </c>
      <c r="K515" s="29">
        <f>SUM(K510:K514)</f>
        <v>990713</v>
      </c>
      <c r="L515" s="29">
        <f>SUM(L510:L514)</f>
        <v>1052632.5625</v>
      </c>
      <c r="M515" s="103">
        <f>SUM(M510:M514)</f>
        <v>1126316.8418750002</v>
      </c>
      <c r="N515" s="103">
        <f>SUM(N510:N514)</f>
        <v>1205159.0208062499</v>
      </c>
    </row>
    <row r="516" spans="1:14" s="24" customFormat="1" x14ac:dyDescent="0.25">
      <c r="A516" s="20"/>
      <c r="B516" s="20"/>
      <c r="C516" s="21"/>
      <c r="D516" s="29"/>
      <c r="E516" s="29"/>
      <c r="F516" s="29"/>
      <c r="G516" s="29"/>
      <c r="H516" s="29"/>
      <c r="I516" s="29"/>
      <c r="J516" s="27"/>
      <c r="K516" s="23"/>
      <c r="L516" s="29"/>
      <c r="M516" s="103"/>
      <c r="N516" s="84"/>
    </row>
    <row r="517" spans="1:14" s="24" customFormat="1" x14ac:dyDescent="0.25">
      <c r="A517" s="20"/>
      <c r="B517" s="20"/>
      <c r="C517" s="21" t="s">
        <v>172</v>
      </c>
      <c r="D517" s="29"/>
      <c r="E517" s="29"/>
      <c r="F517" s="29"/>
      <c r="G517" s="29"/>
      <c r="H517" s="29"/>
      <c r="I517" s="29"/>
      <c r="J517" s="27">
        <f ca="1">+K517-D517</f>
        <v>276424</v>
      </c>
      <c r="K517" s="23">
        <f ca="1">D517+J517</f>
        <v>0</v>
      </c>
      <c r="L517" s="29"/>
      <c r="M517" s="103"/>
      <c r="N517" s="84"/>
    </row>
    <row r="518" spans="1:14" s="28" customFormat="1" ht="14.25" x14ac:dyDescent="0.2">
      <c r="A518" s="25"/>
      <c r="B518" s="25"/>
      <c r="C518" s="26"/>
      <c r="D518" s="23"/>
      <c r="E518" s="23"/>
      <c r="F518" s="23"/>
      <c r="G518" s="23"/>
      <c r="H518" s="23"/>
      <c r="I518" s="23"/>
      <c r="J518" s="27"/>
      <c r="K518" s="23"/>
      <c r="L518" s="23"/>
      <c r="M518" s="104"/>
      <c r="N518" s="105"/>
    </row>
    <row r="519" spans="1:14" s="28" customFormat="1" ht="14.25" x14ac:dyDescent="0.2">
      <c r="A519" s="25" t="s">
        <v>1143</v>
      </c>
      <c r="B519" s="25"/>
      <c r="C519" s="26" t="s">
        <v>173</v>
      </c>
      <c r="D519" s="23">
        <f>VLOOKUP(A519,fin,3,FALSE)</f>
        <v>56609</v>
      </c>
      <c r="E519" s="23">
        <v>-290187</v>
      </c>
      <c r="F519" s="23">
        <v>0</v>
      </c>
      <c r="G519" s="23">
        <v>-524054</v>
      </c>
      <c r="H519" s="23">
        <v>-642946</v>
      </c>
      <c r="I519" s="23">
        <v>44.9</v>
      </c>
      <c r="J519" s="27">
        <f>+K519-D519</f>
        <v>0</v>
      </c>
      <c r="K519" s="23">
        <f>VLOOKUP(A519,fin,4,FALSE)</f>
        <v>56609</v>
      </c>
      <c r="L519" s="23">
        <f t="shared" ref="L519:L521" si="116">K519*6.25/100+K519</f>
        <v>60147.0625</v>
      </c>
      <c r="M519" s="179">
        <f t="shared" ref="M519:N519" si="117">L519*7/100+L519</f>
        <v>64357.356874999998</v>
      </c>
      <c r="N519" s="105">
        <f t="shared" si="117"/>
        <v>68862.37185625</v>
      </c>
    </row>
    <row r="520" spans="1:14" s="28" customFormat="1" ht="14.25" x14ac:dyDescent="0.2">
      <c r="A520" s="25" t="s">
        <v>1144</v>
      </c>
      <c r="B520" s="25"/>
      <c r="C520" s="26" t="s">
        <v>174</v>
      </c>
      <c r="D520" s="23">
        <f>VLOOKUP(A520,fin,3,FALSE)</f>
        <v>73319</v>
      </c>
      <c r="E520" s="23">
        <v>-290187</v>
      </c>
      <c r="F520" s="23">
        <v>0</v>
      </c>
      <c r="G520" s="23">
        <v>-524054</v>
      </c>
      <c r="H520" s="23">
        <v>-642946</v>
      </c>
      <c r="I520" s="23">
        <v>44.9</v>
      </c>
      <c r="J520" s="27">
        <f>+K520-D520</f>
        <v>0</v>
      </c>
      <c r="K520" s="23">
        <f>VLOOKUP(A520,fin,4,FALSE)</f>
        <v>73319</v>
      </c>
      <c r="L520" s="23">
        <f t="shared" si="116"/>
        <v>77901.4375</v>
      </c>
      <c r="M520" s="179">
        <f t="shared" ref="M520:N520" si="118">L520*7/100+L520</f>
        <v>83354.538125000006</v>
      </c>
      <c r="N520" s="105">
        <f t="shared" si="118"/>
        <v>89189.355793750001</v>
      </c>
    </row>
    <row r="521" spans="1:14" s="28" customFormat="1" ht="14.25" x14ac:dyDescent="0.2">
      <c r="A521" s="25" t="s">
        <v>1145</v>
      </c>
      <c r="B521" s="25"/>
      <c r="C521" s="26" t="s">
        <v>175</v>
      </c>
      <c r="D521" s="23">
        <f>VLOOKUP(A521,fin,3,FALSE)</f>
        <v>39991</v>
      </c>
      <c r="E521" s="23">
        <v>-290187</v>
      </c>
      <c r="F521" s="23">
        <v>0</v>
      </c>
      <c r="G521" s="23">
        <v>-524054</v>
      </c>
      <c r="H521" s="23">
        <v>-642946</v>
      </c>
      <c r="I521" s="23">
        <v>44.9</v>
      </c>
      <c r="J521" s="27">
        <f>+K521-D521</f>
        <v>0</v>
      </c>
      <c r="K521" s="23">
        <f>VLOOKUP(A521,fin,4,FALSE)</f>
        <v>39991</v>
      </c>
      <c r="L521" s="23">
        <f t="shared" si="116"/>
        <v>42490.4375</v>
      </c>
      <c r="M521" s="179">
        <f t="shared" ref="M521:N521" si="119">L521*7/100+L521</f>
        <v>45464.768125000002</v>
      </c>
      <c r="N521" s="105">
        <f t="shared" si="119"/>
        <v>48647.301893750002</v>
      </c>
    </row>
    <row r="522" spans="1:14" s="28" customFormat="1" ht="14.25" x14ac:dyDescent="0.2">
      <c r="A522" s="25"/>
      <c r="B522" s="25"/>
      <c r="C522" s="26"/>
      <c r="D522" s="23"/>
      <c r="E522" s="23"/>
      <c r="F522" s="23"/>
      <c r="G522" s="23"/>
      <c r="H522" s="23"/>
      <c r="I522" s="23"/>
      <c r="J522" s="27"/>
      <c r="K522" s="23"/>
      <c r="L522" s="23"/>
      <c r="M522" s="104"/>
      <c r="N522" s="105"/>
    </row>
    <row r="523" spans="1:14" s="24" customFormat="1" x14ac:dyDescent="0.25">
      <c r="A523" s="20"/>
      <c r="B523" s="20"/>
      <c r="C523" s="21" t="s">
        <v>176</v>
      </c>
      <c r="D523" s="29">
        <f>SUM(D519:D522)</f>
        <v>169919</v>
      </c>
      <c r="E523" s="29">
        <v>0</v>
      </c>
      <c r="F523" s="29">
        <v>0</v>
      </c>
      <c r="G523" s="29">
        <v>0</v>
      </c>
      <c r="H523" s="29">
        <v>169919</v>
      </c>
      <c r="I523" s="29">
        <v>0</v>
      </c>
      <c r="J523" s="27">
        <f>+K523-D523</f>
        <v>0</v>
      </c>
      <c r="K523" s="29">
        <f>SUM(K519:K522)</f>
        <v>169919</v>
      </c>
      <c r="L523" s="29">
        <f>SUM(L519:L522)</f>
        <v>180538.9375</v>
      </c>
      <c r="M523" s="103">
        <f>SUM(M519:M522)</f>
        <v>193176.66312500002</v>
      </c>
      <c r="N523" s="103">
        <f>SUM(N519:N522)</f>
        <v>206699.02954375002</v>
      </c>
    </row>
    <row r="524" spans="1:14" s="24" customFormat="1" x14ac:dyDescent="0.25">
      <c r="A524" s="20"/>
      <c r="B524" s="20"/>
      <c r="C524" s="21"/>
      <c r="D524" s="29"/>
      <c r="E524" s="29"/>
      <c r="F524" s="29"/>
      <c r="G524" s="29"/>
      <c r="H524" s="29"/>
      <c r="I524" s="29"/>
      <c r="J524" s="27"/>
      <c r="K524" s="23"/>
      <c r="L524" s="29"/>
      <c r="M524" s="103"/>
      <c r="N524" s="84"/>
    </row>
    <row r="525" spans="1:14" s="24" customFormat="1" x14ac:dyDescent="0.25">
      <c r="A525" s="20"/>
      <c r="B525" s="20"/>
      <c r="C525" s="21" t="s">
        <v>177</v>
      </c>
      <c r="D525" s="29">
        <f>+D506+D515+D523</f>
        <v>5369561</v>
      </c>
      <c r="E525" s="29">
        <v>488125.89</v>
      </c>
      <c r="F525" s="29">
        <v>0</v>
      </c>
      <c r="G525" s="29">
        <v>2432737.94</v>
      </c>
      <c r="H525" s="29">
        <v>2936823.06</v>
      </c>
      <c r="I525" s="29">
        <v>45.3</v>
      </c>
      <c r="J525" s="27">
        <f>+K525-D525</f>
        <v>-3795.7400000002235</v>
      </c>
      <c r="K525" s="29">
        <f>+K506+K515+K523</f>
        <v>5365765.26</v>
      </c>
      <c r="L525" s="29">
        <f>+L506+L515+L523</f>
        <v>5701125.5887500001</v>
      </c>
      <c r="M525" s="103">
        <f>+M506+M515+M523</f>
        <v>6100204.3799625002</v>
      </c>
      <c r="N525" s="103">
        <f>+N506+N515+N523</f>
        <v>6527218.6865598755</v>
      </c>
    </row>
    <row r="526" spans="1:14" s="24" customFormat="1" x14ac:dyDescent="0.25">
      <c r="A526" s="20"/>
      <c r="B526" s="20"/>
      <c r="C526" s="21"/>
      <c r="D526" s="29"/>
      <c r="E526" s="29"/>
      <c r="F526" s="29"/>
      <c r="G526" s="29"/>
      <c r="H526" s="29"/>
      <c r="I526" s="29"/>
      <c r="J526" s="27"/>
      <c r="K526" s="23"/>
      <c r="L526" s="29"/>
      <c r="M526" s="103"/>
      <c r="N526" s="84"/>
    </row>
    <row r="527" spans="1:14" s="24" customFormat="1" x14ac:dyDescent="0.25">
      <c r="A527" s="20"/>
      <c r="B527" s="20"/>
      <c r="C527" s="21" t="s">
        <v>178</v>
      </c>
      <c r="D527" s="29">
        <f>D525</f>
        <v>5369561</v>
      </c>
      <c r="E527" s="29">
        <v>488125.89</v>
      </c>
      <c r="F527" s="29">
        <v>0</v>
      </c>
      <c r="G527" s="29">
        <v>2432737.94</v>
      </c>
      <c r="H527" s="29">
        <v>2936823.06</v>
      </c>
      <c r="I527" s="29">
        <v>45.3</v>
      </c>
      <c r="J527" s="27">
        <f>+K527-D527</f>
        <v>-3795.7400000002235</v>
      </c>
      <c r="K527" s="29">
        <f>K525</f>
        <v>5365765.26</v>
      </c>
      <c r="L527" s="29">
        <f>L525</f>
        <v>5701125.5887500001</v>
      </c>
      <c r="M527" s="103">
        <f>M525</f>
        <v>6100204.3799625002</v>
      </c>
      <c r="N527" s="103">
        <f>N525</f>
        <v>6527218.6865598755</v>
      </c>
    </row>
    <row r="528" spans="1:14" s="24" customFormat="1" x14ac:dyDescent="0.25">
      <c r="A528" s="20"/>
      <c r="B528" s="20"/>
      <c r="C528" s="21"/>
      <c r="D528" s="29"/>
      <c r="E528" s="29"/>
      <c r="F528" s="29"/>
      <c r="G528" s="29"/>
      <c r="H528" s="29"/>
      <c r="I528" s="29"/>
      <c r="J528" s="27"/>
      <c r="K528" s="23"/>
      <c r="L528" s="29"/>
      <c r="M528" s="103"/>
      <c r="N528" s="84"/>
    </row>
    <row r="529" spans="1:14" s="24" customFormat="1" x14ac:dyDescent="0.25">
      <c r="A529" s="20"/>
      <c r="B529" s="20"/>
      <c r="C529" s="21" t="s">
        <v>241</v>
      </c>
      <c r="D529" s="29"/>
      <c r="E529" s="29"/>
      <c r="F529" s="29"/>
      <c r="G529" s="29"/>
      <c r="H529" s="29"/>
      <c r="I529" s="29"/>
      <c r="J529" s="27">
        <f>+K529-D529</f>
        <v>0</v>
      </c>
      <c r="K529" s="23"/>
      <c r="L529" s="29"/>
      <c r="M529" s="103"/>
      <c r="N529" s="84"/>
    </row>
    <row r="530" spans="1:14" s="28" customFormat="1" ht="14.25" x14ac:dyDescent="0.2">
      <c r="A530" s="25"/>
      <c r="B530" s="25"/>
      <c r="C530" s="26"/>
      <c r="D530" s="23"/>
      <c r="E530" s="23"/>
      <c r="F530" s="23"/>
      <c r="G530" s="23"/>
      <c r="H530" s="23"/>
      <c r="I530" s="23"/>
      <c r="J530" s="27"/>
      <c r="K530" s="23"/>
      <c r="L530" s="23"/>
      <c r="M530" s="104"/>
      <c r="N530" s="105"/>
    </row>
    <row r="531" spans="1:14" s="28" customFormat="1" ht="14.25" x14ac:dyDescent="0.2">
      <c r="A531" s="25" t="s">
        <v>1146</v>
      </c>
      <c r="B531" s="25"/>
      <c r="C531" s="26" t="s">
        <v>245</v>
      </c>
      <c r="D531" s="23">
        <f>VLOOKUP(A531,fin,3,FALSE)</f>
        <v>1167000</v>
      </c>
      <c r="E531" s="23">
        <v>-290187</v>
      </c>
      <c r="F531" s="23">
        <v>0</v>
      </c>
      <c r="G531" s="23">
        <v>-524054</v>
      </c>
      <c r="H531" s="23">
        <v>-642946</v>
      </c>
      <c r="I531" s="23">
        <v>44.9</v>
      </c>
      <c r="J531" s="27">
        <f>+K531-D531</f>
        <v>0</v>
      </c>
      <c r="K531" s="23">
        <f>VLOOKUP(A531,fin,4,FALSE)</f>
        <v>1167000</v>
      </c>
      <c r="L531" s="23">
        <v>1304000</v>
      </c>
      <c r="M531" s="104">
        <f>VLOOKUP(A531,fin,6,FALSE)</f>
        <v>0</v>
      </c>
      <c r="N531" s="105"/>
    </row>
    <row r="532" spans="1:14" s="28" customFormat="1" ht="14.25" x14ac:dyDescent="0.2">
      <c r="A532" s="25" t="s">
        <v>1147</v>
      </c>
      <c r="B532" s="25"/>
      <c r="C532" s="26" t="s">
        <v>255</v>
      </c>
      <c r="D532" s="23">
        <f>VLOOKUP(A532,fin,3,FALSE)</f>
        <v>41566</v>
      </c>
      <c r="E532" s="23">
        <v>-290187</v>
      </c>
      <c r="F532" s="23">
        <v>0</v>
      </c>
      <c r="G532" s="23">
        <v>-524054</v>
      </c>
      <c r="H532" s="23">
        <v>-642946</v>
      </c>
      <c r="I532" s="23">
        <v>44.9</v>
      </c>
      <c r="J532" s="27">
        <f>+K532-D532</f>
        <v>0</v>
      </c>
      <c r="K532" s="23">
        <f>VLOOKUP(A532,fin,4,FALSE)</f>
        <v>41566</v>
      </c>
      <c r="L532" s="23">
        <f t="shared" ref="L532:L535" si="120">K532*4.5/100+K532</f>
        <v>43436.47</v>
      </c>
      <c r="M532" s="104">
        <f t="shared" ref="M532:N532" si="121">L532*4.6/100+L532</f>
        <v>45434.547619999998</v>
      </c>
      <c r="N532" s="105">
        <f t="shared" si="121"/>
        <v>47524.536810519996</v>
      </c>
    </row>
    <row r="533" spans="1:14" s="28" customFormat="1" ht="14.25" x14ac:dyDescent="0.2">
      <c r="A533" s="25" t="s">
        <v>1148</v>
      </c>
      <c r="B533" s="25"/>
      <c r="C533" s="26" t="s">
        <v>255</v>
      </c>
      <c r="D533" s="23">
        <f>VLOOKUP(A533,fin,3,FALSE)</f>
        <v>41566</v>
      </c>
      <c r="E533" s="23">
        <v>-290187</v>
      </c>
      <c r="F533" s="23">
        <v>0</v>
      </c>
      <c r="G533" s="23">
        <v>-524054</v>
      </c>
      <c r="H533" s="23">
        <v>-642946</v>
      </c>
      <c r="I533" s="23">
        <v>44.9</v>
      </c>
      <c r="J533" s="27">
        <f>+K533-D533</f>
        <v>0</v>
      </c>
      <c r="K533" s="23">
        <f>VLOOKUP(A533,fin,4,FALSE)</f>
        <v>41566</v>
      </c>
      <c r="L533" s="23">
        <f t="shared" si="120"/>
        <v>43436.47</v>
      </c>
      <c r="M533" s="104">
        <f t="shared" ref="M533:N533" si="122">L533*4.6/100+L533</f>
        <v>45434.547619999998</v>
      </c>
      <c r="N533" s="105">
        <f t="shared" si="122"/>
        <v>47524.536810519996</v>
      </c>
    </row>
    <row r="534" spans="1:14" s="28" customFormat="1" ht="14.25" x14ac:dyDescent="0.2">
      <c r="A534" s="25" t="s">
        <v>1149</v>
      </c>
      <c r="B534" s="25"/>
      <c r="C534" s="26" t="s">
        <v>265</v>
      </c>
      <c r="D534" s="23">
        <f>VLOOKUP(A534,fin,3,FALSE)</f>
        <v>0</v>
      </c>
      <c r="E534" s="23">
        <v>-290187</v>
      </c>
      <c r="F534" s="23">
        <v>0</v>
      </c>
      <c r="G534" s="23">
        <v>-524054</v>
      </c>
      <c r="H534" s="23">
        <v>-642946</v>
      </c>
      <c r="I534" s="23">
        <v>44.9</v>
      </c>
      <c r="J534" s="27">
        <f>+K534-D534</f>
        <v>40000</v>
      </c>
      <c r="K534" s="23">
        <f>VLOOKUP(A534,fin,4,FALSE)</f>
        <v>40000</v>
      </c>
      <c r="L534" s="23">
        <f t="shared" si="120"/>
        <v>41800</v>
      </c>
      <c r="M534" s="104">
        <f t="shared" ref="M534:N534" si="123">L534*4.6/100+L534</f>
        <v>43722.8</v>
      </c>
      <c r="N534" s="105">
        <f t="shared" si="123"/>
        <v>45734.048800000004</v>
      </c>
    </row>
    <row r="535" spans="1:14" s="28" customFormat="1" ht="14.25" x14ac:dyDescent="0.2">
      <c r="A535" s="25" t="s">
        <v>1150</v>
      </c>
      <c r="B535" s="25"/>
      <c r="C535" s="26" t="s">
        <v>268</v>
      </c>
      <c r="D535" s="23">
        <f>VLOOKUP(A535,fin,3,FALSE)</f>
        <v>0</v>
      </c>
      <c r="E535" s="23">
        <v>-290187</v>
      </c>
      <c r="F535" s="23">
        <v>0</v>
      </c>
      <c r="G535" s="23">
        <v>-524054</v>
      </c>
      <c r="H535" s="23">
        <v>-642946</v>
      </c>
      <c r="I535" s="23">
        <v>44.9</v>
      </c>
      <c r="J535" s="27">
        <f>+K535-D535</f>
        <v>120000</v>
      </c>
      <c r="K535" s="23">
        <f>VLOOKUP(A535,fin,4,FALSE)</f>
        <v>120000</v>
      </c>
      <c r="L535" s="23">
        <f t="shared" si="120"/>
        <v>125400</v>
      </c>
      <c r="M535" s="104">
        <f t="shared" ref="M535:N535" si="124">L535*4.6/100+L535</f>
        <v>131168.4</v>
      </c>
      <c r="N535" s="105">
        <f t="shared" si="124"/>
        <v>137202.1464</v>
      </c>
    </row>
    <row r="536" spans="1:14" s="28" customFormat="1" ht="14.25" x14ac:dyDescent="0.2">
      <c r="A536" s="25"/>
      <c r="B536" s="25"/>
      <c r="C536" s="26"/>
      <c r="D536" s="23"/>
      <c r="E536" s="23"/>
      <c r="F536" s="23"/>
      <c r="G536" s="23"/>
      <c r="H536" s="23"/>
      <c r="I536" s="23"/>
      <c r="J536" s="27"/>
      <c r="K536" s="23"/>
      <c r="L536" s="23"/>
      <c r="M536" s="104"/>
      <c r="N536" s="105"/>
    </row>
    <row r="537" spans="1:14" s="24" customFormat="1" x14ac:dyDescent="0.25">
      <c r="A537" s="20"/>
      <c r="B537" s="20"/>
      <c r="C537" s="21" t="s">
        <v>274</v>
      </c>
      <c r="D537" s="29">
        <f>SUM(D531:D536)</f>
        <v>1250132</v>
      </c>
      <c r="E537" s="29">
        <v>127817.46</v>
      </c>
      <c r="F537" s="29">
        <v>0</v>
      </c>
      <c r="G537" s="29">
        <v>664243.6</v>
      </c>
      <c r="H537" s="29">
        <v>585888.4</v>
      </c>
      <c r="I537" s="29">
        <v>53.13</v>
      </c>
      <c r="J537" s="27">
        <f>+K537-D537</f>
        <v>160000</v>
      </c>
      <c r="K537" s="29">
        <f>SUM(K531:K536)</f>
        <v>1410132</v>
      </c>
      <c r="L537" s="29">
        <f>SUM(L531:L536)</f>
        <v>1558072.94</v>
      </c>
      <c r="M537" s="103">
        <f>SUM(M531:M536)</f>
        <v>265760.29524000001</v>
      </c>
      <c r="N537" s="103">
        <f>SUM(N531:N536)</f>
        <v>277985.26882103999</v>
      </c>
    </row>
    <row r="538" spans="1:14" s="24" customFormat="1" x14ac:dyDescent="0.25">
      <c r="A538" s="20"/>
      <c r="B538" s="20"/>
      <c r="C538" s="21"/>
      <c r="D538" s="29"/>
      <c r="E538" s="29"/>
      <c r="F538" s="29"/>
      <c r="G538" s="29"/>
      <c r="H538" s="29"/>
      <c r="I538" s="29"/>
      <c r="J538" s="27"/>
      <c r="K538" s="23"/>
      <c r="L538" s="29"/>
      <c r="M538" s="103"/>
      <c r="N538" s="84"/>
    </row>
    <row r="539" spans="1:14" s="24" customFormat="1" x14ac:dyDescent="0.25">
      <c r="A539" s="20"/>
      <c r="B539" s="20"/>
      <c r="C539" s="21" t="s">
        <v>305</v>
      </c>
      <c r="D539" s="29">
        <f>+D527+D537</f>
        <v>6619693</v>
      </c>
      <c r="E539" s="29">
        <v>615943.35</v>
      </c>
      <c r="F539" s="29">
        <v>0</v>
      </c>
      <c r="G539" s="29">
        <v>3096981.54</v>
      </c>
      <c r="H539" s="29">
        <v>3522711.46</v>
      </c>
      <c r="I539" s="29">
        <v>46.78</v>
      </c>
      <c r="J539" s="27">
        <f>+K539-D539</f>
        <v>156204.25999999978</v>
      </c>
      <c r="K539" s="29">
        <f>+K527+K537</f>
        <v>6775897.2599999998</v>
      </c>
      <c r="L539" s="29">
        <f>+L527+L537</f>
        <v>7259198.5287500005</v>
      </c>
      <c r="M539" s="103">
        <f>+M527+M537</f>
        <v>6365964.6752025001</v>
      </c>
      <c r="N539" s="103">
        <f>+N527+N537</f>
        <v>6805203.9553809157</v>
      </c>
    </row>
    <row r="540" spans="1:14" s="24" customFormat="1" x14ac:dyDescent="0.25">
      <c r="A540" s="20"/>
      <c r="B540" s="20"/>
      <c r="C540" s="21"/>
      <c r="D540" s="29"/>
      <c r="E540" s="29"/>
      <c r="F540" s="29"/>
      <c r="G540" s="29"/>
      <c r="H540" s="29"/>
      <c r="I540" s="29"/>
      <c r="J540" s="27"/>
      <c r="K540" s="23"/>
      <c r="L540" s="29"/>
      <c r="M540" s="103"/>
      <c r="N540" s="84"/>
    </row>
    <row r="541" spans="1:14" s="24" customFormat="1" x14ac:dyDescent="0.25">
      <c r="A541" s="20"/>
      <c r="B541" s="20"/>
      <c r="C541" s="21" t="s">
        <v>306</v>
      </c>
      <c r="D541" s="29">
        <f>+D489+D539</f>
        <v>4112165</v>
      </c>
      <c r="E541" s="29">
        <v>415477.46</v>
      </c>
      <c r="F541" s="29">
        <v>0</v>
      </c>
      <c r="G541" s="29">
        <v>1899754</v>
      </c>
      <c r="H541" s="29">
        <v>2212411</v>
      </c>
      <c r="I541" s="29">
        <v>46.19</v>
      </c>
      <c r="J541" s="27">
        <f>+K541-D541</f>
        <v>156204.25999999978</v>
      </c>
      <c r="K541" s="29">
        <f>+K489+K539</f>
        <v>4268369.26</v>
      </c>
      <c r="L541" s="29">
        <f>+L489+L539</f>
        <v>4637955.0047500003</v>
      </c>
      <c r="M541" s="103">
        <f>+M489+M539</f>
        <v>3623684.0863804999</v>
      </c>
      <c r="N541" s="103">
        <f>+N489+N539</f>
        <v>3936296.5233446397</v>
      </c>
    </row>
    <row r="542" spans="1:14" x14ac:dyDescent="0.25">
      <c r="A542" s="73"/>
      <c r="B542" s="73"/>
      <c r="C542" s="73"/>
      <c r="D542" s="73"/>
      <c r="E542" s="73"/>
      <c r="F542" s="73"/>
      <c r="G542" s="73"/>
      <c r="H542" s="73"/>
      <c r="I542" s="73"/>
      <c r="J542" s="74"/>
      <c r="K542" s="23"/>
      <c r="L542" s="75"/>
      <c r="M542" s="110"/>
      <c r="N542" s="109"/>
    </row>
    <row r="544" spans="1:14" x14ac:dyDescent="0.25">
      <c r="C544" s="24" t="s">
        <v>3038</v>
      </c>
      <c r="D544" s="72">
        <f>D13+D201+D317+D406+D489</f>
        <v>-12239876</v>
      </c>
      <c r="E544" s="72">
        <f t="shared" ref="E544:N544" si="125">E13+E201+E317+E406+E489</f>
        <v>-1198451.04</v>
      </c>
      <c r="F544" s="72">
        <f t="shared" si="125"/>
        <v>0</v>
      </c>
      <c r="G544" s="72">
        <f t="shared" si="125"/>
        <v>-5926932.5</v>
      </c>
      <c r="H544" s="72">
        <f t="shared" si="125"/>
        <v>-6312943.5</v>
      </c>
      <c r="I544" s="72">
        <f t="shared" si="125"/>
        <v>212.49</v>
      </c>
      <c r="J544" s="72">
        <f t="shared" si="125"/>
        <v>50000</v>
      </c>
      <c r="K544" s="72">
        <f t="shared" si="125"/>
        <v>-12189876</v>
      </c>
      <c r="L544" s="72">
        <f t="shared" si="125"/>
        <v>-12823782.184</v>
      </c>
      <c r="M544" s="72">
        <f t="shared" si="125"/>
        <v>-12052661.770242</v>
      </c>
      <c r="N544" s="72">
        <f t="shared" si="125"/>
        <v>-12607566.147801597</v>
      </c>
    </row>
    <row r="545" spans="3:14" x14ac:dyDescent="0.25">
      <c r="C545" s="24" t="s">
        <v>3052</v>
      </c>
      <c r="D545" s="72">
        <f>D110+D164+D283+D386+D465+D539</f>
        <v>29995112</v>
      </c>
      <c r="E545" s="72">
        <f t="shared" ref="E545:N545" si="126">E110+E164+E283+E386+E465+E539</f>
        <v>-13771949.479999999</v>
      </c>
      <c r="F545" s="72">
        <f t="shared" si="126"/>
        <v>29820</v>
      </c>
      <c r="G545" s="72">
        <f t="shared" si="126"/>
        <v>-16825145.939999998</v>
      </c>
      <c r="H545" s="72">
        <f t="shared" si="126"/>
        <v>-24570450.059999999</v>
      </c>
      <c r="I545" s="72">
        <f t="shared" si="126"/>
        <v>341.09000000000003</v>
      </c>
      <c r="J545" s="72">
        <f t="shared" si="126"/>
        <v>-196635.00999999931</v>
      </c>
      <c r="K545" s="72">
        <f t="shared" si="126"/>
        <v>29798476.989999995</v>
      </c>
      <c r="L545" s="72">
        <f t="shared" si="126"/>
        <v>31631071.725400001</v>
      </c>
      <c r="M545" s="72">
        <f t="shared" si="126"/>
        <v>32315473.076578401</v>
      </c>
      <c r="N545" s="72">
        <f t="shared" si="126"/>
        <v>34436882.253537707</v>
      </c>
    </row>
    <row r="546" spans="3:14" x14ac:dyDescent="0.25">
      <c r="C546" s="24" t="s">
        <v>3053</v>
      </c>
      <c r="D546" s="72">
        <f>D294+D394</f>
        <v>2200000</v>
      </c>
      <c r="E546" s="72">
        <f t="shared" ref="E546:N546" si="127">E294+E394</f>
        <v>-580374</v>
      </c>
      <c r="F546" s="72">
        <f t="shared" si="127"/>
        <v>0</v>
      </c>
      <c r="G546" s="72">
        <f t="shared" si="127"/>
        <v>-1048108</v>
      </c>
      <c r="H546" s="72">
        <f t="shared" si="127"/>
        <v>-1185892</v>
      </c>
      <c r="I546" s="72">
        <f t="shared" si="127"/>
        <v>34.01</v>
      </c>
      <c r="J546" s="72">
        <f t="shared" si="127"/>
        <v>-1485724</v>
      </c>
      <c r="K546" s="72">
        <f t="shared" si="127"/>
        <v>714276</v>
      </c>
      <c r="L546" s="72">
        <f t="shared" si="127"/>
        <v>300000</v>
      </c>
      <c r="M546" s="72">
        <f t="shared" si="127"/>
        <v>900000</v>
      </c>
      <c r="N546" s="72">
        <f t="shared" si="127"/>
        <v>600000</v>
      </c>
    </row>
  </sheetData>
  <autoFilter ref="A1:M542"/>
  <pageMargins left="0.7" right="0.7" top="0.75" bottom="0.75" header="0.3" footer="0.3"/>
  <pageSetup paperSize="9" scale="74" orientation="landscape" horizontalDpi="4294967293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569"/>
  <sheetViews>
    <sheetView zoomScaleNormal="100" workbookViewId="0">
      <pane xSplit="3" ySplit="1" topLeftCell="D550" activePane="bottomRight" state="frozen"/>
      <selection pane="topRight" activeCell="C1" sqref="C1"/>
      <selection pane="bottomLeft" activeCell="A2" sqref="A2"/>
      <selection pane="bottomRight" sqref="A1:N571"/>
    </sheetView>
  </sheetViews>
  <sheetFormatPr defaultColWidth="9.140625" defaultRowHeight="14.25" x14ac:dyDescent="0.2"/>
  <cols>
    <col min="1" max="1" width="29.140625" style="28" bestFit="1" customWidth="1"/>
    <col min="2" max="2" width="23.42578125" style="28" customWidth="1"/>
    <col min="3" max="3" width="56.5703125" style="28" bestFit="1" customWidth="1"/>
    <col min="4" max="4" width="13.28515625" style="78" customWidth="1"/>
    <col min="5" max="5" width="13.28515625" style="78" hidden="1" customWidth="1"/>
    <col min="6" max="6" width="14.85546875" style="78" hidden="1" customWidth="1"/>
    <col min="7" max="7" width="13.28515625" style="78" hidden="1" customWidth="1"/>
    <col min="8" max="8" width="12.42578125" style="78" hidden="1" customWidth="1"/>
    <col min="9" max="9" width="7.28515625" style="78" hidden="1" customWidth="1"/>
    <col min="10" max="10" width="13.5703125" style="78" hidden="1" customWidth="1"/>
    <col min="11" max="11" width="15.42578125" style="78" bestFit="1" customWidth="1"/>
    <col min="12" max="12" width="15" style="78" customWidth="1"/>
    <col min="13" max="13" width="14.5703125" style="78" bestFit="1" customWidth="1"/>
    <col min="14" max="14" width="15.5703125" style="139" bestFit="1" customWidth="1"/>
    <col min="15" max="16384" width="9.140625" style="28"/>
  </cols>
  <sheetData>
    <row r="1" spans="1:14" s="24" customFormat="1" ht="60.75" thickBot="1" x14ac:dyDescent="0.3">
      <c r="A1" s="20" t="s">
        <v>0</v>
      </c>
      <c r="B1" s="20" t="s">
        <v>1356</v>
      </c>
      <c r="C1" s="21" t="s">
        <v>1</v>
      </c>
      <c r="D1" s="22" t="s">
        <v>2</v>
      </c>
      <c r="E1" s="142" t="s">
        <v>3</v>
      </c>
      <c r="F1" s="22" t="s">
        <v>4</v>
      </c>
      <c r="G1" s="142" t="s">
        <v>5</v>
      </c>
      <c r="H1" s="142" t="s">
        <v>6</v>
      </c>
      <c r="I1" s="22" t="s">
        <v>7</v>
      </c>
      <c r="J1" s="22" t="s">
        <v>1322</v>
      </c>
      <c r="K1" s="154" t="s">
        <v>3012</v>
      </c>
      <c r="L1" s="41" t="s">
        <v>3013</v>
      </c>
      <c r="M1" s="137" t="s">
        <v>3014</v>
      </c>
      <c r="N1" s="131" t="s">
        <v>3015</v>
      </c>
    </row>
    <row r="2" spans="1:14" s="24" customFormat="1" ht="15" x14ac:dyDescent="0.25">
      <c r="A2" s="20"/>
      <c r="B2" s="20"/>
      <c r="C2" s="21"/>
      <c r="D2" s="22"/>
      <c r="E2" s="142"/>
      <c r="F2" s="22"/>
      <c r="G2" s="142"/>
      <c r="H2" s="142"/>
      <c r="I2" s="22"/>
      <c r="J2" s="22"/>
      <c r="K2" s="142"/>
      <c r="L2" s="142"/>
      <c r="M2" s="138"/>
      <c r="N2" s="132"/>
    </row>
    <row r="3" spans="1:14" s="24" customFormat="1" ht="15" x14ac:dyDescent="0.25">
      <c r="A3" s="20"/>
      <c r="B3" s="20"/>
      <c r="C3" s="21" t="s">
        <v>1151</v>
      </c>
      <c r="D3" s="22"/>
      <c r="E3" s="22"/>
      <c r="F3" s="22"/>
      <c r="G3" s="22"/>
      <c r="H3" s="22"/>
      <c r="I3" s="22"/>
      <c r="J3" s="22"/>
      <c r="K3" s="22"/>
      <c r="L3" s="22"/>
      <c r="M3" s="134"/>
      <c r="N3" s="132"/>
    </row>
    <row r="4" spans="1:14" s="24" customFormat="1" ht="15" x14ac:dyDescent="0.25">
      <c r="A4" s="20"/>
      <c r="B4" s="20"/>
      <c r="C4" s="21" t="s">
        <v>96</v>
      </c>
      <c r="D4" s="22"/>
      <c r="E4" s="22"/>
      <c r="F4" s="22"/>
      <c r="G4" s="22"/>
      <c r="H4" s="22"/>
      <c r="I4" s="22"/>
      <c r="J4" s="22"/>
      <c r="K4" s="22"/>
      <c r="L4" s="22"/>
      <c r="M4" s="134"/>
      <c r="N4" s="132"/>
    </row>
    <row r="5" spans="1:14" s="24" customFormat="1" ht="15" x14ac:dyDescent="0.25">
      <c r="A5" s="20"/>
      <c r="B5" s="20"/>
      <c r="C5" s="21" t="s">
        <v>241</v>
      </c>
      <c r="D5" s="22"/>
      <c r="E5" s="22"/>
      <c r="F5" s="22"/>
      <c r="G5" s="22"/>
      <c r="H5" s="22"/>
      <c r="I5" s="22"/>
      <c r="J5" s="22"/>
      <c r="K5" s="22"/>
      <c r="L5" s="22"/>
      <c r="M5" s="134"/>
      <c r="N5" s="132"/>
    </row>
    <row r="6" spans="1:14" x14ac:dyDescent="0.2">
      <c r="A6" s="25"/>
      <c r="B6" s="25"/>
      <c r="C6" s="26"/>
      <c r="D6" s="27"/>
      <c r="E6" s="27"/>
      <c r="F6" s="27"/>
      <c r="G6" s="27"/>
      <c r="H6" s="27"/>
      <c r="I6" s="27"/>
      <c r="J6" s="27"/>
      <c r="K6" s="27"/>
      <c r="L6" s="27"/>
      <c r="M6" s="107"/>
      <c r="N6" s="133"/>
    </row>
    <row r="7" spans="1:14" x14ac:dyDescent="0.2">
      <c r="A7" s="25" t="s">
        <v>1152</v>
      </c>
      <c r="B7" s="25"/>
      <c r="C7" s="26" t="s">
        <v>265</v>
      </c>
      <c r="D7" s="27">
        <f>VLOOKUP(A7,fin,3,FALSE)</f>
        <v>0</v>
      </c>
      <c r="E7" s="27">
        <v>0</v>
      </c>
      <c r="F7" s="27">
        <v>0</v>
      </c>
      <c r="G7" s="27">
        <v>1217.71</v>
      </c>
      <c r="H7" s="27">
        <v>-1217.71</v>
      </c>
      <c r="I7" s="27">
        <v>0</v>
      </c>
      <c r="J7" s="27">
        <f>+K7-D7</f>
        <v>0</v>
      </c>
      <c r="K7" s="27">
        <f>VLOOKUP(A7,fin,4,FALSE)</f>
        <v>0</v>
      </c>
      <c r="L7" s="27">
        <f>VLOOKUP(A7,fin,5,FALSE)</f>
        <v>0</v>
      </c>
      <c r="M7" s="107">
        <f>VLOOKUP(A7,fin,6,FALSE)</f>
        <v>0</v>
      </c>
      <c r="N7" s="133"/>
    </row>
    <row r="8" spans="1:14" x14ac:dyDescent="0.2">
      <c r="A8" s="25"/>
      <c r="B8" s="25"/>
      <c r="C8" s="26"/>
      <c r="D8" s="27"/>
      <c r="E8" s="27"/>
      <c r="F8" s="27"/>
      <c r="G8" s="27"/>
      <c r="H8" s="27"/>
      <c r="I8" s="27"/>
      <c r="J8" s="27"/>
      <c r="K8" s="27"/>
      <c r="L8" s="27"/>
      <c r="M8" s="107"/>
      <c r="N8" s="133"/>
    </row>
    <row r="9" spans="1:14" s="24" customFormat="1" ht="15" x14ac:dyDescent="0.25">
      <c r="A9" s="20"/>
      <c r="B9" s="20"/>
      <c r="C9" s="21" t="s">
        <v>274</v>
      </c>
      <c r="D9" s="22">
        <f>SUM(D7:D8)</f>
        <v>0</v>
      </c>
      <c r="E9" s="22">
        <f>SUM(E7:E8)</f>
        <v>0</v>
      </c>
      <c r="F9" s="22">
        <f>SUM(F7:F8)</f>
        <v>0</v>
      </c>
      <c r="G9" s="22">
        <f>SUM(G7:G8)</f>
        <v>1217.71</v>
      </c>
      <c r="H9" s="22">
        <f>SUM(H7:H8)</f>
        <v>-1217.71</v>
      </c>
      <c r="I9" s="22">
        <v>0</v>
      </c>
      <c r="J9" s="27">
        <f>+K9-D9</f>
        <v>0</v>
      </c>
      <c r="K9" s="22">
        <f>SUM(K7:K8)</f>
        <v>0</v>
      </c>
      <c r="L9" s="22">
        <f>SUM(L7:L8)</f>
        <v>0</v>
      </c>
      <c r="M9" s="134">
        <f>SUM(M7:M8)</f>
        <v>0</v>
      </c>
      <c r="N9" s="134">
        <f>SUM(N7:N8)</f>
        <v>0</v>
      </c>
    </row>
    <row r="10" spans="1:14" x14ac:dyDescent="0.2">
      <c r="A10" s="25"/>
      <c r="B10" s="25"/>
      <c r="C10" s="26"/>
      <c r="D10" s="27"/>
      <c r="E10" s="27"/>
      <c r="F10" s="27"/>
      <c r="G10" s="27"/>
      <c r="H10" s="27"/>
      <c r="I10" s="27"/>
      <c r="J10" s="27"/>
      <c r="K10" s="27"/>
      <c r="L10" s="27"/>
      <c r="M10" s="107"/>
      <c r="N10" s="133"/>
    </row>
    <row r="11" spans="1:14" s="24" customFormat="1" ht="15" x14ac:dyDescent="0.25">
      <c r="A11" s="20"/>
      <c r="B11" s="20"/>
      <c r="C11" s="21" t="s">
        <v>290</v>
      </c>
      <c r="D11" s="22"/>
      <c r="E11" s="22"/>
      <c r="F11" s="22"/>
      <c r="G11" s="22"/>
      <c r="H11" s="22"/>
      <c r="I11" s="22"/>
      <c r="J11" s="27">
        <f>+K11-D11</f>
        <v>0</v>
      </c>
      <c r="K11" s="27"/>
      <c r="L11" s="22"/>
      <c r="M11" s="134"/>
      <c r="N11" s="132"/>
    </row>
    <row r="12" spans="1:14" x14ac:dyDescent="0.2">
      <c r="A12" s="25"/>
      <c r="B12" s="25"/>
      <c r="C12" s="26"/>
      <c r="D12" s="27"/>
      <c r="E12" s="27"/>
      <c r="F12" s="27"/>
      <c r="G12" s="27"/>
      <c r="H12" s="27"/>
      <c r="I12" s="27"/>
      <c r="J12" s="27"/>
      <c r="K12" s="27"/>
      <c r="L12" s="27"/>
      <c r="M12" s="107"/>
      <c r="N12" s="133"/>
    </row>
    <row r="13" spans="1:14" x14ac:dyDescent="0.2">
      <c r="A13" s="25" t="s">
        <v>1153</v>
      </c>
      <c r="B13" s="25"/>
      <c r="C13" s="26" t="s">
        <v>293</v>
      </c>
      <c r="D13" s="27">
        <f>VLOOKUP(A13,fin,3,FALSE)</f>
        <v>5806</v>
      </c>
      <c r="E13" s="27">
        <v>0</v>
      </c>
      <c r="F13" s="27">
        <v>0</v>
      </c>
      <c r="G13" s="27">
        <v>1217.71</v>
      </c>
      <c r="H13" s="27">
        <v>-1217.71</v>
      </c>
      <c r="I13" s="27">
        <v>0</v>
      </c>
      <c r="J13" s="27">
        <f>+K13-D13</f>
        <v>0</v>
      </c>
      <c r="K13" s="27">
        <f>VLOOKUP(A13,fin,4,FALSE)</f>
        <v>5806</v>
      </c>
      <c r="L13" s="27">
        <f>K13*4.5/100+K13</f>
        <v>6067.27</v>
      </c>
      <c r="M13" s="107">
        <f>L13*4.6/100+L13</f>
        <v>6346.3644200000008</v>
      </c>
      <c r="N13" s="133">
        <f>M13*4.6/100+M13</f>
        <v>6638.2971833200008</v>
      </c>
    </row>
    <row r="14" spans="1:14" x14ac:dyDescent="0.2">
      <c r="A14" s="25" t="s">
        <v>1154</v>
      </c>
      <c r="B14" s="25"/>
      <c r="C14" s="26" t="s">
        <v>303</v>
      </c>
      <c r="D14" s="27">
        <f>VLOOKUP(A14,fin,3,FALSE)</f>
        <v>63245</v>
      </c>
      <c r="E14" s="27">
        <v>0</v>
      </c>
      <c r="F14" s="27">
        <v>0</v>
      </c>
      <c r="G14" s="27">
        <v>1217.71</v>
      </c>
      <c r="H14" s="27">
        <v>-1217.71</v>
      </c>
      <c r="I14" s="27">
        <v>0</v>
      </c>
      <c r="J14" s="27">
        <f>+K14-D14</f>
        <v>0</v>
      </c>
      <c r="K14" s="27">
        <f>VLOOKUP(A14,fin,4,FALSE)</f>
        <v>63245</v>
      </c>
      <c r="L14" s="27">
        <f>K14*4.5/100+K14</f>
        <v>66091.024999999994</v>
      </c>
      <c r="M14" s="107">
        <f>L14*4.6/100+L14</f>
        <v>69131.212149999992</v>
      </c>
      <c r="N14" s="133">
        <f>M14*4.6/100+M14</f>
        <v>72311.247908899997</v>
      </c>
    </row>
    <row r="15" spans="1:14" ht="15" x14ac:dyDescent="0.25">
      <c r="A15" s="25"/>
      <c r="B15" s="25"/>
      <c r="C15" s="26"/>
      <c r="D15" s="27"/>
      <c r="E15" s="27"/>
      <c r="F15" s="27"/>
      <c r="G15" s="27"/>
      <c r="H15" s="27"/>
      <c r="I15" s="27"/>
      <c r="J15" s="27"/>
      <c r="K15" s="27"/>
      <c r="L15" s="22"/>
      <c r="M15" s="134"/>
      <c r="N15" s="133"/>
    </row>
    <row r="16" spans="1:14" s="24" customFormat="1" ht="15" x14ac:dyDescent="0.25">
      <c r="A16" s="20"/>
      <c r="B16" s="20"/>
      <c r="C16" s="21" t="s">
        <v>304</v>
      </c>
      <c r="D16" s="22">
        <f>SUM(D13:D15)</f>
        <v>69051</v>
      </c>
      <c r="E16" s="22">
        <f>SUM(E13:E15)</f>
        <v>0</v>
      </c>
      <c r="F16" s="22">
        <f>SUM(F13:F15)</f>
        <v>0</v>
      </c>
      <c r="G16" s="22">
        <f>SUM(G13:G15)</f>
        <v>2435.42</v>
      </c>
      <c r="H16" s="22">
        <f>SUM(H13:H15)</f>
        <v>-2435.42</v>
      </c>
      <c r="I16" s="22">
        <v>18.41</v>
      </c>
      <c r="J16" s="27">
        <f>+K16-D16</f>
        <v>0</v>
      </c>
      <c r="K16" s="22">
        <f>SUM(K13:K15)</f>
        <v>69051</v>
      </c>
      <c r="L16" s="22">
        <f>SUM(L13:L15)</f>
        <v>72158.294999999998</v>
      </c>
      <c r="M16" s="134">
        <f>SUM(M13:M15)</f>
        <v>75477.57656999999</v>
      </c>
      <c r="N16" s="134">
        <f>SUM(N13:N15)</f>
        <v>78949.545092219996</v>
      </c>
    </row>
    <row r="17" spans="1:14" s="24" customFormat="1" ht="15" x14ac:dyDescent="0.25">
      <c r="A17" s="20"/>
      <c r="B17" s="20"/>
      <c r="C17" s="21"/>
      <c r="D17" s="22"/>
      <c r="E17" s="22"/>
      <c r="F17" s="22"/>
      <c r="G17" s="22"/>
      <c r="H17" s="22"/>
      <c r="I17" s="22"/>
      <c r="J17" s="27"/>
      <c r="K17" s="27"/>
      <c r="L17" s="22"/>
      <c r="M17" s="134"/>
      <c r="N17" s="132"/>
    </row>
    <row r="18" spans="1:14" s="24" customFormat="1" ht="15" x14ac:dyDescent="0.25">
      <c r="A18" s="20"/>
      <c r="B18" s="20"/>
      <c r="C18" s="21" t="s">
        <v>305</v>
      </c>
      <c r="D18" s="22">
        <f>D9+D16</f>
        <v>69051</v>
      </c>
      <c r="E18" s="22">
        <f t="shared" ref="E18:N18" si="0">E9+E16</f>
        <v>0</v>
      </c>
      <c r="F18" s="22">
        <f t="shared" si="0"/>
        <v>0</v>
      </c>
      <c r="G18" s="22">
        <f t="shared" si="0"/>
        <v>3653.13</v>
      </c>
      <c r="H18" s="22">
        <f t="shared" si="0"/>
        <v>-3653.13</v>
      </c>
      <c r="I18" s="22">
        <v>20.170000000000002</v>
      </c>
      <c r="J18" s="27">
        <f>+K18-D18</f>
        <v>0</v>
      </c>
      <c r="K18" s="22">
        <f t="shared" si="0"/>
        <v>69051</v>
      </c>
      <c r="L18" s="22">
        <f t="shared" si="0"/>
        <v>72158.294999999998</v>
      </c>
      <c r="M18" s="134">
        <f t="shared" si="0"/>
        <v>75477.57656999999</v>
      </c>
      <c r="N18" s="134">
        <f t="shared" si="0"/>
        <v>78949.545092219996</v>
      </c>
    </row>
    <row r="19" spans="1:14" x14ac:dyDescent="0.2">
      <c r="A19" s="25"/>
      <c r="B19" s="25"/>
      <c r="C19" s="26"/>
      <c r="D19" s="27"/>
      <c r="E19" s="27"/>
      <c r="F19" s="27"/>
      <c r="G19" s="27"/>
      <c r="H19" s="27"/>
      <c r="I19" s="27"/>
      <c r="J19" s="27"/>
      <c r="K19" s="27"/>
      <c r="N19" s="133"/>
    </row>
    <row r="20" spans="1:14" s="24" customFormat="1" ht="15" x14ac:dyDescent="0.25">
      <c r="A20" s="20"/>
      <c r="B20" s="20"/>
      <c r="C20" s="21" t="s">
        <v>306</v>
      </c>
      <c r="D20" s="22">
        <f>D18</f>
        <v>69051</v>
      </c>
      <c r="E20" s="22">
        <f t="shared" ref="E20:N20" si="1">E18</f>
        <v>0</v>
      </c>
      <c r="F20" s="22">
        <f t="shared" si="1"/>
        <v>0</v>
      </c>
      <c r="G20" s="22">
        <f t="shared" si="1"/>
        <v>3653.13</v>
      </c>
      <c r="H20" s="22">
        <f t="shared" si="1"/>
        <v>-3653.13</v>
      </c>
      <c r="I20" s="22">
        <v>20.170000000000002</v>
      </c>
      <c r="J20" s="27">
        <f>+K20-D20</f>
        <v>0</v>
      </c>
      <c r="K20" s="22">
        <f t="shared" si="1"/>
        <v>69051</v>
      </c>
      <c r="L20" s="22">
        <f t="shared" si="1"/>
        <v>72158.294999999998</v>
      </c>
      <c r="M20" s="134">
        <f t="shared" si="1"/>
        <v>75477.57656999999</v>
      </c>
      <c r="N20" s="134">
        <f t="shared" si="1"/>
        <v>78949.545092219996</v>
      </c>
    </row>
    <row r="21" spans="1:14" s="24" customFormat="1" ht="15" x14ac:dyDescent="0.25">
      <c r="A21" s="20"/>
      <c r="B21" s="20"/>
      <c r="C21" s="21"/>
      <c r="D21" s="22"/>
      <c r="E21" s="22"/>
      <c r="F21" s="22"/>
      <c r="G21" s="22"/>
      <c r="H21" s="22"/>
      <c r="I21" s="22"/>
      <c r="J21" s="27"/>
      <c r="K21" s="27"/>
      <c r="L21" s="22"/>
      <c r="M21" s="134"/>
      <c r="N21" s="132"/>
    </row>
    <row r="22" spans="1:14" s="24" customFormat="1" ht="15" x14ac:dyDescent="0.25">
      <c r="A22" s="20"/>
      <c r="B22" s="20"/>
      <c r="C22" s="21" t="s">
        <v>1155</v>
      </c>
      <c r="D22" s="22"/>
      <c r="E22" s="22"/>
      <c r="F22" s="22"/>
      <c r="G22" s="22"/>
      <c r="H22" s="22"/>
      <c r="I22" s="22"/>
      <c r="J22" s="27">
        <f t="shared" ref="J22:J27" si="2">+K22-D22</f>
        <v>0</v>
      </c>
      <c r="K22" s="27"/>
      <c r="L22" s="22"/>
      <c r="M22" s="134"/>
      <c r="N22" s="132"/>
    </row>
    <row r="23" spans="1:14" s="24" customFormat="1" ht="15" x14ac:dyDescent="0.25">
      <c r="A23" s="20"/>
      <c r="B23" s="20"/>
      <c r="C23" s="21" t="s">
        <v>96</v>
      </c>
      <c r="D23" s="22"/>
      <c r="E23" s="22"/>
      <c r="F23" s="22"/>
      <c r="G23" s="22"/>
      <c r="H23" s="22"/>
      <c r="I23" s="22"/>
      <c r="J23" s="27">
        <f t="shared" si="2"/>
        <v>0</v>
      </c>
      <c r="K23" s="27"/>
      <c r="L23" s="22"/>
      <c r="M23" s="134"/>
      <c r="N23" s="132"/>
    </row>
    <row r="24" spans="1:14" s="24" customFormat="1" ht="15" x14ac:dyDescent="0.25">
      <c r="A24" s="20"/>
      <c r="B24" s="20"/>
      <c r="C24" s="21" t="s">
        <v>97</v>
      </c>
      <c r="D24" s="22"/>
      <c r="E24" s="22"/>
      <c r="F24" s="22"/>
      <c r="G24" s="22"/>
      <c r="H24" s="22"/>
      <c r="I24" s="22"/>
      <c r="J24" s="27">
        <f t="shared" si="2"/>
        <v>0</v>
      </c>
      <c r="K24" s="27"/>
      <c r="L24" s="22"/>
      <c r="M24" s="134"/>
      <c r="N24" s="132"/>
    </row>
    <row r="25" spans="1:14" s="24" customFormat="1" ht="15" x14ac:dyDescent="0.25">
      <c r="A25" s="20"/>
      <c r="B25" s="20"/>
      <c r="C25" s="21" t="s">
        <v>98</v>
      </c>
      <c r="D25" s="22"/>
      <c r="E25" s="22"/>
      <c r="F25" s="22"/>
      <c r="G25" s="22"/>
      <c r="H25" s="22"/>
      <c r="I25" s="22"/>
      <c r="J25" s="27">
        <f t="shared" si="2"/>
        <v>0</v>
      </c>
      <c r="K25" s="27"/>
      <c r="L25" s="22"/>
      <c r="M25" s="134"/>
      <c r="N25" s="132"/>
    </row>
    <row r="26" spans="1:14" s="24" customFormat="1" ht="15" x14ac:dyDescent="0.25">
      <c r="A26" s="20"/>
      <c r="B26" s="20"/>
      <c r="C26" s="21" t="s">
        <v>99</v>
      </c>
      <c r="D26" s="22"/>
      <c r="E26" s="22"/>
      <c r="F26" s="22"/>
      <c r="G26" s="22"/>
      <c r="H26" s="22"/>
      <c r="I26" s="22"/>
      <c r="J26" s="27">
        <f t="shared" si="2"/>
        <v>0</v>
      </c>
      <c r="K26" s="27"/>
      <c r="L26" s="22"/>
      <c r="M26" s="134"/>
      <c r="N26" s="132"/>
    </row>
    <row r="27" spans="1:14" s="24" customFormat="1" ht="15" x14ac:dyDescent="0.25">
      <c r="A27" s="20"/>
      <c r="B27" s="20"/>
      <c r="C27" s="21" t="s">
        <v>130</v>
      </c>
      <c r="D27" s="22"/>
      <c r="E27" s="22"/>
      <c r="F27" s="22"/>
      <c r="G27" s="22"/>
      <c r="H27" s="22"/>
      <c r="I27" s="22"/>
      <c r="J27" s="27">
        <f t="shared" si="2"/>
        <v>0</v>
      </c>
      <c r="K27" s="27"/>
      <c r="L27" s="22"/>
      <c r="M27" s="134"/>
      <c r="N27" s="132"/>
    </row>
    <row r="28" spans="1:14" x14ac:dyDescent="0.2">
      <c r="A28" s="25"/>
      <c r="B28" s="25"/>
      <c r="C28" s="26"/>
      <c r="D28" s="27"/>
      <c r="E28" s="27"/>
      <c r="F28" s="27"/>
      <c r="G28" s="27"/>
      <c r="H28" s="27"/>
      <c r="I28" s="27"/>
      <c r="J28" s="27"/>
      <c r="K28" s="27"/>
      <c r="L28" s="27"/>
      <c r="M28" s="107"/>
      <c r="N28" s="133"/>
    </row>
    <row r="29" spans="1:14" x14ac:dyDescent="0.2">
      <c r="A29" s="25" t="s">
        <v>1156</v>
      </c>
      <c r="B29" s="25"/>
      <c r="C29" s="26" t="s">
        <v>131</v>
      </c>
      <c r="D29" s="27">
        <f t="shared" ref="D29:D34" si="3">VLOOKUP(A29,fin,3,FALSE)</f>
        <v>651161</v>
      </c>
      <c r="E29" s="27">
        <v>0</v>
      </c>
      <c r="F29" s="27">
        <v>0</v>
      </c>
      <c r="G29" s="27">
        <v>1217.71</v>
      </c>
      <c r="H29" s="27">
        <v>-1217.71</v>
      </c>
      <c r="I29" s="27">
        <v>0</v>
      </c>
      <c r="J29" s="27">
        <f t="shared" ref="J29:J34" si="4">+K29-D29</f>
        <v>0</v>
      </c>
      <c r="K29" s="27">
        <f t="shared" ref="K29:K34" si="5">VLOOKUP(A29,fin,4,FALSE)</f>
        <v>651161</v>
      </c>
      <c r="L29" s="27">
        <f t="shared" ref="L29:L34" si="6">K29*6.25/100+K29</f>
        <v>691858.5625</v>
      </c>
      <c r="M29" s="107">
        <f>L29*7/100+L29</f>
        <v>740288.66187499999</v>
      </c>
      <c r="N29" s="133">
        <f>M29*7/100+M29</f>
        <v>792108.86820625002</v>
      </c>
    </row>
    <row r="30" spans="1:14" x14ac:dyDescent="0.2">
      <c r="A30" s="25" t="s">
        <v>1157</v>
      </c>
      <c r="B30" s="25"/>
      <c r="C30" s="26" t="s">
        <v>132</v>
      </c>
      <c r="D30" s="27">
        <f t="shared" si="3"/>
        <v>32558</v>
      </c>
      <c r="E30" s="27">
        <v>0</v>
      </c>
      <c r="F30" s="27">
        <v>0</v>
      </c>
      <c r="G30" s="27">
        <v>1217.71</v>
      </c>
      <c r="H30" s="27">
        <v>-1217.71</v>
      </c>
      <c r="I30" s="27">
        <v>0</v>
      </c>
      <c r="J30" s="27">
        <f t="shared" si="4"/>
        <v>0</v>
      </c>
      <c r="K30" s="27">
        <f t="shared" si="5"/>
        <v>32558</v>
      </c>
      <c r="L30" s="27">
        <f t="shared" si="6"/>
        <v>34592.875</v>
      </c>
      <c r="M30" s="107">
        <f>L30*7/100+L30</f>
        <v>37014.376250000001</v>
      </c>
      <c r="N30" s="133">
        <f t="shared" ref="N30:N34" si="7">M30*7/100+M30</f>
        <v>39605.382587500004</v>
      </c>
    </row>
    <row r="31" spans="1:14" x14ac:dyDescent="0.2">
      <c r="A31" s="25" t="s">
        <v>1158</v>
      </c>
      <c r="B31" s="25"/>
      <c r="C31" s="26" t="s">
        <v>133</v>
      </c>
      <c r="D31" s="27">
        <f t="shared" si="3"/>
        <v>40000</v>
      </c>
      <c r="E31" s="27">
        <v>0</v>
      </c>
      <c r="F31" s="27">
        <v>0</v>
      </c>
      <c r="G31" s="27">
        <v>1217.71</v>
      </c>
      <c r="H31" s="27">
        <v>-1217.71</v>
      </c>
      <c r="I31" s="27">
        <v>0</v>
      </c>
      <c r="J31" s="27">
        <f t="shared" si="4"/>
        <v>0</v>
      </c>
      <c r="K31" s="27">
        <f t="shared" si="5"/>
        <v>40000</v>
      </c>
      <c r="L31" s="27">
        <f t="shared" si="6"/>
        <v>42500</v>
      </c>
      <c r="M31" s="107">
        <f>L31*7/100+L31</f>
        <v>45475</v>
      </c>
      <c r="N31" s="133">
        <f t="shared" si="7"/>
        <v>48658.25</v>
      </c>
    </row>
    <row r="32" spans="1:14" x14ac:dyDescent="0.2">
      <c r="A32" s="25" t="s">
        <v>1159</v>
      </c>
      <c r="B32" s="25"/>
      <c r="C32" s="26" t="s">
        <v>134</v>
      </c>
      <c r="D32" s="27">
        <f t="shared" si="3"/>
        <v>206737</v>
      </c>
      <c r="E32" s="27">
        <v>0</v>
      </c>
      <c r="F32" s="27">
        <v>0</v>
      </c>
      <c r="G32" s="27">
        <v>1217.71</v>
      </c>
      <c r="H32" s="27">
        <v>-1217.71</v>
      </c>
      <c r="I32" s="27">
        <v>0</v>
      </c>
      <c r="J32" s="27">
        <f t="shared" si="4"/>
        <v>0</v>
      </c>
      <c r="K32" s="27">
        <f t="shared" si="5"/>
        <v>206737</v>
      </c>
      <c r="L32" s="27">
        <f t="shared" si="6"/>
        <v>219658.0625</v>
      </c>
      <c r="M32" s="107">
        <f>L32*7/100+L32</f>
        <v>235034.12687499999</v>
      </c>
      <c r="N32" s="133">
        <f t="shared" si="7"/>
        <v>251486.51575624998</v>
      </c>
    </row>
    <row r="33" spans="1:14" x14ac:dyDescent="0.2">
      <c r="A33" s="25" t="s">
        <v>1160</v>
      </c>
      <c r="B33" s="25"/>
      <c r="C33" s="26" t="s">
        <v>135</v>
      </c>
      <c r="D33" s="27">
        <f t="shared" si="3"/>
        <v>17000</v>
      </c>
      <c r="E33" s="27">
        <v>0</v>
      </c>
      <c r="F33" s="27">
        <v>0</v>
      </c>
      <c r="G33" s="27">
        <v>1217.71</v>
      </c>
      <c r="H33" s="27">
        <v>-1217.71</v>
      </c>
      <c r="I33" s="27">
        <v>0</v>
      </c>
      <c r="J33" s="27">
        <f t="shared" si="4"/>
        <v>0</v>
      </c>
      <c r="K33" s="27">
        <f t="shared" si="5"/>
        <v>17000</v>
      </c>
      <c r="L33" s="27">
        <f t="shared" si="6"/>
        <v>18062.5</v>
      </c>
      <c r="M33" s="107">
        <f>L33*7/100+L33</f>
        <v>19326.875</v>
      </c>
      <c r="N33" s="133">
        <f t="shared" si="7"/>
        <v>20679.756249999999</v>
      </c>
    </row>
    <row r="34" spans="1:14" x14ac:dyDescent="0.2">
      <c r="A34" s="25" t="s">
        <v>1161</v>
      </c>
      <c r="B34" s="25"/>
      <c r="C34" s="26" t="s">
        <v>136</v>
      </c>
      <c r="D34" s="27">
        <f t="shared" si="3"/>
        <v>18580</v>
      </c>
      <c r="E34" s="27">
        <v>0</v>
      </c>
      <c r="F34" s="27">
        <v>0</v>
      </c>
      <c r="G34" s="27">
        <v>1217.71</v>
      </c>
      <c r="H34" s="27">
        <v>-1217.71</v>
      </c>
      <c r="I34" s="27">
        <v>0</v>
      </c>
      <c r="J34" s="27">
        <f t="shared" si="4"/>
        <v>0</v>
      </c>
      <c r="K34" s="27">
        <f t="shared" si="5"/>
        <v>18580</v>
      </c>
      <c r="L34" s="27">
        <f t="shared" si="6"/>
        <v>19741.25</v>
      </c>
      <c r="M34" s="107">
        <f>L34*7/100+L34</f>
        <v>21123.137500000001</v>
      </c>
      <c r="N34" s="133">
        <f t="shared" si="7"/>
        <v>22601.757125</v>
      </c>
    </row>
    <row r="35" spans="1:14" x14ac:dyDescent="0.2">
      <c r="A35" s="25"/>
      <c r="B35" s="25"/>
      <c r="C35" s="26"/>
      <c r="D35" s="27"/>
      <c r="E35" s="27"/>
      <c r="F35" s="27"/>
      <c r="G35" s="27"/>
      <c r="H35" s="27"/>
      <c r="I35" s="27"/>
      <c r="J35" s="27"/>
      <c r="K35" s="27"/>
      <c r="L35" s="27"/>
      <c r="M35" s="107"/>
      <c r="N35" s="133"/>
    </row>
    <row r="36" spans="1:14" s="24" customFormat="1" ht="15" x14ac:dyDescent="0.25">
      <c r="A36" s="20"/>
      <c r="B36" s="20"/>
      <c r="C36" s="21" t="s">
        <v>137</v>
      </c>
      <c r="D36" s="22">
        <f>SUM(D29:D35)</f>
        <v>966036</v>
      </c>
      <c r="E36" s="22">
        <f>SUM(E29:E35)</f>
        <v>0</v>
      </c>
      <c r="F36" s="22">
        <f>SUM(F29:F35)</f>
        <v>0</v>
      </c>
      <c r="G36" s="22">
        <f>SUM(G29:G35)</f>
        <v>7306.26</v>
      </c>
      <c r="H36" s="22">
        <f>SUM(H29:H35)</f>
        <v>-7306.26</v>
      </c>
      <c r="I36" s="22">
        <v>44.94</v>
      </c>
      <c r="J36" s="27">
        <f>+K36-D36</f>
        <v>0</v>
      </c>
      <c r="K36" s="22">
        <f>SUM(K29:K35)</f>
        <v>966036</v>
      </c>
      <c r="L36" s="22">
        <f>SUM(L29:L35)</f>
        <v>1026413.25</v>
      </c>
      <c r="M36" s="134">
        <f>SUM(M29:M35)</f>
        <v>1098262.1775</v>
      </c>
      <c r="N36" s="134">
        <f>SUM(N29:N35)</f>
        <v>1175140.5299250002</v>
      </c>
    </row>
    <row r="37" spans="1:14" s="24" customFormat="1" ht="15" x14ac:dyDescent="0.25">
      <c r="A37" s="20"/>
      <c r="B37" s="20"/>
      <c r="C37" s="21"/>
      <c r="D37" s="22"/>
      <c r="E37" s="22"/>
      <c r="F37" s="22"/>
      <c r="G37" s="22"/>
      <c r="H37" s="22"/>
      <c r="I37" s="22"/>
      <c r="J37" s="27"/>
      <c r="K37" s="27"/>
      <c r="L37" s="22"/>
      <c r="M37" s="134"/>
      <c r="N37" s="132"/>
    </row>
    <row r="38" spans="1:14" s="24" customFormat="1" ht="15" x14ac:dyDescent="0.25">
      <c r="A38" s="20"/>
      <c r="B38" s="20"/>
      <c r="C38" s="21" t="s">
        <v>146</v>
      </c>
      <c r="D38" s="22">
        <f>D36</f>
        <v>966036</v>
      </c>
      <c r="E38" s="22">
        <f t="shared" ref="E38:N38" si="8">E36</f>
        <v>0</v>
      </c>
      <c r="F38" s="22">
        <f t="shared" si="8"/>
        <v>0</v>
      </c>
      <c r="G38" s="22">
        <f t="shared" si="8"/>
        <v>7306.26</v>
      </c>
      <c r="H38" s="22">
        <f t="shared" si="8"/>
        <v>-7306.26</v>
      </c>
      <c r="I38" s="22">
        <v>44.94</v>
      </c>
      <c r="J38" s="27">
        <f>+K38-D38</f>
        <v>0</v>
      </c>
      <c r="K38" s="22">
        <f t="shared" si="8"/>
        <v>966036</v>
      </c>
      <c r="L38" s="22">
        <f t="shared" si="8"/>
        <v>1026413.25</v>
      </c>
      <c r="M38" s="134">
        <f t="shared" si="8"/>
        <v>1098262.1775</v>
      </c>
      <c r="N38" s="134">
        <f t="shared" si="8"/>
        <v>1175140.5299250002</v>
      </c>
    </row>
    <row r="39" spans="1:14" s="24" customFormat="1" ht="15" x14ac:dyDescent="0.25">
      <c r="A39" s="20"/>
      <c r="B39" s="20"/>
      <c r="C39" s="21"/>
      <c r="D39" s="22"/>
      <c r="E39" s="22"/>
      <c r="F39" s="22"/>
      <c r="G39" s="22"/>
      <c r="H39" s="22"/>
      <c r="I39" s="22"/>
      <c r="J39" s="27"/>
      <c r="K39" s="27"/>
      <c r="L39" s="22"/>
      <c r="M39" s="134"/>
      <c r="N39" s="132"/>
    </row>
    <row r="40" spans="1:14" s="24" customFormat="1" ht="15" x14ac:dyDescent="0.25">
      <c r="A40" s="20"/>
      <c r="B40" s="20"/>
      <c r="C40" s="21" t="s">
        <v>147</v>
      </c>
      <c r="D40" s="22">
        <f>SUM(D38:D39)</f>
        <v>966036</v>
      </c>
      <c r="E40" s="22">
        <f>SUM(E38:E39)</f>
        <v>0</v>
      </c>
      <c r="F40" s="22">
        <f>SUM(F38:F39)</f>
        <v>0</v>
      </c>
      <c r="G40" s="22">
        <f>SUM(G38:G39)</f>
        <v>7306.26</v>
      </c>
      <c r="H40" s="22">
        <f>SUM(H38:H39)</f>
        <v>-7306.26</v>
      </c>
      <c r="I40" s="22">
        <v>44.94</v>
      </c>
      <c r="J40" s="27">
        <f>+K40-D40</f>
        <v>0</v>
      </c>
      <c r="K40" s="22">
        <f>SUM(K38:K39)</f>
        <v>966036</v>
      </c>
      <c r="L40" s="22">
        <f>SUM(L38:L39)</f>
        <v>1026413.25</v>
      </c>
      <c r="M40" s="134">
        <f>SUM(M38:M39)</f>
        <v>1098262.1775</v>
      </c>
      <c r="N40" s="134">
        <f>SUM(N38:N39)</f>
        <v>1175140.5299250002</v>
      </c>
    </row>
    <row r="41" spans="1:14" s="24" customFormat="1" ht="15" x14ac:dyDescent="0.25">
      <c r="A41" s="20"/>
      <c r="B41" s="20"/>
      <c r="C41" s="21"/>
      <c r="D41" s="22"/>
      <c r="E41" s="22"/>
      <c r="F41" s="22"/>
      <c r="G41" s="22"/>
      <c r="H41" s="22"/>
      <c r="I41" s="22"/>
      <c r="J41" s="27"/>
      <c r="K41" s="27"/>
      <c r="L41" s="22"/>
      <c r="M41" s="134"/>
      <c r="N41" s="132"/>
    </row>
    <row r="42" spans="1:14" s="24" customFormat="1" ht="15" x14ac:dyDescent="0.25">
      <c r="A42" s="20"/>
      <c r="B42" s="20"/>
      <c r="C42" s="21" t="s">
        <v>148</v>
      </c>
      <c r="D42" s="22"/>
      <c r="E42" s="22"/>
      <c r="F42" s="22"/>
      <c r="G42" s="22"/>
      <c r="H42" s="22"/>
      <c r="I42" s="22"/>
      <c r="J42" s="27">
        <f>+K42-D42</f>
        <v>0</v>
      </c>
      <c r="K42" s="27"/>
      <c r="L42" s="22"/>
      <c r="M42" s="134"/>
      <c r="N42" s="132"/>
    </row>
    <row r="43" spans="1:14" s="24" customFormat="1" ht="15" x14ac:dyDescent="0.25">
      <c r="A43" s="20"/>
      <c r="B43" s="20"/>
      <c r="C43" s="21" t="s">
        <v>149</v>
      </c>
      <c r="D43" s="22"/>
      <c r="E43" s="22"/>
      <c r="F43" s="22"/>
      <c r="G43" s="22"/>
      <c r="H43" s="22"/>
      <c r="I43" s="22"/>
      <c r="J43" s="27">
        <f>+K43-D43</f>
        <v>0</v>
      </c>
      <c r="K43" s="27"/>
      <c r="L43" s="22"/>
      <c r="M43" s="134"/>
      <c r="N43" s="132"/>
    </row>
    <row r="44" spans="1:14" s="24" customFormat="1" ht="15" x14ac:dyDescent="0.25">
      <c r="A44" s="20"/>
      <c r="B44" s="20"/>
      <c r="C44" s="21"/>
      <c r="D44" s="22"/>
      <c r="E44" s="22"/>
      <c r="F44" s="22"/>
      <c r="G44" s="22"/>
      <c r="H44" s="22"/>
      <c r="I44" s="22"/>
      <c r="J44" s="27"/>
      <c r="K44" s="27"/>
      <c r="L44" s="22"/>
      <c r="M44" s="134"/>
      <c r="N44" s="132"/>
    </row>
    <row r="45" spans="1:14" x14ac:dyDescent="0.2">
      <c r="A45" s="25" t="s">
        <v>1162</v>
      </c>
      <c r="B45" s="25"/>
      <c r="C45" s="26" t="s">
        <v>164</v>
      </c>
      <c r="D45" s="27">
        <f>VLOOKUP(A45,fin,3,FALSE)</f>
        <v>32457</v>
      </c>
      <c r="E45" s="27">
        <v>0</v>
      </c>
      <c r="F45" s="27">
        <v>0</v>
      </c>
      <c r="G45" s="27">
        <v>1217.71</v>
      </c>
      <c r="H45" s="27">
        <v>-1217.71</v>
      </c>
      <c r="I45" s="27">
        <v>0</v>
      </c>
      <c r="J45" s="27">
        <f>+K45-D45</f>
        <v>-32457</v>
      </c>
      <c r="K45" s="27">
        <f>VLOOKUP(A45,fin,4,FALSE)</f>
        <v>0</v>
      </c>
      <c r="L45" s="27">
        <f>VLOOKUP(A45,fin,5,FALSE)</f>
        <v>0</v>
      </c>
      <c r="M45" s="107">
        <f>L45*7/100+L45</f>
        <v>0</v>
      </c>
      <c r="N45" s="133">
        <f>M45*7/100+M45</f>
        <v>0</v>
      </c>
    </row>
    <row r="46" spans="1:14" x14ac:dyDescent="0.2">
      <c r="A46" s="25"/>
      <c r="B46" s="25"/>
      <c r="C46" s="26"/>
      <c r="D46" s="27"/>
      <c r="E46" s="27"/>
      <c r="F46" s="27"/>
      <c r="G46" s="27"/>
      <c r="H46" s="27"/>
      <c r="I46" s="27"/>
      <c r="J46" s="27"/>
      <c r="K46" s="27"/>
      <c r="L46" s="27"/>
      <c r="M46" s="107"/>
      <c r="N46" s="133"/>
    </row>
    <row r="47" spans="1:14" s="24" customFormat="1" ht="15" x14ac:dyDescent="0.25">
      <c r="A47" s="20"/>
      <c r="B47" s="20"/>
      <c r="C47" s="21" t="s">
        <v>165</v>
      </c>
      <c r="D47" s="22">
        <f>SUM(D45:D46)</f>
        <v>32457</v>
      </c>
      <c r="E47" s="22">
        <f>SUM(E45:E46)</f>
        <v>0</v>
      </c>
      <c r="F47" s="22">
        <f>SUM(F45:F46)</f>
        <v>0</v>
      </c>
      <c r="G47" s="22">
        <f>SUM(G45:G46)</f>
        <v>1217.71</v>
      </c>
      <c r="H47" s="22">
        <f>SUM(H45:H46)</f>
        <v>-1217.71</v>
      </c>
      <c r="I47" s="22">
        <v>0</v>
      </c>
      <c r="J47" s="27">
        <f>+K47-D47</f>
        <v>-32457</v>
      </c>
      <c r="K47" s="22">
        <f>SUM(K45:K46)</f>
        <v>0</v>
      </c>
      <c r="L47" s="22">
        <f>SUM(L45:L46)</f>
        <v>0</v>
      </c>
      <c r="M47" s="134">
        <f>SUM(M45:M46)</f>
        <v>0</v>
      </c>
      <c r="N47" s="134">
        <f>SUM(N45:N46)</f>
        <v>0</v>
      </c>
    </row>
    <row r="48" spans="1:14" x14ac:dyDescent="0.2">
      <c r="A48" s="25"/>
      <c r="B48" s="25"/>
      <c r="C48" s="26"/>
      <c r="D48" s="27"/>
      <c r="E48" s="27"/>
      <c r="F48" s="27"/>
      <c r="G48" s="27"/>
      <c r="H48" s="27"/>
      <c r="I48" s="27"/>
      <c r="J48" s="27"/>
      <c r="K48" s="27"/>
      <c r="L48" s="27"/>
      <c r="M48" s="107"/>
      <c r="N48" s="133"/>
    </row>
    <row r="49" spans="1:14" s="24" customFormat="1" ht="15" x14ac:dyDescent="0.25">
      <c r="A49" s="20"/>
      <c r="B49" s="20"/>
      <c r="C49" s="21" t="s">
        <v>177</v>
      </c>
      <c r="D49" s="22">
        <f>D47</f>
        <v>32457</v>
      </c>
      <c r="E49" s="22">
        <f t="shared" ref="E49:N49" si="9">E47</f>
        <v>0</v>
      </c>
      <c r="F49" s="22">
        <f t="shared" si="9"/>
        <v>0</v>
      </c>
      <c r="G49" s="22">
        <f t="shared" si="9"/>
        <v>1217.71</v>
      </c>
      <c r="H49" s="22">
        <f t="shared" si="9"/>
        <v>-1217.71</v>
      </c>
      <c r="I49" s="22">
        <v>0</v>
      </c>
      <c r="J49" s="27">
        <f>+K49-D49</f>
        <v>-32457</v>
      </c>
      <c r="K49" s="22">
        <f t="shared" si="9"/>
        <v>0</v>
      </c>
      <c r="L49" s="22">
        <f t="shared" si="9"/>
        <v>0</v>
      </c>
      <c r="M49" s="134">
        <f t="shared" si="9"/>
        <v>0</v>
      </c>
      <c r="N49" s="134">
        <f t="shared" si="9"/>
        <v>0</v>
      </c>
    </row>
    <row r="50" spans="1:14" s="24" customFormat="1" ht="15" x14ac:dyDescent="0.25">
      <c r="A50" s="20"/>
      <c r="B50" s="20"/>
      <c r="C50" s="21"/>
      <c r="D50" s="22"/>
      <c r="E50" s="22"/>
      <c r="F50" s="22"/>
      <c r="G50" s="22"/>
      <c r="H50" s="22"/>
      <c r="I50" s="22"/>
      <c r="J50" s="27"/>
      <c r="K50" s="27"/>
      <c r="L50" s="22"/>
      <c r="M50" s="134"/>
      <c r="N50" s="132"/>
    </row>
    <row r="51" spans="1:14" s="24" customFormat="1" ht="15" x14ac:dyDescent="0.25">
      <c r="A51" s="20"/>
      <c r="B51" s="20"/>
      <c r="C51" s="21" t="s">
        <v>178</v>
      </c>
      <c r="D51" s="22">
        <f>D40+D49</f>
        <v>998493</v>
      </c>
      <c r="E51" s="22">
        <v>72367.98</v>
      </c>
      <c r="F51" s="22">
        <v>0</v>
      </c>
      <c r="G51" s="22">
        <v>434207.88</v>
      </c>
      <c r="H51" s="22">
        <v>564285.12</v>
      </c>
      <c r="I51" s="22">
        <v>43.48</v>
      </c>
      <c r="J51" s="27">
        <f>+K51-D51</f>
        <v>-32457</v>
      </c>
      <c r="K51" s="22">
        <f>K40+K49</f>
        <v>966036</v>
      </c>
      <c r="L51" s="22">
        <f>L40+L49</f>
        <v>1026413.25</v>
      </c>
      <c r="M51" s="134">
        <f>M40+M49</f>
        <v>1098262.1775</v>
      </c>
      <c r="N51" s="134">
        <f>N40+N49</f>
        <v>1175140.5299250002</v>
      </c>
    </row>
    <row r="52" spans="1:14" s="24" customFormat="1" ht="15" x14ac:dyDescent="0.25">
      <c r="A52" s="20"/>
      <c r="B52" s="20"/>
      <c r="C52" s="21"/>
      <c r="D52" s="22"/>
      <c r="E52" s="22"/>
      <c r="F52" s="22"/>
      <c r="G52" s="22"/>
      <c r="H52" s="22"/>
      <c r="I52" s="22"/>
      <c r="J52" s="27"/>
      <c r="K52" s="27"/>
      <c r="L52" s="22"/>
      <c r="M52" s="134"/>
      <c r="N52" s="132"/>
    </row>
    <row r="53" spans="1:14" s="24" customFormat="1" ht="15" x14ac:dyDescent="0.25">
      <c r="A53" s="20"/>
      <c r="B53" s="20"/>
      <c r="C53" s="21" t="s">
        <v>241</v>
      </c>
      <c r="D53" s="22"/>
      <c r="E53" s="22"/>
      <c r="F53" s="22"/>
      <c r="G53" s="22"/>
      <c r="H53" s="22"/>
      <c r="I53" s="22"/>
      <c r="J53" s="27">
        <f>+K53-D53</f>
        <v>0</v>
      </c>
      <c r="K53" s="27"/>
      <c r="L53" s="22"/>
      <c r="M53" s="134"/>
      <c r="N53" s="132"/>
    </row>
    <row r="54" spans="1:14" x14ac:dyDescent="0.2">
      <c r="A54" s="25"/>
      <c r="B54" s="25"/>
      <c r="C54" s="26"/>
      <c r="D54" s="27"/>
      <c r="E54" s="27"/>
      <c r="F54" s="27"/>
      <c r="G54" s="27"/>
      <c r="H54" s="27"/>
      <c r="I54" s="27"/>
      <c r="J54" s="27"/>
      <c r="K54" s="27"/>
      <c r="L54" s="27"/>
      <c r="M54" s="107"/>
      <c r="N54" s="133"/>
    </row>
    <row r="55" spans="1:14" x14ac:dyDescent="0.2">
      <c r="A55" s="25" t="s">
        <v>1163</v>
      </c>
      <c r="B55" s="25"/>
      <c r="C55" s="26" t="s">
        <v>253</v>
      </c>
      <c r="D55" s="27">
        <f t="shared" ref="D55:D60" si="10">VLOOKUP(A55,fin,3,FALSE)</f>
        <v>2000</v>
      </c>
      <c r="E55" s="27">
        <v>0</v>
      </c>
      <c r="F55" s="27">
        <v>0</v>
      </c>
      <c r="G55" s="27">
        <v>1217.71</v>
      </c>
      <c r="H55" s="27">
        <v>-1217.71</v>
      </c>
      <c r="I55" s="27">
        <v>0</v>
      </c>
      <c r="J55" s="27">
        <f t="shared" ref="J55:J60" si="11">+K55-D55</f>
        <v>0</v>
      </c>
      <c r="K55" s="27">
        <f t="shared" ref="K55:K60" si="12">VLOOKUP(A55,fin,4,FALSE)</f>
        <v>2000</v>
      </c>
      <c r="L55" s="27">
        <v>2000</v>
      </c>
      <c r="M55" s="107">
        <v>2000</v>
      </c>
      <c r="N55" s="133">
        <v>2000</v>
      </c>
    </row>
    <row r="56" spans="1:14" x14ac:dyDescent="0.2">
      <c r="A56" s="25" t="s">
        <v>1164</v>
      </c>
      <c r="B56" s="25"/>
      <c r="C56" s="26" t="s">
        <v>265</v>
      </c>
      <c r="D56" s="27">
        <f t="shared" si="10"/>
        <v>0</v>
      </c>
      <c r="E56" s="27">
        <v>0</v>
      </c>
      <c r="F56" s="27">
        <v>0</v>
      </c>
      <c r="G56" s="27">
        <v>1217.71</v>
      </c>
      <c r="H56" s="27">
        <v>-1217.71</v>
      </c>
      <c r="I56" s="27">
        <v>0</v>
      </c>
      <c r="J56" s="27">
        <f t="shared" si="11"/>
        <v>10000</v>
      </c>
      <c r="K56" s="27">
        <f t="shared" si="12"/>
        <v>10000</v>
      </c>
      <c r="L56" s="27">
        <f>K56*4.5/100+K56</f>
        <v>10450</v>
      </c>
      <c r="M56" s="107">
        <f>L56*4.6/100+L56</f>
        <v>10930.7</v>
      </c>
      <c r="N56" s="133">
        <f>M56*4.6/100+M56</f>
        <v>11433.512200000001</v>
      </c>
    </row>
    <row r="57" spans="1:14" x14ac:dyDescent="0.2">
      <c r="A57" s="25" t="s">
        <v>1165</v>
      </c>
      <c r="B57" s="25"/>
      <c r="C57" s="26" t="s">
        <v>268</v>
      </c>
      <c r="D57" s="27">
        <f t="shared" si="10"/>
        <v>80329</v>
      </c>
      <c r="E57" s="27">
        <v>0</v>
      </c>
      <c r="F57" s="27">
        <v>0</v>
      </c>
      <c r="G57" s="27">
        <v>1217.71</v>
      </c>
      <c r="H57" s="27">
        <v>-1217.71</v>
      </c>
      <c r="I57" s="27">
        <v>0</v>
      </c>
      <c r="J57" s="27">
        <f t="shared" si="11"/>
        <v>40000</v>
      </c>
      <c r="K57" s="27">
        <f t="shared" si="12"/>
        <v>120329</v>
      </c>
      <c r="L57" s="27">
        <f>K57*4.5/100+K57</f>
        <v>125743.80499999999</v>
      </c>
      <c r="M57" s="107">
        <f t="shared" ref="M57:N60" si="13">L57*4.6/100+L57</f>
        <v>131528.02002999999</v>
      </c>
      <c r="N57" s="133">
        <f t="shared" si="13"/>
        <v>137578.30895137999</v>
      </c>
    </row>
    <row r="58" spans="1:14" x14ac:dyDescent="0.2">
      <c r="A58" s="25" t="s">
        <v>1166</v>
      </c>
      <c r="B58" s="25"/>
      <c r="C58" s="26" t="s">
        <v>268</v>
      </c>
      <c r="D58" s="27">
        <f t="shared" si="10"/>
        <v>73677</v>
      </c>
      <c r="E58" s="27">
        <v>0</v>
      </c>
      <c r="F58" s="27">
        <v>0</v>
      </c>
      <c r="G58" s="27">
        <v>1217.71</v>
      </c>
      <c r="H58" s="27">
        <v>-1217.71</v>
      </c>
      <c r="I58" s="27">
        <v>0</v>
      </c>
      <c r="J58" s="27">
        <f t="shared" si="11"/>
        <v>30000</v>
      </c>
      <c r="K58" s="27">
        <f t="shared" si="12"/>
        <v>103677</v>
      </c>
      <c r="L58" s="27">
        <f>K58*4.5/100+K58</f>
        <v>108342.465</v>
      </c>
      <c r="M58" s="107">
        <f t="shared" si="13"/>
        <v>113326.21838999999</v>
      </c>
      <c r="N58" s="133">
        <f t="shared" si="13"/>
        <v>118539.22443593999</v>
      </c>
    </row>
    <row r="59" spans="1:14" x14ac:dyDescent="0.2">
      <c r="A59" s="25" t="s">
        <v>1167</v>
      </c>
      <c r="B59" s="25"/>
      <c r="C59" s="26" t="s">
        <v>269</v>
      </c>
      <c r="D59" s="27">
        <f t="shared" si="10"/>
        <v>21200</v>
      </c>
      <c r="E59" s="27">
        <v>0</v>
      </c>
      <c r="F59" s="27">
        <v>0</v>
      </c>
      <c r="G59" s="27">
        <v>1217.71</v>
      </c>
      <c r="H59" s="27">
        <v>-1217.71</v>
      </c>
      <c r="I59" s="27">
        <v>0</v>
      </c>
      <c r="J59" s="27">
        <f t="shared" si="11"/>
        <v>-15000</v>
      </c>
      <c r="K59" s="27">
        <f t="shared" si="12"/>
        <v>6200</v>
      </c>
      <c r="L59" s="27">
        <f>K59*4.5/100+K59</f>
        <v>6479</v>
      </c>
      <c r="M59" s="107">
        <f t="shared" si="13"/>
        <v>6777.0339999999997</v>
      </c>
      <c r="N59" s="133">
        <f t="shared" si="13"/>
        <v>7088.777564</v>
      </c>
    </row>
    <row r="60" spans="1:14" x14ac:dyDescent="0.2">
      <c r="A60" s="25" t="s">
        <v>1168</v>
      </c>
      <c r="B60" s="25"/>
      <c r="C60" s="26" t="s">
        <v>272</v>
      </c>
      <c r="D60" s="27">
        <f t="shared" si="10"/>
        <v>34896</v>
      </c>
      <c r="E60" s="27">
        <v>0</v>
      </c>
      <c r="F60" s="27">
        <v>0</v>
      </c>
      <c r="G60" s="27">
        <v>1217.71</v>
      </c>
      <c r="H60" s="27">
        <v>-1217.71</v>
      </c>
      <c r="I60" s="27">
        <v>0</v>
      </c>
      <c r="J60" s="27">
        <f t="shared" si="11"/>
        <v>-15000</v>
      </c>
      <c r="K60" s="27">
        <f t="shared" si="12"/>
        <v>19896</v>
      </c>
      <c r="L60" s="27">
        <f>K60*4.5/100+K60</f>
        <v>20791.32</v>
      </c>
      <c r="M60" s="107">
        <f t="shared" si="13"/>
        <v>21747.720720000001</v>
      </c>
      <c r="N60" s="133">
        <f t="shared" si="13"/>
        <v>22748.115873120001</v>
      </c>
    </row>
    <row r="61" spans="1:14" x14ac:dyDescent="0.2">
      <c r="A61" s="25"/>
      <c r="B61" s="25"/>
      <c r="C61" s="26"/>
      <c r="D61" s="27"/>
      <c r="E61" s="27"/>
      <c r="F61" s="27"/>
      <c r="G61" s="27"/>
      <c r="H61" s="27"/>
      <c r="I61" s="27"/>
      <c r="J61" s="27"/>
      <c r="K61" s="27"/>
      <c r="L61" s="27"/>
      <c r="M61" s="107"/>
      <c r="N61" s="133"/>
    </row>
    <row r="62" spans="1:14" s="24" customFormat="1" ht="15" x14ac:dyDescent="0.25">
      <c r="A62" s="20"/>
      <c r="B62" s="20"/>
      <c r="C62" s="21" t="s">
        <v>274</v>
      </c>
      <c r="D62" s="22">
        <f>SUM(D55:D61)</f>
        <v>212102</v>
      </c>
      <c r="E62" s="22">
        <f>SUM(E55:E61)</f>
        <v>0</v>
      </c>
      <c r="F62" s="22">
        <f>SUM(F55:F61)</f>
        <v>0</v>
      </c>
      <c r="G62" s="22">
        <f>SUM(G55:G61)</f>
        <v>7306.26</v>
      </c>
      <c r="H62" s="22">
        <f>SUM(H55:H61)</f>
        <v>-7306.26</v>
      </c>
      <c r="I62" s="22">
        <v>77.69</v>
      </c>
      <c r="J62" s="27">
        <f>+K62-D62</f>
        <v>50000</v>
      </c>
      <c r="K62" s="22">
        <f>SUM(K55:K61)</f>
        <v>262102</v>
      </c>
      <c r="L62" s="22">
        <f>SUM(L55:L61)</f>
        <v>273806.58999999997</v>
      </c>
      <c r="M62" s="22">
        <f>SUM(M55:M61)</f>
        <v>286309.69313999999</v>
      </c>
      <c r="N62" s="22">
        <f>SUM(N55:N61)</f>
        <v>299387.93902444001</v>
      </c>
    </row>
    <row r="63" spans="1:14" s="24" customFormat="1" ht="15" x14ac:dyDescent="0.25">
      <c r="A63" s="20"/>
      <c r="B63" s="20"/>
      <c r="C63" s="21"/>
      <c r="D63" s="22"/>
      <c r="E63" s="22"/>
      <c r="F63" s="22"/>
      <c r="G63" s="22"/>
      <c r="H63" s="22"/>
      <c r="I63" s="22"/>
      <c r="J63" s="27"/>
      <c r="K63" s="27"/>
      <c r="L63" s="22"/>
      <c r="M63" s="134"/>
      <c r="N63" s="132"/>
    </row>
    <row r="64" spans="1:14" s="24" customFormat="1" ht="15" x14ac:dyDescent="0.25">
      <c r="A64" s="20"/>
      <c r="B64" s="20"/>
      <c r="C64" s="21" t="s">
        <v>275</v>
      </c>
      <c r="D64" s="22"/>
      <c r="E64" s="22"/>
      <c r="F64" s="22"/>
      <c r="G64" s="22"/>
      <c r="H64" s="22"/>
      <c r="I64" s="22"/>
      <c r="J64" s="27">
        <f>+K64-D64</f>
        <v>0</v>
      </c>
      <c r="K64" s="27"/>
      <c r="L64" s="22"/>
      <c r="M64" s="134"/>
      <c r="N64" s="132"/>
    </row>
    <row r="65" spans="1:14" x14ac:dyDescent="0.2">
      <c r="A65" s="25"/>
      <c r="B65" s="25"/>
      <c r="C65" s="26"/>
      <c r="D65" s="27"/>
      <c r="E65" s="27"/>
      <c r="F65" s="27"/>
      <c r="G65" s="27"/>
      <c r="H65" s="27"/>
      <c r="I65" s="27"/>
      <c r="J65" s="27"/>
      <c r="K65" s="27"/>
      <c r="L65" s="27"/>
      <c r="M65" s="107"/>
      <c r="N65" s="133"/>
    </row>
    <row r="66" spans="1:14" x14ac:dyDescent="0.2">
      <c r="A66" s="25" t="s">
        <v>1169</v>
      </c>
      <c r="B66" s="25"/>
      <c r="C66" s="26" t="s">
        <v>277</v>
      </c>
      <c r="D66" s="27">
        <f>VLOOKUP(A66,fin,3,FALSE)</f>
        <v>1967760</v>
      </c>
      <c r="E66" s="27">
        <v>0</v>
      </c>
      <c r="F66" s="27">
        <v>0</v>
      </c>
      <c r="G66" s="27">
        <v>1217.71</v>
      </c>
      <c r="H66" s="27">
        <v>-1217.71</v>
      </c>
      <c r="I66" s="27">
        <v>0</v>
      </c>
      <c r="J66" s="27">
        <f>+K66-D66</f>
        <v>0</v>
      </c>
      <c r="K66" s="27">
        <f>VLOOKUP(A66,fin,4,FALSE)</f>
        <v>1967760</v>
      </c>
      <c r="L66" s="27">
        <f>K66*4.5/100+K66</f>
        <v>2056309.2</v>
      </c>
      <c r="M66" s="107">
        <f>L66*4.6/100+L66</f>
        <v>2150899.4232000001</v>
      </c>
      <c r="N66" s="133">
        <f>M66*4.6/100+M66</f>
        <v>2249840.7966672</v>
      </c>
    </row>
    <row r="67" spans="1:14" x14ac:dyDescent="0.2">
      <c r="A67" s="25"/>
      <c r="B67" s="25"/>
      <c r="C67" s="26"/>
      <c r="D67" s="27"/>
      <c r="E67" s="27"/>
      <c r="F67" s="27"/>
      <c r="G67" s="27"/>
      <c r="H67" s="27"/>
      <c r="I67" s="27"/>
      <c r="J67" s="27"/>
      <c r="K67" s="27"/>
      <c r="L67" s="27"/>
      <c r="M67" s="107"/>
      <c r="N67" s="133"/>
    </row>
    <row r="68" spans="1:14" s="24" customFormat="1" ht="15" x14ac:dyDescent="0.25">
      <c r="A68" s="20"/>
      <c r="B68" s="20"/>
      <c r="C68" s="21" t="s">
        <v>279</v>
      </c>
      <c r="D68" s="22">
        <f>SUM(D66:D67)</f>
        <v>1967760</v>
      </c>
      <c r="E68" s="22">
        <f>SUM(E66:E67)</f>
        <v>0</v>
      </c>
      <c r="F68" s="22">
        <f>SUM(F66:F67)</f>
        <v>0</v>
      </c>
      <c r="G68" s="22">
        <f>SUM(G66:G67)</f>
        <v>1217.71</v>
      </c>
      <c r="H68" s="22">
        <f>SUM(H66:H67)</f>
        <v>-1217.71</v>
      </c>
      <c r="I68" s="22">
        <v>51.24</v>
      </c>
      <c r="J68" s="27">
        <f>+K68-D68</f>
        <v>0</v>
      </c>
      <c r="K68" s="22">
        <f>SUM(K66:K67)</f>
        <v>1967760</v>
      </c>
      <c r="L68" s="22">
        <f>SUM(L66:L67)</f>
        <v>2056309.2</v>
      </c>
      <c r="M68" s="134">
        <f>SUM(M66:M67)</f>
        <v>2150899.4232000001</v>
      </c>
      <c r="N68" s="134">
        <f>SUM(N66:N67)</f>
        <v>2249840.7966672</v>
      </c>
    </row>
    <row r="69" spans="1:14" s="24" customFormat="1" ht="15" x14ac:dyDescent="0.25">
      <c r="A69" s="20"/>
      <c r="B69" s="20"/>
      <c r="C69" s="21"/>
      <c r="D69" s="22"/>
      <c r="E69" s="22"/>
      <c r="F69" s="22"/>
      <c r="G69" s="22"/>
      <c r="H69" s="22"/>
      <c r="I69" s="22"/>
      <c r="J69" s="27"/>
      <c r="K69" s="27"/>
      <c r="L69" s="22"/>
      <c r="M69" s="134"/>
      <c r="N69" s="132"/>
    </row>
    <row r="70" spans="1:14" s="24" customFormat="1" ht="15" x14ac:dyDescent="0.25">
      <c r="A70" s="20"/>
      <c r="B70" s="20"/>
      <c r="C70" s="21" t="s">
        <v>305</v>
      </c>
      <c r="D70" s="22">
        <f>D51+D62+D68</f>
        <v>3178355</v>
      </c>
      <c r="E70" s="22">
        <f t="shared" ref="E70:N70" si="14">E51+E62+E68</f>
        <v>72367.98</v>
      </c>
      <c r="F70" s="22">
        <f t="shared" si="14"/>
        <v>0</v>
      </c>
      <c r="G70" s="22">
        <f t="shared" si="14"/>
        <v>442731.85000000003</v>
      </c>
      <c r="H70" s="22">
        <f t="shared" si="14"/>
        <v>555761.15</v>
      </c>
      <c r="I70" s="22">
        <v>50.57</v>
      </c>
      <c r="J70" s="27">
        <f>+K70-D70</f>
        <v>17543</v>
      </c>
      <c r="K70" s="22">
        <f t="shared" si="14"/>
        <v>3195898</v>
      </c>
      <c r="L70" s="22">
        <f t="shared" si="14"/>
        <v>3356529.04</v>
      </c>
      <c r="M70" s="134">
        <f t="shared" si="14"/>
        <v>3535471.2938399999</v>
      </c>
      <c r="N70" s="134">
        <f t="shared" si="14"/>
        <v>3724369.2656166404</v>
      </c>
    </row>
    <row r="71" spans="1:14" s="24" customFormat="1" ht="15" x14ac:dyDescent="0.25">
      <c r="A71" s="20"/>
      <c r="B71" s="20"/>
      <c r="C71" s="21"/>
      <c r="D71" s="22"/>
      <c r="E71" s="22"/>
      <c r="F71" s="22"/>
      <c r="G71" s="22"/>
      <c r="H71" s="22"/>
      <c r="I71" s="22"/>
      <c r="J71" s="27"/>
      <c r="K71" s="27"/>
      <c r="L71" s="22"/>
      <c r="M71" s="134"/>
      <c r="N71" s="132"/>
    </row>
    <row r="72" spans="1:14" s="24" customFormat="1" ht="15" x14ac:dyDescent="0.25">
      <c r="A72" s="20"/>
      <c r="B72" s="20"/>
      <c r="C72" s="21" t="s">
        <v>306</v>
      </c>
      <c r="D72" s="22">
        <f>D70</f>
        <v>3178355</v>
      </c>
      <c r="E72" s="22">
        <f t="shared" ref="E72:N72" si="15">E70</f>
        <v>72367.98</v>
      </c>
      <c r="F72" s="22">
        <f t="shared" si="15"/>
        <v>0</v>
      </c>
      <c r="G72" s="22">
        <f t="shared" si="15"/>
        <v>442731.85000000003</v>
      </c>
      <c r="H72" s="22">
        <f t="shared" si="15"/>
        <v>555761.15</v>
      </c>
      <c r="I72" s="22">
        <v>50.57</v>
      </c>
      <c r="J72" s="27">
        <f>+K72-D72</f>
        <v>17543</v>
      </c>
      <c r="K72" s="22">
        <f t="shared" si="15"/>
        <v>3195898</v>
      </c>
      <c r="L72" s="22">
        <f t="shared" si="15"/>
        <v>3356529.04</v>
      </c>
      <c r="M72" s="134">
        <f t="shared" si="15"/>
        <v>3535471.2938399999</v>
      </c>
      <c r="N72" s="134">
        <f t="shared" si="15"/>
        <v>3724369.2656166404</v>
      </c>
    </row>
    <row r="73" spans="1:14" s="24" customFormat="1" ht="15" x14ac:dyDescent="0.25">
      <c r="A73" s="20"/>
      <c r="B73" s="20"/>
      <c r="C73" s="21"/>
      <c r="D73" s="22"/>
      <c r="E73" s="22"/>
      <c r="F73" s="22"/>
      <c r="G73" s="22"/>
      <c r="H73" s="22"/>
      <c r="I73" s="22"/>
      <c r="J73" s="27"/>
      <c r="K73" s="27"/>
      <c r="L73" s="22"/>
      <c r="M73" s="134"/>
      <c r="N73" s="132"/>
    </row>
    <row r="74" spans="1:14" s="24" customFormat="1" ht="15" x14ac:dyDescent="0.25">
      <c r="A74" s="20"/>
      <c r="B74" s="20"/>
      <c r="C74" s="21" t="s">
        <v>1170</v>
      </c>
      <c r="D74" s="22"/>
      <c r="E74" s="22"/>
      <c r="F74" s="22"/>
      <c r="G74" s="22"/>
      <c r="H74" s="22"/>
      <c r="I74" s="22"/>
      <c r="J74" s="27">
        <f>+K74-D74</f>
        <v>0</v>
      </c>
      <c r="K74" s="27"/>
      <c r="L74" s="22"/>
      <c r="M74" s="134"/>
      <c r="N74" s="132"/>
    </row>
    <row r="75" spans="1:14" s="24" customFormat="1" ht="15" x14ac:dyDescent="0.25">
      <c r="A75" s="20"/>
      <c r="B75" s="20"/>
      <c r="C75" s="21" t="s">
        <v>96</v>
      </c>
      <c r="D75" s="22"/>
      <c r="E75" s="22"/>
      <c r="F75" s="22"/>
      <c r="G75" s="22"/>
      <c r="H75" s="22"/>
      <c r="I75" s="22"/>
      <c r="J75" s="27">
        <f>+K75-D75</f>
        <v>0</v>
      </c>
      <c r="K75" s="27"/>
      <c r="L75" s="22"/>
      <c r="M75" s="134"/>
      <c r="N75" s="132"/>
    </row>
    <row r="76" spans="1:14" s="24" customFormat="1" ht="15" x14ac:dyDescent="0.25">
      <c r="A76" s="20"/>
      <c r="B76" s="20"/>
      <c r="C76" s="21" t="s">
        <v>97</v>
      </c>
      <c r="D76" s="22"/>
      <c r="E76" s="22"/>
      <c r="F76" s="22"/>
      <c r="G76" s="22"/>
      <c r="H76" s="22"/>
      <c r="I76" s="22"/>
      <c r="J76" s="27">
        <f>+K76-D76</f>
        <v>0</v>
      </c>
      <c r="K76" s="27"/>
      <c r="L76" s="22"/>
      <c r="M76" s="134"/>
      <c r="N76" s="132"/>
    </row>
    <row r="77" spans="1:14" s="24" customFormat="1" ht="15" x14ac:dyDescent="0.25">
      <c r="A77" s="20"/>
      <c r="B77" s="20"/>
      <c r="C77" s="21" t="s">
        <v>148</v>
      </c>
      <c r="D77" s="22"/>
      <c r="E77" s="22"/>
      <c r="F77" s="22"/>
      <c r="G77" s="22"/>
      <c r="H77" s="22"/>
      <c r="I77" s="22"/>
      <c r="J77" s="27">
        <f>+K77-D77</f>
        <v>0</v>
      </c>
      <c r="K77" s="27"/>
      <c r="L77" s="22"/>
      <c r="M77" s="134"/>
      <c r="N77" s="132"/>
    </row>
    <row r="78" spans="1:14" s="24" customFormat="1" ht="15" x14ac:dyDescent="0.25">
      <c r="A78" s="20"/>
      <c r="B78" s="20"/>
      <c r="C78" s="21" t="s">
        <v>149</v>
      </c>
      <c r="D78" s="22"/>
      <c r="E78" s="22"/>
      <c r="F78" s="22"/>
      <c r="G78" s="22"/>
      <c r="H78" s="22"/>
      <c r="I78" s="22"/>
      <c r="J78" s="27">
        <f>+K78-D78</f>
        <v>0</v>
      </c>
      <c r="K78" s="27"/>
      <c r="L78" s="22"/>
      <c r="M78" s="134"/>
      <c r="N78" s="132"/>
    </row>
    <row r="79" spans="1:14" s="24" customFormat="1" ht="15" x14ac:dyDescent="0.25">
      <c r="A79" s="20"/>
      <c r="B79" s="20"/>
      <c r="C79" s="21"/>
      <c r="D79" s="22"/>
      <c r="E79" s="22"/>
      <c r="F79" s="22"/>
      <c r="G79" s="22"/>
      <c r="H79" s="22"/>
      <c r="I79" s="22"/>
      <c r="J79" s="27"/>
      <c r="K79" s="27"/>
      <c r="L79" s="22"/>
      <c r="M79" s="134"/>
      <c r="N79" s="132"/>
    </row>
    <row r="80" spans="1:14" x14ac:dyDescent="0.2">
      <c r="A80" s="25" t="s">
        <v>1171</v>
      </c>
      <c r="B80" s="25"/>
      <c r="C80" s="26" t="s">
        <v>150</v>
      </c>
      <c r="D80" s="27">
        <f t="shared" ref="D80:D88" si="16">VLOOKUP(A80,fin,3,FALSE)</f>
        <v>2357397</v>
      </c>
      <c r="E80" s="27">
        <v>0</v>
      </c>
      <c r="F80" s="27">
        <v>0</v>
      </c>
      <c r="G80" s="27">
        <v>1217.71</v>
      </c>
      <c r="H80" s="27">
        <v>-1217.71</v>
      </c>
      <c r="I80" s="27">
        <v>0</v>
      </c>
      <c r="J80" s="27">
        <f t="shared" ref="J80:J88" si="17">+K80-D80</f>
        <v>0</v>
      </c>
      <c r="K80" s="27">
        <f t="shared" ref="K80:K88" si="18">VLOOKUP(A80,fin,4,FALSE)</f>
        <v>2357397</v>
      </c>
      <c r="L80" s="27">
        <f>K80*6.25/100+K80</f>
        <v>2504734.3125</v>
      </c>
      <c r="M80" s="107">
        <f t="shared" ref="M80:N88" si="19">L80*7/100+L80</f>
        <v>2680065.714375</v>
      </c>
      <c r="N80" s="133">
        <f t="shared" si="19"/>
        <v>2867670.3143812502</v>
      </c>
    </row>
    <row r="81" spans="1:14" x14ac:dyDescent="0.2">
      <c r="A81" s="25" t="s">
        <v>1172</v>
      </c>
      <c r="B81" s="25"/>
      <c r="C81" s="26" t="s">
        <v>151</v>
      </c>
      <c r="D81" s="27">
        <f t="shared" si="16"/>
        <v>107339</v>
      </c>
      <c r="E81" s="27">
        <v>0</v>
      </c>
      <c r="F81" s="27">
        <v>0</v>
      </c>
      <c r="G81" s="27">
        <v>1217.71</v>
      </c>
      <c r="H81" s="27">
        <v>-1217.71</v>
      </c>
      <c r="I81" s="27">
        <v>0</v>
      </c>
      <c r="J81" s="27">
        <f t="shared" si="17"/>
        <v>-65003.549999999988</v>
      </c>
      <c r="K81" s="27">
        <f t="shared" si="18"/>
        <v>42335.450000000012</v>
      </c>
      <c r="L81" s="27">
        <f t="shared" ref="L81:L88" si="20">K81*6.25/100+K81</f>
        <v>44981.415625000009</v>
      </c>
      <c r="M81" s="107">
        <f t="shared" si="19"/>
        <v>48130.11471875001</v>
      </c>
      <c r="N81" s="133">
        <f t="shared" si="19"/>
        <v>51499.222749062508</v>
      </c>
    </row>
    <row r="82" spans="1:14" x14ac:dyDescent="0.2">
      <c r="A82" s="25" t="s">
        <v>1173</v>
      </c>
      <c r="B82" s="25"/>
      <c r="C82" s="26" t="s">
        <v>152</v>
      </c>
      <c r="D82" s="27">
        <f t="shared" si="16"/>
        <v>14100</v>
      </c>
      <c r="E82" s="27">
        <v>0</v>
      </c>
      <c r="F82" s="27">
        <v>0</v>
      </c>
      <c r="G82" s="27">
        <v>1217.71</v>
      </c>
      <c r="H82" s="27">
        <v>-1217.71</v>
      </c>
      <c r="I82" s="27">
        <v>0</v>
      </c>
      <c r="J82" s="27">
        <f t="shared" si="17"/>
        <v>0</v>
      </c>
      <c r="K82" s="27">
        <f t="shared" si="18"/>
        <v>14100</v>
      </c>
      <c r="L82" s="27">
        <f t="shared" si="20"/>
        <v>14981.25</v>
      </c>
      <c r="M82" s="107">
        <f t="shared" si="19"/>
        <v>16029.9375</v>
      </c>
      <c r="N82" s="133">
        <f t="shared" si="19"/>
        <v>17152.033125000002</v>
      </c>
    </row>
    <row r="83" spans="1:14" x14ac:dyDescent="0.2">
      <c r="A83" s="25" t="s">
        <v>1174</v>
      </c>
      <c r="B83" s="25"/>
      <c r="C83" s="26" t="s">
        <v>153</v>
      </c>
      <c r="D83" s="27">
        <f t="shared" si="16"/>
        <v>21786</v>
      </c>
      <c r="E83" s="27">
        <v>0</v>
      </c>
      <c r="F83" s="27">
        <v>0</v>
      </c>
      <c r="G83" s="27">
        <v>1217.71</v>
      </c>
      <c r="H83" s="27">
        <v>-1217.71</v>
      </c>
      <c r="I83" s="27">
        <v>0</v>
      </c>
      <c r="J83" s="27">
        <f t="shared" si="17"/>
        <v>0</v>
      </c>
      <c r="K83" s="27">
        <f t="shared" si="18"/>
        <v>21786</v>
      </c>
      <c r="L83" s="27">
        <f t="shared" si="20"/>
        <v>23147.625</v>
      </c>
      <c r="M83" s="107">
        <f t="shared" si="19"/>
        <v>24767.958750000002</v>
      </c>
      <c r="N83" s="133">
        <f t="shared" si="19"/>
        <v>26501.715862500001</v>
      </c>
    </row>
    <row r="84" spans="1:14" x14ac:dyDescent="0.2">
      <c r="A84" s="25" t="s">
        <v>1175</v>
      </c>
      <c r="B84" s="25"/>
      <c r="C84" s="26" t="s">
        <v>155</v>
      </c>
      <c r="D84" s="27">
        <f t="shared" si="16"/>
        <v>76225</v>
      </c>
      <c r="E84" s="27">
        <v>0</v>
      </c>
      <c r="F84" s="27">
        <v>0</v>
      </c>
      <c r="G84" s="27">
        <v>1217.71</v>
      </c>
      <c r="H84" s="27">
        <v>-1217.71</v>
      </c>
      <c r="I84" s="27">
        <v>0</v>
      </c>
      <c r="J84" s="27">
        <f t="shared" si="17"/>
        <v>0</v>
      </c>
      <c r="K84" s="27">
        <f t="shared" si="18"/>
        <v>76225</v>
      </c>
      <c r="L84" s="27">
        <f t="shared" si="20"/>
        <v>80989.0625</v>
      </c>
      <c r="M84" s="107">
        <f t="shared" si="19"/>
        <v>86658.296875</v>
      </c>
      <c r="N84" s="133">
        <f t="shared" si="19"/>
        <v>92724.377656249999</v>
      </c>
    </row>
    <row r="85" spans="1:14" x14ac:dyDescent="0.2">
      <c r="A85" s="25" t="s">
        <v>1176</v>
      </c>
      <c r="B85" s="25"/>
      <c r="C85" s="26" t="s">
        <v>156</v>
      </c>
      <c r="D85" s="27">
        <f t="shared" si="16"/>
        <v>91702</v>
      </c>
      <c r="E85" s="27">
        <v>0</v>
      </c>
      <c r="F85" s="27">
        <v>0</v>
      </c>
      <c r="G85" s="27">
        <v>1217.71</v>
      </c>
      <c r="H85" s="27">
        <v>-1217.71</v>
      </c>
      <c r="I85" s="27">
        <v>0</v>
      </c>
      <c r="J85" s="27">
        <f t="shared" si="17"/>
        <v>0</v>
      </c>
      <c r="K85" s="27">
        <f t="shared" si="18"/>
        <v>91702</v>
      </c>
      <c r="L85" s="27">
        <f t="shared" si="20"/>
        <v>97433.375</v>
      </c>
      <c r="M85" s="107">
        <f t="shared" si="19"/>
        <v>104253.71124999999</v>
      </c>
      <c r="N85" s="133">
        <f t="shared" si="19"/>
        <v>111551.4710375</v>
      </c>
    </row>
    <row r="86" spans="1:14" x14ac:dyDescent="0.2">
      <c r="A86" s="25" t="s">
        <v>1177</v>
      </c>
      <c r="B86" s="25"/>
      <c r="C86" s="26" t="s">
        <v>157</v>
      </c>
      <c r="D86" s="27">
        <f t="shared" si="16"/>
        <v>98324</v>
      </c>
      <c r="E86" s="27">
        <v>0</v>
      </c>
      <c r="F86" s="27">
        <v>0</v>
      </c>
      <c r="G86" s="27">
        <v>1217.71</v>
      </c>
      <c r="H86" s="27">
        <v>-1217.71</v>
      </c>
      <c r="I86" s="27">
        <v>0</v>
      </c>
      <c r="J86" s="27">
        <f t="shared" si="17"/>
        <v>-60000</v>
      </c>
      <c r="K86" s="27">
        <f t="shared" si="18"/>
        <v>38324</v>
      </c>
      <c r="L86" s="27">
        <f t="shared" si="20"/>
        <v>40719.25</v>
      </c>
      <c r="M86" s="107">
        <f t="shared" si="19"/>
        <v>43569.597500000003</v>
      </c>
      <c r="N86" s="133">
        <f t="shared" si="19"/>
        <v>46619.469325000005</v>
      </c>
    </row>
    <row r="87" spans="1:14" x14ac:dyDescent="0.2">
      <c r="A87" s="25" t="s">
        <v>1178</v>
      </c>
      <c r="B87" s="25"/>
      <c r="C87" s="26" t="s">
        <v>159</v>
      </c>
      <c r="D87" s="27">
        <f t="shared" si="16"/>
        <v>193210</v>
      </c>
      <c r="E87" s="27">
        <v>0</v>
      </c>
      <c r="F87" s="27">
        <v>0</v>
      </c>
      <c r="G87" s="27">
        <v>1217.71</v>
      </c>
      <c r="H87" s="27">
        <v>-1217.71</v>
      </c>
      <c r="I87" s="27">
        <v>0</v>
      </c>
      <c r="J87" s="27">
        <f t="shared" si="17"/>
        <v>0</v>
      </c>
      <c r="K87" s="27">
        <f t="shared" si="18"/>
        <v>193210</v>
      </c>
      <c r="L87" s="27">
        <f t="shared" si="20"/>
        <v>205285.625</v>
      </c>
      <c r="M87" s="107">
        <f t="shared" si="19"/>
        <v>219655.61874999999</v>
      </c>
      <c r="N87" s="133">
        <f t="shared" si="19"/>
        <v>235031.5120625</v>
      </c>
    </row>
    <row r="88" spans="1:14" x14ac:dyDescent="0.2">
      <c r="A88" s="25" t="s">
        <v>1179</v>
      </c>
      <c r="B88" s="25"/>
      <c r="C88" s="26" t="s">
        <v>162</v>
      </c>
      <c r="D88" s="27">
        <f t="shared" si="16"/>
        <v>0</v>
      </c>
      <c r="E88" s="27">
        <v>0</v>
      </c>
      <c r="F88" s="27">
        <v>0</v>
      </c>
      <c r="G88" s="27">
        <v>1217.71</v>
      </c>
      <c r="H88" s="27">
        <v>-1217.71</v>
      </c>
      <c r="I88" s="27">
        <v>0</v>
      </c>
      <c r="J88" s="27">
        <f t="shared" si="17"/>
        <v>60000</v>
      </c>
      <c r="K88" s="27">
        <f t="shared" si="18"/>
        <v>60000</v>
      </c>
      <c r="L88" s="27">
        <f t="shared" si="20"/>
        <v>63750</v>
      </c>
      <c r="M88" s="107">
        <f t="shared" si="19"/>
        <v>68212.5</v>
      </c>
      <c r="N88" s="133">
        <f t="shared" si="19"/>
        <v>72987.375</v>
      </c>
    </row>
    <row r="89" spans="1:14" x14ac:dyDescent="0.2">
      <c r="A89" s="25"/>
      <c r="B89" s="25"/>
      <c r="C89" s="26"/>
      <c r="D89" s="27"/>
      <c r="E89" s="27"/>
      <c r="F89" s="27"/>
      <c r="G89" s="27"/>
      <c r="H89" s="27"/>
      <c r="I89" s="27"/>
      <c r="J89" s="27"/>
      <c r="K89" s="27"/>
      <c r="L89" s="27"/>
      <c r="M89" s="107"/>
      <c r="N89" s="133"/>
    </row>
    <row r="90" spans="1:14" s="24" customFormat="1" ht="15" x14ac:dyDescent="0.25">
      <c r="A90" s="20"/>
      <c r="B90" s="20"/>
      <c r="C90" s="21" t="s">
        <v>165</v>
      </c>
      <c r="D90" s="22">
        <f>SUM(D80:D89)</f>
        <v>2960083</v>
      </c>
      <c r="E90" s="22">
        <f>SUM(E80:E89)</f>
        <v>0</v>
      </c>
      <c r="F90" s="22">
        <f>SUM(F80:F89)</f>
        <v>0</v>
      </c>
      <c r="G90" s="22">
        <f>SUM(G80:G89)</f>
        <v>10959.39</v>
      </c>
      <c r="H90" s="22">
        <f>SUM(H80:H89)</f>
        <v>-10959.39</v>
      </c>
      <c r="I90" s="22">
        <v>35.81</v>
      </c>
      <c r="J90" s="27">
        <f>+K90-D90</f>
        <v>-65003.549999999814</v>
      </c>
      <c r="K90" s="22">
        <f>SUM(K80:K89)</f>
        <v>2895079.45</v>
      </c>
      <c r="L90" s="22">
        <f>SUM(L80:L89)</f>
        <v>3076021.9156249999</v>
      </c>
      <c r="M90" s="134">
        <f>SUM(M80:M89)</f>
        <v>3291343.4497187505</v>
      </c>
      <c r="N90" s="134">
        <f>SUM(N80:N89)</f>
        <v>3521737.4911990622</v>
      </c>
    </row>
    <row r="91" spans="1:14" s="24" customFormat="1" ht="15" x14ac:dyDescent="0.25">
      <c r="A91" s="20"/>
      <c r="B91" s="20"/>
      <c r="C91" s="21"/>
      <c r="D91" s="22"/>
      <c r="E91" s="22"/>
      <c r="F91" s="22"/>
      <c r="G91" s="22"/>
      <c r="H91" s="22"/>
      <c r="I91" s="22"/>
      <c r="J91" s="27"/>
      <c r="K91" s="27"/>
      <c r="L91" s="22"/>
      <c r="M91" s="134"/>
      <c r="N91" s="132"/>
    </row>
    <row r="92" spans="1:14" s="24" customFormat="1" ht="15" x14ac:dyDescent="0.25">
      <c r="A92" s="20"/>
      <c r="B92" s="20"/>
      <c r="C92" s="21" t="s">
        <v>166</v>
      </c>
      <c r="D92" s="22"/>
      <c r="E92" s="22"/>
      <c r="F92" s="22"/>
      <c r="G92" s="22"/>
      <c r="H92" s="22"/>
      <c r="I92" s="22"/>
      <c r="J92" s="27">
        <f>+K92-D92</f>
        <v>0</v>
      </c>
      <c r="K92" s="27"/>
      <c r="L92" s="22"/>
      <c r="M92" s="134"/>
      <c r="N92" s="132"/>
    </row>
    <row r="93" spans="1:14" x14ac:dyDescent="0.2">
      <c r="A93" s="25"/>
      <c r="B93" s="25"/>
      <c r="C93" s="26"/>
      <c r="D93" s="27"/>
      <c r="E93" s="27"/>
      <c r="F93" s="27"/>
      <c r="G93" s="27"/>
      <c r="H93" s="27"/>
      <c r="I93" s="27"/>
      <c r="J93" s="27"/>
      <c r="K93" s="27"/>
      <c r="L93" s="27"/>
      <c r="M93" s="107"/>
      <c r="N93" s="133"/>
    </row>
    <row r="94" spans="1:14" x14ac:dyDescent="0.2">
      <c r="A94" s="25" t="s">
        <v>1180</v>
      </c>
      <c r="B94" s="25"/>
      <c r="C94" s="26" t="s">
        <v>167</v>
      </c>
      <c r="D94" s="27">
        <f>VLOOKUP(A94,fin,3,FALSE)</f>
        <v>1124</v>
      </c>
      <c r="E94" s="27">
        <v>0</v>
      </c>
      <c r="F94" s="27">
        <v>0</v>
      </c>
      <c r="G94" s="27">
        <v>1217.71</v>
      </c>
      <c r="H94" s="27">
        <v>-1217.71</v>
      </c>
      <c r="I94" s="27">
        <v>0</v>
      </c>
      <c r="J94" s="27">
        <f>+K94-D94</f>
        <v>0</v>
      </c>
      <c r="K94" s="27">
        <f>VLOOKUP(A94,fin,4,FALSE)</f>
        <v>1124</v>
      </c>
      <c r="L94" s="27">
        <f>K94*6.25/100+K94</f>
        <v>1194.25</v>
      </c>
      <c r="M94" s="107">
        <f t="shared" ref="M94:N97" si="21">L94*7/100+L94</f>
        <v>1277.8475000000001</v>
      </c>
      <c r="N94" s="133">
        <f t="shared" si="21"/>
        <v>1367.2968250000001</v>
      </c>
    </row>
    <row r="95" spans="1:14" x14ac:dyDescent="0.2">
      <c r="A95" s="25" t="s">
        <v>1181</v>
      </c>
      <c r="B95" s="25"/>
      <c r="C95" s="26" t="s">
        <v>168</v>
      </c>
      <c r="D95" s="27">
        <f>VLOOKUP(A95,fin,3,FALSE)</f>
        <v>100786</v>
      </c>
      <c r="E95" s="27">
        <v>0</v>
      </c>
      <c r="F95" s="27">
        <v>0</v>
      </c>
      <c r="G95" s="27">
        <v>1217.71</v>
      </c>
      <c r="H95" s="27">
        <v>-1217.71</v>
      </c>
      <c r="I95" s="27">
        <v>0</v>
      </c>
      <c r="J95" s="27">
        <f>+K95-D95</f>
        <v>0</v>
      </c>
      <c r="K95" s="27">
        <f>VLOOKUP(A95,fin,4,FALSE)</f>
        <v>100786</v>
      </c>
      <c r="L95" s="27">
        <f>K95*6.25/100+K95</f>
        <v>107085.125</v>
      </c>
      <c r="M95" s="107">
        <f t="shared" si="21"/>
        <v>114581.08375000001</v>
      </c>
      <c r="N95" s="133">
        <f t="shared" si="21"/>
        <v>122601.7596125</v>
      </c>
    </row>
    <row r="96" spans="1:14" x14ac:dyDescent="0.2">
      <c r="A96" s="25" t="s">
        <v>1182</v>
      </c>
      <c r="B96" s="25"/>
      <c r="C96" s="26" t="s">
        <v>169</v>
      </c>
      <c r="D96" s="27">
        <f>VLOOKUP(A96,fin,3,FALSE)</f>
        <v>510074</v>
      </c>
      <c r="E96" s="27">
        <v>0</v>
      </c>
      <c r="F96" s="27">
        <v>0</v>
      </c>
      <c r="G96" s="27">
        <v>1217.71</v>
      </c>
      <c r="H96" s="27">
        <v>-1217.71</v>
      </c>
      <c r="I96" s="27">
        <v>0</v>
      </c>
      <c r="J96" s="27">
        <f>+K96-D96</f>
        <v>0</v>
      </c>
      <c r="K96" s="27">
        <f>VLOOKUP(A96,fin,4,FALSE)</f>
        <v>510074</v>
      </c>
      <c r="L96" s="27">
        <f>K96*6.25/100+K96</f>
        <v>541953.625</v>
      </c>
      <c r="M96" s="107">
        <f t="shared" si="21"/>
        <v>579890.37875000003</v>
      </c>
      <c r="N96" s="133">
        <f t="shared" si="21"/>
        <v>620482.70526250009</v>
      </c>
    </row>
    <row r="97" spans="1:14" x14ac:dyDescent="0.2">
      <c r="A97" s="25" t="s">
        <v>1183</v>
      </c>
      <c r="B97" s="25"/>
      <c r="C97" s="26" t="s">
        <v>170</v>
      </c>
      <c r="D97" s="27">
        <f>VLOOKUP(A97,fin,3,FALSE)</f>
        <v>19635</v>
      </c>
      <c r="E97" s="27">
        <v>0</v>
      </c>
      <c r="F97" s="27">
        <v>0</v>
      </c>
      <c r="G97" s="27">
        <v>1217.71</v>
      </c>
      <c r="H97" s="27">
        <v>-1217.71</v>
      </c>
      <c r="I97" s="27">
        <v>0</v>
      </c>
      <c r="J97" s="27">
        <f>+K97-D97</f>
        <v>0</v>
      </c>
      <c r="K97" s="27">
        <f>VLOOKUP(A97,fin,4,FALSE)</f>
        <v>19635</v>
      </c>
      <c r="L97" s="27">
        <f>K97*6.25/100+K97</f>
        <v>20862.1875</v>
      </c>
      <c r="M97" s="107">
        <f t="shared" si="21"/>
        <v>22322.540625000001</v>
      </c>
      <c r="N97" s="133">
        <f t="shared" si="21"/>
        <v>23885.118468750003</v>
      </c>
    </row>
    <row r="98" spans="1:14" x14ac:dyDescent="0.2">
      <c r="A98" s="25"/>
      <c r="B98" s="25"/>
      <c r="C98" s="26"/>
      <c r="D98" s="27"/>
      <c r="E98" s="27"/>
      <c r="F98" s="27"/>
      <c r="G98" s="27"/>
      <c r="H98" s="27"/>
      <c r="I98" s="27"/>
      <c r="J98" s="27"/>
      <c r="K98" s="27"/>
      <c r="L98" s="27"/>
      <c r="M98" s="107"/>
      <c r="N98" s="133"/>
    </row>
    <row r="99" spans="1:14" s="24" customFormat="1" ht="15" x14ac:dyDescent="0.25">
      <c r="A99" s="20"/>
      <c r="B99" s="20"/>
      <c r="C99" s="21" t="s">
        <v>171</v>
      </c>
      <c r="D99" s="22">
        <f>SUM(D94:D98)</f>
        <v>631619</v>
      </c>
      <c r="E99" s="22">
        <f>SUM(E94:E98)</f>
        <v>0</v>
      </c>
      <c r="F99" s="22">
        <f>SUM(F94:F98)</f>
        <v>0</v>
      </c>
      <c r="G99" s="22">
        <f>SUM(G94:G98)</f>
        <v>4870.84</v>
      </c>
      <c r="H99" s="22">
        <f>SUM(H94:H98)</f>
        <v>-4870.84</v>
      </c>
      <c r="I99" s="22">
        <v>35.380000000000003</v>
      </c>
      <c r="J99" s="27">
        <f>+K99-D99</f>
        <v>0</v>
      </c>
      <c r="K99" s="22">
        <f>SUM(K94:K98)</f>
        <v>631619</v>
      </c>
      <c r="L99" s="22">
        <f>SUM(L94:L98)</f>
        <v>671095.1875</v>
      </c>
      <c r="M99" s="134">
        <f>SUM(M94:M98)</f>
        <v>718071.85062500008</v>
      </c>
      <c r="N99" s="134">
        <f>SUM(N94:N98)</f>
        <v>768336.88016875018</v>
      </c>
    </row>
    <row r="100" spans="1:14" s="24" customFormat="1" ht="15" x14ac:dyDescent="0.25">
      <c r="A100" s="20"/>
      <c r="B100" s="20"/>
      <c r="C100" s="21"/>
      <c r="D100" s="22"/>
      <c r="E100" s="22"/>
      <c r="F100" s="22"/>
      <c r="G100" s="22"/>
      <c r="H100" s="22"/>
      <c r="I100" s="22"/>
      <c r="J100" s="27"/>
      <c r="K100" s="27"/>
      <c r="L100" s="22"/>
      <c r="M100" s="134"/>
      <c r="N100" s="132"/>
    </row>
    <row r="101" spans="1:14" s="24" customFormat="1" ht="15" x14ac:dyDescent="0.25">
      <c r="A101" s="20"/>
      <c r="B101" s="20"/>
      <c r="C101" s="21" t="s">
        <v>172</v>
      </c>
      <c r="D101" s="22"/>
      <c r="E101" s="22"/>
      <c r="F101" s="22"/>
      <c r="G101" s="22"/>
      <c r="H101" s="22"/>
      <c r="I101" s="22"/>
      <c r="J101" s="27">
        <f>+K101-D101</f>
        <v>0</v>
      </c>
      <c r="K101" s="27"/>
      <c r="L101" s="22"/>
      <c r="M101" s="134"/>
      <c r="N101" s="132"/>
    </row>
    <row r="102" spans="1:14" x14ac:dyDescent="0.2">
      <c r="A102" s="25"/>
      <c r="B102" s="25"/>
      <c r="C102" s="26"/>
      <c r="D102" s="27"/>
      <c r="E102" s="27"/>
      <c r="F102" s="27"/>
      <c r="G102" s="27"/>
      <c r="H102" s="27"/>
      <c r="I102" s="27"/>
      <c r="J102" s="27"/>
      <c r="K102" s="27"/>
      <c r="L102" s="27"/>
      <c r="M102" s="107"/>
      <c r="N102" s="133"/>
    </row>
    <row r="103" spans="1:14" x14ac:dyDescent="0.2">
      <c r="A103" s="25" t="s">
        <v>1184</v>
      </c>
      <c r="B103" s="25"/>
      <c r="C103" s="26" t="s">
        <v>173</v>
      </c>
      <c r="D103" s="27">
        <f>VLOOKUP(A103,fin,3,FALSE)</f>
        <v>13532</v>
      </c>
      <c r="E103" s="27">
        <v>0</v>
      </c>
      <c r="F103" s="27">
        <v>0</v>
      </c>
      <c r="G103" s="27">
        <v>1217.71</v>
      </c>
      <c r="H103" s="27">
        <v>-1217.71</v>
      </c>
      <c r="I103" s="27">
        <v>0</v>
      </c>
      <c r="J103" s="27">
        <f>+K103-D103</f>
        <v>0</v>
      </c>
      <c r="K103" s="27">
        <f>VLOOKUP(A103,fin,4,FALSE)</f>
        <v>13532</v>
      </c>
      <c r="L103" s="27">
        <f>K103*6.25/100+K103</f>
        <v>14377.75</v>
      </c>
      <c r="M103" s="107">
        <f t="shared" ref="M103:N105" si="22">L103*7/100+L103</f>
        <v>15384.192499999999</v>
      </c>
      <c r="N103" s="133">
        <f t="shared" si="22"/>
        <v>16461.085974999998</v>
      </c>
    </row>
    <row r="104" spans="1:14" x14ac:dyDescent="0.2">
      <c r="A104" s="25" t="s">
        <v>1185</v>
      </c>
      <c r="B104" s="25"/>
      <c r="C104" s="26" t="s">
        <v>174</v>
      </c>
      <c r="D104" s="27">
        <f>VLOOKUP(A104,fin,3,FALSE)</f>
        <v>8126</v>
      </c>
      <c r="E104" s="27">
        <v>0</v>
      </c>
      <c r="F104" s="27">
        <v>0</v>
      </c>
      <c r="G104" s="27">
        <v>1217.71</v>
      </c>
      <c r="H104" s="27">
        <v>-1217.71</v>
      </c>
      <c r="I104" s="27">
        <v>0</v>
      </c>
      <c r="J104" s="27">
        <f>+K104-D104</f>
        <v>0</v>
      </c>
      <c r="K104" s="27">
        <f>VLOOKUP(A104,fin,4,FALSE)</f>
        <v>8126</v>
      </c>
      <c r="L104" s="27">
        <f>K104*6.25/100+K104</f>
        <v>8633.875</v>
      </c>
      <c r="M104" s="107">
        <f t="shared" si="22"/>
        <v>9238.2462500000001</v>
      </c>
      <c r="N104" s="133">
        <f t="shared" si="22"/>
        <v>9884.9234875000002</v>
      </c>
    </row>
    <row r="105" spans="1:14" x14ac:dyDescent="0.2">
      <c r="A105" s="25" t="s">
        <v>1186</v>
      </c>
      <c r="B105" s="25"/>
      <c r="C105" s="26" t="s">
        <v>175</v>
      </c>
      <c r="D105" s="27">
        <f>VLOOKUP(A105,fin,3,FALSE)</f>
        <v>23049</v>
      </c>
      <c r="E105" s="27">
        <v>0</v>
      </c>
      <c r="F105" s="27">
        <v>0</v>
      </c>
      <c r="G105" s="27">
        <v>1217.71</v>
      </c>
      <c r="H105" s="27">
        <v>-1217.71</v>
      </c>
      <c r="I105" s="27">
        <v>0</v>
      </c>
      <c r="J105" s="27">
        <f>+K105-D105</f>
        <v>0</v>
      </c>
      <c r="K105" s="27">
        <f>VLOOKUP(A105,fin,4,FALSE)</f>
        <v>23049</v>
      </c>
      <c r="L105" s="27">
        <f>K105*6.25/100+K105</f>
        <v>24489.5625</v>
      </c>
      <c r="M105" s="107">
        <f t="shared" si="22"/>
        <v>26203.831875</v>
      </c>
      <c r="N105" s="133">
        <f t="shared" si="22"/>
        <v>28038.10010625</v>
      </c>
    </row>
    <row r="106" spans="1:14" x14ac:dyDescent="0.2">
      <c r="A106" s="25"/>
      <c r="B106" s="25"/>
      <c r="C106" s="26"/>
      <c r="D106" s="27"/>
      <c r="E106" s="27"/>
      <c r="F106" s="27"/>
      <c r="G106" s="27"/>
      <c r="H106" s="27"/>
      <c r="I106" s="27"/>
      <c r="J106" s="27"/>
      <c r="K106" s="27"/>
      <c r="L106" s="27"/>
      <c r="M106" s="107"/>
      <c r="N106" s="133"/>
    </row>
    <row r="107" spans="1:14" s="24" customFormat="1" ht="15" x14ac:dyDescent="0.25">
      <c r="A107" s="20"/>
      <c r="B107" s="20"/>
      <c r="C107" s="21" t="s">
        <v>176</v>
      </c>
      <c r="D107" s="22">
        <f>SUM(D103:D106)</f>
        <v>44707</v>
      </c>
      <c r="E107" s="22">
        <f>SUM(E103:E106)</f>
        <v>0</v>
      </c>
      <c r="F107" s="22">
        <f>SUM(F103:F106)</f>
        <v>0</v>
      </c>
      <c r="G107" s="22">
        <f>SUM(G103:G106)</f>
        <v>3653.13</v>
      </c>
      <c r="H107" s="22">
        <f>SUM(H103:H106)</f>
        <v>-3653.13</v>
      </c>
      <c r="I107" s="22">
        <v>0</v>
      </c>
      <c r="J107" s="27">
        <f>+K107-D107</f>
        <v>0</v>
      </c>
      <c r="K107" s="22">
        <f>SUM(K103:K106)</f>
        <v>44707</v>
      </c>
      <c r="L107" s="22">
        <f>SUM(L103:L106)</f>
        <v>47501.1875</v>
      </c>
      <c r="M107" s="134">
        <f>SUM(M103:M106)</f>
        <v>50826.270625000005</v>
      </c>
      <c r="N107" s="134">
        <f>SUM(N103:N106)</f>
        <v>54384.109568749998</v>
      </c>
    </row>
    <row r="108" spans="1:14" s="24" customFormat="1" ht="15" x14ac:dyDescent="0.25">
      <c r="A108" s="20"/>
      <c r="B108" s="20"/>
      <c r="C108" s="21"/>
      <c r="D108" s="22"/>
      <c r="E108" s="22"/>
      <c r="F108" s="22"/>
      <c r="G108" s="22"/>
      <c r="H108" s="22"/>
      <c r="I108" s="22"/>
      <c r="J108" s="27"/>
      <c r="K108" s="27"/>
      <c r="L108" s="22"/>
      <c r="M108" s="134"/>
      <c r="N108" s="132"/>
    </row>
    <row r="109" spans="1:14" s="24" customFormat="1" ht="15" x14ac:dyDescent="0.25">
      <c r="A109" s="20"/>
      <c r="B109" s="20"/>
      <c r="C109" s="21" t="s">
        <v>177</v>
      </c>
      <c r="D109" s="22">
        <f>D90+D99+D107</f>
        <v>3636409</v>
      </c>
      <c r="E109" s="22">
        <f t="shared" ref="E109:N109" si="23">E90+E99+E107</f>
        <v>0</v>
      </c>
      <c r="F109" s="22">
        <f t="shared" si="23"/>
        <v>0</v>
      </c>
      <c r="G109" s="22">
        <f t="shared" si="23"/>
        <v>19483.36</v>
      </c>
      <c r="H109" s="22">
        <f t="shared" si="23"/>
        <v>-19483.36</v>
      </c>
      <c r="I109" s="22">
        <v>35.299999999999997</v>
      </c>
      <c r="J109" s="27">
        <f>+K109-D109</f>
        <v>-65003.549999999814</v>
      </c>
      <c r="K109" s="22">
        <f t="shared" si="23"/>
        <v>3571405.45</v>
      </c>
      <c r="L109" s="22">
        <f t="shared" si="23"/>
        <v>3794618.2906249999</v>
      </c>
      <c r="M109" s="134">
        <f t="shared" si="23"/>
        <v>4060241.5709687504</v>
      </c>
      <c r="N109" s="134">
        <f t="shared" si="23"/>
        <v>4344458.4809365617</v>
      </c>
    </row>
    <row r="110" spans="1:14" s="24" customFormat="1" ht="15" x14ac:dyDescent="0.25">
      <c r="A110" s="20"/>
      <c r="B110" s="20"/>
      <c r="C110" s="21"/>
      <c r="D110" s="22"/>
      <c r="E110" s="22"/>
      <c r="F110" s="22"/>
      <c r="G110" s="22"/>
      <c r="H110" s="22"/>
      <c r="I110" s="22"/>
      <c r="J110" s="27"/>
      <c r="K110" s="27"/>
      <c r="L110" s="22"/>
      <c r="M110" s="134"/>
      <c r="N110" s="132"/>
    </row>
    <row r="111" spans="1:14" s="24" customFormat="1" ht="15" x14ac:dyDescent="0.25">
      <c r="A111" s="20"/>
      <c r="B111" s="20"/>
      <c r="C111" s="21" t="s">
        <v>178</v>
      </c>
      <c r="D111" s="22">
        <f>D109</f>
        <v>3636409</v>
      </c>
      <c r="E111" s="22">
        <f t="shared" ref="E111:N111" si="24">E109</f>
        <v>0</v>
      </c>
      <c r="F111" s="22">
        <f t="shared" si="24"/>
        <v>0</v>
      </c>
      <c r="G111" s="22">
        <f t="shared" si="24"/>
        <v>19483.36</v>
      </c>
      <c r="H111" s="22">
        <f t="shared" si="24"/>
        <v>-19483.36</v>
      </c>
      <c r="I111" s="22">
        <v>35.299999999999997</v>
      </c>
      <c r="J111" s="27">
        <f>+K111-D111</f>
        <v>-65003.549999999814</v>
      </c>
      <c r="K111" s="22">
        <f t="shared" si="24"/>
        <v>3571405.45</v>
      </c>
      <c r="L111" s="22">
        <f t="shared" si="24"/>
        <v>3794618.2906249999</v>
      </c>
      <c r="M111" s="134">
        <f t="shared" si="24"/>
        <v>4060241.5709687504</v>
      </c>
      <c r="N111" s="134">
        <f t="shared" si="24"/>
        <v>4344458.4809365617</v>
      </c>
    </row>
    <row r="112" spans="1:14" s="24" customFormat="1" ht="15" x14ac:dyDescent="0.25">
      <c r="A112" s="20"/>
      <c r="B112" s="20"/>
      <c r="C112" s="21"/>
      <c r="D112" s="22"/>
      <c r="E112" s="22"/>
      <c r="F112" s="22"/>
      <c r="G112" s="22"/>
      <c r="H112" s="22"/>
      <c r="I112" s="22"/>
      <c r="J112" s="27"/>
      <c r="K112" s="27"/>
      <c r="L112" s="22"/>
      <c r="M112" s="134"/>
      <c r="N112" s="132"/>
    </row>
    <row r="113" spans="1:14" s="24" customFormat="1" ht="15" x14ac:dyDescent="0.25">
      <c r="A113" s="20"/>
      <c r="B113" s="20"/>
      <c r="C113" s="21" t="s">
        <v>208</v>
      </c>
      <c r="D113" s="22"/>
      <c r="E113" s="22"/>
      <c r="F113" s="22"/>
      <c r="G113" s="22"/>
      <c r="H113" s="22"/>
      <c r="I113" s="22"/>
      <c r="J113" s="27">
        <f>+K113-D113</f>
        <v>0</v>
      </c>
      <c r="K113" s="27"/>
      <c r="L113" s="22"/>
      <c r="M113" s="134"/>
      <c r="N113" s="132"/>
    </row>
    <row r="114" spans="1:14" s="24" customFormat="1" ht="15" x14ac:dyDescent="0.25">
      <c r="A114" s="20"/>
      <c r="B114" s="20"/>
      <c r="C114" s="21"/>
      <c r="D114" s="22"/>
      <c r="E114" s="22"/>
      <c r="F114" s="22"/>
      <c r="G114" s="22"/>
      <c r="H114" s="22"/>
      <c r="I114" s="22"/>
      <c r="J114" s="27"/>
      <c r="K114" s="27"/>
      <c r="L114" s="22"/>
      <c r="M114" s="134"/>
      <c r="N114" s="132"/>
    </row>
    <row r="115" spans="1:14" s="24" customFormat="1" ht="15" x14ac:dyDescent="0.25">
      <c r="A115" s="20"/>
      <c r="B115" s="20"/>
      <c r="C115" s="21" t="s">
        <v>228</v>
      </c>
      <c r="D115" s="22"/>
      <c r="E115" s="22"/>
      <c r="F115" s="22"/>
      <c r="G115" s="22"/>
      <c r="H115" s="22"/>
      <c r="I115" s="22"/>
      <c r="J115" s="27">
        <f>+K115-D115</f>
        <v>0</v>
      </c>
      <c r="K115" s="27"/>
      <c r="L115" s="22"/>
      <c r="M115" s="134"/>
      <c r="N115" s="132"/>
    </row>
    <row r="116" spans="1:14" s="24" customFormat="1" ht="15" x14ac:dyDescent="0.25">
      <c r="A116" s="20"/>
      <c r="B116" s="20"/>
      <c r="C116" s="21"/>
      <c r="D116" s="22"/>
      <c r="E116" s="22"/>
      <c r="F116" s="22"/>
      <c r="G116" s="22"/>
      <c r="H116" s="22"/>
      <c r="I116" s="22"/>
      <c r="J116" s="27"/>
      <c r="K116" s="27"/>
      <c r="L116" s="22"/>
      <c r="M116" s="134"/>
      <c r="N116" s="132"/>
    </row>
    <row r="117" spans="1:14" s="185" customFormat="1" x14ac:dyDescent="0.2">
      <c r="A117" s="182" t="s">
        <v>1187</v>
      </c>
      <c r="B117" s="182" t="s">
        <v>3055</v>
      </c>
      <c r="C117" s="183" t="s">
        <v>235</v>
      </c>
      <c r="D117" s="184">
        <f>VLOOKUP(A117,fin,3,FALSE)</f>
        <v>2700000</v>
      </c>
      <c r="E117" s="184">
        <v>0</v>
      </c>
      <c r="F117" s="184">
        <v>0</v>
      </c>
      <c r="G117" s="184">
        <v>1217.71</v>
      </c>
      <c r="H117" s="184">
        <v>-1217.71</v>
      </c>
      <c r="I117" s="184">
        <v>0</v>
      </c>
      <c r="J117" s="184">
        <f>+K117-D117</f>
        <v>0</v>
      </c>
      <c r="K117" s="184">
        <f>VLOOKUP(A117,fin,4,FALSE)</f>
        <v>2700000</v>
      </c>
      <c r="L117" s="184">
        <v>2000000</v>
      </c>
      <c r="M117" s="220">
        <f t="shared" ref="M117:N120" si="25">L117*4.6/100+L117</f>
        <v>2092000</v>
      </c>
      <c r="N117" s="221">
        <f t="shared" si="25"/>
        <v>2188232</v>
      </c>
    </row>
    <row r="118" spans="1:14" s="185" customFormat="1" x14ac:dyDescent="0.2">
      <c r="A118" s="182"/>
      <c r="B118" s="182"/>
      <c r="C118" s="183"/>
      <c r="D118" s="184"/>
      <c r="E118" s="184"/>
      <c r="F118" s="184"/>
      <c r="G118" s="184"/>
      <c r="H118" s="184"/>
      <c r="I118" s="184"/>
      <c r="J118" s="184"/>
      <c r="K118" s="184"/>
      <c r="L118" s="184"/>
      <c r="M118" s="220"/>
      <c r="N118" s="221"/>
    </row>
    <row r="119" spans="1:14" x14ac:dyDescent="0.2">
      <c r="A119" s="25" t="s">
        <v>1188</v>
      </c>
      <c r="B119" s="25"/>
      <c r="C119" s="26" t="s">
        <v>235</v>
      </c>
      <c r="D119" s="27">
        <f>VLOOKUP(A119,fin,3,FALSE)</f>
        <v>900000</v>
      </c>
      <c r="E119" s="27">
        <v>0</v>
      </c>
      <c r="F119" s="27">
        <v>0</v>
      </c>
      <c r="G119" s="27">
        <v>1217.71</v>
      </c>
      <c r="H119" s="27">
        <v>-1217.71</v>
      </c>
      <c r="I119" s="27">
        <v>0</v>
      </c>
      <c r="J119" s="27">
        <f>+K119-D119</f>
        <v>0</v>
      </c>
      <c r="K119" s="27">
        <f>VLOOKUP(A119,fin,4,FALSE)</f>
        <v>900000</v>
      </c>
      <c r="L119" s="27">
        <v>0</v>
      </c>
      <c r="M119" s="107">
        <f t="shared" si="25"/>
        <v>0</v>
      </c>
      <c r="N119" s="133">
        <f t="shared" si="25"/>
        <v>0</v>
      </c>
    </row>
    <row r="120" spans="1:14" x14ac:dyDescent="0.2">
      <c r="A120" s="25" t="s">
        <v>1189</v>
      </c>
      <c r="B120" s="25"/>
      <c r="C120" s="26" t="s">
        <v>236</v>
      </c>
      <c r="D120" s="27">
        <f>VLOOKUP(A120,fin,3,FALSE)</f>
        <v>1800000</v>
      </c>
      <c r="E120" s="27">
        <v>0</v>
      </c>
      <c r="F120" s="27">
        <v>0</v>
      </c>
      <c r="G120" s="27">
        <v>1217.71</v>
      </c>
      <c r="H120" s="27">
        <v>-1217.71</v>
      </c>
      <c r="I120" s="27">
        <v>0</v>
      </c>
      <c r="J120" s="27">
        <f>+K120-D120</f>
        <v>0</v>
      </c>
      <c r="K120" s="27">
        <f>VLOOKUP(A120,fin,4,FALSE)</f>
        <v>1800000</v>
      </c>
      <c r="L120" s="27">
        <f>K120*4.5/100+K120</f>
        <v>1881000</v>
      </c>
      <c r="M120" s="107">
        <f t="shared" si="25"/>
        <v>1967526</v>
      </c>
      <c r="N120" s="133">
        <f t="shared" si="25"/>
        <v>2058032.196</v>
      </c>
    </row>
    <row r="121" spans="1:14" x14ac:dyDescent="0.2">
      <c r="A121" s="25"/>
      <c r="B121" s="25"/>
      <c r="C121" s="26"/>
      <c r="D121" s="27"/>
      <c r="E121" s="27"/>
      <c r="F121" s="27"/>
      <c r="G121" s="27"/>
      <c r="H121" s="27"/>
      <c r="I121" s="27"/>
      <c r="J121" s="27"/>
      <c r="K121" s="27"/>
      <c r="L121" s="27"/>
      <c r="M121" s="107"/>
      <c r="N121" s="133"/>
    </row>
    <row r="122" spans="1:14" s="24" customFormat="1" ht="15" x14ac:dyDescent="0.25">
      <c r="A122" s="20"/>
      <c r="B122" s="20"/>
      <c r="C122" s="21" t="s">
        <v>239</v>
      </c>
      <c r="D122" s="22">
        <f>SUM(D117:D121)</f>
        <v>5400000</v>
      </c>
      <c r="E122" s="22">
        <f>SUM(E117:E121)</f>
        <v>0</v>
      </c>
      <c r="F122" s="22">
        <f>SUM(F117:F121)</f>
        <v>0</v>
      </c>
      <c r="G122" s="22">
        <f>SUM(G117:G121)</f>
        <v>3653.13</v>
      </c>
      <c r="H122" s="22">
        <f>SUM(H117:H121)</f>
        <v>-3653.13</v>
      </c>
      <c r="I122" s="22">
        <v>40.25</v>
      </c>
      <c r="J122" s="27">
        <f>+K122-D122</f>
        <v>0</v>
      </c>
      <c r="K122" s="22">
        <f>SUM(K117:K121)</f>
        <v>5400000</v>
      </c>
      <c r="L122" s="22">
        <f>SUM(L117:L121)</f>
        <v>3881000</v>
      </c>
      <c r="M122" s="134">
        <f>SUM(M117:M121)</f>
        <v>4059526</v>
      </c>
      <c r="N122" s="134">
        <f>SUM(N117:N121)</f>
        <v>4246264.1960000005</v>
      </c>
    </row>
    <row r="123" spans="1:14" s="24" customFormat="1" ht="15" x14ac:dyDescent="0.25">
      <c r="A123" s="20"/>
      <c r="B123" s="20"/>
      <c r="C123" s="21"/>
      <c r="D123" s="22"/>
      <c r="E123" s="22"/>
      <c r="F123" s="22"/>
      <c r="G123" s="22"/>
      <c r="H123" s="22"/>
      <c r="I123" s="22"/>
      <c r="J123" s="27"/>
      <c r="K123" s="27"/>
      <c r="L123" s="22"/>
      <c r="M123" s="134"/>
      <c r="N123" s="132"/>
    </row>
    <row r="124" spans="1:14" s="24" customFormat="1" ht="15" x14ac:dyDescent="0.25">
      <c r="A124" s="20"/>
      <c r="B124" s="20"/>
      <c r="C124" s="21" t="s">
        <v>240</v>
      </c>
      <c r="D124" s="22">
        <f>D122</f>
        <v>5400000</v>
      </c>
      <c r="E124" s="22">
        <f t="shared" ref="E124:N124" si="26">E122</f>
        <v>0</v>
      </c>
      <c r="F124" s="22">
        <f t="shared" si="26"/>
        <v>0</v>
      </c>
      <c r="G124" s="22">
        <f t="shared" si="26"/>
        <v>3653.13</v>
      </c>
      <c r="H124" s="22">
        <f t="shared" si="26"/>
        <v>-3653.13</v>
      </c>
      <c r="I124" s="22">
        <v>40.25</v>
      </c>
      <c r="J124" s="27">
        <f>+K124-D124</f>
        <v>0</v>
      </c>
      <c r="K124" s="22">
        <f t="shared" si="26"/>
        <v>5400000</v>
      </c>
      <c r="L124" s="22">
        <f t="shared" si="26"/>
        <v>3881000</v>
      </c>
      <c r="M124" s="134">
        <f t="shared" si="26"/>
        <v>4059526</v>
      </c>
      <c r="N124" s="134">
        <f t="shared" si="26"/>
        <v>4246264.1960000005</v>
      </c>
    </row>
    <row r="125" spans="1:14" s="24" customFormat="1" ht="15" x14ac:dyDescent="0.25">
      <c r="A125" s="20"/>
      <c r="B125" s="20"/>
      <c r="C125" s="21"/>
      <c r="D125" s="22"/>
      <c r="E125" s="22"/>
      <c r="F125" s="22"/>
      <c r="G125" s="22"/>
      <c r="H125" s="22"/>
      <c r="I125" s="22"/>
      <c r="J125" s="27"/>
      <c r="K125" s="27"/>
      <c r="L125" s="22"/>
      <c r="M125" s="134"/>
      <c r="N125" s="132"/>
    </row>
    <row r="126" spans="1:14" s="24" customFormat="1" ht="15" x14ac:dyDescent="0.25">
      <c r="A126" s="20"/>
      <c r="B126" s="20"/>
      <c r="C126" s="21" t="s">
        <v>241</v>
      </c>
      <c r="D126" s="22"/>
      <c r="E126" s="22"/>
      <c r="F126" s="22"/>
      <c r="G126" s="22"/>
      <c r="H126" s="22"/>
      <c r="I126" s="22"/>
      <c r="J126" s="27">
        <f>+K126-D126</f>
        <v>0</v>
      </c>
      <c r="K126" s="27"/>
      <c r="L126" s="22"/>
      <c r="M126" s="134"/>
      <c r="N126" s="132"/>
    </row>
    <row r="127" spans="1:14" x14ac:dyDescent="0.2">
      <c r="A127" s="25"/>
      <c r="B127" s="25"/>
      <c r="C127" s="26"/>
      <c r="D127" s="27"/>
      <c r="E127" s="27"/>
      <c r="F127" s="27"/>
      <c r="G127" s="27"/>
      <c r="H127" s="27"/>
      <c r="I127" s="27"/>
      <c r="J127" s="27"/>
      <c r="K127" s="27"/>
      <c r="L127" s="27"/>
      <c r="M127" s="107"/>
      <c r="N127" s="133"/>
    </row>
    <row r="128" spans="1:14" x14ac:dyDescent="0.2">
      <c r="A128" s="25" t="s">
        <v>1190</v>
      </c>
      <c r="B128" s="25"/>
      <c r="C128" s="26" t="s">
        <v>256</v>
      </c>
      <c r="D128" s="27">
        <f>VLOOKUP(A128,fin,3,FALSE)</f>
        <v>36722</v>
      </c>
      <c r="E128" s="27">
        <v>0</v>
      </c>
      <c r="F128" s="27">
        <v>0</v>
      </c>
      <c r="G128" s="27">
        <v>1217.71</v>
      </c>
      <c r="H128" s="27">
        <v>-1217.71</v>
      </c>
      <c r="I128" s="27">
        <v>0</v>
      </c>
      <c r="J128" s="27">
        <f>+K128-D128</f>
        <v>0</v>
      </c>
      <c r="K128" s="27">
        <f>VLOOKUP(A128,fin,4,FALSE)</f>
        <v>36722</v>
      </c>
      <c r="L128" s="27">
        <f>K128*4.5/100+K128</f>
        <v>38374.49</v>
      </c>
      <c r="M128" s="107">
        <f t="shared" ref="M128:N130" si="27">L128*4.6/100+L128</f>
        <v>40139.716540000001</v>
      </c>
      <c r="N128" s="133">
        <f t="shared" si="27"/>
        <v>41986.14350084</v>
      </c>
    </row>
    <row r="129" spans="1:14" x14ac:dyDescent="0.2">
      <c r="A129" s="25" t="s">
        <v>1191</v>
      </c>
      <c r="B129" s="25"/>
      <c r="C129" s="26" t="s">
        <v>265</v>
      </c>
      <c r="D129" s="27">
        <f>VLOOKUP(A129,fin,3,FALSE)</f>
        <v>48487</v>
      </c>
      <c r="E129" s="27">
        <v>0</v>
      </c>
      <c r="F129" s="27">
        <v>0</v>
      </c>
      <c r="G129" s="27">
        <v>1217.71</v>
      </c>
      <c r="H129" s="27">
        <v>-1217.71</v>
      </c>
      <c r="I129" s="27">
        <v>0</v>
      </c>
      <c r="J129" s="27">
        <f>+K129-D129</f>
        <v>0</v>
      </c>
      <c r="K129" s="27">
        <f>VLOOKUP(A129,fin,4,FALSE)</f>
        <v>48487</v>
      </c>
      <c r="L129" s="27">
        <f>K129*4.5/100+K129</f>
        <v>50668.915000000001</v>
      </c>
      <c r="M129" s="107">
        <f t="shared" si="27"/>
        <v>52999.685089999999</v>
      </c>
      <c r="N129" s="133">
        <f t="shared" si="27"/>
        <v>55437.670604139996</v>
      </c>
    </row>
    <row r="130" spans="1:14" x14ac:dyDescent="0.2">
      <c r="A130" s="25" t="s">
        <v>1192</v>
      </c>
      <c r="B130" s="25"/>
      <c r="C130" s="26" t="s">
        <v>268</v>
      </c>
      <c r="D130" s="27">
        <f>VLOOKUP(A130,fin,3,FALSE)</f>
        <v>0</v>
      </c>
      <c r="E130" s="27">
        <v>0</v>
      </c>
      <c r="F130" s="27">
        <v>0</v>
      </c>
      <c r="G130" s="27">
        <v>1217.71</v>
      </c>
      <c r="H130" s="27">
        <v>-1217.71</v>
      </c>
      <c r="I130" s="27">
        <v>0</v>
      </c>
      <c r="J130" s="27">
        <f>+K130-D130</f>
        <v>90000</v>
      </c>
      <c r="K130" s="27">
        <f>VLOOKUP(A130,fin,4,FALSE)</f>
        <v>90000</v>
      </c>
      <c r="L130" s="27">
        <f>K130*4.5/100+K130</f>
        <v>94050</v>
      </c>
      <c r="M130" s="107">
        <f t="shared" si="27"/>
        <v>98376.3</v>
      </c>
      <c r="N130" s="133">
        <f t="shared" si="27"/>
        <v>102901.60980000001</v>
      </c>
    </row>
    <row r="131" spans="1:14" x14ac:dyDescent="0.2">
      <c r="A131" s="25"/>
      <c r="B131" s="25"/>
      <c r="C131" s="26"/>
      <c r="D131" s="27"/>
      <c r="E131" s="27"/>
      <c r="F131" s="27"/>
      <c r="G131" s="27"/>
      <c r="H131" s="27"/>
      <c r="I131" s="27"/>
      <c r="J131" s="27"/>
      <c r="K131" s="27"/>
      <c r="L131" s="27"/>
      <c r="M131" s="107"/>
      <c r="N131" s="133"/>
    </row>
    <row r="132" spans="1:14" s="24" customFormat="1" ht="15" x14ac:dyDescent="0.25">
      <c r="A132" s="20"/>
      <c r="B132" s="20"/>
      <c r="C132" s="21" t="s">
        <v>274</v>
      </c>
      <c r="D132" s="22">
        <f>SUM(D128:D131)</f>
        <v>85209</v>
      </c>
      <c r="E132" s="22">
        <f>SUM(E128:E131)</f>
        <v>0</v>
      </c>
      <c r="F132" s="22">
        <f>SUM(F128:F131)</f>
        <v>0</v>
      </c>
      <c r="G132" s="22">
        <f>SUM(G128:G131)</f>
        <v>3653.13</v>
      </c>
      <c r="H132" s="22">
        <f>SUM(H128:H131)</f>
        <v>-3653.13</v>
      </c>
      <c r="I132" s="22">
        <v>83.32</v>
      </c>
      <c r="J132" s="27">
        <f>+K132-D132</f>
        <v>90000</v>
      </c>
      <c r="K132" s="22">
        <f>SUM(K128:K131)</f>
        <v>175209</v>
      </c>
      <c r="L132" s="22">
        <f>SUM(L128:L131)</f>
        <v>183093.405</v>
      </c>
      <c r="M132" s="134">
        <f>SUM(M128:M131)</f>
        <v>191515.70163000003</v>
      </c>
      <c r="N132" s="134">
        <f>SUM(N128:N131)</f>
        <v>200325.42390498001</v>
      </c>
    </row>
    <row r="133" spans="1:14" s="24" customFormat="1" ht="15" x14ac:dyDescent="0.25">
      <c r="A133" s="20"/>
      <c r="B133" s="20"/>
      <c r="C133" s="21"/>
      <c r="D133" s="22"/>
      <c r="E133" s="22"/>
      <c r="F133" s="22"/>
      <c r="G133" s="22"/>
      <c r="H133" s="22"/>
      <c r="I133" s="22"/>
      <c r="J133" s="27"/>
      <c r="K133" s="27"/>
      <c r="L133" s="152"/>
      <c r="M133" s="152"/>
      <c r="N133" s="132"/>
    </row>
    <row r="134" spans="1:14" s="24" customFormat="1" ht="15" x14ac:dyDescent="0.25">
      <c r="A134" s="20"/>
      <c r="B134" s="20"/>
      <c r="C134" s="21" t="s">
        <v>275</v>
      </c>
      <c r="D134" s="22"/>
      <c r="E134" s="22"/>
      <c r="F134" s="22"/>
      <c r="G134" s="22"/>
      <c r="H134" s="22"/>
      <c r="I134" s="22"/>
      <c r="J134" s="27">
        <f>+K134-D134</f>
        <v>0</v>
      </c>
      <c r="K134" s="27"/>
      <c r="L134" s="22"/>
      <c r="M134" s="134"/>
      <c r="N134" s="132"/>
    </row>
    <row r="135" spans="1:14" s="24" customFormat="1" ht="15" x14ac:dyDescent="0.25">
      <c r="A135" s="20"/>
      <c r="B135" s="20"/>
      <c r="C135" s="21"/>
      <c r="D135" s="22"/>
      <c r="E135" s="22"/>
      <c r="F135" s="22"/>
      <c r="G135" s="22"/>
      <c r="H135" s="22"/>
      <c r="I135" s="22"/>
      <c r="J135" s="27"/>
      <c r="K135" s="27"/>
      <c r="L135" s="22"/>
      <c r="M135" s="134"/>
      <c r="N135" s="132"/>
    </row>
    <row r="136" spans="1:14" x14ac:dyDescent="0.2">
      <c r="A136" s="25" t="s">
        <v>1193</v>
      </c>
      <c r="B136" s="25"/>
      <c r="C136" s="26" t="s">
        <v>276</v>
      </c>
      <c r="D136" s="27">
        <f>VLOOKUP(A136,fin,3,FALSE)</f>
        <v>0</v>
      </c>
      <c r="E136" s="27">
        <v>0</v>
      </c>
      <c r="F136" s="27">
        <v>0</v>
      </c>
      <c r="G136" s="27">
        <v>1217.71</v>
      </c>
      <c r="H136" s="27">
        <v>-1217.71</v>
      </c>
      <c r="I136" s="27">
        <v>0</v>
      </c>
      <c r="J136" s="27">
        <f>+K136-D136</f>
        <v>95109</v>
      </c>
      <c r="K136" s="27">
        <f>VLOOKUP(A136,fin,4,FALSE)</f>
        <v>95109</v>
      </c>
      <c r="L136" s="27">
        <f>K136*4.5/100+K136</f>
        <v>99388.904999999999</v>
      </c>
      <c r="M136" s="107">
        <f>L136*4.6/100+L136</f>
        <v>103960.79463</v>
      </c>
      <c r="N136" s="133">
        <f>M136*4.6/100+M136</f>
        <v>108742.99118298001</v>
      </c>
    </row>
    <row r="137" spans="1:14" x14ac:dyDescent="0.2">
      <c r="A137" s="25"/>
      <c r="B137" s="25"/>
      <c r="C137" s="26"/>
      <c r="D137" s="27"/>
      <c r="E137" s="27"/>
      <c r="F137" s="27"/>
      <c r="G137" s="27"/>
      <c r="H137" s="27"/>
      <c r="I137" s="27"/>
      <c r="J137" s="27"/>
      <c r="K137" s="27"/>
      <c r="L137" s="27"/>
      <c r="M137" s="107"/>
      <c r="N137" s="133"/>
    </row>
    <row r="138" spans="1:14" s="24" customFormat="1" ht="15" x14ac:dyDescent="0.25">
      <c r="A138" s="20"/>
      <c r="B138" s="20"/>
      <c r="C138" s="21" t="s">
        <v>279</v>
      </c>
      <c r="D138" s="22">
        <f>SUM(D136:D137)</f>
        <v>0</v>
      </c>
      <c r="E138" s="22">
        <f>SUM(E136:E137)</f>
        <v>0</v>
      </c>
      <c r="F138" s="22">
        <f>SUM(F136:F137)</f>
        <v>0</v>
      </c>
      <c r="G138" s="22">
        <f>SUM(G136:G137)</f>
        <v>1217.71</v>
      </c>
      <c r="H138" s="22">
        <f>SUM(H136:H137)</f>
        <v>-1217.71</v>
      </c>
      <c r="I138" s="22">
        <v>0</v>
      </c>
      <c r="J138" s="27">
        <f>+K138-D138</f>
        <v>95109</v>
      </c>
      <c r="K138" s="22">
        <f>SUM(K136:K137)</f>
        <v>95109</v>
      </c>
      <c r="L138" s="22">
        <f>SUM(L136:L137)</f>
        <v>99388.904999999999</v>
      </c>
      <c r="M138" s="134">
        <f>SUM(M136:M137)</f>
        <v>103960.79463</v>
      </c>
      <c r="N138" s="134">
        <f>SUM(N136:N137)</f>
        <v>108742.99118298001</v>
      </c>
    </row>
    <row r="139" spans="1:14" s="24" customFormat="1" ht="15" x14ac:dyDescent="0.25">
      <c r="A139" s="20"/>
      <c r="B139" s="20"/>
      <c r="C139" s="21"/>
      <c r="D139" s="22"/>
      <c r="E139" s="22"/>
      <c r="F139" s="22"/>
      <c r="G139" s="22"/>
      <c r="H139" s="22"/>
      <c r="I139" s="22"/>
      <c r="J139" s="27"/>
      <c r="K139" s="27"/>
      <c r="L139" s="22"/>
      <c r="M139" s="134"/>
      <c r="N139" s="132"/>
    </row>
    <row r="140" spans="1:14" s="24" customFormat="1" ht="15" x14ac:dyDescent="0.25">
      <c r="A140" s="20"/>
      <c r="B140" s="20"/>
      <c r="C140" s="21" t="s">
        <v>290</v>
      </c>
      <c r="D140" s="22"/>
      <c r="E140" s="22"/>
      <c r="F140" s="22"/>
      <c r="G140" s="22"/>
      <c r="H140" s="22"/>
      <c r="I140" s="22"/>
      <c r="J140" s="27">
        <f>+K140-D140</f>
        <v>0</v>
      </c>
      <c r="K140" s="27"/>
      <c r="L140" s="22"/>
      <c r="M140" s="134"/>
      <c r="N140" s="132"/>
    </row>
    <row r="141" spans="1:14" x14ac:dyDescent="0.2">
      <c r="A141" s="25"/>
      <c r="B141" s="25"/>
      <c r="C141" s="26"/>
      <c r="D141" s="27"/>
      <c r="E141" s="27"/>
      <c r="F141" s="27"/>
      <c r="G141" s="27"/>
      <c r="H141" s="27"/>
      <c r="I141" s="27"/>
      <c r="J141" s="27"/>
      <c r="K141" s="27"/>
      <c r="L141" s="27"/>
      <c r="M141" s="107"/>
      <c r="N141" s="133"/>
    </row>
    <row r="142" spans="1:14" x14ac:dyDescent="0.2">
      <c r="A142" s="25" t="s">
        <v>1194</v>
      </c>
      <c r="B142" s="25"/>
      <c r="C142" s="26" t="s">
        <v>291</v>
      </c>
      <c r="D142" s="27">
        <f t="shared" ref="D142:D149" si="28">VLOOKUP(A142,fin,3,FALSE)</f>
        <v>0</v>
      </c>
      <c r="E142" s="27">
        <v>0</v>
      </c>
      <c r="F142" s="27">
        <v>0</v>
      </c>
      <c r="G142" s="27">
        <v>1217.71</v>
      </c>
      <c r="H142" s="27">
        <v>-1217.71</v>
      </c>
      <c r="I142" s="27">
        <v>0</v>
      </c>
      <c r="J142" s="27">
        <f t="shared" ref="J142:J149" si="29">+K142-D142</f>
        <v>0</v>
      </c>
      <c r="K142" s="27">
        <f t="shared" ref="K142:K149" si="30">VLOOKUP(A142,fin,4,FALSE)</f>
        <v>0</v>
      </c>
      <c r="L142" s="27">
        <f t="shared" ref="L142:L149" si="31">K142*4.5/100+K142</f>
        <v>0</v>
      </c>
      <c r="M142" s="107">
        <f t="shared" ref="M142:N149" si="32">L142*4.6/100+L142</f>
        <v>0</v>
      </c>
      <c r="N142" s="133">
        <f t="shared" si="32"/>
        <v>0</v>
      </c>
    </row>
    <row r="143" spans="1:14" x14ac:dyDescent="0.2">
      <c r="A143" s="25" t="s">
        <v>1195</v>
      </c>
      <c r="B143" s="25"/>
      <c r="C143" s="26" t="s">
        <v>292</v>
      </c>
      <c r="D143" s="27">
        <f t="shared" si="28"/>
        <v>0</v>
      </c>
      <c r="E143" s="27">
        <v>0</v>
      </c>
      <c r="F143" s="27">
        <v>0</v>
      </c>
      <c r="G143" s="27">
        <v>1217.71</v>
      </c>
      <c r="H143" s="27">
        <v>-1217.71</v>
      </c>
      <c r="I143" s="27">
        <v>0</v>
      </c>
      <c r="J143" s="27">
        <f t="shared" si="29"/>
        <v>0</v>
      </c>
      <c r="K143" s="27">
        <f t="shared" si="30"/>
        <v>0</v>
      </c>
      <c r="L143" s="27">
        <f t="shared" si="31"/>
        <v>0</v>
      </c>
      <c r="M143" s="107">
        <f t="shared" si="32"/>
        <v>0</v>
      </c>
      <c r="N143" s="133">
        <f t="shared" si="32"/>
        <v>0</v>
      </c>
    </row>
    <row r="144" spans="1:14" x14ac:dyDescent="0.2">
      <c r="A144" s="25" t="s">
        <v>1196</v>
      </c>
      <c r="B144" s="25"/>
      <c r="C144" s="26" t="s">
        <v>293</v>
      </c>
      <c r="D144" s="27">
        <f t="shared" si="28"/>
        <v>476</v>
      </c>
      <c r="E144" s="27">
        <v>0</v>
      </c>
      <c r="F144" s="27">
        <v>0</v>
      </c>
      <c r="G144" s="27">
        <v>1217.71</v>
      </c>
      <c r="H144" s="27">
        <v>-1217.71</v>
      </c>
      <c r="I144" s="27">
        <v>0</v>
      </c>
      <c r="J144" s="27">
        <f t="shared" si="29"/>
        <v>0</v>
      </c>
      <c r="K144" s="27">
        <f t="shared" si="30"/>
        <v>476</v>
      </c>
      <c r="L144" s="27">
        <f t="shared" si="31"/>
        <v>497.42</v>
      </c>
      <c r="M144" s="107">
        <f t="shared" si="32"/>
        <v>520.30132000000003</v>
      </c>
      <c r="N144" s="133">
        <f t="shared" si="32"/>
        <v>544.23518072000002</v>
      </c>
    </row>
    <row r="145" spans="1:14" x14ac:dyDescent="0.2">
      <c r="A145" s="25" t="s">
        <v>1197</v>
      </c>
      <c r="B145" s="25"/>
      <c r="C145" s="26" t="s">
        <v>294</v>
      </c>
      <c r="D145" s="27">
        <f t="shared" si="28"/>
        <v>0</v>
      </c>
      <c r="E145" s="27">
        <v>0</v>
      </c>
      <c r="F145" s="27">
        <v>0</v>
      </c>
      <c r="G145" s="27">
        <v>1217.71</v>
      </c>
      <c r="H145" s="27">
        <v>-1217.71</v>
      </c>
      <c r="I145" s="27">
        <v>0</v>
      </c>
      <c r="J145" s="27">
        <f t="shared" si="29"/>
        <v>3513156.6700000199</v>
      </c>
      <c r="K145" s="27">
        <f t="shared" si="30"/>
        <v>3513156.6700000199</v>
      </c>
      <c r="L145" s="27">
        <f t="shared" si="31"/>
        <v>3671248.7201500209</v>
      </c>
      <c r="M145" s="107">
        <f t="shared" si="32"/>
        <v>3840126.1612769216</v>
      </c>
      <c r="N145" s="133">
        <f t="shared" si="32"/>
        <v>4016771.9646956599</v>
      </c>
    </row>
    <row r="146" spans="1:14" x14ac:dyDescent="0.2">
      <c r="A146" s="25" t="s">
        <v>1198</v>
      </c>
      <c r="B146" s="25"/>
      <c r="C146" s="26" t="s">
        <v>296</v>
      </c>
      <c r="D146" s="27">
        <f t="shared" si="28"/>
        <v>530622</v>
      </c>
      <c r="E146" s="27">
        <v>0</v>
      </c>
      <c r="F146" s="27">
        <v>0</v>
      </c>
      <c r="G146" s="27">
        <v>1217.71</v>
      </c>
      <c r="H146" s="27">
        <v>-1217.71</v>
      </c>
      <c r="I146" s="27">
        <v>0</v>
      </c>
      <c r="J146" s="27">
        <f t="shared" si="29"/>
        <v>0</v>
      </c>
      <c r="K146" s="27">
        <f t="shared" si="30"/>
        <v>530622</v>
      </c>
      <c r="L146" s="27">
        <f t="shared" si="31"/>
        <v>554499.99</v>
      </c>
      <c r="M146" s="107">
        <f t="shared" si="32"/>
        <v>580006.98953999998</v>
      </c>
      <c r="N146" s="133">
        <f t="shared" si="32"/>
        <v>606687.31105884002</v>
      </c>
    </row>
    <row r="147" spans="1:14" x14ac:dyDescent="0.2">
      <c r="A147" s="25" t="s">
        <v>1199</v>
      </c>
      <c r="B147" s="25"/>
      <c r="C147" s="26" t="s">
        <v>297</v>
      </c>
      <c r="D147" s="27">
        <f t="shared" si="28"/>
        <v>168850</v>
      </c>
      <c r="E147" s="27">
        <v>0</v>
      </c>
      <c r="F147" s="27">
        <v>0</v>
      </c>
      <c r="G147" s="27">
        <v>1217.71</v>
      </c>
      <c r="H147" s="27">
        <v>-1217.71</v>
      </c>
      <c r="I147" s="27">
        <v>0</v>
      </c>
      <c r="J147" s="27">
        <f t="shared" si="29"/>
        <v>0</v>
      </c>
      <c r="K147" s="27">
        <f t="shared" si="30"/>
        <v>168850</v>
      </c>
      <c r="L147" s="27">
        <f t="shared" si="31"/>
        <v>176448.25</v>
      </c>
      <c r="M147" s="107">
        <f t="shared" si="32"/>
        <v>184564.8695</v>
      </c>
      <c r="N147" s="133">
        <f t="shared" si="32"/>
        <v>193054.853497</v>
      </c>
    </row>
    <row r="148" spans="1:14" x14ac:dyDescent="0.2">
      <c r="A148" s="25" t="s">
        <v>1200</v>
      </c>
      <c r="B148" s="25"/>
      <c r="C148" s="26" t="s">
        <v>298</v>
      </c>
      <c r="D148" s="27">
        <f t="shared" si="28"/>
        <v>2276857</v>
      </c>
      <c r="E148" s="27">
        <v>0</v>
      </c>
      <c r="F148" s="27">
        <v>0</v>
      </c>
      <c r="G148" s="27">
        <v>1217.71</v>
      </c>
      <c r="H148" s="27">
        <v>-1217.71</v>
      </c>
      <c r="I148" s="27">
        <v>0</v>
      </c>
      <c r="J148" s="27">
        <f t="shared" si="29"/>
        <v>2182253</v>
      </c>
      <c r="K148" s="27">
        <f t="shared" si="30"/>
        <v>4459110</v>
      </c>
      <c r="L148" s="27">
        <f t="shared" si="31"/>
        <v>4659769.95</v>
      </c>
      <c r="M148" s="107">
        <f t="shared" si="32"/>
        <v>4874119.3677000003</v>
      </c>
      <c r="N148" s="133">
        <f t="shared" si="32"/>
        <v>5098328.8586142007</v>
      </c>
    </row>
    <row r="149" spans="1:14" x14ac:dyDescent="0.2">
      <c r="A149" s="25" t="s">
        <v>1201</v>
      </c>
      <c r="B149" s="25"/>
      <c r="C149" s="26" t="s">
        <v>303</v>
      </c>
      <c r="D149" s="27">
        <f t="shared" si="28"/>
        <v>3371</v>
      </c>
      <c r="E149" s="27">
        <v>0</v>
      </c>
      <c r="F149" s="27">
        <v>0</v>
      </c>
      <c r="G149" s="27">
        <v>1217.71</v>
      </c>
      <c r="H149" s="27">
        <v>-1217.71</v>
      </c>
      <c r="I149" s="27">
        <v>0</v>
      </c>
      <c r="J149" s="27">
        <f t="shared" si="29"/>
        <v>0</v>
      </c>
      <c r="K149" s="27">
        <f t="shared" si="30"/>
        <v>3371</v>
      </c>
      <c r="L149" s="27">
        <f t="shared" si="31"/>
        <v>3522.6950000000002</v>
      </c>
      <c r="M149" s="107">
        <f t="shared" si="32"/>
        <v>3684.7389700000003</v>
      </c>
      <c r="N149" s="133">
        <f t="shared" si="32"/>
        <v>3854.2369626200002</v>
      </c>
    </row>
    <row r="150" spans="1:14" x14ac:dyDescent="0.2">
      <c r="A150" s="25"/>
      <c r="B150" s="25"/>
      <c r="C150" s="26"/>
      <c r="D150" s="27"/>
      <c r="E150" s="27"/>
      <c r="F150" s="27"/>
      <c r="G150" s="27"/>
      <c r="H150" s="27"/>
      <c r="I150" s="27"/>
      <c r="J150" s="27"/>
      <c r="K150" s="27"/>
      <c r="L150" s="27"/>
      <c r="M150" s="107"/>
      <c r="N150" s="133"/>
    </row>
    <row r="151" spans="1:14" s="24" customFormat="1" ht="15" x14ac:dyDescent="0.25">
      <c r="A151" s="20"/>
      <c r="B151" s="20"/>
      <c r="C151" s="21" t="s">
        <v>304</v>
      </c>
      <c r="D151" s="22">
        <f>SUM(D142:D150)</f>
        <v>2980176</v>
      </c>
      <c r="E151" s="22">
        <f>SUM(E142:E150)</f>
        <v>0</v>
      </c>
      <c r="F151" s="22">
        <f>SUM(F142:F150)</f>
        <v>0</v>
      </c>
      <c r="G151" s="22">
        <f>SUM(G142:G150)</f>
        <v>9741.68</v>
      </c>
      <c r="H151" s="22">
        <f>SUM(H142:H150)</f>
        <v>-9741.68</v>
      </c>
      <c r="I151" s="22">
        <v>31.15</v>
      </c>
      <c r="J151" s="27">
        <f>+K151-D151</f>
        <v>5695409.6700000204</v>
      </c>
      <c r="K151" s="22">
        <f>SUM(K142:K150)</f>
        <v>8675585.6700000204</v>
      </c>
      <c r="L151" s="22">
        <f>SUM(L142:L150)</f>
        <v>9065987.0251500215</v>
      </c>
      <c r="M151" s="134">
        <f>SUM(M142:M150)</f>
        <v>9483022.4283069223</v>
      </c>
      <c r="N151" s="134">
        <f>SUM(N142:N150)</f>
        <v>9919241.4600090422</v>
      </c>
    </row>
    <row r="152" spans="1:14" s="24" customFormat="1" ht="15" x14ac:dyDescent="0.25">
      <c r="A152" s="20"/>
      <c r="B152" s="20"/>
      <c r="C152" s="21"/>
      <c r="D152" s="22"/>
      <c r="E152" s="22"/>
      <c r="F152" s="22"/>
      <c r="G152" s="22"/>
      <c r="H152" s="22"/>
      <c r="I152" s="22"/>
      <c r="J152" s="27"/>
      <c r="K152" s="27"/>
      <c r="L152" s="22"/>
      <c r="M152" s="134"/>
      <c r="N152" s="132"/>
    </row>
    <row r="153" spans="1:14" s="24" customFormat="1" ht="15" x14ac:dyDescent="0.25">
      <c r="A153" s="20"/>
      <c r="B153" s="20"/>
      <c r="C153" s="21" t="s">
        <v>305</v>
      </c>
      <c r="D153" s="22">
        <f>D111+D124+D132+D138+D151</f>
        <v>12101794</v>
      </c>
      <c r="E153" s="22">
        <f t="shared" ref="E153:N153" si="33">E111+E124+E132+E138+E151</f>
        <v>0</v>
      </c>
      <c r="F153" s="22">
        <f t="shared" si="33"/>
        <v>0</v>
      </c>
      <c r="G153" s="22">
        <f t="shared" si="33"/>
        <v>37749.01</v>
      </c>
      <c r="H153" s="22">
        <f t="shared" si="33"/>
        <v>-37749.01</v>
      </c>
      <c r="I153" s="22">
        <v>37.61</v>
      </c>
      <c r="J153" s="27">
        <f>+K153-D153</f>
        <v>5815515.1200000197</v>
      </c>
      <c r="K153" s="22">
        <f t="shared" si="33"/>
        <v>17917309.12000002</v>
      </c>
      <c r="L153" s="22">
        <f t="shared" si="33"/>
        <v>17024087.625775024</v>
      </c>
      <c r="M153" s="134">
        <f t="shared" si="33"/>
        <v>17898266.495535672</v>
      </c>
      <c r="N153" s="134">
        <f t="shared" si="33"/>
        <v>18819032.552033566</v>
      </c>
    </row>
    <row r="154" spans="1:14" x14ac:dyDescent="0.2">
      <c r="A154" s="25"/>
      <c r="B154" s="25"/>
      <c r="C154" s="26"/>
      <c r="D154" s="27"/>
      <c r="E154" s="27"/>
      <c r="F154" s="27"/>
      <c r="G154" s="27"/>
      <c r="H154" s="27"/>
      <c r="I154" s="27"/>
      <c r="J154" s="27"/>
      <c r="K154" s="27"/>
      <c r="L154" s="27"/>
      <c r="M154" s="107"/>
      <c r="N154" s="133"/>
    </row>
    <row r="155" spans="1:14" s="24" customFormat="1" ht="15" x14ac:dyDescent="0.25">
      <c r="A155" s="20"/>
      <c r="B155" s="20"/>
      <c r="C155" s="21" t="s">
        <v>306</v>
      </c>
      <c r="D155" s="22">
        <f>D153</f>
        <v>12101794</v>
      </c>
      <c r="E155" s="22">
        <f t="shared" ref="E155:N155" si="34">E153</f>
        <v>0</v>
      </c>
      <c r="F155" s="22">
        <f t="shared" si="34"/>
        <v>0</v>
      </c>
      <c r="G155" s="22">
        <f t="shared" si="34"/>
        <v>37749.01</v>
      </c>
      <c r="H155" s="22">
        <f t="shared" si="34"/>
        <v>-37749.01</v>
      </c>
      <c r="I155" s="22">
        <v>37.61</v>
      </c>
      <c r="J155" s="27">
        <f>+K155-D155</f>
        <v>5815515.1200000197</v>
      </c>
      <c r="K155" s="22">
        <f t="shared" si="34"/>
        <v>17917309.12000002</v>
      </c>
      <c r="L155" s="22">
        <f t="shared" si="34"/>
        <v>17024087.625775024</v>
      </c>
      <c r="M155" s="134">
        <f t="shared" si="34"/>
        <v>17898266.495535672</v>
      </c>
      <c r="N155" s="134">
        <f t="shared" si="34"/>
        <v>18819032.552033566</v>
      </c>
    </row>
    <row r="156" spans="1:14" s="24" customFormat="1" ht="15" x14ac:dyDescent="0.25">
      <c r="A156" s="20"/>
      <c r="B156" s="20"/>
      <c r="C156" s="21"/>
      <c r="D156" s="22"/>
      <c r="E156" s="22"/>
      <c r="F156" s="22"/>
      <c r="G156" s="22"/>
      <c r="H156" s="22"/>
      <c r="I156" s="22"/>
      <c r="J156" s="27"/>
      <c r="K156" s="27"/>
      <c r="L156" s="22"/>
      <c r="M156" s="134"/>
      <c r="N156" s="132"/>
    </row>
    <row r="157" spans="1:14" s="24" customFormat="1" ht="15" x14ac:dyDescent="0.25">
      <c r="A157" s="20"/>
      <c r="B157" s="20"/>
      <c r="C157" s="21" t="s">
        <v>308</v>
      </c>
      <c r="D157" s="22"/>
      <c r="E157" s="22"/>
      <c r="F157" s="22"/>
      <c r="G157" s="22"/>
      <c r="H157" s="22"/>
      <c r="I157" s="22"/>
      <c r="J157" s="27">
        <f>+K157-D157</f>
        <v>0</v>
      </c>
      <c r="K157" s="22"/>
      <c r="L157" s="22"/>
      <c r="M157" s="134"/>
      <c r="N157" s="132"/>
    </row>
    <row r="158" spans="1:14" x14ac:dyDescent="0.2">
      <c r="A158" s="25"/>
      <c r="B158" s="25"/>
      <c r="C158" s="26"/>
      <c r="D158" s="27"/>
      <c r="E158" s="27"/>
      <c r="F158" s="27"/>
      <c r="G158" s="27"/>
      <c r="H158" s="27"/>
      <c r="I158" s="27"/>
      <c r="J158" s="27"/>
      <c r="K158" s="27"/>
      <c r="L158" s="27"/>
      <c r="M158" s="107"/>
      <c r="N158" s="133"/>
    </row>
    <row r="159" spans="1:14" x14ac:dyDescent="0.2">
      <c r="A159" s="25" t="s">
        <v>1202</v>
      </c>
      <c r="B159" s="25"/>
      <c r="C159" s="26" t="s">
        <v>1203</v>
      </c>
      <c r="D159" s="27">
        <f t="shared" ref="D159:D167" si="35">VLOOKUP(A159,fin,3,FALSE)</f>
        <v>1000000</v>
      </c>
      <c r="E159" s="27">
        <v>0</v>
      </c>
      <c r="F159" s="27">
        <v>0</v>
      </c>
      <c r="G159" s="27">
        <v>1217.71</v>
      </c>
      <c r="H159" s="27">
        <v>-1217.71</v>
      </c>
      <c r="I159" s="27">
        <v>0</v>
      </c>
      <c r="J159" s="27">
        <f t="shared" ref="J159:J172" si="36">+K159-D159</f>
        <v>-37820</v>
      </c>
      <c r="K159" s="27">
        <f t="shared" ref="K159:K167" si="37">VLOOKUP(A159,fin,4,FALSE)</f>
        <v>962180</v>
      </c>
      <c r="L159" s="27">
        <f t="shared" ref="L159:L166" si="38">VLOOKUP(A159,fin,5,FALSE)</f>
        <v>0</v>
      </c>
      <c r="M159" s="107">
        <f t="shared" ref="M159:M166" si="39">VLOOKUP(A159,fin,6,FALSE)</f>
        <v>0</v>
      </c>
      <c r="N159" s="133"/>
    </row>
    <row r="160" spans="1:14" x14ac:dyDescent="0.2">
      <c r="A160" s="25" t="s">
        <v>1204</v>
      </c>
      <c r="B160" s="25"/>
      <c r="C160" s="26" t="s">
        <v>1205</v>
      </c>
      <c r="D160" s="27">
        <f t="shared" si="35"/>
        <v>3000000</v>
      </c>
      <c r="E160" s="27">
        <v>0</v>
      </c>
      <c r="F160" s="27">
        <v>0</v>
      </c>
      <c r="G160" s="27">
        <v>1217.71</v>
      </c>
      <c r="H160" s="27">
        <v>-1217.71</v>
      </c>
      <c r="I160" s="27">
        <v>0</v>
      </c>
      <c r="J160" s="27">
        <f t="shared" si="36"/>
        <v>-3000000</v>
      </c>
      <c r="K160" s="27">
        <f t="shared" si="37"/>
        <v>0</v>
      </c>
      <c r="L160" s="27">
        <v>0</v>
      </c>
      <c r="M160" s="107">
        <f t="shared" si="39"/>
        <v>0</v>
      </c>
      <c r="N160" s="133"/>
    </row>
    <row r="161" spans="1:14" x14ac:dyDescent="0.2">
      <c r="A161" s="25" t="s">
        <v>1206</v>
      </c>
      <c r="B161" s="25"/>
      <c r="C161" s="26" t="s">
        <v>1207</v>
      </c>
      <c r="D161" s="27">
        <f t="shared" si="35"/>
        <v>2220000</v>
      </c>
      <c r="E161" s="27">
        <v>0</v>
      </c>
      <c r="F161" s="27">
        <v>0</v>
      </c>
      <c r="G161" s="27">
        <v>1217.71</v>
      </c>
      <c r="H161" s="27">
        <v>-1217.71</v>
      </c>
      <c r="I161" s="27">
        <v>0</v>
      </c>
      <c r="J161" s="27">
        <f t="shared" si="36"/>
        <v>-2220000</v>
      </c>
      <c r="K161" s="27">
        <f t="shared" si="37"/>
        <v>0</v>
      </c>
      <c r="L161" s="27">
        <v>1260000</v>
      </c>
      <c r="M161" s="107">
        <v>1260000</v>
      </c>
      <c r="N161" s="133">
        <v>0</v>
      </c>
    </row>
    <row r="162" spans="1:14" x14ac:dyDescent="0.2">
      <c r="A162" s="25" t="s">
        <v>1208</v>
      </c>
      <c r="B162" s="25"/>
      <c r="C162" s="26" t="s">
        <v>1209</v>
      </c>
      <c r="D162" s="27">
        <f t="shared" si="35"/>
        <v>17000000</v>
      </c>
      <c r="E162" s="27">
        <v>0</v>
      </c>
      <c r="F162" s="27">
        <v>0</v>
      </c>
      <c r="G162" s="27">
        <v>1217.71</v>
      </c>
      <c r="H162" s="27">
        <v>-1217.71</v>
      </c>
      <c r="I162" s="27">
        <v>0</v>
      </c>
      <c r="J162" s="27">
        <f t="shared" si="36"/>
        <v>8110000</v>
      </c>
      <c r="K162" s="27">
        <f t="shared" si="37"/>
        <v>25110000</v>
      </c>
      <c r="L162" s="27">
        <v>4172137.84</v>
      </c>
      <c r="M162" s="107">
        <f t="shared" si="39"/>
        <v>0</v>
      </c>
      <c r="N162" s="133"/>
    </row>
    <row r="163" spans="1:14" x14ac:dyDescent="0.2">
      <c r="A163" s="25" t="s">
        <v>1210</v>
      </c>
      <c r="B163" s="25"/>
      <c r="C163" s="26" t="s">
        <v>1355</v>
      </c>
      <c r="D163" s="27">
        <f t="shared" si="35"/>
        <v>16393450</v>
      </c>
      <c r="E163" s="27">
        <v>0</v>
      </c>
      <c r="F163" s="27">
        <v>0</v>
      </c>
      <c r="G163" s="27">
        <v>1217.71</v>
      </c>
      <c r="H163" s="27">
        <v>-1217.71</v>
      </c>
      <c r="I163" s="27">
        <v>0</v>
      </c>
      <c r="J163" s="27">
        <f t="shared" si="36"/>
        <v>0</v>
      </c>
      <c r="K163" s="27">
        <f t="shared" si="37"/>
        <v>16393450</v>
      </c>
      <c r="L163" s="27">
        <v>14152231.92</v>
      </c>
      <c r="M163" s="107">
        <f t="shared" si="39"/>
        <v>0</v>
      </c>
      <c r="N163" s="133"/>
    </row>
    <row r="164" spans="1:14" x14ac:dyDescent="0.2">
      <c r="A164" s="25" t="s">
        <v>1211</v>
      </c>
      <c r="B164" s="25"/>
      <c r="C164" s="26" t="s">
        <v>1212</v>
      </c>
      <c r="D164" s="27">
        <f t="shared" si="35"/>
        <v>3000000</v>
      </c>
      <c r="E164" s="27">
        <v>0</v>
      </c>
      <c r="F164" s="27">
        <v>0</v>
      </c>
      <c r="G164" s="27">
        <v>1217.71</v>
      </c>
      <c r="H164" s="27">
        <v>-1217.71</v>
      </c>
      <c r="I164" s="27">
        <v>0</v>
      </c>
      <c r="J164" s="27">
        <f t="shared" si="36"/>
        <v>-1384000</v>
      </c>
      <c r="K164" s="27">
        <f t="shared" si="37"/>
        <v>1616000</v>
      </c>
      <c r="L164" s="27">
        <v>3000000</v>
      </c>
      <c r="M164" s="107">
        <f t="shared" si="39"/>
        <v>0</v>
      </c>
      <c r="N164" s="133"/>
    </row>
    <row r="165" spans="1:14" x14ac:dyDescent="0.2">
      <c r="A165" s="25" t="s">
        <v>1213</v>
      </c>
      <c r="B165" s="25"/>
      <c r="C165" s="26" t="s">
        <v>1214</v>
      </c>
      <c r="D165" s="27">
        <f t="shared" si="35"/>
        <v>800000</v>
      </c>
      <c r="E165" s="27">
        <v>0</v>
      </c>
      <c r="F165" s="27">
        <v>0</v>
      </c>
      <c r="G165" s="27">
        <v>1217.71</v>
      </c>
      <c r="H165" s="27">
        <v>-1217.71</v>
      </c>
      <c r="I165" s="27">
        <v>0</v>
      </c>
      <c r="J165" s="27">
        <f t="shared" si="36"/>
        <v>0</v>
      </c>
      <c r="K165" s="27">
        <f t="shared" si="37"/>
        <v>800000</v>
      </c>
      <c r="L165" s="27">
        <f t="shared" si="38"/>
        <v>0</v>
      </c>
      <c r="M165" s="107">
        <f t="shared" si="39"/>
        <v>0</v>
      </c>
      <c r="N165" s="133"/>
    </row>
    <row r="166" spans="1:14" x14ac:dyDescent="0.2">
      <c r="A166" s="25" t="s">
        <v>1215</v>
      </c>
      <c r="B166" s="25"/>
      <c r="C166" s="26" t="s">
        <v>1216</v>
      </c>
      <c r="D166" s="27">
        <f t="shared" si="35"/>
        <v>2127821</v>
      </c>
      <c r="E166" s="27">
        <v>0</v>
      </c>
      <c r="F166" s="27">
        <v>0</v>
      </c>
      <c r="G166" s="27">
        <v>1217.71</v>
      </c>
      <c r="H166" s="27">
        <v>-1217.71</v>
      </c>
      <c r="I166" s="27">
        <v>0</v>
      </c>
      <c r="J166" s="27">
        <f t="shared" si="36"/>
        <v>0</v>
      </c>
      <c r="K166" s="27">
        <f t="shared" si="37"/>
        <v>2127821</v>
      </c>
      <c r="L166" s="27">
        <f t="shared" si="38"/>
        <v>0</v>
      </c>
      <c r="M166" s="107">
        <f t="shared" si="39"/>
        <v>0</v>
      </c>
      <c r="N166" s="133"/>
    </row>
    <row r="167" spans="1:14" x14ac:dyDescent="0.2">
      <c r="A167" s="25" t="s">
        <v>1345</v>
      </c>
      <c r="B167" s="25"/>
      <c r="C167" s="26" t="s">
        <v>1346</v>
      </c>
      <c r="D167" s="27">
        <f t="shared" si="35"/>
        <v>0</v>
      </c>
      <c r="E167" s="27">
        <v>0</v>
      </c>
      <c r="F167" s="27">
        <v>0</v>
      </c>
      <c r="G167" s="27">
        <v>1217.71</v>
      </c>
      <c r="H167" s="27">
        <v>-1217.71</v>
      </c>
      <c r="I167" s="27">
        <v>0</v>
      </c>
      <c r="J167" s="27">
        <f t="shared" si="36"/>
        <v>0</v>
      </c>
      <c r="K167" s="27">
        <f t="shared" si="37"/>
        <v>0</v>
      </c>
      <c r="L167" s="27">
        <v>0</v>
      </c>
      <c r="M167" s="107">
        <v>0</v>
      </c>
      <c r="N167" s="133">
        <v>0</v>
      </c>
    </row>
    <row r="168" spans="1:14" x14ac:dyDescent="0.2">
      <c r="A168" s="25" t="s">
        <v>3006</v>
      </c>
      <c r="B168" s="25"/>
      <c r="C168" s="26" t="s">
        <v>1347</v>
      </c>
      <c r="D168" s="27">
        <v>0</v>
      </c>
      <c r="E168" s="27"/>
      <c r="F168" s="27"/>
      <c r="G168" s="27"/>
      <c r="H168" s="27"/>
      <c r="I168" s="27">
        <v>0</v>
      </c>
      <c r="J168" s="27">
        <f t="shared" si="36"/>
        <v>0</v>
      </c>
      <c r="K168" s="27"/>
      <c r="L168" s="27">
        <v>0</v>
      </c>
      <c r="M168" s="107">
        <v>4800000</v>
      </c>
      <c r="N168" s="107">
        <v>8000000</v>
      </c>
    </row>
    <row r="169" spans="1:14" x14ac:dyDescent="0.2">
      <c r="A169" s="25" t="s">
        <v>3007</v>
      </c>
      <c r="B169" s="25"/>
      <c r="C169" s="26" t="s">
        <v>1348</v>
      </c>
      <c r="D169" s="27">
        <v>0</v>
      </c>
      <c r="E169" s="27">
        <v>0</v>
      </c>
      <c r="F169" s="27">
        <v>0</v>
      </c>
      <c r="G169" s="27">
        <v>0</v>
      </c>
      <c r="H169" s="27">
        <v>0</v>
      </c>
      <c r="I169" s="27">
        <v>0</v>
      </c>
      <c r="J169" s="27">
        <f t="shared" si="36"/>
        <v>0</v>
      </c>
      <c r="K169" s="27"/>
      <c r="L169" s="27">
        <v>0</v>
      </c>
      <c r="M169" s="107">
        <v>0</v>
      </c>
      <c r="N169" s="133">
        <v>0</v>
      </c>
    </row>
    <row r="170" spans="1:14" x14ac:dyDescent="0.2">
      <c r="A170" s="25" t="s">
        <v>3008</v>
      </c>
      <c r="B170" s="25"/>
      <c r="C170" s="26" t="s">
        <v>1349</v>
      </c>
      <c r="D170" s="27">
        <v>0</v>
      </c>
      <c r="E170" s="27">
        <v>0</v>
      </c>
      <c r="F170" s="27">
        <v>0</v>
      </c>
      <c r="G170" s="27">
        <v>0</v>
      </c>
      <c r="H170" s="27">
        <v>0</v>
      </c>
      <c r="I170" s="27">
        <v>0</v>
      </c>
      <c r="J170" s="27">
        <f t="shared" si="36"/>
        <v>0</v>
      </c>
      <c r="K170" s="27"/>
      <c r="L170" s="27">
        <v>0</v>
      </c>
      <c r="M170" s="107">
        <v>0</v>
      </c>
      <c r="N170" s="133"/>
    </row>
    <row r="171" spans="1:14" x14ac:dyDescent="0.2">
      <c r="A171" s="25" t="s">
        <v>1350</v>
      </c>
      <c r="B171" s="25"/>
      <c r="C171" s="26" t="s">
        <v>1351</v>
      </c>
      <c r="D171" s="27">
        <f>VLOOKUP(A171,fin,3,FALSE)</f>
        <v>0</v>
      </c>
      <c r="E171" s="27">
        <v>0</v>
      </c>
      <c r="F171" s="27">
        <v>0</v>
      </c>
      <c r="G171" s="27">
        <v>1217.71</v>
      </c>
      <c r="H171" s="27">
        <v>-1217.71</v>
      </c>
      <c r="I171" s="27">
        <v>0</v>
      </c>
      <c r="J171" s="27">
        <f t="shared" si="36"/>
        <v>0</v>
      </c>
      <c r="K171" s="27">
        <f>VLOOKUP(A171,fin,4,FALSE)</f>
        <v>0</v>
      </c>
      <c r="L171" s="27">
        <v>14861980.24</v>
      </c>
      <c r="M171" s="107">
        <v>2988019.78</v>
      </c>
      <c r="N171" s="133"/>
    </row>
    <row r="172" spans="1:14" x14ac:dyDescent="0.2">
      <c r="A172" s="25" t="s">
        <v>1352</v>
      </c>
      <c r="B172" s="25"/>
      <c r="C172" s="26" t="s">
        <v>3044</v>
      </c>
      <c r="D172" s="27">
        <f>VLOOKUP(A172,fin,3,FALSE)</f>
        <v>0</v>
      </c>
      <c r="E172" s="27">
        <v>0</v>
      </c>
      <c r="F172" s="27">
        <v>0</v>
      </c>
      <c r="G172" s="27">
        <v>1217.71</v>
      </c>
      <c r="H172" s="27">
        <v>-1217.71</v>
      </c>
      <c r="I172" s="27">
        <v>0</v>
      </c>
      <c r="J172" s="27">
        <f t="shared" si="36"/>
        <v>0</v>
      </c>
      <c r="K172" s="27">
        <f>VLOOKUP(A172,fin,4,FALSE)</f>
        <v>0</v>
      </c>
      <c r="L172" s="27">
        <v>0</v>
      </c>
      <c r="M172" s="107">
        <v>12105000</v>
      </c>
      <c r="N172" s="133">
        <v>7000000</v>
      </c>
    </row>
    <row r="173" spans="1:14" x14ac:dyDescent="0.2">
      <c r="A173" s="25"/>
      <c r="B173" s="25"/>
      <c r="C173" s="26" t="s">
        <v>3067</v>
      </c>
      <c r="D173" s="27">
        <v>0</v>
      </c>
      <c r="E173" s="27"/>
      <c r="F173" s="27"/>
      <c r="G173" s="27"/>
      <c r="H173" s="27"/>
      <c r="I173" s="27"/>
      <c r="J173" s="27"/>
      <c r="K173" s="27">
        <v>0</v>
      </c>
      <c r="L173" s="27">
        <v>0</v>
      </c>
      <c r="M173" s="107">
        <v>2000000</v>
      </c>
      <c r="N173" s="133">
        <v>6000000</v>
      </c>
    </row>
    <row r="174" spans="1:14" x14ac:dyDescent="0.2">
      <c r="A174" s="25"/>
      <c r="B174" s="25"/>
      <c r="C174" s="26" t="s">
        <v>3068</v>
      </c>
      <c r="D174" s="27">
        <v>0</v>
      </c>
      <c r="E174" s="27"/>
      <c r="F174" s="27"/>
      <c r="G174" s="27"/>
      <c r="H174" s="27"/>
      <c r="I174" s="27"/>
      <c r="J174" s="27"/>
      <c r="K174" s="27">
        <v>0</v>
      </c>
      <c r="L174" s="27">
        <v>0</v>
      </c>
      <c r="M174" s="107">
        <v>2000000</v>
      </c>
      <c r="N174" s="133">
        <v>6000000</v>
      </c>
    </row>
    <row r="175" spans="1:14" x14ac:dyDescent="0.2">
      <c r="A175" s="25"/>
      <c r="B175" s="25"/>
      <c r="C175" s="26" t="s">
        <v>3069</v>
      </c>
      <c r="D175" s="27"/>
      <c r="E175" s="27"/>
      <c r="F175" s="27"/>
      <c r="G175" s="27"/>
      <c r="H175" s="27"/>
      <c r="I175" s="27"/>
      <c r="J175" s="27"/>
      <c r="K175" s="27"/>
      <c r="L175" s="27"/>
      <c r="M175" s="107">
        <v>2000000</v>
      </c>
      <c r="N175" s="133">
        <v>5905050</v>
      </c>
    </row>
    <row r="176" spans="1:14" x14ac:dyDescent="0.2">
      <c r="A176" s="25"/>
      <c r="B176" s="25"/>
      <c r="C176" s="26" t="s">
        <v>3070</v>
      </c>
      <c r="D176" s="27">
        <v>0</v>
      </c>
      <c r="E176" s="27"/>
      <c r="F176" s="27"/>
      <c r="G176" s="27"/>
      <c r="H176" s="27"/>
      <c r="I176" s="27"/>
      <c r="J176" s="27"/>
      <c r="K176" s="27">
        <v>0</v>
      </c>
      <c r="L176" s="27">
        <v>0</v>
      </c>
      <c r="M176" s="107">
        <v>2500000</v>
      </c>
      <c r="N176" s="133">
        <v>6897350</v>
      </c>
    </row>
    <row r="177" spans="1:14" x14ac:dyDescent="0.2">
      <c r="A177" s="25"/>
      <c r="B177" s="25"/>
      <c r="C177" s="26" t="s">
        <v>3043</v>
      </c>
      <c r="D177" s="27">
        <v>0</v>
      </c>
      <c r="E177" s="27"/>
      <c r="F177" s="27"/>
      <c r="G177" s="27"/>
      <c r="H177" s="27"/>
      <c r="I177" s="27"/>
      <c r="J177" s="27"/>
      <c r="K177" s="27"/>
      <c r="L177" s="27"/>
      <c r="M177" s="107">
        <v>12259030</v>
      </c>
      <c r="N177" s="133">
        <v>6000000</v>
      </c>
    </row>
    <row r="178" spans="1:14" x14ac:dyDescent="0.2">
      <c r="A178" s="25"/>
      <c r="B178" s="25"/>
      <c r="C178" s="26"/>
      <c r="D178" s="27">
        <v>0</v>
      </c>
      <c r="E178" s="27"/>
      <c r="F178" s="27"/>
      <c r="G178" s="27"/>
      <c r="H178" s="27"/>
      <c r="I178" s="27"/>
      <c r="J178" s="27"/>
      <c r="K178" s="27"/>
      <c r="L178" s="27"/>
      <c r="M178" s="107">
        <v>0</v>
      </c>
      <c r="N178" s="219">
        <v>0</v>
      </c>
    </row>
    <row r="179" spans="1:14" x14ac:dyDescent="0.2">
      <c r="A179" s="25"/>
      <c r="B179" s="25"/>
      <c r="C179" s="26"/>
      <c r="D179" s="27"/>
      <c r="E179" s="27"/>
      <c r="F179" s="27"/>
      <c r="G179" s="27"/>
      <c r="H179" s="27"/>
      <c r="I179" s="27"/>
      <c r="J179" s="27"/>
      <c r="K179" s="27"/>
      <c r="L179" s="27"/>
      <c r="M179" s="107"/>
      <c r="N179" s="219">
        <v>0</v>
      </c>
    </row>
    <row r="180" spans="1:14" s="24" customFormat="1" ht="15" x14ac:dyDescent="0.25">
      <c r="A180" s="20"/>
      <c r="B180" s="20"/>
      <c r="C180" s="21" t="s">
        <v>320</v>
      </c>
      <c r="D180" s="22">
        <f>SUM(D159:D178)</f>
        <v>45541271</v>
      </c>
      <c r="E180" s="22">
        <f t="shared" ref="E180:N180" si="40">SUM(E159:E178)</f>
        <v>0</v>
      </c>
      <c r="F180" s="22">
        <f t="shared" si="40"/>
        <v>0</v>
      </c>
      <c r="G180" s="22">
        <f t="shared" si="40"/>
        <v>13394.809999999998</v>
      </c>
      <c r="H180" s="22">
        <f t="shared" si="40"/>
        <v>-13394.809999999998</v>
      </c>
      <c r="I180" s="22">
        <f t="shared" si="40"/>
        <v>0</v>
      </c>
      <c r="J180" s="22">
        <f t="shared" si="40"/>
        <v>1468180</v>
      </c>
      <c r="K180" s="22">
        <f t="shared" si="40"/>
        <v>47009451</v>
      </c>
      <c r="L180" s="22">
        <f t="shared" si="40"/>
        <v>37446350</v>
      </c>
      <c r="M180" s="22">
        <f t="shared" si="40"/>
        <v>41912049.780000001</v>
      </c>
      <c r="N180" s="22">
        <f t="shared" si="40"/>
        <v>45802400</v>
      </c>
    </row>
    <row r="181" spans="1:14" s="24" customFormat="1" ht="15" x14ac:dyDescent="0.25">
      <c r="A181" s="20"/>
      <c r="B181" s="20"/>
      <c r="C181" s="21"/>
      <c r="D181" s="22"/>
      <c r="E181" s="22"/>
      <c r="F181" s="22"/>
      <c r="G181" s="22"/>
      <c r="H181" s="22"/>
      <c r="I181" s="22"/>
      <c r="J181" s="27"/>
      <c r="K181" s="27"/>
      <c r="L181" s="22"/>
      <c r="M181" s="134"/>
      <c r="N181" s="132"/>
    </row>
    <row r="182" spans="1:14" s="24" customFormat="1" ht="15" x14ac:dyDescent="0.25">
      <c r="A182" s="20"/>
      <c r="B182" s="20"/>
      <c r="C182" s="21" t="s">
        <v>1217</v>
      </c>
      <c r="D182" s="22"/>
      <c r="E182" s="22"/>
      <c r="F182" s="22"/>
      <c r="G182" s="22"/>
      <c r="H182" s="22"/>
      <c r="I182" s="22"/>
      <c r="J182" s="27">
        <f>+K182-D182</f>
        <v>0</v>
      </c>
      <c r="K182" s="27"/>
      <c r="L182" s="22"/>
      <c r="M182" s="134"/>
      <c r="N182" s="132"/>
    </row>
    <row r="183" spans="1:14" s="24" customFormat="1" ht="15" x14ac:dyDescent="0.25">
      <c r="A183" s="20"/>
      <c r="B183" s="20"/>
      <c r="C183" s="21" t="s">
        <v>9</v>
      </c>
      <c r="D183" s="22"/>
      <c r="E183" s="22"/>
      <c r="F183" s="22"/>
      <c r="G183" s="22"/>
      <c r="H183" s="22"/>
      <c r="I183" s="22"/>
      <c r="J183" s="27">
        <f>+K183-D183</f>
        <v>0</v>
      </c>
      <c r="K183" s="27"/>
      <c r="L183" s="22"/>
      <c r="M183" s="134"/>
      <c r="N183" s="132"/>
    </row>
    <row r="184" spans="1:14" s="24" customFormat="1" ht="15" x14ac:dyDescent="0.25">
      <c r="A184" s="20"/>
      <c r="B184" s="20"/>
      <c r="C184" s="21" t="s">
        <v>10</v>
      </c>
      <c r="D184" s="22"/>
      <c r="E184" s="22"/>
      <c r="F184" s="22"/>
      <c r="G184" s="22"/>
      <c r="H184" s="22"/>
      <c r="I184" s="22"/>
      <c r="J184" s="27">
        <f>+K184-D184</f>
        <v>0</v>
      </c>
      <c r="K184" s="27"/>
      <c r="L184" s="22"/>
      <c r="M184" s="134"/>
      <c r="N184" s="132"/>
    </row>
    <row r="185" spans="1:14" s="24" customFormat="1" ht="15" x14ac:dyDescent="0.25">
      <c r="A185" s="20"/>
      <c r="B185" s="20"/>
      <c r="C185" s="21" t="s">
        <v>29</v>
      </c>
      <c r="D185" s="22"/>
      <c r="E185" s="22"/>
      <c r="F185" s="22"/>
      <c r="G185" s="22"/>
      <c r="H185" s="22"/>
      <c r="I185" s="22"/>
      <c r="J185" s="27">
        <f>+K185-D185</f>
        <v>0</v>
      </c>
      <c r="K185" s="27"/>
      <c r="L185" s="22"/>
      <c r="M185" s="134"/>
      <c r="N185" s="132"/>
    </row>
    <row r="186" spans="1:14" s="24" customFormat="1" ht="15" x14ac:dyDescent="0.25">
      <c r="A186" s="20"/>
      <c r="B186" s="20"/>
      <c r="C186" s="21" t="s">
        <v>30</v>
      </c>
      <c r="D186" s="22"/>
      <c r="E186" s="22"/>
      <c r="F186" s="22"/>
      <c r="G186" s="22"/>
      <c r="H186" s="22"/>
      <c r="I186" s="22"/>
      <c r="J186" s="27">
        <f>+K186-D186</f>
        <v>0</v>
      </c>
      <c r="K186" s="27"/>
      <c r="L186" s="22"/>
      <c r="M186" s="134"/>
      <c r="N186" s="132"/>
    </row>
    <row r="187" spans="1:14" x14ac:dyDescent="0.2">
      <c r="A187" s="25"/>
      <c r="B187" s="25"/>
      <c r="C187" s="26"/>
      <c r="D187" s="27"/>
      <c r="E187" s="27"/>
      <c r="F187" s="27"/>
      <c r="G187" s="27"/>
      <c r="H187" s="27"/>
      <c r="I187" s="27"/>
      <c r="J187" s="27"/>
      <c r="K187" s="27"/>
      <c r="L187" s="27"/>
      <c r="M187" s="107"/>
      <c r="N187" s="133"/>
    </row>
    <row r="188" spans="1:14" x14ac:dyDescent="0.2">
      <c r="A188" s="25" t="s">
        <v>1218</v>
      </c>
      <c r="B188" s="25"/>
      <c r="C188" s="26" t="s">
        <v>33</v>
      </c>
      <c r="D188" s="27">
        <f>'Revenue per source'!C35</f>
        <v>-1757550</v>
      </c>
      <c r="E188" s="27">
        <f>'Revenue per source'!D35</f>
        <v>-474821.9</v>
      </c>
      <c r="F188" s="27">
        <f>'Revenue per source'!E35</f>
        <v>0</v>
      </c>
      <c r="G188" s="27">
        <f>'Revenue per source'!F35</f>
        <v>-932309.88</v>
      </c>
      <c r="H188" s="27">
        <f>'Revenue per source'!G35</f>
        <v>-825240.12</v>
      </c>
      <c r="I188" s="27">
        <f>'Revenue per source'!H35</f>
        <v>53.04</v>
      </c>
      <c r="J188" s="27">
        <f>'Revenue per source'!I35</f>
        <v>0</v>
      </c>
      <c r="K188" s="27">
        <f>'Revenue per source'!J35</f>
        <v>-1757550</v>
      </c>
      <c r="L188" s="27">
        <f>'Revenue per source'!K35</f>
        <v>-1746650</v>
      </c>
      <c r="M188" s="27">
        <f>'Revenue per source'!L35</f>
        <v>-1886950</v>
      </c>
      <c r="N188" s="27">
        <f>'Revenue per source'!M35</f>
        <v>-1989600</v>
      </c>
    </row>
    <row r="189" spans="1:14" x14ac:dyDescent="0.2">
      <c r="A189" s="25"/>
      <c r="B189" s="25"/>
      <c r="C189" s="26"/>
      <c r="D189" s="27"/>
      <c r="E189" s="27"/>
      <c r="F189" s="27"/>
      <c r="G189" s="27"/>
      <c r="H189" s="27"/>
      <c r="I189" s="27"/>
      <c r="J189" s="27"/>
      <c r="K189" s="27"/>
      <c r="L189" s="27"/>
      <c r="M189" s="107"/>
      <c r="N189" s="133"/>
    </row>
    <row r="190" spans="1:14" s="24" customFormat="1" ht="15" x14ac:dyDescent="0.25">
      <c r="A190" s="20"/>
      <c r="B190" s="20"/>
      <c r="C190" s="21" t="s">
        <v>35</v>
      </c>
      <c r="D190" s="22">
        <f>SUM(D188:D189)</f>
        <v>-1757550</v>
      </c>
      <c r="E190" s="22">
        <f>SUM(E188:E189)</f>
        <v>-474821.9</v>
      </c>
      <c r="F190" s="22">
        <f>SUM(F188:F189)</f>
        <v>0</v>
      </c>
      <c r="G190" s="22">
        <f>SUM(G188:G189)</f>
        <v>-932309.88</v>
      </c>
      <c r="H190" s="22">
        <f>SUM(H188:H189)</f>
        <v>-825240.12</v>
      </c>
      <c r="I190" s="22">
        <v>53.04</v>
      </c>
      <c r="J190" s="27">
        <f>+K190-D190</f>
        <v>0</v>
      </c>
      <c r="K190" s="22">
        <f>SUM(K188:K189)</f>
        <v>-1757550</v>
      </c>
      <c r="L190" s="22">
        <f>SUM(L188:L189)</f>
        <v>-1746650</v>
      </c>
      <c r="M190" s="134">
        <f>SUM(M188:M189)</f>
        <v>-1886950</v>
      </c>
      <c r="N190" s="134">
        <f>SUM(N188:N189)</f>
        <v>-1989600</v>
      </c>
    </row>
    <row r="191" spans="1:14" s="24" customFormat="1" ht="15" x14ac:dyDescent="0.25">
      <c r="A191" s="20"/>
      <c r="B191" s="20"/>
      <c r="C191" s="21"/>
      <c r="D191" s="22"/>
      <c r="E191" s="22"/>
      <c r="F191" s="22"/>
      <c r="G191" s="22"/>
      <c r="H191" s="22"/>
      <c r="I191" s="22"/>
      <c r="J191" s="27"/>
      <c r="K191" s="27"/>
      <c r="L191" s="22"/>
      <c r="M191" s="134"/>
      <c r="N191" s="132"/>
    </row>
    <row r="192" spans="1:14" s="24" customFormat="1" ht="15" x14ac:dyDescent="0.25">
      <c r="A192" s="20"/>
      <c r="B192" s="20"/>
      <c r="C192" s="21" t="s">
        <v>36</v>
      </c>
      <c r="D192" s="22"/>
      <c r="E192" s="22"/>
      <c r="F192" s="22"/>
      <c r="G192" s="22"/>
      <c r="H192" s="22"/>
      <c r="I192" s="22"/>
      <c r="J192" s="27">
        <f>+K192-D192</f>
        <v>0</v>
      </c>
      <c r="K192" s="27"/>
      <c r="L192" s="22"/>
      <c r="M192" s="134"/>
      <c r="N192" s="132"/>
    </row>
    <row r="193" spans="1:14" x14ac:dyDescent="0.2">
      <c r="A193" s="25"/>
      <c r="B193" s="25"/>
      <c r="C193" s="26"/>
      <c r="D193" s="27"/>
      <c r="E193" s="27"/>
      <c r="F193" s="27"/>
      <c r="G193" s="27"/>
      <c r="H193" s="27"/>
      <c r="I193" s="27"/>
      <c r="J193" s="27"/>
      <c r="K193" s="27"/>
      <c r="L193" s="27"/>
      <c r="M193" s="107"/>
      <c r="N193" s="133"/>
    </row>
    <row r="194" spans="1:14" x14ac:dyDescent="0.2">
      <c r="A194" s="25" t="s">
        <v>1219</v>
      </c>
      <c r="B194" s="25"/>
      <c r="C194" s="26" t="s">
        <v>37</v>
      </c>
      <c r="D194" s="27">
        <f>'Revenue per source'!C42</f>
        <v>-33393460</v>
      </c>
      <c r="E194" s="27">
        <f>'Revenue per source'!D42</f>
        <v>-16715989.720000001</v>
      </c>
      <c r="F194" s="27">
        <f>'Revenue per source'!E42</f>
        <v>0</v>
      </c>
      <c r="G194" s="27">
        <f>'Revenue per source'!F42</f>
        <v>-31038466.530000001</v>
      </c>
      <c r="H194" s="27">
        <f>'Revenue per source'!G42</f>
        <v>-2354993.4700000002</v>
      </c>
      <c r="I194" s="27">
        <f>'Revenue per source'!H42</f>
        <v>92.94</v>
      </c>
      <c r="J194" s="27">
        <f>'Revenue per source'!I42</f>
        <v>0</v>
      </c>
      <c r="K194" s="27">
        <f>'Revenue per source'!J42</f>
        <v>-43119460</v>
      </c>
      <c r="L194" s="27">
        <f>'Revenue per source'!K42</f>
        <v>-33186350</v>
      </c>
      <c r="M194" s="27">
        <f>'Revenue per source'!L42</f>
        <v>-35852050</v>
      </c>
      <c r="N194" s="27">
        <f>'Revenue per source'!M42</f>
        <v>-37802400</v>
      </c>
    </row>
    <row r="195" spans="1:14" x14ac:dyDescent="0.2">
      <c r="A195" s="25"/>
      <c r="B195" s="25"/>
      <c r="C195" s="26"/>
      <c r="D195" s="27"/>
      <c r="E195" s="27"/>
      <c r="F195" s="27"/>
      <c r="G195" s="27"/>
      <c r="H195" s="27"/>
      <c r="I195" s="27"/>
      <c r="J195" s="27"/>
      <c r="K195" s="27"/>
      <c r="L195" s="27"/>
      <c r="M195" s="107"/>
      <c r="N195" s="133"/>
    </row>
    <row r="196" spans="1:14" s="24" customFormat="1" ht="15" x14ac:dyDescent="0.25">
      <c r="A196" s="20"/>
      <c r="B196" s="20"/>
      <c r="C196" s="21" t="s">
        <v>38</v>
      </c>
      <c r="D196" s="22">
        <f>SUM(D194:D195)</f>
        <v>-33393460</v>
      </c>
      <c r="E196" s="22">
        <f t="shared" ref="E196:N196" si="41">SUM(E194:E195)</f>
        <v>-16715989.720000001</v>
      </c>
      <c r="F196" s="22">
        <f t="shared" si="41"/>
        <v>0</v>
      </c>
      <c r="G196" s="22">
        <f t="shared" si="41"/>
        <v>-31038466.530000001</v>
      </c>
      <c r="H196" s="22">
        <f t="shared" si="41"/>
        <v>-2354993.4700000002</v>
      </c>
      <c r="I196" s="22">
        <f t="shared" si="41"/>
        <v>92.94</v>
      </c>
      <c r="J196" s="22">
        <f t="shared" si="41"/>
        <v>0</v>
      </c>
      <c r="K196" s="22">
        <f t="shared" si="41"/>
        <v>-43119460</v>
      </c>
      <c r="L196" s="22">
        <f t="shared" si="41"/>
        <v>-33186350</v>
      </c>
      <c r="M196" s="22">
        <f t="shared" si="41"/>
        <v>-35852050</v>
      </c>
      <c r="N196" s="22">
        <f t="shared" si="41"/>
        <v>-37802400</v>
      </c>
    </row>
    <row r="197" spans="1:14" s="24" customFormat="1" ht="15" x14ac:dyDescent="0.25">
      <c r="A197" s="20"/>
      <c r="B197" s="20"/>
      <c r="C197" s="21"/>
      <c r="D197" s="22"/>
      <c r="E197" s="22"/>
      <c r="F197" s="22"/>
      <c r="G197" s="22"/>
      <c r="H197" s="22"/>
      <c r="I197" s="22"/>
      <c r="J197" s="27"/>
      <c r="K197" s="27"/>
      <c r="L197" s="22"/>
      <c r="M197" s="134"/>
      <c r="N197" s="132"/>
    </row>
    <row r="198" spans="1:14" s="24" customFormat="1" ht="15" x14ac:dyDescent="0.25">
      <c r="A198" s="20"/>
      <c r="B198" s="20"/>
      <c r="C198" s="21" t="s">
        <v>39</v>
      </c>
      <c r="D198" s="22">
        <f>D190+D194</f>
        <v>-35151010</v>
      </c>
      <c r="E198" s="22">
        <f t="shared" ref="E198:N198" si="42">E190+E194</f>
        <v>-17190811.620000001</v>
      </c>
      <c r="F198" s="22">
        <f t="shared" si="42"/>
        <v>0</v>
      </c>
      <c r="G198" s="22">
        <f t="shared" si="42"/>
        <v>-31970776.41</v>
      </c>
      <c r="H198" s="22">
        <f t="shared" si="42"/>
        <v>-3180233.5900000003</v>
      </c>
      <c r="I198" s="22">
        <v>90.95</v>
      </c>
      <c r="J198" s="27">
        <f>+K198-D198</f>
        <v>-9726000</v>
      </c>
      <c r="K198" s="22">
        <f t="shared" si="42"/>
        <v>-44877010</v>
      </c>
      <c r="L198" s="22">
        <f t="shared" si="42"/>
        <v>-34933000</v>
      </c>
      <c r="M198" s="134">
        <f t="shared" si="42"/>
        <v>-37739000</v>
      </c>
      <c r="N198" s="134">
        <f t="shared" si="42"/>
        <v>-39792000</v>
      </c>
    </row>
    <row r="199" spans="1:14" s="24" customFormat="1" ht="15" x14ac:dyDescent="0.25">
      <c r="A199" s="20"/>
      <c r="B199" s="20"/>
      <c r="C199" s="21"/>
      <c r="D199" s="22"/>
      <c r="E199" s="22"/>
      <c r="F199" s="22"/>
      <c r="G199" s="22"/>
      <c r="H199" s="22"/>
      <c r="I199" s="22"/>
      <c r="J199" s="27"/>
      <c r="K199" s="27"/>
      <c r="L199" s="22"/>
      <c r="M199" s="134"/>
      <c r="N199" s="132"/>
    </row>
    <row r="200" spans="1:14" s="24" customFormat="1" ht="15" x14ac:dyDescent="0.25">
      <c r="A200" s="20"/>
      <c r="B200" s="20"/>
      <c r="C200" s="21" t="s">
        <v>40</v>
      </c>
      <c r="D200" s="22">
        <f>D198</f>
        <v>-35151010</v>
      </c>
      <c r="E200" s="22">
        <f t="shared" ref="E200:N200" si="43">E198</f>
        <v>-17190811.620000001</v>
      </c>
      <c r="F200" s="22">
        <f t="shared" si="43"/>
        <v>0</v>
      </c>
      <c r="G200" s="22">
        <f t="shared" si="43"/>
        <v>-31970776.41</v>
      </c>
      <c r="H200" s="22">
        <f t="shared" si="43"/>
        <v>-3180233.5900000003</v>
      </c>
      <c r="I200" s="22">
        <v>90.95</v>
      </c>
      <c r="J200" s="27">
        <f>+K200-D200</f>
        <v>-9726000</v>
      </c>
      <c r="K200" s="22">
        <f t="shared" si="43"/>
        <v>-44877010</v>
      </c>
      <c r="L200" s="22">
        <f t="shared" si="43"/>
        <v>-34933000</v>
      </c>
      <c r="M200" s="134">
        <f t="shared" si="43"/>
        <v>-37739000</v>
      </c>
      <c r="N200" s="134">
        <f t="shared" si="43"/>
        <v>-39792000</v>
      </c>
    </row>
    <row r="201" spans="1:14" s="24" customFormat="1" ht="15" x14ac:dyDescent="0.25">
      <c r="A201" s="20"/>
      <c r="B201" s="20"/>
      <c r="C201" s="21"/>
      <c r="D201" s="22"/>
      <c r="E201" s="22"/>
      <c r="F201" s="22"/>
      <c r="G201" s="22"/>
      <c r="H201" s="22"/>
      <c r="I201" s="22"/>
      <c r="J201" s="27"/>
      <c r="K201" s="27"/>
      <c r="L201" s="22"/>
      <c r="M201" s="134"/>
      <c r="N201" s="132"/>
    </row>
    <row r="202" spans="1:14" s="24" customFormat="1" ht="15" x14ac:dyDescent="0.25">
      <c r="A202" s="20"/>
      <c r="B202" s="20"/>
      <c r="C202" s="21" t="s">
        <v>95</v>
      </c>
      <c r="D202" s="22">
        <f>D200</f>
        <v>-35151010</v>
      </c>
      <c r="E202" s="22">
        <f t="shared" ref="E202:N202" si="44">E200</f>
        <v>-17190811.620000001</v>
      </c>
      <c r="F202" s="22">
        <f t="shared" si="44"/>
        <v>0</v>
      </c>
      <c r="G202" s="22">
        <f t="shared" si="44"/>
        <v>-31970776.41</v>
      </c>
      <c r="H202" s="22">
        <f t="shared" si="44"/>
        <v>-3180233.5900000003</v>
      </c>
      <c r="I202" s="22">
        <v>90.95</v>
      </c>
      <c r="J202" s="27">
        <f>+K202-D202</f>
        <v>-9726000</v>
      </c>
      <c r="K202" s="22">
        <f t="shared" si="44"/>
        <v>-44877010</v>
      </c>
      <c r="L202" s="22">
        <f t="shared" si="44"/>
        <v>-34933000</v>
      </c>
      <c r="M202" s="134">
        <f t="shared" si="44"/>
        <v>-37739000</v>
      </c>
      <c r="N202" s="134">
        <f t="shared" si="44"/>
        <v>-39792000</v>
      </c>
    </row>
    <row r="203" spans="1:14" s="24" customFormat="1" ht="15" x14ac:dyDescent="0.25">
      <c r="A203" s="20"/>
      <c r="B203" s="20"/>
      <c r="C203" s="21"/>
      <c r="D203" s="22"/>
      <c r="E203" s="22"/>
      <c r="F203" s="22"/>
      <c r="G203" s="22"/>
      <c r="H203" s="22"/>
      <c r="I203" s="22"/>
      <c r="J203" s="27"/>
      <c r="K203" s="27"/>
      <c r="L203" s="22"/>
      <c r="M203" s="134"/>
      <c r="N203" s="132"/>
    </row>
    <row r="204" spans="1:14" s="24" customFormat="1" ht="15" x14ac:dyDescent="0.25">
      <c r="A204" s="20"/>
      <c r="B204" s="20"/>
      <c r="C204" s="21" t="s">
        <v>96</v>
      </c>
      <c r="D204" s="22"/>
      <c r="E204" s="22"/>
      <c r="F204" s="22"/>
      <c r="G204" s="22"/>
      <c r="H204" s="22"/>
      <c r="I204" s="22"/>
      <c r="J204" s="27">
        <f>+K204-D204</f>
        <v>0</v>
      </c>
      <c r="K204" s="27"/>
      <c r="L204" s="22"/>
      <c r="M204" s="134"/>
      <c r="N204" s="132"/>
    </row>
    <row r="205" spans="1:14" s="24" customFormat="1" ht="15" x14ac:dyDescent="0.25">
      <c r="A205" s="20"/>
      <c r="B205" s="20"/>
      <c r="C205" s="21" t="s">
        <v>97</v>
      </c>
      <c r="D205" s="22"/>
      <c r="E205" s="22"/>
      <c r="F205" s="22"/>
      <c r="G205" s="22"/>
      <c r="H205" s="22"/>
      <c r="I205" s="22"/>
      <c r="J205" s="27">
        <f>+K205-D205</f>
        <v>0</v>
      </c>
      <c r="K205" s="27"/>
      <c r="L205" s="22"/>
      <c r="M205" s="134"/>
      <c r="N205" s="132"/>
    </row>
    <row r="206" spans="1:14" s="24" customFormat="1" ht="15" x14ac:dyDescent="0.25">
      <c r="A206" s="20"/>
      <c r="B206" s="20"/>
      <c r="C206" s="21" t="s">
        <v>148</v>
      </c>
      <c r="D206" s="22"/>
      <c r="E206" s="22"/>
      <c r="F206" s="22"/>
      <c r="G206" s="22"/>
      <c r="H206" s="22"/>
      <c r="I206" s="22"/>
      <c r="J206" s="27">
        <f>+K206-D206</f>
        <v>0</v>
      </c>
      <c r="K206" s="27"/>
      <c r="L206" s="22"/>
      <c r="M206" s="134"/>
      <c r="N206" s="132"/>
    </row>
    <row r="207" spans="1:14" s="24" customFormat="1" ht="15" x14ac:dyDescent="0.25">
      <c r="A207" s="20"/>
      <c r="B207" s="20"/>
      <c r="C207" s="21" t="s">
        <v>149</v>
      </c>
      <c r="D207" s="22"/>
      <c r="E207" s="22"/>
      <c r="F207" s="22"/>
      <c r="G207" s="22"/>
      <c r="H207" s="22"/>
      <c r="I207" s="22"/>
      <c r="J207" s="27">
        <f>+K207-D207</f>
        <v>0</v>
      </c>
      <c r="K207" s="27"/>
      <c r="L207" s="22"/>
      <c r="M207" s="134"/>
      <c r="N207" s="132"/>
    </row>
    <row r="208" spans="1:14" x14ac:dyDescent="0.2">
      <c r="A208" s="25"/>
      <c r="B208" s="25"/>
      <c r="C208" s="26"/>
      <c r="D208" s="27"/>
      <c r="E208" s="27"/>
      <c r="F208" s="27"/>
      <c r="G208" s="27"/>
      <c r="H208" s="27"/>
      <c r="I208" s="27"/>
      <c r="J208" s="27"/>
      <c r="K208" s="27"/>
      <c r="L208" s="27"/>
      <c r="M208" s="107"/>
      <c r="N208" s="133"/>
    </row>
    <row r="209" spans="1:14" x14ac:dyDescent="0.2">
      <c r="A209" s="182" t="s">
        <v>1220</v>
      </c>
      <c r="B209" s="25"/>
      <c r="C209" s="26" t="s">
        <v>150</v>
      </c>
      <c r="D209" s="27">
        <f>VLOOKUP(A209,fin,3,FALSE)</f>
        <v>1709823</v>
      </c>
      <c r="E209" s="27">
        <v>0</v>
      </c>
      <c r="F209" s="27">
        <v>0</v>
      </c>
      <c r="G209" s="27">
        <v>1217.71</v>
      </c>
      <c r="H209" s="27">
        <v>-1217.71</v>
      </c>
      <c r="I209" s="27">
        <v>0</v>
      </c>
      <c r="J209" s="27">
        <f>+K209-D209</f>
        <v>0</v>
      </c>
      <c r="K209" s="27">
        <f>VLOOKUP(A209,fin,4,FALSE)</f>
        <v>1709823</v>
      </c>
      <c r="L209" s="27">
        <v>1746650</v>
      </c>
      <c r="M209" s="107">
        <v>1886950</v>
      </c>
      <c r="N209" s="133">
        <v>1989600</v>
      </c>
    </row>
    <row r="210" spans="1:14" x14ac:dyDescent="0.2">
      <c r="A210" s="25" t="s">
        <v>1221</v>
      </c>
      <c r="B210" s="25"/>
      <c r="C210" s="26" t="s">
        <v>151</v>
      </c>
      <c r="D210" s="27">
        <f>VLOOKUP(A210,fin,3,FALSE)</f>
        <v>0</v>
      </c>
      <c r="E210" s="27">
        <v>0</v>
      </c>
      <c r="F210" s="27">
        <v>0</v>
      </c>
      <c r="G210" s="27">
        <v>1217.71</v>
      </c>
      <c r="H210" s="27">
        <v>-1217.71</v>
      </c>
      <c r="I210" s="27">
        <v>0</v>
      </c>
      <c r="J210" s="27">
        <f>+K210-D210</f>
        <v>16934</v>
      </c>
      <c r="K210" s="27">
        <f>VLOOKUP(A210,fin,4,FALSE)</f>
        <v>16934</v>
      </c>
      <c r="L210" s="27">
        <f>K210*6.25/100+K210</f>
        <v>17992.375</v>
      </c>
      <c r="M210" s="107">
        <f>L210*7/100+L210</f>
        <v>19251.841250000001</v>
      </c>
      <c r="N210" s="133">
        <f>M210*7/100+M210</f>
        <v>20599.4701375</v>
      </c>
    </row>
    <row r="211" spans="1:14" x14ac:dyDescent="0.2">
      <c r="A211" s="25"/>
      <c r="B211" s="25"/>
      <c r="C211" s="26"/>
      <c r="D211" s="27"/>
      <c r="E211" s="27"/>
      <c r="F211" s="27"/>
      <c r="G211" s="27"/>
      <c r="H211" s="27"/>
      <c r="I211" s="27"/>
      <c r="J211" s="27"/>
      <c r="K211" s="27"/>
      <c r="L211" s="27"/>
      <c r="M211" s="107"/>
      <c r="N211" s="133"/>
    </row>
    <row r="212" spans="1:14" s="24" customFormat="1" ht="15" x14ac:dyDescent="0.25">
      <c r="A212" s="20"/>
      <c r="B212" s="20"/>
      <c r="C212" s="21" t="s">
        <v>165</v>
      </c>
      <c r="D212" s="22">
        <f>SUM(D209:D211)</f>
        <v>1709823</v>
      </c>
      <c r="E212" s="22">
        <f>SUM(E209:E211)</f>
        <v>0</v>
      </c>
      <c r="F212" s="22">
        <f>SUM(F209:F211)</f>
        <v>0</v>
      </c>
      <c r="G212" s="22">
        <f>SUM(G209:G211)</f>
        <v>2435.42</v>
      </c>
      <c r="H212" s="22">
        <f>SUM(H209:H211)</f>
        <v>-2435.42</v>
      </c>
      <c r="I212" s="22">
        <v>56.51</v>
      </c>
      <c r="J212" s="27">
        <f>+K212-D212</f>
        <v>16934</v>
      </c>
      <c r="K212" s="22">
        <f>SUM(K209:K211)</f>
        <v>1726757</v>
      </c>
      <c r="L212" s="22">
        <f>SUM(L209:L211)</f>
        <v>1764642.375</v>
      </c>
      <c r="M212" s="134">
        <f>SUM(M209:M211)</f>
        <v>1906201.8412500001</v>
      </c>
      <c r="N212" s="134">
        <f>SUM(N209:N211)</f>
        <v>2010199.4701375</v>
      </c>
    </row>
    <row r="213" spans="1:14" s="24" customFormat="1" ht="15" x14ac:dyDescent="0.25">
      <c r="A213" s="20"/>
      <c r="B213" s="20"/>
      <c r="C213" s="21"/>
      <c r="D213" s="22"/>
      <c r="E213" s="22"/>
      <c r="F213" s="22"/>
      <c r="G213" s="22"/>
      <c r="H213" s="22"/>
      <c r="I213" s="22"/>
      <c r="J213" s="27"/>
      <c r="K213" s="27"/>
      <c r="L213" s="22"/>
      <c r="M213" s="134"/>
      <c r="N213" s="132"/>
    </row>
    <row r="214" spans="1:14" s="24" customFormat="1" ht="15" x14ac:dyDescent="0.25">
      <c r="A214" s="20"/>
      <c r="B214" s="20"/>
      <c r="C214" s="21" t="s">
        <v>166</v>
      </c>
      <c r="D214" s="22"/>
      <c r="E214" s="22"/>
      <c r="F214" s="22"/>
      <c r="G214" s="22"/>
      <c r="H214" s="22"/>
      <c r="I214" s="22"/>
      <c r="J214" s="27">
        <f>+K214-D214</f>
        <v>0</v>
      </c>
      <c r="K214" s="27"/>
      <c r="L214" s="22"/>
      <c r="M214" s="134"/>
      <c r="N214" s="132"/>
    </row>
    <row r="215" spans="1:14" x14ac:dyDescent="0.2">
      <c r="A215" s="25"/>
      <c r="B215" s="25"/>
      <c r="C215" s="26"/>
      <c r="D215" s="27"/>
      <c r="E215" s="27"/>
      <c r="F215" s="27"/>
      <c r="G215" s="27"/>
      <c r="H215" s="27"/>
      <c r="I215" s="27"/>
      <c r="J215" s="27"/>
      <c r="K215" s="27"/>
      <c r="L215" s="27"/>
      <c r="M215" s="107"/>
      <c r="N215" s="133"/>
    </row>
    <row r="216" spans="1:14" x14ac:dyDescent="0.2">
      <c r="A216" s="25" t="s">
        <v>1222</v>
      </c>
      <c r="B216" s="25"/>
      <c r="C216" s="26" t="s">
        <v>170</v>
      </c>
      <c r="D216" s="27">
        <f>VLOOKUP(A216,fin,3,FALSE)</f>
        <v>0</v>
      </c>
      <c r="E216" s="27">
        <v>0</v>
      </c>
      <c r="F216" s="27">
        <v>0</v>
      </c>
      <c r="G216" s="27">
        <v>1217.71</v>
      </c>
      <c r="H216" s="27">
        <v>-1217.71</v>
      </c>
      <c r="I216" s="27">
        <v>0</v>
      </c>
      <c r="J216" s="27">
        <f>+K216-D216</f>
        <v>1800</v>
      </c>
      <c r="K216" s="27">
        <f>VLOOKUP(A216,fin,4,FALSE)</f>
        <v>1800</v>
      </c>
      <c r="L216" s="27">
        <f>K216*6.25/100+K216</f>
        <v>1912.5</v>
      </c>
      <c r="M216" s="107">
        <f>L216*7/100+L216</f>
        <v>2046.375</v>
      </c>
      <c r="N216" s="133">
        <f>M216*7/100+M216</f>
        <v>2189.6212500000001</v>
      </c>
    </row>
    <row r="217" spans="1:14" x14ac:dyDescent="0.2">
      <c r="A217" s="25"/>
      <c r="B217" s="25"/>
      <c r="C217" s="26"/>
      <c r="D217" s="27"/>
      <c r="E217" s="27"/>
      <c r="F217" s="27"/>
      <c r="G217" s="27"/>
      <c r="H217" s="27"/>
      <c r="I217" s="27"/>
      <c r="J217" s="27"/>
      <c r="K217" s="27"/>
      <c r="L217" s="27"/>
      <c r="M217" s="107"/>
      <c r="N217" s="133"/>
    </row>
    <row r="218" spans="1:14" s="24" customFormat="1" ht="15" x14ac:dyDescent="0.25">
      <c r="A218" s="20"/>
      <c r="B218" s="20"/>
      <c r="C218" s="21" t="s">
        <v>171</v>
      </c>
      <c r="D218" s="22">
        <f>SUM(D216:D217)</f>
        <v>0</v>
      </c>
      <c r="E218" s="22">
        <f>SUM(E216:E217)</f>
        <v>0</v>
      </c>
      <c r="F218" s="22">
        <f>SUM(F216:F217)</f>
        <v>0</v>
      </c>
      <c r="G218" s="22">
        <f>SUM(G216:G217)</f>
        <v>1217.71</v>
      </c>
      <c r="H218" s="22">
        <f>SUM(H216:H217)</f>
        <v>-1217.71</v>
      </c>
      <c r="I218" s="22">
        <v>0</v>
      </c>
      <c r="J218" s="27">
        <f>+K218-D218</f>
        <v>1800</v>
      </c>
      <c r="K218" s="22">
        <f>SUM(K216:K217)</f>
        <v>1800</v>
      </c>
      <c r="L218" s="22">
        <f>SUM(L216:L217)</f>
        <v>1912.5</v>
      </c>
      <c r="M218" s="134">
        <f>SUM(M216:M217)</f>
        <v>2046.375</v>
      </c>
      <c r="N218" s="134">
        <f>SUM(N216:N217)</f>
        <v>2189.6212500000001</v>
      </c>
    </row>
    <row r="219" spans="1:14" s="24" customFormat="1" ht="15" x14ac:dyDescent="0.25">
      <c r="A219" s="20"/>
      <c r="B219" s="20"/>
      <c r="C219" s="21"/>
      <c r="D219" s="22"/>
      <c r="E219" s="22"/>
      <c r="F219" s="22"/>
      <c r="G219" s="22"/>
      <c r="H219" s="22"/>
      <c r="I219" s="22"/>
      <c r="J219" s="27"/>
      <c r="K219" s="27"/>
      <c r="L219" s="22"/>
      <c r="M219" s="134"/>
      <c r="N219" s="132"/>
    </row>
    <row r="220" spans="1:14" s="24" customFormat="1" ht="15" x14ac:dyDescent="0.25">
      <c r="A220" s="20"/>
      <c r="B220" s="20"/>
      <c r="C220" s="21" t="s">
        <v>177</v>
      </c>
      <c r="D220" s="22">
        <f>D212+D218</f>
        <v>1709823</v>
      </c>
      <c r="E220" s="22">
        <f t="shared" ref="E220:N220" si="45">E212+E218</f>
        <v>0</v>
      </c>
      <c r="F220" s="22">
        <f t="shared" si="45"/>
        <v>0</v>
      </c>
      <c r="G220" s="22">
        <f t="shared" si="45"/>
        <v>3653.13</v>
      </c>
      <c r="H220" s="22">
        <f t="shared" si="45"/>
        <v>-3653.13</v>
      </c>
      <c r="I220" s="22">
        <v>56.56</v>
      </c>
      <c r="J220" s="27">
        <f>+K220-D220</f>
        <v>18734</v>
      </c>
      <c r="K220" s="22">
        <f t="shared" si="45"/>
        <v>1728557</v>
      </c>
      <c r="L220" s="22">
        <f t="shared" si="45"/>
        <v>1766554.875</v>
      </c>
      <c r="M220" s="134">
        <f t="shared" si="45"/>
        <v>1908248.2162500001</v>
      </c>
      <c r="N220" s="134">
        <f t="shared" si="45"/>
        <v>2012389.0913875001</v>
      </c>
    </row>
    <row r="221" spans="1:14" s="24" customFormat="1" ht="15" x14ac:dyDescent="0.25">
      <c r="A221" s="20"/>
      <c r="B221" s="20"/>
      <c r="C221" s="21"/>
      <c r="D221" s="22"/>
      <c r="E221" s="22"/>
      <c r="F221" s="22"/>
      <c r="G221" s="22"/>
      <c r="H221" s="22"/>
      <c r="I221" s="22"/>
      <c r="J221" s="27"/>
      <c r="K221" s="27"/>
      <c r="L221" s="22"/>
      <c r="M221" s="134"/>
      <c r="N221" s="132"/>
    </row>
    <row r="222" spans="1:14" s="24" customFormat="1" ht="15" x14ac:dyDescent="0.25">
      <c r="A222" s="20"/>
      <c r="B222" s="20"/>
      <c r="C222" s="21" t="s">
        <v>178</v>
      </c>
      <c r="D222" s="22">
        <f>D220</f>
        <v>1709823</v>
      </c>
      <c r="E222" s="22">
        <f t="shared" ref="E222:N222" si="46">E220</f>
        <v>0</v>
      </c>
      <c r="F222" s="22">
        <f t="shared" si="46"/>
        <v>0</v>
      </c>
      <c r="G222" s="22">
        <f t="shared" si="46"/>
        <v>3653.13</v>
      </c>
      <c r="H222" s="22">
        <f t="shared" si="46"/>
        <v>-3653.13</v>
      </c>
      <c r="I222" s="22">
        <v>56.56</v>
      </c>
      <c r="J222" s="27">
        <f>+K222-D222</f>
        <v>18734</v>
      </c>
      <c r="K222" s="22">
        <f t="shared" si="46"/>
        <v>1728557</v>
      </c>
      <c r="L222" s="22">
        <f t="shared" si="46"/>
        <v>1766554.875</v>
      </c>
      <c r="M222" s="134">
        <f t="shared" si="46"/>
        <v>1908248.2162500001</v>
      </c>
      <c r="N222" s="134">
        <f t="shared" si="46"/>
        <v>2012389.0913875001</v>
      </c>
    </row>
    <row r="223" spans="1:14" x14ac:dyDescent="0.2">
      <c r="A223" s="25"/>
      <c r="B223" s="25"/>
      <c r="C223" s="26"/>
      <c r="D223" s="27"/>
      <c r="E223" s="27"/>
      <c r="F223" s="27"/>
      <c r="G223" s="27"/>
      <c r="H223" s="27"/>
      <c r="I223" s="27"/>
      <c r="J223" s="27"/>
      <c r="K223" s="27"/>
      <c r="L223" s="27"/>
      <c r="M223" s="107"/>
      <c r="N223" s="133"/>
    </row>
    <row r="224" spans="1:14" s="24" customFormat="1" ht="15" x14ac:dyDescent="0.25">
      <c r="A224" s="20"/>
      <c r="B224" s="20"/>
      <c r="C224" s="21" t="s">
        <v>208</v>
      </c>
      <c r="D224" s="22"/>
      <c r="E224" s="22"/>
      <c r="F224" s="22"/>
      <c r="G224" s="22"/>
      <c r="H224" s="22"/>
      <c r="I224" s="22"/>
      <c r="J224" s="27">
        <f>+K224-D224</f>
        <v>0</v>
      </c>
      <c r="K224" s="27"/>
      <c r="L224" s="22"/>
      <c r="M224" s="134"/>
      <c r="N224" s="132"/>
    </row>
    <row r="225" spans="1:14" s="24" customFormat="1" ht="15" x14ac:dyDescent="0.25">
      <c r="A225" s="20"/>
      <c r="B225" s="20"/>
      <c r="C225" s="21"/>
      <c r="D225" s="22"/>
      <c r="E225" s="22"/>
      <c r="F225" s="22"/>
      <c r="G225" s="22"/>
      <c r="H225" s="22"/>
      <c r="I225" s="22"/>
      <c r="J225" s="27"/>
      <c r="K225" s="27"/>
      <c r="L225" s="22"/>
      <c r="M225" s="134"/>
      <c r="N225" s="132"/>
    </row>
    <row r="226" spans="1:14" s="24" customFormat="1" ht="15" x14ac:dyDescent="0.25">
      <c r="A226" s="20"/>
      <c r="B226" s="20"/>
      <c r="C226" s="21" t="s">
        <v>218</v>
      </c>
      <c r="D226" s="22"/>
      <c r="E226" s="22"/>
      <c r="F226" s="22"/>
      <c r="G226" s="22"/>
      <c r="H226" s="22"/>
      <c r="I226" s="22"/>
      <c r="J226" s="27">
        <f>+K226-D226</f>
        <v>0</v>
      </c>
      <c r="K226" s="27"/>
      <c r="L226" s="22"/>
      <c r="M226" s="134"/>
      <c r="N226" s="132"/>
    </row>
    <row r="227" spans="1:14" x14ac:dyDescent="0.2">
      <c r="A227" s="25"/>
      <c r="B227" s="25"/>
      <c r="C227" s="26"/>
      <c r="D227" s="27"/>
      <c r="E227" s="27"/>
      <c r="F227" s="27"/>
      <c r="G227" s="27"/>
      <c r="H227" s="27"/>
      <c r="I227" s="27"/>
      <c r="J227" s="27"/>
      <c r="K227" s="27"/>
      <c r="L227" s="27"/>
      <c r="M227" s="107"/>
      <c r="N227" s="133"/>
    </row>
    <row r="228" spans="1:14" x14ac:dyDescent="0.2">
      <c r="A228" s="182" t="s">
        <v>1223</v>
      </c>
      <c r="B228" s="25"/>
      <c r="C228" s="26" t="s">
        <v>222</v>
      </c>
      <c r="D228" s="27">
        <f>VLOOKUP(A228,fin,3,FALSE)</f>
        <v>47727</v>
      </c>
      <c r="E228" s="27">
        <v>0</v>
      </c>
      <c r="F228" s="27">
        <v>0</v>
      </c>
      <c r="G228" s="27">
        <v>1217.71</v>
      </c>
      <c r="H228" s="27">
        <v>-1217.71</v>
      </c>
      <c r="I228" s="27">
        <v>0</v>
      </c>
      <c r="J228" s="27">
        <f>+K228-D228</f>
        <v>0</v>
      </c>
      <c r="K228" s="27">
        <f>VLOOKUP(A228,fin,4,FALSE)</f>
        <v>47727</v>
      </c>
      <c r="L228" s="27">
        <f>K228*4.5/100+K228</f>
        <v>49874.714999999997</v>
      </c>
      <c r="M228" s="107">
        <f>L228*4.6/100+L228</f>
        <v>52168.951889999997</v>
      </c>
      <c r="N228" s="133">
        <f>M228*4.6/100+M228</f>
        <v>54568.723676939997</v>
      </c>
    </row>
    <row r="229" spans="1:14" x14ac:dyDescent="0.2">
      <c r="A229" s="25" t="s">
        <v>1224</v>
      </c>
      <c r="B229" s="25"/>
      <c r="C229" s="26" t="s">
        <v>223</v>
      </c>
      <c r="D229" s="27">
        <f>VLOOKUP(A229,fin,3,FALSE)</f>
        <v>1000000</v>
      </c>
      <c r="E229" s="27">
        <v>0</v>
      </c>
      <c r="F229" s="27">
        <v>0</v>
      </c>
      <c r="G229" s="27">
        <v>1217.71</v>
      </c>
      <c r="H229" s="27">
        <v>-1217.71</v>
      </c>
      <c r="I229" s="27">
        <v>0</v>
      </c>
      <c r="J229" s="27">
        <f>+K229-D229</f>
        <v>-247025</v>
      </c>
      <c r="K229" s="27">
        <f>VLOOKUP(A229,fin,4,FALSE)</f>
        <v>752975</v>
      </c>
      <c r="L229" s="27">
        <f>VLOOKUP(A229,fin,5,FALSE)</f>
        <v>0</v>
      </c>
      <c r="M229" s="107">
        <f>VLOOKUP(A229,fin,6,FALSE)</f>
        <v>0</v>
      </c>
      <c r="N229" s="133">
        <v>0</v>
      </c>
    </row>
    <row r="230" spans="1:14" x14ac:dyDescent="0.2">
      <c r="A230" s="25"/>
      <c r="B230" s="25"/>
      <c r="C230" s="26"/>
      <c r="D230" s="27"/>
      <c r="E230" s="27"/>
      <c r="F230" s="27"/>
      <c r="G230" s="27"/>
      <c r="H230" s="27"/>
      <c r="I230" s="27"/>
      <c r="J230" s="27"/>
      <c r="K230" s="27"/>
      <c r="L230" s="27"/>
      <c r="M230" s="107"/>
      <c r="N230" s="133"/>
    </row>
    <row r="231" spans="1:14" s="24" customFormat="1" ht="15" x14ac:dyDescent="0.25">
      <c r="A231" s="20"/>
      <c r="B231" s="20"/>
      <c r="C231" s="21" t="s">
        <v>227</v>
      </c>
      <c r="D231" s="22">
        <f>SUM(D228:D230)</f>
        <v>1047727</v>
      </c>
      <c r="E231" s="22">
        <f>SUM(E228:E230)</f>
        <v>0</v>
      </c>
      <c r="F231" s="22">
        <f>SUM(F228:F230)</f>
        <v>0</v>
      </c>
      <c r="G231" s="22">
        <f>SUM(G228:G230)</f>
        <v>2435.42</v>
      </c>
      <c r="H231" s="22">
        <f>SUM(H228:H230)</f>
        <v>-2435.42</v>
      </c>
      <c r="I231" s="22">
        <v>2.48</v>
      </c>
      <c r="J231" s="27">
        <f>+K231-D231</f>
        <v>-247025</v>
      </c>
      <c r="K231" s="22">
        <f>SUM(K228:K230)</f>
        <v>800702</v>
      </c>
      <c r="L231" s="22">
        <f>SUM(L228:L230)</f>
        <v>49874.714999999997</v>
      </c>
      <c r="M231" s="134">
        <f>SUM(M228:M230)</f>
        <v>52168.951889999997</v>
      </c>
      <c r="N231" s="134">
        <f>SUM(N228:N230)</f>
        <v>54568.723676939997</v>
      </c>
    </row>
    <row r="232" spans="1:14" s="24" customFormat="1" ht="15" x14ac:dyDescent="0.25">
      <c r="A232" s="20"/>
      <c r="B232" s="20"/>
      <c r="C232" s="21"/>
      <c r="D232" s="22"/>
      <c r="E232" s="22"/>
      <c r="F232" s="22"/>
      <c r="G232" s="22"/>
      <c r="H232" s="22"/>
      <c r="I232" s="22"/>
      <c r="J232" s="27"/>
      <c r="K232" s="27"/>
      <c r="L232" s="22"/>
      <c r="M232" s="134"/>
      <c r="N232" s="132"/>
    </row>
    <row r="233" spans="1:14" s="24" customFormat="1" ht="15" x14ac:dyDescent="0.25">
      <c r="A233" s="20"/>
      <c r="B233" s="20"/>
      <c r="C233" s="21" t="s">
        <v>240</v>
      </c>
      <c r="D233" s="22">
        <f>D231</f>
        <v>1047727</v>
      </c>
      <c r="E233" s="22">
        <f t="shared" ref="E233:N233" si="47">E231</f>
        <v>0</v>
      </c>
      <c r="F233" s="22">
        <f t="shared" si="47"/>
        <v>0</v>
      </c>
      <c r="G233" s="22">
        <f t="shared" si="47"/>
        <v>2435.42</v>
      </c>
      <c r="H233" s="22">
        <f t="shared" si="47"/>
        <v>-2435.42</v>
      </c>
      <c r="I233" s="22">
        <v>2.48</v>
      </c>
      <c r="J233" s="27">
        <f>+K233-D233</f>
        <v>-247025</v>
      </c>
      <c r="K233" s="22">
        <f t="shared" si="47"/>
        <v>800702</v>
      </c>
      <c r="L233" s="22">
        <f t="shared" si="47"/>
        <v>49874.714999999997</v>
      </c>
      <c r="M233" s="134">
        <f t="shared" si="47"/>
        <v>52168.951889999997</v>
      </c>
      <c r="N233" s="134">
        <f t="shared" si="47"/>
        <v>54568.723676939997</v>
      </c>
    </row>
    <row r="234" spans="1:14" s="24" customFormat="1" ht="15" x14ac:dyDescent="0.25">
      <c r="A234" s="20"/>
      <c r="B234" s="20"/>
      <c r="C234" s="21"/>
      <c r="D234" s="22"/>
      <c r="E234" s="22"/>
      <c r="F234" s="22"/>
      <c r="G234" s="22"/>
      <c r="H234" s="22"/>
      <c r="I234" s="22"/>
      <c r="J234" s="27"/>
      <c r="K234" s="27"/>
      <c r="L234" s="22"/>
      <c r="M234" s="134"/>
      <c r="N234" s="132"/>
    </row>
    <row r="235" spans="1:14" s="24" customFormat="1" ht="15" x14ac:dyDescent="0.25">
      <c r="A235" s="20"/>
      <c r="B235" s="20"/>
      <c r="C235" s="21" t="s">
        <v>241</v>
      </c>
      <c r="D235" s="22"/>
      <c r="E235" s="22"/>
      <c r="F235" s="22"/>
      <c r="G235" s="22"/>
      <c r="H235" s="22"/>
      <c r="I235" s="22"/>
      <c r="J235" s="27">
        <f>+K235-D235</f>
        <v>0</v>
      </c>
      <c r="K235" s="27"/>
      <c r="L235" s="22"/>
      <c r="M235" s="134"/>
      <c r="N235" s="132"/>
    </row>
    <row r="236" spans="1:14" x14ac:dyDescent="0.2">
      <c r="A236" s="25"/>
      <c r="B236" s="25"/>
      <c r="C236" s="26"/>
      <c r="D236" s="27"/>
      <c r="E236" s="27"/>
      <c r="F236" s="27"/>
      <c r="G236" s="27"/>
      <c r="H236" s="27"/>
      <c r="I236" s="27"/>
      <c r="J236" s="27"/>
      <c r="K236" s="27"/>
      <c r="L236" s="27"/>
      <c r="M236" s="107"/>
      <c r="N236" s="133"/>
    </row>
    <row r="237" spans="1:14" x14ac:dyDescent="0.2">
      <c r="A237" s="25" t="s">
        <v>1225</v>
      </c>
      <c r="B237" s="25"/>
      <c r="C237" s="26" t="s">
        <v>265</v>
      </c>
      <c r="D237" s="27">
        <f>VLOOKUP(A237,fin,3,FALSE)</f>
        <v>0</v>
      </c>
      <c r="E237" s="27">
        <v>0</v>
      </c>
      <c r="F237" s="27">
        <v>0</v>
      </c>
      <c r="G237" s="27">
        <v>1217.71</v>
      </c>
      <c r="H237" s="27">
        <v>-1217.71</v>
      </c>
      <c r="I237" s="27">
        <v>0</v>
      </c>
      <c r="J237" s="27">
        <f>+K237-D237</f>
        <v>15000</v>
      </c>
      <c r="K237" s="27">
        <f>VLOOKUP(A237,fin,4,FALSE)</f>
        <v>15000</v>
      </c>
      <c r="L237" s="27">
        <f>K237*6.25/100+K237</f>
        <v>15937.5</v>
      </c>
      <c r="M237" s="107">
        <f>L237*7/100+L237</f>
        <v>17053.125</v>
      </c>
      <c r="N237" s="133">
        <f>M237*7/100+M237</f>
        <v>18246.84375</v>
      </c>
    </row>
    <row r="238" spans="1:14" x14ac:dyDescent="0.2">
      <c r="A238" s="25" t="s">
        <v>1226</v>
      </c>
      <c r="B238" s="25"/>
      <c r="C238" s="26" t="s">
        <v>268</v>
      </c>
      <c r="D238" s="27">
        <f>VLOOKUP(A238,fin,3,FALSE)</f>
        <v>0</v>
      </c>
      <c r="E238" s="27">
        <v>0</v>
      </c>
      <c r="F238" s="27">
        <v>0</v>
      </c>
      <c r="G238" s="27">
        <v>1217.71</v>
      </c>
      <c r="H238" s="27">
        <v>-1217.71</v>
      </c>
      <c r="I238" s="27">
        <v>0</v>
      </c>
      <c r="J238" s="27">
        <f>+K238-D238</f>
        <v>4000</v>
      </c>
      <c r="K238" s="27">
        <f>VLOOKUP(A238,fin,4,FALSE)</f>
        <v>4000</v>
      </c>
      <c r="L238" s="27">
        <f>K238*6.25/100+K238</f>
        <v>4250</v>
      </c>
      <c r="M238" s="107">
        <f>L238*7/100+L238</f>
        <v>4547.5</v>
      </c>
      <c r="N238" s="133">
        <f>M238*7/100+M238</f>
        <v>4865.8249999999998</v>
      </c>
    </row>
    <row r="239" spans="1:14" x14ac:dyDescent="0.2">
      <c r="A239" s="25"/>
      <c r="B239" s="25"/>
      <c r="C239" s="26"/>
      <c r="D239" s="27"/>
      <c r="E239" s="27"/>
      <c r="F239" s="27"/>
      <c r="G239" s="27"/>
      <c r="H239" s="27"/>
      <c r="I239" s="27"/>
      <c r="J239" s="27"/>
      <c r="K239" s="27"/>
      <c r="L239" s="27"/>
      <c r="M239" s="107"/>
      <c r="N239" s="133"/>
    </row>
    <row r="240" spans="1:14" s="24" customFormat="1" ht="15" x14ac:dyDescent="0.25">
      <c r="A240" s="20"/>
      <c r="B240" s="20"/>
      <c r="C240" s="21" t="s">
        <v>274</v>
      </c>
      <c r="D240" s="22">
        <f>SUM(D237:D239)</f>
        <v>0</v>
      </c>
      <c r="E240" s="22">
        <f>SUM(E237:E239)</f>
        <v>0</v>
      </c>
      <c r="F240" s="22">
        <f>SUM(F237:F239)</f>
        <v>0</v>
      </c>
      <c r="G240" s="22">
        <f>SUM(G237:G239)</f>
        <v>2435.42</v>
      </c>
      <c r="H240" s="22">
        <f>SUM(H237:H239)</f>
        <v>-2435.42</v>
      </c>
      <c r="I240" s="22">
        <v>0</v>
      </c>
      <c r="J240" s="27">
        <f>+K240-D240</f>
        <v>19000</v>
      </c>
      <c r="K240" s="22">
        <f>SUM(K237:K239)</f>
        <v>19000</v>
      </c>
      <c r="L240" s="22">
        <f>SUM(L237:L239)</f>
        <v>20187.5</v>
      </c>
      <c r="M240" s="134">
        <f>SUM(M237:M239)</f>
        <v>21600.625</v>
      </c>
      <c r="N240" s="134">
        <f>SUM(N237:N239)</f>
        <v>23112.668750000001</v>
      </c>
    </row>
    <row r="241" spans="1:14" x14ac:dyDescent="0.2">
      <c r="A241" s="25"/>
      <c r="B241" s="25"/>
      <c r="C241" s="26"/>
      <c r="D241" s="27"/>
      <c r="E241" s="27"/>
      <c r="F241" s="27"/>
      <c r="G241" s="27"/>
      <c r="H241" s="27"/>
      <c r="I241" s="27"/>
      <c r="J241" s="27"/>
      <c r="K241" s="27"/>
      <c r="L241" s="27"/>
      <c r="M241" s="107"/>
      <c r="N241" s="133"/>
    </row>
    <row r="242" spans="1:14" s="24" customFormat="1" ht="15" x14ac:dyDescent="0.25">
      <c r="A242" s="20"/>
      <c r="B242" s="20"/>
      <c r="C242" s="21" t="s">
        <v>290</v>
      </c>
      <c r="D242" s="22"/>
      <c r="E242" s="22"/>
      <c r="F242" s="22"/>
      <c r="G242" s="22"/>
      <c r="H242" s="22"/>
      <c r="I242" s="22"/>
      <c r="J242" s="27">
        <f>+K242-D242</f>
        <v>0</v>
      </c>
      <c r="K242" s="27"/>
      <c r="L242" s="22"/>
      <c r="M242" s="134"/>
      <c r="N242" s="132"/>
    </row>
    <row r="243" spans="1:14" x14ac:dyDescent="0.2">
      <c r="A243" s="25"/>
      <c r="B243" s="25"/>
      <c r="C243" s="26"/>
      <c r="D243" s="27"/>
      <c r="E243" s="27"/>
      <c r="F243" s="27"/>
      <c r="G243" s="27"/>
      <c r="H243" s="27"/>
      <c r="I243" s="27"/>
      <c r="J243" s="27"/>
      <c r="K243" s="27"/>
      <c r="L243" s="27"/>
      <c r="M243" s="107"/>
      <c r="N243" s="133"/>
    </row>
    <row r="244" spans="1:14" x14ac:dyDescent="0.2">
      <c r="A244" s="25" t="s">
        <v>1227</v>
      </c>
      <c r="B244" s="25"/>
      <c r="C244" s="26" t="s">
        <v>291</v>
      </c>
      <c r="D244" s="27">
        <f>VLOOKUP(A244,fin,3,FALSE)</f>
        <v>3371</v>
      </c>
      <c r="E244" s="27">
        <v>0</v>
      </c>
      <c r="F244" s="27">
        <v>0</v>
      </c>
      <c r="G244" s="27">
        <v>1217.71</v>
      </c>
      <c r="H244" s="27">
        <v>-1217.71</v>
      </c>
      <c r="I244" s="27">
        <v>0</v>
      </c>
      <c r="J244" s="27">
        <f>+K244-D244</f>
        <v>0</v>
      </c>
      <c r="K244" s="27">
        <f>VLOOKUP(A244,fin,4,FALSE)</f>
        <v>3371</v>
      </c>
      <c r="L244" s="27">
        <f>K244*4.5/100+K244</f>
        <v>3522.6950000000002</v>
      </c>
      <c r="M244" s="107">
        <f t="shared" ref="M244:N246" si="48">L244*4.6/100+L244</f>
        <v>3684.7389700000003</v>
      </c>
      <c r="N244" s="133">
        <f t="shared" si="48"/>
        <v>3854.2369626200002</v>
      </c>
    </row>
    <row r="245" spans="1:14" x14ac:dyDescent="0.2">
      <c r="A245" s="25" t="s">
        <v>1228</v>
      </c>
      <c r="B245" s="25"/>
      <c r="C245" s="26" t="s">
        <v>292</v>
      </c>
      <c r="D245" s="27">
        <f>VLOOKUP(A245,fin,3,FALSE)</f>
        <v>46972</v>
      </c>
      <c r="E245" s="27">
        <v>0</v>
      </c>
      <c r="F245" s="27">
        <v>0</v>
      </c>
      <c r="G245" s="27">
        <v>1217.71</v>
      </c>
      <c r="H245" s="27">
        <v>-1217.71</v>
      </c>
      <c r="I245" s="27">
        <v>0</v>
      </c>
      <c r="J245" s="27">
        <f>+K245-D245</f>
        <v>0</v>
      </c>
      <c r="K245" s="27">
        <f>VLOOKUP(A245,fin,4,FALSE)</f>
        <v>46972</v>
      </c>
      <c r="L245" s="27">
        <f>K245*4.5/100+K245</f>
        <v>49085.74</v>
      </c>
      <c r="M245" s="107">
        <f t="shared" si="48"/>
        <v>51343.68404</v>
      </c>
      <c r="N245" s="133">
        <f t="shared" si="48"/>
        <v>53705.493505840001</v>
      </c>
    </row>
    <row r="246" spans="1:14" x14ac:dyDescent="0.2">
      <c r="A246" s="25" t="s">
        <v>1229</v>
      </c>
      <c r="B246" s="25"/>
      <c r="C246" s="26" t="s">
        <v>293</v>
      </c>
      <c r="D246" s="27">
        <f>VLOOKUP(A246,fin,3,FALSE)</f>
        <v>15501</v>
      </c>
      <c r="E246" s="27">
        <v>0</v>
      </c>
      <c r="F246" s="27">
        <v>0</v>
      </c>
      <c r="G246" s="27">
        <v>1217.71</v>
      </c>
      <c r="H246" s="27">
        <v>-1217.71</v>
      </c>
      <c r="I246" s="27">
        <v>0</v>
      </c>
      <c r="J246" s="27">
        <f>+K246-D246</f>
        <v>0</v>
      </c>
      <c r="K246" s="27">
        <f>VLOOKUP(A246,fin,4,FALSE)</f>
        <v>15501</v>
      </c>
      <c r="L246" s="27">
        <f>K246*4.5/100+K246</f>
        <v>16198.545</v>
      </c>
      <c r="M246" s="107">
        <f t="shared" si="48"/>
        <v>16943.678070000002</v>
      </c>
      <c r="N246" s="133">
        <f t="shared" si="48"/>
        <v>17723.08726122</v>
      </c>
    </row>
    <row r="247" spans="1:14" x14ac:dyDescent="0.2">
      <c r="A247" s="25"/>
      <c r="B247" s="25"/>
      <c r="C247" s="26"/>
      <c r="D247" s="27"/>
      <c r="E247" s="27"/>
      <c r="F247" s="27"/>
      <c r="G247" s="27"/>
      <c r="H247" s="27"/>
      <c r="I247" s="27"/>
      <c r="J247" s="27"/>
      <c r="K247" s="27"/>
      <c r="L247" s="27"/>
      <c r="M247" s="107"/>
      <c r="N247" s="133"/>
    </row>
    <row r="248" spans="1:14" s="24" customFormat="1" ht="15" x14ac:dyDescent="0.25">
      <c r="A248" s="20"/>
      <c r="B248" s="20"/>
      <c r="C248" s="21" t="s">
        <v>304</v>
      </c>
      <c r="D248" s="22">
        <f>SUM(D244:D247)</f>
        <v>65844</v>
      </c>
      <c r="E248" s="22">
        <f>SUM(E244:E247)</f>
        <v>0</v>
      </c>
      <c r="F248" s="22">
        <f>SUM(F244:F247)</f>
        <v>0</v>
      </c>
      <c r="G248" s="22">
        <f>SUM(G244:G247)</f>
        <v>3653.13</v>
      </c>
      <c r="H248" s="22">
        <f>SUM(H244:H247)</f>
        <v>-3653.13</v>
      </c>
      <c r="I248" s="22">
        <v>31.39</v>
      </c>
      <c r="J248" s="27">
        <f>+K248-D248</f>
        <v>0</v>
      </c>
      <c r="K248" s="22">
        <f>SUM(K244:K247)</f>
        <v>65844</v>
      </c>
      <c r="L248" s="22">
        <f>SUM(L244:L247)</f>
        <v>68806.98</v>
      </c>
      <c r="M248" s="134">
        <f>SUM(M244:M247)</f>
        <v>71972.101079999993</v>
      </c>
      <c r="N248" s="134">
        <f>SUM(N244:N247)</f>
        <v>75282.817729679999</v>
      </c>
    </row>
    <row r="249" spans="1:14" x14ac:dyDescent="0.2">
      <c r="A249" s="25"/>
      <c r="B249" s="25"/>
      <c r="C249" s="26"/>
      <c r="D249" s="27"/>
      <c r="E249" s="27"/>
      <c r="F249" s="27"/>
      <c r="G249" s="27"/>
      <c r="H249" s="27"/>
      <c r="I249" s="27"/>
      <c r="J249" s="27"/>
      <c r="K249" s="27"/>
      <c r="L249" s="27"/>
      <c r="M249" s="107"/>
      <c r="N249" s="133"/>
    </row>
    <row r="250" spans="1:14" s="24" customFormat="1" ht="15" x14ac:dyDescent="0.25">
      <c r="A250" s="20"/>
      <c r="B250" s="20"/>
      <c r="C250" s="21" t="s">
        <v>305</v>
      </c>
      <c r="D250" s="22">
        <f>D222+D233+D240+D248</f>
        <v>2823394</v>
      </c>
      <c r="E250" s="22">
        <f t="shared" ref="E250:N250" si="49">E222+E233+E240+E248</f>
        <v>0</v>
      </c>
      <c r="F250" s="22">
        <f t="shared" si="49"/>
        <v>0</v>
      </c>
      <c r="G250" s="22">
        <f t="shared" si="49"/>
        <v>12177.100000000002</v>
      </c>
      <c r="H250" s="22">
        <f t="shared" si="49"/>
        <v>-12177.100000000002</v>
      </c>
      <c r="I250" s="22">
        <v>36.19</v>
      </c>
      <c r="J250" s="27">
        <f>+K250-D250</f>
        <v>-209291</v>
      </c>
      <c r="K250" s="22">
        <f t="shared" si="49"/>
        <v>2614103</v>
      </c>
      <c r="L250" s="22">
        <f t="shared" si="49"/>
        <v>1905424.07</v>
      </c>
      <c r="M250" s="134">
        <f t="shared" si="49"/>
        <v>2053989.8942199999</v>
      </c>
      <c r="N250" s="134">
        <f t="shared" si="49"/>
        <v>2165353.3015441201</v>
      </c>
    </row>
    <row r="251" spans="1:14" s="24" customFormat="1" ht="15" x14ac:dyDescent="0.25">
      <c r="A251" s="20"/>
      <c r="B251" s="20"/>
      <c r="C251" s="21"/>
      <c r="D251" s="22"/>
      <c r="E251" s="22"/>
      <c r="F251" s="22"/>
      <c r="G251" s="22"/>
      <c r="H251" s="22"/>
      <c r="I251" s="22"/>
      <c r="J251" s="27"/>
      <c r="K251" s="27"/>
      <c r="L251" s="22"/>
      <c r="M251" s="134"/>
      <c r="N251" s="132"/>
    </row>
    <row r="252" spans="1:14" s="24" customFormat="1" ht="15" x14ac:dyDescent="0.25">
      <c r="A252" s="20"/>
      <c r="B252" s="20"/>
      <c r="C252" s="21" t="s">
        <v>306</v>
      </c>
      <c r="D252" s="22">
        <f>D202+D250</f>
        <v>-32327616</v>
      </c>
      <c r="E252" s="22">
        <f t="shared" ref="E252:N252" si="50">E202+E250</f>
        <v>-17190811.620000001</v>
      </c>
      <c r="F252" s="22">
        <f t="shared" si="50"/>
        <v>0</v>
      </c>
      <c r="G252" s="22">
        <f t="shared" si="50"/>
        <v>-31958599.309999999</v>
      </c>
      <c r="H252" s="22">
        <f t="shared" si="50"/>
        <v>-3192410.6900000004</v>
      </c>
      <c r="I252" s="22">
        <v>95.73</v>
      </c>
      <c r="J252" s="27">
        <f>+K252-D252</f>
        <v>-9935291</v>
      </c>
      <c r="K252" s="22">
        <f t="shared" si="50"/>
        <v>-42262907</v>
      </c>
      <c r="L252" s="22">
        <f t="shared" si="50"/>
        <v>-33027575.93</v>
      </c>
      <c r="M252" s="134">
        <f t="shared" si="50"/>
        <v>-35685010.105779998</v>
      </c>
      <c r="N252" s="134">
        <f t="shared" si="50"/>
        <v>-37626646.698455878</v>
      </c>
    </row>
    <row r="253" spans="1:14" x14ac:dyDescent="0.2">
      <c r="A253" s="25"/>
      <c r="B253" s="25"/>
      <c r="C253" s="26"/>
      <c r="D253" s="27"/>
      <c r="E253" s="27"/>
      <c r="F253" s="27"/>
      <c r="G253" s="27"/>
      <c r="H253" s="27"/>
      <c r="I253" s="27"/>
      <c r="J253" s="27"/>
      <c r="K253" s="27"/>
      <c r="L253" s="27"/>
      <c r="M253" s="107"/>
      <c r="N253" s="133"/>
    </row>
    <row r="254" spans="1:14" s="24" customFormat="1" ht="15" x14ac:dyDescent="0.25">
      <c r="A254" s="20"/>
      <c r="B254" s="20"/>
      <c r="C254" s="21" t="s">
        <v>1230</v>
      </c>
      <c r="D254" s="22"/>
      <c r="E254" s="22"/>
      <c r="F254" s="22"/>
      <c r="G254" s="22"/>
      <c r="H254" s="22"/>
      <c r="I254" s="22"/>
      <c r="J254" s="27">
        <f>+K254-D254</f>
        <v>0</v>
      </c>
      <c r="K254" s="27"/>
      <c r="L254" s="22"/>
      <c r="M254" s="134"/>
      <c r="N254" s="132"/>
    </row>
    <row r="255" spans="1:14" s="24" customFormat="1" ht="15" x14ac:dyDescent="0.25">
      <c r="A255" s="20"/>
      <c r="B255" s="20"/>
      <c r="C255" s="21" t="s">
        <v>9</v>
      </c>
      <c r="D255" s="22"/>
      <c r="E255" s="22"/>
      <c r="F255" s="22"/>
      <c r="G255" s="22"/>
      <c r="H255" s="22"/>
      <c r="I255" s="22"/>
      <c r="J255" s="27">
        <f>+K255-D255</f>
        <v>0</v>
      </c>
      <c r="K255" s="27"/>
      <c r="L255" s="22"/>
      <c r="M255" s="134"/>
      <c r="N255" s="132"/>
    </row>
    <row r="256" spans="1:14" s="24" customFormat="1" ht="15" x14ac:dyDescent="0.25">
      <c r="A256" s="20"/>
      <c r="B256" s="20"/>
      <c r="C256" s="21" t="s">
        <v>10</v>
      </c>
      <c r="D256" s="22"/>
      <c r="E256" s="22"/>
      <c r="F256" s="22"/>
      <c r="G256" s="22"/>
      <c r="H256" s="22"/>
      <c r="I256" s="22"/>
      <c r="J256" s="27">
        <f>+K256-D256</f>
        <v>0</v>
      </c>
      <c r="K256" s="27"/>
      <c r="L256" s="22"/>
      <c r="M256" s="134"/>
      <c r="N256" s="132"/>
    </row>
    <row r="257" spans="1:14" s="24" customFormat="1" ht="15" x14ac:dyDescent="0.25">
      <c r="A257" s="20"/>
      <c r="B257" s="20"/>
      <c r="C257" s="21" t="s">
        <v>22</v>
      </c>
      <c r="D257" s="22"/>
      <c r="E257" s="22"/>
      <c r="F257" s="22"/>
      <c r="G257" s="22"/>
      <c r="H257" s="22"/>
      <c r="I257" s="22"/>
      <c r="J257" s="27">
        <f>+K257-D257</f>
        <v>0</v>
      </c>
      <c r="K257" s="27"/>
      <c r="L257" s="22"/>
      <c r="M257" s="134"/>
      <c r="N257" s="132"/>
    </row>
    <row r="258" spans="1:14" x14ac:dyDescent="0.2">
      <c r="A258" s="25"/>
      <c r="B258" s="25"/>
      <c r="C258" s="26"/>
      <c r="D258" s="27"/>
      <c r="E258" s="27"/>
      <c r="F258" s="27"/>
      <c r="G258" s="27"/>
      <c r="H258" s="27"/>
      <c r="I258" s="27"/>
      <c r="J258" s="27"/>
      <c r="K258" s="27"/>
      <c r="L258" s="27"/>
      <c r="M258" s="107"/>
      <c r="N258" s="133"/>
    </row>
    <row r="259" spans="1:14" x14ac:dyDescent="0.2">
      <c r="A259" s="25" t="s">
        <v>1231</v>
      </c>
      <c r="B259" s="25"/>
      <c r="C259" s="26" t="s">
        <v>23</v>
      </c>
      <c r="D259" s="27">
        <f>'Revenue per source'!C22</f>
        <v>-30535</v>
      </c>
      <c r="E259" s="27">
        <f>'Revenue per source'!D22</f>
        <v>0</v>
      </c>
      <c r="F259" s="27">
        <f>'Revenue per source'!E22</f>
        <v>0</v>
      </c>
      <c r="G259" s="27">
        <f>'Revenue per source'!F22</f>
        <v>0</v>
      </c>
      <c r="H259" s="27">
        <f>'Revenue per source'!G22</f>
        <v>-30535</v>
      </c>
      <c r="I259" s="27">
        <f>'Revenue per source'!H22</f>
        <v>0</v>
      </c>
      <c r="J259" s="27">
        <f>'Revenue per source'!I22</f>
        <v>0</v>
      </c>
      <c r="K259" s="27">
        <f>'Revenue per source'!J22</f>
        <v>0</v>
      </c>
      <c r="L259" s="27">
        <f>'Revenue per source'!K22</f>
        <v>-32367.1</v>
      </c>
      <c r="M259" s="27">
        <f>'Revenue per source'!L22</f>
        <v>-34632.796999999999</v>
      </c>
      <c r="N259" s="27">
        <f>'Revenue per source'!M22</f>
        <v>-37403.420760000001</v>
      </c>
    </row>
    <row r="260" spans="1:14" x14ac:dyDescent="0.2">
      <c r="A260" s="25"/>
      <c r="B260" s="25"/>
      <c r="C260" s="26"/>
      <c r="D260" s="27"/>
      <c r="E260" s="27"/>
      <c r="F260" s="27"/>
      <c r="G260" s="27"/>
      <c r="H260" s="27"/>
      <c r="I260" s="27"/>
      <c r="J260" s="27"/>
      <c r="K260" s="27"/>
      <c r="L260" s="27"/>
      <c r="M260" s="107"/>
      <c r="N260" s="133"/>
    </row>
    <row r="261" spans="1:14" s="24" customFormat="1" ht="15" x14ac:dyDescent="0.25">
      <c r="A261" s="20"/>
      <c r="B261" s="20"/>
      <c r="C261" s="21" t="s">
        <v>28</v>
      </c>
      <c r="D261" s="22">
        <f>SUM(D259:D260)</f>
        <v>-30535</v>
      </c>
      <c r="E261" s="22">
        <f>SUM(E259:E260)</f>
        <v>0</v>
      </c>
      <c r="F261" s="22">
        <f>SUM(F259:F260)</f>
        <v>0</v>
      </c>
      <c r="G261" s="22">
        <f>SUM(G259:G260)</f>
        <v>0</v>
      </c>
      <c r="H261" s="22">
        <f>SUM(H259:H260)</f>
        <v>-30535</v>
      </c>
      <c r="I261" s="22">
        <v>0</v>
      </c>
      <c r="J261" s="27">
        <f>+K261-D261</f>
        <v>30535</v>
      </c>
      <c r="K261" s="22">
        <f>SUM(K259:K260)</f>
        <v>0</v>
      </c>
      <c r="L261" s="22">
        <f>SUM(L259:L260)</f>
        <v>-32367.1</v>
      </c>
      <c r="M261" s="134">
        <f>SUM(M259:M260)</f>
        <v>-34632.796999999999</v>
      </c>
      <c r="N261" s="134">
        <f>SUM(N259:N260)</f>
        <v>-37403.420760000001</v>
      </c>
    </row>
    <row r="262" spans="1:14" s="24" customFormat="1" ht="15" x14ac:dyDescent="0.25">
      <c r="A262" s="20"/>
      <c r="B262" s="20"/>
      <c r="C262" s="21"/>
      <c r="D262" s="22"/>
      <c r="E262" s="22"/>
      <c r="F262" s="22"/>
      <c r="G262" s="22"/>
      <c r="H262" s="22"/>
      <c r="I262" s="22"/>
      <c r="J262" s="27"/>
      <c r="K262" s="22"/>
      <c r="L262" s="22"/>
      <c r="M262" s="134"/>
      <c r="N262" s="134"/>
    </row>
    <row r="263" spans="1:14" s="24" customFormat="1" ht="15" x14ac:dyDescent="0.25">
      <c r="A263" s="20"/>
      <c r="B263" s="20"/>
      <c r="C263" s="21" t="s">
        <v>36</v>
      </c>
      <c r="D263" s="22"/>
      <c r="E263" s="22"/>
      <c r="F263" s="22"/>
      <c r="G263" s="22"/>
      <c r="H263" s="22"/>
      <c r="I263" s="22"/>
      <c r="J263" s="27"/>
      <c r="K263" s="22"/>
      <c r="L263" s="22"/>
      <c r="M263" s="134"/>
      <c r="N263" s="134"/>
    </row>
    <row r="264" spans="1:14" s="24" customFormat="1" ht="15" x14ac:dyDescent="0.25">
      <c r="A264" s="20"/>
      <c r="B264" s="20"/>
      <c r="C264" s="21"/>
      <c r="D264" s="22"/>
      <c r="E264" s="22"/>
      <c r="F264" s="22"/>
      <c r="G264" s="22"/>
      <c r="H264" s="22"/>
      <c r="I264" s="22"/>
      <c r="J264" s="27"/>
      <c r="K264" s="22"/>
      <c r="L264" s="22"/>
      <c r="M264" s="134"/>
      <c r="N264" s="134"/>
    </row>
    <row r="265" spans="1:14" x14ac:dyDescent="0.2">
      <c r="A265" s="25"/>
      <c r="B265" s="25"/>
      <c r="C265" s="120" t="s">
        <v>3040</v>
      </c>
      <c r="D265" s="27">
        <f>'Revenue per source'!C43</f>
        <v>0</v>
      </c>
      <c r="E265" s="27">
        <f>'Revenue per source'!D43</f>
        <v>0</v>
      </c>
      <c r="F265" s="27">
        <f>'Revenue per source'!E43</f>
        <v>0</v>
      </c>
      <c r="G265" s="27">
        <f>'Revenue per source'!F43</f>
        <v>0</v>
      </c>
      <c r="H265" s="27">
        <f>'Revenue per source'!G43</f>
        <v>0</v>
      </c>
      <c r="I265" s="27">
        <f>'Revenue per source'!H43</f>
        <v>0</v>
      </c>
      <c r="J265" s="27">
        <f>'Revenue per source'!I43</f>
        <v>0</v>
      </c>
      <c r="K265" s="27">
        <f>'Revenue per source'!J43</f>
        <v>0</v>
      </c>
      <c r="L265" s="27">
        <f>'Revenue per source'!K43</f>
        <v>-3000000</v>
      </c>
      <c r="M265" s="27">
        <f>'Revenue per source'!L43</f>
        <v>0</v>
      </c>
      <c r="N265" s="27">
        <f>'Revenue per source'!M43</f>
        <v>0</v>
      </c>
    </row>
    <row r="266" spans="1:14" x14ac:dyDescent="0.2">
      <c r="A266" s="25"/>
      <c r="B266" s="25"/>
      <c r="C266" s="120" t="s">
        <v>3041</v>
      </c>
      <c r="D266" s="27">
        <f>'Revenue per source'!C44</f>
        <v>0</v>
      </c>
      <c r="E266" s="27">
        <f>'Revenue per source'!D44</f>
        <v>0</v>
      </c>
      <c r="F266" s="27">
        <f>'Revenue per source'!E44</f>
        <v>0</v>
      </c>
      <c r="G266" s="27">
        <f>'Revenue per source'!F44</f>
        <v>0</v>
      </c>
      <c r="H266" s="27">
        <f>'Revenue per source'!G44</f>
        <v>0</v>
      </c>
      <c r="I266" s="27">
        <f>'Revenue per source'!H44</f>
        <v>0</v>
      </c>
      <c r="J266" s="27">
        <f>'Revenue per source'!I44</f>
        <v>0</v>
      </c>
      <c r="K266" s="27">
        <f>'Revenue per source'!J44</f>
        <v>0</v>
      </c>
      <c r="L266" s="27">
        <f>'Revenue per source'!K44</f>
        <v>-13000000</v>
      </c>
      <c r="M266" s="27">
        <f>'Revenue per source'!L44</f>
        <v>-6000000</v>
      </c>
      <c r="N266" s="27">
        <f>'Revenue per source'!M44</f>
        <v>-7000000</v>
      </c>
    </row>
    <row r="267" spans="1:14" s="24" customFormat="1" ht="15" x14ac:dyDescent="0.25">
      <c r="A267" s="20"/>
      <c r="B267" s="20"/>
      <c r="C267" s="120"/>
      <c r="D267" s="22"/>
      <c r="E267" s="22"/>
      <c r="F267" s="22"/>
      <c r="G267" s="22"/>
      <c r="H267" s="22"/>
      <c r="I267" s="22"/>
      <c r="J267" s="27"/>
      <c r="K267" s="22"/>
      <c r="L267" s="22"/>
      <c r="M267" s="134"/>
      <c r="N267" s="134"/>
    </row>
    <row r="268" spans="1:14" s="24" customFormat="1" ht="15" x14ac:dyDescent="0.25">
      <c r="A268" s="20"/>
      <c r="B268" s="20"/>
      <c r="C268" s="117" t="s">
        <v>38</v>
      </c>
      <c r="D268" s="22">
        <f>SUM(D265:D267)</f>
        <v>0</v>
      </c>
      <c r="E268" s="22">
        <f t="shared" ref="E268:N268" si="51">SUM(E265:E267)</f>
        <v>0</v>
      </c>
      <c r="F268" s="22">
        <f t="shared" si="51"/>
        <v>0</v>
      </c>
      <c r="G268" s="22">
        <f t="shared" si="51"/>
        <v>0</v>
      </c>
      <c r="H268" s="22">
        <f t="shared" si="51"/>
        <v>0</v>
      </c>
      <c r="I268" s="22">
        <f t="shared" si="51"/>
        <v>0</v>
      </c>
      <c r="J268" s="22">
        <f t="shared" si="51"/>
        <v>0</v>
      </c>
      <c r="K268" s="22">
        <f t="shared" si="51"/>
        <v>0</v>
      </c>
      <c r="L268" s="22">
        <f t="shared" si="51"/>
        <v>-16000000</v>
      </c>
      <c r="M268" s="22">
        <f t="shared" si="51"/>
        <v>-6000000</v>
      </c>
      <c r="N268" s="22">
        <f t="shared" si="51"/>
        <v>-7000000</v>
      </c>
    </row>
    <row r="269" spans="1:14" s="24" customFormat="1" ht="15" x14ac:dyDescent="0.25">
      <c r="A269" s="20"/>
      <c r="B269" s="20"/>
      <c r="C269" s="117"/>
      <c r="D269" s="22"/>
      <c r="E269" s="22"/>
      <c r="F269" s="22"/>
      <c r="G269" s="22"/>
      <c r="H269" s="22"/>
      <c r="I269" s="22"/>
      <c r="J269" s="27"/>
      <c r="K269" s="22"/>
      <c r="L269" s="22"/>
      <c r="M269" s="134"/>
      <c r="N269" s="134"/>
    </row>
    <row r="270" spans="1:14" s="24" customFormat="1" ht="15" x14ac:dyDescent="0.25">
      <c r="A270" s="20"/>
      <c r="B270" s="20"/>
      <c r="C270" s="117" t="s">
        <v>39</v>
      </c>
      <c r="D270" s="22">
        <f>D268</f>
        <v>0</v>
      </c>
      <c r="E270" s="22">
        <f t="shared" ref="E270:N270" si="52">E268</f>
        <v>0</v>
      </c>
      <c r="F270" s="22">
        <f t="shared" si="52"/>
        <v>0</v>
      </c>
      <c r="G270" s="22">
        <f t="shared" si="52"/>
        <v>0</v>
      </c>
      <c r="H270" s="22">
        <f t="shared" si="52"/>
        <v>0</v>
      </c>
      <c r="I270" s="22">
        <f t="shared" si="52"/>
        <v>0</v>
      </c>
      <c r="J270" s="22">
        <f t="shared" si="52"/>
        <v>0</v>
      </c>
      <c r="K270" s="22">
        <f t="shared" si="52"/>
        <v>0</v>
      </c>
      <c r="L270" s="22">
        <f t="shared" si="52"/>
        <v>-16000000</v>
      </c>
      <c r="M270" s="22">
        <f t="shared" si="52"/>
        <v>-6000000</v>
      </c>
      <c r="N270" s="22">
        <f t="shared" si="52"/>
        <v>-7000000</v>
      </c>
    </row>
    <row r="271" spans="1:14" s="24" customFormat="1" ht="15" x14ac:dyDescent="0.25">
      <c r="A271" s="20"/>
      <c r="B271" s="20"/>
      <c r="C271" s="21"/>
      <c r="D271" s="22"/>
      <c r="E271" s="22"/>
      <c r="F271" s="22"/>
      <c r="G271" s="22"/>
      <c r="H271" s="22"/>
      <c r="I271" s="22"/>
      <c r="J271" s="27"/>
      <c r="K271" s="27"/>
      <c r="L271" s="22"/>
      <c r="M271" s="134"/>
      <c r="N271" s="132"/>
    </row>
    <row r="272" spans="1:14" s="24" customFormat="1" ht="15" x14ac:dyDescent="0.25">
      <c r="A272" s="20"/>
      <c r="B272" s="20"/>
      <c r="C272" s="21" t="s">
        <v>40</v>
      </c>
      <c r="D272" s="22">
        <f>D261+D270</f>
        <v>-30535</v>
      </c>
      <c r="E272" s="22">
        <f t="shared" ref="E272:N272" si="53">E261+E270</f>
        <v>0</v>
      </c>
      <c r="F272" s="22">
        <f t="shared" si="53"/>
        <v>0</v>
      </c>
      <c r="G272" s="22">
        <f t="shared" si="53"/>
        <v>0</v>
      </c>
      <c r="H272" s="22">
        <f t="shared" si="53"/>
        <v>-30535</v>
      </c>
      <c r="I272" s="22">
        <f t="shared" si="53"/>
        <v>0</v>
      </c>
      <c r="J272" s="22">
        <f t="shared" si="53"/>
        <v>30535</v>
      </c>
      <c r="K272" s="22">
        <f t="shared" si="53"/>
        <v>0</v>
      </c>
      <c r="L272" s="22">
        <f t="shared" si="53"/>
        <v>-16032367.1</v>
      </c>
      <c r="M272" s="22">
        <f t="shared" si="53"/>
        <v>-6034632.7970000003</v>
      </c>
      <c r="N272" s="22">
        <f t="shared" si="53"/>
        <v>-7037403.4207600001</v>
      </c>
    </row>
    <row r="273" spans="1:14" x14ac:dyDescent="0.2">
      <c r="A273" s="25"/>
      <c r="B273" s="25"/>
      <c r="C273" s="26"/>
      <c r="D273" s="27"/>
      <c r="E273" s="27"/>
      <c r="F273" s="27"/>
      <c r="G273" s="27"/>
      <c r="H273" s="27"/>
      <c r="I273" s="27"/>
      <c r="J273" s="27"/>
      <c r="K273" s="27"/>
      <c r="L273" s="27"/>
      <c r="M273" s="107"/>
      <c r="N273" s="133"/>
    </row>
    <row r="274" spans="1:14" s="24" customFormat="1" ht="15" x14ac:dyDescent="0.25">
      <c r="A274" s="20"/>
      <c r="B274" s="20"/>
      <c r="C274" s="21" t="s">
        <v>41</v>
      </c>
      <c r="D274" s="22"/>
      <c r="E274" s="22"/>
      <c r="F274" s="22"/>
      <c r="G274" s="22"/>
      <c r="H274" s="22"/>
      <c r="I274" s="22"/>
      <c r="J274" s="27">
        <f>+K274-D274</f>
        <v>0</v>
      </c>
      <c r="K274" s="27"/>
      <c r="L274" s="22"/>
      <c r="M274" s="134"/>
      <c r="N274" s="132"/>
    </row>
    <row r="275" spans="1:14" s="24" customFormat="1" ht="15" x14ac:dyDescent="0.25">
      <c r="A275" s="20"/>
      <c r="B275" s="20"/>
      <c r="C275" s="21"/>
      <c r="D275" s="22"/>
      <c r="E275" s="22"/>
      <c r="F275" s="22"/>
      <c r="G275" s="22"/>
      <c r="H275" s="22"/>
      <c r="I275" s="22"/>
      <c r="J275" s="27"/>
      <c r="K275" s="27"/>
      <c r="L275" s="22"/>
      <c r="M275" s="134"/>
      <c r="N275" s="132"/>
    </row>
    <row r="276" spans="1:14" s="24" customFormat="1" ht="15" x14ac:dyDescent="0.25">
      <c r="A276" s="20"/>
      <c r="B276" s="20"/>
      <c r="C276" s="21" t="s">
        <v>42</v>
      </c>
      <c r="D276" s="22"/>
      <c r="E276" s="22"/>
      <c r="F276" s="22"/>
      <c r="G276" s="22"/>
      <c r="H276" s="22"/>
      <c r="I276" s="22"/>
      <c r="J276" s="27">
        <f>+K276-D276</f>
        <v>0</v>
      </c>
      <c r="K276" s="27"/>
      <c r="L276" s="22"/>
      <c r="M276" s="134"/>
      <c r="N276" s="132"/>
    </row>
    <row r="277" spans="1:14" x14ac:dyDescent="0.2">
      <c r="A277" s="25"/>
      <c r="B277" s="25"/>
      <c r="C277" s="26"/>
      <c r="D277" s="27"/>
      <c r="E277" s="27"/>
      <c r="F277" s="27"/>
      <c r="G277" s="27"/>
      <c r="H277" s="27"/>
      <c r="I277" s="27"/>
      <c r="J277" s="27"/>
      <c r="K277" s="27"/>
      <c r="L277" s="27"/>
      <c r="M277" s="107"/>
      <c r="N277" s="133"/>
    </row>
    <row r="278" spans="1:14" x14ac:dyDescent="0.2">
      <c r="A278" s="25" t="s">
        <v>1232</v>
      </c>
      <c r="B278" s="25"/>
      <c r="C278" s="26" t="s">
        <v>43</v>
      </c>
      <c r="D278" s="27">
        <f>'Revenue per source'!C55</f>
        <v>-56291</v>
      </c>
      <c r="E278" s="27">
        <f>'Revenue per source'!D55</f>
        <v>0</v>
      </c>
      <c r="F278" s="27">
        <f>'Revenue per source'!E55</f>
        <v>0</v>
      </c>
      <c r="G278" s="27">
        <f>'Revenue per source'!F55</f>
        <v>0</v>
      </c>
      <c r="H278" s="27">
        <f>'Revenue per source'!G55</f>
        <v>-56291</v>
      </c>
      <c r="I278" s="27">
        <f>'Revenue per source'!H55</f>
        <v>0</v>
      </c>
      <c r="J278" s="27">
        <f>'Revenue per source'!I55</f>
        <v>0</v>
      </c>
      <c r="K278" s="27">
        <f>'Revenue per source'!J55</f>
        <v>-56291</v>
      </c>
      <c r="L278" s="27">
        <f>'Revenue per source'!K55</f>
        <v>-60850.570999999996</v>
      </c>
      <c r="M278" s="27">
        <f>'Revenue per source'!L55</f>
        <v>-64014.800691999997</v>
      </c>
      <c r="N278" s="27">
        <f>'Revenue per source'!M55</f>
        <v>-69712.117953587993</v>
      </c>
    </row>
    <row r="279" spans="1:14" x14ac:dyDescent="0.2">
      <c r="A279" s="25" t="s">
        <v>1233</v>
      </c>
      <c r="B279" s="25"/>
      <c r="C279" s="26" t="s">
        <v>44</v>
      </c>
      <c r="D279" s="27">
        <f>'Revenue per source'!C56</f>
        <v>-3611799</v>
      </c>
      <c r="E279" s="27">
        <f>'Revenue per source'!D56</f>
        <v>0</v>
      </c>
      <c r="F279" s="27">
        <f>'Revenue per source'!E56</f>
        <v>0</v>
      </c>
      <c r="G279" s="27">
        <f>'Revenue per source'!F56</f>
        <v>0</v>
      </c>
      <c r="H279" s="27">
        <f>'Revenue per source'!G56</f>
        <v>-3611799</v>
      </c>
      <c r="I279" s="27">
        <f>'Revenue per source'!H56</f>
        <v>0</v>
      </c>
      <c r="J279" s="27">
        <f>'Revenue per source'!I56</f>
        <v>0</v>
      </c>
      <c r="K279" s="27">
        <f>'Revenue per source'!J56</f>
        <v>-3611799</v>
      </c>
      <c r="L279" s="27">
        <f>'Revenue per source'!K56</f>
        <v>-3904354.719</v>
      </c>
      <c r="M279" s="27">
        <f>'Revenue per source'!L56</f>
        <v>-4107381.164388</v>
      </c>
      <c r="N279" s="27">
        <f>'Revenue per source'!M56</f>
        <v>-4472938.0880185319</v>
      </c>
    </row>
    <row r="280" spans="1:14" x14ac:dyDescent="0.2">
      <c r="A280" s="25" t="s">
        <v>1234</v>
      </c>
      <c r="B280" s="25"/>
      <c r="C280" s="26" t="s">
        <v>45</v>
      </c>
      <c r="D280" s="27">
        <f>'Revenue per source'!C57</f>
        <v>-4019609</v>
      </c>
      <c r="E280" s="27">
        <f>'Revenue per source'!D57</f>
        <v>-115264.58</v>
      </c>
      <c r="F280" s="27">
        <f>'Revenue per source'!E57</f>
        <v>0</v>
      </c>
      <c r="G280" s="27">
        <f>'Revenue per source'!F57</f>
        <v>-891425.05</v>
      </c>
      <c r="H280" s="27">
        <f>'Revenue per source'!G57</f>
        <v>-3128183.95</v>
      </c>
      <c r="I280" s="27">
        <f>'Revenue per source'!H57</f>
        <v>22.17</v>
      </c>
      <c r="J280" s="27">
        <f>'Revenue per source'!I57</f>
        <v>0</v>
      </c>
      <c r="K280" s="27">
        <f>'Revenue per source'!J57</f>
        <v>-4019609</v>
      </c>
      <c r="L280" s="27">
        <f>'Revenue per source'!K57</f>
        <v>-4345197.3289999999</v>
      </c>
      <c r="M280" s="27">
        <f>'Revenue per source'!L57</f>
        <v>-4571147.5901079997</v>
      </c>
      <c r="N280" s="27">
        <f>'Revenue per source'!M57</f>
        <v>-4977979.7256276114</v>
      </c>
    </row>
    <row r="281" spans="1:14" x14ac:dyDescent="0.2">
      <c r="A281" s="25" t="s">
        <v>1235</v>
      </c>
      <c r="B281" s="25"/>
      <c r="C281" s="26" t="s">
        <v>46</v>
      </c>
      <c r="D281" s="27">
        <f>'Revenue per source'!C58</f>
        <v>-1374256</v>
      </c>
      <c r="E281" s="27">
        <f>'Revenue per source'!D58</f>
        <v>-445577.79</v>
      </c>
      <c r="F281" s="27">
        <f>'Revenue per source'!E58</f>
        <v>0</v>
      </c>
      <c r="G281" s="27">
        <f>'Revenue per source'!F58</f>
        <v>-2911894.37</v>
      </c>
      <c r="H281" s="27">
        <f>'Revenue per source'!G58</f>
        <v>1537638.37</v>
      </c>
      <c r="I281" s="27">
        <f>'Revenue per source'!H58</f>
        <v>211.88</v>
      </c>
      <c r="J281" s="27">
        <f>'Revenue per source'!I58</f>
        <v>0</v>
      </c>
      <c r="K281" s="27">
        <f>'Revenue per source'!J58</f>
        <v>-1374256</v>
      </c>
      <c r="L281" s="27">
        <f>'Revenue per source'!K58</f>
        <v>-1485570.736</v>
      </c>
      <c r="M281" s="27">
        <f>'Revenue per source'!L58</f>
        <v>-1562820.4142720001</v>
      </c>
      <c r="N281" s="27">
        <f>'Revenue per source'!M58</f>
        <v>-1701911.4311422082</v>
      </c>
    </row>
    <row r="282" spans="1:14" x14ac:dyDescent="0.2">
      <c r="A282" s="25" t="s">
        <v>1236</v>
      </c>
      <c r="B282" s="25"/>
      <c r="C282" s="26" t="s">
        <v>47</v>
      </c>
      <c r="D282" s="27">
        <f>'Revenue per source'!C59</f>
        <v>-145390</v>
      </c>
      <c r="E282" s="27">
        <f>'Revenue per source'!D59</f>
        <v>5253.04</v>
      </c>
      <c r="F282" s="27">
        <f>'Revenue per source'!E59</f>
        <v>0</v>
      </c>
      <c r="G282" s="27">
        <f>'Revenue per source'!F59</f>
        <v>34823.17</v>
      </c>
      <c r="H282" s="27">
        <f>'Revenue per source'!G59</f>
        <v>-180213.17</v>
      </c>
      <c r="I282" s="27">
        <f>'Revenue per source'!H59</f>
        <v>-23.95</v>
      </c>
      <c r="J282" s="27">
        <f>'Revenue per source'!I59</f>
        <v>0</v>
      </c>
      <c r="K282" s="27">
        <f>'Revenue per source'!J59</f>
        <v>-145390</v>
      </c>
      <c r="L282" s="27">
        <f>'Revenue per source'!K59</f>
        <v>-157166.59</v>
      </c>
      <c r="M282" s="27">
        <f>'Revenue per source'!L59</f>
        <v>-165339.25268000001</v>
      </c>
      <c r="N282" s="27">
        <f>'Revenue per source'!M59</f>
        <v>-180054.44616852002</v>
      </c>
    </row>
    <row r="283" spans="1:14" x14ac:dyDescent="0.2">
      <c r="A283" s="25" t="s">
        <v>1237</v>
      </c>
      <c r="B283" s="25"/>
      <c r="C283" s="26" t="s">
        <v>48</v>
      </c>
      <c r="D283" s="27">
        <f>'Revenue per source'!C60</f>
        <v>-17172</v>
      </c>
      <c r="E283" s="27">
        <f>'Revenue per source'!D60</f>
        <v>-975.62</v>
      </c>
      <c r="F283" s="27">
        <f>'Revenue per source'!E60</f>
        <v>0</v>
      </c>
      <c r="G283" s="27">
        <f>'Revenue per source'!F60</f>
        <v>-8489.01</v>
      </c>
      <c r="H283" s="27">
        <f>'Revenue per source'!G60</f>
        <v>-8682.99</v>
      </c>
      <c r="I283" s="27">
        <f>'Revenue per source'!H60</f>
        <v>49.43</v>
      </c>
      <c r="J283" s="27">
        <f>'Revenue per source'!I60</f>
        <v>0</v>
      </c>
      <c r="K283" s="27">
        <f>'Revenue per source'!J60</f>
        <v>-17172</v>
      </c>
      <c r="L283" s="27">
        <f>'Revenue per source'!K60</f>
        <v>-18562.932000000001</v>
      </c>
      <c r="M283" s="27">
        <f>'Revenue per source'!L60</f>
        <v>-19528.204464000002</v>
      </c>
      <c r="N283" s="27">
        <f>'Revenue per source'!M60</f>
        <v>-21266.214661296002</v>
      </c>
    </row>
    <row r="284" spans="1:14" x14ac:dyDescent="0.2">
      <c r="A284" s="25"/>
      <c r="B284" s="25"/>
      <c r="C284" s="26"/>
      <c r="D284" s="27"/>
      <c r="E284" s="27"/>
      <c r="F284" s="27"/>
      <c r="G284" s="27"/>
      <c r="H284" s="27"/>
      <c r="I284" s="27"/>
      <c r="J284" s="27"/>
      <c r="K284" s="27"/>
      <c r="L284" s="27"/>
      <c r="M284" s="107"/>
      <c r="N284" s="133"/>
    </row>
    <row r="285" spans="1:14" s="24" customFormat="1" ht="15" x14ac:dyDescent="0.25">
      <c r="A285" s="20"/>
      <c r="B285" s="20"/>
      <c r="C285" s="21" t="s">
        <v>55</v>
      </c>
      <c r="D285" s="22">
        <f>SUM(D278:D284)</f>
        <v>-9224517</v>
      </c>
      <c r="E285" s="22">
        <f t="shared" ref="E285:N285" si="54">SUM(E278:E284)</f>
        <v>-556564.94999999995</v>
      </c>
      <c r="F285" s="22">
        <f t="shared" si="54"/>
        <v>0</v>
      </c>
      <c r="G285" s="22">
        <f t="shared" si="54"/>
        <v>-3776985.26</v>
      </c>
      <c r="H285" s="22">
        <f t="shared" si="54"/>
        <v>-5447531.7400000002</v>
      </c>
      <c r="I285" s="22">
        <f t="shared" si="54"/>
        <v>259.53000000000003</v>
      </c>
      <c r="J285" s="22">
        <f t="shared" si="54"/>
        <v>0</v>
      </c>
      <c r="K285" s="22">
        <f t="shared" si="54"/>
        <v>-9224517</v>
      </c>
      <c r="L285" s="22">
        <f t="shared" si="54"/>
        <v>-9971702.8770000003</v>
      </c>
      <c r="M285" s="22">
        <f t="shared" si="54"/>
        <v>-10490231.426603999</v>
      </c>
      <c r="N285" s="22">
        <f t="shared" si="54"/>
        <v>-11423862.023571756</v>
      </c>
    </row>
    <row r="286" spans="1:14" s="24" customFormat="1" ht="15" x14ac:dyDescent="0.25">
      <c r="A286" s="20"/>
      <c r="B286" s="20"/>
      <c r="C286" s="21"/>
      <c r="D286" s="22"/>
      <c r="E286" s="22"/>
      <c r="F286" s="22"/>
      <c r="G286" s="22"/>
      <c r="H286" s="22"/>
      <c r="I286" s="22"/>
      <c r="J286" s="27"/>
      <c r="K286" s="27"/>
      <c r="L286" s="22"/>
      <c r="M286" s="134"/>
      <c r="N286" s="132"/>
    </row>
    <row r="287" spans="1:14" s="24" customFormat="1" ht="15" x14ac:dyDescent="0.25">
      <c r="A287" s="20"/>
      <c r="B287" s="20"/>
      <c r="C287" s="21" t="s">
        <v>56</v>
      </c>
      <c r="D287" s="22"/>
      <c r="E287" s="22"/>
      <c r="F287" s="22"/>
      <c r="G287" s="22"/>
      <c r="H287" s="22"/>
      <c r="I287" s="22"/>
      <c r="J287" s="22">
        <f>+K287-D287</f>
        <v>0</v>
      </c>
      <c r="K287" s="22"/>
      <c r="L287" s="22"/>
      <c r="M287" s="134"/>
      <c r="N287" s="132"/>
    </row>
    <row r="288" spans="1:14" x14ac:dyDescent="0.2">
      <c r="A288" s="25"/>
      <c r="B288" s="25"/>
      <c r="C288" s="26"/>
      <c r="D288" s="27"/>
      <c r="E288" s="27"/>
      <c r="F288" s="27"/>
      <c r="G288" s="27"/>
      <c r="H288" s="27"/>
      <c r="I288" s="27"/>
      <c r="J288" s="27"/>
      <c r="K288" s="27"/>
      <c r="L288" s="27"/>
      <c r="M288" s="107"/>
      <c r="N288" s="133"/>
    </row>
    <row r="289" spans="1:14" x14ac:dyDescent="0.2">
      <c r="A289" s="25" t="s">
        <v>1238</v>
      </c>
      <c r="B289" s="25"/>
      <c r="C289" s="26" t="s">
        <v>57</v>
      </c>
      <c r="D289" s="27">
        <f>'Revenue per source'!C72</f>
        <v>-495509</v>
      </c>
      <c r="E289" s="27">
        <f>'Revenue per source'!D72</f>
        <v>-17545.96</v>
      </c>
      <c r="F289" s="27">
        <f>'Revenue per source'!E72</f>
        <v>0</v>
      </c>
      <c r="G289" s="27">
        <f>'Revenue per source'!F72</f>
        <v>-105597.6</v>
      </c>
      <c r="H289" s="27">
        <f>'Revenue per source'!G72</f>
        <v>-389911.4</v>
      </c>
      <c r="I289" s="27">
        <f>'Revenue per source'!H72</f>
        <v>21.31</v>
      </c>
      <c r="J289" s="27">
        <f>'Revenue per source'!I72</f>
        <v>0</v>
      </c>
      <c r="K289" s="27">
        <f>'Revenue per source'!J72</f>
        <v>-495509</v>
      </c>
      <c r="L289" s="27">
        <f>'Revenue per source'!K72</f>
        <v>-535645.22900000005</v>
      </c>
      <c r="M289" s="27">
        <f>'Revenue per source'!L72</f>
        <v>-563498.78090800007</v>
      </c>
      <c r="N289" s="27">
        <f>'Revenue per source'!M72</f>
        <v>-613650.1724088121</v>
      </c>
    </row>
    <row r="290" spans="1:14" x14ac:dyDescent="0.2">
      <c r="A290" s="25"/>
      <c r="B290" s="25"/>
      <c r="C290" s="26"/>
      <c r="D290" s="27"/>
      <c r="E290" s="27"/>
      <c r="F290" s="27"/>
      <c r="G290" s="27"/>
      <c r="H290" s="27"/>
      <c r="I290" s="27"/>
      <c r="J290" s="27"/>
      <c r="K290" s="27"/>
      <c r="L290" s="27"/>
      <c r="M290" s="107"/>
      <c r="N290" s="133"/>
    </row>
    <row r="291" spans="1:14" s="24" customFormat="1" ht="15" x14ac:dyDescent="0.25">
      <c r="A291" s="20"/>
      <c r="B291" s="20"/>
      <c r="C291" s="21" t="s">
        <v>64</v>
      </c>
      <c r="D291" s="22">
        <f>SUM(D289:D290)</f>
        <v>-495509</v>
      </c>
      <c r="E291" s="22">
        <f>SUM(E289:E290)</f>
        <v>-17545.96</v>
      </c>
      <c r="F291" s="22">
        <f>SUM(F289:F290)</f>
        <v>0</v>
      </c>
      <c r="G291" s="22">
        <f>SUM(G289:G290)</f>
        <v>-105597.6</v>
      </c>
      <c r="H291" s="22">
        <f>SUM(H289:H290)</f>
        <v>-389911.4</v>
      </c>
      <c r="I291" s="22">
        <v>21.31</v>
      </c>
      <c r="J291" s="27">
        <f>+K291-D291</f>
        <v>0</v>
      </c>
      <c r="K291" s="22">
        <f>SUM(K289:K290)</f>
        <v>-495509</v>
      </c>
      <c r="L291" s="22">
        <f>SUM(L289:L290)</f>
        <v>-535645.22900000005</v>
      </c>
      <c r="M291" s="134">
        <f>SUM(M289:M290)</f>
        <v>-563498.78090800007</v>
      </c>
      <c r="N291" s="134">
        <f>SUM(N289:N290)</f>
        <v>-613650.1724088121</v>
      </c>
    </row>
    <row r="292" spans="1:14" s="24" customFormat="1" ht="15" x14ac:dyDescent="0.25">
      <c r="A292" s="20"/>
      <c r="B292" s="20"/>
      <c r="C292" s="21"/>
      <c r="D292" s="22"/>
      <c r="E292" s="22"/>
      <c r="F292" s="22"/>
      <c r="G292" s="22"/>
      <c r="H292" s="22"/>
      <c r="I292" s="22"/>
      <c r="J292" s="27"/>
      <c r="K292" s="27"/>
      <c r="L292" s="22"/>
      <c r="M292" s="134"/>
      <c r="N292" s="132"/>
    </row>
    <row r="293" spans="1:14" s="24" customFormat="1" ht="15" x14ac:dyDescent="0.25">
      <c r="A293" s="20"/>
      <c r="B293" s="20"/>
      <c r="C293" s="21" t="s">
        <v>70</v>
      </c>
      <c r="D293" s="22"/>
      <c r="E293" s="22"/>
      <c r="F293" s="22"/>
      <c r="G293" s="22"/>
      <c r="H293" s="22"/>
      <c r="I293" s="22"/>
      <c r="J293" s="27">
        <f>+K293-D293</f>
        <v>0</v>
      </c>
      <c r="K293" s="27"/>
      <c r="L293" s="22"/>
      <c r="M293" s="134"/>
      <c r="N293" s="132"/>
    </row>
    <row r="294" spans="1:14" s="24" customFormat="1" ht="15" x14ac:dyDescent="0.25">
      <c r="A294" s="20"/>
      <c r="B294" s="20"/>
      <c r="C294" s="21"/>
      <c r="D294" s="22"/>
      <c r="E294" s="22"/>
      <c r="F294" s="22"/>
      <c r="G294" s="22"/>
      <c r="H294" s="22"/>
      <c r="I294" s="22"/>
      <c r="J294" s="27"/>
      <c r="K294" s="27"/>
      <c r="L294" s="22"/>
      <c r="M294" s="134"/>
      <c r="N294" s="132"/>
    </row>
    <row r="295" spans="1:14" s="24" customFormat="1" ht="15" x14ac:dyDescent="0.25">
      <c r="A295" s="20"/>
      <c r="B295" s="20"/>
      <c r="C295" s="21" t="s">
        <v>94</v>
      </c>
      <c r="D295" s="22">
        <f>D285+D291</f>
        <v>-9720026</v>
      </c>
      <c r="E295" s="22">
        <f t="shared" ref="E295:N295" si="55">E285+E291</f>
        <v>-574110.90999999992</v>
      </c>
      <c r="F295" s="22">
        <f t="shared" si="55"/>
        <v>0</v>
      </c>
      <c r="G295" s="22">
        <f t="shared" si="55"/>
        <v>-3882582.86</v>
      </c>
      <c r="H295" s="22">
        <f t="shared" si="55"/>
        <v>-5837443.1400000006</v>
      </c>
      <c r="I295" s="22">
        <v>39.94</v>
      </c>
      <c r="J295" s="27">
        <f>+K295-D295</f>
        <v>0</v>
      </c>
      <c r="K295" s="22">
        <f t="shared" si="55"/>
        <v>-9720026</v>
      </c>
      <c r="L295" s="22">
        <f t="shared" si="55"/>
        <v>-10507348.106000001</v>
      </c>
      <c r="M295" s="134">
        <f t="shared" si="55"/>
        <v>-11053730.207511999</v>
      </c>
      <c r="N295" s="134">
        <f t="shared" si="55"/>
        <v>-12037512.195980567</v>
      </c>
    </row>
    <row r="296" spans="1:14" s="24" customFormat="1" ht="15" x14ac:dyDescent="0.25">
      <c r="A296" s="20"/>
      <c r="B296" s="20"/>
      <c r="C296" s="21"/>
      <c r="D296" s="22"/>
      <c r="E296" s="22"/>
      <c r="F296" s="22"/>
      <c r="G296" s="22"/>
      <c r="H296" s="22"/>
      <c r="I296" s="22"/>
      <c r="J296" s="27"/>
      <c r="K296" s="27"/>
      <c r="L296" s="22"/>
      <c r="M296" s="134"/>
      <c r="N296" s="132"/>
    </row>
    <row r="297" spans="1:14" s="24" customFormat="1" ht="15" x14ac:dyDescent="0.25">
      <c r="A297" s="20"/>
      <c r="B297" s="20"/>
      <c r="C297" s="21" t="s">
        <v>95</v>
      </c>
      <c r="D297" s="22">
        <f>D272+D295</f>
        <v>-9750561</v>
      </c>
      <c r="E297" s="22">
        <f t="shared" ref="E297:N297" si="56">E272+E295</f>
        <v>-574110.90999999992</v>
      </c>
      <c r="F297" s="22">
        <f t="shared" si="56"/>
        <v>0</v>
      </c>
      <c r="G297" s="22">
        <f t="shared" si="56"/>
        <v>-3882582.86</v>
      </c>
      <c r="H297" s="22">
        <f t="shared" si="56"/>
        <v>-5867978.1400000006</v>
      </c>
      <c r="I297" s="22">
        <v>39.81</v>
      </c>
      <c r="J297" s="27">
        <f>+K297-D297</f>
        <v>30535</v>
      </c>
      <c r="K297" s="22">
        <f t="shared" si="56"/>
        <v>-9720026</v>
      </c>
      <c r="L297" s="22">
        <f t="shared" si="56"/>
        <v>-26539715.206</v>
      </c>
      <c r="M297" s="134">
        <f t="shared" si="56"/>
        <v>-17088363.004511997</v>
      </c>
      <c r="N297" s="134">
        <f t="shared" si="56"/>
        <v>-19074915.616740569</v>
      </c>
    </row>
    <row r="298" spans="1:14" s="24" customFormat="1" ht="15" x14ac:dyDescent="0.25">
      <c r="A298" s="20"/>
      <c r="B298" s="20"/>
      <c r="C298" s="21"/>
      <c r="D298" s="22"/>
      <c r="E298" s="22"/>
      <c r="F298" s="22"/>
      <c r="G298" s="22"/>
      <c r="H298" s="22"/>
      <c r="I298" s="22"/>
      <c r="J298" s="27"/>
      <c r="K298" s="27"/>
      <c r="L298" s="22"/>
      <c r="M298" s="134"/>
      <c r="N298" s="132"/>
    </row>
    <row r="299" spans="1:14" s="24" customFormat="1" ht="15" x14ac:dyDescent="0.25">
      <c r="A299" s="20"/>
      <c r="B299" s="20"/>
      <c r="C299" s="21" t="s">
        <v>96</v>
      </c>
      <c r="D299" s="22"/>
      <c r="E299" s="22"/>
      <c r="F299" s="22"/>
      <c r="G299" s="22"/>
      <c r="H299" s="22"/>
      <c r="I299" s="22"/>
      <c r="J299" s="27">
        <f>+K299-D299</f>
        <v>0</v>
      </c>
      <c r="K299" s="27"/>
      <c r="L299" s="22"/>
      <c r="M299" s="134"/>
      <c r="N299" s="132"/>
    </row>
    <row r="300" spans="1:14" s="24" customFormat="1" ht="15" x14ac:dyDescent="0.25">
      <c r="A300" s="20"/>
      <c r="B300" s="20"/>
      <c r="C300" s="21" t="s">
        <v>97</v>
      </c>
      <c r="D300" s="22"/>
      <c r="E300" s="22"/>
      <c r="F300" s="22"/>
      <c r="G300" s="22"/>
      <c r="H300" s="22"/>
      <c r="I300" s="22"/>
      <c r="J300" s="27">
        <f>+K300-D300</f>
        <v>0</v>
      </c>
      <c r="K300" s="27"/>
      <c r="L300" s="22"/>
      <c r="M300" s="134"/>
      <c r="N300" s="132"/>
    </row>
    <row r="301" spans="1:14" s="24" customFormat="1" ht="15" x14ac:dyDescent="0.25">
      <c r="A301" s="20"/>
      <c r="B301" s="20"/>
      <c r="C301" s="21" t="s">
        <v>148</v>
      </c>
      <c r="D301" s="22"/>
      <c r="E301" s="22"/>
      <c r="F301" s="22"/>
      <c r="G301" s="22"/>
      <c r="H301" s="22"/>
      <c r="I301" s="22"/>
      <c r="J301" s="27">
        <f>+K301-D301</f>
        <v>0</v>
      </c>
      <c r="K301" s="27"/>
      <c r="L301" s="22"/>
      <c r="M301" s="134"/>
      <c r="N301" s="132"/>
    </row>
    <row r="302" spans="1:14" s="24" customFormat="1" ht="15" x14ac:dyDescent="0.25">
      <c r="A302" s="20"/>
      <c r="B302" s="20"/>
      <c r="C302" s="21" t="s">
        <v>149</v>
      </c>
      <c r="D302" s="22"/>
      <c r="E302" s="22"/>
      <c r="F302" s="22"/>
      <c r="G302" s="22"/>
      <c r="H302" s="22"/>
      <c r="I302" s="22"/>
      <c r="J302" s="27">
        <f>+K302-D302</f>
        <v>0</v>
      </c>
      <c r="K302" s="27"/>
      <c r="L302" s="22"/>
      <c r="M302" s="134"/>
      <c r="N302" s="132"/>
    </row>
    <row r="303" spans="1:14" x14ac:dyDescent="0.2">
      <c r="A303" s="25"/>
      <c r="B303" s="25"/>
      <c r="C303" s="26"/>
      <c r="D303" s="27"/>
      <c r="E303" s="27"/>
      <c r="F303" s="27"/>
      <c r="G303" s="27"/>
      <c r="H303" s="27"/>
      <c r="I303" s="27"/>
      <c r="J303" s="27"/>
      <c r="K303" s="27"/>
      <c r="L303" s="27"/>
      <c r="M303" s="107"/>
      <c r="N303" s="133"/>
    </row>
    <row r="304" spans="1:14" x14ac:dyDescent="0.2">
      <c r="A304" s="25" t="s">
        <v>1239</v>
      </c>
      <c r="B304" s="25"/>
      <c r="C304" s="26" t="s">
        <v>150</v>
      </c>
      <c r="D304" s="27">
        <f t="shared" ref="D304:D314" si="57">VLOOKUP(A304,fin,3,FALSE)</f>
        <v>1827794</v>
      </c>
      <c r="E304" s="27">
        <v>0</v>
      </c>
      <c r="F304" s="27">
        <v>0</v>
      </c>
      <c r="G304" s="27">
        <v>1217.71</v>
      </c>
      <c r="H304" s="27">
        <v>-1217.71</v>
      </c>
      <c r="I304" s="27">
        <v>0</v>
      </c>
      <c r="J304" s="27">
        <f t="shared" ref="J304:J314" si="58">+K304-D304</f>
        <v>0</v>
      </c>
      <c r="K304" s="27">
        <f t="shared" ref="K304:K314" si="59">VLOOKUP(A304,fin,4,FALSE)</f>
        <v>1827794</v>
      </c>
      <c r="L304" s="27">
        <f>K304*6.25/100+K304</f>
        <v>1942031.125</v>
      </c>
      <c r="M304" s="107">
        <f>L304*7/100+L304</f>
        <v>2077973.30375</v>
      </c>
      <c r="N304" s="133">
        <f>M304*7/100+M304</f>
        <v>2223431.4350124998</v>
      </c>
    </row>
    <row r="305" spans="1:14" x14ac:dyDescent="0.2">
      <c r="A305" s="25" t="s">
        <v>1240</v>
      </c>
      <c r="B305" s="25"/>
      <c r="C305" s="26" t="s">
        <v>151</v>
      </c>
      <c r="D305" s="27">
        <f t="shared" si="57"/>
        <v>84982</v>
      </c>
      <c r="E305" s="27">
        <v>0</v>
      </c>
      <c r="F305" s="27">
        <v>0</v>
      </c>
      <c r="G305" s="27">
        <v>1217.71</v>
      </c>
      <c r="H305" s="27">
        <v>-1217.71</v>
      </c>
      <c r="I305" s="27">
        <v>0</v>
      </c>
      <c r="J305" s="27">
        <f t="shared" si="58"/>
        <v>-51113.639999999985</v>
      </c>
      <c r="K305" s="27">
        <f t="shared" si="59"/>
        <v>33868.360000000015</v>
      </c>
      <c r="L305" s="27">
        <f t="shared" ref="L305:L314" si="60">K305*6.25/100+K305</f>
        <v>35985.132500000014</v>
      </c>
      <c r="M305" s="107">
        <f t="shared" ref="M305:N314" si="61">L305*7/100+L305</f>
        <v>38504.091775000015</v>
      </c>
      <c r="N305" s="133">
        <f t="shared" si="61"/>
        <v>41199.378199250015</v>
      </c>
    </row>
    <row r="306" spans="1:14" x14ac:dyDescent="0.2">
      <c r="A306" s="25" t="s">
        <v>1241</v>
      </c>
      <c r="B306" s="25"/>
      <c r="C306" s="26" t="s">
        <v>152</v>
      </c>
      <c r="D306" s="27">
        <f t="shared" si="57"/>
        <v>66300</v>
      </c>
      <c r="E306" s="27">
        <v>0</v>
      </c>
      <c r="F306" s="27">
        <v>0</v>
      </c>
      <c r="G306" s="27">
        <v>1217.71</v>
      </c>
      <c r="H306" s="27">
        <v>-1217.71</v>
      </c>
      <c r="I306" s="27">
        <v>0</v>
      </c>
      <c r="J306" s="27">
        <f t="shared" si="58"/>
        <v>0</v>
      </c>
      <c r="K306" s="27">
        <f t="shared" si="59"/>
        <v>66300</v>
      </c>
      <c r="L306" s="27">
        <f t="shared" si="60"/>
        <v>70443.75</v>
      </c>
      <c r="M306" s="107">
        <f t="shared" si="61"/>
        <v>75374.8125</v>
      </c>
      <c r="N306" s="133">
        <f t="shared" si="61"/>
        <v>80651.049375000002</v>
      </c>
    </row>
    <row r="307" spans="1:14" x14ac:dyDescent="0.2">
      <c r="A307" s="25" t="s">
        <v>1242</v>
      </c>
      <c r="B307" s="25"/>
      <c r="C307" s="26" t="s">
        <v>153</v>
      </c>
      <c r="D307" s="27">
        <f t="shared" si="57"/>
        <v>10893</v>
      </c>
      <c r="E307" s="27">
        <v>0</v>
      </c>
      <c r="F307" s="27">
        <v>0</v>
      </c>
      <c r="G307" s="27">
        <v>1217.71</v>
      </c>
      <c r="H307" s="27">
        <v>-1217.71</v>
      </c>
      <c r="I307" s="27">
        <v>0</v>
      </c>
      <c r="J307" s="27">
        <f t="shared" si="58"/>
        <v>0</v>
      </c>
      <c r="K307" s="27">
        <f t="shared" si="59"/>
        <v>10893</v>
      </c>
      <c r="L307" s="27">
        <f t="shared" si="60"/>
        <v>11573.8125</v>
      </c>
      <c r="M307" s="107">
        <f t="shared" si="61"/>
        <v>12383.979375000001</v>
      </c>
      <c r="N307" s="133">
        <f t="shared" si="61"/>
        <v>13250.857931250001</v>
      </c>
    </row>
    <row r="308" spans="1:14" x14ac:dyDescent="0.2">
      <c r="A308" s="25" t="s">
        <v>1243</v>
      </c>
      <c r="B308" s="25"/>
      <c r="C308" s="26" t="s">
        <v>155</v>
      </c>
      <c r="D308" s="27">
        <f t="shared" si="57"/>
        <v>60349</v>
      </c>
      <c r="E308" s="27">
        <v>0</v>
      </c>
      <c r="F308" s="27">
        <v>0</v>
      </c>
      <c r="G308" s="27">
        <v>1217.71</v>
      </c>
      <c r="H308" s="27">
        <v>-1217.71</v>
      </c>
      <c r="I308" s="27">
        <v>0</v>
      </c>
      <c r="J308" s="27">
        <f t="shared" si="58"/>
        <v>0</v>
      </c>
      <c r="K308" s="27">
        <f t="shared" si="59"/>
        <v>60349</v>
      </c>
      <c r="L308" s="27">
        <f t="shared" si="60"/>
        <v>64120.8125</v>
      </c>
      <c r="M308" s="107">
        <f t="shared" si="61"/>
        <v>68609.269375000003</v>
      </c>
      <c r="N308" s="133">
        <f t="shared" si="61"/>
        <v>73411.918231250005</v>
      </c>
    </row>
    <row r="309" spans="1:14" x14ac:dyDescent="0.2">
      <c r="A309" s="25" t="s">
        <v>1244</v>
      </c>
      <c r="B309" s="25"/>
      <c r="C309" s="26" t="s">
        <v>156</v>
      </c>
      <c r="D309" s="27">
        <f t="shared" si="57"/>
        <v>138573</v>
      </c>
      <c r="E309" s="27">
        <v>0</v>
      </c>
      <c r="F309" s="27">
        <v>0</v>
      </c>
      <c r="G309" s="27">
        <v>1217.71</v>
      </c>
      <c r="H309" s="27">
        <v>-1217.71</v>
      </c>
      <c r="I309" s="27">
        <v>0</v>
      </c>
      <c r="J309" s="27">
        <f t="shared" si="58"/>
        <v>0</v>
      </c>
      <c r="K309" s="27">
        <f t="shared" si="59"/>
        <v>138573</v>
      </c>
      <c r="L309" s="27">
        <f t="shared" si="60"/>
        <v>147233.8125</v>
      </c>
      <c r="M309" s="107">
        <f t="shared" si="61"/>
        <v>157540.17937500001</v>
      </c>
      <c r="N309" s="133">
        <f t="shared" si="61"/>
        <v>168567.99193125</v>
      </c>
    </row>
    <row r="310" spans="1:14" x14ac:dyDescent="0.2">
      <c r="A310" s="25" t="s">
        <v>1245</v>
      </c>
      <c r="B310" s="25"/>
      <c r="C310" s="26" t="s">
        <v>157</v>
      </c>
      <c r="D310" s="27">
        <f t="shared" si="57"/>
        <v>12290</v>
      </c>
      <c r="E310" s="27">
        <v>0</v>
      </c>
      <c r="F310" s="27">
        <v>0</v>
      </c>
      <c r="G310" s="27">
        <v>1217.71</v>
      </c>
      <c r="H310" s="27">
        <v>-1217.71</v>
      </c>
      <c r="I310" s="27">
        <v>0</v>
      </c>
      <c r="J310" s="27">
        <f t="shared" si="58"/>
        <v>11242</v>
      </c>
      <c r="K310" s="27">
        <f t="shared" si="59"/>
        <v>23532</v>
      </c>
      <c r="L310" s="27">
        <f t="shared" si="60"/>
        <v>25002.75</v>
      </c>
      <c r="M310" s="107">
        <f t="shared" si="61"/>
        <v>26752.942500000001</v>
      </c>
      <c r="N310" s="133">
        <f t="shared" si="61"/>
        <v>28625.648475000002</v>
      </c>
    </row>
    <row r="311" spans="1:14" x14ac:dyDescent="0.2">
      <c r="A311" s="25" t="s">
        <v>1246</v>
      </c>
      <c r="B311" s="25"/>
      <c r="C311" s="26" t="s">
        <v>158</v>
      </c>
      <c r="D311" s="27">
        <f t="shared" si="57"/>
        <v>11242</v>
      </c>
      <c r="E311" s="27">
        <v>0</v>
      </c>
      <c r="F311" s="27">
        <v>0</v>
      </c>
      <c r="G311" s="27">
        <v>1217.71</v>
      </c>
      <c r="H311" s="27">
        <v>-1217.71</v>
      </c>
      <c r="I311" s="27">
        <v>0</v>
      </c>
      <c r="J311" s="27">
        <f t="shared" si="58"/>
        <v>-11242</v>
      </c>
      <c r="K311" s="27">
        <f t="shared" si="59"/>
        <v>0</v>
      </c>
      <c r="L311" s="27">
        <f t="shared" si="60"/>
        <v>0</v>
      </c>
      <c r="M311" s="107">
        <f t="shared" si="61"/>
        <v>0</v>
      </c>
      <c r="N311" s="133">
        <f t="shared" si="61"/>
        <v>0</v>
      </c>
    </row>
    <row r="312" spans="1:14" x14ac:dyDescent="0.2">
      <c r="A312" s="25" t="s">
        <v>1247</v>
      </c>
      <c r="B312" s="25"/>
      <c r="C312" s="26" t="s">
        <v>159</v>
      </c>
      <c r="D312" s="27">
        <f t="shared" si="57"/>
        <v>152316</v>
      </c>
      <c r="E312" s="27">
        <v>0</v>
      </c>
      <c r="F312" s="27">
        <v>0</v>
      </c>
      <c r="G312" s="27">
        <v>1217.71</v>
      </c>
      <c r="H312" s="27">
        <v>-1217.71</v>
      </c>
      <c r="I312" s="27">
        <v>0</v>
      </c>
      <c r="J312" s="27">
        <f t="shared" si="58"/>
        <v>0</v>
      </c>
      <c r="K312" s="27">
        <f t="shared" si="59"/>
        <v>152316</v>
      </c>
      <c r="L312" s="27">
        <f t="shared" si="60"/>
        <v>161835.75</v>
      </c>
      <c r="M312" s="107">
        <f t="shared" si="61"/>
        <v>173164.2525</v>
      </c>
      <c r="N312" s="133">
        <f t="shared" si="61"/>
        <v>185285.75017499999</v>
      </c>
    </row>
    <row r="313" spans="1:14" x14ac:dyDescent="0.2">
      <c r="A313" s="25" t="s">
        <v>1248</v>
      </c>
      <c r="B313" s="25"/>
      <c r="C313" s="26" t="s">
        <v>162</v>
      </c>
      <c r="D313" s="27">
        <f t="shared" si="57"/>
        <v>221161</v>
      </c>
      <c r="E313" s="27">
        <v>0</v>
      </c>
      <c r="F313" s="27">
        <v>0</v>
      </c>
      <c r="G313" s="27">
        <v>1217.71</v>
      </c>
      <c r="H313" s="27">
        <v>-1217.71</v>
      </c>
      <c r="I313" s="27">
        <v>0</v>
      </c>
      <c r="J313" s="27">
        <f t="shared" si="58"/>
        <v>0</v>
      </c>
      <c r="K313" s="27">
        <f t="shared" si="59"/>
        <v>221161</v>
      </c>
      <c r="L313" s="27">
        <f t="shared" si="60"/>
        <v>234983.5625</v>
      </c>
      <c r="M313" s="107">
        <f t="shared" si="61"/>
        <v>251432.41187499999</v>
      </c>
      <c r="N313" s="133">
        <f t="shared" si="61"/>
        <v>269032.68070625002</v>
      </c>
    </row>
    <row r="314" spans="1:14" x14ac:dyDescent="0.2">
      <c r="A314" s="25" t="s">
        <v>1249</v>
      </c>
      <c r="B314" s="25"/>
      <c r="C314" s="26" t="s">
        <v>164</v>
      </c>
      <c r="D314" s="27">
        <f t="shared" si="57"/>
        <v>15692</v>
      </c>
      <c r="E314" s="27">
        <v>0</v>
      </c>
      <c r="F314" s="27">
        <v>0</v>
      </c>
      <c r="G314" s="27">
        <v>1217.71</v>
      </c>
      <c r="H314" s="27">
        <v>-1217.71</v>
      </c>
      <c r="I314" s="27">
        <v>0</v>
      </c>
      <c r="J314" s="27">
        <f t="shared" si="58"/>
        <v>0</v>
      </c>
      <c r="K314" s="27">
        <f t="shared" si="59"/>
        <v>15692</v>
      </c>
      <c r="L314" s="27">
        <f t="shared" si="60"/>
        <v>16672.75</v>
      </c>
      <c r="M314" s="107">
        <f t="shared" si="61"/>
        <v>17839.842499999999</v>
      </c>
      <c r="N314" s="133">
        <f t="shared" si="61"/>
        <v>19088.631474999998</v>
      </c>
    </row>
    <row r="315" spans="1:14" x14ac:dyDescent="0.2">
      <c r="A315" s="25"/>
      <c r="B315" s="25"/>
      <c r="C315" s="26"/>
      <c r="D315" s="27"/>
      <c r="E315" s="27"/>
      <c r="F315" s="27"/>
      <c r="G315" s="27"/>
      <c r="H315" s="27"/>
      <c r="I315" s="27"/>
      <c r="J315" s="27"/>
      <c r="K315" s="27"/>
      <c r="L315" s="27"/>
      <c r="M315" s="107"/>
      <c r="N315" s="133"/>
    </row>
    <row r="316" spans="1:14" s="24" customFormat="1" ht="15" x14ac:dyDescent="0.25">
      <c r="A316" s="20"/>
      <c r="B316" s="20"/>
      <c r="C316" s="21" t="s">
        <v>165</v>
      </c>
      <c r="D316" s="22">
        <f>SUM(D304:D315)</f>
        <v>2601592</v>
      </c>
      <c r="E316" s="22">
        <f>SUM(E304:E315)</f>
        <v>0</v>
      </c>
      <c r="F316" s="22">
        <f>SUM(F304:F315)</f>
        <v>0</v>
      </c>
      <c r="G316" s="22">
        <f>SUM(G304:G315)</f>
        <v>13394.809999999998</v>
      </c>
      <c r="H316" s="22">
        <f>SUM(H304:H315)</f>
        <v>-13394.809999999998</v>
      </c>
      <c r="I316" s="22">
        <v>47.03</v>
      </c>
      <c r="J316" s="27">
        <f>+K316-D316</f>
        <v>-51113.639999999665</v>
      </c>
      <c r="K316" s="22">
        <f>SUM(K304:K315)</f>
        <v>2550478.3600000003</v>
      </c>
      <c r="L316" s="22">
        <f>SUM(L304:L315)</f>
        <v>2709883.2575000003</v>
      </c>
      <c r="M316" s="134">
        <f>SUM(M304:M315)</f>
        <v>2899575.085525</v>
      </c>
      <c r="N316" s="134">
        <f>SUM(N304:N315)</f>
        <v>3102545.3415117497</v>
      </c>
    </row>
    <row r="317" spans="1:14" s="24" customFormat="1" ht="15" x14ac:dyDescent="0.25">
      <c r="A317" s="20"/>
      <c r="B317" s="20"/>
      <c r="C317" s="21"/>
      <c r="D317" s="22"/>
      <c r="E317" s="22"/>
      <c r="F317" s="22"/>
      <c r="G317" s="22"/>
      <c r="H317" s="22"/>
      <c r="I317" s="22"/>
      <c r="J317" s="27"/>
      <c r="K317" s="27"/>
      <c r="L317" s="22"/>
      <c r="M317" s="134"/>
      <c r="N317" s="132"/>
    </row>
    <row r="318" spans="1:14" s="24" customFormat="1" ht="15" x14ac:dyDescent="0.25">
      <c r="A318" s="20"/>
      <c r="B318" s="20"/>
      <c r="C318" s="21" t="s">
        <v>166</v>
      </c>
      <c r="D318" s="22"/>
      <c r="E318" s="22"/>
      <c r="F318" s="22"/>
      <c r="G318" s="22"/>
      <c r="H318" s="22"/>
      <c r="I318" s="22"/>
      <c r="J318" s="27">
        <f>+K318-D318</f>
        <v>0</v>
      </c>
      <c r="K318" s="27"/>
      <c r="L318" s="22"/>
      <c r="M318" s="134"/>
      <c r="N318" s="132"/>
    </row>
    <row r="319" spans="1:14" x14ac:dyDescent="0.2">
      <c r="A319" s="25"/>
      <c r="B319" s="25"/>
      <c r="C319" s="26"/>
      <c r="D319" s="27"/>
      <c r="E319" s="27"/>
      <c r="F319" s="27"/>
      <c r="G319" s="27"/>
      <c r="H319" s="27"/>
      <c r="I319" s="27"/>
      <c r="J319" s="27"/>
      <c r="K319" s="27"/>
      <c r="L319" s="27"/>
      <c r="M319" s="107"/>
      <c r="N319" s="133"/>
    </row>
    <row r="320" spans="1:14" x14ac:dyDescent="0.2">
      <c r="A320" s="25" t="s">
        <v>1250</v>
      </c>
      <c r="B320" s="25"/>
      <c r="C320" s="26" t="s">
        <v>167</v>
      </c>
      <c r="D320" s="27">
        <f>VLOOKUP(A320,fin,3,FALSE)</f>
        <v>562</v>
      </c>
      <c r="E320" s="27">
        <v>0</v>
      </c>
      <c r="F320" s="27">
        <v>0</v>
      </c>
      <c r="G320" s="27">
        <v>1217.71</v>
      </c>
      <c r="H320" s="27">
        <v>-1217.71</v>
      </c>
      <c r="I320" s="27">
        <v>0</v>
      </c>
      <c r="J320" s="27">
        <f>+K320-D320</f>
        <v>0</v>
      </c>
      <c r="K320" s="27">
        <f>VLOOKUP(A320,fin,4,FALSE)</f>
        <v>562</v>
      </c>
      <c r="L320" s="27">
        <f>K320*6.25/100+K320</f>
        <v>597.125</v>
      </c>
      <c r="M320" s="107">
        <f t="shared" ref="M320:N323" si="62">L320*7/100+L320</f>
        <v>638.92375000000004</v>
      </c>
      <c r="N320" s="133">
        <f t="shared" si="62"/>
        <v>683.64841250000006</v>
      </c>
    </row>
    <row r="321" spans="1:14" x14ac:dyDescent="0.2">
      <c r="A321" s="25" t="s">
        <v>1251</v>
      </c>
      <c r="B321" s="25"/>
      <c r="C321" s="26" t="s">
        <v>168</v>
      </c>
      <c r="D321" s="27">
        <f>VLOOKUP(A321,fin,3,FALSE)</f>
        <v>134382</v>
      </c>
      <c r="E321" s="27">
        <v>0</v>
      </c>
      <c r="F321" s="27">
        <v>0</v>
      </c>
      <c r="G321" s="27">
        <v>1217.71</v>
      </c>
      <c r="H321" s="27">
        <v>-1217.71</v>
      </c>
      <c r="I321" s="27">
        <v>0</v>
      </c>
      <c r="J321" s="27">
        <f>+K321-D321</f>
        <v>0</v>
      </c>
      <c r="K321" s="27">
        <f>VLOOKUP(A321,fin,4,FALSE)</f>
        <v>134382</v>
      </c>
      <c r="L321" s="27">
        <f>K321*6.25/100+K321</f>
        <v>142780.875</v>
      </c>
      <c r="M321" s="107">
        <f t="shared" si="62"/>
        <v>152775.53625</v>
      </c>
      <c r="N321" s="133">
        <f t="shared" si="62"/>
        <v>163469.8237875</v>
      </c>
    </row>
    <row r="322" spans="1:14" x14ac:dyDescent="0.2">
      <c r="A322" s="25" t="s">
        <v>1252</v>
      </c>
      <c r="B322" s="25"/>
      <c r="C322" s="26" t="s">
        <v>169</v>
      </c>
      <c r="D322" s="27">
        <f>VLOOKUP(A322,fin,3,FALSE)</f>
        <v>402115</v>
      </c>
      <c r="E322" s="27">
        <v>0</v>
      </c>
      <c r="F322" s="27">
        <v>0</v>
      </c>
      <c r="G322" s="27">
        <v>1217.71</v>
      </c>
      <c r="H322" s="27">
        <v>-1217.71</v>
      </c>
      <c r="I322" s="27">
        <v>0</v>
      </c>
      <c r="J322" s="27">
        <f>+K322-D322</f>
        <v>0</v>
      </c>
      <c r="K322" s="27">
        <f>VLOOKUP(A322,fin,4,FALSE)</f>
        <v>402115</v>
      </c>
      <c r="L322" s="27">
        <f>K322*6.25/100+K322</f>
        <v>427247.1875</v>
      </c>
      <c r="M322" s="107">
        <f t="shared" si="62"/>
        <v>457154.49062499998</v>
      </c>
      <c r="N322" s="133">
        <f t="shared" si="62"/>
        <v>489155.30496874999</v>
      </c>
    </row>
    <row r="323" spans="1:14" x14ac:dyDescent="0.2">
      <c r="A323" s="25" t="s">
        <v>1253</v>
      </c>
      <c r="B323" s="25"/>
      <c r="C323" s="26" t="s">
        <v>170</v>
      </c>
      <c r="D323" s="27">
        <f>VLOOKUP(A323,fin,3,FALSE)</f>
        <v>8925</v>
      </c>
      <c r="E323" s="27">
        <v>0</v>
      </c>
      <c r="F323" s="27">
        <v>0</v>
      </c>
      <c r="G323" s="27">
        <v>1217.71</v>
      </c>
      <c r="H323" s="27">
        <v>-1217.71</v>
      </c>
      <c r="I323" s="27">
        <v>0</v>
      </c>
      <c r="J323" s="27">
        <f>+K323-D323</f>
        <v>0</v>
      </c>
      <c r="K323" s="27">
        <f>VLOOKUP(A323,fin,4,FALSE)</f>
        <v>8925</v>
      </c>
      <c r="L323" s="27">
        <f>K323*6.25/100+K323</f>
        <v>9482.8125</v>
      </c>
      <c r="M323" s="107">
        <f t="shared" si="62"/>
        <v>10146.609375</v>
      </c>
      <c r="N323" s="133">
        <f t="shared" si="62"/>
        <v>10856.872031250001</v>
      </c>
    </row>
    <row r="324" spans="1:14" x14ac:dyDescent="0.2">
      <c r="A324" s="25"/>
      <c r="B324" s="25"/>
      <c r="C324" s="26"/>
      <c r="D324" s="27"/>
      <c r="E324" s="27"/>
      <c r="F324" s="27"/>
      <c r="G324" s="27"/>
      <c r="H324" s="27"/>
      <c r="I324" s="27"/>
      <c r="J324" s="27"/>
      <c r="K324" s="27"/>
      <c r="L324" s="27"/>
      <c r="M324" s="107"/>
      <c r="N324" s="133"/>
    </row>
    <row r="325" spans="1:14" s="24" customFormat="1" ht="15" x14ac:dyDescent="0.25">
      <c r="A325" s="20"/>
      <c r="B325" s="20"/>
      <c r="C325" s="21" t="s">
        <v>171</v>
      </c>
      <c r="D325" s="22">
        <f>SUM(D320:D324)</f>
        <v>545984</v>
      </c>
      <c r="E325" s="22">
        <f>SUM(E320:E324)</f>
        <v>0</v>
      </c>
      <c r="F325" s="22">
        <f>SUM(F320:F324)</f>
        <v>0</v>
      </c>
      <c r="G325" s="22">
        <f>SUM(G320:G324)</f>
        <v>4870.84</v>
      </c>
      <c r="H325" s="22">
        <f>SUM(H320:H324)</f>
        <v>-4870.84</v>
      </c>
      <c r="I325" s="22">
        <v>46.85</v>
      </c>
      <c r="J325" s="27">
        <f>+K325-D325</f>
        <v>0</v>
      </c>
      <c r="K325" s="22">
        <f>SUM(K320:K324)</f>
        <v>545984</v>
      </c>
      <c r="L325" s="22">
        <f>SUM(L320:L324)</f>
        <v>580108</v>
      </c>
      <c r="M325" s="134">
        <f>SUM(M320:M324)</f>
        <v>620715.55999999994</v>
      </c>
      <c r="N325" s="134">
        <f>SUM(N320:N324)</f>
        <v>664165.6492000001</v>
      </c>
    </row>
    <row r="326" spans="1:14" s="24" customFormat="1" ht="15" x14ac:dyDescent="0.25">
      <c r="A326" s="20"/>
      <c r="B326" s="20"/>
      <c r="C326" s="21"/>
      <c r="D326" s="22"/>
      <c r="E326" s="22"/>
      <c r="F326" s="22"/>
      <c r="G326" s="22"/>
      <c r="H326" s="22"/>
      <c r="I326" s="22"/>
      <c r="J326" s="27"/>
      <c r="K326" s="27"/>
      <c r="L326" s="22"/>
      <c r="M326" s="134"/>
      <c r="N326" s="132"/>
    </row>
    <row r="327" spans="1:14" s="24" customFormat="1" ht="15" x14ac:dyDescent="0.25">
      <c r="A327" s="20"/>
      <c r="B327" s="20"/>
      <c r="C327" s="21" t="s">
        <v>172</v>
      </c>
      <c r="D327" s="22"/>
      <c r="E327" s="22"/>
      <c r="F327" s="22"/>
      <c r="G327" s="22"/>
      <c r="H327" s="22"/>
      <c r="I327" s="22"/>
      <c r="J327" s="27">
        <f>+K327-D327</f>
        <v>0</v>
      </c>
      <c r="K327" s="27"/>
      <c r="L327" s="22"/>
      <c r="M327" s="134"/>
      <c r="N327" s="132"/>
    </row>
    <row r="328" spans="1:14" x14ac:dyDescent="0.2">
      <c r="A328" s="25"/>
      <c r="B328" s="25"/>
      <c r="C328" s="26"/>
      <c r="D328" s="27"/>
      <c r="E328" s="27"/>
      <c r="F328" s="27"/>
      <c r="G328" s="27"/>
      <c r="H328" s="27"/>
      <c r="I328" s="27"/>
      <c r="J328" s="27"/>
      <c r="K328" s="27"/>
      <c r="L328" s="27"/>
      <c r="M328" s="107"/>
      <c r="N328" s="133"/>
    </row>
    <row r="329" spans="1:14" x14ac:dyDescent="0.2">
      <c r="A329" s="25" t="s">
        <v>1254</v>
      </c>
      <c r="B329" s="25"/>
      <c r="C329" s="26" t="s">
        <v>173</v>
      </c>
      <c r="D329" s="27">
        <f>VLOOKUP(A329,fin,3,FALSE)</f>
        <v>17907</v>
      </c>
      <c r="E329" s="27">
        <v>0</v>
      </c>
      <c r="F329" s="27">
        <v>0</v>
      </c>
      <c r="G329" s="27">
        <v>1217.71</v>
      </c>
      <c r="H329" s="27">
        <v>-1217.71</v>
      </c>
      <c r="I329" s="27">
        <v>0</v>
      </c>
      <c r="J329" s="27">
        <f>+K329-D329</f>
        <v>0</v>
      </c>
      <c r="K329" s="27">
        <f>VLOOKUP(A329,fin,4,FALSE)</f>
        <v>17907</v>
      </c>
      <c r="L329" s="27">
        <f>K329*6.25/100+K329</f>
        <v>19026.1875</v>
      </c>
      <c r="M329" s="107">
        <f t="shared" ref="M329:N331" si="63">L329*7/100+L329</f>
        <v>20358.020625000001</v>
      </c>
      <c r="N329" s="133">
        <f t="shared" si="63"/>
        <v>21783.082068750002</v>
      </c>
    </row>
    <row r="330" spans="1:14" x14ac:dyDescent="0.2">
      <c r="A330" s="25" t="s">
        <v>1255</v>
      </c>
      <c r="B330" s="25"/>
      <c r="C330" s="26" t="s">
        <v>174</v>
      </c>
      <c r="D330" s="27">
        <f>VLOOKUP(A330,fin,3,FALSE)</f>
        <v>14818</v>
      </c>
      <c r="E330" s="27">
        <v>0</v>
      </c>
      <c r="F330" s="27">
        <v>0</v>
      </c>
      <c r="G330" s="27">
        <v>1217.71</v>
      </c>
      <c r="H330" s="27">
        <v>-1217.71</v>
      </c>
      <c r="I330" s="27">
        <v>0</v>
      </c>
      <c r="J330" s="27">
        <f>+K330-D330</f>
        <v>0</v>
      </c>
      <c r="K330" s="27">
        <f>VLOOKUP(A330,fin,4,FALSE)</f>
        <v>14818</v>
      </c>
      <c r="L330" s="27">
        <f>K330*6.25/100+K330</f>
        <v>15744.125</v>
      </c>
      <c r="M330" s="107">
        <f t="shared" si="63"/>
        <v>16846.213749999999</v>
      </c>
      <c r="N330" s="133">
        <f t="shared" si="63"/>
        <v>18025.448712499998</v>
      </c>
    </row>
    <row r="331" spans="1:14" x14ac:dyDescent="0.2">
      <c r="A331" s="25" t="s">
        <v>1256</v>
      </c>
      <c r="B331" s="25"/>
      <c r="C331" s="26" t="s">
        <v>175</v>
      </c>
      <c r="D331" s="27">
        <f>VLOOKUP(A331,fin,3,FALSE)</f>
        <v>31326</v>
      </c>
      <c r="E331" s="27">
        <v>0</v>
      </c>
      <c r="F331" s="27">
        <v>0</v>
      </c>
      <c r="G331" s="27">
        <v>1217.71</v>
      </c>
      <c r="H331" s="27">
        <v>-1217.71</v>
      </c>
      <c r="I331" s="27">
        <v>0</v>
      </c>
      <c r="J331" s="27">
        <f>+K331-D331</f>
        <v>0</v>
      </c>
      <c r="K331" s="27">
        <f>VLOOKUP(A331,fin,4,FALSE)</f>
        <v>31326</v>
      </c>
      <c r="L331" s="27">
        <f>K331*6.25/100+K331</f>
        <v>33283.875</v>
      </c>
      <c r="M331" s="107">
        <f t="shared" si="63"/>
        <v>35613.746249999997</v>
      </c>
      <c r="N331" s="133">
        <f t="shared" si="63"/>
        <v>38106.7084875</v>
      </c>
    </row>
    <row r="332" spans="1:14" x14ac:dyDescent="0.2">
      <c r="A332" s="25"/>
      <c r="B332" s="25"/>
      <c r="C332" s="26"/>
      <c r="D332" s="27"/>
      <c r="E332" s="27"/>
      <c r="F332" s="27"/>
      <c r="G332" s="27"/>
      <c r="H332" s="27"/>
      <c r="I332" s="27"/>
      <c r="J332" s="27"/>
      <c r="K332" s="27"/>
      <c r="L332" s="27"/>
      <c r="M332" s="107"/>
      <c r="N332" s="133"/>
    </row>
    <row r="333" spans="1:14" s="24" customFormat="1" ht="15" x14ac:dyDescent="0.25">
      <c r="A333" s="20"/>
      <c r="B333" s="20"/>
      <c r="C333" s="21" t="s">
        <v>176</v>
      </c>
      <c r="D333" s="22">
        <f>SUM(D329:D332)</f>
        <v>64051</v>
      </c>
      <c r="E333" s="22">
        <f>SUM(E329:E332)</f>
        <v>0</v>
      </c>
      <c r="F333" s="22">
        <f>SUM(F329:F332)</f>
        <v>0</v>
      </c>
      <c r="G333" s="22">
        <f>SUM(G329:G332)</f>
        <v>3653.13</v>
      </c>
      <c r="H333" s="22">
        <f>SUM(H329:H332)</f>
        <v>-3653.13</v>
      </c>
      <c r="I333" s="22">
        <v>0</v>
      </c>
      <c r="J333" s="27">
        <f>+K333-D333</f>
        <v>0</v>
      </c>
      <c r="K333" s="22">
        <f>SUM(K329:K332)</f>
        <v>64051</v>
      </c>
      <c r="L333" s="22">
        <f>SUM(L329:L332)</f>
        <v>68054.1875</v>
      </c>
      <c r="M333" s="134">
        <f>SUM(M329:M332)</f>
        <v>72817.980624999997</v>
      </c>
      <c r="N333" s="134">
        <f>SUM(N329:N332)</f>
        <v>77915.239268749996</v>
      </c>
    </row>
    <row r="334" spans="1:14" s="24" customFormat="1" ht="15" x14ac:dyDescent="0.25">
      <c r="A334" s="20"/>
      <c r="B334" s="20"/>
      <c r="C334" s="21"/>
      <c r="D334" s="22"/>
      <c r="E334" s="22"/>
      <c r="F334" s="22"/>
      <c r="G334" s="22"/>
      <c r="H334" s="22"/>
      <c r="I334" s="22"/>
      <c r="J334" s="27"/>
      <c r="K334" s="27"/>
      <c r="L334" s="22"/>
      <c r="M334" s="134"/>
      <c r="N334" s="132"/>
    </row>
    <row r="335" spans="1:14" s="24" customFormat="1" ht="15" x14ac:dyDescent="0.25">
      <c r="A335" s="20"/>
      <c r="B335" s="20"/>
      <c r="C335" s="21" t="s">
        <v>177</v>
      </c>
      <c r="D335" s="22">
        <f>D316+D325+D333</f>
        <v>3211627</v>
      </c>
      <c r="E335" s="22">
        <f t="shared" ref="E335:N335" si="64">E316+E325+E333</f>
        <v>0</v>
      </c>
      <c r="F335" s="22">
        <f t="shared" si="64"/>
        <v>0</v>
      </c>
      <c r="G335" s="22">
        <f t="shared" si="64"/>
        <v>21918.78</v>
      </c>
      <c r="H335" s="22">
        <f t="shared" si="64"/>
        <v>-21918.78</v>
      </c>
      <c r="I335" s="22">
        <v>46.06</v>
      </c>
      <c r="J335" s="27">
        <f>+K335-D335</f>
        <v>-51113.639999999665</v>
      </c>
      <c r="K335" s="22">
        <f t="shared" si="64"/>
        <v>3160513.3600000003</v>
      </c>
      <c r="L335" s="22">
        <f t="shared" si="64"/>
        <v>3358045.4450000003</v>
      </c>
      <c r="M335" s="134">
        <f t="shared" si="64"/>
        <v>3593108.6261499999</v>
      </c>
      <c r="N335" s="134">
        <f t="shared" si="64"/>
        <v>3844626.2299804995</v>
      </c>
    </row>
    <row r="336" spans="1:14" s="24" customFormat="1" ht="15" x14ac:dyDescent="0.25">
      <c r="A336" s="20"/>
      <c r="B336" s="20"/>
      <c r="C336" s="21"/>
      <c r="D336" s="22"/>
      <c r="E336" s="22"/>
      <c r="F336" s="22"/>
      <c r="G336" s="22"/>
      <c r="H336" s="22"/>
      <c r="I336" s="22"/>
      <c r="J336" s="27"/>
      <c r="K336" s="27"/>
      <c r="L336" s="22"/>
      <c r="M336" s="134"/>
      <c r="N336" s="132"/>
    </row>
    <row r="337" spans="1:14" s="24" customFormat="1" ht="15" x14ac:dyDescent="0.25">
      <c r="A337" s="20"/>
      <c r="B337" s="20"/>
      <c r="C337" s="21" t="s">
        <v>178</v>
      </c>
      <c r="D337" s="22">
        <f>D335</f>
        <v>3211627</v>
      </c>
      <c r="E337" s="22">
        <f t="shared" ref="E337:N337" si="65">E335</f>
        <v>0</v>
      </c>
      <c r="F337" s="22">
        <f t="shared" si="65"/>
        <v>0</v>
      </c>
      <c r="G337" s="22">
        <f t="shared" si="65"/>
        <v>21918.78</v>
      </c>
      <c r="H337" s="22">
        <f t="shared" si="65"/>
        <v>-21918.78</v>
      </c>
      <c r="I337" s="22">
        <v>46.06</v>
      </c>
      <c r="J337" s="27">
        <f>+K337-D337</f>
        <v>-51113.639999999665</v>
      </c>
      <c r="K337" s="22">
        <f t="shared" si="65"/>
        <v>3160513.3600000003</v>
      </c>
      <c r="L337" s="22">
        <f t="shared" si="65"/>
        <v>3358045.4450000003</v>
      </c>
      <c r="M337" s="134">
        <f t="shared" si="65"/>
        <v>3593108.6261499999</v>
      </c>
      <c r="N337" s="134">
        <f t="shared" si="65"/>
        <v>3844626.2299804995</v>
      </c>
    </row>
    <row r="338" spans="1:14" s="24" customFormat="1" ht="15" x14ac:dyDescent="0.25">
      <c r="A338" s="20"/>
      <c r="B338" s="20"/>
      <c r="C338" s="21"/>
      <c r="D338" s="22"/>
      <c r="E338" s="22"/>
      <c r="F338" s="22"/>
      <c r="G338" s="22"/>
      <c r="H338" s="22"/>
      <c r="I338" s="22"/>
      <c r="J338" s="27"/>
      <c r="K338" s="27"/>
      <c r="L338" s="22"/>
      <c r="M338" s="134"/>
      <c r="N338" s="132"/>
    </row>
    <row r="339" spans="1:14" s="24" customFormat="1" ht="15" x14ac:dyDescent="0.25">
      <c r="A339" s="20"/>
      <c r="B339" s="20"/>
      <c r="C339" s="21" t="s">
        <v>208</v>
      </c>
      <c r="D339" s="22"/>
      <c r="E339" s="22"/>
      <c r="F339" s="22"/>
      <c r="G339" s="22"/>
      <c r="H339" s="22"/>
      <c r="I339" s="22"/>
      <c r="J339" s="27">
        <f>+K339-D339</f>
        <v>0</v>
      </c>
      <c r="K339" s="27"/>
      <c r="L339" s="22"/>
      <c r="M339" s="134"/>
      <c r="N339" s="132"/>
    </row>
    <row r="340" spans="1:14" s="24" customFormat="1" ht="15" x14ac:dyDescent="0.25">
      <c r="A340" s="20"/>
      <c r="B340" s="20"/>
      <c r="C340" s="21"/>
      <c r="D340" s="22"/>
      <c r="E340" s="22"/>
      <c r="F340" s="22"/>
      <c r="G340" s="22"/>
      <c r="H340" s="22"/>
      <c r="I340" s="22"/>
      <c r="J340" s="27"/>
      <c r="K340" s="27"/>
      <c r="L340" s="22"/>
      <c r="M340" s="134"/>
      <c r="N340" s="132"/>
    </row>
    <row r="341" spans="1:14" s="24" customFormat="1" ht="15" x14ac:dyDescent="0.25">
      <c r="A341" s="20"/>
      <c r="B341" s="20"/>
      <c r="C341" s="21" t="s">
        <v>209</v>
      </c>
      <c r="D341" s="22"/>
      <c r="E341" s="22"/>
      <c r="F341" s="22"/>
      <c r="G341" s="22"/>
      <c r="H341" s="22"/>
      <c r="I341" s="22"/>
      <c r="J341" s="27">
        <f>+K341-D341</f>
        <v>0</v>
      </c>
      <c r="K341" s="27"/>
      <c r="L341" s="22"/>
      <c r="M341" s="134"/>
      <c r="N341" s="132"/>
    </row>
    <row r="342" spans="1:14" s="24" customFormat="1" ht="15" x14ac:dyDescent="0.25">
      <c r="A342" s="20"/>
      <c r="B342" s="20"/>
      <c r="C342" s="21"/>
      <c r="D342" s="22"/>
      <c r="E342" s="22"/>
      <c r="F342" s="22"/>
      <c r="G342" s="22"/>
      <c r="H342" s="22"/>
      <c r="I342" s="22"/>
      <c r="J342" s="27"/>
      <c r="K342" s="27"/>
      <c r="L342" s="22"/>
      <c r="M342" s="134"/>
      <c r="N342" s="132"/>
    </row>
    <row r="343" spans="1:14" x14ac:dyDescent="0.2">
      <c r="A343" s="25" t="s">
        <v>1257</v>
      </c>
      <c r="B343" s="25"/>
      <c r="C343" s="26" t="s">
        <v>215</v>
      </c>
      <c r="D343" s="27">
        <f>VLOOKUP(A343,fin,3,FALSE)</f>
        <v>46033</v>
      </c>
      <c r="E343" s="27">
        <v>0</v>
      </c>
      <c r="F343" s="27">
        <v>0</v>
      </c>
      <c r="G343" s="27">
        <v>1217.71</v>
      </c>
      <c r="H343" s="27">
        <v>-1217.71</v>
      </c>
      <c r="I343" s="27">
        <v>0</v>
      </c>
      <c r="J343" s="27">
        <f>+K343-D343</f>
        <v>-46033</v>
      </c>
      <c r="K343" s="27">
        <f>VLOOKUP(A343,fin,4,FALSE)</f>
        <v>0</v>
      </c>
      <c r="L343" s="27"/>
      <c r="M343" s="107">
        <v>0</v>
      </c>
      <c r="N343" s="133"/>
    </row>
    <row r="344" spans="1:14" x14ac:dyDescent="0.2">
      <c r="A344" s="25"/>
      <c r="B344" s="25"/>
      <c r="C344" s="26"/>
      <c r="D344" s="27"/>
      <c r="E344" s="27"/>
      <c r="F344" s="27"/>
      <c r="G344" s="27"/>
      <c r="H344" s="27"/>
      <c r="I344" s="27"/>
      <c r="J344" s="27"/>
      <c r="K344" s="27"/>
      <c r="L344" s="27"/>
      <c r="M344" s="107"/>
      <c r="N344" s="133"/>
    </row>
    <row r="345" spans="1:14" s="24" customFormat="1" ht="15" x14ac:dyDescent="0.25">
      <c r="A345" s="20"/>
      <c r="B345" s="20"/>
      <c r="C345" s="21" t="s">
        <v>217</v>
      </c>
      <c r="D345" s="22">
        <f>SUM(D343:D344)</f>
        <v>46033</v>
      </c>
      <c r="E345" s="22">
        <f>SUM(E343:E344)</f>
        <v>0</v>
      </c>
      <c r="F345" s="22">
        <f>SUM(F343:F344)</f>
        <v>0</v>
      </c>
      <c r="G345" s="22">
        <f>SUM(G343:G344)</f>
        <v>1217.71</v>
      </c>
      <c r="H345" s="22">
        <f>SUM(H343:H344)</f>
        <v>-1217.71</v>
      </c>
      <c r="I345" s="22">
        <v>0</v>
      </c>
      <c r="J345" s="27">
        <f>+K345-D345</f>
        <v>-46033</v>
      </c>
      <c r="K345" s="22">
        <f>SUM(K343:K344)</f>
        <v>0</v>
      </c>
      <c r="L345" s="22">
        <f>SUM(L343:L344)</f>
        <v>0</v>
      </c>
      <c r="M345" s="134">
        <f>SUM(M343:M344)</f>
        <v>0</v>
      </c>
      <c r="N345" s="134">
        <f>SUM(N343:N344)</f>
        <v>0</v>
      </c>
    </row>
    <row r="346" spans="1:14" s="24" customFormat="1" ht="15" x14ac:dyDescent="0.25">
      <c r="A346" s="20"/>
      <c r="B346" s="20"/>
      <c r="C346" s="21"/>
      <c r="D346" s="22"/>
      <c r="E346" s="22"/>
      <c r="F346" s="22"/>
      <c r="G346" s="22"/>
      <c r="H346" s="22"/>
      <c r="I346" s="22"/>
      <c r="J346" s="27"/>
      <c r="K346" s="27"/>
      <c r="L346" s="22"/>
      <c r="M346" s="134"/>
      <c r="N346" s="132"/>
    </row>
    <row r="347" spans="1:14" s="24" customFormat="1" ht="15" x14ac:dyDescent="0.25">
      <c r="A347" s="20"/>
      <c r="B347" s="20"/>
      <c r="C347" s="21" t="s">
        <v>218</v>
      </c>
      <c r="D347" s="22"/>
      <c r="E347" s="22"/>
      <c r="F347" s="22"/>
      <c r="G347" s="22"/>
      <c r="H347" s="22"/>
      <c r="I347" s="22"/>
      <c r="J347" s="27">
        <f>+K347-D347</f>
        <v>0</v>
      </c>
      <c r="K347" s="27"/>
      <c r="L347" s="22"/>
      <c r="M347" s="134"/>
      <c r="N347" s="132"/>
    </row>
    <row r="348" spans="1:14" s="24" customFormat="1" ht="15" x14ac:dyDescent="0.25">
      <c r="A348" s="20"/>
      <c r="B348" s="20"/>
      <c r="C348" s="21" t="s">
        <v>228</v>
      </c>
      <c r="D348" s="22"/>
      <c r="E348" s="22"/>
      <c r="F348" s="22"/>
      <c r="G348" s="22"/>
      <c r="H348" s="22"/>
      <c r="I348" s="22"/>
      <c r="J348" s="27">
        <f>+K348-D348</f>
        <v>0</v>
      </c>
      <c r="K348" s="27"/>
      <c r="L348" s="22"/>
      <c r="M348" s="134"/>
      <c r="N348" s="132"/>
    </row>
    <row r="349" spans="1:14" x14ac:dyDescent="0.2">
      <c r="A349" s="25"/>
      <c r="B349" s="25"/>
      <c r="C349" s="26"/>
      <c r="D349" s="27"/>
      <c r="E349" s="27"/>
      <c r="F349" s="27"/>
      <c r="G349" s="27"/>
      <c r="H349" s="27"/>
      <c r="I349" s="27"/>
      <c r="J349" s="27"/>
      <c r="K349" s="27"/>
      <c r="L349" s="27"/>
      <c r="M349" s="107"/>
      <c r="N349" s="133"/>
    </row>
    <row r="350" spans="1:14" x14ac:dyDescent="0.2">
      <c r="A350" s="25" t="s">
        <v>1258</v>
      </c>
      <c r="B350" s="25"/>
      <c r="C350" s="26" t="s">
        <v>236</v>
      </c>
      <c r="D350" s="27">
        <f>VLOOKUP(A350,fin,3,FALSE)</f>
        <v>636000</v>
      </c>
      <c r="E350" s="27">
        <v>0</v>
      </c>
      <c r="F350" s="27">
        <v>0</v>
      </c>
      <c r="G350" s="27">
        <v>1217.71</v>
      </c>
      <c r="H350" s="27">
        <v>-1217.71</v>
      </c>
      <c r="I350" s="27">
        <v>0</v>
      </c>
      <c r="J350" s="27">
        <f>+K350-D350</f>
        <v>0</v>
      </c>
      <c r="K350" s="27">
        <f>VLOOKUP(A350,fin,4,FALSE)</f>
        <v>636000</v>
      </c>
      <c r="L350" s="27">
        <f>K350*4.5/100+K350</f>
        <v>664620</v>
      </c>
      <c r="M350" s="107">
        <f>L350*4.6/100+L350</f>
        <v>695192.52</v>
      </c>
      <c r="N350" s="133">
        <f>M350*4.6/100+M350</f>
        <v>727171.37592000002</v>
      </c>
    </row>
    <row r="351" spans="1:14" x14ac:dyDescent="0.2">
      <c r="A351" s="25"/>
      <c r="B351" s="25"/>
      <c r="C351" s="26"/>
      <c r="D351" s="27"/>
      <c r="E351" s="27"/>
      <c r="F351" s="27"/>
      <c r="G351" s="27"/>
      <c r="H351" s="27"/>
      <c r="I351" s="27"/>
      <c r="J351" s="27"/>
      <c r="K351" s="27"/>
      <c r="L351" s="27"/>
      <c r="M351" s="107"/>
      <c r="N351" s="133"/>
    </row>
    <row r="352" spans="1:14" s="24" customFormat="1" ht="15" x14ac:dyDescent="0.25">
      <c r="A352" s="20"/>
      <c r="B352" s="20"/>
      <c r="C352" s="21" t="s">
        <v>239</v>
      </c>
      <c r="D352" s="22">
        <f>SUM(D350:D351)</f>
        <v>636000</v>
      </c>
      <c r="E352" s="22">
        <f>SUM(E350:E351)</f>
        <v>0</v>
      </c>
      <c r="F352" s="22">
        <f>SUM(F350:F351)</f>
        <v>0</v>
      </c>
      <c r="G352" s="22">
        <f>SUM(G350:G351)</f>
        <v>1217.71</v>
      </c>
      <c r="H352" s="22">
        <f>SUM(H350:H351)</f>
        <v>-1217.71</v>
      </c>
      <c r="I352" s="22">
        <v>8.48</v>
      </c>
      <c r="J352" s="27">
        <f>+K352-D352</f>
        <v>0</v>
      </c>
      <c r="K352" s="22">
        <f>SUM(K350:K351)</f>
        <v>636000</v>
      </c>
      <c r="L352" s="22">
        <f>SUM(L350:L351)</f>
        <v>664620</v>
      </c>
      <c r="M352" s="134">
        <f>SUM(M350:M351)</f>
        <v>695192.52</v>
      </c>
      <c r="N352" s="134">
        <f>SUM(N350:N351)</f>
        <v>727171.37592000002</v>
      </c>
    </row>
    <row r="353" spans="1:14" s="24" customFormat="1" ht="15" x14ac:dyDescent="0.25">
      <c r="A353" s="20"/>
      <c r="B353" s="20"/>
      <c r="C353" s="21"/>
      <c r="D353" s="22"/>
      <c r="E353" s="22"/>
      <c r="F353" s="22"/>
      <c r="G353" s="22"/>
      <c r="H353" s="22"/>
      <c r="I353" s="22"/>
      <c r="J353" s="27"/>
      <c r="K353" s="27"/>
      <c r="L353" s="22"/>
      <c r="M353" s="134"/>
      <c r="N353" s="132"/>
    </row>
    <row r="354" spans="1:14" s="24" customFormat="1" ht="15" x14ac:dyDescent="0.25">
      <c r="A354" s="20"/>
      <c r="B354" s="20"/>
      <c r="C354" s="21" t="s">
        <v>240</v>
      </c>
      <c r="D354" s="22">
        <f>D345+D352</f>
        <v>682033</v>
      </c>
      <c r="E354" s="22">
        <f t="shared" ref="E354:N354" si="66">E345+E352</f>
        <v>0</v>
      </c>
      <c r="F354" s="22">
        <f t="shared" si="66"/>
        <v>0</v>
      </c>
      <c r="G354" s="22">
        <f t="shared" si="66"/>
        <v>2435.42</v>
      </c>
      <c r="H354" s="22">
        <f t="shared" si="66"/>
        <v>-2435.42</v>
      </c>
      <c r="I354" s="22">
        <v>7.91</v>
      </c>
      <c r="J354" s="27">
        <f>+K354-D354</f>
        <v>-46033</v>
      </c>
      <c r="K354" s="22">
        <f t="shared" si="66"/>
        <v>636000</v>
      </c>
      <c r="L354" s="22">
        <f t="shared" si="66"/>
        <v>664620</v>
      </c>
      <c r="M354" s="134">
        <f t="shared" si="66"/>
        <v>695192.52</v>
      </c>
      <c r="N354" s="134">
        <f t="shared" si="66"/>
        <v>727171.37592000002</v>
      </c>
    </row>
    <row r="355" spans="1:14" s="24" customFormat="1" ht="15" x14ac:dyDescent="0.25">
      <c r="A355" s="20"/>
      <c r="B355" s="20"/>
      <c r="C355" s="21"/>
      <c r="D355" s="22"/>
      <c r="E355" s="22"/>
      <c r="F355" s="22"/>
      <c r="G355" s="22"/>
      <c r="H355" s="22"/>
      <c r="I355" s="22"/>
      <c r="J355" s="27"/>
      <c r="K355" s="27"/>
      <c r="L355" s="22"/>
      <c r="M355" s="134"/>
      <c r="N355" s="132"/>
    </row>
    <row r="356" spans="1:14" s="24" customFormat="1" ht="15" x14ac:dyDescent="0.25">
      <c r="A356" s="20"/>
      <c r="B356" s="20"/>
      <c r="C356" s="21" t="s">
        <v>241</v>
      </c>
      <c r="D356" s="22"/>
      <c r="E356" s="22"/>
      <c r="F356" s="22"/>
      <c r="G356" s="22"/>
      <c r="H356" s="22"/>
      <c r="I356" s="22"/>
      <c r="J356" s="27">
        <f>+K356-D356</f>
        <v>0</v>
      </c>
      <c r="K356" s="27"/>
      <c r="L356" s="22"/>
      <c r="M356" s="134"/>
      <c r="N356" s="132"/>
    </row>
    <row r="357" spans="1:14" x14ac:dyDescent="0.2">
      <c r="A357" s="25"/>
      <c r="B357" s="25"/>
      <c r="C357" s="26"/>
      <c r="D357" s="27"/>
      <c r="E357" s="27"/>
      <c r="F357" s="27"/>
      <c r="G357" s="27"/>
      <c r="H357" s="27"/>
      <c r="I357" s="27"/>
      <c r="J357" s="27"/>
      <c r="K357" s="27"/>
      <c r="L357" s="27"/>
      <c r="M357" s="107"/>
      <c r="N357" s="133"/>
    </row>
    <row r="358" spans="1:14" x14ac:dyDescent="0.2">
      <c r="A358" s="25" t="s">
        <v>1259</v>
      </c>
      <c r="B358" s="25"/>
      <c r="C358" s="26" t="s">
        <v>265</v>
      </c>
      <c r="D358" s="27">
        <f>VLOOKUP(A358,fin,3,FALSE)</f>
        <v>33129</v>
      </c>
      <c r="E358" s="27">
        <v>0</v>
      </c>
      <c r="F358" s="27">
        <v>0</v>
      </c>
      <c r="G358" s="27">
        <v>1217.71</v>
      </c>
      <c r="H358" s="27">
        <v>-1217.71</v>
      </c>
      <c r="I358" s="27">
        <v>0</v>
      </c>
      <c r="J358" s="27">
        <f>+K358-D358</f>
        <v>0</v>
      </c>
      <c r="K358" s="27">
        <f>VLOOKUP(A358,fin,4,FALSE)</f>
        <v>33129</v>
      </c>
      <c r="L358" s="27">
        <f>K358*4.5/100+K358</f>
        <v>34619.805</v>
      </c>
      <c r="M358" s="107">
        <f>L358*4.6/100+L358</f>
        <v>36212.316030000002</v>
      </c>
      <c r="N358" s="133">
        <f>M358*4.6/100+M358</f>
        <v>37878.082567379999</v>
      </c>
    </row>
    <row r="359" spans="1:14" x14ac:dyDescent="0.2">
      <c r="A359" s="25" t="s">
        <v>1260</v>
      </c>
      <c r="B359" s="25"/>
      <c r="C359" s="26" t="s">
        <v>268</v>
      </c>
      <c r="D359" s="27">
        <f>VLOOKUP(A359,fin,3,FALSE)</f>
        <v>76213</v>
      </c>
      <c r="E359" s="27">
        <v>0</v>
      </c>
      <c r="F359" s="27">
        <v>0</v>
      </c>
      <c r="G359" s="27">
        <v>1217.71</v>
      </c>
      <c r="H359" s="27">
        <v>-1217.71</v>
      </c>
      <c r="I359" s="27">
        <v>0</v>
      </c>
      <c r="J359" s="27">
        <f>+K359-D359</f>
        <v>0</v>
      </c>
      <c r="K359" s="27">
        <f>VLOOKUP(A359,fin,4,FALSE)</f>
        <v>76213</v>
      </c>
      <c r="L359" s="27">
        <f>K359*4.5/100+K359</f>
        <v>79642.585000000006</v>
      </c>
      <c r="M359" s="107">
        <f>L359*4.6/100+L359</f>
        <v>83306.143910000013</v>
      </c>
      <c r="N359" s="133">
        <f>M359*4.6/100+M359</f>
        <v>87138.22652986001</v>
      </c>
    </row>
    <row r="360" spans="1:14" x14ac:dyDescent="0.2">
      <c r="A360" s="25" t="s">
        <v>1261</v>
      </c>
      <c r="B360" s="25"/>
      <c r="C360" s="26" t="s">
        <v>273</v>
      </c>
      <c r="D360" s="27">
        <f>VLOOKUP(A360,fin,3,FALSE)</f>
        <v>4355626</v>
      </c>
      <c r="E360" s="27">
        <v>0</v>
      </c>
      <c r="F360" s="27">
        <v>0</v>
      </c>
      <c r="G360" s="27">
        <v>1217.71</v>
      </c>
      <c r="H360" s="27">
        <v>-1217.71</v>
      </c>
      <c r="I360" s="27">
        <v>0</v>
      </c>
      <c r="J360" s="27">
        <f>+K360-D360</f>
        <v>344539</v>
      </c>
      <c r="K360" s="27">
        <f>VLOOKUP(A360,fin,4,FALSE)</f>
        <v>4700165</v>
      </c>
      <c r="L360" s="27">
        <f>K360*8.1/100+K360</f>
        <v>5080878.3650000002</v>
      </c>
      <c r="M360" s="107">
        <f>L360*5.2/100+L360</f>
        <v>5345084.0399799999</v>
      </c>
      <c r="N360" s="133">
        <f>M360*8.9/100+M360</f>
        <v>5820796.51953822</v>
      </c>
    </row>
    <row r="361" spans="1:14" x14ac:dyDescent="0.2">
      <c r="A361" s="25"/>
      <c r="B361" s="25"/>
      <c r="C361" s="26"/>
      <c r="D361" s="27"/>
      <c r="E361" s="27"/>
      <c r="F361" s="27"/>
      <c r="G361" s="27"/>
      <c r="H361" s="27"/>
      <c r="I361" s="27"/>
      <c r="J361" s="27"/>
      <c r="K361" s="27"/>
      <c r="L361" s="27"/>
      <c r="M361" s="107"/>
      <c r="N361" s="133"/>
    </row>
    <row r="362" spans="1:14" s="24" customFormat="1" ht="15" x14ac:dyDescent="0.25">
      <c r="A362" s="20"/>
      <c r="B362" s="20"/>
      <c r="C362" s="21" t="s">
        <v>274</v>
      </c>
      <c r="D362" s="22">
        <f>SUM(D358:D361)</f>
        <v>4464968</v>
      </c>
      <c r="E362" s="22">
        <f>SUM(E358:E361)</f>
        <v>0</v>
      </c>
      <c r="F362" s="22">
        <f>SUM(F358:F361)</f>
        <v>0</v>
      </c>
      <c r="G362" s="22">
        <f>SUM(G358:G361)</f>
        <v>3653.13</v>
      </c>
      <c r="H362" s="22">
        <f>SUM(H358:H361)</f>
        <v>-3653.13</v>
      </c>
      <c r="I362" s="22">
        <v>49.2</v>
      </c>
      <c r="J362" s="27">
        <f>+K362-D362</f>
        <v>344539</v>
      </c>
      <c r="K362" s="22">
        <f>SUM(K358:K361)</f>
        <v>4809507</v>
      </c>
      <c r="L362" s="22">
        <f>SUM(L358:L361)</f>
        <v>5195140.7549999999</v>
      </c>
      <c r="M362" s="134">
        <f>SUM(M358:M361)</f>
        <v>5464602.4999200003</v>
      </c>
      <c r="N362" s="134">
        <f>SUM(N358:N361)</f>
        <v>5945812.8286354598</v>
      </c>
    </row>
    <row r="363" spans="1:14" s="24" customFormat="1" ht="15" x14ac:dyDescent="0.25">
      <c r="A363" s="20"/>
      <c r="B363" s="20"/>
      <c r="C363" s="21"/>
      <c r="D363" s="22"/>
      <c r="E363" s="22"/>
      <c r="F363" s="22"/>
      <c r="G363" s="22"/>
      <c r="H363" s="22"/>
      <c r="I363" s="22"/>
      <c r="J363" s="27"/>
      <c r="K363" s="27"/>
      <c r="L363" s="22"/>
      <c r="M363" s="134"/>
      <c r="N363" s="132"/>
    </row>
    <row r="364" spans="1:14" s="24" customFormat="1" ht="15" x14ac:dyDescent="0.25">
      <c r="A364" s="20"/>
      <c r="B364" s="20"/>
      <c r="C364" s="21" t="s">
        <v>280</v>
      </c>
      <c r="D364" s="22"/>
      <c r="E364" s="22"/>
      <c r="F364" s="22"/>
      <c r="G364" s="22"/>
      <c r="H364" s="22"/>
      <c r="I364" s="22"/>
      <c r="J364" s="27">
        <f>+K364-D364</f>
        <v>0</v>
      </c>
      <c r="K364" s="27"/>
      <c r="L364" s="22"/>
      <c r="M364" s="134"/>
      <c r="N364" s="132"/>
    </row>
    <row r="365" spans="1:14" x14ac:dyDescent="0.2">
      <c r="A365" s="25"/>
      <c r="B365" s="25"/>
      <c r="C365" s="26"/>
      <c r="D365" s="27"/>
      <c r="E365" s="27"/>
      <c r="F365" s="27"/>
      <c r="G365" s="27"/>
      <c r="H365" s="27"/>
      <c r="I365" s="27"/>
      <c r="J365" s="27"/>
      <c r="K365" s="27"/>
      <c r="L365" s="27"/>
      <c r="M365" s="107"/>
      <c r="N365" s="133"/>
    </row>
    <row r="366" spans="1:14" x14ac:dyDescent="0.2">
      <c r="A366" s="25" t="s">
        <v>1262</v>
      </c>
      <c r="B366" s="25"/>
      <c r="C366" s="26" t="s">
        <v>281</v>
      </c>
      <c r="D366" s="27">
        <f>VLOOKUP(A366,fin,3,FALSE)</f>
        <v>8268000</v>
      </c>
      <c r="E366" s="27">
        <v>0</v>
      </c>
      <c r="F366" s="27">
        <v>0</v>
      </c>
      <c r="G366" s="27">
        <v>1217.71</v>
      </c>
      <c r="H366" s="27">
        <v>-1217.71</v>
      </c>
      <c r="I366" s="27">
        <v>0</v>
      </c>
      <c r="J366" s="27">
        <f>+K366-D366</f>
        <v>0</v>
      </c>
      <c r="K366" s="27">
        <f>VLOOKUP(A366,fin,4,FALSE)</f>
        <v>8268000</v>
      </c>
      <c r="L366" s="27">
        <f>K366*8.1/100+K366</f>
        <v>8937708</v>
      </c>
      <c r="M366" s="107">
        <f>L366*5.2/100+L366</f>
        <v>9402468.8159999996</v>
      </c>
      <c r="N366" s="133">
        <f>M366*8.9/100+M366</f>
        <v>10239288.540624</v>
      </c>
    </row>
    <row r="367" spans="1:14" x14ac:dyDescent="0.2">
      <c r="A367" s="25"/>
      <c r="B367" s="25"/>
      <c r="C367" s="26"/>
      <c r="D367" s="27"/>
      <c r="E367" s="27"/>
      <c r="F367" s="27"/>
      <c r="G367" s="27"/>
      <c r="H367" s="27"/>
      <c r="I367" s="27"/>
      <c r="J367" s="27"/>
      <c r="K367" s="27"/>
      <c r="L367" s="27"/>
      <c r="M367" s="107"/>
      <c r="N367" s="133"/>
    </row>
    <row r="368" spans="1:14" s="24" customFormat="1" ht="15" x14ac:dyDescent="0.25">
      <c r="A368" s="20"/>
      <c r="B368" s="20"/>
      <c r="C368" s="21" t="s">
        <v>282</v>
      </c>
      <c r="D368" s="22">
        <f>SUM(D366:D367)</f>
        <v>8268000</v>
      </c>
      <c r="E368" s="22">
        <f>SUM(E366:E367)</f>
        <v>0</v>
      </c>
      <c r="F368" s="22">
        <f>SUM(F366:F367)</f>
        <v>0</v>
      </c>
      <c r="G368" s="22">
        <f>SUM(G366:G367)</f>
        <v>1217.71</v>
      </c>
      <c r="H368" s="22">
        <f>SUM(H366:H367)</f>
        <v>-1217.71</v>
      </c>
      <c r="I368" s="22">
        <v>86.53</v>
      </c>
      <c r="J368" s="27">
        <f>+K368-D368</f>
        <v>0</v>
      </c>
      <c r="K368" s="22">
        <f>SUM(K366:K367)</f>
        <v>8268000</v>
      </c>
      <c r="L368" s="22">
        <f>SUM(L366:L367)</f>
        <v>8937708</v>
      </c>
      <c r="M368" s="134">
        <f>SUM(M366:M367)</f>
        <v>9402468.8159999996</v>
      </c>
      <c r="N368" s="134">
        <f>SUM(N366:N367)</f>
        <v>10239288.540624</v>
      </c>
    </row>
    <row r="369" spans="1:14" x14ac:dyDescent="0.2">
      <c r="A369" s="25"/>
      <c r="B369" s="25"/>
      <c r="C369" s="26"/>
      <c r="D369" s="27"/>
      <c r="E369" s="27"/>
      <c r="F369" s="27"/>
      <c r="G369" s="27"/>
      <c r="H369" s="27"/>
      <c r="I369" s="27"/>
      <c r="J369" s="27"/>
      <c r="K369" s="27"/>
      <c r="L369" s="27"/>
      <c r="M369" s="107"/>
      <c r="N369" s="133"/>
    </row>
    <row r="370" spans="1:14" s="24" customFormat="1" ht="15" x14ac:dyDescent="0.25">
      <c r="A370" s="20"/>
      <c r="B370" s="20"/>
      <c r="C370" s="21" t="s">
        <v>290</v>
      </c>
      <c r="D370" s="22"/>
      <c r="E370" s="22"/>
      <c r="F370" s="22"/>
      <c r="G370" s="22"/>
      <c r="H370" s="22"/>
      <c r="I370" s="22"/>
      <c r="J370" s="27">
        <f>+K370-D370</f>
        <v>0</v>
      </c>
      <c r="K370" s="27"/>
      <c r="L370" s="22"/>
      <c r="M370" s="134"/>
      <c r="N370" s="132"/>
    </row>
    <row r="371" spans="1:14" x14ac:dyDescent="0.2">
      <c r="A371" s="25"/>
      <c r="B371" s="25"/>
      <c r="C371" s="26"/>
      <c r="D371" s="27"/>
      <c r="E371" s="27"/>
      <c r="F371" s="27"/>
      <c r="G371" s="27"/>
      <c r="H371" s="27"/>
      <c r="I371" s="27"/>
      <c r="J371" s="27"/>
      <c r="K371" s="27"/>
      <c r="L371" s="27"/>
      <c r="M371" s="107"/>
      <c r="N371" s="133"/>
    </row>
    <row r="372" spans="1:14" x14ac:dyDescent="0.2">
      <c r="A372" s="25" t="s">
        <v>1263</v>
      </c>
      <c r="B372" s="25"/>
      <c r="C372" s="26" t="s">
        <v>292</v>
      </c>
      <c r="D372" s="27">
        <f>VLOOKUP(A372,fin,3,FALSE)</f>
        <v>3371</v>
      </c>
      <c r="E372" s="27">
        <v>0</v>
      </c>
      <c r="F372" s="27">
        <v>0</v>
      </c>
      <c r="G372" s="27">
        <v>1217.71</v>
      </c>
      <c r="H372" s="27">
        <v>-1217.71</v>
      </c>
      <c r="I372" s="27">
        <v>0</v>
      </c>
      <c r="J372" s="27">
        <f>+K372-D372</f>
        <v>0</v>
      </c>
      <c r="K372" s="27">
        <f>VLOOKUP(A372,fin,4,FALSE)</f>
        <v>3371</v>
      </c>
      <c r="L372" s="27">
        <f>K372*4.5/100+K372</f>
        <v>3522.6950000000002</v>
      </c>
      <c r="M372" s="107">
        <f>L372*4.6/100+L372</f>
        <v>3684.7389700000003</v>
      </c>
      <c r="N372" s="133">
        <f>M372*4.6/100+M372</f>
        <v>3854.2369626200002</v>
      </c>
    </row>
    <row r="373" spans="1:14" x14ac:dyDescent="0.2">
      <c r="A373" s="25" t="s">
        <v>1264</v>
      </c>
      <c r="B373" s="25"/>
      <c r="C373" s="26" t="s">
        <v>293</v>
      </c>
      <c r="D373" s="27">
        <f>VLOOKUP(A373,fin,3,FALSE)</f>
        <v>5077</v>
      </c>
      <c r="E373" s="27">
        <v>0</v>
      </c>
      <c r="F373" s="27">
        <v>0</v>
      </c>
      <c r="G373" s="27">
        <v>1217.71</v>
      </c>
      <c r="H373" s="27">
        <v>-1217.71</v>
      </c>
      <c r="I373" s="27">
        <v>0</v>
      </c>
      <c r="J373" s="27">
        <f>+K373-D373</f>
        <v>0</v>
      </c>
      <c r="K373" s="27">
        <f>VLOOKUP(A373,fin,4,FALSE)</f>
        <v>5077</v>
      </c>
      <c r="L373" s="27">
        <f>K373*4.5/100+K373</f>
        <v>5305.4650000000001</v>
      </c>
      <c r="M373" s="107">
        <f t="shared" ref="M373:N376" si="67">L373*4.6/100+L373</f>
        <v>5549.5163899999998</v>
      </c>
      <c r="N373" s="133">
        <f t="shared" si="67"/>
        <v>5804.7941439400001</v>
      </c>
    </row>
    <row r="374" spans="1:14" x14ac:dyDescent="0.2">
      <c r="A374" s="25" t="s">
        <v>1265</v>
      </c>
      <c r="B374" s="25"/>
      <c r="C374" s="26" t="s">
        <v>294</v>
      </c>
      <c r="D374" s="27">
        <f>VLOOKUP(A374,fin,3,FALSE)</f>
        <v>526309</v>
      </c>
      <c r="E374" s="27">
        <v>0</v>
      </c>
      <c r="F374" s="27">
        <v>0</v>
      </c>
      <c r="G374" s="27">
        <v>1217.71</v>
      </c>
      <c r="H374" s="27">
        <v>-1217.71</v>
      </c>
      <c r="I374" s="27">
        <v>0</v>
      </c>
      <c r="J374" s="27">
        <f>+K374-D374</f>
        <v>0</v>
      </c>
      <c r="K374" s="27">
        <f>VLOOKUP(A374,fin,4,FALSE)</f>
        <v>526309</v>
      </c>
      <c r="L374" s="27">
        <f>K374*4.5/100+K374</f>
        <v>549992.90500000003</v>
      </c>
      <c r="M374" s="107">
        <f t="shared" si="67"/>
        <v>575292.57863</v>
      </c>
      <c r="N374" s="133">
        <f t="shared" si="67"/>
        <v>601756.03724698001</v>
      </c>
    </row>
    <row r="375" spans="1:14" x14ac:dyDescent="0.2">
      <c r="A375" s="25" t="s">
        <v>1266</v>
      </c>
      <c r="B375" s="25"/>
      <c r="C375" s="26" t="s">
        <v>296</v>
      </c>
      <c r="D375" s="27">
        <f>VLOOKUP(A375,fin,3,FALSE)</f>
        <v>25648</v>
      </c>
      <c r="E375" s="27">
        <v>0</v>
      </c>
      <c r="F375" s="27">
        <v>0</v>
      </c>
      <c r="G375" s="27">
        <v>1217.71</v>
      </c>
      <c r="H375" s="27">
        <v>-1217.71</v>
      </c>
      <c r="I375" s="27">
        <v>0</v>
      </c>
      <c r="J375" s="27">
        <f>+K375-D375</f>
        <v>0</v>
      </c>
      <c r="K375" s="27">
        <f>VLOOKUP(A375,fin,4,FALSE)</f>
        <v>25648</v>
      </c>
      <c r="L375" s="27">
        <f>K375*4.5/100+K375</f>
        <v>26802.16</v>
      </c>
      <c r="M375" s="107">
        <f t="shared" si="67"/>
        <v>28035.059359999999</v>
      </c>
      <c r="N375" s="133">
        <f t="shared" si="67"/>
        <v>29324.672090559998</v>
      </c>
    </row>
    <row r="376" spans="1:14" x14ac:dyDescent="0.2">
      <c r="A376" s="25" t="s">
        <v>1267</v>
      </c>
      <c r="B376" s="25"/>
      <c r="C376" s="26" t="s">
        <v>297</v>
      </c>
      <c r="D376" s="27">
        <f>VLOOKUP(A376,fin,3,FALSE)</f>
        <v>116115</v>
      </c>
      <c r="E376" s="27">
        <v>0</v>
      </c>
      <c r="F376" s="27">
        <v>0</v>
      </c>
      <c r="G376" s="27">
        <v>1217.71</v>
      </c>
      <c r="H376" s="27">
        <v>-1217.71</v>
      </c>
      <c r="I376" s="27">
        <v>0</v>
      </c>
      <c r="J376" s="27">
        <f>+K376-D376</f>
        <v>0</v>
      </c>
      <c r="K376" s="27">
        <f>VLOOKUP(A376,fin,4,FALSE)</f>
        <v>116115</v>
      </c>
      <c r="L376" s="27">
        <f>K376*4.5/100+K376</f>
        <v>121340.175</v>
      </c>
      <c r="M376" s="107">
        <f t="shared" si="67"/>
        <v>126921.82305000001</v>
      </c>
      <c r="N376" s="133">
        <f t="shared" si="67"/>
        <v>132760.2269103</v>
      </c>
    </row>
    <row r="377" spans="1:14" x14ac:dyDescent="0.2">
      <c r="A377" s="25"/>
      <c r="B377" s="25"/>
      <c r="C377" s="26"/>
      <c r="D377" s="27"/>
      <c r="E377" s="27"/>
      <c r="F377" s="27"/>
      <c r="G377" s="27"/>
      <c r="H377" s="27"/>
      <c r="I377" s="27"/>
      <c r="J377" s="27"/>
      <c r="K377" s="27"/>
      <c r="L377" s="27"/>
      <c r="M377" s="107"/>
      <c r="N377" s="133"/>
    </row>
    <row r="378" spans="1:14" s="24" customFormat="1" ht="15" x14ac:dyDescent="0.25">
      <c r="A378" s="20"/>
      <c r="B378" s="20"/>
      <c r="C378" s="21" t="s">
        <v>304</v>
      </c>
      <c r="D378" s="22">
        <f>SUM(D372:D377)</f>
        <v>676520</v>
      </c>
      <c r="E378" s="22">
        <f>SUM(E372:E377)</f>
        <v>0</v>
      </c>
      <c r="F378" s="22">
        <f>SUM(F372:F377)</f>
        <v>0</v>
      </c>
      <c r="G378" s="22">
        <f>SUM(G372:G377)</f>
        <v>6088.55</v>
      </c>
      <c r="H378" s="22">
        <f>SUM(H372:H377)</f>
        <v>-6088.55</v>
      </c>
      <c r="I378" s="22">
        <v>50.03</v>
      </c>
      <c r="J378" s="27">
        <f>+K378-D378</f>
        <v>0</v>
      </c>
      <c r="K378" s="22">
        <f>SUM(K372:K377)</f>
        <v>676520</v>
      </c>
      <c r="L378" s="22">
        <f>SUM(L372:L377)</f>
        <v>706963.40000000014</v>
      </c>
      <c r="M378" s="134">
        <f>SUM(M372:M377)</f>
        <v>739483.71639999992</v>
      </c>
      <c r="N378" s="134">
        <f>SUM(N372:N377)</f>
        <v>773499.96735439997</v>
      </c>
    </row>
    <row r="379" spans="1:14" s="24" customFormat="1" ht="15" x14ac:dyDescent="0.25">
      <c r="A379" s="20"/>
      <c r="B379" s="20"/>
      <c r="C379" s="21"/>
      <c r="D379" s="22"/>
      <c r="E379" s="22"/>
      <c r="F379" s="22"/>
      <c r="G379" s="22"/>
      <c r="H379" s="22"/>
      <c r="I379" s="22"/>
      <c r="J379" s="27"/>
      <c r="K379" s="27"/>
      <c r="L379" s="22"/>
      <c r="M379" s="134"/>
      <c r="N379" s="132"/>
    </row>
    <row r="380" spans="1:14" s="24" customFormat="1" ht="15" x14ac:dyDescent="0.25">
      <c r="A380" s="20"/>
      <c r="B380" s="20"/>
      <c r="C380" s="21" t="s">
        <v>305</v>
      </c>
      <c r="D380" s="22">
        <f>D337+D354+D362+D368+D378</f>
        <v>17303148</v>
      </c>
      <c r="E380" s="22">
        <f t="shared" ref="E380:N380" si="68">E337+E354+E362+E368+E378</f>
        <v>0</v>
      </c>
      <c r="F380" s="22">
        <f t="shared" si="68"/>
        <v>0</v>
      </c>
      <c r="G380" s="22">
        <f t="shared" si="68"/>
        <v>35313.589999999997</v>
      </c>
      <c r="H380" s="22">
        <f t="shared" si="68"/>
        <v>-35313.589999999997</v>
      </c>
      <c r="I380" s="22">
        <v>64.86</v>
      </c>
      <c r="J380" s="27">
        <f>+K380-D380</f>
        <v>247392.3599999994</v>
      </c>
      <c r="K380" s="22">
        <f t="shared" si="68"/>
        <v>17550540.359999999</v>
      </c>
      <c r="L380" s="22">
        <f t="shared" si="68"/>
        <v>18862477.599999998</v>
      </c>
      <c r="M380" s="134">
        <f t="shared" si="68"/>
        <v>19894856.178470001</v>
      </c>
      <c r="N380" s="134">
        <f t="shared" si="68"/>
        <v>21530398.942514356</v>
      </c>
    </row>
    <row r="381" spans="1:14" s="24" customFormat="1" ht="15" x14ac:dyDescent="0.25">
      <c r="A381" s="20"/>
      <c r="B381" s="20"/>
      <c r="C381" s="21"/>
      <c r="D381" s="22"/>
      <c r="E381" s="22"/>
      <c r="F381" s="22"/>
      <c r="G381" s="22"/>
      <c r="H381" s="22"/>
      <c r="I381" s="22"/>
      <c r="J381" s="27"/>
      <c r="K381" s="27"/>
      <c r="L381" s="22"/>
      <c r="M381" s="134"/>
      <c r="N381" s="132"/>
    </row>
    <row r="382" spans="1:14" s="24" customFormat="1" ht="15" x14ac:dyDescent="0.25">
      <c r="A382" s="20"/>
      <c r="B382" s="20"/>
      <c r="C382" s="21" t="s">
        <v>306</v>
      </c>
      <c r="D382" s="22">
        <f>D297+D380</f>
        <v>7552587</v>
      </c>
      <c r="E382" s="22">
        <f t="shared" ref="E382:N382" si="69">E297+E380</f>
        <v>-574110.90999999992</v>
      </c>
      <c r="F382" s="22">
        <f t="shared" si="69"/>
        <v>0</v>
      </c>
      <c r="G382" s="22">
        <f t="shared" si="69"/>
        <v>-3847269.27</v>
      </c>
      <c r="H382" s="22">
        <f t="shared" si="69"/>
        <v>-5903291.7300000004</v>
      </c>
      <c r="I382" s="22">
        <v>97.19</v>
      </c>
      <c r="J382" s="27">
        <f>+K382-D382</f>
        <v>277927.3599999994</v>
      </c>
      <c r="K382" s="22">
        <f t="shared" si="69"/>
        <v>7830514.3599999994</v>
      </c>
      <c r="L382" s="22">
        <f t="shared" si="69"/>
        <v>-7677237.6060000025</v>
      </c>
      <c r="M382" s="134">
        <f t="shared" si="69"/>
        <v>2806493.1739580035</v>
      </c>
      <c r="N382" s="134">
        <f t="shared" si="69"/>
        <v>2455483.3257737868</v>
      </c>
    </row>
    <row r="383" spans="1:14" x14ac:dyDescent="0.2">
      <c r="A383" s="25"/>
      <c r="B383" s="25"/>
      <c r="C383" s="26"/>
      <c r="D383" s="27"/>
      <c r="E383" s="27"/>
      <c r="F383" s="27"/>
      <c r="G383" s="27"/>
      <c r="H383" s="27"/>
      <c r="I383" s="27"/>
      <c r="J383" s="27"/>
      <c r="K383" s="27"/>
      <c r="L383" s="27"/>
      <c r="M383" s="107"/>
      <c r="N383" s="133"/>
    </row>
    <row r="384" spans="1:14" s="24" customFormat="1" ht="15" x14ac:dyDescent="0.25">
      <c r="A384" s="20"/>
      <c r="B384" s="20"/>
      <c r="C384" s="21" t="s">
        <v>308</v>
      </c>
      <c r="D384" s="22"/>
      <c r="E384" s="22"/>
      <c r="F384" s="22"/>
      <c r="G384" s="22"/>
      <c r="H384" s="22"/>
      <c r="I384" s="22"/>
      <c r="J384" s="27">
        <f>+K384-D384</f>
        <v>0</v>
      </c>
      <c r="K384" s="27"/>
      <c r="L384" s="22"/>
      <c r="M384" s="134"/>
      <c r="N384" s="132"/>
    </row>
    <row r="385" spans="1:14" x14ac:dyDescent="0.2">
      <c r="A385" s="25"/>
      <c r="B385" s="25"/>
      <c r="C385" s="26"/>
      <c r="D385" s="27"/>
      <c r="E385" s="27"/>
      <c r="F385" s="27"/>
      <c r="G385" s="27"/>
      <c r="H385" s="27"/>
      <c r="I385" s="27"/>
      <c r="J385" s="27"/>
      <c r="K385" s="27"/>
      <c r="L385" s="27"/>
      <c r="M385" s="107"/>
      <c r="N385" s="133"/>
    </row>
    <row r="386" spans="1:14" x14ac:dyDescent="0.2">
      <c r="A386" s="25" t="s">
        <v>1268</v>
      </c>
      <c r="B386" s="25" t="s">
        <v>3036</v>
      </c>
      <c r="C386" s="26" t="s">
        <v>1269</v>
      </c>
      <c r="D386" s="27">
        <f>VLOOKUP(A386,fin,3,FALSE)</f>
        <v>2000000</v>
      </c>
      <c r="E386" s="27">
        <v>0</v>
      </c>
      <c r="F386" s="27">
        <v>0</v>
      </c>
      <c r="G386" s="27">
        <v>1217.71</v>
      </c>
      <c r="H386" s="27">
        <v>-1217.71</v>
      </c>
      <c r="I386" s="27">
        <v>0</v>
      </c>
      <c r="J386" s="27">
        <f>+K386-D386</f>
        <v>-787662.5</v>
      </c>
      <c r="K386" s="27">
        <f>VLOOKUP(A386,fin,4,FALSE)</f>
        <v>1212337.5</v>
      </c>
      <c r="L386" s="27">
        <v>1200000</v>
      </c>
      <c r="M386" s="107">
        <v>1000000</v>
      </c>
      <c r="N386" s="133">
        <v>0</v>
      </c>
    </row>
    <row r="387" spans="1:14" x14ac:dyDescent="0.2">
      <c r="A387" s="25" t="s">
        <v>1270</v>
      </c>
      <c r="B387" s="25" t="s">
        <v>3045</v>
      </c>
      <c r="C387" s="26" t="s">
        <v>1271</v>
      </c>
      <c r="D387" s="27">
        <f>VLOOKUP(A387,fin,3,FALSE)</f>
        <v>3000000</v>
      </c>
      <c r="E387" s="27">
        <v>0</v>
      </c>
      <c r="F387" s="27">
        <v>0</v>
      </c>
      <c r="G387" s="27">
        <v>1217.71</v>
      </c>
      <c r="H387" s="27">
        <v>-1217.71</v>
      </c>
      <c r="I387" s="27">
        <v>0</v>
      </c>
      <c r="J387" s="27">
        <f>+K387-D387</f>
        <v>0</v>
      </c>
      <c r="K387" s="27">
        <f>VLOOKUP(A387,fin,4,FALSE)</f>
        <v>3000000</v>
      </c>
      <c r="L387" s="27">
        <v>1700000</v>
      </c>
      <c r="M387" s="107">
        <v>1200000</v>
      </c>
      <c r="N387" s="133">
        <v>3500000</v>
      </c>
    </row>
    <row r="388" spans="1:14" s="185" customFormat="1" x14ac:dyDescent="0.2">
      <c r="A388" s="182"/>
      <c r="B388" s="182"/>
      <c r="C388" s="183" t="s">
        <v>1271</v>
      </c>
      <c r="D388" s="184"/>
      <c r="E388" s="184"/>
      <c r="F388" s="184"/>
      <c r="G388" s="184"/>
      <c r="H388" s="184"/>
      <c r="I388" s="184"/>
      <c r="J388" s="184"/>
      <c r="K388" s="184"/>
      <c r="L388" s="184"/>
      <c r="M388" s="220"/>
      <c r="N388" s="221"/>
    </row>
    <row r="389" spans="1:14" s="185" customFormat="1" x14ac:dyDescent="0.2">
      <c r="A389" s="182"/>
      <c r="B389" s="182"/>
      <c r="C389" s="183" t="s">
        <v>3046</v>
      </c>
      <c r="D389" s="184"/>
      <c r="E389" s="184"/>
      <c r="F389" s="184"/>
      <c r="G389" s="184"/>
      <c r="H389" s="184"/>
      <c r="I389" s="184"/>
      <c r="J389" s="184"/>
      <c r="K389" s="184"/>
      <c r="L389" s="184"/>
      <c r="M389" s="220"/>
      <c r="N389" s="221"/>
    </row>
    <row r="390" spans="1:14" s="185" customFormat="1" x14ac:dyDescent="0.2">
      <c r="A390" s="182"/>
      <c r="B390" s="182"/>
      <c r="C390" s="183" t="s">
        <v>3048</v>
      </c>
      <c r="D390" s="184"/>
      <c r="E390" s="184"/>
      <c r="F390" s="184"/>
      <c r="G390" s="184"/>
      <c r="H390" s="184"/>
      <c r="I390" s="184"/>
      <c r="J390" s="184"/>
      <c r="K390" s="184"/>
      <c r="L390" s="184">
        <v>500000</v>
      </c>
      <c r="M390" s="220">
        <v>600000</v>
      </c>
      <c r="N390" s="221">
        <v>0</v>
      </c>
    </row>
    <row r="391" spans="1:14" s="185" customFormat="1" x14ac:dyDescent="0.2">
      <c r="A391" s="182"/>
      <c r="B391" s="182"/>
      <c r="C391" s="183" t="s">
        <v>3049</v>
      </c>
      <c r="D391" s="184">
        <v>0</v>
      </c>
      <c r="E391" s="184"/>
      <c r="F391" s="184"/>
      <c r="G391" s="184"/>
      <c r="H391" s="184"/>
      <c r="I391" s="184"/>
      <c r="J391" s="184"/>
      <c r="K391" s="184">
        <v>0</v>
      </c>
      <c r="L391" s="184">
        <v>0</v>
      </c>
      <c r="M391" s="220">
        <v>0</v>
      </c>
      <c r="N391" s="221">
        <v>1500000</v>
      </c>
    </row>
    <row r="392" spans="1:14" s="185" customFormat="1" x14ac:dyDescent="0.2">
      <c r="A392" s="182"/>
      <c r="B392" s="182"/>
      <c r="C392" s="183" t="s">
        <v>3071</v>
      </c>
      <c r="D392" s="184">
        <v>0</v>
      </c>
      <c r="E392" s="184"/>
      <c r="F392" s="184"/>
      <c r="G392" s="184"/>
      <c r="H392" s="184"/>
      <c r="I392" s="184"/>
      <c r="J392" s="184"/>
      <c r="K392" s="184">
        <v>0</v>
      </c>
      <c r="L392" s="184">
        <v>13000000</v>
      </c>
      <c r="M392" s="220">
        <v>6000000</v>
      </c>
      <c r="N392" s="221">
        <v>7000000</v>
      </c>
    </row>
    <row r="393" spans="1:14" s="185" customFormat="1" x14ac:dyDescent="0.2">
      <c r="A393" s="182"/>
      <c r="B393" s="182"/>
      <c r="C393" s="183" t="s">
        <v>3072</v>
      </c>
      <c r="D393" s="184">
        <v>0</v>
      </c>
      <c r="E393" s="184"/>
      <c r="F393" s="184"/>
      <c r="G393" s="184"/>
      <c r="H393" s="184"/>
      <c r="I393" s="184"/>
      <c r="J393" s="184"/>
      <c r="K393" s="184">
        <v>0</v>
      </c>
      <c r="L393" s="184">
        <v>3000000</v>
      </c>
      <c r="M393" s="220">
        <v>0</v>
      </c>
      <c r="N393" s="221">
        <v>0</v>
      </c>
    </row>
    <row r="394" spans="1:14" s="30" customFormat="1" ht="15" x14ac:dyDescent="0.25">
      <c r="A394" s="25"/>
      <c r="B394" s="25"/>
      <c r="C394" s="26" t="s">
        <v>1354</v>
      </c>
      <c r="D394" s="27">
        <v>0</v>
      </c>
      <c r="E394" s="79"/>
      <c r="F394" s="79"/>
      <c r="G394" s="79"/>
      <c r="H394" s="79"/>
      <c r="I394" s="79"/>
      <c r="J394" s="27">
        <f>+K394-D394</f>
        <v>0</v>
      </c>
      <c r="K394" s="27">
        <v>0</v>
      </c>
      <c r="L394" s="27">
        <v>0</v>
      </c>
      <c r="M394" s="107">
        <v>0</v>
      </c>
      <c r="N394" s="135">
        <v>0</v>
      </c>
    </row>
    <row r="395" spans="1:14" x14ac:dyDescent="0.2">
      <c r="A395" s="25"/>
      <c r="B395" s="25"/>
      <c r="C395" s="26"/>
      <c r="D395" s="27"/>
      <c r="E395" s="27"/>
      <c r="F395" s="27"/>
      <c r="G395" s="27"/>
      <c r="H395" s="27"/>
      <c r="I395" s="27"/>
      <c r="J395" s="27"/>
      <c r="K395" s="27"/>
      <c r="L395" s="27"/>
      <c r="M395" s="107"/>
      <c r="N395" s="133"/>
    </row>
    <row r="396" spans="1:14" s="24" customFormat="1" ht="15" x14ac:dyDescent="0.25">
      <c r="A396" s="20"/>
      <c r="B396" s="20"/>
      <c r="C396" s="21" t="s">
        <v>320</v>
      </c>
      <c r="D396" s="22">
        <f>SUM(D386:D395)</f>
        <v>5000000</v>
      </c>
      <c r="E396" s="22">
        <f>SUM(E386:E395)</f>
        <v>0</v>
      </c>
      <c r="F396" s="22">
        <f>SUM(F386:F395)</f>
        <v>0</v>
      </c>
      <c r="G396" s="22">
        <f>SUM(G386:G395)</f>
        <v>2435.42</v>
      </c>
      <c r="H396" s="22">
        <f>SUM(H386:H395)</f>
        <v>-2435.42</v>
      </c>
      <c r="I396" s="22">
        <v>9.7899999999999991</v>
      </c>
      <c r="J396" s="27">
        <f>+K396-D396</f>
        <v>-787662.5</v>
      </c>
      <c r="K396" s="22">
        <f>SUM(K386:K395)</f>
        <v>4212337.5</v>
      </c>
      <c r="L396" s="22">
        <f>SUM(L386:L395)</f>
        <v>19400000</v>
      </c>
      <c r="M396" s="134">
        <f>SUM(M386:M395)</f>
        <v>8800000</v>
      </c>
      <c r="N396" s="134">
        <f>SUM(N386:N395)</f>
        <v>12000000</v>
      </c>
    </row>
    <row r="397" spans="1:14" x14ac:dyDescent="0.2">
      <c r="A397" s="25"/>
      <c r="B397" s="25"/>
      <c r="C397" s="26"/>
      <c r="D397" s="27"/>
      <c r="E397" s="27"/>
      <c r="F397" s="27"/>
      <c r="G397" s="27"/>
      <c r="H397" s="27"/>
      <c r="I397" s="27"/>
      <c r="J397" s="27"/>
      <c r="K397" s="27"/>
      <c r="L397" s="27"/>
      <c r="M397" s="107"/>
      <c r="N397" s="133"/>
    </row>
    <row r="398" spans="1:14" s="24" customFormat="1" ht="15" x14ac:dyDescent="0.25">
      <c r="A398" s="20"/>
      <c r="B398" s="20"/>
      <c r="C398" s="21" t="s">
        <v>1272</v>
      </c>
      <c r="D398" s="22"/>
      <c r="E398" s="22"/>
      <c r="F398" s="22"/>
      <c r="G398" s="22"/>
      <c r="H398" s="22"/>
      <c r="I398" s="22"/>
      <c r="J398" s="27">
        <f>+K398-D398</f>
        <v>0</v>
      </c>
      <c r="K398" s="27"/>
      <c r="L398" s="22"/>
      <c r="M398" s="134"/>
      <c r="N398" s="132"/>
    </row>
    <row r="399" spans="1:14" s="24" customFormat="1" ht="15" x14ac:dyDescent="0.25">
      <c r="A399" s="20"/>
      <c r="B399" s="20"/>
      <c r="C399" s="21" t="s">
        <v>9</v>
      </c>
      <c r="D399" s="22"/>
      <c r="E399" s="22"/>
      <c r="F399" s="22"/>
      <c r="G399" s="22"/>
      <c r="H399" s="22"/>
      <c r="I399" s="22"/>
      <c r="J399" s="27">
        <f>+K399-D399</f>
        <v>0</v>
      </c>
      <c r="K399" s="27"/>
      <c r="L399" s="22"/>
      <c r="M399" s="134"/>
      <c r="N399" s="132"/>
    </row>
    <row r="400" spans="1:14" s="24" customFormat="1" ht="15" x14ac:dyDescent="0.25">
      <c r="A400" s="20"/>
      <c r="B400" s="20"/>
      <c r="C400" s="21" t="s">
        <v>42</v>
      </c>
      <c r="D400" s="22"/>
      <c r="E400" s="22"/>
      <c r="F400" s="22"/>
      <c r="G400" s="22"/>
      <c r="H400" s="22"/>
      <c r="I400" s="22"/>
      <c r="J400" s="27">
        <f>+K400-D400</f>
        <v>0</v>
      </c>
      <c r="K400" s="27"/>
      <c r="L400" s="22"/>
      <c r="M400" s="134"/>
      <c r="N400" s="132"/>
    </row>
    <row r="401" spans="1:14" s="24" customFormat="1" ht="15" x14ac:dyDescent="0.25">
      <c r="A401" s="20"/>
      <c r="B401" s="20"/>
      <c r="C401" s="21"/>
      <c r="D401" s="22"/>
      <c r="E401" s="22"/>
      <c r="F401" s="22"/>
      <c r="G401" s="22"/>
      <c r="H401" s="22"/>
      <c r="I401" s="22"/>
      <c r="J401" s="27"/>
      <c r="K401" s="27"/>
      <c r="L401" s="22"/>
      <c r="M401" s="134"/>
      <c r="N401" s="132"/>
    </row>
    <row r="402" spans="1:14" x14ac:dyDescent="0.2">
      <c r="A402" s="25" t="s">
        <v>1273</v>
      </c>
      <c r="B402" s="25"/>
      <c r="C402" s="26" t="s">
        <v>53</v>
      </c>
      <c r="D402" s="27">
        <f>VLOOKUP(A402,fin,3,FALSE)</f>
        <v>0</v>
      </c>
      <c r="E402" s="27">
        <v>0</v>
      </c>
      <c r="F402" s="27">
        <v>0</v>
      </c>
      <c r="G402" s="27">
        <v>1217.71</v>
      </c>
      <c r="H402" s="27">
        <v>-1217.71</v>
      </c>
      <c r="I402" s="27">
        <v>0</v>
      </c>
      <c r="J402" s="27">
        <f>+K402-D402</f>
        <v>0</v>
      </c>
      <c r="K402" s="27">
        <f>VLOOKUP(A402,fin,4,FALSE)</f>
        <v>0</v>
      </c>
      <c r="L402" s="27">
        <f>VLOOKUP(A402,fin,5,FALSE)</f>
        <v>0</v>
      </c>
      <c r="M402" s="107">
        <f>VLOOKUP(A402,fin,6,FALSE)</f>
        <v>0</v>
      </c>
      <c r="N402" s="133"/>
    </row>
    <row r="403" spans="1:14" x14ac:dyDescent="0.2">
      <c r="A403" s="25" t="s">
        <v>1274</v>
      </c>
      <c r="B403" s="25"/>
      <c r="C403" s="26" t="s">
        <v>54</v>
      </c>
      <c r="D403" s="27">
        <f>VLOOKUP(A403,fin,3,FALSE)</f>
        <v>0</v>
      </c>
      <c r="E403" s="27">
        <v>0</v>
      </c>
      <c r="F403" s="27">
        <v>0</v>
      </c>
      <c r="G403" s="27">
        <v>1217.71</v>
      </c>
      <c r="H403" s="27">
        <v>-1217.71</v>
      </c>
      <c r="I403" s="27">
        <v>0</v>
      </c>
      <c r="J403" s="27">
        <f>+K403-D403</f>
        <v>0</v>
      </c>
      <c r="K403" s="27">
        <f>VLOOKUP(A403,fin,4,FALSE)</f>
        <v>0</v>
      </c>
      <c r="L403" s="27">
        <f>VLOOKUP(A403,fin,5,FALSE)</f>
        <v>0</v>
      </c>
      <c r="M403" s="107">
        <f>VLOOKUP(A403,fin,6,FALSE)</f>
        <v>0</v>
      </c>
      <c r="N403" s="133"/>
    </row>
    <row r="404" spans="1:14" x14ac:dyDescent="0.2">
      <c r="A404" s="25"/>
      <c r="B404" s="25"/>
      <c r="C404" s="26"/>
      <c r="D404" s="27"/>
      <c r="E404" s="27"/>
      <c r="F404" s="27"/>
      <c r="G404" s="27"/>
      <c r="H404" s="27"/>
      <c r="I404" s="27"/>
      <c r="J404" s="27"/>
      <c r="K404" s="27"/>
      <c r="L404" s="27"/>
      <c r="M404" s="107"/>
      <c r="N404" s="133"/>
    </row>
    <row r="405" spans="1:14" s="24" customFormat="1" ht="15" x14ac:dyDescent="0.25">
      <c r="A405" s="20"/>
      <c r="B405" s="20"/>
      <c r="C405" s="21" t="s">
        <v>55</v>
      </c>
      <c r="D405" s="22">
        <f>SUM(D402:D404)</f>
        <v>0</v>
      </c>
      <c r="E405" s="22">
        <f>SUM(E402:E404)</f>
        <v>0</v>
      </c>
      <c r="F405" s="22">
        <f>SUM(F402:F404)</f>
        <v>0</v>
      </c>
      <c r="G405" s="22">
        <f>SUM(G402:G404)</f>
        <v>2435.42</v>
      </c>
      <c r="H405" s="22">
        <f>SUM(H402:H404)</f>
        <v>-2435.42</v>
      </c>
      <c r="I405" s="22">
        <v>0</v>
      </c>
      <c r="J405" s="27">
        <f>+K405-D405</f>
        <v>0</v>
      </c>
      <c r="K405" s="22">
        <f>SUM(K402:K404)</f>
        <v>0</v>
      </c>
      <c r="L405" s="22">
        <f>SUM(L402:L404)</f>
        <v>0</v>
      </c>
      <c r="M405" s="134">
        <f>SUM(M402:M404)</f>
        <v>0</v>
      </c>
      <c r="N405" s="132"/>
    </row>
    <row r="406" spans="1:14" s="24" customFormat="1" ht="15" x14ac:dyDescent="0.25">
      <c r="A406" s="20"/>
      <c r="B406" s="20"/>
      <c r="C406" s="21"/>
      <c r="D406" s="22"/>
      <c r="E406" s="22"/>
      <c r="F406" s="22"/>
      <c r="G406" s="22"/>
      <c r="H406" s="22"/>
      <c r="I406" s="22"/>
      <c r="J406" s="27"/>
      <c r="K406" s="27"/>
      <c r="L406" s="22"/>
      <c r="M406" s="134"/>
      <c r="N406" s="132"/>
    </row>
    <row r="407" spans="1:14" s="24" customFormat="1" ht="15" x14ac:dyDescent="0.25">
      <c r="A407" s="20"/>
      <c r="B407" s="20"/>
      <c r="C407" s="21" t="s">
        <v>56</v>
      </c>
      <c r="D407" s="22"/>
      <c r="E407" s="22"/>
      <c r="F407" s="22"/>
      <c r="G407" s="22"/>
      <c r="H407" s="22"/>
      <c r="I407" s="22"/>
      <c r="J407" s="27">
        <f>+K407-D407</f>
        <v>0</v>
      </c>
      <c r="K407" s="27"/>
      <c r="L407" s="22"/>
      <c r="M407" s="134"/>
      <c r="N407" s="132"/>
    </row>
    <row r="408" spans="1:14" x14ac:dyDescent="0.2">
      <c r="A408" s="25"/>
      <c r="B408" s="25"/>
      <c r="C408" s="26"/>
      <c r="D408" s="27"/>
      <c r="E408" s="27"/>
      <c r="F408" s="27"/>
      <c r="G408" s="27"/>
      <c r="H408" s="27"/>
      <c r="I408" s="27"/>
      <c r="J408" s="27"/>
      <c r="K408" s="27"/>
      <c r="L408" s="27"/>
      <c r="M408" s="107"/>
      <c r="N408" s="133"/>
    </row>
    <row r="409" spans="1:14" x14ac:dyDescent="0.2">
      <c r="A409" s="25" t="s">
        <v>1275</v>
      </c>
      <c r="B409" s="25"/>
      <c r="C409" s="26" t="s">
        <v>61</v>
      </c>
      <c r="D409" s="27">
        <f>VLOOKUP(A409,fin,3,FALSE)</f>
        <v>-315185</v>
      </c>
      <c r="E409" s="27">
        <v>0</v>
      </c>
      <c r="F409" s="27">
        <v>0</v>
      </c>
      <c r="G409" s="27">
        <v>1217.71</v>
      </c>
      <c r="H409" s="27">
        <v>-1217.71</v>
      </c>
      <c r="I409" s="27">
        <v>0</v>
      </c>
      <c r="J409" s="27">
        <f>+K409-D409</f>
        <v>315185</v>
      </c>
      <c r="K409" s="27">
        <f>VLOOKUP(A409,fin,4,FALSE)</f>
        <v>0</v>
      </c>
      <c r="L409" s="27">
        <f>VLOOKUP(A409,fin,5,FALSE)</f>
        <v>0</v>
      </c>
      <c r="M409" s="107">
        <f>VLOOKUP(A409,fin,6,FALSE)</f>
        <v>0</v>
      </c>
      <c r="N409" s="133"/>
    </row>
    <row r="410" spans="1:14" x14ac:dyDescent="0.2">
      <c r="A410" s="25"/>
      <c r="B410" s="25"/>
      <c r="C410" s="26"/>
      <c r="D410" s="27"/>
      <c r="E410" s="27"/>
      <c r="F410" s="27"/>
      <c r="G410" s="27"/>
      <c r="H410" s="27"/>
      <c r="I410" s="27"/>
      <c r="J410" s="27"/>
      <c r="K410" s="27"/>
      <c r="L410" s="27"/>
      <c r="M410" s="107"/>
      <c r="N410" s="133"/>
    </row>
    <row r="411" spans="1:14" s="24" customFormat="1" ht="15" x14ac:dyDescent="0.25">
      <c r="A411" s="20"/>
      <c r="B411" s="20"/>
      <c r="C411" s="21" t="s">
        <v>64</v>
      </c>
      <c r="D411" s="22">
        <f>SUM(D409:D410)</f>
        <v>-315185</v>
      </c>
      <c r="E411" s="22">
        <f>SUM(E409:E410)</f>
        <v>0</v>
      </c>
      <c r="F411" s="22">
        <f>SUM(F409:F410)</f>
        <v>0</v>
      </c>
      <c r="G411" s="22">
        <f>SUM(G409:G410)</f>
        <v>1217.71</v>
      </c>
      <c r="H411" s="22">
        <f>SUM(H409:H410)</f>
        <v>-1217.71</v>
      </c>
      <c r="I411" s="22">
        <v>17.97</v>
      </c>
      <c r="J411" s="27">
        <f>+K411-D411</f>
        <v>315185</v>
      </c>
      <c r="K411" s="22">
        <f>SUM(K409:K410)</f>
        <v>0</v>
      </c>
      <c r="L411" s="22">
        <f>SUM(L409:L410)</f>
        <v>0</v>
      </c>
      <c r="M411" s="134">
        <f>SUM(M409:M410)</f>
        <v>0</v>
      </c>
      <c r="N411" s="134">
        <f>SUM(N409:N410)</f>
        <v>0</v>
      </c>
    </row>
    <row r="412" spans="1:14" s="24" customFormat="1" ht="15" x14ac:dyDescent="0.25">
      <c r="A412" s="20"/>
      <c r="B412" s="20"/>
      <c r="C412" s="21"/>
      <c r="D412" s="22"/>
      <c r="E412" s="22"/>
      <c r="F412" s="22"/>
      <c r="G412" s="22"/>
      <c r="H412" s="22"/>
      <c r="I412" s="22"/>
      <c r="J412" s="27"/>
      <c r="K412" s="27"/>
      <c r="L412" s="22"/>
      <c r="M412" s="134"/>
      <c r="N412" s="132"/>
    </row>
    <row r="413" spans="1:14" s="24" customFormat="1" ht="15" x14ac:dyDescent="0.25">
      <c r="A413" s="20"/>
      <c r="B413" s="20"/>
      <c r="C413" s="21" t="s">
        <v>67</v>
      </c>
      <c r="D413" s="22"/>
      <c r="E413" s="22"/>
      <c r="F413" s="22"/>
      <c r="G413" s="22"/>
      <c r="H413" s="22"/>
      <c r="I413" s="22"/>
      <c r="J413" s="27">
        <f>+K413-D413</f>
        <v>0</v>
      </c>
      <c r="K413" s="27"/>
      <c r="L413" s="22"/>
      <c r="M413" s="134"/>
      <c r="N413" s="132"/>
    </row>
    <row r="414" spans="1:14" s="24" customFormat="1" ht="15" x14ac:dyDescent="0.25">
      <c r="A414" s="20"/>
      <c r="B414" s="20"/>
      <c r="C414" s="21"/>
      <c r="D414" s="22"/>
      <c r="E414" s="22"/>
      <c r="F414" s="22"/>
      <c r="G414" s="22"/>
      <c r="H414" s="22"/>
      <c r="I414" s="22"/>
      <c r="J414" s="27"/>
      <c r="K414" s="27"/>
      <c r="L414" s="22"/>
      <c r="M414" s="134"/>
      <c r="N414" s="132"/>
    </row>
    <row r="415" spans="1:14" x14ac:dyDescent="0.2">
      <c r="A415" s="25" t="s">
        <v>1276</v>
      </c>
      <c r="B415" s="25"/>
      <c r="C415" s="26" t="s">
        <v>68</v>
      </c>
      <c r="D415" s="27">
        <f>'Revenue per source'!C90</f>
        <v>-1696600</v>
      </c>
      <c r="E415" s="27">
        <f ca="1">'Revenue per source'!D90</f>
        <v>0</v>
      </c>
      <c r="F415" s="27">
        <f ca="1">'Revenue per source'!E90</f>
        <v>0</v>
      </c>
      <c r="G415" s="27">
        <f ca="1">'Revenue per source'!F90</f>
        <v>0</v>
      </c>
      <c r="H415" s="27">
        <f ca="1">'Revenue per source'!G90</f>
        <v>0</v>
      </c>
      <c r="I415" s="27">
        <f ca="1">'Revenue per source'!H90</f>
        <v>0</v>
      </c>
      <c r="J415" s="27">
        <f ca="1">'Revenue per source'!I90</f>
        <v>0</v>
      </c>
      <c r="K415" s="27">
        <f>'Revenue per source'!J90</f>
        <v>-403536</v>
      </c>
      <c r="L415" s="27">
        <f>'Revenue per source'!K90</f>
        <v>-421695.12</v>
      </c>
      <c r="M415" s="27">
        <f>'Revenue per source'!L90</f>
        <v>-441093.09551999997</v>
      </c>
      <c r="N415" s="27">
        <f>'Revenue per source'!M90</f>
        <v>-461383.37791391998</v>
      </c>
    </row>
    <row r="416" spans="1:14" x14ac:dyDescent="0.2">
      <c r="A416" s="25"/>
      <c r="B416" s="25"/>
      <c r="C416" s="26"/>
      <c r="D416" s="27"/>
      <c r="E416" s="27"/>
      <c r="F416" s="27"/>
      <c r="G416" s="27"/>
      <c r="H416" s="27"/>
      <c r="I416" s="27"/>
      <c r="J416" s="27"/>
      <c r="K416" s="27"/>
      <c r="L416" s="27"/>
      <c r="M416" s="107"/>
      <c r="N416" s="133"/>
    </row>
    <row r="417" spans="1:14" s="24" customFormat="1" ht="15" x14ac:dyDescent="0.25">
      <c r="A417" s="20"/>
      <c r="B417" s="20"/>
      <c r="C417" s="21" t="s">
        <v>69</v>
      </c>
      <c r="D417" s="22">
        <f>SUM(D415:D416)</f>
        <v>-1696600</v>
      </c>
      <c r="E417" s="22">
        <f ca="1">SUM(E415:E416)</f>
        <v>0</v>
      </c>
      <c r="F417" s="22">
        <f ca="1">SUM(F415:F416)</f>
        <v>0</v>
      </c>
      <c r="G417" s="22">
        <f ca="1">SUM(G415:G416)</f>
        <v>1217.71</v>
      </c>
      <c r="H417" s="22">
        <f ca="1">SUM(H415:H416)</f>
        <v>-1217.71</v>
      </c>
      <c r="I417" s="22">
        <v>0</v>
      </c>
      <c r="J417" s="27">
        <f>+K417-D417</f>
        <v>1293064</v>
      </c>
      <c r="K417" s="22">
        <f>SUM(K415:K416)</f>
        <v>-403536</v>
      </c>
      <c r="L417" s="22">
        <f>SUM(L415:L416)</f>
        <v>-421695.12</v>
      </c>
      <c r="M417" s="134">
        <f>SUM(M415:M416)</f>
        <v>-441093.09551999997</v>
      </c>
      <c r="N417" s="134">
        <f>SUM(N415:N416)</f>
        <v>-461383.37791391998</v>
      </c>
    </row>
    <row r="418" spans="1:14" x14ac:dyDescent="0.2">
      <c r="A418" s="25"/>
      <c r="B418" s="25"/>
      <c r="C418" s="26"/>
      <c r="D418" s="27"/>
      <c r="E418" s="27"/>
      <c r="F418" s="27"/>
      <c r="G418" s="27"/>
      <c r="H418" s="27"/>
      <c r="I418" s="27"/>
      <c r="J418" s="27"/>
      <c r="K418" s="27"/>
      <c r="L418" s="27"/>
      <c r="M418" s="107"/>
      <c r="N418" s="133"/>
    </row>
    <row r="419" spans="1:14" s="24" customFormat="1" ht="15" x14ac:dyDescent="0.25">
      <c r="A419" s="20"/>
      <c r="B419" s="20"/>
      <c r="C419" s="21" t="s">
        <v>70</v>
      </c>
      <c r="D419" s="22"/>
      <c r="E419" s="22"/>
      <c r="F419" s="22"/>
      <c r="G419" s="22"/>
      <c r="H419" s="22"/>
      <c r="I419" s="22"/>
      <c r="J419" s="27">
        <f>+K419-D419</f>
        <v>0</v>
      </c>
      <c r="K419" s="27"/>
      <c r="L419" s="22"/>
      <c r="M419" s="134"/>
      <c r="N419" s="132"/>
    </row>
    <row r="420" spans="1:14" x14ac:dyDescent="0.2">
      <c r="A420" s="25"/>
      <c r="B420" s="25"/>
      <c r="C420" s="26"/>
      <c r="D420" s="27"/>
      <c r="E420" s="27"/>
      <c r="F420" s="27"/>
      <c r="G420" s="27"/>
      <c r="H420" s="27"/>
      <c r="I420" s="27"/>
      <c r="J420" s="27"/>
      <c r="K420" s="27"/>
      <c r="L420" s="27"/>
      <c r="M420" s="107"/>
      <c r="N420" s="133"/>
    </row>
    <row r="421" spans="1:14" x14ac:dyDescent="0.2">
      <c r="A421" s="25" t="s">
        <v>1277</v>
      </c>
      <c r="B421" s="25"/>
      <c r="C421" s="26" t="s">
        <v>73</v>
      </c>
      <c r="D421" s="27"/>
      <c r="E421" s="27"/>
      <c r="F421" s="27"/>
      <c r="G421" s="27"/>
      <c r="H421" s="27"/>
      <c r="I421" s="27"/>
      <c r="J421" s="27"/>
      <c r="K421" s="27"/>
      <c r="L421" s="27"/>
      <c r="M421" s="107"/>
      <c r="N421" s="133"/>
    </row>
    <row r="422" spans="1:14" x14ac:dyDescent="0.2">
      <c r="A422" s="25"/>
      <c r="B422" s="25"/>
      <c r="C422" s="26"/>
      <c r="D422" s="27"/>
      <c r="E422" s="27"/>
      <c r="F422" s="27"/>
      <c r="G422" s="27"/>
      <c r="H422" s="27"/>
      <c r="I422" s="27"/>
      <c r="J422" s="27"/>
      <c r="K422" s="27"/>
      <c r="L422" s="27"/>
      <c r="M422" s="107"/>
      <c r="N422" s="133"/>
    </row>
    <row r="423" spans="1:14" s="24" customFormat="1" ht="15" x14ac:dyDescent="0.25">
      <c r="A423" s="20"/>
      <c r="B423" s="20"/>
      <c r="C423" s="21" t="s">
        <v>77</v>
      </c>
      <c r="D423" s="22">
        <f>SUM(D421:D422)</f>
        <v>0</v>
      </c>
      <c r="E423" s="22">
        <f>SUM(E421:E422)</f>
        <v>0</v>
      </c>
      <c r="F423" s="22">
        <f>SUM(F421:F422)</f>
        <v>0</v>
      </c>
      <c r="G423" s="22">
        <f>SUM(G421:G422)</f>
        <v>0</v>
      </c>
      <c r="H423" s="22">
        <f>SUM(H421:H422)</f>
        <v>0</v>
      </c>
      <c r="I423" s="22">
        <v>0</v>
      </c>
      <c r="J423" s="27">
        <f>+K423-D423</f>
        <v>0</v>
      </c>
      <c r="K423" s="22">
        <f>SUM(K421:K422)</f>
        <v>0</v>
      </c>
      <c r="L423" s="22">
        <f>SUM(L421:L422)</f>
        <v>0</v>
      </c>
      <c r="M423" s="134">
        <f>SUM(M421:M422)</f>
        <v>0</v>
      </c>
      <c r="N423" s="132"/>
    </row>
    <row r="424" spans="1:14" x14ac:dyDescent="0.2">
      <c r="A424" s="25"/>
      <c r="B424" s="25"/>
      <c r="C424" s="26"/>
      <c r="D424" s="27"/>
      <c r="E424" s="27"/>
      <c r="F424" s="27"/>
      <c r="G424" s="27"/>
      <c r="H424" s="27"/>
      <c r="I424" s="27"/>
      <c r="J424" s="27"/>
      <c r="K424" s="27"/>
      <c r="L424" s="27"/>
      <c r="M424" s="107"/>
      <c r="N424" s="133"/>
    </row>
    <row r="425" spans="1:14" s="24" customFormat="1" ht="15" x14ac:dyDescent="0.25">
      <c r="A425" s="20"/>
      <c r="B425" s="20"/>
      <c r="C425" s="21" t="s">
        <v>94</v>
      </c>
      <c r="D425" s="22">
        <f>D411+D417+D423</f>
        <v>-2011785</v>
      </c>
      <c r="E425" s="22">
        <f t="shared" ref="E425:N425" ca="1" si="70">E411+E417+E423</f>
        <v>0</v>
      </c>
      <c r="F425" s="22">
        <f t="shared" ca="1" si="70"/>
        <v>0</v>
      </c>
      <c r="G425" s="22">
        <f t="shared" ca="1" si="70"/>
        <v>2435.42</v>
      </c>
      <c r="H425" s="22">
        <f t="shared" ca="1" si="70"/>
        <v>-2435.42</v>
      </c>
      <c r="I425" s="22">
        <v>29.07</v>
      </c>
      <c r="J425" s="27">
        <f>+K425-D425</f>
        <v>1608249</v>
      </c>
      <c r="K425" s="22">
        <f t="shared" si="70"/>
        <v>-403536</v>
      </c>
      <c r="L425" s="22">
        <f t="shared" si="70"/>
        <v>-421695.12</v>
      </c>
      <c r="M425" s="134">
        <f t="shared" si="70"/>
        <v>-441093.09551999997</v>
      </c>
      <c r="N425" s="134">
        <f t="shared" si="70"/>
        <v>-461383.37791391998</v>
      </c>
    </row>
    <row r="426" spans="1:14" s="24" customFormat="1" ht="15" x14ac:dyDescent="0.25">
      <c r="A426" s="20"/>
      <c r="B426" s="20"/>
      <c r="C426" s="21"/>
      <c r="D426" s="22"/>
      <c r="E426" s="22"/>
      <c r="F426" s="22"/>
      <c r="G426" s="22"/>
      <c r="H426" s="22"/>
      <c r="I426" s="22"/>
      <c r="J426" s="27"/>
      <c r="K426" s="27"/>
      <c r="L426" s="22"/>
      <c r="M426" s="134"/>
      <c r="N426" s="132"/>
    </row>
    <row r="427" spans="1:14" s="24" customFormat="1" ht="15" x14ac:dyDescent="0.25">
      <c r="A427" s="20"/>
      <c r="B427" s="20"/>
      <c r="C427" s="21" t="s">
        <v>95</v>
      </c>
      <c r="D427" s="22">
        <f>D425</f>
        <v>-2011785</v>
      </c>
      <c r="E427" s="22">
        <f t="shared" ref="E427:N427" ca="1" si="71">E425</f>
        <v>0</v>
      </c>
      <c r="F427" s="22">
        <f t="shared" ca="1" si="71"/>
        <v>0</v>
      </c>
      <c r="G427" s="22">
        <f t="shared" ca="1" si="71"/>
        <v>2435.42</v>
      </c>
      <c r="H427" s="22">
        <f t="shared" ca="1" si="71"/>
        <v>-2435.42</v>
      </c>
      <c r="I427" s="22">
        <v>29.07</v>
      </c>
      <c r="J427" s="27">
        <f>+K427-D427</f>
        <v>1608249</v>
      </c>
      <c r="K427" s="22">
        <f t="shared" si="71"/>
        <v>-403536</v>
      </c>
      <c r="L427" s="22">
        <f t="shared" si="71"/>
        <v>-421695.12</v>
      </c>
      <c r="M427" s="134">
        <f t="shared" si="71"/>
        <v>-441093.09551999997</v>
      </c>
      <c r="N427" s="134">
        <f t="shared" si="71"/>
        <v>-461383.37791391998</v>
      </c>
    </row>
    <row r="428" spans="1:14" s="24" customFormat="1" ht="15" x14ac:dyDescent="0.25">
      <c r="A428" s="20"/>
      <c r="B428" s="20"/>
      <c r="C428" s="21"/>
      <c r="D428" s="22"/>
      <c r="E428" s="22"/>
      <c r="F428" s="22"/>
      <c r="G428" s="22"/>
      <c r="H428" s="22"/>
      <c r="I428" s="22"/>
      <c r="J428" s="27"/>
      <c r="K428" s="27"/>
      <c r="L428" s="22"/>
      <c r="M428" s="134"/>
      <c r="N428" s="132"/>
    </row>
    <row r="429" spans="1:14" s="24" customFormat="1" ht="15" x14ac:dyDescent="0.25">
      <c r="A429" s="20"/>
      <c r="B429" s="20"/>
      <c r="C429" s="21" t="s">
        <v>96</v>
      </c>
      <c r="D429" s="22"/>
      <c r="E429" s="22"/>
      <c r="F429" s="22"/>
      <c r="G429" s="22"/>
      <c r="H429" s="22"/>
      <c r="I429" s="22"/>
      <c r="J429" s="27">
        <f>+K429-D429</f>
        <v>0</v>
      </c>
      <c r="K429" s="27"/>
      <c r="L429" s="22"/>
      <c r="M429" s="134"/>
      <c r="N429" s="132"/>
    </row>
    <row r="430" spans="1:14" s="24" customFormat="1" ht="15" x14ac:dyDescent="0.25">
      <c r="A430" s="20"/>
      <c r="B430" s="20"/>
      <c r="C430" s="21" t="s">
        <v>97</v>
      </c>
      <c r="D430" s="22"/>
      <c r="E430" s="22"/>
      <c r="F430" s="22"/>
      <c r="G430" s="22"/>
      <c r="H430" s="22"/>
      <c r="I430" s="22"/>
      <c r="J430" s="27">
        <f>+K430-D430</f>
        <v>0</v>
      </c>
      <c r="K430" s="27"/>
      <c r="L430" s="22"/>
      <c r="M430" s="134"/>
      <c r="N430" s="132"/>
    </row>
    <row r="431" spans="1:14" s="24" customFormat="1" ht="15" x14ac:dyDescent="0.25">
      <c r="A431" s="20"/>
      <c r="B431" s="20"/>
      <c r="C431" s="21" t="s">
        <v>148</v>
      </c>
      <c r="D431" s="22"/>
      <c r="E431" s="22"/>
      <c r="F431" s="22"/>
      <c r="G431" s="22"/>
      <c r="H431" s="22"/>
      <c r="I431" s="22"/>
      <c r="J431" s="27">
        <f>+K431-D431</f>
        <v>0</v>
      </c>
      <c r="K431" s="27"/>
      <c r="L431" s="22"/>
      <c r="M431" s="134"/>
      <c r="N431" s="132"/>
    </row>
    <row r="432" spans="1:14" s="24" customFormat="1" ht="15" x14ac:dyDescent="0.25">
      <c r="A432" s="20"/>
      <c r="B432" s="20"/>
      <c r="C432" s="21" t="s">
        <v>149</v>
      </c>
      <c r="D432" s="22"/>
      <c r="E432" s="22"/>
      <c r="F432" s="22"/>
      <c r="G432" s="22"/>
      <c r="H432" s="22"/>
      <c r="I432" s="22"/>
      <c r="J432" s="27">
        <f>+K432-D432</f>
        <v>0</v>
      </c>
      <c r="K432" s="27"/>
      <c r="L432" s="22"/>
      <c r="M432" s="134"/>
      <c r="N432" s="132"/>
    </row>
    <row r="433" spans="1:14" s="24" customFormat="1" ht="15" x14ac:dyDescent="0.25">
      <c r="A433" s="20"/>
      <c r="B433" s="20"/>
      <c r="C433" s="21"/>
      <c r="D433" s="22"/>
      <c r="E433" s="22"/>
      <c r="F433" s="22"/>
      <c r="G433" s="22"/>
      <c r="H433" s="22"/>
      <c r="I433" s="22"/>
      <c r="J433" s="27"/>
      <c r="K433" s="27"/>
      <c r="L433" s="22"/>
      <c r="M433" s="134"/>
      <c r="N433" s="132"/>
    </row>
    <row r="434" spans="1:14" x14ac:dyDescent="0.2">
      <c r="A434" s="25" t="s">
        <v>1278</v>
      </c>
      <c r="B434" s="25"/>
      <c r="C434" s="26" t="s">
        <v>150</v>
      </c>
      <c r="D434" s="27">
        <f t="shared" ref="D434:D444" si="72">VLOOKUP(A434,fin,3,FALSE)</f>
        <v>4209658</v>
      </c>
      <c r="E434" s="27">
        <v>0</v>
      </c>
      <c r="F434" s="27">
        <v>0</v>
      </c>
      <c r="G434" s="27">
        <v>1217.71</v>
      </c>
      <c r="H434" s="27">
        <v>-1217.71</v>
      </c>
      <c r="I434" s="27">
        <v>0</v>
      </c>
      <c r="J434" s="27">
        <f t="shared" ref="J434:J444" si="73">+K434-D434</f>
        <v>0</v>
      </c>
      <c r="K434" s="27">
        <f t="shared" ref="K434:K444" si="74">VLOOKUP(A434,fin,4,FALSE)</f>
        <v>4209658</v>
      </c>
      <c r="L434" s="27">
        <f>K434*6.25/100+K434</f>
        <v>4472761.625</v>
      </c>
      <c r="M434" s="107">
        <f>L434*7/100+L434</f>
        <v>4785854.9387499997</v>
      </c>
      <c r="N434" s="133">
        <f>M434*7/100+M434</f>
        <v>5120864.7844624994</v>
      </c>
    </row>
    <row r="435" spans="1:14" x14ac:dyDescent="0.2">
      <c r="A435" s="25" t="s">
        <v>1279</v>
      </c>
      <c r="B435" s="25"/>
      <c r="C435" s="26" t="s">
        <v>151</v>
      </c>
      <c r="D435" s="27">
        <f t="shared" si="72"/>
        <v>194892</v>
      </c>
      <c r="E435" s="27">
        <v>0</v>
      </c>
      <c r="F435" s="27">
        <v>0</v>
      </c>
      <c r="G435" s="27">
        <v>1217.71</v>
      </c>
      <c r="H435" s="27">
        <v>-1217.71</v>
      </c>
      <c r="I435" s="27">
        <v>0</v>
      </c>
      <c r="J435" s="27">
        <f t="shared" si="73"/>
        <v>-59418.559999999998</v>
      </c>
      <c r="K435" s="27">
        <f t="shared" si="74"/>
        <v>135473.44</v>
      </c>
      <c r="L435" s="27">
        <f t="shared" ref="L435:L444" si="75">K435*6.25/100+K435</f>
        <v>143940.53</v>
      </c>
      <c r="M435" s="107">
        <f t="shared" ref="M435:N444" si="76">L435*7/100+L435</f>
        <v>154016.3671</v>
      </c>
      <c r="N435" s="133">
        <f t="shared" si="76"/>
        <v>164797.512797</v>
      </c>
    </row>
    <row r="436" spans="1:14" x14ac:dyDescent="0.2">
      <c r="A436" s="25" t="s">
        <v>1280</v>
      </c>
      <c r="B436" s="25"/>
      <c r="C436" s="26" t="s">
        <v>152</v>
      </c>
      <c r="D436" s="27">
        <f t="shared" si="72"/>
        <v>28200</v>
      </c>
      <c r="E436" s="27">
        <v>0</v>
      </c>
      <c r="F436" s="27">
        <v>0</v>
      </c>
      <c r="G436" s="27">
        <v>1217.71</v>
      </c>
      <c r="H436" s="27">
        <v>-1217.71</v>
      </c>
      <c r="I436" s="27">
        <v>0</v>
      </c>
      <c r="J436" s="27">
        <f t="shared" si="73"/>
        <v>0</v>
      </c>
      <c r="K436" s="27">
        <f t="shared" si="74"/>
        <v>28200</v>
      </c>
      <c r="L436" s="27">
        <f t="shared" si="75"/>
        <v>29962.5</v>
      </c>
      <c r="M436" s="107">
        <f t="shared" si="76"/>
        <v>32059.875</v>
      </c>
      <c r="N436" s="133">
        <f t="shared" si="76"/>
        <v>34304.066250000003</v>
      </c>
    </row>
    <row r="437" spans="1:14" x14ac:dyDescent="0.2">
      <c r="A437" s="25" t="s">
        <v>1281</v>
      </c>
      <c r="B437" s="25"/>
      <c r="C437" s="26" t="s">
        <v>153</v>
      </c>
      <c r="D437" s="27">
        <f t="shared" si="72"/>
        <v>0</v>
      </c>
      <c r="E437" s="27">
        <v>0</v>
      </c>
      <c r="F437" s="27">
        <v>0</v>
      </c>
      <c r="G437" s="27">
        <v>1217.71</v>
      </c>
      <c r="H437" s="27">
        <v>-1217.71</v>
      </c>
      <c r="I437" s="27">
        <v>0</v>
      </c>
      <c r="J437" s="27">
        <f t="shared" si="73"/>
        <v>12000</v>
      </c>
      <c r="K437" s="27">
        <f t="shared" si="74"/>
        <v>12000</v>
      </c>
      <c r="L437" s="27">
        <f t="shared" si="75"/>
        <v>12750</v>
      </c>
      <c r="M437" s="107">
        <f t="shared" si="76"/>
        <v>13642.5</v>
      </c>
      <c r="N437" s="133">
        <f t="shared" si="76"/>
        <v>14597.475</v>
      </c>
    </row>
    <row r="438" spans="1:14" x14ac:dyDescent="0.2">
      <c r="A438" s="25" t="s">
        <v>1282</v>
      </c>
      <c r="B438" s="25"/>
      <c r="C438" s="26" t="s">
        <v>154</v>
      </c>
      <c r="D438" s="27">
        <f t="shared" si="72"/>
        <v>6420</v>
      </c>
      <c r="E438" s="27">
        <v>0</v>
      </c>
      <c r="F438" s="27">
        <v>0</v>
      </c>
      <c r="G438" s="27">
        <v>1217.71</v>
      </c>
      <c r="H438" s="27">
        <v>-1217.71</v>
      </c>
      <c r="I438" s="27">
        <v>0</v>
      </c>
      <c r="J438" s="27">
        <f t="shared" si="73"/>
        <v>0</v>
      </c>
      <c r="K438" s="27">
        <f t="shared" si="74"/>
        <v>6420</v>
      </c>
      <c r="L438" s="27">
        <f t="shared" si="75"/>
        <v>6821.25</v>
      </c>
      <c r="M438" s="107">
        <f t="shared" si="76"/>
        <v>7298.7375000000002</v>
      </c>
      <c r="N438" s="133">
        <f t="shared" si="76"/>
        <v>7809.6491249999999</v>
      </c>
    </row>
    <row r="439" spans="1:14" x14ac:dyDescent="0.2">
      <c r="A439" s="25" t="s">
        <v>1283</v>
      </c>
      <c r="B439" s="25"/>
      <c r="C439" s="26" t="s">
        <v>155</v>
      </c>
      <c r="D439" s="27">
        <f t="shared" si="72"/>
        <v>138400</v>
      </c>
      <c r="E439" s="27">
        <v>0</v>
      </c>
      <c r="F439" s="27">
        <v>0</v>
      </c>
      <c r="G439" s="27">
        <v>1217.71</v>
      </c>
      <c r="H439" s="27">
        <v>-1217.71</v>
      </c>
      <c r="I439" s="27">
        <v>0</v>
      </c>
      <c r="J439" s="27">
        <f t="shared" si="73"/>
        <v>0</v>
      </c>
      <c r="K439" s="27">
        <f t="shared" si="74"/>
        <v>138400</v>
      </c>
      <c r="L439" s="27">
        <f t="shared" si="75"/>
        <v>147050</v>
      </c>
      <c r="M439" s="107">
        <f t="shared" si="76"/>
        <v>157343.5</v>
      </c>
      <c r="N439" s="133">
        <f t="shared" si="76"/>
        <v>168357.54500000001</v>
      </c>
    </row>
    <row r="440" spans="1:14" x14ac:dyDescent="0.2">
      <c r="A440" s="25" t="s">
        <v>1284</v>
      </c>
      <c r="B440" s="25"/>
      <c r="C440" s="26" t="s">
        <v>156</v>
      </c>
      <c r="D440" s="27">
        <f t="shared" si="72"/>
        <v>185604</v>
      </c>
      <c r="E440" s="27">
        <v>0</v>
      </c>
      <c r="F440" s="27">
        <v>0</v>
      </c>
      <c r="G440" s="27">
        <v>1217.71</v>
      </c>
      <c r="H440" s="27">
        <v>-1217.71</v>
      </c>
      <c r="I440" s="27">
        <v>0</v>
      </c>
      <c r="J440" s="27">
        <f t="shared" si="73"/>
        <v>0</v>
      </c>
      <c r="K440" s="27">
        <f t="shared" si="74"/>
        <v>185604</v>
      </c>
      <c r="L440" s="27">
        <f t="shared" si="75"/>
        <v>197204.25</v>
      </c>
      <c r="M440" s="107">
        <f t="shared" si="76"/>
        <v>211008.54749999999</v>
      </c>
      <c r="N440" s="133">
        <f t="shared" si="76"/>
        <v>225779.14582499999</v>
      </c>
    </row>
    <row r="441" spans="1:14" x14ac:dyDescent="0.2">
      <c r="A441" s="25" t="s">
        <v>1285</v>
      </c>
      <c r="B441" s="25"/>
      <c r="C441" s="26" t="s">
        <v>157</v>
      </c>
      <c r="D441" s="27">
        <f t="shared" si="72"/>
        <v>416905</v>
      </c>
      <c r="E441" s="27">
        <v>0</v>
      </c>
      <c r="F441" s="27">
        <v>0</v>
      </c>
      <c r="G441" s="27">
        <v>1217.71</v>
      </c>
      <c r="H441" s="27">
        <v>-1217.71</v>
      </c>
      <c r="I441" s="27">
        <v>0</v>
      </c>
      <c r="J441" s="27">
        <f t="shared" si="73"/>
        <v>-40000</v>
      </c>
      <c r="K441" s="27">
        <f t="shared" si="74"/>
        <v>376905</v>
      </c>
      <c r="L441" s="27">
        <f t="shared" si="75"/>
        <v>400461.5625</v>
      </c>
      <c r="M441" s="107">
        <f t="shared" si="76"/>
        <v>428493.87187500001</v>
      </c>
      <c r="N441" s="133">
        <f t="shared" si="76"/>
        <v>458488.44290625001</v>
      </c>
    </row>
    <row r="442" spans="1:14" x14ac:dyDescent="0.2">
      <c r="A442" s="25" t="s">
        <v>1286</v>
      </c>
      <c r="B442" s="25"/>
      <c r="C442" s="26" t="s">
        <v>159</v>
      </c>
      <c r="D442" s="27">
        <f t="shared" si="72"/>
        <v>350805</v>
      </c>
      <c r="E442" s="27">
        <v>0</v>
      </c>
      <c r="F442" s="27">
        <v>0</v>
      </c>
      <c r="G442" s="27">
        <v>1217.71</v>
      </c>
      <c r="H442" s="27">
        <v>-1217.71</v>
      </c>
      <c r="I442" s="27">
        <v>0</v>
      </c>
      <c r="J442" s="27">
        <f t="shared" si="73"/>
        <v>0</v>
      </c>
      <c r="K442" s="27">
        <f t="shared" si="74"/>
        <v>350805</v>
      </c>
      <c r="L442" s="27">
        <f t="shared" si="75"/>
        <v>372730.3125</v>
      </c>
      <c r="M442" s="107">
        <f t="shared" si="76"/>
        <v>398821.43437500001</v>
      </c>
      <c r="N442" s="133">
        <f t="shared" si="76"/>
        <v>426738.93478125002</v>
      </c>
    </row>
    <row r="443" spans="1:14" x14ac:dyDescent="0.2">
      <c r="A443" s="25" t="s">
        <v>1287</v>
      </c>
      <c r="B443" s="25"/>
      <c r="C443" s="26" t="s">
        <v>161</v>
      </c>
      <c r="D443" s="27">
        <f t="shared" si="72"/>
        <v>37996</v>
      </c>
      <c r="E443" s="27">
        <v>0</v>
      </c>
      <c r="F443" s="27">
        <v>0</v>
      </c>
      <c r="G443" s="27">
        <v>1217.71</v>
      </c>
      <c r="H443" s="27">
        <v>-1217.71</v>
      </c>
      <c r="I443" s="27">
        <v>0</v>
      </c>
      <c r="J443" s="27">
        <f t="shared" si="73"/>
        <v>0</v>
      </c>
      <c r="K443" s="27">
        <f t="shared" si="74"/>
        <v>37996</v>
      </c>
      <c r="L443" s="27">
        <f t="shared" si="75"/>
        <v>40370.75</v>
      </c>
      <c r="M443" s="107">
        <f t="shared" si="76"/>
        <v>43196.702499999999</v>
      </c>
      <c r="N443" s="133">
        <f t="shared" si="76"/>
        <v>46220.471675000001</v>
      </c>
    </row>
    <row r="444" spans="1:14" x14ac:dyDescent="0.2">
      <c r="A444" s="25" t="s">
        <v>1288</v>
      </c>
      <c r="B444" s="25"/>
      <c r="C444" s="26" t="s">
        <v>162</v>
      </c>
      <c r="D444" s="27">
        <f t="shared" si="72"/>
        <v>50197</v>
      </c>
      <c r="E444" s="27">
        <v>0</v>
      </c>
      <c r="F444" s="27">
        <v>0</v>
      </c>
      <c r="G444" s="27">
        <v>1217.71</v>
      </c>
      <c r="H444" s="27">
        <v>-1217.71</v>
      </c>
      <c r="I444" s="27">
        <v>0</v>
      </c>
      <c r="J444" s="27">
        <f t="shared" si="73"/>
        <v>40000</v>
      </c>
      <c r="K444" s="27">
        <f t="shared" si="74"/>
        <v>90197</v>
      </c>
      <c r="L444" s="27">
        <f t="shared" si="75"/>
        <v>95834.3125</v>
      </c>
      <c r="M444" s="107">
        <f t="shared" si="76"/>
        <v>102542.714375</v>
      </c>
      <c r="N444" s="133">
        <f t="shared" si="76"/>
        <v>109720.70438124999</v>
      </c>
    </row>
    <row r="445" spans="1:14" x14ac:dyDescent="0.2">
      <c r="A445" s="25"/>
      <c r="B445" s="25"/>
      <c r="C445" s="26"/>
      <c r="D445" s="27"/>
      <c r="E445" s="27"/>
      <c r="F445" s="27"/>
      <c r="G445" s="27"/>
      <c r="H445" s="27"/>
      <c r="I445" s="27"/>
      <c r="J445" s="27"/>
      <c r="K445" s="27"/>
      <c r="L445" s="27"/>
      <c r="M445" s="107"/>
      <c r="N445" s="133"/>
    </row>
    <row r="446" spans="1:14" s="24" customFormat="1" ht="15" x14ac:dyDescent="0.25">
      <c r="A446" s="20"/>
      <c r="B446" s="20"/>
      <c r="C446" s="21" t="s">
        <v>165</v>
      </c>
      <c r="D446" s="22">
        <f>SUM(D434:D445)</f>
        <v>5619077</v>
      </c>
      <c r="E446" s="22">
        <f>SUM(E434:E445)</f>
        <v>0</v>
      </c>
      <c r="F446" s="22">
        <f>SUM(F434:F445)</f>
        <v>0</v>
      </c>
      <c r="G446" s="22">
        <f>SUM(G434:G445)</f>
        <v>13394.809999999998</v>
      </c>
      <c r="H446" s="22">
        <f>SUM(H434:H445)</f>
        <v>-13394.809999999998</v>
      </c>
      <c r="I446" s="22">
        <v>45.26</v>
      </c>
      <c r="J446" s="27">
        <f>+K446-D446</f>
        <v>-47418.55999999959</v>
      </c>
      <c r="K446" s="22">
        <f>SUM(K434:K445)</f>
        <v>5571658.4400000004</v>
      </c>
      <c r="L446" s="22">
        <f>SUM(L434:L445)</f>
        <v>5919887.0925000003</v>
      </c>
      <c r="M446" s="134">
        <f>SUM(M434:M445)</f>
        <v>6334279.1889750008</v>
      </c>
      <c r="N446" s="134">
        <f>SUM(N434:N445)</f>
        <v>6777678.7322032489</v>
      </c>
    </row>
    <row r="447" spans="1:14" s="24" customFormat="1" ht="15" x14ac:dyDescent="0.25">
      <c r="A447" s="20"/>
      <c r="B447" s="20"/>
      <c r="C447" s="21"/>
      <c r="D447" s="22"/>
      <c r="E447" s="22"/>
      <c r="F447" s="22"/>
      <c r="G447" s="22"/>
      <c r="H447" s="22"/>
      <c r="I447" s="22"/>
      <c r="J447" s="27"/>
      <c r="K447" s="27"/>
      <c r="L447" s="22"/>
      <c r="M447" s="134"/>
      <c r="N447" s="132"/>
    </row>
    <row r="448" spans="1:14" s="24" customFormat="1" ht="15" x14ac:dyDescent="0.25">
      <c r="A448" s="20"/>
      <c r="B448" s="20"/>
      <c r="C448" s="21" t="s">
        <v>166</v>
      </c>
      <c r="D448" s="22"/>
      <c r="E448" s="22"/>
      <c r="F448" s="22"/>
      <c r="G448" s="22"/>
      <c r="H448" s="22"/>
      <c r="I448" s="22"/>
      <c r="J448" s="27">
        <f>+K448-D448</f>
        <v>0</v>
      </c>
      <c r="K448" s="27"/>
      <c r="L448" s="22"/>
      <c r="M448" s="134"/>
      <c r="N448" s="132"/>
    </row>
    <row r="449" spans="1:14" x14ac:dyDescent="0.2">
      <c r="A449" s="25"/>
      <c r="B449" s="25"/>
      <c r="C449" s="26"/>
      <c r="D449" s="27"/>
      <c r="E449" s="27"/>
      <c r="F449" s="27"/>
      <c r="G449" s="27"/>
      <c r="H449" s="27"/>
      <c r="I449" s="27"/>
      <c r="J449" s="27"/>
      <c r="K449" s="27"/>
      <c r="L449" s="27"/>
      <c r="M449" s="107"/>
      <c r="N449" s="133"/>
    </row>
    <row r="450" spans="1:14" x14ac:dyDescent="0.2">
      <c r="A450" s="25" t="s">
        <v>1289</v>
      </c>
      <c r="B450" s="25"/>
      <c r="C450" s="26" t="s">
        <v>167</v>
      </c>
      <c r="D450" s="27">
        <f>VLOOKUP(A450,fin,3,FALSE)</f>
        <v>1910</v>
      </c>
      <c r="E450" s="27">
        <v>0</v>
      </c>
      <c r="F450" s="27">
        <v>0</v>
      </c>
      <c r="G450" s="27">
        <v>1217.71</v>
      </c>
      <c r="H450" s="27">
        <v>-1217.71</v>
      </c>
      <c r="I450" s="27">
        <v>0</v>
      </c>
      <c r="J450" s="27">
        <f>+K450-D450</f>
        <v>0</v>
      </c>
      <c r="K450" s="27">
        <f>VLOOKUP(A450,fin,4,FALSE)</f>
        <v>1910</v>
      </c>
      <c r="L450" s="27">
        <f>K450*6.25/100+K450</f>
        <v>2029.375</v>
      </c>
      <c r="M450" s="107">
        <f t="shared" ref="M450:N453" si="77">L450*7/100+L450</f>
        <v>2171.4312500000001</v>
      </c>
      <c r="N450" s="133">
        <f t="shared" si="77"/>
        <v>2323.4314374999999</v>
      </c>
    </row>
    <row r="451" spans="1:14" x14ac:dyDescent="0.2">
      <c r="A451" s="25" t="s">
        <v>1290</v>
      </c>
      <c r="B451" s="25"/>
      <c r="C451" s="26" t="s">
        <v>168</v>
      </c>
      <c r="D451" s="27">
        <f>VLOOKUP(A451,fin,3,FALSE)</f>
        <v>134382</v>
      </c>
      <c r="E451" s="27">
        <v>0</v>
      </c>
      <c r="F451" s="27">
        <v>0</v>
      </c>
      <c r="G451" s="27">
        <v>1217.71</v>
      </c>
      <c r="H451" s="27">
        <v>-1217.71</v>
      </c>
      <c r="I451" s="27">
        <v>0</v>
      </c>
      <c r="J451" s="27">
        <f>+K451-D451</f>
        <v>102160.79999999999</v>
      </c>
      <c r="K451" s="27">
        <f>VLOOKUP(A451,fin,4,FALSE)</f>
        <v>236542.8</v>
      </c>
      <c r="L451" s="27">
        <f>K451*6.25/100+K451</f>
        <v>251326.72499999998</v>
      </c>
      <c r="M451" s="107">
        <f t="shared" si="77"/>
        <v>268919.59574999998</v>
      </c>
      <c r="N451" s="133">
        <f t="shared" si="77"/>
        <v>287743.96745249996</v>
      </c>
    </row>
    <row r="452" spans="1:14" x14ac:dyDescent="0.2">
      <c r="A452" s="25" t="s">
        <v>1291</v>
      </c>
      <c r="B452" s="25"/>
      <c r="C452" s="26" t="s">
        <v>169</v>
      </c>
      <c r="D452" s="27">
        <f>VLOOKUP(A452,fin,3,FALSE)</f>
        <v>926125</v>
      </c>
      <c r="E452" s="27">
        <v>0</v>
      </c>
      <c r="F452" s="27">
        <v>0</v>
      </c>
      <c r="G452" s="27">
        <v>1217.71</v>
      </c>
      <c r="H452" s="27">
        <v>-1217.71</v>
      </c>
      <c r="I452" s="27">
        <v>0</v>
      </c>
      <c r="J452" s="27">
        <f>+K452-D452</f>
        <v>0</v>
      </c>
      <c r="K452" s="27">
        <f>VLOOKUP(A452,fin,4,FALSE)</f>
        <v>926125</v>
      </c>
      <c r="L452" s="27">
        <f>K452*6.25/100+K452</f>
        <v>984007.8125</v>
      </c>
      <c r="M452" s="107">
        <f t="shared" si="77"/>
        <v>1052888.359375</v>
      </c>
      <c r="N452" s="133">
        <f t="shared" si="77"/>
        <v>1126590.5445312499</v>
      </c>
    </row>
    <row r="453" spans="1:14" x14ac:dyDescent="0.2">
      <c r="A453" s="25" t="s">
        <v>1292</v>
      </c>
      <c r="B453" s="25"/>
      <c r="C453" s="26" t="s">
        <v>170</v>
      </c>
      <c r="D453" s="27">
        <f>VLOOKUP(A453,fin,3,FALSE)</f>
        <v>30345</v>
      </c>
      <c r="E453" s="27">
        <v>0</v>
      </c>
      <c r="F453" s="27">
        <v>0</v>
      </c>
      <c r="G453" s="27">
        <v>1217.71</v>
      </c>
      <c r="H453" s="27">
        <v>-1217.71</v>
      </c>
      <c r="I453" s="27">
        <v>0</v>
      </c>
      <c r="J453" s="27">
        <f>+K453-D453</f>
        <v>0</v>
      </c>
      <c r="K453" s="27">
        <f>VLOOKUP(A453,fin,4,FALSE)</f>
        <v>30345</v>
      </c>
      <c r="L453" s="27">
        <f>K453*6.25/100+K453</f>
        <v>32241.5625</v>
      </c>
      <c r="M453" s="107">
        <f t="shared" si="77"/>
        <v>34498.471875000003</v>
      </c>
      <c r="N453" s="133">
        <f t="shared" si="77"/>
        <v>36913.364906250004</v>
      </c>
    </row>
    <row r="454" spans="1:14" x14ac:dyDescent="0.2">
      <c r="A454" s="25"/>
      <c r="B454" s="25"/>
      <c r="C454" s="26"/>
      <c r="D454" s="27"/>
      <c r="E454" s="27"/>
      <c r="F454" s="27"/>
      <c r="G454" s="27"/>
      <c r="H454" s="27"/>
      <c r="I454" s="27"/>
      <c r="J454" s="27"/>
      <c r="K454" s="27"/>
      <c r="L454" s="27"/>
      <c r="M454" s="107"/>
      <c r="N454" s="133"/>
    </row>
    <row r="455" spans="1:14" s="24" customFormat="1" ht="15" x14ac:dyDescent="0.25">
      <c r="A455" s="20"/>
      <c r="B455" s="20"/>
      <c r="C455" s="21" t="s">
        <v>171</v>
      </c>
      <c r="D455" s="22">
        <f>SUM(D450:D454)</f>
        <v>1092762</v>
      </c>
      <c r="E455" s="22">
        <v>82145.38</v>
      </c>
      <c r="F455" s="22">
        <v>0</v>
      </c>
      <c r="G455" s="22">
        <v>542269.32999999996</v>
      </c>
      <c r="H455" s="22">
        <v>550492.67000000004</v>
      </c>
      <c r="I455" s="22">
        <v>49.62</v>
      </c>
      <c r="J455" s="27">
        <f>+K455-D455</f>
        <v>102160.80000000005</v>
      </c>
      <c r="K455" s="22">
        <f>SUM(K450:K454)</f>
        <v>1194922.8</v>
      </c>
      <c r="L455" s="22">
        <f>SUM(L450:L454)</f>
        <v>1269605.4750000001</v>
      </c>
      <c r="M455" s="134">
        <f>SUM(M450:M454)</f>
        <v>1358477.85825</v>
      </c>
      <c r="N455" s="134">
        <f>SUM(N450:N454)</f>
        <v>1453571.3083274998</v>
      </c>
    </row>
    <row r="456" spans="1:14" s="24" customFormat="1" ht="15" x14ac:dyDescent="0.25">
      <c r="A456" s="20"/>
      <c r="B456" s="20"/>
      <c r="C456" s="21"/>
      <c r="D456" s="22"/>
      <c r="E456" s="22"/>
      <c r="F456" s="22"/>
      <c r="G456" s="22"/>
      <c r="H456" s="22"/>
      <c r="I456" s="22"/>
      <c r="J456" s="27"/>
      <c r="K456" s="27"/>
      <c r="L456" s="22"/>
      <c r="M456" s="134"/>
      <c r="N456" s="132"/>
    </row>
    <row r="457" spans="1:14" s="24" customFormat="1" ht="15" x14ac:dyDescent="0.25">
      <c r="A457" s="20"/>
      <c r="B457" s="20"/>
      <c r="C457" s="21" t="s">
        <v>172</v>
      </c>
      <c r="D457" s="22"/>
      <c r="E457" s="22"/>
      <c r="F457" s="22"/>
      <c r="G457" s="22"/>
      <c r="H457" s="22"/>
      <c r="I457" s="22"/>
      <c r="J457" s="27">
        <f ca="1">+K457-D457</f>
        <v>276424</v>
      </c>
      <c r="K457" s="27">
        <f ca="1">D457+J457</f>
        <v>0</v>
      </c>
      <c r="L457" s="22"/>
      <c r="M457" s="134"/>
      <c r="N457" s="132"/>
    </row>
    <row r="458" spans="1:14" x14ac:dyDescent="0.2">
      <c r="A458" s="25"/>
      <c r="B458" s="25"/>
      <c r="C458" s="26"/>
      <c r="D458" s="27"/>
      <c r="E458" s="27"/>
      <c r="F458" s="27"/>
      <c r="G458" s="27"/>
      <c r="H458" s="27"/>
      <c r="I458" s="27"/>
      <c r="J458" s="27"/>
      <c r="K458" s="27"/>
      <c r="L458" s="27"/>
      <c r="M458" s="107"/>
      <c r="N458" s="133"/>
    </row>
    <row r="459" spans="1:14" x14ac:dyDescent="0.2">
      <c r="A459" s="25" t="s">
        <v>1293</v>
      </c>
      <c r="B459" s="25"/>
      <c r="C459" s="26" t="s">
        <v>173</v>
      </c>
      <c r="D459" s="27">
        <f>VLOOKUP(A459,fin,3,FALSE)</f>
        <v>82612</v>
      </c>
      <c r="E459" s="27">
        <v>0</v>
      </c>
      <c r="F459" s="27">
        <v>0</v>
      </c>
      <c r="G459" s="27">
        <v>1217.71</v>
      </c>
      <c r="H459" s="27">
        <v>-1217.71</v>
      </c>
      <c r="I459" s="27">
        <v>0</v>
      </c>
      <c r="J459" s="27">
        <f>+K459-D459</f>
        <v>0</v>
      </c>
      <c r="K459" s="27">
        <f>VLOOKUP(A459,fin,4,FALSE)</f>
        <v>82612</v>
      </c>
      <c r="L459" s="27">
        <f>K459*6.25/100+K459</f>
        <v>87775.25</v>
      </c>
      <c r="M459" s="107">
        <f t="shared" ref="M459:N461" si="78">L459*7/100+L459</f>
        <v>93919.517500000002</v>
      </c>
      <c r="N459" s="133">
        <f t="shared" si="78"/>
        <v>100493.88372500001</v>
      </c>
    </row>
    <row r="460" spans="1:14" x14ac:dyDescent="0.2">
      <c r="A460" s="25" t="s">
        <v>1294</v>
      </c>
      <c r="B460" s="25"/>
      <c r="C460" s="26" t="s">
        <v>174</v>
      </c>
      <c r="D460" s="27">
        <f>VLOOKUP(A460,fin,3,FALSE)</f>
        <v>107209</v>
      </c>
      <c r="E460" s="27">
        <v>0</v>
      </c>
      <c r="F460" s="27">
        <v>0</v>
      </c>
      <c r="G460" s="27">
        <v>1217.71</v>
      </c>
      <c r="H460" s="27">
        <v>-1217.71</v>
      </c>
      <c r="I460" s="27">
        <v>0</v>
      </c>
      <c r="J460" s="27">
        <f>+K460-D460</f>
        <v>0</v>
      </c>
      <c r="K460" s="27">
        <f>VLOOKUP(A460,fin,4,FALSE)</f>
        <v>107209</v>
      </c>
      <c r="L460" s="27">
        <f>K460*6.25/100+K460</f>
        <v>113909.5625</v>
      </c>
      <c r="M460" s="107">
        <f t="shared" si="78"/>
        <v>121883.231875</v>
      </c>
      <c r="N460" s="133">
        <f t="shared" si="78"/>
        <v>130415.05810625</v>
      </c>
    </row>
    <row r="461" spans="1:14" x14ac:dyDescent="0.2">
      <c r="A461" s="25" t="s">
        <v>1295</v>
      </c>
      <c r="B461" s="25"/>
      <c r="C461" s="26" t="s">
        <v>175</v>
      </c>
      <c r="D461" s="27">
        <f>VLOOKUP(A461,fin,3,FALSE)</f>
        <v>53913</v>
      </c>
      <c r="E461" s="27">
        <v>0</v>
      </c>
      <c r="F461" s="27">
        <v>0</v>
      </c>
      <c r="G461" s="27">
        <v>1217.71</v>
      </c>
      <c r="H461" s="27">
        <v>-1217.71</v>
      </c>
      <c r="I461" s="27">
        <v>0</v>
      </c>
      <c r="J461" s="27">
        <f>+K461-D461</f>
        <v>0</v>
      </c>
      <c r="K461" s="27">
        <f>VLOOKUP(A461,fin,4,FALSE)</f>
        <v>53913</v>
      </c>
      <c r="L461" s="27">
        <f>K461*6.25/100+K461</f>
        <v>57282.5625</v>
      </c>
      <c r="M461" s="107">
        <f t="shared" si="78"/>
        <v>61292.341874999998</v>
      </c>
      <c r="N461" s="133">
        <f t="shared" si="78"/>
        <v>65582.805806249991</v>
      </c>
    </row>
    <row r="462" spans="1:14" x14ac:dyDescent="0.2">
      <c r="A462" s="25"/>
      <c r="B462" s="25"/>
      <c r="C462" s="26"/>
      <c r="D462" s="27"/>
      <c r="E462" s="27"/>
      <c r="F462" s="27"/>
      <c r="G462" s="27"/>
      <c r="H462" s="27"/>
      <c r="I462" s="27"/>
      <c r="J462" s="27"/>
      <c r="K462" s="27"/>
      <c r="L462" s="27"/>
      <c r="M462" s="107"/>
      <c r="N462" s="133"/>
    </row>
    <row r="463" spans="1:14" s="24" customFormat="1" ht="15" x14ac:dyDescent="0.25">
      <c r="A463" s="20"/>
      <c r="B463" s="20"/>
      <c r="C463" s="21" t="s">
        <v>176</v>
      </c>
      <c r="D463" s="22">
        <f>SUM(D459:D462)</f>
        <v>243734</v>
      </c>
      <c r="E463" s="22">
        <v>0</v>
      </c>
      <c r="F463" s="22">
        <v>0</v>
      </c>
      <c r="G463" s="22">
        <v>0</v>
      </c>
      <c r="H463" s="22">
        <v>243734</v>
      </c>
      <c r="I463" s="22">
        <v>0</v>
      </c>
      <c r="J463" s="27">
        <f>+K463-D463</f>
        <v>0</v>
      </c>
      <c r="K463" s="22">
        <f>SUM(K459:K462)</f>
        <v>243734</v>
      </c>
      <c r="L463" s="22">
        <f>SUM(L459:L462)</f>
        <v>258967.375</v>
      </c>
      <c r="M463" s="134">
        <f>SUM(M459:M462)</f>
        <v>277095.09125</v>
      </c>
      <c r="N463" s="134">
        <f>SUM(N459:N462)</f>
        <v>296491.7476375</v>
      </c>
    </row>
    <row r="464" spans="1:14" s="24" customFormat="1" ht="15" x14ac:dyDescent="0.25">
      <c r="A464" s="20"/>
      <c r="B464" s="20"/>
      <c r="C464" s="21"/>
      <c r="D464" s="22"/>
      <c r="E464" s="22"/>
      <c r="F464" s="22"/>
      <c r="G464" s="22"/>
      <c r="H464" s="22"/>
      <c r="I464" s="22"/>
      <c r="J464" s="27"/>
      <c r="K464" s="27"/>
      <c r="L464" s="22"/>
      <c r="M464" s="134"/>
      <c r="N464" s="132"/>
    </row>
    <row r="465" spans="1:14" s="24" customFormat="1" ht="15" x14ac:dyDescent="0.25">
      <c r="A465" s="20"/>
      <c r="B465" s="20"/>
      <c r="C465" s="21" t="s">
        <v>177</v>
      </c>
      <c r="D465" s="22">
        <f>+D446+D455+D463</f>
        <v>6955573</v>
      </c>
      <c r="E465" s="22">
        <v>556448.72</v>
      </c>
      <c r="F465" s="22">
        <v>0</v>
      </c>
      <c r="G465" s="22">
        <v>3085696.95</v>
      </c>
      <c r="H465" s="22">
        <v>3869876.05</v>
      </c>
      <c r="I465" s="22">
        <v>44.36</v>
      </c>
      <c r="J465" s="27">
        <f>+K465-D465</f>
        <v>54742.240000000224</v>
      </c>
      <c r="K465" s="22">
        <f>+K446+K455+K463</f>
        <v>7010315.2400000002</v>
      </c>
      <c r="L465" s="22">
        <f>+L446+L455+L463</f>
        <v>7448459.9425000008</v>
      </c>
      <c r="M465" s="134">
        <f>+M446+M455+M463</f>
        <v>7969852.1384749999</v>
      </c>
      <c r="N465" s="134">
        <f>+N446+N455+N463</f>
        <v>8527741.7881682478</v>
      </c>
    </row>
    <row r="466" spans="1:14" s="24" customFormat="1" ht="15" x14ac:dyDescent="0.25">
      <c r="A466" s="20"/>
      <c r="B466" s="20"/>
      <c r="C466" s="21"/>
      <c r="D466" s="22"/>
      <c r="E466" s="22"/>
      <c r="F466" s="22"/>
      <c r="G466" s="22"/>
      <c r="H466" s="22"/>
      <c r="I466" s="22"/>
      <c r="J466" s="27"/>
      <c r="K466" s="27"/>
      <c r="L466" s="22"/>
      <c r="M466" s="134"/>
      <c r="N466" s="132"/>
    </row>
    <row r="467" spans="1:14" s="24" customFormat="1" ht="15" x14ac:dyDescent="0.25">
      <c r="A467" s="20"/>
      <c r="B467" s="20"/>
      <c r="C467" s="21" t="s">
        <v>178</v>
      </c>
      <c r="D467" s="22">
        <f>D465</f>
        <v>6955573</v>
      </c>
      <c r="E467" s="22">
        <v>556448.72</v>
      </c>
      <c r="F467" s="22">
        <v>0</v>
      </c>
      <c r="G467" s="22">
        <v>3085696.95</v>
      </c>
      <c r="H467" s="22">
        <v>3869876.05</v>
      </c>
      <c r="I467" s="22">
        <v>44.36</v>
      </c>
      <c r="J467" s="27">
        <f>+K467-D467</f>
        <v>54742.240000000224</v>
      </c>
      <c r="K467" s="22">
        <f>K465</f>
        <v>7010315.2400000002</v>
      </c>
      <c r="L467" s="22">
        <f>L465</f>
        <v>7448459.9425000008</v>
      </c>
      <c r="M467" s="134">
        <f>M465</f>
        <v>7969852.1384749999</v>
      </c>
      <c r="N467" s="134">
        <f>N465</f>
        <v>8527741.7881682478</v>
      </c>
    </row>
    <row r="468" spans="1:14" s="24" customFormat="1" ht="15" x14ac:dyDescent="0.25">
      <c r="A468" s="20"/>
      <c r="B468" s="20"/>
      <c r="C468" s="21"/>
      <c r="D468" s="22"/>
      <c r="E468" s="22"/>
      <c r="F468" s="22"/>
      <c r="G468" s="22"/>
      <c r="H468" s="22"/>
      <c r="I468" s="22"/>
      <c r="J468" s="27"/>
      <c r="K468" s="27"/>
      <c r="L468" s="22"/>
      <c r="M468" s="134"/>
      <c r="N468" s="132"/>
    </row>
    <row r="469" spans="1:14" s="24" customFormat="1" ht="15" x14ac:dyDescent="0.25">
      <c r="A469" s="20"/>
      <c r="B469" s="20"/>
      <c r="C469" s="21" t="s">
        <v>241</v>
      </c>
      <c r="D469" s="22"/>
      <c r="E469" s="22"/>
      <c r="F469" s="22"/>
      <c r="G469" s="22"/>
      <c r="H469" s="22"/>
      <c r="I469" s="22"/>
      <c r="J469" s="27"/>
      <c r="K469" s="27"/>
      <c r="L469" s="22"/>
      <c r="M469" s="134"/>
      <c r="N469" s="132"/>
    </row>
    <row r="470" spans="1:14" x14ac:dyDescent="0.2">
      <c r="A470" s="25"/>
      <c r="B470" s="25"/>
      <c r="C470" s="26"/>
      <c r="D470" s="27"/>
      <c r="E470" s="27"/>
      <c r="F470" s="27"/>
      <c r="G470" s="27"/>
      <c r="H470" s="27"/>
      <c r="I470" s="27"/>
      <c r="J470" s="27"/>
      <c r="K470" s="27"/>
      <c r="L470" s="27"/>
      <c r="M470" s="107"/>
      <c r="N470" s="133"/>
    </row>
    <row r="471" spans="1:14" x14ac:dyDescent="0.2">
      <c r="A471" s="25" t="s">
        <v>1296</v>
      </c>
      <c r="B471" s="25"/>
      <c r="C471" s="26" t="s">
        <v>265</v>
      </c>
      <c r="D471" s="27">
        <f>VLOOKUP(A471,fin,3,FALSE)</f>
        <v>56387</v>
      </c>
      <c r="E471" s="27">
        <v>0</v>
      </c>
      <c r="F471" s="27">
        <v>0</v>
      </c>
      <c r="G471" s="27">
        <v>1217.71</v>
      </c>
      <c r="H471" s="27">
        <v>-1217.71</v>
      </c>
      <c r="I471" s="27">
        <v>0</v>
      </c>
      <c r="J471" s="27">
        <f>+K471-D471</f>
        <v>0</v>
      </c>
      <c r="K471" s="27">
        <f>VLOOKUP(A471,fin,4,FALSE)</f>
        <v>56387</v>
      </c>
      <c r="L471" s="27">
        <f>K471*4.5/100+K471</f>
        <v>58924.415000000001</v>
      </c>
      <c r="M471" s="107">
        <f>L471*4.6/100+L471</f>
        <v>61634.938090000003</v>
      </c>
      <c r="N471" s="133">
        <f>M471*4.6/100+M471</f>
        <v>64470.145242140003</v>
      </c>
    </row>
    <row r="472" spans="1:14" x14ac:dyDescent="0.2">
      <c r="A472" s="25" t="s">
        <v>1297</v>
      </c>
      <c r="B472" s="25"/>
      <c r="C472" s="26" t="s">
        <v>268</v>
      </c>
      <c r="D472" s="27">
        <f>VLOOKUP(A472,fin,3,FALSE)</f>
        <v>13448</v>
      </c>
      <c r="E472" s="27">
        <v>0</v>
      </c>
      <c r="F472" s="27">
        <v>0</v>
      </c>
      <c r="G472" s="27">
        <v>1217.71</v>
      </c>
      <c r="H472" s="27">
        <v>-1217.71</v>
      </c>
      <c r="I472" s="27">
        <v>0</v>
      </c>
      <c r="J472" s="27">
        <f>+K472-D472</f>
        <v>36267</v>
      </c>
      <c r="K472" s="27">
        <f>VLOOKUP(A472,fin,4,FALSE)</f>
        <v>49715</v>
      </c>
      <c r="L472" s="27">
        <f>K472*4.5/100+K472</f>
        <v>51952.175000000003</v>
      </c>
      <c r="M472" s="107">
        <f>L472*4.6/100+L472</f>
        <v>54341.975050000001</v>
      </c>
      <c r="N472" s="133">
        <f>M472*4.6/100+M472</f>
        <v>56841.705902300004</v>
      </c>
    </row>
    <row r="473" spans="1:14" x14ac:dyDescent="0.2">
      <c r="A473" s="25"/>
      <c r="B473" s="25"/>
      <c r="C473" s="26"/>
      <c r="D473" s="27"/>
      <c r="E473" s="27"/>
      <c r="F473" s="27"/>
      <c r="G473" s="27"/>
      <c r="H473" s="27"/>
      <c r="I473" s="27"/>
      <c r="J473" s="27"/>
      <c r="K473" s="27"/>
      <c r="L473" s="27"/>
      <c r="M473" s="107"/>
      <c r="N473" s="133"/>
    </row>
    <row r="474" spans="1:14" s="24" customFormat="1" ht="15" x14ac:dyDescent="0.25">
      <c r="A474" s="20"/>
      <c r="B474" s="20"/>
      <c r="C474" s="21" t="s">
        <v>274</v>
      </c>
      <c r="D474" s="22">
        <f>SUM(D471:D473)</f>
        <v>69835</v>
      </c>
      <c r="E474" s="22">
        <v>5576.96</v>
      </c>
      <c r="F474" s="22">
        <v>0</v>
      </c>
      <c r="G474" s="22">
        <v>49833.36</v>
      </c>
      <c r="H474" s="22">
        <v>20001.64</v>
      </c>
      <c r="I474" s="22">
        <v>71.349999999999994</v>
      </c>
      <c r="J474" s="27">
        <f>+K474-D474</f>
        <v>36267</v>
      </c>
      <c r="K474" s="22">
        <f>SUM(K471:K473)</f>
        <v>106102</v>
      </c>
      <c r="L474" s="22">
        <f>SUM(L471:L473)</f>
        <v>110876.59</v>
      </c>
      <c r="M474" s="134">
        <f>SUM(M471:M473)</f>
        <v>115976.91314</v>
      </c>
      <c r="N474" s="134">
        <f>SUM(N471:N473)</f>
        <v>121311.85114444001</v>
      </c>
    </row>
    <row r="475" spans="1:14" s="24" customFormat="1" ht="15" x14ac:dyDescent="0.25">
      <c r="A475" s="20"/>
      <c r="B475" s="20"/>
      <c r="C475" s="21"/>
      <c r="D475" s="22"/>
      <c r="E475" s="22"/>
      <c r="F475" s="22"/>
      <c r="G475" s="22"/>
      <c r="H475" s="22"/>
      <c r="I475" s="22"/>
      <c r="J475" s="27"/>
      <c r="K475" s="27"/>
      <c r="L475" s="22"/>
      <c r="M475" s="134"/>
      <c r="N475" s="132"/>
    </row>
    <row r="476" spans="1:14" s="24" customFormat="1" ht="15" x14ac:dyDescent="0.25">
      <c r="A476" s="20"/>
      <c r="B476" s="20"/>
      <c r="C476" s="21" t="s">
        <v>288</v>
      </c>
      <c r="D476" s="22"/>
      <c r="E476" s="22"/>
      <c r="F476" s="22"/>
      <c r="G476" s="22"/>
      <c r="H476" s="22"/>
      <c r="I476" s="22"/>
      <c r="J476" s="27">
        <f ca="1">+K476-D476</f>
        <v>276424</v>
      </c>
      <c r="K476" s="27">
        <f ca="1">D476+J476</f>
        <v>0</v>
      </c>
      <c r="L476" s="22"/>
      <c r="M476" s="134"/>
      <c r="N476" s="132"/>
    </row>
    <row r="477" spans="1:14" x14ac:dyDescent="0.2">
      <c r="A477" s="25"/>
      <c r="B477" s="25"/>
      <c r="C477" s="26"/>
      <c r="D477" s="27"/>
      <c r="E477" s="27"/>
      <c r="F477" s="27"/>
      <c r="G477" s="27"/>
      <c r="H477" s="27"/>
      <c r="I477" s="27"/>
      <c r="J477" s="27"/>
      <c r="K477" s="27"/>
      <c r="L477" s="27"/>
      <c r="M477" s="107"/>
      <c r="N477" s="133"/>
    </row>
    <row r="478" spans="1:14" x14ac:dyDescent="0.2">
      <c r="A478" s="25" t="s">
        <v>1298</v>
      </c>
      <c r="B478" s="25"/>
      <c r="C478" s="26" t="s">
        <v>288</v>
      </c>
      <c r="D478" s="27">
        <f>VLOOKUP(A478,fin,3,FALSE)</f>
        <v>0</v>
      </c>
      <c r="E478" s="27">
        <v>0</v>
      </c>
      <c r="F478" s="27">
        <v>0</v>
      </c>
      <c r="G478" s="27">
        <v>1217.71</v>
      </c>
      <c r="H478" s="27">
        <v>-1217.71</v>
      </c>
      <c r="I478" s="27">
        <v>0</v>
      </c>
      <c r="J478" s="27">
        <f>+K478-D478</f>
        <v>0</v>
      </c>
      <c r="K478" s="27">
        <f>VLOOKUP(A478,fin,4,FALSE)</f>
        <v>0</v>
      </c>
      <c r="L478" s="27">
        <f>VLOOKUP(A478,fin,5,FALSE)</f>
        <v>0</v>
      </c>
      <c r="M478" s="107">
        <f>VLOOKUP(A478,fin,6,FALSE)</f>
        <v>0</v>
      </c>
      <c r="N478" s="133"/>
    </row>
    <row r="479" spans="1:14" x14ac:dyDescent="0.2">
      <c r="A479" s="25"/>
      <c r="B479" s="25"/>
      <c r="C479" s="26"/>
      <c r="D479" s="27"/>
      <c r="E479" s="27"/>
      <c r="F479" s="27"/>
      <c r="G479" s="27"/>
      <c r="H479" s="27"/>
      <c r="I479" s="27"/>
      <c r="J479" s="27"/>
      <c r="K479" s="27"/>
      <c r="L479" s="27"/>
      <c r="M479" s="107"/>
      <c r="N479" s="133"/>
    </row>
    <row r="480" spans="1:14" s="24" customFormat="1" ht="15" x14ac:dyDescent="0.25">
      <c r="A480" s="20"/>
      <c r="B480" s="20"/>
      <c r="C480" s="21" t="s">
        <v>289</v>
      </c>
      <c r="D480" s="22">
        <f>SUM(D478:D479)</f>
        <v>0</v>
      </c>
      <c r="E480" s="22">
        <v>0</v>
      </c>
      <c r="F480" s="22">
        <v>0</v>
      </c>
      <c r="G480" s="22">
        <v>185362.16</v>
      </c>
      <c r="H480" s="22">
        <v>-185362.16</v>
      </c>
      <c r="I480" s="22">
        <v>0</v>
      </c>
      <c r="J480" s="27">
        <f>+K480-D480</f>
        <v>0</v>
      </c>
      <c r="K480" s="22">
        <f>SUM(K478:K479)</f>
        <v>0</v>
      </c>
      <c r="L480" s="22">
        <f>SUM(L478:L479)</f>
        <v>0</v>
      </c>
      <c r="M480" s="134">
        <f>SUM(M478:M479)</f>
        <v>0</v>
      </c>
      <c r="N480" s="132"/>
    </row>
    <row r="481" spans="1:14" s="24" customFormat="1" ht="15" x14ac:dyDescent="0.25">
      <c r="A481" s="20"/>
      <c r="B481" s="20"/>
      <c r="C481" s="21"/>
      <c r="D481" s="22"/>
      <c r="E481" s="22"/>
      <c r="F481" s="22"/>
      <c r="G481" s="22"/>
      <c r="H481" s="22"/>
      <c r="I481" s="22"/>
      <c r="J481" s="27"/>
      <c r="K481" s="27"/>
      <c r="L481" s="22"/>
      <c r="M481" s="134"/>
      <c r="N481" s="132"/>
    </row>
    <row r="482" spans="1:14" s="24" customFormat="1" ht="15" x14ac:dyDescent="0.25">
      <c r="A482" s="20"/>
      <c r="B482" s="20"/>
      <c r="C482" s="21" t="s">
        <v>290</v>
      </c>
      <c r="D482" s="22"/>
      <c r="E482" s="22"/>
      <c r="F482" s="22"/>
      <c r="G482" s="22"/>
      <c r="H482" s="22"/>
      <c r="I482" s="22"/>
      <c r="J482" s="27">
        <f ca="1">+K482-D482</f>
        <v>276424</v>
      </c>
      <c r="K482" s="27">
        <f ca="1">D482+J482</f>
        <v>0</v>
      </c>
      <c r="L482" s="22"/>
      <c r="M482" s="134"/>
      <c r="N482" s="132"/>
    </row>
    <row r="483" spans="1:14" x14ac:dyDescent="0.2">
      <c r="A483" s="25"/>
      <c r="B483" s="25"/>
      <c r="C483" s="26"/>
      <c r="D483" s="27"/>
      <c r="E483" s="27"/>
      <c r="F483" s="27"/>
      <c r="G483" s="27"/>
      <c r="H483" s="27"/>
      <c r="I483" s="27"/>
      <c r="J483" s="27"/>
      <c r="K483" s="27"/>
      <c r="L483" s="27"/>
      <c r="M483" s="107"/>
      <c r="N483" s="133"/>
    </row>
    <row r="484" spans="1:14" x14ac:dyDescent="0.2">
      <c r="A484" s="25" t="s">
        <v>1299</v>
      </c>
      <c r="B484" s="25"/>
      <c r="C484" s="26" t="s">
        <v>292</v>
      </c>
      <c r="D484" s="27">
        <f>VLOOKUP(A484,fin,3,FALSE)</f>
        <v>3371</v>
      </c>
      <c r="E484" s="27">
        <v>0</v>
      </c>
      <c r="F484" s="27">
        <v>0</v>
      </c>
      <c r="G484" s="27">
        <v>1217.71</v>
      </c>
      <c r="H484" s="27">
        <v>-1217.71</v>
      </c>
      <c r="I484" s="27">
        <v>0</v>
      </c>
      <c r="J484" s="27">
        <f>+K484-D484</f>
        <v>0</v>
      </c>
      <c r="K484" s="27">
        <f>VLOOKUP(A484,fin,4,FALSE)</f>
        <v>3371</v>
      </c>
      <c r="L484" s="27">
        <f>K484*4.5/100+K484</f>
        <v>3522.6950000000002</v>
      </c>
      <c r="M484" s="107">
        <f t="shared" ref="M484:N486" si="79">L484*4.6/100+L484</f>
        <v>3684.7389700000003</v>
      </c>
      <c r="N484" s="133">
        <f t="shared" si="79"/>
        <v>3854.2369626200002</v>
      </c>
    </row>
    <row r="485" spans="1:14" x14ac:dyDescent="0.2">
      <c r="A485" s="25" t="s">
        <v>1300</v>
      </c>
      <c r="B485" s="25"/>
      <c r="C485" s="26" t="s">
        <v>293</v>
      </c>
      <c r="D485" s="27">
        <f>VLOOKUP(A485,fin,3,FALSE)</f>
        <v>7219</v>
      </c>
      <c r="E485" s="27">
        <v>0</v>
      </c>
      <c r="F485" s="27">
        <v>0</v>
      </c>
      <c r="G485" s="27">
        <v>1217.71</v>
      </c>
      <c r="H485" s="27">
        <v>-1217.71</v>
      </c>
      <c r="I485" s="27">
        <v>0</v>
      </c>
      <c r="J485" s="27">
        <f>+K485-D485</f>
        <v>0</v>
      </c>
      <c r="K485" s="27">
        <f>VLOOKUP(A485,fin,4,FALSE)</f>
        <v>7219</v>
      </c>
      <c r="L485" s="27">
        <f>K485*4.5/100+K485</f>
        <v>7543.8549999999996</v>
      </c>
      <c r="M485" s="107">
        <f t="shared" si="79"/>
        <v>7890.8723299999992</v>
      </c>
      <c r="N485" s="133">
        <f t="shared" si="79"/>
        <v>8253.852457179999</v>
      </c>
    </row>
    <row r="486" spans="1:14" x14ac:dyDescent="0.2">
      <c r="A486" s="25" t="s">
        <v>1301</v>
      </c>
      <c r="B486" s="25"/>
      <c r="C486" s="26" t="s">
        <v>297</v>
      </c>
      <c r="D486" s="27">
        <f>VLOOKUP(A486,fin,3,FALSE)</f>
        <v>3371</v>
      </c>
      <c r="E486" s="27">
        <v>0</v>
      </c>
      <c r="F486" s="27">
        <v>0</v>
      </c>
      <c r="G486" s="27">
        <v>1217.71</v>
      </c>
      <c r="H486" s="27">
        <v>-1217.71</v>
      </c>
      <c r="I486" s="27">
        <v>0</v>
      </c>
      <c r="J486" s="27">
        <f>+K486-D486</f>
        <v>0</v>
      </c>
      <c r="K486" s="27">
        <f>VLOOKUP(A486,fin,4,FALSE)</f>
        <v>3371</v>
      </c>
      <c r="L486" s="27">
        <f>K486*4.5/100+K486</f>
        <v>3522.6950000000002</v>
      </c>
      <c r="M486" s="107">
        <f t="shared" si="79"/>
        <v>3684.7389700000003</v>
      </c>
      <c r="N486" s="133">
        <f t="shared" si="79"/>
        <v>3854.2369626200002</v>
      </c>
    </row>
    <row r="487" spans="1:14" ht="15" x14ac:dyDescent="0.25">
      <c r="A487" s="25"/>
      <c r="B487" s="25"/>
      <c r="C487" s="26"/>
      <c r="D487" s="27"/>
      <c r="E487" s="27"/>
      <c r="F487" s="27"/>
      <c r="G487" s="27"/>
      <c r="H487" s="27"/>
      <c r="I487" s="27"/>
      <c r="J487" s="27"/>
      <c r="K487" s="27"/>
      <c r="L487" s="22"/>
      <c r="M487" s="134"/>
      <c r="N487" s="133"/>
    </row>
    <row r="488" spans="1:14" s="24" customFormat="1" ht="15" x14ac:dyDescent="0.25">
      <c r="A488" s="20"/>
      <c r="B488" s="20"/>
      <c r="C488" s="21" t="s">
        <v>304</v>
      </c>
      <c r="D488" s="22">
        <f>SUM(D484:D487)</f>
        <v>13961</v>
      </c>
      <c r="E488" s="22">
        <v>5165.96</v>
      </c>
      <c r="F488" s="22">
        <v>0</v>
      </c>
      <c r="G488" s="22">
        <v>15568.32</v>
      </c>
      <c r="H488" s="22">
        <v>-1607.32</v>
      </c>
      <c r="I488" s="22">
        <v>111.51</v>
      </c>
      <c r="J488" s="27">
        <f>+K488-D488</f>
        <v>0</v>
      </c>
      <c r="K488" s="22">
        <f>SUM(K484:K487)</f>
        <v>13961</v>
      </c>
      <c r="L488" s="22">
        <f>SUM(L484:L487)</f>
        <v>14589.244999999999</v>
      </c>
      <c r="M488" s="134">
        <f>SUM(M484:M487)</f>
        <v>15260.350270000001</v>
      </c>
      <c r="N488" s="134">
        <f>SUM(N484:N487)</f>
        <v>15962.326382419998</v>
      </c>
    </row>
    <row r="489" spans="1:14" s="24" customFormat="1" ht="15" x14ac:dyDescent="0.25">
      <c r="A489" s="20"/>
      <c r="B489" s="20"/>
      <c r="C489" s="21"/>
      <c r="D489" s="22"/>
      <c r="E489" s="22"/>
      <c r="F489" s="22"/>
      <c r="G489" s="22"/>
      <c r="H489" s="22"/>
      <c r="I489" s="22"/>
      <c r="J489" s="27"/>
      <c r="K489" s="27"/>
      <c r="L489" s="27"/>
      <c r="M489" s="107"/>
      <c r="N489" s="132"/>
    </row>
    <row r="490" spans="1:14" s="24" customFormat="1" ht="15" x14ac:dyDescent="0.25">
      <c r="A490" s="20"/>
      <c r="B490" s="20"/>
      <c r="C490" s="21" t="s">
        <v>305</v>
      </c>
      <c r="D490" s="22">
        <f>+D467+D474+D488</f>
        <v>7039369</v>
      </c>
      <c r="E490" s="22">
        <v>567191.64</v>
      </c>
      <c r="F490" s="22">
        <v>0</v>
      </c>
      <c r="G490" s="22">
        <v>3336460.79</v>
      </c>
      <c r="H490" s="22">
        <v>3702908.21</v>
      </c>
      <c r="I490" s="22">
        <v>47.39</v>
      </c>
      <c r="J490" s="27">
        <f>+K490-D490</f>
        <v>91009.240000000224</v>
      </c>
      <c r="K490" s="22">
        <f>+K467+K474+K488</f>
        <v>7130378.2400000002</v>
      </c>
      <c r="L490" s="22">
        <f>+L467+L474+L488</f>
        <v>7573925.7775000008</v>
      </c>
      <c r="M490" s="134">
        <f>+M467+M474+M488</f>
        <v>8101089.4018850001</v>
      </c>
      <c r="N490" s="134">
        <f>+N467+N474+N488</f>
        <v>8665015.9656951074</v>
      </c>
    </row>
    <row r="491" spans="1:14" s="24" customFormat="1" ht="15" x14ac:dyDescent="0.25">
      <c r="A491" s="20"/>
      <c r="B491" s="20"/>
      <c r="C491" s="21"/>
      <c r="D491" s="22"/>
      <c r="E491" s="22"/>
      <c r="F491" s="22"/>
      <c r="G491" s="22"/>
      <c r="H491" s="22"/>
      <c r="I491" s="22"/>
      <c r="J491" s="27"/>
      <c r="K491" s="27"/>
      <c r="L491" s="22"/>
      <c r="M491" s="134"/>
      <c r="N491" s="132"/>
    </row>
    <row r="492" spans="1:14" s="24" customFormat="1" ht="15" x14ac:dyDescent="0.25">
      <c r="A492" s="20"/>
      <c r="B492" s="20"/>
      <c r="C492" s="21" t="s">
        <v>306</v>
      </c>
      <c r="D492" s="22">
        <f>+D427+D490</f>
        <v>5027584</v>
      </c>
      <c r="E492" s="22">
        <v>487981.81</v>
      </c>
      <c r="F492" s="22">
        <v>0</v>
      </c>
      <c r="G492" s="22">
        <v>2751463.85</v>
      </c>
      <c r="H492" s="22">
        <v>2276120.15</v>
      </c>
      <c r="I492" s="22">
        <v>54.72</v>
      </c>
      <c r="J492" s="27">
        <f>+K492-D492</f>
        <v>1699258.2400000002</v>
      </c>
      <c r="K492" s="22">
        <f>+K427+K490</f>
        <v>6726842.2400000002</v>
      </c>
      <c r="L492" s="22">
        <f>+L427+L490</f>
        <v>7152230.6575000007</v>
      </c>
      <c r="M492" s="134">
        <f>+M427+M490</f>
        <v>7659996.3063650001</v>
      </c>
      <c r="N492" s="134">
        <f>+N427+N490</f>
        <v>8203632.5877811871</v>
      </c>
    </row>
    <row r="493" spans="1:14" x14ac:dyDescent="0.2">
      <c r="A493" s="25"/>
      <c r="B493" s="25"/>
      <c r="C493" s="26"/>
      <c r="D493" s="27"/>
      <c r="E493" s="27"/>
      <c r="F493" s="27"/>
      <c r="G493" s="27"/>
      <c r="H493" s="27"/>
      <c r="I493" s="27"/>
      <c r="J493" s="27"/>
      <c r="K493" s="27"/>
      <c r="L493" s="27"/>
      <c r="M493" s="107"/>
      <c r="N493" s="133"/>
    </row>
    <row r="494" spans="1:14" s="24" customFormat="1" ht="15" x14ac:dyDescent="0.25">
      <c r="A494" s="20"/>
      <c r="B494" s="20"/>
      <c r="C494" s="21" t="s">
        <v>1302</v>
      </c>
      <c r="D494" s="22"/>
      <c r="E494" s="22"/>
      <c r="F494" s="22"/>
      <c r="G494" s="22"/>
      <c r="H494" s="22"/>
      <c r="I494" s="22"/>
      <c r="J494" s="27">
        <f>+K494-D494</f>
        <v>0</v>
      </c>
      <c r="K494" s="27"/>
      <c r="L494" s="22"/>
      <c r="M494" s="134"/>
      <c r="N494" s="132"/>
    </row>
    <row r="495" spans="1:14" s="24" customFormat="1" ht="15" x14ac:dyDescent="0.25">
      <c r="A495" s="20"/>
      <c r="B495" s="20"/>
      <c r="C495" s="21" t="s">
        <v>9</v>
      </c>
      <c r="D495" s="22"/>
      <c r="E495" s="22"/>
      <c r="F495" s="22"/>
      <c r="G495" s="22"/>
      <c r="H495" s="22"/>
      <c r="I495" s="22"/>
      <c r="J495" s="27">
        <f>+K495-D495</f>
        <v>0</v>
      </c>
      <c r="K495" s="27"/>
      <c r="L495" s="22"/>
      <c r="M495" s="134"/>
      <c r="N495" s="132"/>
    </row>
    <row r="496" spans="1:14" s="24" customFormat="1" ht="15" x14ac:dyDescent="0.25">
      <c r="A496" s="20"/>
      <c r="B496" s="20"/>
      <c r="C496" s="21" t="s">
        <v>41</v>
      </c>
      <c r="D496" s="22"/>
      <c r="E496" s="22"/>
      <c r="F496" s="22"/>
      <c r="G496" s="22"/>
      <c r="H496" s="22"/>
      <c r="I496" s="22"/>
      <c r="J496" s="27">
        <f>+K496-D496</f>
        <v>0</v>
      </c>
      <c r="K496" s="27"/>
      <c r="L496" s="22"/>
      <c r="M496" s="134"/>
      <c r="N496" s="132"/>
    </row>
    <row r="497" spans="1:14" s="24" customFormat="1" ht="15" x14ac:dyDescent="0.25">
      <c r="A497" s="20"/>
      <c r="B497" s="20"/>
      <c r="C497" s="21" t="s">
        <v>42</v>
      </c>
      <c r="D497" s="22"/>
      <c r="E497" s="22"/>
      <c r="F497" s="22"/>
      <c r="G497" s="22"/>
      <c r="H497" s="22"/>
      <c r="I497" s="22"/>
      <c r="J497" s="27">
        <f>+K497-D497</f>
        <v>0</v>
      </c>
      <c r="K497" s="27"/>
      <c r="L497" s="22"/>
      <c r="M497" s="134"/>
      <c r="N497" s="132"/>
    </row>
    <row r="498" spans="1:14" x14ac:dyDescent="0.2">
      <c r="A498" s="25"/>
      <c r="B498" s="25"/>
      <c r="C498" s="26"/>
      <c r="D498" s="27"/>
      <c r="E498" s="27"/>
      <c r="F498" s="27"/>
      <c r="G498" s="27"/>
      <c r="H498" s="27"/>
      <c r="I498" s="27"/>
      <c r="J498" s="27"/>
      <c r="K498" s="27"/>
      <c r="L498" s="27"/>
      <c r="M498" s="107"/>
      <c r="N498" s="133"/>
    </row>
    <row r="499" spans="1:14" x14ac:dyDescent="0.2">
      <c r="A499" s="25" t="s">
        <v>1303</v>
      </c>
      <c r="B499" s="25"/>
      <c r="C499" s="26" t="s">
        <v>52</v>
      </c>
      <c r="D499" s="27">
        <f>VLOOKUP(A499,fin,3,FALSE)</f>
        <v>0</v>
      </c>
      <c r="E499" s="27">
        <v>0</v>
      </c>
      <c r="F499" s="27">
        <v>0</v>
      </c>
      <c r="G499" s="27">
        <v>1217.71</v>
      </c>
      <c r="H499" s="27">
        <v>-1217.71</v>
      </c>
      <c r="I499" s="27">
        <v>0</v>
      </c>
      <c r="J499" s="27">
        <f>+K499-D499</f>
        <v>0</v>
      </c>
      <c r="K499" s="27">
        <f>VLOOKUP(A499,fin,4,FALSE)</f>
        <v>0</v>
      </c>
      <c r="L499" s="27">
        <f>VLOOKUP(A499,fin,5,FALSE)</f>
        <v>0</v>
      </c>
      <c r="M499" s="107">
        <f>VLOOKUP(A499,fin,6,FALSE)</f>
        <v>0</v>
      </c>
      <c r="N499" s="133"/>
    </row>
    <row r="500" spans="1:14" x14ac:dyDescent="0.2">
      <c r="A500" s="25"/>
      <c r="B500" s="25"/>
      <c r="C500" s="26"/>
      <c r="D500" s="27"/>
      <c r="E500" s="27"/>
      <c r="F500" s="27"/>
      <c r="G500" s="27"/>
      <c r="H500" s="27"/>
      <c r="I500" s="27"/>
      <c r="J500" s="27"/>
      <c r="K500" s="27"/>
      <c r="L500" s="27"/>
      <c r="M500" s="107"/>
      <c r="N500" s="133"/>
    </row>
    <row r="501" spans="1:14" s="24" customFormat="1" ht="15" x14ac:dyDescent="0.25">
      <c r="A501" s="20"/>
      <c r="B501" s="20"/>
      <c r="C501" s="21" t="s">
        <v>55</v>
      </c>
      <c r="D501" s="22">
        <f>SUM(D499:D500)</f>
        <v>0</v>
      </c>
      <c r="E501" s="22">
        <v>-64386</v>
      </c>
      <c r="F501" s="22">
        <v>0</v>
      </c>
      <c r="G501" s="22">
        <v>-386530.28</v>
      </c>
      <c r="H501" s="22">
        <v>386530.28</v>
      </c>
      <c r="I501" s="22">
        <v>0</v>
      </c>
      <c r="J501" s="27">
        <f>+K501-D501</f>
        <v>0</v>
      </c>
      <c r="K501" s="22">
        <f>SUM(K499:K500)</f>
        <v>0</v>
      </c>
      <c r="L501" s="22">
        <f>SUM(L499:L500)</f>
        <v>0</v>
      </c>
      <c r="M501" s="134">
        <f>SUM(M499:M500)</f>
        <v>0</v>
      </c>
      <c r="N501" s="132"/>
    </row>
    <row r="502" spans="1:14" s="24" customFormat="1" ht="15" x14ac:dyDescent="0.25">
      <c r="A502" s="20"/>
      <c r="B502" s="20"/>
      <c r="C502" s="21"/>
      <c r="D502" s="22"/>
      <c r="E502" s="22"/>
      <c r="F502" s="22"/>
      <c r="G502" s="22"/>
      <c r="H502" s="22"/>
      <c r="I502" s="22"/>
      <c r="J502" s="27"/>
      <c r="K502" s="27"/>
      <c r="L502" s="22"/>
      <c r="M502" s="134"/>
      <c r="N502" s="132"/>
    </row>
    <row r="503" spans="1:14" s="24" customFormat="1" ht="15" x14ac:dyDescent="0.25">
      <c r="A503" s="20"/>
      <c r="B503" s="20"/>
      <c r="C503" s="21" t="s">
        <v>56</v>
      </c>
      <c r="D503" s="22"/>
      <c r="E503" s="22"/>
      <c r="F503" s="22"/>
      <c r="G503" s="22"/>
      <c r="H503" s="22"/>
      <c r="I503" s="22"/>
      <c r="J503" s="27">
        <f>+K503-D503</f>
        <v>0</v>
      </c>
      <c r="K503" s="27"/>
      <c r="L503" s="22"/>
      <c r="M503" s="134"/>
      <c r="N503" s="132"/>
    </row>
    <row r="504" spans="1:14" x14ac:dyDescent="0.2">
      <c r="A504" s="25"/>
      <c r="B504" s="25"/>
      <c r="C504" s="26"/>
      <c r="D504" s="27"/>
      <c r="E504" s="27"/>
      <c r="F504" s="27"/>
      <c r="G504" s="27"/>
      <c r="H504" s="27"/>
      <c r="I504" s="27"/>
      <c r="J504" s="27"/>
      <c r="K504" s="27"/>
      <c r="L504" s="27"/>
      <c r="M504" s="107"/>
      <c r="N504" s="133"/>
    </row>
    <row r="505" spans="1:14" x14ac:dyDescent="0.2">
      <c r="A505" s="25" t="s">
        <v>1304</v>
      </c>
      <c r="B505" s="25"/>
      <c r="C505" s="26" t="s">
        <v>60</v>
      </c>
      <c r="D505" s="27">
        <f>VLOOKUP(A505,fin,3,FALSE)</f>
        <v>-88683</v>
      </c>
      <c r="E505" s="27">
        <v>0</v>
      </c>
      <c r="F505" s="27">
        <v>0</v>
      </c>
      <c r="G505" s="27">
        <v>1217.71</v>
      </c>
      <c r="H505" s="27">
        <v>-1217.71</v>
      </c>
      <c r="I505" s="27">
        <v>0</v>
      </c>
      <c r="J505" s="27">
        <f>+K505-D505</f>
        <v>88683</v>
      </c>
      <c r="K505" s="27">
        <f>VLOOKUP(A505,fin,4,FALSE)</f>
        <v>0</v>
      </c>
      <c r="L505" s="27">
        <f>VLOOKUP(A505,fin,5,FALSE)</f>
        <v>0</v>
      </c>
      <c r="M505" s="107">
        <f>VLOOKUP(A505,fin,6,FALSE)</f>
        <v>0</v>
      </c>
      <c r="N505" s="133"/>
    </row>
    <row r="506" spans="1:14" x14ac:dyDescent="0.2">
      <c r="A506" s="25"/>
      <c r="B506" s="25"/>
      <c r="C506" s="26"/>
      <c r="D506" s="27"/>
      <c r="E506" s="27"/>
      <c r="F506" s="27"/>
      <c r="G506" s="27"/>
      <c r="H506" s="27"/>
      <c r="I506" s="27"/>
      <c r="J506" s="27"/>
      <c r="K506" s="27"/>
      <c r="L506" s="27"/>
      <c r="M506" s="107"/>
      <c r="N506" s="133"/>
    </row>
    <row r="507" spans="1:14" s="24" customFormat="1" ht="15" x14ac:dyDescent="0.25">
      <c r="A507" s="20"/>
      <c r="B507" s="20"/>
      <c r="C507" s="21" t="s">
        <v>64</v>
      </c>
      <c r="D507" s="22">
        <f>SUM(D505:D506)</f>
        <v>-88683</v>
      </c>
      <c r="E507" s="22">
        <v>-11320.92</v>
      </c>
      <c r="F507" s="22">
        <v>0</v>
      </c>
      <c r="G507" s="22">
        <v>-61871.98</v>
      </c>
      <c r="H507" s="22">
        <v>-26811.02</v>
      </c>
      <c r="I507" s="22">
        <v>69.760000000000005</v>
      </c>
      <c r="J507" s="27">
        <f>+K507-D507</f>
        <v>88683</v>
      </c>
      <c r="K507" s="22">
        <f>SUM(K505:K506)</f>
        <v>0</v>
      </c>
      <c r="L507" s="22">
        <f>SUM(L505:L506)</f>
        <v>0</v>
      </c>
      <c r="M507" s="134">
        <f>SUM(M505:M506)</f>
        <v>0</v>
      </c>
      <c r="N507" s="132"/>
    </row>
    <row r="508" spans="1:14" s="24" customFormat="1" ht="15" x14ac:dyDescent="0.25">
      <c r="A508" s="20"/>
      <c r="B508" s="20"/>
      <c r="C508" s="21"/>
      <c r="D508" s="22"/>
      <c r="E508" s="22"/>
      <c r="F508" s="22"/>
      <c r="G508" s="22"/>
      <c r="H508" s="22"/>
      <c r="I508" s="22"/>
      <c r="J508" s="27"/>
      <c r="K508" s="27"/>
      <c r="L508" s="22"/>
      <c r="M508" s="134"/>
      <c r="N508" s="132"/>
    </row>
    <row r="509" spans="1:14" s="24" customFormat="1" ht="15" x14ac:dyDescent="0.25">
      <c r="A509" s="20"/>
      <c r="B509" s="20"/>
      <c r="C509" s="21" t="s">
        <v>67</v>
      </c>
      <c r="D509" s="22"/>
      <c r="E509" s="22"/>
      <c r="F509" s="22"/>
      <c r="G509" s="22"/>
      <c r="H509" s="22"/>
      <c r="I509" s="22"/>
      <c r="J509" s="27">
        <f>+K509-D509</f>
        <v>0</v>
      </c>
      <c r="K509" s="27"/>
      <c r="L509" s="22"/>
      <c r="M509" s="134"/>
      <c r="N509" s="132"/>
    </row>
    <row r="510" spans="1:14" x14ac:dyDescent="0.2">
      <c r="A510" s="25"/>
      <c r="B510" s="25"/>
      <c r="C510" s="26"/>
      <c r="D510" s="27"/>
      <c r="E510" s="27"/>
      <c r="F510" s="27"/>
      <c r="G510" s="27"/>
      <c r="H510" s="27"/>
      <c r="I510" s="27"/>
      <c r="J510" s="27"/>
      <c r="K510" s="27"/>
      <c r="L510" s="27"/>
      <c r="M510" s="107"/>
      <c r="N510" s="133"/>
    </row>
    <row r="511" spans="1:14" x14ac:dyDescent="0.2">
      <c r="A511" s="25" t="s">
        <v>1305</v>
      </c>
      <c r="B511" s="25"/>
      <c r="C511" s="26" t="s">
        <v>68</v>
      </c>
      <c r="D511" s="27">
        <f>'Revenue per source'!C91</f>
        <v>-781881</v>
      </c>
      <c r="E511" s="27">
        <f ca="1">'Revenue per source'!D91</f>
        <v>-781881</v>
      </c>
      <c r="F511" s="27">
        <f ca="1">'Revenue per source'!E91</f>
        <v>-781881</v>
      </c>
      <c r="G511" s="27">
        <f ca="1">'Revenue per source'!F91</f>
        <v>-781881</v>
      </c>
      <c r="H511" s="27">
        <f ca="1">'Revenue per source'!G91</f>
        <v>-781881</v>
      </c>
      <c r="I511" s="27">
        <f ca="1">'Revenue per source'!H91</f>
        <v>-781881</v>
      </c>
      <c r="J511" s="27">
        <f ca="1">'Revenue per source'!I91</f>
        <v>-781881</v>
      </c>
      <c r="K511" s="27">
        <f>'Revenue per source'!J91</f>
        <v>-261169</v>
      </c>
      <c r="L511" s="27">
        <f>'Revenue per source'!K91</f>
        <v>-272921.60499999998</v>
      </c>
      <c r="M511" s="27">
        <f>'Revenue per source'!L91</f>
        <v>-285475.99883</v>
      </c>
      <c r="N511" s="27">
        <f>'Revenue per source'!M91</f>
        <v>-298607.89477617998</v>
      </c>
    </row>
    <row r="512" spans="1:14" x14ac:dyDescent="0.2">
      <c r="A512" s="25"/>
      <c r="B512" s="25"/>
      <c r="C512" s="26"/>
      <c r="D512" s="27"/>
      <c r="E512" s="27"/>
      <c r="F512" s="27"/>
      <c r="G512" s="27"/>
      <c r="H512" s="27"/>
      <c r="I512" s="27"/>
      <c r="J512" s="27"/>
      <c r="K512" s="27"/>
      <c r="L512" s="27"/>
      <c r="M512" s="107"/>
      <c r="N512" s="133"/>
    </row>
    <row r="513" spans="1:14" s="24" customFormat="1" ht="15" x14ac:dyDescent="0.25">
      <c r="A513" s="20"/>
      <c r="B513" s="20"/>
      <c r="C513" s="21" t="s">
        <v>69</v>
      </c>
      <c r="D513" s="22">
        <f>SUM(D511:D512)</f>
        <v>-781881</v>
      </c>
      <c r="E513" s="22">
        <v>0</v>
      </c>
      <c r="F513" s="22">
        <v>0</v>
      </c>
      <c r="G513" s="22">
        <v>0</v>
      </c>
      <c r="H513" s="22">
        <v>-781880</v>
      </c>
      <c r="I513" s="22">
        <v>0</v>
      </c>
      <c r="J513" s="27">
        <f>+K513-D513</f>
        <v>520712</v>
      </c>
      <c r="K513" s="22">
        <f>SUM(K511:K512)</f>
        <v>-261169</v>
      </c>
      <c r="L513" s="22">
        <f>SUM(L511:L512)</f>
        <v>-272921.60499999998</v>
      </c>
      <c r="M513" s="134">
        <f>SUM(M511:M512)</f>
        <v>-285475.99883</v>
      </c>
      <c r="N513" s="134">
        <f>SUM(N511:N512)</f>
        <v>-298607.89477617998</v>
      </c>
    </row>
    <row r="514" spans="1:14" s="24" customFormat="1" ht="15" x14ac:dyDescent="0.25">
      <c r="A514" s="20"/>
      <c r="B514" s="20"/>
      <c r="C514" s="21"/>
      <c r="D514" s="22"/>
      <c r="E514" s="22"/>
      <c r="F514" s="22"/>
      <c r="G514" s="22"/>
      <c r="H514" s="22"/>
      <c r="I514" s="22"/>
      <c r="J514" s="27"/>
      <c r="K514" s="27"/>
      <c r="L514" s="22"/>
      <c r="M514" s="134"/>
      <c r="N514" s="132"/>
    </row>
    <row r="515" spans="1:14" s="24" customFormat="1" ht="15" x14ac:dyDescent="0.25">
      <c r="A515" s="20"/>
      <c r="B515" s="20"/>
      <c r="C515" s="21" t="s">
        <v>94</v>
      </c>
      <c r="D515" s="22">
        <f>+D507+D513</f>
        <v>-870564</v>
      </c>
      <c r="E515" s="22">
        <v>-75706.92</v>
      </c>
      <c r="F515" s="22">
        <v>0</v>
      </c>
      <c r="G515" s="22">
        <v>-448402.26</v>
      </c>
      <c r="H515" s="22">
        <v>-422160.74</v>
      </c>
      <c r="I515" s="22">
        <v>51.5</v>
      </c>
      <c r="J515" s="27">
        <f>+K515-D515</f>
        <v>609395</v>
      </c>
      <c r="K515" s="22">
        <f>+K507+K513</f>
        <v>-261169</v>
      </c>
      <c r="L515" s="22">
        <f>+L507+L513</f>
        <v>-272921.60499999998</v>
      </c>
      <c r="M515" s="134">
        <f>+M507+M513</f>
        <v>-285475.99883</v>
      </c>
      <c r="N515" s="134">
        <f>+N507+N513</f>
        <v>-298607.89477617998</v>
      </c>
    </row>
    <row r="516" spans="1:14" s="24" customFormat="1" ht="15" x14ac:dyDescent="0.25">
      <c r="A516" s="20"/>
      <c r="B516" s="20"/>
      <c r="C516" s="21"/>
      <c r="D516" s="22"/>
      <c r="E516" s="22"/>
      <c r="F516" s="22"/>
      <c r="G516" s="22"/>
      <c r="H516" s="22"/>
      <c r="I516" s="22"/>
      <c r="J516" s="27"/>
      <c r="K516" s="27"/>
      <c r="L516" s="22"/>
      <c r="M516" s="134"/>
      <c r="N516" s="132"/>
    </row>
    <row r="517" spans="1:14" s="24" customFormat="1" ht="15" x14ac:dyDescent="0.25">
      <c r="A517" s="20"/>
      <c r="B517" s="20"/>
      <c r="C517" s="21" t="s">
        <v>95</v>
      </c>
      <c r="D517" s="22">
        <f>D515</f>
        <v>-870564</v>
      </c>
      <c r="E517" s="22">
        <v>-75706.92</v>
      </c>
      <c r="F517" s="22">
        <v>0</v>
      </c>
      <c r="G517" s="22">
        <v>-448402.26</v>
      </c>
      <c r="H517" s="22">
        <v>-422160.74</v>
      </c>
      <c r="I517" s="22">
        <v>51.5</v>
      </c>
      <c r="J517" s="27">
        <f>+K517-D517</f>
        <v>609395</v>
      </c>
      <c r="K517" s="22">
        <f>K515</f>
        <v>-261169</v>
      </c>
      <c r="L517" s="22">
        <f>L515</f>
        <v>-272921.60499999998</v>
      </c>
      <c r="M517" s="134">
        <f>M515</f>
        <v>-285475.99883</v>
      </c>
      <c r="N517" s="134">
        <f>N515</f>
        <v>-298607.89477617998</v>
      </c>
    </row>
    <row r="518" spans="1:14" s="24" customFormat="1" ht="15" x14ac:dyDescent="0.25">
      <c r="A518" s="20"/>
      <c r="B518" s="20"/>
      <c r="C518" s="21"/>
      <c r="D518" s="22"/>
      <c r="E518" s="22"/>
      <c r="F518" s="22"/>
      <c r="G518" s="22"/>
      <c r="H518" s="22"/>
      <c r="I518" s="22"/>
      <c r="J518" s="27"/>
      <c r="K518" s="27"/>
      <c r="L518" s="22"/>
      <c r="M518" s="134"/>
      <c r="N518" s="132"/>
    </row>
    <row r="519" spans="1:14" s="24" customFormat="1" ht="15" x14ac:dyDescent="0.25">
      <c r="A519" s="20"/>
      <c r="B519" s="20"/>
      <c r="C519" s="21" t="s">
        <v>96</v>
      </c>
      <c r="D519" s="22"/>
      <c r="E519" s="22"/>
      <c r="F519" s="22"/>
      <c r="G519" s="22"/>
      <c r="H519" s="22"/>
      <c r="I519" s="22"/>
      <c r="J519" s="27">
        <f>+K519-D519</f>
        <v>0</v>
      </c>
      <c r="K519" s="27"/>
      <c r="L519" s="22"/>
      <c r="M519" s="134"/>
      <c r="N519" s="132"/>
    </row>
    <row r="520" spans="1:14" s="24" customFormat="1" ht="15" x14ac:dyDescent="0.25">
      <c r="A520" s="20"/>
      <c r="B520" s="20"/>
      <c r="C520" s="21" t="s">
        <v>97</v>
      </c>
      <c r="D520" s="22"/>
      <c r="E520" s="22"/>
      <c r="F520" s="22"/>
      <c r="G520" s="22"/>
      <c r="H520" s="22"/>
      <c r="I520" s="22"/>
      <c r="J520" s="27">
        <f>+K520-D520</f>
        <v>0</v>
      </c>
      <c r="K520" s="27"/>
      <c r="L520" s="22"/>
      <c r="M520" s="134"/>
      <c r="N520" s="132"/>
    </row>
    <row r="521" spans="1:14" s="24" customFormat="1" ht="15" x14ac:dyDescent="0.25">
      <c r="A521" s="20"/>
      <c r="B521" s="20"/>
      <c r="C521" s="21" t="s">
        <v>148</v>
      </c>
      <c r="D521" s="22"/>
      <c r="E521" s="22"/>
      <c r="F521" s="22"/>
      <c r="G521" s="22"/>
      <c r="H521" s="22"/>
      <c r="I521" s="22"/>
      <c r="J521" s="27">
        <f>+K521-D521</f>
        <v>0</v>
      </c>
      <c r="K521" s="27"/>
      <c r="L521" s="22"/>
      <c r="M521" s="134"/>
      <c r="N521" s="132"/>
    </row>
    <row r="522" spans="1:14" s="24" customFormat="1" ht="15" x14ac:dyDescent="0.25">
      <c r="A522" s="20"/>
      <c r="B522" s="20"/>
      <c r="C522" s="21" t="s">
        <v>149</v>
      </c>
      <c r="D522" s="22"/>
      <c r="E522" s="22"/>
      <c r="F522" s="22"/>
      <c r="G522" s="22"/>
      <c r="H522" s="22"/>
      <c r="I522" s="22"/>
      <c r="J522" s="27">
        <f>+K522-D522</f>
        <v>0</v>
      </c>
      <c r="K522" s="27"/>
      <c r="L522" s="22"/>
      <c r="M522" s="134"/>
      <c r="N522" s="132"/>
    </row>
    <row r="523" spans="1:14" s="24" customFormat="1" ht="15" x14ac:dyDescent="0.25">
      <c r="A523" s="20"/>
      <c r="B523" s="20"/>
      <c r="C523" s="21"/>
      <c r="D523" s="22"/>
      <c r="E523" s="22"/>
      <c r="F523" s="22"/>
      <c r="G523" s="22"/>
      <c r="H523" s="22"/>
      <c r="I523" s="22"/>
      <c r="J523" s="27"/>
      <c r="K523" s="27"/>
      <c r="L523" s="22"/>
      <c r="M523" s="134"/>
      <c r="N523" s="132"/>
    </row>
    <row r="524" spans="1:14" x14ac:dyDescent="0.2">
      <c r="A524" s="25" t="s">
        <v>1306</v>
      </c>
      <c r="B524" s="25"/>
      <c r="C524" s="26" t="s">
        <v>150</v>
      </c>
      <c r="D524" s="27">
        <f t="shared" ref="D524:D530" si="80">VLOOKUP(A524,fin,3,FALSE)</f>
        <v>1598343</v>
      </c>
      <c r="E524" s="27">
        <v>0</v>
      </c>
      <c r="F524" s="27">
        <v>0</v>
      </c>
      <c r="G524" s="27">
        <v>1217.71</v>
      </c>
      <c r="H524" s="27">
        <v>-1217.71</v>
      </c>
      <c r="I524" s="27">
        <v>0</v>
      </c>
      <c r="J524" s="27">
        <f t="shared" ref="J524:J530" si="81">+K524-D524</f>
        <v>0</v>
      </c>
      <c r="K524" s="27">
        <f t="shared" ref="K524:K530" si="82">VLOOKUP(A524,fin,4,FALSE)</f>
        <v>1598343</v>
      </c>
      <c r="L524" s="27">
        <f>K524*6.25/100+K524</f>
        <v>1698239.4375</v>
      </c>
      <c r="M524" s="107">
        <f>L524*7/100+L524</f>
        <v>1817116.1981250001</v>
      </c>
      <c r="N524" s="133">
        <f>M524*7/100+M524</f>
        <v>1944314.3319937501</v>
      </c>
    </row>
    <row r="525" spans="1:14" x14ac:dyDescent="0.2">
      <c r="A525" s="25" t="s">
        <v>1307</v>
      </c>
      <c r="B525" s="25"/>
      <c r="C525" s="26" t="s">
        <v>151</v>
      </c>
      <c r="D525" s="27">
        <f t="shared" si="80"/>
        <v>72197</v>
      </c>
      <c r="E525" s="27">
        <v>0</v>
      </c>
      <c r="F525" s="27">
        <v>0</v>
      </c>
      <c r="G525" s="27">
        <v>1217.71</v>
      </c>
      <c r="H525" s="27">
        <v>-1217.71</v>
      </c>
      <c r="I525" s="27">
        <v>0</v>
      </c>
      <c r="J525" s="27">
        <f t="shared" si="81"/>
        <v>-21394.460000000006</v>
      </c>
      <c r="K525" s="27">
        <f t="shared" si="82"/>
        <v>50802.539999999994</v>
      </c>
      <c r="L525" s="27">
        <f t="shared" ref="L525:L530" si="83">K525*6.25/100+K525</f>
        <v>53977.698749999996</v>
      </c>
      <c r="M525" s="107">
        <f t="shared" ref="M525:N530" si="84">L525*7/100+L525</f>
        <v>57756.137662499998</v>
      </c>
      <c r="N525" s="133">
        <f t="shared" si="84"/>
        <v>61799.067298874994</v>
      </c>
    </row>
    <row r="526" spans="1:14" x14ac:dyDescent="0.2">
      <c r="A526" s="25" t="s">
        <v>1308</v>
      </c>
      <c r="B526" s="25"/>
      <c r="C526" s="26" t="s">
        <v>155</v>
      </c>
      <c r="D526" s="27">
        <f t="shared" si="80"/>
        <v>51270</v>
      </c>
      <c r="E526" s="27">
        <v>0</v>
      </c>
      <c r="F526" s="27">
        <v>0</v>
      </c>
      <c r="G526" s="27">
        <v>1217.71</v>
      </c>
      <c r="H526" s="27">
        <v>-1217.71</v>
      </c>
      <c r="I526" s="27">
        <v>0</v>
      </c>
      <c r="J526" s="27">
        <f t="shared" si="81"/>
        <v>0</v>
      </c>
      <c r="K526" s="27">
        <f t="shared" si="82"/>
        <v>51270</v>
      </c>
      <c r="L526" s="27">
        <f t="shared" si="83"/>
        <v>54474.375</v>
      </c>
      <c r="M526" s="107">
        <f t="shared" si="84"/>
        <v>58287.581250000003</v>
      </c>
      <c r="N526" s="133">
        <f t="shared" si="84"/>
        <v>62367.711937500004</v>
      </c>
    </row>
    <row r="527" spans="1:14" x14ac:dyDescent="0.2">
      <c r="A527" s="25" t="s">
        <v>1309</v>
      </c>
      <c r="B527" s="25"/>
      <c r="C527" s="26" t="s">
        <v>157</v>
      </c>
      <c r="D527" s="27">
        <f t="shared" si="80"/>
        <v>75281</v>
      </c>
      <c r="E527" s="27">
        <v>0</v>
      </c>
      <c r="F527" s="27">
        <v>0</v>
      </c>
      <c r="G527" s="27">
        <v>1217.71</v>
      </c>
      <c r="H527" s="27">
        <v>-1217.71</v>
      </c>
      <c r="I527" s="27">
        <v>0</v>
      </c>
      <c r="J527" s="27">
        <f t="shared" si="81"/>
        <v>-10000</v>
      </c>
      <c r="K527" s="27">
        <f t="shared" si="82"/>
        <v>65281</v>
      </c>
      <c r="L527" s="27">
        <f t="shared" si="83"/>
        <v>69361.0625</v>
      </c>
      <c r="M527" s="107">
        <f t="shared" si="84"/>
        <v>74216.336874999994</v>
      </c>
      <c r="N527" s="133">
        <f t="shared" si="84"/>
        <v>79411.480456249992</v>
      </c>
    </row>
    <row r="528" spans="1:14" x14ac:dyDescent="0.2">
      <c r="A528" s="25" t="s">
        <v>1310</v>
      </c>
      <c r="B528" s="25"/>
      <c r="C528" s="26" t="s">
        <v>159</v>
      </c>
      <c r="D528" s="27">
        <f t="shared" si="80"/>
        <v>129955</v>
      </c>
      <c r="E528" s="27">
        <v>0</v>
      </c>
      <c r="F528" s="27">
        <v>0</v>
      </c>
      <c r="G528" s="27">
        <v>1217.71</v>
      </c>
      <c r="H528" s="27">
        <v>-1217.71</v>
      </c>
      <c r="I528" s="27">
        <v>0</v>
      </c>
      <c r="J528" s="27">
        <f t="shared" si="81"/>
        <v>0</v>
      </c>
      <c r="K528" s="27">
        <f t="shared" si="82"/>
        <v>129955</v>
      </c>
      <c r="L528" s="27">
        <f t="shared" si="83"/>
        <v>138077.1875</v>
      </c>
      <c r="M528" s="107">
        <f t="shared" si="84"/>
        <v>147742.59062500001</v>
      </c>
      <c r="N528" s="133">
        <f t="shared" si="84"/>
        <v>158084.57196875001</v>
      </c>
    </row>
    <row r="529" spans="1:14" x14ac:dyDescent="0.2">
      <c r="A529" s="25" t="s">
        <v>1311</v>
      </c>
      <c r="B529" s="25"/>
      <c r="C529" s="26" t="s">
        <v>161</v>
      </c>
      <c r="D529" s="27">
        <f t="shared" si="80"/>
        <v>22568</v>
      </c>
      <c r="E529" s="27">
        <v>0</v>
      </c>
      <c r="F529" s="27">
        <v>0</v>
      </c>
      <c r="G529" s="27">
        <v>1217.71</v>
      </c>
      <c r="H529" s="27">
        <v>-1217.71</v>
      </c>
      <c r="I529" s="27">
        <v>0</v>
      </c>
      <c r="J529" s="27">
        <f t="shared" si="81"/>
        <v>0</v>
      </c>
      <c r="K529" s="27">
        <f t="shared" si="82"/>
        <v>22568</v>
      </c>
      <c r="L529" s="27">
        <f t="shared" si="83"/>
        <v>23978.5</v>
      </c>
      <c r="M529" s="107">
        <f t="shared" si="84"/>
        <v>25656.994999999999</v>
      </c>
      <c r="N529" s="133">
        <f t="shared" si="84"/>
        <v>27452.984649999999</v>
      </c>
    </row>
    <row r="530" spans="1:14" x14ac:dyDescent="0.2">
      <c r="A530" s="25" t="s">
        <v>1312</v>
      </c>
      <c r="B530" s="25"/>
      <c r="C530" s="26" t="s">
        <v>162</v>
      </c>
      <c r="D530" s="27">
        <f t="shared" si="80"/>
        <v>0</v>
      </c>
      <c r="E530" s="27">
        <v>0</v>
      </c>
      <c r="F530" s="27">
        <v>0</v>
      </c>
      <c r="G530" s="27">
        <v>1217.71</v>
      </c>
      <c r="H530" s="27">
        <v>-1217.71</v>
      </c>
      <c r="I530" s="27">
        <v>0</v>
      </c>
      <c r="J530" s="27">
        <f t="shared" si="81"/>
        <v>10000</v>
      </c>
      <c r="K530" s="27">
        <f t="shared" si="82"/>
        <v>10000</v>
      </c>
      <c r="L530" s="27">
        <f t="shared" si="83"/>
        <v>10625</v>
      </c>
      <c r="M530" s="107">
        <f t="shared" si="84"/>
        <v>11368.75</v>
      </c>
      <c r="N530" s="133">
        <f t="shared" si="84"/>
        <v>12164.5625</v>
      </c>
    </row>
    <row r="531" spans="1:14" x14ac:dyDescent="0.2">
      <c r="A531" s="25"/>
      <c r="B531" s="25"/>
      <c r="C531" s="26"/>
      <c r="D531" s="27"/>
      <c r="E531" s="27"/>
      <c r="F531" s="27"/>
      <c r="G531" s="27"/>
      <c r="H531" s="27"/>
      <c r="I531" s="27"/>
      <c r="J531" s="27"/>
      <c r="K531" s="27"/>
      <c r="L531" s="27"/>
      <c r="M531" s="107"/>
      <c r="N531" s="133"/>
    </row>
    <row r="532" spans="1:14" s="24" customFormat="1" ht="15" x14ac:dyDescent="0.25">
      <c r="A532" s="20"/>
      <c r="B532" s="20"/>
      <c r="C532" s="21" t="s">
        <v>165</v>
      </c>
      <c r="D532" s="22">
        <f>SUM(D524:D531)</f>
        <v>1949614</v>
      </c>
      <c r="E532" s="22">
        <f>SUM(E524:E531)</f>
        <v>0</v>
      </c>
      <c r="F532" s="22">
        <f>SUM(F524:F531)</f>
        <v>0</v>
      </c>
      <c r="G532" s="22">
        <f>SUM(G524:G531)</f>
        <v>8523.9700000000012</v>
      </c>
      <c r="H532" s="22">
        <f>SUM(H524:H531)</f>
        <v>-8523.9700000000012</v>
      </c>
      <c r="I532" s="22">
        <v>52.17</v>
      </c>
      <c r="J532" s="27">
        <f>+K532-D532</f>
        <v>-21394.459999999963</v>
      </c>
      <c r="K532" s="22">
        <f>SUM(K524:K531)</f>
        <v>1928219.54</v>
      </c>
      <c r="L532" s="22">
        <f>SUM(L524:L531)</f>
        <v>2048733.26125</v>
      </c>
      <c r="M532" s="134">
        <f>SUM(M524:M531)</f>
        <v>2192144.5895375004</v>
      </c>
      <c r="N532" s="134">
        <f>SUM(N524:N531)</f>
        <v>2345594.7108051251</v>
      </c>
    </row>
    <row r="533" spans="1:14" s="24" customFormat="1" ht="15" x14ac:dyDescent="0.25">
      <c r="A533" s="20"/>
      <c r="B533" s="20"/>
      <c r="C533" s="21"/>
      <c r="D533" s="22"/>
      <c r="E533" s="22"/>
      <c r="F533" s="22"/>
      <c r="G533" s="22"/>
      <c r="H533" s="22"/>
      <c r="I533" s="22"/>
      <c r="J533" s="27"/>
      <c r="K533" s="27"/>
      <c r="L533" s="22"/>
      <c r="M533" s="134"/>
      <c r="N533" s="132"/>
    </row>
    <row r="534" spans="1:14" s="24" customFormat="1" ht="15" x14ac:dyDescent="0.25">
      <c r="A534" s="20"/>
      <c r="B534" s="20"/>
      <c r="C534" s="21" t="s">
        <v>166</v>
      </c>
      <c r="D534" s="22"/>
      <c r="E534" s="22"/>
      <c r="F534" s="22"/>
      <c r="G534" s="22"/>
      <c r="H534" s="22"/>
      <c r="I534" s="22"/>
      <c r="J534" s="27">
        <f>+K534-D534</f>
        <v>0</v>
      </c>
      <c r="K534" s="27"/>
      <c r="L534" s="22"/>
      <c r="M534" s="134"/>
      <c r="N534" s="132"/>
    </row>
    <row r="535" spans="1:14" x14ac:dyDescent="0.2">
      <c r="A535" s="25"/>
      <c r="B535" s="25"/>
      <c r="C535" s="26"/>
      <c r="D535" s="27"/>
      <c r="E535" s="27"/>
      <c r="F535" s="27"/>
      <c r="G535" s="27"/>
      <c r="H535" s="27"/>
      <c r="I535" s="27"/>
      <c r="J535" s="27"/>
      <c r="K535" s="27"/>
      <c r="L535" s="27"/>
      <c r="M535" s="107"/>
      <c r="N535" s="133"/>
    </row>
    <row r="536" spans="1:14" x14ac:dyDescent="0.2">
      <c r="A536" s="25" t="s">
        <v>1313</v>
      </c>
      <c r="B536" s="25"/>
      <c r="C536" s="26" t="s">
        <v>167</v>
      </c>
      <c r="D536" s="27">
        <f>VLOOKUP(A536,fin,3,FALSE)</f>
        <v>674</v>
      </c>
      <c r="E536" s="27">
        <v>0</v>
      </c>
      <c r="F536" s="27">
        <v>0</v>
      </c>
      <c r="G536" s="27">
        <v>1217.71</v>
      </c>
      <c r="H536" s="27">
        <v>-1217.71</v>
      </c>
      <c r="I536" s="27">
        <v>0</v>
      </c>
      <c r="J536" s="27">
        <f>+K536-D536</f>
        <v>0</v>
      </c>
      <c r="K536" s="27">
        <f>VLOOKUP(A536,fin,4,FALSE)</f>
        <v>674</v>
      </c>
      <c r="L536" s="27">
        <f>K536*6.25/100+K536</f>
        <v>716.125</v>
      </c>
      <c r="M536" s="107">
        <f t="shared" ref="M536:N539" si="85">L536*7/100+L536</f>
        <v>766.25374999999997</v>
      </c>
      <c r="N536" s="133">
        <f t="shared" si="85"/>
        <v>819.89151249999998</v>
      </c>
    </row>
    <row r="537" spans="1:14" x14ac:dyDescent="0.2">
      <c r="A537" s="25" t="s">
        <v>1314</v>
      </c>
      <c r="B537" s="25"/>
      <c r="C537" s="26" t="s">
        <v>168</v>
      </c>
      <c r="D537" s="27">
        <f>VLOOKUP(A537,fin,3,FALSE)</f>
        <v>67191</v>
      </c>
      <c r="E537" s="27">
        <v>0</v>
      </c>
      <c r="F537" s="27">
        <v>0</v>
      </c>
      <c r="G537" s="27">
        <v>1217.71</v>
      </c>
      <c r="H537" s="27">
        <v>-1217.71</v>
      </c>
      <c r="I537" s="27">
        <v>0</v>
      </c>
      <c r="J537" s="27">
        <f>+K537-D537</f>
        <v>0</v>
      </c>
      <c r="K537" s="27">
        <f>VLOOKUP(A537,fin,4,FALSE)</f>
        <v>67191</v>
      </c>
      <c r="L537" s="27">
        <f>K537*6.25/100+K537</f>
        <v>71390.4375</v>
      </c>
      <c r="M537" s="107">
        <f t="shared" si="85"/>
        <v>76387.768125000002</v>
      </c>
      <c r="N537" s="133">
        <f t="shared" si="85"/>
        <v>81734.911893750002</v>
      </c>
    </row>
    <row r="538" spans="1:14" x14ac:dyDescent="0.2">
      <c r="A538" s="25" t="s">
        <v>1315</v>
      </c>
      <c r="B538" s="25"/>
      <c r="C538" s="26" t="s">
        <v>169</v>
      </c>
      <c r="D538" s="27">
        <f>VLOOKUP(A538,fin,3,FALSE)</f>
        <v>343082</v>
      </c>
      <c r="E538" s="27">
        <v>0</v>
      </c>
      <c r="F538" s="27">
        <v>0</v>
      </c>
      <c r="G538" s="27">
        <v>1217.71</v>
      </c>
      <c r="H538" s="27">
        <v>-1217.71</v>
      </c>
      <c r="I538" s="27">
        <v>0</v>
      </c>
      <c r="J538" s="27">
        <f>+K538-D538</f>
        <v>0</v>
      </c>
      <c r="K538" s="27">
        <f>VLOOKUP(A538,fin,4,FALSE)</f>
        <v>343082</v>
      </c>
      <c r="L538" s="27">
        <f>K538*6.25/100+K538</f>
        <v>364524.625</v>
      </c>
      <c r="M538" s="107">
        <f t="shared" si="85"/>
        <v>390041.34875</v>
      </c>
      <c r="N538" s="133">
        <f t="shared" si="85"/>
        <v>417344.24316250003</v>
      </c>
    </row>
    <row r="539" spans="1:14" x14ac:dyDescent="0.2">
      <c r="A539" s="25" t="s">
        <v>1316</v>
      </c>
      <c r="B539" s="25"/>
      <c r="C539" s="26" t="s">
        <v>170</v>
      </c>
      <c r="D539" s="27">
        <f>VLOOKUP(A539,fin,3,FALSE)</f>
        <v>12495</v>
      </c>
      <c r="E539" s="27">
        <v>0</v>
      </c>
      <c r="F539" s="27">
        <v>0</v>
      </c>
      <c r="G539" s="27">
        <v>1217.71</v>
      </c>
      <c r="H539" s="27">
        <v>-1217.71</v>
      </c>
      <c r="I539" s="27">
        <v>0</v>
      </c>
      <c r="J539" s="27">
        <f>+K539-D539</f>
        <v>0</v>
      </c>
      <c r="K539" s="27">
        <f>VLOOKUP(A539,fin,4,FALSE)</f>
        <v>12495</v>
      </c>
      <c r="L539" s="27">
        <f>K539*6.25/100+K539</f>
        <v>13275.9375</v>
      </c>
      <c r="M539" s="107">
        <f t="shared" si="85"/>
        <v>14205.253124999999</v>
      </c>
      <c r="N539" s="133">
        <f t="shared" si="85"/>
        <v>15199.620843749999</v>
      </c>
    </row>
    <row r="540" spans="1:14" x14ac:dyDescent="0.2">
      <c r="A540" s="25"/>
      <c r="B540" s="25"/>
      <c r="C540" s="26"/>
      <c r="D540" s="27"/>
      <c r="E540" s="27"/>
      <c r="F540" s="27"/>
      <c r="G540" s="27"/>
      <c r="H540" s="27"/>
      <c r="I540" s="27"/>
      <c r="J540" s="27"/>
      <c r="K540" s="27"/>
      <c r="L540" s="27"/>
      <c r="M540" s="107"/>
      <c r="N540" s="133"/>
    </row>
    <row r="541" spans="1:14" s="24" customFormat="1" ht="15" x14ac:dyDescent="0.25">
      <c r="A541" s="20"/>
      <c r="B541" s="20"/>
      <c r="C541" s="21" t="s">
        <v>171</v>
      </c>
      <c r="D541" s="22">
        <f>SUM(D536:D540)</f>
        <v>423442</v>
      </c>
      <c r="E541" s="22">
        <f>SUM(E536:E540)</f>
        <v>0</v>
      </c>
      <c r="F541" s="22">
        <f>SUM(F536:F540)</f>
        <v>0</v>
      </c>
      <c r="G541" s="22">
        <f>SUM(G536:G540)</f>
        <v>4870.84</v>
      </c>
      <c r="H541" s="22">
        <f>SUM(H536:H540)</f>
        <v>-4870.84</v>
      </c>
      <c r="I541" s="22">
        <v>52.11</v>
      </c>
      <c r="J541" s="27">
        <f>+K541-D541</f>
        <v>0</v>
      </c>
      <c r="K541" s="22">
        <f>SUM(K536:K540)</f>
        <v>423442</v>
      </c>
      <c r="L541" s="22">
        <f>SUM(L536:L540)</f>
        <v>449907.125</v>
      </c>
      <c r="M541" s="134">
        <f>SUM(M536:M540)</f>
        <v>481400.62374999997</v>
      </c>
      <c r="N541" s="134">
        <f>SUM(N536:N540)</f>
        <v>515098.66741250007</v>
      </c>
    </row>
    <row r="542" spans="1:14" s="24" customFormat="1" ht="15" x14ac:dyDescent="0.25">
      <c r="A542" s="20"/>
      <c r="B542" s="20"/>
      <c r="C542" s="21"/>
      <c r="D542" s="22"/>
      <c r="E542" s="22"/>
      <c r="F542" s="22"/>
      <c r="G542" s="22"/>
      <c r="H542" s="22"/>
      <c r="I542" s="22"/>
      <c r="J542" s="27"/>
      <c r="K542" s="27"/>
      <c r="L542" s="22"/>
      <c r="M542" s="134"/>
      <c r="N542" s="132"/>
    </row>
    <row r="543" spans="1:14" s="24" customFormat="1" ht="15" x14ac:dyDescent="0.25">
      <c r="A543" s="20"/>
      <c r="B543" s="20"/>
      <c r="C543" s="21" t="s">
        <v>172</v>
      </c>
      <c r="D543" s="22"/>
      <c r="E543" s="22"/>
      <c r="F543" s="22"/>
      <c r="G543" s="22"/>
      <c r="H543" s="22"/>
      <c r="I543" s="22"/>
      <c r="J543" s="27">
        <f>+K543-D543</f>
        <v>0</v>
      </c>
      <c r="K543" s="27"/>
      <c r="L543" s="22"/>
      <c r="M543" s="134"/>
      <c r="N543" s="132"/>
    </row>
    <row r="544" spans="1:14" x14ac:dyDescent="0.2">
      <c r="A544" s="25"/>
      <c r="B544" s="25"/>
      <c r="C544" s="26"/>
      <c r="D544" s="27"/>
      <c r="E544" s="27"/>
      <c r="F544" s="27"/>
      <c r="G544" s="27"/>
      <c r="H544" s="27"/>
      <c r="I544" s="27"/>
      <c r="J544" s="27"/>
      <c r="K544" s="27"/>
      <c r="L544" s="27"/>
      <c r="M544" s="107"/>
      <c r="N544" s="133"/>
    </row>
    <row r="545" spans="1:14" x14ac:dyDescent="0.2">
      <c r="A545" s="25" t="s">
        <v>1317</v>
      </c>
      <c r="B545" s="25"/>
      <c r="C545" s="26" t="s">
        <v>173</v>
      </c>
      <c r="D545" s="27">
        <f>VLOOKUP(A545,fin,3,FALSE)</f>
        <v>30119</v>
      </c>
      <c r="E545" s="27">
        <v>0</v>
      </c>
      <c r="F545" s="27">
        <v>0</v>
      </c>
      <c r="G545" s="27">
        <v>1217.71</v>
      </c>
      <c r="H545" s="27">
        <v>-1217.71</v>
      </c>
      <c r="I545" s="27">
        <v>0</v>
      </c>
      <c r="J545" s="27">
        <f>+K545-D545</f>
        <v>0</v>
      </c>
      <c r="K545" s="27">
        <f>VLOOKUP(A545,fin,4,FALSE)</f>
        <v>30119</v>
      </c>
      <c r="L545" s="27">
        <f>K545*6.25/100+K545</f>
        <v>32001.4375</v>
      </c>
      <c r="M545" s="107">
        <f t="shared" ref="M545:N547" si="86">L545*7/100+L545</f>
        <v>34241.538124999999</v>
      </c>
      <c r="N545" s="133">
        <f t="shared" si="86"/>
        <v>36638.445793749997</v>
      </c>
    </row>
    <row r="546" spans="1:14" x14ac:dyDescent="0.2">
      <c r="A546" s="25" t="s">
        <v>1318</v>
      </c>
      <c r="B546" s="25"/>
      <c r="C546" s="26" t="s">
        <v>174</v>
      </c>
      <c r="D546" s="27">
        <f>VLOOKUP(A546,fin,3,FALSE)</f>
        <v>42336</v>
      </c>
      <c r="E546" s="27">
        <v>0</v>
      </c>
      <c r="F546" s="27">
        <v>0</v>
      </c>
      <c r="G546" s="27">
        <v>1217.71</v>
      </c>
      <c r="H546" s="27">
        <v>-1217.71</v>
      </c>
      <c r="I546" s="27">
        <v>0</v>
      </c>
      <c r="J546" s="27">
        <f>+K546-D546</f>
        <v>0</v>
      </c>
      <c r="K546" s="27">
        <f>VLOOKUP(A546,fin,4,FALSE)</f>
        <v>42336</v>
      </c>
      <c r="L546" s="27">
        <f>K546*6.25/100+K546</f>
        <v>44982</v>
      </c>
      <c r="M546" s="107">
        <f t="shared" si="86"/>
        <v>48130.74</v>
      </c>
      <c r="N546" s="133">
        <f t="shared" si="86"/>
        <v>51499.891799999998</v>
      </c>
    </row>
    <row r="547" spans="1:14" x14ac:dyDescent="0.2">
      <c r="A547" s="25" t="s">
        <v>1319</v>
      </c>
      <c r="B547" s="25"/>
      <c r="C547" s="26" t="s">
        <v>175</v>
      </c>
      <c r="D547" s="27">
        <f>VLOOKUP(A547,fin,3,FALSE)</f>
        <v>28718</v>
      </c>
      <c r="E547" s="27">
        <v>0</v>
      </c>
      <c r="F547" s="27">
        <v>0</v>
      </c>
      <c r="G547" s="27">
        <v>1217.71</v>
      </c>
      <c r="H547" s="27">
        <v>-1217.71</v>
      </c>
      <c r="I547" s="27">
        <v>0</v>
      </c>
      <c r="J547" s="27">
        <f>+K547-D547</f>
        <v>0</v>
      </c>
      <c r="K547" s="27">
        <f>VLOOKUP(A547,fin,4,FALSE)</f>
        <v>28718</v>
      </c>
      <c r="L547" s="27">
        <f>K547*6.25/100+K547</f>
        <v>30512.875</v>
      </c>
      <c r="M547" s="107">
        <f t="shared" si="86"/>
        <v>32648.776249999999</v>
      </c>
      <c r="N547" s="133">
        <f t="shared" si="86"/>
        <v>34934.190587500001</v>
      </c>
    </row>
    <row r="548" spans="1:14" x14ac:dyDescent="0.2">
      <c r="A548" s="25"/>
      <c r="B548" s="25"/>
      <c r="C548" s="26"/>
      <c r="D548" s="27"/>
      <c r="E548" s="27"/>
      <c r="F548" s="27"/>
      <c r="G548" s="27"/>
      <c r="H548" s="27"/>
      <c r="I548" s="27"/>
      <c r="J548" s="27"/>
      <c r="K548" s="27"/>
      <c r="L548" s="27"/>
      <c r="M548" s="107"/>
      <c r="N548" s="133"/>
    </row>
    <row r="549" spans="1:14" s="24" customFormat="1" ht="15" x14ac:dyDescent="0.25">
      <c r="A549" s="20"/>
      <c r="B549" s="20"/>
      <c r="C549" s="21" t="s">
        <v>176</v>
      </c>
      <c r="D549" s="22">
        <f>SUM(D545:D548)</f>
        <v>101173</v>
      </c>
      <c r="E549" s="22">
        <f>SUM(E545:E548)</f>
        <v>0</v>
      </c>
      <c r="F549" s="22">
        <f>SUM(F545:F548)</f>
        <v>0</v>
      </c>
      <c r="G549" s="22">
        <f>SUM(G545:G548)</f>
        <v>3653.13</v>
      </c>
      <c r="H549" s="22">
        <f>SUM(H545:H548)</f>
        <v>-3653.13</v>
      </c>
      <c r="I549" s="22">
        <v>0</v>
      </c>
      <c r="J549" s="27">
        <f>+K549-D549</f>
        <v>0</v>
      </c>
      <c r="K549" s="22">
        <f>SUM(K545:K548)</f>
        <v>101173</v>
      </c>
      <c r="L549" s="22">
        <f>SUM(L545:L548)</f>
        <v>107496.3125</v>
      </c>
      <c r="M549" s="134">
        <f>SUM(M545:M548)</f>
        <v>115021.05437499999</v>
      </c>
      <c r="N549" s="134">
        <f>SUM(N545:N548)</f>
        <v>123072.52818125</v>
      </c>
    </row>
    <row r="550" spans="1:14" s="24" customFormat="1" ht="15" x14ac:dyDescent="0.25">
      <c r="A550" s="20"/>
      <c r="B550" s="20"/>
      <c r="C550" s="21"/>
      <c r="D550" s="22"/>
      <c r="E550" s="22"/>
      <c r="F550" s="22"/>
      <c r="G550" s="22"/>
      <c r="H550" s="22"/>
      <c r="I550" s="22"/>
      <c r="J550" s="27"/>
      <c r="K550" s="22"/>
      <c r="L550" s="22"/>
      <c r="M550" s="134"/>
      <c r="N550" s="132"/>
    </row>
    <row r="551" spans="1:14" s="24" customFormat="1" ht="15" x14ac:dyDescent="0.25">
      <c r="A551" s="20"/>
      <c r="B551" s="20"/>
      <c r="C551" s="21" t="s">
        <v>177</v>
      </c>
      <c r="D551" s="22">
        <f>D532+D541+D549</f>
        <v>2474229</v>
      </c>
      <c r="E551" s="22">
        <f t="shared" ref="E551:N551" si="87">E532+E541+E549</f>
        <v>0</v>
      </c>
      <c r="F551" s="22">
        <f t="shared" si="87"/>
        <v>0</v>
      </c>
      <c r="G551" s="22">
        <f t="shared" si="87"/>
        <v>17047.940000000002</v>
      </c>
      <c r="H551" s="22">
        <f t="shared" si="87"/>
        <v>-17047.940000000002</v>
      </c>
      <c r="I551" s="22">
        <v>50.03</v>
      </c>
      <c r="J551" s="27">
        <f>+K551-D551</f>
        <v>-21394.459999999963</v>
      </c>
      <c r="K551" s="22">
        <f t="shared" si="87"/>
        <v>2452834.54</v>
      </c>
      <c r="L551" s="22">
        <f t="shared" si="87"/>
        <v>2606136.69875</v>
      </c>
      <c r="M551" s="134">
        <f t="shared" si="87"/>
        <v>2788566.2676625</v>
      </c>
      <c r="N551" s="134">
        <f t="shared" si="87"/>
        <v>2983765.9063988752</v>
      </c>
    </row>
    <row r="552" spans="1:14" s="24" customFormat="1" ht="15" x14ac:dyDescent="0.25">
      <c r="A552" s="20"/>
      <c r="B552" s="20"/>
      <c r="C552" s="21"/>
      <c r="D552" s="22"/>
      <c r="E552" s="22"/>
      <c r="F552" s="22"/>
      <c r="G552" s="22"/>
      <c r="H552" s="22"/>
      <c r="I552" s="22"/>
      <c r="J552" s="27"/>
      <c r="K552" s="22"/>
      <c r="L552" s="22"/>
      <c r="M552" s="134"/>
      <c r="N552" s="132"/>
    </row>
    <row r="553" spans="1:14" s="24" customFormat="1" ht="15" x14ac:dyDescent="0.25">
      <c r="A553" s="20"/>
      <c r="B553" s="20"/>
      <c r="C553" s="21" t="s">
        <v>178</v>
      </c>
      <c r="D553" s="22">
        <f>D551</f>
        <v>2474229</v>
      </c>
      <c r="E553" s="22">
        <f t="shared" ref="E553:N553" si="88">E551</f>
        <v>0</v>
      </c>
      <c r="F553" s="22">
        <f t="shared" si="88"/>
        <v>0</v>
      </c>
      <c r="G553" s="22">
        <f t="shared" si="88"/>
        <v>17047.940000000002</v>
      </c>
      <c r="H553" s="22">
        <f t="shared" si="88"/>
        <v>-17047.940000000002</v>
      </c>
      <c r="I553" s="22">
        <v>50.03</v>
      </c>
      <c r="J553" s="27">
        <f>+K553-D553</f>
        <v>-21394.459999999963</v>
      </c>
      <c r="K553" s="22">
        <f t="shared" si="88"/>
        <v>2452834.54</v>
      </c>
      <c r="L553" s="22">
        <f t="shared" si="88"/>
        <v>2606136.69875</v>
      </c>
      <c r="M553" s="134">
        <f t="shared" si="88"/>
        <v>2788566.2676625</v>
      </c>
      <c r="N553" s="134">
        <f t="shared" si="88"/>
        <v>2983765.9063988752</v>
      </c>
    </row>
    <row r="554" spans="1:14" x14ac:dyDescent="0.2">
      <c r="A554" s="25"/>
      <c r="B554" s="25"/>
      <c r="C554" s="26"/>
      <c r="D554" s="27"/>
      <c r="E554" s="27"/>
      <c r="F554" s="27"/>
      <c r="G554" s="27"/>
      <c r="H554" s="27"/>
      <c r="I554" s="27"/>
      <c r="J554" s="27"/>
      <c r="K554" s="27"/>
      <c r="L554" s="27"/>
      <c r="M554" s="107"/>
      <c r="N554" s="133"/>
    </row>
    <row r="555" spans="1:14" s="24" customFormat="1" ht="15" x14ac:dyDescent="0.25">
      <c r="A555" s="20"/>
      <c r="B555" s="20"/>
      <c r="C555" s="21" t="s">
        <v>241</v>
      </c>
      <c r="D555" s="22"/>
      <c r="E555" s="22"/>
      <c r="F555" s="22"/>
      <c r="G555" s="22"/>
      <c r="H555" s="22"/>
      <c r="I555" s="22"/>
      <c r="J555" s="27">
        <f>+K555-D555</f>
        <v>0</v>
      </c>
      <c r="K555" s="27"/>
      <c r="L555" s="22"/>
      <c r="M555" s="134"/>
      <c r="N555" s="132"/>
    </row>
    <row r="556" spans="1:14" x14ac:dyDescent="0.2">
      <c r="A556" s="25"/>
      <c r="B556" s="25"/>
      <c r="C556" s="26"/>
      <c r="D556" s="27"/>
      <c r="E556" s="27"/>
      <c r="F556" s="27"/>
      <c r="G556" s="27"/>
      <c r="H556" s="27"/>
      <c r="I556" s="27"/>
      <c r="J556" s="27"/>
      <c r="K556" s="27"/>
      <c r="L556" s="27"/>
      <c r="M556" s="107"/>
      <c r="N556" s="133"/>
    </row>
    <row r="557" spans="1:14" x14ac:dyDescent="0.2">
      <c r="A557" s="25" t="s">
        <v>1320</v>
      </c>
      <c r="B557" s="25"/>
      <c r="C557" s="26" t="s">
        <v>265</v>
      </c>
      <c r="D557" s="27">
        <f>VLOOKUP(A557,fin,3,FALSE)</f>
        <v>50136</v>
      </c>
      <c r="E557" s="27">
        <v>0</v>
      </c>
      <c r="F557" s="27">
        <v>0</v>
      </c>
      <c r="G557" s="27">
        <v>1217.71</v>
      </c>
      <c r="H557" s="27">
        <v>-1217.71</v>
      </c>
      <c r="I557" s="27">
        <v>0</v>
      </c>
      <c r="J557" s="27">
        <f>+K557-D557</f>
        <v>0</v>
      </c>
      <c r="K557" s="27">
        <f>VLOOKUP(A557,fin,4,FALSE)</f>
        <v>50136</v>
      </c>
      <c r="L557" s="27">
        <f>K557*4.5/100+K557</f>
        <v>52392.12</v>
      </c>
      <c r="M557" s="107">
        <f>L557*4.6/100+L557</f>
        <v>54802.157520000001</v>
      </c>
      <c r="N557" s="133">
        <f>M557*4.6/100+M557</f>
        <v>57323.056765920002</v>
      </c>
    </row>
    <row r="558" spans="1:14" x14ac:dyDescent="0.2">
      <c r="A558" s="25" t="s">
        <v>1321</v>
      </c>
      <c r="B558" s="25"/>
      <c r="C558" s="26" t="s">
        <v>268</v>
      </c>
      <c r="D558" s="27">
        <f>VLOOKUP(A558,fin,3,FALSE)</f>
        <v>11957</v>
      </c>
      <c r="E558" s="27">
        <v>0</v>
      </c>
      <c r="F558" s="27">
        <v>0</v>
      </c>
      <c r="G558" s="27">
        <v>1217.71</v>
      </c>
      <c r="H558" s="27">
        <v>-1217.71</v>
      </c>
      <c r="I558" s="27">
        <v>0</v>
      </c>
      <c r="J558" s="27">
        <f>+K558-D558</f>
        <v>-10000</v>
      </c>
      <c r="K558" s="27">
        <f>VLOOKUP(A558,fin,4,FALSE)</f>
        <v>1957</v>
      </c>
      <c r="L558" s="27">
        <f>K558*4.5/100+K558</f>
        <v>2045.0650000000001</v>
      </c>
      <c r="M558" s="107">
        <f>L558*4.6/100+L558</f>
        <v>2139.1379900000002</v>
      </c>
      <c r="N558" s="133">
        <f>M558*4.6/100+M558</f>
        <v>2237.5383375400002</v>
      </c>
    </row>
    <row r="559" spans="1:14" x14ac:dyDescent="0.2">
      <c r="A559" s="25"/>
      <c r="B559" s="25"/>
      <c r="C559" s="26"/>
      <c r="D559" s="27"/>
      <c r="E559" s="27"/>
      <c r="F559" s="27"/>
      <c r="G559" s="27"/>
      <c r="H559" s="27"/>
      <c r="I559" s="27"/>
      <c r="J559" s="27"/>
      <c r="K559" s="27"/>
      <c r="L559" s="27"/>
      <c r="M559" s="107"/>
      <c r="N559" s="133"/>
    </row>
    <row r="560" spans="1:14" s="24" customFormat="1" ht="15" x14ac:dyDescent="0.25">
      <c r="A560" s="20"/>
      <c r="B560" s="20"/>
      <c r="C560" s="21" t="s">
        <v>274</v>
      </c>
      <c r="D560" s="22">
        <f>SUM(D557:D559)</f>
        <v>62093</v>
      </c>
      <c r="E560" s="22">
        <f>SUM(E557:E559)</f>
        <v>0</v>
      </c>
      <c r="F560" s="22">
        <f>SUM(F557:F559)</f>
        <v>0</v>
      </c>
      <c r="G560" s="22">
        <f>SUM(G557:G559)</f>
        <v>2435.42</v>
      </c>
      <c r="H560" s="22">
        <f>SUM(H557:H559)</f>
        <v>-2435.42</v>
      </c>
      <c r="I560" s="22">
        <v>15.99</v>
      </c>
      <c r="J560" s="27">
        <f>+K560-D560</f>
        <v>-10000</v>
      </c>
      <c r="K560" s="22">
        <f>SUM(K557:K559)</f>
        <v>52093</v>
      </c>
      <c r="L560" s="22">
        <f>SUM(L557:L559)</f>
        <v>54437.185000000005</v>
      </c>
      <c r="M560" s="134">
        <f>SUM(M557:M559)</f>
        <v>56941.295510000004</v>
      </c>
      <c r="N560" s="134">
        <f>SUM(N557:N559)</f>
        <v>59560.59510346</v>
      </c>
    </row>
    <row r="561" spans="1:14" s="24" customFormat="1" ht="15" x14ac:dyDescent="0.25">
      <c r="A561" s="20"/>
      <c r="B561" s="20"/>
      <c r="C561" s="21"/>
      <c r="D561" s="22"/>
      <c r="E561" s="22"/>
      <c r="F561" s="22"/>
      <c r="G561" s="22"/>
      <c r="H561" s="22"/>
      <c r="I561" s="22"/>
      <c r="J561" s="27"/>
      <c r="K561" s="27"/>
      <c r="L561" s="22"/>
      <c r="M561" s="134"/>
      <c r="N561" s="132"/>
    </row>
    <row r="562" spans="1:14" s="24" customFormat="1" ht="15" x14ac:dyDescent="0.25">
      <c r="A562" s="20"/>
      <c r="B562" s="20"/>
      <c r="C562" s="21" t="s">
        <v>305</v>
      </c>
      <c r="D562" s="22">
        <f>D553+D560</f>
        <v>2536322</v>
      </c>
      <c r="E562" s="22">
        <f t="shared" ref="E562:N562" si="89">E553+E560</f>
        <v>0</v>
      </c>
      <c r="F562" s="22">
        <f t="shared" si="89"/>
        <v>0</v>
      </c>
      <c r="G562" s="22">
        <f t="shared" si="89"/>
        <v>19483.36</v>
      </c>
      <c r="H562" s="22">
        <f t="shared" si="89"/>
        <v>-19483.36</v>
      </c>
      <c r="I562" s="22">
        <v>49.19</v>
      </c>
      <c r="J562" s="27">
        <f>+K562-D562</f>
        <v>-31394.459999999963</v>
      </c>
      <c r="K562" s="22">
        <f t="shared" si="89"/>
        <v>2504927.54</v>
      </c>
      <c r="L562" s="22">
        <f t="shared" si="89"/>
        <v>2660573.88375</v>
      </c>
      <c r="M562" s="134">
        <f t="shared" si="89"/>
        <v>2845507.5631725001</v>
      </c>
      <c r="N562" s="134">
        <f t="shared" si="89"/>
        <v>3043326.5015023351</v>
      </c>
    </row>
    <row r="563" spans="1:14" s="24" customFormat="1" ht="15" x14ac:dyDescent="0.25">
      <c r="A563" s="20"/>
      <c r="B563" s="20"/>
      <c r="C563" s="21"/>
      <c r="D563" s="22"/>
      <c r="E563" s="22"/>
      <c r="F563" s="22"/>
      <c r="G563" s="22"/>
      <c r="H563" s="22"/>
      <c r="I563" s="22"/>
      <c r="J563" s="27"/>
      <c r="K563" s="27"/>
      <c r="L563" s="22"/>
      <c r="M563" s="134"/>
      <c r="N563" s="132"/>
    </row>
    <row r="564" spans="1:14" s="24" customFormat="1" ht="15" x14ac:dyDescent="0.25">
      <c r="A564" s="20"/>
      <c r="B564" s="20"/>
      <c r="C564" s="21" t="s">
        <v>306</v>
      </c>
      <c r="D564" s="22">
        <f>D517+D562</f>
        <v>1665758</v>
      </c>
      <c r="E564" s="22">
        <f t="shared" ref="E564:N564" si="90">E517+E562</f>
        <v>-75706.92</v>
      </c>
      <c r="F564" s="22">
        <f t="shared" si="90"/>
        <v>0</v>
      </c>
      <c r="G564" s="22">
        <f t="shared" si="90"/>
        <v>-428918.9</v>
      </c>
      <c r="H564" s="22">
        <f t="shared" si="90"/>
        <v>-441644.1</v>
      </c>
      <c r="I564" s="22">
        <v>47.99</v>
      </c>
      <c r="J564" s="27">
        <f>+K564-D564</f>
        <v>578000.54</v>
      </c>
      <c r="K564" s="22">
        <f t="shared" si="90"/>
        <v>2243758.54</v>
      </c>
      <c r="L564" s="22">
        <f t="shared" si="90"/>
        <v>2387652.2787500001</v>
      </c>
      <c r="M564" s="134">
        <f t="shared" si="90"/>
        <v>2560031.5643425002</v>
      </c>
      <c r="N564" s="134">
        <f t="shared" si="90"/>
        <v>2744718.6067261552</v>
      </c>
    </row>
    <row r="565" spans="1:14" s="24" customFormat="1" ht="15" x14ac:dyDescent="0.25">
      <c r="A565" s="20"/>
      <c r="B565" s="20"/>
      <c r="C565" s="21"/>
      <c r="D565" s="22"/>
      <c r="E565" s="22"/>
      <c r="F565" s="22"/>
      <c r="G565" s="22"/>
      <c r="H565" s="22"/>
      <c r="I565" s="22"/>
      <c r="J565" s="22"/>
      <c r="K565" s="27"/>
      <c r="L565" s="22"/>
      <c r="M565" s="134"/>
      <c r="N565" s="132"/>
    </row>
    <row r="567" spans="1:14" ht="15" x14ac:dyDescent="0.25">
      <c r="C567" s="24" t="s">
        <v>3038</v>
      </c>
      <c r="D567" s="152">
        <f>D202+D297+D427+D517</f>
        <v>-47783920</v>
      </c>
      <c r="E567" s="152">
        <f t="shared" ref="E567:N567" ca="1" si="91">E202+E297+E427+E517</f>
        <v>-47783920</v>
      </c>
      <c r="F567" s="152">
        <f t="shared" ca="1" si="91"/>
        <v>-47783920</v>
      </c>
      <c r="G567" s="152">
        <f t="shared" ca="1" si="91"/>
        <v>-47783920</v>
      </c>
      <c r="H567" s="152">
        <f t="shared" ca="1" si="91"/>
        <v>-47783920</v>
      </c>
      <c r="I567" s="152">
        <f t="shared" si="91"/>
        <v>211.32999999999998</v>
      </c>
      <c r="J567" s="152">
        <f t="shared" si="91"/>
        <v>-7477821</v>
      </c>
      <c r="K567" s="152">
        <f t="shared" si="91"/>
        <v>-55261741</v>
      </c>
      <c r="L567" s="152">
        <f t="shared" si="91"/>
        <v>-62167331.930999994</v>
      </c>
      <c r="M567" s="152">
        <f t="shared" si="91"/>
        <v>-55553932.098861992</v>
      </c>
      <c r="N567" s="152">
        <f t="shared" si="91"/>
        <v>-59626906.889430672</v>
      </c>
    </row>
    <row r="568" spans="1:14" ht="15" x14ac:dyDescent="0.25">
      <c r="C568" s="24" t="s">
        <v>3052</v>
      </c>
      <c r="D568" s="152">
        <f>D18+D70+D153+D250+D380+D490+D562</f>
        <v>45051433</v>
      </c>
      <c r="E568" s="152">
        <f t="shared" ref="E568:N568" si="92">E18+E70+E153+E250+E380+E490+E562</f>
        <v>639559.62</v>
      </c>
      <c r="F568" s="152">
        <f t="shared" si="92"/>
        <v>0</v>
      </c>
      <c r="G568" s="152">
        <f t="shared" si="92"/>
        <v>3887568.83</v>
      </c>
      <c r="H568" s="152">
        <f t="shared" si="92"/>
        <v>4150293.1700000004</v>
      </c>
      <c r="I568" s="152">
        <f t="shared" si="92"/>
        <v>305.98</v>
      </c>
      <c r="J568" s="152">
        <f t="shared" si="92"/>
        <v>5930774.2600000193</v>
      </c>
      <c r="K568" s="152">
        <f t="shared" si="92"/>
        <v>50982207.26000002</v>
      </c>
      <c r="L568" s="152">
        <f t="shared" si="92"/>
        <v>51455176.292025022</v>
      </c>
      <c r="M568" s="152">
        <f t="shared" si="92"/>
        <v>54404658.403693169</v>
      </c>
      <c r="N568" s="152">
        <f t="shared" si="92"/>
        <v>58026446.073998339</v>
      </c>
    </row>
    <row r="569" spans="1:14" ht="15" x14ac:dyDescent="0.25">
      <c r="C569" s="24" t="s">
        <v>3053</v>
      </c>
      <c r="D569" s="152">
        <f>D180+D396</f>
        <v>50541271</v>
      </c>
      <c r="E569" s="152">
        <f t="shared" ref="E569:N569" si="93">E180+E396</f>
        <v>0</v>
      </c>
      <c r="F569" s="152">
        <f t="shared" si="93"/>
        <v>0</v>
      </c>
      <c r="G569" s="152">
        <f t="shared" si="93"/>
        <v>15830.229999999998</v>
      </c>
      <c r="H569" s="152">
        <f t="shared" si="93"/>
        <v>-15830.229999999998</v>
      </c>
      <c r="I569" s="152">
        <f t="shared" si="93"/>
        <v>9.7899999999999991</v>
      </c>
      <c r="J569" s="152">
        <f t="shared" si="93"/>
        <v>680517.5</v>
      </c>
      <c r="K569" s="152">
        <f t="shared" si="93"/>
        <v>51221788.5</v>
      </c>
      <c r="L569" s="152">
        <f t="shared" si="93"/>
        <v>56846350</v>
      </c>
      <c r="M569" s="152">
        <f t="shared" si="93"/>
        <v>50712049.780000001</v>
      </c>
      <c r="N569" s="152">
        <f t="shared" si="93"/>
        <v>57802400</v>
      </c>
    </row>
  </sheetData>
  <autoFilter ref="A1:M565"/>
  <pageMargins left="0.7" right="0.7" top="0.75" bottom="0.75" header="0.3" footer="0.3"/>
  <pageSetup paperSize="9" scale="74" orientation="landscape" horizontalDpi="4294967293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45"/>
  <sheetViews>
    <sheetView topLeftCell="A1929" workbookViewId="0">
      <selection activeCell="E1941" sqref="E1941"/>
    </sheetView>
  </sheetViews>
  <sheetFormatPr defaultRowHeight="15" x14ac:dyDescent="0.25"/>
  <cols>
    <col min="1" max="1" width="26.42578125" bestFit="1" customWidth="1"/>
    <col min="2" max="2" width="46.85546875" bestFit="1" customWidth="1"/>
    <col min="3" max="3" width="29" style="67" bestFit="1" customWidth="1"/>
    <col min="4" max="4" width="19" style="67" bestFit="1" customWidth="1"/>
    <col min="5" max="6" width="15.42578125" style="67" bestFit="1" customWidth="1"/>
    <col min="7" max="7" width="5.5703125" bestFit="1" customWidth="1"/>
    <col min="8" max="8" width="41.42578125" bestFit="1" customWidth="1"/>
  </cols>
  <sheetData>
    <row r="1" spans="1:8" s="68" customFormat="1" x14ac:dyDescent="0.25">
      <c r="A1" s="68" t="s">
        <v>1397</v>
      </c>
      <c r="B1" s="68" t="s">
        <v>1398</v>
      </c>
      <c r="C1" s="69" t="s">
        <v>1399</v>
      </c>
      <c r="D1" s="69" t="s">
        <v>1400</v>
      </c>
      <c r="E1" s="69" t="s">
        <v>1401</v>
      </c>
      <c r="F1" s="69" t="s">
        <v>1402</v>
      </c>
    </row>
    <row r="2" spans="1:8" x14ac:dyDescent="0.25">
      <c r="A2" t="s">
        <v>322</v>
      </c>
      <c r="B2" t="s">
        <v>89</v>
      </c>
      <c r="C2" s="67">
        <v>-276424</v>
      </c>
      <c r="D2" s="67">
        <v>0</v>
      </c>
      <c r="E2" s="67">
        <v>0</v>
      </c>
      <c r="F2" s="67">
        <v>0</v>
      </c>
      <c r="G2" t="str">
        <f t="shared" ref="G2:G65" si="0">VLOOKUP(A2,s,2,FALSE)</f>
        <v>3505</v>
      </c>
      <c r="H2" t="str">
        <f t="shared" ref="H2:H65" si="1">VLOOKUP(A2,s,3,FALSE)</f>
        <v>Other income</v>
      </c>
    </row>
    <row r="3" spans="1:8" x14ac:dyDescent="0.25">
      <c r="A3" t="s">
        <v>323</v>
      </c>
      <c r="B3" t="s">
        <v>116</v>
      </c>
      <c r="C3" s="67">
        <v>745888</v>
      </c>
      <c r="D3" s="67">
        <v>745888</v>
      </c>
      <c r="E3" s="67">
        <v>798100.16</v>
      </c>
      <c r="F3" s="67">
        <v>853967.17119999998</v>
      </c>
      <c r="G3" t="str">
        <f t="shared" si="0"/>
        <v>3505</v>
      </c>
      <c r="H3" t="str">
        <f t="shared" si="1"/>
        <v>Employee related costs</v>
      </c>
    </row>
    <row r="4" spans="1:8" x14ac:dyDescent="0.25">
      <c r="A4" t="s">
        <v>324</v>
      </c>
      <c r="B4" t="s">
        <v>117</v>
      </c>
      <c r="C4" s="67">
        <v>37294</v>
      </c>
      <c r="D4" s="67">
        <v>37294</v>
      </c>
      <c r="E4" s="67">
        <v>39904.58</v>
      </c>
      <c r="F4" s="67">
        <v>42697.900600000001</v>
      </c>
      <c r="G4" t="str">
        <f t="shared" si="0"/>
        <v>3505</v>
      </c>
      <c r="H4" t="str">
        <f t="shared" si="1"/>
        <v>Employee related costs</v>
      </c>
    </row>
    <row r="5" spans="1:8" x14ac:dyDescent="0.25">
      <c r="A5" t="s">
        <v>325</v>
      </c>
      <c r="B5" t="s">
        <v>118</v>
      </c>
      <c r="C5" s="67">
        <v>40000</v>
      </c>
      <c r="D5" s="67">
        <v>40000</v>
      </c>
      <c r="E5" s="67">
        <v>42800</v>
      </c>
      <c r="F5" s="67">
        <v>45796</v>
      </c>
      <c r="G5" t="str">
        <f t="shared" si="0"/>
        <v>3505</v>
      </c>
      <c r="H5" t="str">
        <f t="shared" si="1"/>
        <v>Employee related costs</v>
      </c>
    </row>
    <row r="6" spans="1:8" x14ac:dyDescent="0.25">
      <c r="A6" t="s">
        <v>326</v>
      </c>
      <c r="B6" t="s">
        <v>119</v>
      </c>
      <c r="C6" s="67">
        <v>147584</v>
      </c>
      <c r="D6" s="67">
        <v>147584</v>
      </c>
      <c r="E6" s="67">
        <v>157914.88</v>
      </c>
      <c r="F6" s="67">
        <v>168968.9216</v>
      </c>
      <c r="G6" t="str">
        <f t="shared" si="0"/>
        <v>3505</v>
      </c>
      <c r="H6" t="str">
        <f t="shared" si="1"/>
        <v>Employee related costs</v>
      </c>
    </row>
    <row r="7" spans="1:8" x14ac:dyDescent="0.25">
      <c r="A7" t="s">
        <v>327</v>
      </c>
      <c r="B7" t="s">
        <v>120</v>
      </c>
      <c r="C7" s="67">
        <v>15692</v>
      </c>
      <c r="D7" s="67">
        <v>15692</v>
      </c>
      <c r="E7" s="67">
        <v>16790.439999999999</v>
      </c>
      <c r="F7" s="67">
        <v>17965.770799999998</v>
      </c>
      <c r="G7" t="str">
        <f t="shared" si="0"/>
        <v>3505</v>
      </c>
      <c r="H7" t="str">
        <f t="shared" si="1"/>
        <v>Employee related costs</v>
      </c>
    </row>
    <row r="8" spans="1:8" x14ac:dyDescent="0.25">
      <c r="A8" t="s">
        <v>328</v>
      </c>
      <c r="B8" t="s">
        <v>121</v>
      </c>
      <c r="C8" s="67">
        <v>20876</v>
      </c>
      <c r="D8" s="67">
        <v>0</v>
      </c>
      <c r="E8" s="67">
        <v>0</v>
      </c>
      <c r="F8" s="67">
        <v>0</v>
      </c>
      <c r="G8" t="str">
        <f t="shared" si="0"/>
        <v>3505</v>
      </c>
      <c r="H8" t="str">
        <f t="shared" si="1"/>
        <v>Employee related costs</v>
      </c>
    </row>
    <row r="9" spans="1:8" x14ac:dyDescent="0.25">
      <c r="A9" t="s">
        <v>329</v>
      </c>
      <c r="B9" t="s">
        <v>150</v>
      </c>
      <c r="C9" s="67">
        <v>5188430</v>
      </c>
      <c r="D9" s="67">
        <v>5188430</v>
      </c>
      <c r="E9" s="67">
        <v>5551620.0999999996</v>
      </c>
      <c r="F9" s="67">
        <v>5940233.5069999993</v>
      </c>
      <c r="G9" t="str">
        <f t="shared" si="0"/>
        <v>3505</v>
      </c>
      <c r="H9" t="str">
        <f t="shared" si="1"/>
        <v>Employee related costs</v>
      </c>
    </row>
    <row r="10" spans="1:8" x14ac:dyDescent="0.25">
      <c r="A10" t="s">
        <v>330</v>
      </c>
      <c r="B10" t="s">
        <v>151</v>
      </c>
      <c r="C10" s="67">
        <v>258705</v>
      </c>
      <c r="D10" s="92">
        <v>218913.62</v>
      </c>
      <c r="E10" s="67">
        <v>210380.83</v>
      </c>
      <c r="F10" s="67">
        <v>212813.28999999998</v>
      </c>
      <c r="G10" t="str">
        <f t="shared" si="0"/>
        <v>3505</v>
      </c>
      <c r="H10" t="str">
        <f t="shared" si="1"/>
        <v>Employee related costs</v>
      </c>
    </row>
    <row r="11" spans="1:8" x14ac:dyDescent="0.25">
      <c r="A11" t="s">
        <v>331</v>
      </c>
      <c r="B11" t="s">
        <v>152</v>
      </c>
      <c r="C11" s="67">
        <v>38100</v>
      </c>
      <c r="D11" s="67">
        <v>38100</v>
      </c>
      <c r="E11" s="67">
        <v>40767</v>
      </c>
      <c r="F11" s="67">
        <v>43620.69</v>
      </c>
      <c r="G11" t="str">
        <f t="shared" si="0"/>
        <v>3505</v>
      </c>
      <c r="H11" t="str">
        <f t="shared" si="1"/>
        <v>Employee related costs</v>
      </c>
    </row>
    <row r="12" spans="1:8" x14ac:dyDescent="0.25">
      <c r="A12" t="s">
        <v>332</v>
      </c>
      <c r="B12" t="s">
        <v>153</v>
      </c>
      <c r="C12" s="67">
        <v>10893</v>
      </c>
      <c r="D12" s="67">
        <v>10893</v>
      </c>
      <c r="E12" s="67">
        <v>11655.51</v>
      </c>
      <c r="F12" s="67">
        <v>12471.395700000001</v>
      </c>
      <c r="G12" t="str">
        <f t="shared" si="0"/>
        <v>3505</v>
      </c>
      <c r="H12" t="str">
        <f t="shared" si="1"/>
        <v>Employee related costs</v>
      </c>
    </row>
    <row r="13" spans="1:8" x14ac:dyDescent="0.25">
      <c r="A13" t="s">
        <v>333</v>
      </c>
      <c r="B13" t="s">
        <v>155</v>
      </c>
      <c r="C13" s="67">
        <v>183716</v>
      </c>
      <c r="D13" s="67">
        <v>183716</v>
      </c>
      <c r="E13" s="67">
        <v>196576.12</v>
      </c>
      <c r="F13" s="67">
        <v>210336.44839999999</v>
      </c>
      <c r="G13" t="str">
        <f t="shared" si="0"/>
        <v>3505</v>
      </c>
      <c r="H13" t="str">
        <f t="shared" si="1"/>
        <v>Employee related costs</v>
      </c>
    </row>
    <row r="14" spans="1:8" x14ac:dyDescent="0.25">
      <c r="A14" t="s">
        <v>334</v>
      </c>
      <c r="B14" t="s">
        <v>156</v>
      </c>
      <c r="C14" s="67">
        <v>138573</v>
      </c>
      <c r="D14" s="67">
        <v>138573</v>
      </c>
      <c r="E14" s="67">
        <v>148273.10999999999</v>
      </c>
      <c r="F14" s="67">
        <v>158652.22769999999</v>
      </c>
      <c r="G14" t="str">
        <f t="shared" si="0"/>
        <v>3505</v>
      </c>
      <c r="H14" t="str">
        <f t="shared" si="1"/>
        <v>Employee related costs</v>
      </c>
    </row>
    <row r="15" spans="1:8" x14ac:dyDescent="0.25">
      <c r="A15" t="s">
        <v>335</v>
      </c>
      <c r="B15" t="s">
        <v>157</v>
      </c>
      <c r="C15" s="67">
        <v>97631</v>
      </c>
      <c r="D15" s="67">
        <v>247631</v>
      </c>
      <c r="E15" s="67">
        <v>264965.17</v>
      </c>
      <c r="F15" s="67">
        <v>283512.73190000001</v>
      </c>
      <c r="G15" t="str">
        <f t="shared" si="0"/>
        <v>3505</v>
      </c>
      <c r="H15" t="str">
        <f t="shared" si="1"/>
        <v>Employee related costs</v>
      </c>
    </row>
    <row r="16" spans="1:8" x14ac:dyDescent="0.25">
      <c r="A16" t="s">
        <v>336</v>
      </c>
      <c r="B16" t="s">
        <v>158</v>
      </c>
      <c r="C16" s="67">
        <v>11138</v>
      </c>
      <c r="D16" s="67">
        <v>71138</v>
      </c>
      <c r="E16" s="67">
        <v>76117.66</v>
      </c>
      <c r="F16" s="67">
        <v>81445.896200000003</v>
      </c>
      <c r="G16" t="str">
        <f t="shared" si="0"/>
        <v>3505</v>
      </c>
      <c r="H16" t="str">
        <f t="shared" si="1"/>
        <v>Employee related costs</v>
      </c>
    </row>
    <row r="17" spans="1:8" x14ac:dyDescent="0.25">
      <c r="A17" t="s">
        <v>337</v>
      </c>
      <c r="B17" t="s">
        <v>159</v>
      </c>
      <c r="C17" s="67">
        <v>425436</v>
      </c>
      <c r="D17" s="67">
        <v>425436</v>
      </c>
      <c r="E17" s="67">
        <v>455216.52</v>
      </c>
      <c r="F17" s="67">
        <v>487081.6764</v>
      </c>
      <c r="G17" t="str">
        <f t="shared" si="0"/>
        <v>3505</v>
      </c>
      <c r="H17" t="str">
        <f t="shared" si="1"/>
        <v>Employee related costs</v>
      </c>
    </row>
    <row r="18" spans="1:8" x14ac:dyDescent="0.25">
      <c r="A18" t="s">
        <v>338</v>
      </c>
      <c r="B18" t="s">
        <v>161</v>
      </c>
      <c r="C18" s="67">
        <v>71952</v>
      </c>
      <c r="D18" s="67">
        <v>71952</v>
      </c>
      <c r="E18" s="67">
        <v>76988.639999999999</v>
      </c>
      <c r="F18" s="67">
        <v>82377.844799999992</v>
      </c>
      <c r="G18" t="str">
        <f t="shared" si="0"/>
        <v>3505</v>
      </c>
      <c r="H18" t="str">
        <f t="shared" si="1"/>
        <v>Employee related costs</v>
      </c>
    </row>
    <row r="19" spans="1:8" x14ac:dyDescent="0.25">
      <c r="A19" t="s">
        <v>339</v>
      </c>
      <c r="B19" t="s">
        <v>162</v>
      </c>
      <c r="C19" s="67">
        <v>0</v>
      </c>
      <c r="D19" s="67">
        <v>4000</v>
      </c>
      <c r="E19" s="67">
        <v>4280</v>
      </c>
      <c r="F19" s="67">
        <v>4579.6000000000004</v>
      </c>
      <c r="G19" t="str">
        <f t="shared" si="0"/>
        <v>3505</v>
      </c>
      <c r="H19" t="str">
        <f t="shared" si="1"/>
        <v>Employee related costs</v>
      </c>
    </row>
    <row r="20" spans="1:8" x14ac:dyDescent="0.25">
      <c r="A20" t="s">
        <v>340</v>
      </c>
      <c r="B20" t="s">
        <v>163</v>
      </c>
      <c r="C20" s="67">
        <v>17000</v>
      </c>
      <c r="D20" s="67">
        <v>7000</v>
      </c>
      <c r="E20" s="67">
        <v>7490</v>
      </c>
      <c r="F20" s="67">
        <v>8014.3</v>
      </c>
      <c r="G20" t="str">
        <f t="shared" si="0"/>
        <v>3505</v>
      </c>
      <c r="H20" t="str">
        <f t="shared" si="1"/>
        <v>Employee related costs</v>
      </c>
    </row>
    <row r="21" spans="1:8" x14ac:dyDescent="0.25">
      <c r="A21" t="s">
        <v>341</v>
      </c>
      <c r="B21" t="s">
        <v>164</v>
      </c>
      <c r="C21" s="67">
        <v>36468</v>
      </c>
      <c r="D21" s="67">
        <v>36468</v>
      </c>
      <c r="E21" s="67">
        <v>39020.76</v>
      </c>
      <c r="F21" s="67">
        <v>41752.213199999998</v>
      </c>
      <c r="G21" t="str">
        <f t="shared" si="0"/>
        <v>3505</v>
      </c>
      <c r="H21" t="str">
        <f t="shared" si="1"/>
        <v>Employee related costs</v>
      </c>
    </row>
    <row r="22" spans="1:8" x14ac:dyDescent="0.25">
      <c r="A22" t="s">
        <v>342</v>
      </c>
      <c r="B22" t="s">
        <v>167</v>
      </c>
      <c r="C22" s="67">
        <v>3371</v>
      </c>
      <c r="D22" s="67">
        <v>3371</v>
      </c>
      <c r="E22" s="67">
        <v>3606.97</v>
      </c>
      <c r="F22" s="67">
        <v>3859.4578999999999</v>
      </c>
      <c r="G22" t="str">
        <f t="shared" si="0"/>
        <v>3505</v>
      </c>
      <c r="H22" t="str">
        <f t="shared" si="1"/>
        <v>Employee related costs</v>
      </c>
    </row>
    <row r="23" spans="1:8" x14ac:dyDescent="0.25">
      <c r="A23" t="s">
        <v>343</v>
      </c>
      <c r="B23" t="s">
        <v>168</v>
      </c>
      <c r="C23" s="67">
        <v>1293797</v>
      </c>
      <c r="D23" s="67">
        <v>793797</v>
      </c>
      <c r="E23" s="67">
        <v>849362.79</v>
      </c>
      <c r="F23" s="67">
        <v>908818.18530000001</v>
      </c>
      <c r="G23" t="str">
        <f t="shared" si="0"/>
        <v>3505</v>
      </c>
      <c r="H23" t="str">
        <f t="shared" si="1"/>
        <v>Employee related costs</v>
      </c>
    </row>
    <row r="24" spans="1:8" x14ac:dyDescent="0.25">
      <c r="A24" t="s">
        <v>344</v>
      </c>
      <c r="B24" t="s">
        <v>169</v>
      </c>
      <c r="C24" s="67">
        <v>1123150</v>
      </c>
      <c r="D24" s="67">
        <v>1123150</v>
      </c>
      <c r="E24" s="67">
        <v>1201770.5</v>
      </c>
      <c r="F24" s="67">
        <v>1285894.4350000001</v>
      </c>
      <c r="G24" t="str">
        <f t="shared" si="0"/>
        <v>3505</v>
      </c>
      <c r="H24" t="str">
        <f t="shared" si="1"/>
        <v>Employee related costs</v>
      </c>
    </row>
    <row r="25" spans="1:8" x14ac:dyDescent="0.25">
      <c r="A25" t="s">
        <v>345</v>
      </c>
      <c r="B25" t="s">
        <v>170</v>
      </c>
      <c r="C25" s="67">
        <v>49980</v>
      </c>
      <c r="D25" s="67">
        <v>49980</v>
      </c>
      <c r="E25" s="67">
        <v>53478.6</v>
      </c>
      <c r="F25" s="67">
        <v>57222.101999999999</v>
      </c>
      <c r="G25" t="str">
        <f t="shared" si="0"/>
        <v>3505</v>
      </c>
      <c r="H25" t="str">
        <f t="shared" si="1"/>
        <v>Employee related costs</v>
      </c>
    </row>
    <row r="26" spans="1:8" x14ac:dyDescent="0.25">
      <c r="A26" t="s">
        <v>346</v>
      </c>
      <c r="B26" t="s">
        <v>173</v>
      </c>
      <c r="C26" s="67">
        <v>112883</v>
      </c>
      <c r="D26" s="67">
        <v>112883</v>
      </c>
      <c r="E26" s="67">
        <v>120784.81</v>
      </c>
      <c r="F26" s="67">
        <v>129239.74669999999</v>
      </c>
      <c r="G26" t="str">
        <f t="shared" si="0"/>
        <v>3505</v>
      </c>
      <c r="H26" t="str">
        <f t="shared" si="1"/>
        <v>Employee related costs</v>
      </c>
    </row>
    <row r="27" spans="1:8" x14ac:dyDescent="0.25">
      <c r="A27" t="s">
        <v>347</v>
      </c>
      <c r="B27" t="s">
        <v>174</v>
      </c>
      <c r="C27" s="67">
        <v>142433</v>
      </c>
      <c r="D27" s="67">
        <v>142433</v>
      </c>
      <c r="E27" s="67">
        <v>152403.31</v>
      </c>
      <c r="F27" s="67">
        <v>163071.5417</v>
      </c>
      <c r="G27" t="str">
        <f t="shared" si="0"/>
        <v>3505</v>
      </c>
      <c r="H27" t="str">
        <f t="shared" si="1"/>
        <v>Employee related costs</v>
      </c>
    </row>
    <row r="28" spans="1:8" x14ac:dyDescent="0.25">
      <c r="A28" t="s">
        <v>348</v>
      </c>
      <c r="B28" t="s">
        <v>175</v>
      </c>
      <c r="C28" s="67">
        <v>79236</v>
      </c>
      <c r="D28" s="67">
        <v>79236</v>
      </c>
      <c r="E28" s="67">
        <v>84782.52</v>
      </c>
      <c r="F28" s="67">
        <v>90717.296400000007</v>
      </c>
      <c r="G28" t="str">
        <f t="shared" si="0"/>
        <v>3505</v>
      </c>
      <c r="H28" t="str">
        <f t="shared" si="1"/>
        <v>Employee related costs</v>
      </c>
    </row>
    <row r="29" spans="1:8" x14ac:dyDescent="0.25">
      <c r="A29" t="s">
        <v>349</v>
      </c>
      <c r="B29" t="s">
        <v>216</v>
      </c>
      <c r="C29" s="67">
        <v>8639351</v>
      </c>
      <c r="D29" s="67">
        <v>8639351</v>
      </c>
      <c r="E29" s="67">
        <v>9157711.9003640004</v>
      </c>
      <c r="F29" s="67">
        <v>9652228.3429836556</v>
      </c>
      <c r="G29" t="str">
        <f t="shared" si="0"/>
        <v>3505</v>
      </c>
      <c r="H29" t="str">
        <f t="shared" si="1"/>
        <v>Contracted services</v>
      </c>
    </row>
    <row r="30" spans="1:8" x14ac:dyDescent="0.25">
      <c r="A30" t="s">
        <v>350</v>
      </c>
      <c r="B30" t="s">
        <v>234</v>
      </c>
      <c r="C30" s="67">
        <v>400000</v>
      </c>
      <c r="D30" s="67">
        <v>400000</v>
      </c>
      <c r="E30" s="67">
        <v>424000</v>
      </c>
      <c r="F30" s="67">
        <v>446896</v>
      </c>
      <c r="G30" t="str">
        <f t="shared" si="0"/>
        <v>3505</v>
      </c>
      <c r="H30" t="str">
        <f t="shared" si="1"/>
        <v>Contracted services</v>
      </c>
    </row>
    <row r="31" spans="1:8" x14ac:dyDescent="0.25">
      <c r="A31" t="s">
        <v>351</v>
      </c>
      <c r="B31" t="s">
        <v>234</v>
      </c>
      <c r="C31" s="67">
        <v>150000</v>
      </c>
      <c r="D31" s="67">
        <v>150000</v>
      </c>
      <c r="E31" s="67">
        <v>159000</v>
      </c>
      <c r="F31" s="67">
        <v>167586</v>
      </c>
      <c r="G31" t="str">
        <f t="shared" si="0"/>
        <v>3505</v>
      </c>
      <c r="H31" t="str">
        <f t="shared" si="1"/>
        <v>Contracted services</v>
      </c>
    </row>
    <row r="32" spans="1:8" x14ac:dyDescent="0.25">
      <c r="A32" t="s">
        <v>352</v>
      </c>
      <c r="B32" t="s">
        <v>235</v>
      </c>
      <c r="C32" s="67">
        <v>200000</v>
      </c>
      <c r="D32" s="67">
        <v>200000</v>
      </c>
      <c r="E32" s="67">
        <v>212000</v>
      </c>
      <c r="F32" s="67">
        <v>223448</v>
      </c>
      <c r="G32" t="str">
        <f t="shared" si="0"/>
        <v>3505</v>
      </c>
      <c r="H32" t="str">
        <f t="shared" si="1"/>
        <v>Contracted services</v>
      </c>
    </row>
    <row r="33" spans="1:8" x14ac:dyDescent="0.25">
      <c r="A33" t="s">
        <v>353</v>
      </c>
      <c r="B33" t="s">
        <v>250</v>
      </c>
      <c r="C33" s="67">
        <v>689000</v>
      </c>
      <c r="D33" s="67">
        <v>689000</v>
      </c>
      <c r="E33" s="67">
        <v>730340</v>
      </c>
      <c r="F33" s="67">
        <v>769778.36</v>
      </c>
      <c r="G33" t="str">
        <f t="shared" si="0"/>
        <v>3505</v>
      </c>
      <c r="H33" t="str">
        <f t="shared" si="1"/>
        <v>General expenses</v>
      </c>
    </row>
    <row r="34" spans="1:8" x14ac:dyDescent="0.25">
      <c r="A34" t="s">
        <v>354</v>
      </c>
      <c r="B34" t="s">
        <v>251</v>
      </c>
      <c r="C34" s="67">
        <v>707862</v>
      </c>
      <c r="D34" s="67">
        <v>707862</v>
      </c>
      <c r="E34" s="67">
        <v>750333.33840000001</v>
      </c>
      <c r="F34" s="67">
        <v>790851.3386736</v>
      </c>
      <c r="G34" t="str">
        <f t="shared" si="0"/>
        <v>3505</v>
      </c>
      <c r="H34" t="str">
        <f t="shared" si="1"/>
        <v>General expenses</v>
      </c>
    </row>
    <row r="35" spans="1:8" x14ac:dyDescent="0.25">
      <c r="A35" t="s">
        <v>355</v>
      </c>
      <c r="B35" t="s">
        <v>253</v>
      </c>
      <c r="C35" s="67">
        <v>2000</v>
      </c>
      <c r="D35" s="67">
        <v>2000</v>
      </c>
      <c r="E35" s="67">
        <v>2000</v>
      </c>
      <c r="F35" s="67">
        <v>2000</v>
      </c>
      <c r="G35" t="str">
        <f t="shared" si="0"/>
        <v>3505</v>
      </c>
      <c r="H35" t="str">
        <f t="shared" si="1"/>
        <v>General expenses</v>
      </c>
    </row>
    <row r="36" spans="1:8" x14ac:dyDescent="0.25">
      <c r="A36" t="s">
        <v>356</v>
      </c>
      <c r="B36" t="s">
        <v>259</v>
      </c>
      <c r="C36" s="67">
        <v>234398</v>
      </c>
      <c r="D36" s="67">
        <v>184398</v>
      </c>
      <c r="E36" s="67">
        <v>248461.66799999998</v>
      </c>
      <c r="F36" s="67">
        <v>261878.59807199996</v>
      </c>
      <c r="G36" t="str">
        <f t="shared" si="0"/>
        <v>3505</v>
      </c>
      <c r="H36" t="str">
        <f t="shared" si="1"/>
        <v>General expenses</v>
      </c>
    </row>
    <row r="37" spans="1:8" x14ac:dyDescent="0.25">
      <c r="A37" t="s">
        <v>357</v>
      </c>
      <c r="B37" t="s">
        <v>265</v>
      </c>
      <c r="C37" s="67">
        <v>0</v>
      </c>
      <c r="D37" s="67">
        <v>0</v>
      </c>
      <c r="E37" s="67">
        <v>0</v>
      </c>
      <c r="F37" s="67">
        <v>0</v>
      </c>
      <c r="G37" t="str">
        <f t="shared" si="0"/>
        <v>3505</v>
      </c>
      <c r="H37" t="str">
        <f t="shared" si="1"/>
        <v>General expenses</v>
      </c>
    </row>
    <row r="38" spans="1:8" x14ac:dyDescent="0.25">
      <c r="A38" t="s">
        <v>358</v>
      </c>
      <c r="B38" t="s">
        <v>268</v>
      </c>
      <c r="C38" s="67">
        <v>175000</v>
      </c>
      <c r="D38" s="67">
        <v>125501</v>
      </c>
      <c r="E38" s="67">
        <v>185500</v>
      </c>
      <c r="F38" s="67">
        <v>195517</v>
      </c>
      <c r="G38" t="str">
        <f t="shared" si="0"/>
        <v>3505</v>
      </c>
      <c r="H38" t="str">
        <f t="shared" si="1"/>
        <v>General expenses</v>
      </c>
    </row>
    <row r="39" spans="1:8" x14ac:dyDescent="0.25">
      <c r="A39" t="s">
        <v>359</v>
      </c>
      <c r="B39" t="s">
        <v>268</v>
      </c>
      <c r="C39" s="67">
        <v>254263</v>
      </c>
      <c r="D39" s="67">
        <v>254263</v>
      </c>
      <c r="E39" s="67">
        <v>269518.78000000003</v>
      </c>
      <c r="F39" s="67">
        <v>284072.79412000004</v>
      </c>
      <c r="G39" t="str">
        <f t="shared" si="0"/>
        <v>3505</v>
      </c>
      <c r="H39" t="str">
        <f t="shared" si="1"/>
        <v>General expenses</v>
      </c>
    </row>
    <row r="40" spans="1:8" x14ac:dyDescent="0.25">
      <c r="A40" t="s">
        <v>360</v>
      </c>
      <c r="B40" t="s">
        <v>270</v>
      </c>
      <c r="C40" s="67">
        <v>636000</v>
      </c>
      <c r="D40" s="67">
        <v>1286000</v>
      </c>
      <c r="E40" s="67">
        <v>674160</v>
      </c>
      <c r="F40" s="67">
        <v>710564.64</v>
      </c>
      <c r="G40" t="str">
        <f t="shared" si="0"/>
        <v>3505</v>
      </c>
      <c r="H40" t="str">
        <f t="shared" si="1"/>
        <v>General expenses</v>
      </c>
    </row>
    <row r="41" spans="1:8" x14ac:dyDescent="0.25">
      <c r="A41" t="s">
        <v>361</v>
      </c>
      <c r="B41" t="s">
        <v>271</v>
      </c>
      <c r="C41" s="67">
        <v>129035</v>
      </c>
      <c r="D41" s="67">
        <v>129035</v>
      </c>
      <c r="E41" s="67">
        <v>136776.9516</v>
      </c>
      <c r="F41" s="67">
        <v>144162.90698639999</v>
      </c>
      <c r="G41" t="str">
        <f t="shared" si="0"/>
        <v>3505</v>
      </c>
      <c r="H41" t="str">
        <f t="shared" si="1"/>
        <v>General expenses</v>
      </c>
    </row>
    <row r="42" spans="1:8" x14ac:dyDescent="0.25">
      <c r="A42" t="s">
        <v>362</v>
      </c>
      <c r="B42" t="s">
        <v>276</v>
      </c>
      <c r="C42" s="67">
        <v>659231</v>
      </c>
      <c r="D42" s="67">
        <v>659231</v>
      </c>
      <c r="E42" s="67">
        <v>698784.81759999995</v>
      </c>
      <c r="F42" s="67">
        <v>736519.19775039994</v>
      </c>
      <c r="G42" t="str">
        <f t="shared" si="0"/>
        <v>3505</v>
      </c>
      <c r="H42" t="str">
        <f t="shared" si="1"/>
        <v>General expenses</v>
      </c>
    </row>
    <row r="43" spans="1:8" x14ac:dyDescent="0.25">
      <c r="A43" t="s">
        <v>363</v>
      </c>
      <c r="B43" t="s">
        <v>277</v>
      </c>
      <c r="C43" s="67">
        <v>530000</v>
      </c>
      <c r="D43" s="67">
        <v>530000</v>
      </c>
      <c r="E43" s="67">
        <v>561800</v>
      </c>
      <c r="F43" s="67">
        <v>592137.19999999995</v>
      </c>
      <c r="G43" t="str">
        <f t="shared" si="0"/>
        <v>3505</v>
      </c>
      <c r="H43" t="str">
        <f t="shared" si="1"/>
        <v>General expenses</v>
      </c>
    </row>
    <row r="44" spans="1:8" x14ac:dyDescent="0.25">
      <c r="A44" t="s">
        <v>364</v>
      </c>
      <c r="B44" t="s">
        <v>278</v>
      </c>
      <c r="C44" s="67">
        <v>53000</v>
      </c>
      <c r="D44" s="67">
        <v>13000</v>
      </c>
      <c r="E44" s="67">
        <v>56180</v>
      </c>
      <c r="F44" s="67">
        <v>59213.72</v>
      </c>
      <c r="G44" t="str">
        <f t="shared" si="0"/>
        <v>3505</v>
      </c>
      <c r="H44" t="str">
        <f t="shared" si="1"/>
        <v>General expenses</v>
      </c>
    </row>
    <row r="45" spans="1:8" x14ac:dyDescent="0.25">
      <c r="A45" t="s">
        <v>365</v>
      </c>
      <c r="B45" t="s">
        <v>286</v>
      </c>
      <c r="C45" s="67">
        <v>400000</v>
      </c>
      <c r="D45" s="67">
        <v>400000</v>
      </c>
      <c r="E45" s="67">
        <v>424000</v>
      </c>
      <c r="F45" s="67">
        <v>446896</v>
      </c>
      <c r="G45" t="str">
        <f t="shared" si="0"/>
        <v>3505</v>
      </c>
      <c r="H45" t="str">
        <f t="shared" si="1"/>
        <v>General expenses</v>
      </c>
    </row>
    <row r="46" spans="1:8" x14ac:dyDescent="0.25">
      <c r="A46" t="s">
        <v>366</v>
      </c>
      <c r="B46" t="s">
        <v>286</v>
      </c>
      <c r="C46" s="67">
        <v>149705</v>
      </c>
      <c r="D46" s="67">
        <v>149705</v>
      </c>
      <c r="E46" s="67">
        <v>158687.15159999998</v>
      </c>
      <c r="F46" s="67">
        <v>167256.25778639998</v>
      </c>
      <c r="G46" t="str">
        <f t="shared" si="0"/>
        <v>3505</v>
      </c>
      <c r="H46" t="str">
        <f t="shared" si="1"/>
        <v>General expenses</v>
      </c>
    </row>
    <row r="47" spans="1:8" x14ac:dyDescent="0.25">
      <c r="A47" t="s">
        <v>367</v>
      </c>
      <c r="B47" t="s">
        <v>291</v>
      </c>
      <c r="C47" s="67">
        <v>19193</v>
      </c>
      <c r="D47" s="67">
        <v>809193</v>
      </c>
      <c r="E47" s="67">
        <v>930571.95</v>
      </c>
      <c r="F47" s="67">
        <v>1070157.7424999999</v>
      </c>
      <c r="G47" t="str">
        <f t="shared" si="0"/>
        <v>3505</v>
      </c>
      <c r="H47" t="str">
        <f t="shared" si="1"/>
        <v>Depreciation and amortisation</v>
      </c>
    </row>
    <row r="48" spans="1:8" x14ac:dyDescent="0.25">
      <c r="A48" t="s">
        <v>368</v>
      </c>
      <c r="B48" t="s">
        <v>292</v>
      </c>
      <c r="C48" s="67">
        <v>3371</v>
      </c>
      <c r="D48" s="67">
        <v>3371</v>
      </c>
      <c r="E48" s="67">
        <v>3876.65</v>
      </c>
      <c r="F48" s="67">
        <v>4458.1475</v>
      </c>
      <c r="G48" t="str">
        <f t="shared" si="0"/>
        <v>3505</v>
      </c>
      <c r="H48" t="str">
        <f t="shared" si="1"/>
        <v>Depreciation and amortisation</v>
      </c>
    </row>
    <row r="49" spans="1:8" x14ac:dyDescent="0.25">
      <c r="A49" t="s">
        <v>369</v>
      </c>
      <c r="B49" t="s">
        <v>293</v>
      </c>
      <c r="C49" s="67">
        <v>3371</v>
      </c>
      <c r="D49" s="67">
        <v>3371</v>
      </c>
      <c r="E49" s="67">
        <v>3876.65</v>
      </c>
      <c r="F49" s="67">
        <v>4458.1475</v>
      </c>
      <c r="G49" t="str">
        <f t="shared" si="0"/>
        <v>3505</v>
      </c>
      <c r="H49" t="str">
        <f t="shared" si="1"/>
        <v>Depreciation and amortisation</v>
      </c>
    </row>
    <row r="50" spans="1:8" x14ac:dyDescent="0.25">
      <c r="A50" t="s">
        <v>370</v>
      </c>
      <c r="B50" t="s">
        <v>296</v>
      </c>
      <c r="C50" s="67">
        <v>5618</v>
      </c>
      <c r="D50" s="67">
        <v>5618</v>
      </c>
      <c r="E50" s="67">
        <v>6460.7</v>
      </c>
      <c r="F50" s="67">
        <v>7429.8049999999994</v>
      </c>
      <c r="G50" t="str">
        <f t="shared" si="0"/>
        <v>3505</v>
      </c>
      <c r="H50" t="str">
        <f t="shared" si="1"/>
        <v>Depreciation and amortisation</v>
      </c>
    </row>
    <row r="51" spans="1:8" x14ac:dyDescent="0.25">
      <c r="A51" t="s">
        <v>371</v>
      </c>
      <c r="B51" t="s">
        <v>297</v>
      </c>
      <c r="C51" s="67">
        <v>52313</v>
      </c>
      <c r="D51" s="67">
        <v>52313</v>
      </c>
      <c r="E51" s="67">
        <v>60159.95</v>
      </c>
      <c r="F51" s="67">
        <v>69183.94249999999</v>
      </c>
      <c r="G51" t="str">
        <f t="shared" si="0"/>
        <v>3505</v>
      </c>
      <c r="H51" t="str">
        <f t="shared" si="1"/>
        <v>Depreciation and amortisation</v>
      </c>
    </row>
    <row r="52" spans="1:8" x14ac:dyDescent="0.25">
      <c r="A52" t="s">
        <v>372</v>
      </c>
      <c r="B52" t="s">
        <v>298</v>
      </c>
      <c r="C52" s="67">
        <v>0</v>
      </c>
      <c r="D52" s="67">
        <v>0</v>
      </c>
      <c r="E52" s="67">
        <v>0</v>
      </c>
      <c r="F52" s="67">
        <v>0</v>
      </c>
      <c r="G52" t="str">
        <f t="shared" si="0"/>
        <v>3505</v>
      </c>
      <c r="H52" t="str">
        <f t="shared" si="1"/>
        <v>Depreciation and amortisation</v>
      </c>
    </row>
    <row r="53" spans="1:8" x14ac:dyDescent="0.25">
      <c r="A53" t="s">
        <v>373</v>
      </c>
      <c r="B53" t="s">
        <v>299</v>
      </c>
      <c r="C53" s="67">
        <v>41469</v>
      </c>
      <c r="D53" s="67">
        <v>41469</v>
      </c>
      <c r="E53" s="67">
        <v>47689.35</v>
      </c>
      <c r="F53" s="67">
        <v>54842.752499999995</v>
      </c>
      <c r="G53" t="str">
        <f t="shared" si="0"/>
        <v>3505</v>
      </c>
      <c r="H53" t="str">
        <f t="shared" si="1"/>
        <v>Depreciation and amortisation</v>
      </c>
    </row>
    <row r="54" spans="1:8" x14ac:dyDescent="0.25">
      <c r="A54" t="s">
        <v>374</v>
      </c>
      <c r="B54" t="s">
        <v>300</v>
      </c>
      <c r="C54" s="67">
        <v>113175</v>
      </c>
      <c r="D54" s="67">
        <v>113175</v>
      </c>
      <c r="E54" s="67">
        <v>130151.25</v>
      </c>
      <c r="F54" s="67">
        <v>149673.9375</v>
      </c>
      <c r="G54" t="str">
        <f t="shared" si="0"/>
        <v>3505</v>
      </c>
      <c r="H54" t="str">
        <f t="shared" si="1"/>
        <v>Depreciation and amortisation</v>
      </c>
    </row>
    <row r="55" spans="1:8" x14ac:dyDescent="0.25">
      <c r="A55" t="s">
        <v>375</v>
      </c>
      <c r="B55" t="s">
        <v>303</v>
      </c>
      <c r="C55" s="67">
        <v>74216</v>
      </c>
      <c r="D55" s="67">
        <v>74216</v>
      </c>
      <c r="E55" s="67">
        <v>85348.4</v>
      </c>
      <c r="F55" s="67">
        <v>98150.659999999989</v>
      </c>
      <c r="G55" t="str">
        <f t="shared" si="0"/>
        <v>3505</v>
      </c>
      <c r="H55" t="str">
        <f t="shared" si="1"/>
        <v>Depreciation and amortisation</v>
      </c>
    </row>
    <row r="56" spans="1:8" x14ac:dyDescent="0.25">
      <c r="A56" t="s">
        <v>1403</v>
      </c>
      <c r="B56" t="s">
        <v>1404</v>
      </c>
      <c r="C56" s="67">
        <v>-24335373</v>
      </c>
      <c r="D56" s="67">
        <v>-25595422</v>
      </c>
      <c r="E56" s="67">
        <v>-26788874.007563993</v>
      </c>
      <c r="F56" s="67">
        <v>-28527849.906372454</v>
      </c>
      <c r="G56" t="str">
        <f t="shared" si="0"/>
        <v>3505</v>
      </c>
      <c r="H56" t="str">
        <f t="shared" si="1"/>
        <v>Accumulated surplus</v>
      </c>
    </row>
    <row r="57" spans="1:8" x14ac:dyDescent="0.25">
      <c r="A57" t="s">
        <v>1405</v>
      </c>
      <c r="B57" t="s">
        <v>1406</v>
      </c>
      <c r="C57" s="67">
        <v>108888</v>
      </c>
      <c r="D57" s="67">
        <v>294088.64</v>
      </c>
      <c r="E57" s="67">
        <v>294088.64</v>
      </c>
      <c r="F57" s="67">
        <v>294088.64</v>
      </c>
      <c r="G57" t="str">
        <f t="shared" si="0"/>
        <v>3505</v>
      </c>
      <c r="H57" t="str">
        <f t="shared" si="1"/>
        <v>Non-Current Assets (Cost)</v>
      </c>
    </row>
    <row r="58" spans="1:8" x14ac:dyDescent="0.25">
      <c r="A58" t="s">
        <v>1407</v>
      </c>
      <c r="B58" t="s">
        <v>1408</v>
      </c>
      <c r="C58" s="67">
        <v>-115146</v>
      </c>
      <c r="D58" s="67">
        <v>-97036.04</v>
      </c>
      <c r="E58" s="67">
        <v>-906229.04</v>
      </c>
      <c r="F58" s="67">
        <v>-1836800.99</v>
      </c>
      <c r="G58" t="str">
        <f t="shared" si="0"/>
        <v>3505</v>
      </c>
      <c r="H58" t="str">
        <f t="shared" si="1"/>
        <v>Non-Current Assets (Acc Depreciation)</v>
      </c>
    </row>
    <row r="59" spans="1:8" x14ac:dyDescent="0.25">
      <c r="A59" t="s">
        <v>1409</v>
      </c>
      <c r="B59" t="s">
        <v>1410</v>
      </c>
      <c r="C59" s="67">
        <v>-19196</v>
      </c>
      <c r="D59" s="67">
        <v>-809193</v>
      </c>
      <c r="E59" s="67">
        <v>-930571.95</v>
      </c>
      <c r="F59" s="67">
        <v>-1070157.7424999999</v>
      </c>
      <c r="G59" t="str">
        <f t="shared" si="0"/>
        <v>3505</v>
      </c>
      <c r="H59" t="str">
        <f t="shared" si="1"/>
        <v>Non-Current Assets (Depreciation)</v>
      </c>
    </row>
    <row r="60" spans="1:8" x14ac:dyDescent="0.25">
      <c r="A60" t="s">
        <v>1411</v>
      </c>
      <c r="B60" t="s">
        <v>1412</v>
      </c>
      <c r="C60" s="67">
        <v>1776923</v>
      </c>
      <c r="D60" s="67">
        <v>1702805.33</v>
      </c>
      <c r="E60" s="67">
        <v>1702805.33</v>
      </c>
      <c r="F60" s="67">
        <v>3702805.33</v>
      </c>
      <c r="G60" t="str">
        <f t="shared" si="0"/>
        <v>3505</v>
      </c>
      <c r="H60" t="str">
        <f t="shared" si="1"/>
        <v>Non-Current Assets (Cost)</v>
      </c>
    </row>
    <row r="61" spans="1:8" x14ac:dyDescent="0.25">
      <c r="A61" t="s">
        <v>1413</v>
      </c>
      <c r="B61" t="s">
        <v>1414</v>
      </c>
      <c r="C61" s="67">
        <v>-246428</v>
      </c>
      <c r="D61" s="67">
        <v>-310876.01</v>
      </c>
      <c r="E61" s="67">
        <v>-363189.01</v>
      </c>
      <c r="F61" s="67">
        <v>-423348.96</v>
      </c>
      <c r="G61" t="str">
        <f t="shared" si="0"/>
        <v>3505</v>
      </c>
      <c r="H61" t="str">
        <f t="shared" si="1"/>
        <v>Non-Current Assets (Acc Depreciation)</v>
      </c>
    </row>
    <row r="62" spans="1:8" x14ac:dyDescent="0.25">
      <c r="A62" t="s">
        <v>1415</v>
      </c>
      <c r="B62" t="s">
        <v>1416</v>
      </c>
      <c r="C62" s="67">
        <v>0</v>
      </c>
      <c r="D62" s="67">
        <v>0</v>
      </c>
      <c r="E62" s="67">
        <v>0</v>
      </c>
      <c r="F62" s="67">
        <v>0</v>
      </c>
      <c r="G62" t="str">
        <f t="shared" si="0"/>
        <v>3505</v>
      </c>
      <c r="H62" t="str">
        <f t="shared" si="1"/>
        <v>Non-Current Assets (Acc Depreciation)</v>
      </c>
    </row>
    <row r="63" spans="1:8" x14ac:dyDescent="0.25">
      <c r="A63" t="s">
        <v>1417</v>
      </c>
      <c r="B63" t="s">
        <v>1418</v>
      </c>
      <c r="C63" s="67">
        <v>-95914</v>
      </c>
      <c r="D63" s="67">
        <v>0</v>
      </c>
      <c r="E63" s="67">
        <v>0</v>
      </c>
      <c r="F63" s="67">
        <v>0</v>
      </c>
      <c r="G63" t="str">
        <f t="shared" si="0"/>
        <v>3505</v>
      </c>
      <c r="H63" t="str">
        <f t="shared" si="1"/>
        <v>Non-Current Assets (Acc Depreciation)</v>
      </c>
    </row>
    <row r="64" spans="1:8" x14ac:dyDescent="0.25">
      <c r="A64" t="s">
        <v>1419</v>
      </c>
      <c r="B64" t="s">
        <v>1420</v>
      </c>
      <c r="C64" s="67">
        <v>-52315</v>
      </c>
      <c r="D64" s="67">
        <v>0</v>
      </c>
      <c r="E64" s="67">
        <v>0</v>
      </c>
      <c r="F64" s="67">
        <v>0</v>
      </c>
      <c r="G64" t="str">
        <f t="shared" si="0"/>
        <v>3505</v>
      </c>
      <c r="H64" t="str">
        <f t="shared" si="1"/>
        <v>Non-Current Assets (Depreciation)</v>
      </c>
    </row>
    <row r="65" spans="1:8" x14ac:dyDescent="0.25">
      <c r="A65" t="s">
        <v>1421</v>
      </c>
      <c r="B65" t="s">
        <v>1422</v>
      </c>
      <c r="C65" s="67">
        <v>21508</v>
      </c>
      <c r="D65" s="67">
        <v>721838.74</v>
      </c>
      <c r="E65" s="67">
        <v>721838.74</v>
      </c>
      <c r="F65" s="67">
        <v>721838.74</v>
      </c>
      <c r="G65" t="str">
        <f t="shared" si="0"/>
        <v>3505</v>
      </c>
      <c r="H65" t="str">
        <f t="shared" si="1"/>
        <v>Non-Current Assets (Cost)</v>
      </c>
    </row>
    <row r="66" spans="1:8" x14ac:dyDescent="0.25">
      <c r="A66" t="s">
        <v>1423</v>
      </c>
      <c r="B66" t="s">
        <v>1424</v>
      </c>
      <c r="C66" s="67">
        <v>-28231</v>
      </c>
      <c r="D66" s="67">
        <v>-656810.26</v>
      </c>
      <c r="E66" s="67">
        <v>-662428.26</v>
      </c>
      <c r="F66" s="67">
        <v>-668888.96</v>
      </c>
      <c r="G66" t="str">
        <f t="shared" ref="G66:G129" si="2">VLOOKUP(A66,s,2,FALSE)</f>
        <v>3505</v>
      </c>
      <c r="H66" t="str">
        <f t="shared" ref="H66:H129" si="3">VLOOKUP(A66,s,3,FALSE)</f>
        <v>Non-Current Assets (Acc Depreciation)</v>
      </c>
    </row>
    <row r="67" spans="1:8" x14ac:dyDescent="0.25">
      <c r="A67" t="s">
        <v>1425</v>
      </c>
      <c r="B67" t="s">
        <v>1426</v>
      </c>
      <c r="C67" s="67">
        <v>-5618</v>
      </c>
      <c r="D67" s="67">
        <v>-5618</v>
      </c>
      <c r="E67" s="67">
        <v>-6460.7</v>
      </c>
      <c r="F67" s="67">
        <v>-7429.8049999999994</v>
      </c>
      <c r="G67" t="str">
        <f t="shared" si="2"/>
        <v>3505</v>
      </c>
      <c r="H67" t="str">
        <f t="shared" si="3"/>
        <v>Non-Current Assets (Depreciation)</v>
      </c>
    </row>
    <row r="68" spans="1:8" x14ac:dyDescent="0.25">
      <c r="A68" t="s">
        <v>1427</v>
      </c>
      <c r="B68" t="s">
        <v>1428</v>
      </c>
      <c r="C68" s="67">
        <v>4246404</v>
      </c>
      <c r="D68" s="67">
        <v>1754628.9</v>
      </c>
      <c r="E68" s="67">
        <v>1754628.9</v>
      </c>
      <c r="F68" s="67">
        <v>1754628.9</v>
      </c>
      <c r="G68" t="str">
        <f t="shared" si="2"/>
        <v>3505</v>
      </c>
      <c r="H68" t="str">
        <f t="shared" si="3"/>
        <v>Non-Current Assets (Cost)</v>
      </c>
    </row>
    <row r="69" spans="1:8" x14ac:dyDescent="0.25">
      <c r="A69" t="s">
        <v>1429</v>
      </c>
      <c r="B69" t="s">
        <v>1430</v>
      </c>
      <c r="C69" s="67">
        <v>-6180</v>
      </c>
      <c r="D69" s="67">
        <v>-1022433.7799999999</v>
      </c>
      <c r="E69" s="67">
        <v>-1025804.7799999999</v>
      </c>
      <c r="F69" s="67">
        <v>-1029681.4299999999</v>
      </c>
      <c r="G69" t="str">
        <f t="shared" si="2"/>
        <v>3505</v>
      </c>
      <c r="H69" t="str">
        <f t="shared" si="3"/>
        <v>Non-Current Assets (Acc Depreciation)</v>
      </c>
    </row>
    <row r="70" spans="1:8" x14ac:dyDescent="0.25">
      <c r="A70" t="s">
        <v>1431</v>
      </c>
      <c r="B70" t="s">
        <v>1432</v>
      </c>
      <c r="C70" s="67">
        <v>-3371</v>
      </c>
      <c r="D70" s="67">
        <v>-3371</v>
      </c>
      <c r="E70" s="67">
        <v>-3876.65</v>
      </c>
      <c r="F70" s="67">
        <v>-4458.1475</v>
      </c>
      <c r="G70" t="str">
        <f t="shared" si="2"/>
        <v>3505</v>
      </c>
      <c r="H70" t="str">
        <f t="shared" si="3"/>
        <v>Non-Current Assets (Depreciation)</v>
      </c>
    </row>
    <row r="71" spans="1:8" x14ac:dyDescent="0.25">
      <c r="A71" t="s">
        <v>1433</v>
      </c>
      <c r="B71" t="s">
        <v>1434</v>
      </c>
      <c r="C71" s="67">
        <v>483082</v>
      </c>
      <c r="D71" s="67">
        <v>1116013.6499999999</v>
      </c>
      <c r="E71" s="67">
        <v>1116013.6499999999</v>
      </c>
      <c r="F71" s="67">
        <v>1116013.6499999999</v>
      </c>
      <c r="G71" t="str">
        <f t="shared" si="2"/>
        <v>3505</v>
      </c>
      <c r="H71" t="str">
        <f t="shared" si="3"/>
        <v>Non-Current Assets (Cost)</v>
      </c>
    </row>
    <row r="72" spans="1:8" x14ac:dyDescent="0.25">
      <c r="A72" t="s">
        <v>1435</v>
      </c>
      <c r="B72" t="s">
        <v>1436</v>
      </c>
      <c r="C72" s="67">
        <v>-377543</v>
      </c>
      <c r="D72" s="67">
        <v>-353997.98000000004</v>
      </c>
      <c r="E72" s="67">
        <v>-376973.98000000004</v>
      </c>
      <c r="F72" s="67">
        <v>-403396.38000000006</v>
      </c>
      <c r="G72" t="str">
        <f t="shared" si="2"/>
        <v>3505</v>
      </c>
      <c r="H72" t="str">
        <f t="shared" si="3"/>
        <v>Non-Current Assets (Acc Depreciation)</v>
      </c>
    </row>
    <row r="73" spans="1:8" x14ac:dyDescent="0.25">
      <c r="A73" t="s">
        <v>1437</v>
      </c>
      <c r="B73" t="s">
        <v>1438</v>
      </c>
      <c r="C73" s="67">
        <v>-3180</v>
      </c>
      <c r="D73" s="67">
        <v>-22976</v>
      </c>
      <c r="E73" s="67">
        <v>-26422.400000000001</v>
      </c>
      <c r="F73" s="67">
        <v>-30385.760000000002</v>
      </c>
      <c r="G73" t="str">
        <f t="shared" si="2"/>
        <v>3505</v>
      </c>
      <c r="H73" t="str">
        <f t="shared" si="3"/>
        <v>Non-Current Assets (Depreciation)</v>
      </c>
    </row>
    <row r="74" spans="1:8" x14ac:dyDescent="0.25">
      <c r="A74" t="s">
        <v>1439</v>
      </c>
      <c r="B74" t="s">
        <v>1440</v>
      </c>
      <c r="C74" s="67">
        <v>614949</v>
      </c>
      <c r="D74" s="67">
        <v>551570.79</v>
      </c>
      <c r="E74" s="67">
        <v>551570.79</v>
      </c>
      <c r="F74" s="67">
        <v>551570.79</v>
      </c>
      <c r="G74" t="str">
        <f t="shared" si="2"/>
        <v>3505</v>
      </c>
      <c r="H74" t="str">
        <f t="shared" si="3"/>
        <v>Non-Current Assets (Cost)</v>
      </c>
    </row>
    <row r="75" spans="1:8" x14ac:dyDescent="0.25">
      <c r="A75" t="s">
        <v>1441</v>
      </c>
      <c r="B75" t="s">
        <v>1442</v>
      </c>
      <c r="C75" s="67">
        <v>-202333</v>
      </c>
      <c r="D75" s="67">
        <v>-159436.47999999998</v>
      </c>
      <c r="E75" s="67">
        <v>-200905.47999999998</v>
      </c>
      <c r="F75" s="67">
        <v>-248594.83</v>
      </c>
      <c r="G75" t="str">
        <f t="shared" si="2"/>
        <v>3505</v>
      </c>
      <c r="H75" t="str">
        <f t="shared" si="3"/>
        <v>Non-Current Assets (Acc Depreciation)</v>
      </c>
    </row>
    <row r="76" spans="1:8" x14ac:dyDescent="0.25">
      <c r="A76" t="s">
        <v>1443</v>
      </c>
      <c r="B76" t="s">
        <v>1444</v>
      </c>
      <c r="C76" s="67">
        <v>-41471</v>
      </c>
      <c r="D76" s="67">
        <v>-41469</v>
      </c>
      <c r="E76" s="67">
        <v>-47689.35</v>
      </c>
      <c r="F76" s="67">
        <v>-54842.752499999995</v>
      </c>
      <c r="G76" t="str">
        <f t="shared" si="2"/>
        <v>3505</v>
      </c>
      <c r="H76" t="str">
        <f t="shared" si="3"/>
        <v>Non-Current Assets (Depreciation)</v>
      </c>
    </row>
    <row r="77" spans="1:8" x14ac:dyDescent="0.25">
      <c r="A77" t="s">
        <v>1445</v>
      </c>
      <c r="B77" t="s">
        <v>1446</v>
      </c>
      <c r="C77" s="67">
        <v>726715</v>
      </c>
      <c r="D77" s="67">
        <v>4877.1999999999534</v>
      </c>
      <c r="E77" s="67">
        <v>4877.1999999999534</v>
      </c>
      <c r="F77" s="67">
        <v>4877.1999999999534</v>
      </c>
      <c r="G77" t="str">
        <f t="shared" si="2"/>
        <v>3505</v>
      </c>
      <c r="H77" t="str">
        <f t="shared" si="3"/>
        <v>Non-Current Assets (Cost)</v>
      </c>
    </row>
    <row r="78" spans="1:8" x14ac:dyDescent="0.25">
      <c r="A78" t="s">
        <v>1447</v>
      </c>
      <c r="B78" t="s">
        <v>1448</v>
      </c>
      <c r="C78" s="67">
        <v>-717112</v>
      </c>
      <c r="D78" s="67">
        <v>-697.19999999995343</v>
      </c>
      <c r="E78" s="67">
        <v>-113872.19999999995</v>
      </c>
      <c r="F78" s="67">
        <v>-244023.44999999995</v>
      </c>
      <c r="G78" t="str">
        <f t="shared" si="2"/>
        <v>3505</v>
      </c>
      <c r="H78" t="str">
        <f t="shared" si="3"/>
        <v>Non-Current Assets (Acc Depreciation)</v>
      </c>
    </row>
    <row r="79" spans="1:8" x14ac:dyDescent="0.25">
      <c r="A79" t="s">
        <v>1449</v>
      </c>
      <c r="B79" t="s">
        <v>1450</v>
      </c>
      <c r="C79" s="67">
        <v>-113177</v>
      </c>
      <c r="D79" s="67">
        <v>-113175</v>
      </c>
      <c r="E79" s="67">
        <v>-130151.25</v>
      </c>
      <c r="F79" s="67">
        <v>-149673.9375</v>
      </c>
      <c r="G79" t="str">
        <f t="shared" si="2"/>
        <v>3505</v>
      </c>
      <c r="H79" t="str">
        <f t="shared" si="3"/>
        <v>Non-Current Assets (Depreciation)</v>
      </c>
    </row>
    <row r="80" spans="1:8" x14ac:dyDescent="0.25">
      <c r="A80" t="s">
        <v>1451</v>
      </c>
      <c r="B80" t="s">
        <v>1452</v>
      </c>
      <c r="C80" s="67">
        <v>4825586</v>
      </c>
      <c r="D80" s="67">
        <v>2978648.1</v>
      </c>
      <c r="E80" s="67">
        <v>2978648.1</v>
      </c>
      <c r="F80" s="67">
        <v>2978648.1</v>
      </c>
      <c r="G80" t="str">
        <f t="shared" si="2"/>
        <v>3505</v>
      </c>
      <c r="H80" t="str">
        <f t="shared" si="3"/>
        <v>Non-Current Assets (Cost)</v>
      </c>
    </row>
    <row r="81" spans="1:8" x14ac:dyDescent="0.25">
      <c r="A81" t="s">
        <v>1453</v>
      </c>
      <c r="B81" t="s">
        <v>1454</v>
      </c>
      <c r="C81" s="67">
        <v>-200750</v>
      </c>
      <c r="D81" s="67">
        <v>-8243.5599999999977</v>
      </c>
      <c r="E81" s="67">
        <v>-82459.56</v>
      </c>
      <c r="F81" s="67">
        <v>-167807.96</v>
      </c>
      <c r="G81" t="str">
        <f t="shared" si="2"/>
        <v>3505</v>
      </c>
      <c r="H81" t="str">
        <f t="shared" si="3"/>
        <v>Non-Current Assets (Acc Depreciation)</v>
      </c>
    </row>
    <row r="82" spans="1:8" x14ac:dyDescent="0.25">
      <c r="A82" t="s">
        <v>1455</v>
      </c>
      <c r="B82" t="s">
        <v>1456</v>
      </c>
      <c r="C82" s="67">
        <v>-74217</v>
      </c>
      <c r="D82" s="67">
        <v>-74216</v>
      </c>
      <c r="E82" s="67">
        <v>-85348.4</v>
      </c>
      <c r="F82" s="67">
        <v>-98150.659999999989</v>
      </c>
      <c r="G82" t="str">
        <f t="shared" si="2"/>
        <v>3505</v>
      </c>
      <c r="H82" t="str">
        <f t="shared" si="3"/>
        <v>Non-Current Assets (Depreciation)</v>
      </c>
    </row>
    <row r="83" spans="1:8" x14ac:dyDescent="0.25">
      <c r="A83" t="s">
        <v>1457</v>
      </c>
      <c r="B83" t="s">
        <v>1458</v>
      </c>
      <c r="C83" s="67">
        <v>0</v>
      </c>
      <c r="D83" s="67">
        <v>-0.01</v>
      </c>
      <c r="E83" s="67">
        <v>249999.99</v>
      </c>
      <c r="F83" s="67">
        <v>549999.99</v>
      </c>
      <c r="G83" t="str">
        <f t="shared" si="2"/>
        <v>3505</v>
      </c>
      <c r="H83" t="str">
        <f t="shared" si="3"/>
        <v>Non-Current Assets (Cost)</v>
      </c>
    </row>
    <row r="84" spans="1:8" x14ac:dyDescent="0.25">
      <c r="A84" t="s">
        <v>376</v>
      </c>
      <c r="B84" t="s">
        <v>377</v>
      </c>
      <c r="C84" s="67">
        <v>250000</v>
      </c>
      <c r="D84" s="67">
        <v>250000</v>
      </c>
      <c r="E84" s="67">
        <v>300000</v>
      </c>
      <c r="F84" s="67">
        <v>0</v>
      </c>
      <c r="G84" t="str">
        <f t="shared" si="2"/>
        <v>3505</v>
      </c>
      <c r="H84" t="str">
        <f t="shared" si="3"/>
        <v>Non-Current Assets (Acquisitions)</v>
      </c>
    </row>
    <row r="85" spans="1:8" x14ac:dyDescent="0.25">
      <c r="A85" t="s">
        <v>1459</v>
      </c>
      <c r="B85" t="s">
        <v>1460</v>
      </c>
      <c r="C85" s="67">
        <v>-657260</v>
      </c>
      <c r="D85" s="67">
        <v>-657260</v>
      </c>
      <c r="E85" s="67">
        <v>-722986</v>
      </c>
      <c r="F85" s="67">
        <v>-795284.6</v>
      </c>
      <c r="G85" t="str">
        <f t="shared" si="2"/>
        <v>3505</v>
      </c>
      <c r="H85" t="str">
        <f t="shared" si="3"/>
        <v>Current Employee Benefits</v>
      </c>
    </row>
    <row r="86" spans="1:8" x14ac:dyDescent="0.25">
      <c r="A86" t="s">
        <v>1461</v>
      </c>
      <c r="B86" t="s">
        <v>1462</v>
      </c>
      <c r="C86" s="67">
        <v>-3414788</v>
      </c>
      <c r="D86" s="67">
        <v>31199122.960000001</v>
      </c>
      <c r="E86" s="67">
        <v>56794544.960000001</v>
      </c>
      <c r="F86" s="67">
        <v>83583418.967563987</v>
      </c>
      <c r="G86" t="str">
        <f t="shared" si="2"/>
        <v>3505</v>
      </c>
      <c r="H86" t="str">
        <f t="shared" si="3"/>
        <v>Reserves</v>
      </c>
    </row>
    <row r="87" spans="1:8" x14ac:dyDescent="0.25">
      <c r="A87" t="s">
        <v>1463</v>
      </c>
      <c r="B87" t="s">
        <v>1464</v>
      </c>
      <c r="C87" s="67">
        <v>24335373</v>
      </c>
      <c r="D87" s="67">
        <v>25595422</v>
      </c>
      <c r="E87" s="67">
        <v>26788874.007563993</v>
      </c>
      <c r="F87" s="67">
        <v>28527849.906372454</v>
      </c>
      <c r="G87" t="str">
        <f t="shared" si="2"/>
        <v>3505</v>
      </c>
      <c r="H87" t="str">
        <f t="shared" si="3"/>
        <v>Reserves</v>
      </c>
    </row>
    <row r="88" spans="1:8" x14ac:dyDescent="0.25">
      <c r="A88" t="s">
        <v>379</v>
      </c>
      <c r="B88" t="s">
        <v>76</v>
      </c>
      <c r="C88" s="67">
        <v>-204317</v>
      </c>
      <c r="D88" s="67">
        <v>-204317</v>
      </c>
      <c r="E88" s="67">
        <v>-215350.10956800001</v>
      </c>
      <c r="F88" s="67">
        <v>-226979.01548467201</v>
      </c>
      <c r="G88" t="str">
        <f t="shared" si="2"/>
        <v>3506</v>
      </c>
      <c r="H88" t="str">
        <f t="shared" si="3"/>
        <v>Other income</v>
      </c>
    </row>
    <row r="89" spans="1:8" x14ac:dyDescent="0.25">
      <c r="A89" t="s">
        <v>380</v>
      </c>
      <c r="B89" t="s">
        <v>150</v>
      </c>
      <c r="C89" s="67">
        <v>1546512</v>
      </c>
      <c r="D89" s="67">
        <v>1546512</v>
      </c>
      <c r="E89" s="67">
        <v>1654767.8194560001</v>
      </c>
      <c r="F89" s="67">
        <v>1770601.5668179202</v>
      </c>
      <c r="G89" t="str">
        <f t="shared" si="2"/>
        <v>3506</v>
      </c>
      <c r="H89" t="str">
        <f t="shared" si="3"/>
        <v>Employee related costs</v>
      </c>
    </row>
    <row r="90" spans="1:8" x14ac:dyDescent="0.25">
      <c r="A90" t="s">
        <v>381</v>
      </c>
      <c r="B90" t="s">
        <v>151</v>
      </c>
      <c r="C90" s="67">
        <v>70585</v>
      </c>
      <c r="D90" s="67">
        <v>33868.36</v>
      </c>
      <c r="E90" s="67">
        <v>25335.57</v>
      </c>
      <c r="F90" s="67">
        <v>27768.03</v>
      </c>
      <c r="G90" t="str">
        <f t="shared" si="2"/>
        <v>3506</v>
      </c>
      <c r="H90" t="str">
        <f t="shared" si="3"/>
        <v>Employee related costs</v>
      </c>
    </row>
    <row r="91" spans="1:8" x14ac:dyDescent="0.25">
      <c r="A91" t="s">
        <v>382</v>
      </c>
      <c r="B91" t="s">
        <v>152</v>
      </c>
      <c r="C91" s="67">
        <v>52200</v>
      </c>
      <c r="D91" s="67">
        <v>52200</v>
      </c>
      <c r="E91" s="67">
        <v>134687.31828800001</v>
      </c>
      <c r="F91" s="67">
        <v>144115.43056816002</v>
      </c>
      <c r="G91" t="str">
        <f t="shared" si="2"/>
        <v>3506</v>
      </c>
      <c r="H91" t="str">
        <f t="shared" si="3"/>
        <v>Employee related costs</v>
      </c>
    </row>
    <row r="92" spans="1:8" x14ac:dyDescent="0.25">
      <c r="A92" t="s">
        <v>383</v>
      </c>
      <c r="B92" t="s">
        <v>153</v>
      </c>
      <c r="C92" s="67">
        <v>10893</v>
      </c>
      <c r="D92" s="67">
        <v>10893</v>
      </c>
      <c r="E92" s="67">
        <v>55854</v>
      </c>
      <c r="F92" s="67">
        <v>59763.78</v>
      </c>
      <c r="G92" t="str">
        <f t="shared" si="2"/>
        <v>3506</v>
      </c>
      <c r="H92" t="str">
        <f t="shared" si="3"/>
        <v>Employee related costs</v>
      </c>
    </row>
    <row r="93" spans="1:8" x14ac:dyDescent="0.25">
      <c r="A93" t="s">
        <v>384</v>
      </c>
      <c r="B93" t="s">
        <v>155</v>
      </c>
      <c r="C93" s="67">
        <v>50125</v>
      </c>
      <c r="D93" s="67">
        <v>50125</v>
      </c>
      <c r="E93" s="67">
        <v>11655.766799999999</v>
      </c>
      <c r="F93" s="67">
        <v>12471.670475999999</v>
      </c>
      <c r="G93" t="str">
        <f t="shared" si="2"/>
        <v>3506</v>
      </c>
      <c r="H93" t="str">
        <f t="shared" si="3"/>
        <v>Employee related costs</v>
      </c>
    </row>
    <row r="94" spans="1:8" x14ac:dyDescent="0.25">
      <c r="A94" t="s">
        <v>385</v>
      </c>
      <c r="B94" t="s">
        <v>156</v>
      </c>
      <c r="C94" s="67">
        <v>330862</v>
      </c>
      <c r="D94" s="67">
        <v>330862</v>
      </c>
      <c r="E94" s="67">
        <v>53633.521290871249</v>
      </c>
      <c r="F94" s="67">
        <v>57387.867781232235</v>
      </c>
      <c r="G94" t="str">
        <f t="shared" si="2"/>
        <v>3506</v>
      </c>
      <c r="H94" t="str">
        <f t="shared" si="3"/>
        <v>Employee related costs</v>
      </c>
    </row>
    <row r="95" spans="1:8" x14ac:dyDescent="0.25">
      <c r="A95" t="s">
        <v>386</v>
      </c>
      <c r="B95" t="s">
        <v>157</v>
      </c>
      <c r="C95" s="67">
        <v>5418</v>
      </c>
      <c r="D95" s="67">
        <v>5418</v>
      </c>
      <c r="E95" s="67">
        <v>354021.91360500001</v>
      </c>
      <c r="F95" s="67">
        <v>378803.44755735004</v>
      </c>
      <c r="G95" t="str">
        <f t="shared" si="2"/>
        <v>3506</v>
      </c>
      <c r="H95" t="str">
        <f t="shared" si="3"/>
        <v>Employee related costs</v>
      </c>
    </row>
    <row r="96" spans="1:8" x14ac:dyDescent="0.25">
      <c r="A96" t="s">
        <v>387</v>
      </c>
      <c r="B96" t="s">
        <v>158</v>
      </c>
      <c r="C96" s="67">
        <v>11405</v>
      </c>
      <c r="D96" s="67">
        <v>41405</v>
      </c>
      <c r="E96" s="67">
        <v>5797.0673999999999</v>
      </c>
      <c r="F96" s="67">
        <v>6202.862118</v>
      </c>
      <c r="G96" t="str">
        <f t="shared" si="2"/>
        <v>3506</v>
      </c>
      <c r="H96" t="str">
        <f t="shared" si="3"/>
        <v>Employee related costs</v>
      </c>
    </row>
    <row r="97" spans="1:8" x14ac:dyDescent="0.25">
      <c r="A97" t="s">
        <v>388</v>
      </c>
      <c r="B97" t="s">
        <v>159</v>
      </c>
      <c r="C97" s="67">
        <v>125876</v>
      </c>
      <c r="D97" s="67">
        <v>125876</v>
      </c>
      <c r="E97" s="67">
        <v>12203.799596880001</v>
      </c>
      <c r="F97" s="67">
        <v>13058.065568661601</v>
      </c>
      <c r="G97" t="str">
        <f t="shared" si="2"/>
        <v>3506</v>
      </c>
      <c r="H97" t="str">
        <f t="shared" si="3"/>
        <v>Employee related costs</v>
      </c>
    </row>
    <row r="98" spans="1:8" x14ac:dyDescent="0.25">
      <c r="A98" t="s">
        <v>389</v>
      </c>
      <c r="B98" t="s">
        <v>164</v>
      </c>
      <c r="C98" s="67">
        <v>15692</v>
      </c>
      <c r="D98" s="67">
        <v>15692</v>
      </c>
      <c r="E98" s="67">
        <v>16790.868000000002</v>
      </c>
      <c r="F98" s="67">
        <v>17966.228760000002</v>
      </c>
      <c r="G98" t="str">
        <f t="shared" si="2"/>
        <v>3506</v>
      </c>
      <c r="H98" t="str">
        <f t="shared" si="3"/>
        <v>Employee related costs</v>
      </c>
    </row>
    <row r="99" spans="1:8" x14ac:dyDescent="0.25">
      <c r="A99" t="s">
        <v>390</v>
      </c>
      <c r="B99" t="s">
        <v>167</v>
      </c>
      <c r="C99" s="67">
        <v>449</v>
      </c>
      <c r="D99" s="67">
        <v>449</v>
      </c>
      <c r="E99" s="67">
        <v>480.85799999999995</v>
      </c>
      <c r="F99" s="67">
        <v>514.51805999999999</v>
      </c>
      <c r="G99" t="str">
        <f t="shared" si="2"/>
        <v>3506</v>
      </c>
      <c r="H99" t="str">
        <f t="shared" si="3"/>
        <v>Employee related costs</v>
      </c>
    </row>
    <row r="100" spans="1:8" x14ac:dyDescent="0.25">
      <c r="A100" t="s">
        <v>391</v>
      </c>
      <c r="B100" t="s">
        <v>168</v>
      </c>
      <c r="C100" s="67">
        <v>215633</v>
      </c>
      <c r="D100" s="67">
        <v>215633</v>
      </c>
      <c r="E100" s="67">
        <v>230727.09600000002</v>
      </c>
      <c r="F100" s="67">
        <v>246877.99272000001</v>
      </c>
      <c r="G100" t="str">
        <f t="shared" si="2"/>
        <v>3506</v>
      </c>
      <c r="H100" t="str">
        <f t="shared" si="3"/>
        <v>Employee related costs</v>
      </c>
    </row>
    <row r="101" spans="1:8" x14ac:dyDescent="0.25">
      <c r="A101" t="s">
        <v>392</v>
      </c>
      <c r="B101" t="s">
        <v>169</v>
      </c>
      <c r="C101" s="67">
        <v>332313</v>
      </c>
      <c r="D101" s="67">
        <v>332313</v>
      </c>
      <c r="E101" s="67">
        <v>355574.52028032002</v>
      </c>
      <c r="F101" s="67">
        <v>380464.73669994244</v>
      </c>
      <c r="G101" t="str">
        <f t="shared" si="2"/>
        <v>3506</v>
      </c>
      <c r="H101" t="str">
        <f t="shared" si="3"/>
        <v>Employee related costs</v>
      </c>
    </row>
    <row r="102" spans="1:8" x14ac:dyDescent="0.25">
      <c r="A102" t="s">
        <v>393</v>
      </c>
      <c r="B102" t="s">
        <v>170</v>
      </c>
      <c r="C102" s="67">
        <v>7140</v>
      </c>
      <c r="D102" s="67">
        <v>7140</v>
      </c>
      <c r="E102" s="67">
        <v>7639.8</v>
      </c>
      <c r="F102" s="67">
        <v>8174.5860000000002</v>
      </c>
      <c r="G102" t="str">
        <f t="shared" si="2"/>
        <v>3506</v>
      </c>
      <c r="H102" t="str">
        <f t="shared" si="3"/>
        <v>Employee related costs</v>
      </c>
    </row>
    <row r="103" spans="1:8" x14ac:dyDescent="0.25">
      <c r="A103" t="s">
        <v>394</v>
      </c>
      <c r="B103" t="s">
        <v>173</v>
      </c>
      <c r="C103" s="67">
        <v>8010</v>
      </c>
      <c r="D103" s="67">
        <v>8010</v>
      </c>
      <c r="E103" s="67">
        <v>8491.0452000000005</v>
      </c>
      <c r="F103" s="67">
        <v>9085.418364000001</v>
      </c>
      <c r="G103" t="str">
        <f t="shared" si="2"/>
        <v>3506</v>
      </c>
      <c r="H103" t="str">
        <f t="shared" si="3"/>
        <v>Employee related costs</v>
      </c>
    </row>
    <row r="104" spans="1:8" x14ac:dyDescent="0.25">
      <c r="A104" t="s">
        <v>395</v>
      </c>
      <c r="B104" t="s">
        <v>174</v>
      </c>
      <c r="C104" s="67">
        <v>9043</v>
      </c>
      <c r="D104" s="67">
        <v>9043</v>
      </c>
      <c r="E104" s="67">
        <v>9585.4315999999999</v>
      </c>
      <c r="F104" s="67">
        <v>10256.411812</v>
      </c>
      <c r="G104" t="str">
        <f t="shared" si="2"/>
        <v>3506</v>
      </c>
      <c r="H104" t="str">
        <f t="shared" si="3"/>
        <v>Employee related costs</v>
      </c>
    </row>
    <row r="105" spans="1:8" x14ac:dyDescent="0.25">
      <c r="A105" t="s">
        <v>396</v>
      </c>
      <c r="B105" t="s">
        <v>175</v>
      </c>
      <c r="C105" s="67">
        <v>14441</v>
      </c>
      <c r="D105" s="67">
        <v>14441</v>
      </c>
      <c r="E105" s="67">
        <v>15307.9264</v>
      </c>
      <c r="F105" s="67">
        <v>16379.481248</v>
      </c>
      <c r="G105" t="str">
        <f t="shared" si="2"/>
        <v>3506</v>
      </c>
      <c r="H105" t="str">
        <f t="shared" si="3"/>
        <v>Employee related costs</v>
      </c>
    </row>
    <row r="106" spans="1:8" x14ac:dyDescent="0.25">
      <c r="A106" t="s">
        <v>397</v>
      </c>
      <c r="B106" t="s">
        <v>211</v>
      </c>
      <c r="C106" s="67">
        <v>1000000</v>
      </c>
      <c r="D106" s="67">
        <v>2000000</v>
      </c>
      <c r="E106" s="67">
        <v>400000</v>
      </c>
      <c r="F106" s="67">
        <v>421600</v>
      </c>
      <c r="G106" t="str">
        <f t="shared" si="2"/>
        <v>3506</v>
      </c>
      <c r="H106" t="str">
        <f t="shared" si="3"/>
        <v>Contracted services</v>
      </c>
    </row>
    <row r="107" spans="1:8" x14ac:dyDescent="0.25">
      <c r="A107" t="s">
        <v>398</v>
      </c>
      <c r="B107" t="s">
        <v>211</v>
      </c>
      <c r="C107" s="67">
        <v>117299</v>
      </c>
      <c r="D107" s="67">
        <v>117299</v>
      </c>
      <c r="E107" s="67">
        <v>124336.45239999999</v>
      </c>
      <c r="F107" s="67">
        <v>131050.6208296</v>
      </c>
      <c r="G107" t="str">
        <f t="shared" si="2"/>
        <v>3506</v>
      </c>
      <c r="H107" t="str">
        <f t="shared" si="3"/>
        <v>Contracted services</v>
      </c>
    </row>
    <row r="108" spans="1:8" x14ac:dyDescent="0.25">
      <c r="A108" t="s">
        <v>399</v>
      </c>
      <c r="B108" t="s">
        <v>230</v>
      </c>
      <c r="C108" s="67">
        <v>400000</v>
      </c>
      <c r="D108" s="67">
        <v>550000</v>
      </c>
      <c r="E108" s="67">
        <v>424000</v>
      </c>
      <c r="F108" s="67">
        <v>446896</v>
      </c>
      <c r="G108" t="str">
        <f t="shared" si="2"/>
        <v>3506</v>
      </c>
      <c r="H108" t="str">
        <f t="shared" si="3"/>
        <v>Contracted services</v>
      </c>
    </row>
    <row r="109" spans="1:8" x14ac:dyDescent="0.25">
      <c r="A109" t="s">
        <v>400</v>
      </c>
      <c r="B109" t="s">
        <v>231</v>
      </c>
      <c r="C109" s="67">
        <v>150000</v>
      </c>
      <c r="D109" s="67">
        <v>50000</v>
      </c>
      <c r="E109" s="67">
        <v>159000</v>
      </c>
      <c r="F109" s="67">
        <v>167586</v>
      </c>
      <c r="G109" t="str">
        <f t="shared" si="2"/>
        <v>3506</v>
      </c>
      <c r="H109" t="str">
        <f t="shared" si="3"/>
        <v>Contracted services</v>
      </c>
    </row>
    <row r="110" spans="1:8" x14ac:dyDescent="0.25">
      <c r="A110" t="s">
        <v>401</v>
      </c>
      <c r="B110" t="s">
        <v>232</v>
      </c>
      <c r="C110" s="67">
        <v>700000</v>
      </c>
      <c r="D110" s="67">
        <v>0</v>
      </c>
      <c r="E110" s="67">
        <v>742000</v>
      </c>
      <c r="F110" s="67">
        <v>782068</v>
      </c>
      <c r="G110" t="str">
        <f t="shared" si="2"/>
        <v>3506</v>
      </c>
      <c r="H110" t="str">
        <f t="shared" si="3"/>
        <v>Contracted services</v>
      </c>
    </row>
    <row r="111" spans="1:8" x14ac:dyDescent="0.25">
      <c r="A111" t="s">
        <v>402</v>
      </c>
      <c r="B111" t="s">
        <v>242</v>
      </c>
      <c r="C111" s="67">
        <v>63600</v>
      </c>
      <c r="D111" s="67">
        <v>63600</v>
      </c>
      <c r="E111" s="67">
        <v>67416</v>
      </c>
      <c r="F111" s="67">
        <v>71056.464000000007</v>
      </c>
      <c r="G111" t="str">
        <f t="shared" si="2"/>
        <v>3506</v>
      </c>
      <c r="H111" t="str">
        <f t="shared" si="3"/>
        <v>General expenses</v>
      </c>
    </row>
    <row r="112" spans="1:8" x14ac:dyDescent="0.25">
      <c r="A112" t="s">
        <v>403</v>
      </c>
      <c r="B112" t="s">
        <v>243</v>
      </c>
      <c r="C112" s="67">
        <v>100000</v>
      </c>
      <c r="D112" s="67">
        <v>130000</v>
      </c>
      <c r="E112" s="67">
        <v>106000</v>
      </c>
      <c r="F112" s="67">
        <v>111724</v>
      </c>
      <c r="G112" t="str">
        <f t="shared" si="2"/>
        <v>3506</v>
      </c>
      <c r="H112" t="str">
        <f t="shared" si="3"/>
        <v>General expenses</v>
      </c>
    </row>
    <row r="113" spans="1:8" x14ac:dyDescent="0.25">
      <c r="A113" t="s">
        <v>404</v>
      </c>
      <c r="B113" t="s">
        <v>247</v>
      </c>
      <c r="C113" s="67">
        <v>500000</v>
      </c>
      <c r="D113" s="67">
        <v>500000</v>
      </c>
      <c r="E113" s="67">
        <v>530000</v>
      </c>
      <c r="F113" s="67">
        <v>558620</v>
      </c>
      <c r="G113" t="str">
        <f t="shared" si="2"/>
        <v>3506</v>
      </c>
      <c r="H113" t="str">
        <f t="shared" si="3"/>
        <v>General expenses</v>
      </c>
    </row>
    <row r="114" spans="1:8" x14ac:dyDescent="0.25">
      <c r="A114" t="s">
        <v>405</v>
      </c>
      <c r="B114" t="s">
        <v>247</v>
      </c>
      <c r="C114" s="67">
        <v>53287</v>
      </c>
      <c r="D114" s="67">
        <v>53287</v>
      </c>
      <c r="E114" s="67">
        <v>56484.495600000002</v>
      </c>
      <c r="F114" s="67">
        <v>59534.658362400005</v>
      </c>
      <c r="G114" t="str">
        <f t="shared" si="2"/>
        <v>3506</v>
      </c>
      <c r="H114" t="str">
        <f t="shared" si="3"/>
        <v>General expenses</v>
      </c>
    </row>
    <row r="115" spans="1:8" x14ac:dyDescent="0.25">
      <c r="A115" t="s">
        <v>406</v>
      </c>
      <c r="B115" t="s">
        <v>261</v>
      </c>
      <c r="C115" s="67">
        <v>1049400</v>
      </c>
      <c r="D115" s="67">
        <v>1049400</v>
      </c>
      <c r="E115" s="67">
        <v>1112364</v>
      </c>
      <c r="F115" s="67">
        <v>1172431.656</v>
      </c>
      <c r="G115" t="str">
        <f t="shared" si="2"/>
        <v>3506</v>
      </c>
      <c r="H115" t="str">
        <f t="shared" si="3"/>
        <v>General expenses</v>
      </c>
    </row>
    <row r="116" spans="1:8" x14ac:dyDescent="0.25">
      <c r="A116" t="s">
        <v>407</v>
      </c>
      <c r="B116" t="s">
        <v>261</v>
      </c>
      <c r="C116" s="67">
        <v>7553</v>
      </c>
      <c r="D116" s="67">
        <v>7553</v>
      </c>
      <c r="E116" s="67">
        <v>8005.65</v>
      </c>
      <c r="F116" s="67">
        <v>8437.9550999999992</v>
      </c>
      <c r="G116" t="str">
        <f t="shared" si="2"/>
        <v>3506</v>
      </c>
      <c r="H116" t="str">
        <f t="shared" si="3"/>
        <v>General expenses</v>
      </c>
    </row>
    <row r="117" spans="1:8" x14ac:dyDescent="0.25">
      <c r="A117" t="s">
        <v>408</v>
      </c>
      <c r="B117" t="s">
        <v>263</v>
      </c>
      <c r="C117" s="67">
        <v>689000</v>
      </c>
      <c r="D117" s="67">
        <v>739000</v>
      </c>
      <c r="E117" s="67">
        <v>730340</v>
      </c>
      <c r="F117" s="67">
        <v>769778.36</v>
      </c>
      <c r="G117" t="str">
        <f t="shared" si="2"/>
        <v>3506</v>
      </c>
      <c r="H117" t="str">
        <f t="shared" si="3"/>
        <v>General expenses</v>
      </c>
    </row>
    <row r="118" spans="1:8" x14ac:dyDescent="0.25">
      <c r="A118" t="s">
        <v>409</v>
      </c>
      <c r="B118" t="s">
        <v>265</v>
      </c>
      <c r="C118" s="67">
        <v>164046</v>
      </c>
      <c r="D118" s="67">
        <v>64046</v>
      </c>
      <c r="E118" s="67">
        <v>173888.33600000001</v>
      </c>
      <c r="F118" s="67">
        <v>183278.306144</v>
      </c>
      <c r="G118" t="str">
        <f t="shared" si="2"/>
        <v>3506</v>
      </c>
      <c r="H118" t="str">
        <f t="shared" si="3"/>
        <v>General expenses</v>
      </c>
    </row>
    <row r="119" spans="1:8" x14ac:dyDescent="0.25">
      <c r="A119" t="s">
        <v>410</v>
      </c>
      <c r="B119" t="s">
        <v>268</v>
      </c>
      <c r="C119" s="67">
        <v>0</v>
      </c>
      <c r="D119" s="67">
        <v>100000</v>
      </c>
      <c r="E119" s="67">
        <v>0</v>
      </c>
      <c r="F119" s="67">
        <v>0</v>
      </c>
      <c r="G119" t="str">
        <f t="shared" si="2"/>
        <v>3506</v>
      </c>
      <c r="H119" t="str">
        <f t="shared" si="3"/>
        <v>General expenses</v>
      </c>
    </row>
    <row r="120" spans="1:8" x14ac:dyDescent="0.25">
      <c r="A120" t="s">
        <v>411</v>
      </c>
      <c r="B120" t="s">
        <v>268</v>
      </c>
      <c r="C120" s="67">
        <v>105300</v>
      </c>
      <c r="D120" s="67">
        <v>75300</v>
      </c>
      <c r="E120" s="67">
        <v>111618</v>
      </c>
      <c r="F120" s="67">
        <v>117645.372</v>
      </c>
      <c r="G120" t="str">
        <f t="shared" si="2"/>
        <v>3506</v>
      </c>
      <c r="H120" t="str">
        <f t="shared" si="3"/>
        <v>General expenses</v>
      </c>
    </row>
    <row r="121" spans="1:8" x14ac:dyDescent="0.25">
      <c r="A121" t="s">
        <v>412</v>
      </c>
      <c r="B121" t="s">
        <v>269</v>
      </c>
      <c r="C121" s="67">
        <v>80000</v>
      </c>
      <c r="D121" s="67">
        <v>80000</v>
      </c>
      <c r="E121" s="67">
        <v>84800</v>
      </c>
      <c r="F121" s="67">
        <v>89379.199999999997</v>
      </c>
      <c r="G121" t="str">
        <f t="shared" si="2"/>
        <v>3506</v>
      </c>
      <c r="H121" t="str">
        <f t="shared" si="3"/>
        <v>General expenses</v>
      </c>
    </row>
    <row r="122" spans="1:8" x14ac:dyDescent="0.25">
      <c r="A122" t="s">
        <v>413</v>
      </c>
      <c r="B122" t="s">
        <v>269</v>
      </c>
      <c r="C122" s="67">
        <v>60000</v>
      </c>
      <c r="D122" s="67">
        <v>60000</v>
      </c>
      <c r="E122" s="67">
        <v>63600</v>
      </c>
      <c r="F122" s="67">
        <v>67034.399999999994</v>
      </c>
      <c r="G122" t="str">
        <f t="shared" si="2"/>
        <v>3506</v>
      </c>
      <c r="H122" t="str">
        <f t="shared" si="3"/>
        <v>General expenses</v>
      </c>
    </row>
    <row r="123" spans="1:8" x14ac:dyDescent="0.25">
      <c r="A123" t="s">
        <v>414</v>
      </c>
      <c r="B123" t="s">
        <v>292</v>
      </c>
      <c r="C123" s="67">
        <v>3371</v>
      </c>
      <c r="D123" s="67">
        <v>3371</v>
      </c>
      <c r="E123" s="67">
        <v>3876.65</v>
      </c>
      <c r="F123" s="67">
        <v>4458.1475</v>
      </c>
      <c r="G123" t="str">
        <f t="shared" si="2"/>
        <v>3506</v>
      </c>
      <c r="H123" t="str">
        <f t="shared" si="3"/>
        <v>Depreciation and amortisation</v>
      </c>
    </row>
    <row r="124" spans="1:8" x14ac:dyDescent="0.25">
      <c r="A124" t="s">
        <v>415</v>
      </c>
      <c r="B124" t="s">
        <v>293</v>
      </c>
      <c r="C124" s="67">
        <v>11148</v>
      </c>
      <c r="D124" s="67">
        <v>11148</v>
      </c>
      <c r="E124" s="67">
        <v>12820.2</v>
      </c>
      <c r="F124" s="67">
        <v>14743.230000000001</v>
      </c>
      <c r="G124" t="str">
        <f t="shared" si="2"/>
        <v>3506</v>
      </c>
      <c r="H124" t="str">
        <f t="shared" si="3"/>
        <v>Depreciation and amortisation</v>
      </c>
    </row>
    <row r="125" spans="1:8" x14ac:dyDescent="0.25">
      <c r="A125" t="s">
        <v>1465</v>
      </c>
      <c r="B125" t="s">
        <v>1404</v>
      </c>
      <c r="C125" s="67">
        <v>-7856284</v>
      </c>
      <c r="D125" s="67">
        <v>-8286284</v>
      </c>
      <c r="E125" s="67">
        <v>-7697944.0253890725</v>
      </c>
      <c r="F125" s="67">
        <v>-8163279.8099753959</v>
      </c>
      <c r="G125" t="str">
        <f t="shared" si="2"/>
        <v>3506</v>
      </c>
      <c r="H125" t="str">
        <f t="shared" si="3"/>
        <v>Accumulated surplus</v>
      </c>
    </row>
    <row r="126" spans="1:8" x14ac:dyDescent="0.25">
      <c r="A126" t="s">
        <v>1466</v>
      </c>
      <c r="B126" t="s">
        <v>1428</v>
      </c>
      <c r="C126" s="67">
        <v>348545</v>
      </c>
      <c r="D126" s="67">
        <v>162227.71000000002</v>
      </c>
      <c r="E126" s="67">
        <v>162227.71000000002</v>
      </c>
      <c r="F126" s="67">
        <v>162227.71000000002</v>
      </c>
      <c r="G126" t="str">
        <f t="shared" si="2"/>
        <v>3506</v>
      </c>
      <c r="H126" t="str">
        <f t="shared" si="3"/>
        <v>Non-Current Assets (Cost)</v>
      </c>
    </row>
    <row r="127" spans="1:8" x14ac:dyDescent="0.25">
      <c r="A127" t="s">
        <v>1467</v>
      </c>
      <c r="B127" t="s">
        <v>1430</v>
      </c>
      <c r="C127" s="67">
        <v>-20441</v>
      </c>
      <c r="D127" s="67">
        <v>-70324.87</v>
      </c>
      <c r="E127" s="67">
        <v>-81472.87</v>
      </c>
      <c r="F127" s="67">
        <v>-94293.069999999992</v>
      </c>
      <c r="G127" t="str">
        <f t="shared" si="2"/>
        <v>3506</v>
      </c>
      <c r="H127" t="str">
        <f t="shared" si="3"/>
        <v>Non-Current Assets (Acc Depreciation)</v>
      </c>
    </row>
    <row r="128" spans="1:8" x14ac:dyDescent="0.25">
      <c r="A128" t="s">
        <v>1468</v>
      </c>
      <c r="B128" t="s">
        <v>1432</v>
      </c>
      <c r="C128" s="67">
        <v>-11149</v>
      </c>
      <c r="D128" s="67">
        <v>-11148</v>
      </c>
      <c r="E128" s="67">
        <v>-12820.2</v>
      </c>
      <c r="F128" s="67">
        <v>-14743.230000000001</v>
      </c>
      <c r="G128" t="str">
        <f t="shared" si="2"/>
        <v>3506</v>
      </c>
      <c r="H128" t="str">
        <f t="shared" si="3"/>
        <v>Non-Current Assets (Depreciation)</v>
      </c>
    </row>
    <row r="129" spans="1:8" x14ac:dyDescent="0.25">
      <c r="A129" t="s">
        <v>1469</v>
      </c>
      <c r="B129" t="s">
        <v>1434</v>
      </c>
      <c r="C129" s="67">
        <v>51492</v>
      </c>
      <c r="D129" s="67">
        <v>42263.55</v>
      </c>
      <c r="E129" s="67">
        <v>70983.55</v>
      </c>
      <c r="F129" s="67">
        <v>123983.55</v>
      </c>
      <c r="G129" t="str">
        <f t="shared" si="2"/>
        <v>3506</v>
      </c>
      <c r="H129" t="str">
        <f t="shared" si="3"/>
        <v>Non-Current Assets (Cost)</v>
      </c>
    </row>
    <row r="130" spans="1:8" x14ac:dyDescent="0.25">
      <c r="A130" t="s">
        <v>1470</v>
      </c>
      <c r="B130" t="s">
        <v>1436</v>
      </c>
      <c r="C130" s="67">
        <v>-32212</v>
      </c>
      <c r="D130" s="67">
        <v>-31103.969999999998</v>
      </c>
      <c r="E130" s="67">
        <v>-34474.97</v>
      </c>
      <c r="F130" s="67">
        <v>-38351.620000000003</v>
      </c>
      <c r="G130" t="str">
        <f t="shared" ref="G130:G193" si="4">VLOOKUP(A130,s,2,FALSE)</f>
        <v>3506</v>
      </c>
      <c r="H130" t="str">
        <f t="shared" ref="H130:H193" si="5">VLOOKUP(A130,s,3,FALSE)</f>
        <v>Non-Current Assets (Acc Depreciation)</v>
      </c>
    </row>
    <row r="131" spans="1:8" x14ac:dyDescent="0.25">
      <c r="A131" t="s">
        <v>1471</v>
      </c>
      <c r="B131" t="s">
        <v>1438</v>
      </c>
      <c r="C131" s="67">
        <v>-3180</v>
      </c>
      <c r="D131" s="67">
        <v>-3371</v>
      </c>
      <c r="E131" s="67">
        <v>-3876.65</v>
      </c>
      <c r="F131" s="67">
        <v>-4458.1475</v>
      </c>
      <c r="G131" t="str">
        <f t="shared" si="4"/>
        <v>3506</v>
      </c>
      <c r="H131" t="str">
        <f t="shared" si="5"/>
        <v>Non-Current Assets (Depreciation)</v>
      </c>
    </row>
    <row r="132" spans="1:8" x14ac:dyDescent="0.25">
      <c r="A132" t="s">
        <v>416</v>
      </c>
      <c r="B132" t="s">
        <v>417</v>
      </c>
      <c r="C132" s="67">
        <v>50000</v>
      </c>
      <c r="D132" s="67">
        <v>28720</v>
      </c>
      <c r="E132" s="67">
        <v>53000</v>
      </c>
      <c r="F132" s="67">
        <v>53000</v>
      </c>
      <c r="G132" t="str">
        <f t="shared" si="4"/>
        <v>3506</v>
      </c>
      <c r="H132" t="str">
        <f t="shared" si="5"/>
        <v>Non-Current Assets (Acquisitions)</v>
      </c>
    </row>
    <row r="133" spans="1:8" x14ac:dyDescent="0.25">
      <c r="A133" t="s">
        <v>1472</v>
      </c>
      <c r="B133" t="s">
        <v>1460</v>
      </c>
      <c r="C133" s="67">
        <v>-415399</v>
      </c>
      <c r="D133" s="67">
        <v>-415399</v>
      </c>
      <c r="E133" s="67">
        <v>-456938.9</v>
      </c>
      <c r="F133" s="67">
        <v>-502632.79000000004</v>
      </c>
      <c r="G133" t="str">
        <f t="shared" si="4"/>
        <v>3506</v>
      </c>
      <c r="H133" t="str">
        <f t="shared" si="5"/>
        <v>Current Employee Benefits</v>
      </c>
    </row>
    <row r="134" spans="1:8" x14ac:dyDescent="0.25">
      <c r="A134" t="s">
        <v>1473</v>
      </c>
      <c r="B134" t="s">
        <v>1462</v>
      </c>
      <c r="C134" s="67">
        <v>108167</v>
      </c>
      <c r="D134" s="67">
        <v>11300044.970000001</v>
      </c>
      <c r="E134" s="67">
        <v>19586328.969999999</v>
      </c>
      <c r="F134" s="67">
        <v>27284272.99538907</v>
      </c>
      <c r="G134" t="str">
        <f t="shared" si="4"/>
        <v>3506</v>
      </c>
      <c r="H134" t="str">
        <f t="shared" si="5"/>
        <v>Reserves</v>
      </c>
    </row>
    <row r="135" spans="1:8" x14ac:dyDescent="0.25">
      <c r="A135" t="s">
        <v>1474</v>
      </c>
      <c r="B135" t="s">
        <v>1464</v>
      </c>
      <c r="C135" s="67">
        <v>7856284</v>
      </c>
      <c r="D135" s="67">
        <v>8286284</v>
      </c>
      <c r="E135" s="67">
        <v>7697944.0253890725</v>
      </c>
      <c r="F135" s="67">
        <v>8163279.8099753959</v>
      </c>
      <c r="G135" t="str">
        <f t="shared" si="4"/>
        <v>3506</v>
      </c>
      <c r="H135" t="str">
        <f t="shared" si="5"/>
        <v>Reserves</v>
      </c>
    </row>
    <row r="136" spans="1:8" x14ac:dyDescent="0.25">
      <c r="A136" t="s">
        <v>419</v>
      </c>
      <c r="B136" t="s">
        <v>150</v>
      </c>
      <c r="C136" s="67">
        <v>921699</v>
      </c>
      <c r="D136" s="67">
        <v>921699</v>
      </c>
      <c r="E136" s="67">
        <v>986217.75280800008</v>
      </c>
      <c r="F136" s="67">
        <v>1055252.9955045602</v>
      </c>
      <c r="G136" t="str">
        <f t="shared" si="4"/>
        <v>3507</v>
      </c>
      <c r="H136" t="str">
        <f t="shared" si="5"/>
        <v>Employee related costs</v>
      </c>
    </row>
    <row r="137" spans="1:8" x14ac:dyDescent="0.25">
      <c r="A137" t="s">
        <v>420</v>
      </c>
      <c r="B137" t="s">
        <v>151</v>
      </c>
      <c r="C137" s="67">
        <v>41388</v>
      </c>
      <c r="D137" s="67">
        <v>21167.72</v>
      </c>
      <c r="E137" s="67">
        <v>12634.93</v>
      </c>
      <c r="F137" s="67">
        <v>15067.39</v>
      </c>
      <c r="G137" t="str">
        <f t="shared" si="4"/>
        <v>3507</v>
      </c>
      <c r="H137" t="str">
        <f t="shared" si="5"/>
        <v>Employee related costs</v>
      </c>
    </row>
    <row r="138" spans="1:8" x14ac:dyDescent="0.25">
      <c r="A138" t="s">
        <v>421</v>
      </c>
      <c r="B138" t="s">
        <v>152</v>
      </c>
      <c r="C138" s="67">
        <v>38100</v>
      </c>
      <c r="D138" s="67">
        <v>38100</v>
      </c>
      <c r="E138" s="67">
        <v>78974.812734000006</v>
      </c>
      <c r="F138" s="67">
        <v>84503.049625380008</v>
      </c>
      <c r="G138" t="str">
        <f t="shared" si="4"/>
        <v>3507</v>
      </c>
      <c r="H138" t="str">
        <f t="shared" si="5"/>
        <v>Employee related costs</v>
      </c>
    </row>
    <row r="139" spans="1:8" x14ac:dyDescent="0.25">
      <c r="A139" t="s">
        <v>422</v>
      </c>
      <c r="B139" t="s">
        <v>153</v>
      </c>
      <c r="C139" s="67">
        <v>10893</v>
      </c>
      <c r="D139" s="67">
        <v>10893</v>
      </c>
      <c r="E139" s="67">
        <v>40767</v>
      </c>
      <c r="F139" s="67">
        <v>43620.69</v>
      </c>
      <c r="G139" t="str">
        <f t="shared" si="4"/>
        <v>3507</v>
      </c>
      <c r="H139" t="str">
        <f t="shared" si="5"/>
        <v>Employee related costs</v>
      </c>
    </row>
    <row r="140" spans="1:8" x14ac:dyDescent="0.25">
      <c r="A140" t="s">
        <v>423</v>
      </c>
      <c r="B140" t="s">
        <v>155</v>
      </c>
      <c r="C140" s="67">
        <v>29391</v>
      </c>
      <c r="D140" s="67">
        <v>29391</v>
      </c>
      <c r="E140" s="67">
        <v>11655.766799999999</v>
      </c>
      <c r="F140" s="67">
        <v>12471.670475999999</v>
      </c>
      <c r="G140" t="str">
        <f t="shared" si="4"/>
        <v>3507</v>
      </c>
      <c r="H140" t="str">
        <f t="shared" si="5"/>
        <v>Employee related costs</v>
      </c>
    </row>
    <row r="141" spans="1:8" x14ac:dyDescent="0.25">
      <c r="A141" t="s">
        <v>424</v>
      </c>
      <c r="B141" t="s">
        <v>156</v>
      </c>
      <c r="C141" s="67">
        <v>153077</v>
      </c>
      <c r="D141" s="67">
        <v>153077</v>
      </c>
      <c r="E141" s="67">
        <v>31448.375051572606</v>
      </c>
      <c r="F141" s="67">
        <v>33649.761305182692</v>
      </c>
      <c r="G141" t="str">
        <f t="shared" si="4"/>
        <v>3507</v>
      </c>
      <c r="H141" t="str">
        <f t="shared" si="5"/>
        <v>Employee related costs</v>
      </c>
    </row>
    <row r="142" spans="1:8" x14ac:dyDescent="0.25">
      <c r="A142" t="s">
        <v>425</v>
      </c>
      <c r="B142" t="s">
        <v>158</v>
      </c>
      <c r="C142" s="67">
        <v>12246</v>
      </c>
      <c r="D142" s="67">
        <v>0</v>
      </c>
      <c r="E142" s="67">
        <v>163791.94712700002</v>
      </c>
      <c r="F142" s="67">
        <v>175257.38342589003</v>
      </c>
      <c r="G142" t="str">
        <f t="shared" si="4"/>
        <v>3507</v>
      </c>
      <c r="H142" t="str">
        <f t="shared" si="5"/>
        <v>Employee related costs</v>
      </c>
    </row>
    <row r="143" spans="1:8" x14ac:dyDescent="0.25">
      <c r="A143" t="s">
        <v>426</v>
      </c>
      <c r="B143" t="s">
        <v>159</v>
      </c>
      <c r="C143" s="67">
        <v>73808</v>
      </c>
      <c r="D143" s="92">
        <v>91255</v>
      </c>
      <c r="E143" s="67">
        <v>13103.35577016</v>
      </c>
      <c r="F143" s="67">
        <v>14020.5906740712</v>
      </c>
      <c r="G143" t="str">
        <f t="shared" si="4"/>
        <v>3507</v>
      </c>
      <c r="H143" t="str">
        <f t="shared" si="5"/>
        <v>Employee related costs</v>
      </c>
    </row>
    <row r="144" spans="1:8" x14ac:dyDescent="0.25">
      <c r="A144" t="s">
        <v>427</v>
      </c>
      <c r="B144" t="s">
        <v>164</v>
      </c>
      <c r="C144" s="67">
        <v>15692</v>
      </c>
      <c r="D144" s="67">
        <v>15692</v>
      </c>
      <c r="E144" s="67">
        <v>16790.868000000002</v>
      </c>
      <c r="F144" s="67">
        <v>17966.228760000002</v>
      </c>
      <c r="G144" t="str">
        <f t="shared" si="4"/>
        <v>3507</v>
      </c>
      <c r="H144" t="str">
        <f t="shared" si="5"/>
        <v>Employee related costs</v>
      </c>
    </row>
    <row r="145" spans="1:8" x14ac:dyDescent="0.25">
      <c r="A145" t="s">
        <v>428</v>
      </c>
      <c r="B145" t="s">
        <v>167</v>
      </c>
      <c r="C145" s="67">
        <v>225</v>
      </c>
      <c r="D145" s="67">
        <v>225</v>
      </c>
      <c r="E145" s="67">
        <v>240.42899999999997</v>
      </c>
      <c r="F145" s="67">
        <v>257.25903</v>
      </c>
      <c r="G145" t="str">
        <f t="shared" si="4"/>
        <v>3507</v>
      </c>
      <c r="H145" t="str">
        <f t="shared" si="5"/>
        <v>Employee related costs</v>
      </c>
    </row>
    <row r="146" spans="1:8" x14ac:dyDescent="0.25">
      <c r="A146" t="s">
        <v>429</v>
      </c>
      <c r="B146" t="s">
        <v>168</v>
      </c>
      <c r="C146" s="67">
        <v>107816</v>
      </c>
      <c r="D146" s="67">
        <v>107816</v>
      </c>
      <c r="E146" s="67">
        <v>115363.54800000001</v>
      </c>
      <c r="F146" s="67">
        <v>123438.99636</v>
      </c>
      <c r="G146" t="str">
        <f t="shared" si="4"/>
        <v>3507</v>
      </c>
      <c r="H146" t="str">
        <f t="shared" si="5"/>
        <v>Employee related costs</v>
      </c>
    </row>
    <row r="147" spans="1:8" x14ac:dyDescent="0.25">
      <c r="A147" t="s">
        <v>430</v>
      </c>
      <c r="B147" t="s">
        <v>169</v>
      </c>
      <c r="C147" s="67">
        <v>194854</v>
      </c>
      <c r="D147" s="67">
        <v>194854</v>
      </c>
      <c r="E147" s="67">
        <v>208493.50561776001</v>
      </c>
      <c r="F147" s="67">
        <v>223088.0510110032</v>
      </c>
      <c r="G147" t="str">
        <f t="shared" si="4"/>
        <v>3507</v>
      </c>
      <c r="H147" t="str">
        <f t="shared" si="5"/>
        <v>Employee related costs</v>
      </c>
    </row>
    <row r="148" spans="1:8" x14ac:dyDescent="0.25">
      <c r="A148" t="s">
        <v>431</v>
      </c>
      <c r="B148" t="s">
        <v>170</v>
      </c>
      <c r="C148" s="67">
        <v>3570</v>
      </c>
      <c r="D148" s="67">
        <v>3570</v>
      </c>
      <c r="E148" s="67">
        <v>3819.9</v>
      </c>
      <c r="F148" s="67">
        <v>4087.2930000000001</v>
      </c>
      <c r="G148" t="str">
        <f t="shared" si="4"/>
        <v>3507</v>
      </c>
      <c r="H148" t="str">
        <f t="shared" si="5"/>
        <v>Employee related costs</v>
      </c>
    </row>
    <row r="149" spans="1:8" x14ac:dyDescent="0.25">
      <c r="A149" t="s">
        <v>432</v>
      </c>
      <c r="B149" t="s">
        <v>173</v>
      </c>
      <c r="C149" s="67">
        <v>3453</v>
      </c>
      <c r="D149" s="67">
        <v>3453</v>
      </c>
      <c r="E149" s="67">
        <v>3660.6887999999999</v>
      </c>
      <c r="F149" s="67">
        <v>3916.9370159999999</v>
      </c>
      <c r="G149" t="str">
        <f t="shared" si="4"/>
        <v>3507</v>
      </c>
      <c r="H149" t="str">
        <f t="shared" si="5"/>
        <v>Employee related costs</v>
      </c>
    </row>
    <row r="150" spans="1:8" x14ac:dyDescent="0.25">
      <c r="A150" t="s">
        <v>433</v>
      </c>
      <c r="B150" t="s">
        <v>174</v>
      </c>
      <c r="C150" s="67">
        <v>1415</v>
      </c>
      <c r="D150" s="67">
        <v>1415</v>
      </c>
      <c r="E150" s="67">
        <v>1500.0059999999999</v>
      </c>
      <c r="F150" s="67">
        <v>1605.0064199999999</v>
      </c>
      <c r="G150" t="str">
        <f t="shared" si="4"/>
        <v>3507</v>
      </c>
      <c r="H150" t="str">
        <f t="shared" si="5"/>
        <v>Employee related costs</v>
      </c>
    </row>
    <row r="151" spans="1:8" x14ac:dyDescent="0.25">
      <c r="A151" t="s">
        <v>434</v>
      </c>
      <c r="B151" t="s">
        <v>175</v>
      </c>
      <c r="C151" s="67">
        <v>9596</v>
      </c>
      <c r="D151" s="67">
        <v>9596</v>
      </c>
      <c r="E151" s="67">
        <v>10171.950800000001</v>
      </c>
      <c r="F151" s="67">
        <v>10883.987356000001</v>
      </c>
      <c r="G151" t="str">
        <f t="shared" si="4"/>
        <v>3507</v>
      </c>
      <c r="H151" t="str">
        <f t="shared" si="5"/>
        <v>Employee related costs</v>
      </c>
    </row>
    <row r="152" spans="1:8" x14ac:dyDescent="0.25">
      <c r="A152" t="s">
        <v>435</v>
      </c>
      <c r="B152" t="s">
        <v>233</v>
      </c>
      <c r="C152" s="67">
        <v>84047</v>
      </c>
      <c r="D152" s="67">
        <v>84047</v>
      </c>
      <c r="E152" s="67">
        <v>89090.243999999992</v>
      </c>
      <c r="F152" s="67">
        <v>93901.117175999985</v>
      </c>
      <c r="G152" t="str">
        <f t="shared" si="4"/>
        <v>3507</v>
      </c>
      <c r="H152" t="str">
        <f t="shared" si="5"/>
        <v>Contracted services</v>
      </c>
    </row>
    <row r="153" spans="1:8" x14ac:dyDescent="0.25">
      <c r="A153" t="s">
        <v>436</v>
      </c>
      <c r="B153" t="s">
        <v>235</v>
      </c>
      <c r="C153" s="67">
        <v>400000</v>
      </c>
      <c r="D153" s="67">
        <v>460000.00000000012</v>
      </c>
      <c r="E153" s="67">
        <v>424000</v>
      </c>
      <c r="F153" s="67">
        <v>446896</v>
      </c>
      <c r="G153" t="str">
        <f t="shared" si="4"/>
        <v>3507</v>
      </c>
      <c r="H153" t="str">
        <f t="shared" si="5"/>
        <v>Contracted services</v>
      </c>
    </row>
    <row r="154" spans="1:8" x14ac:dyDescent="0.25">
      <c r="A154" t="s">
        <v>437</v>
      </c>
      <c r="B154" t="s">
        <v>235</v>
      </c>
      <c r="C154" s="67">
        <v>600000</v>
      </c>
      <c r="D154" s="67">
        <v>539999.99999999988</v>
      </c>
      <c r="E154" s="67">
        <v>636000</v>
      </c>
      <c r="F154" s="67">
        <v>670344</v>
      </c>
      <c r="G154" t="str">
        <f t="shared" si="4"/>
        <v>3507</v>
      </c>
      <c r="H154" t="str">
        <f t="shared" si="5"/>
        <v>Contracted services</v>
      </c>
    </row>
    <row r="155" spans="1:8" x14ac:dyDescent="0.25">
      <c r="A155" t="s">
        <v>438</v>
      </c>
      <c r="B155" t="s">
        <v>249</v>
      </c>
      <c r="C155" s="67">
        <v>1497385</v>
      </c>
      <c r="D155" s="67">
        <v>1697385</v>
      </c>
      <c r="E155" s="67">
        <v>1187228.2696</v>
      </c>
      <c r="F155" s="67">
        <v>1251338.5961583999</v>
      </c>
      <c r="G155" t="str">
        <f t="shared" si="4"/>
        <v>3507</v>
      </c>
      <c r="H155" t="str">
        <f t="shared" si="5"/>
        <v>General expenses</v>
      </c>
    </row>
    <row r="156" spans="1:8" x14ac:dyDescent="0.25">
      <c r="A156" t="s">
        <v>439</v>
      </c>
      <c r="B156" t="s">
        <v>265</v>
      </c>
      <c r="C156" s="67">
        <v>0</v>
      </c>
      <c r="D156" s="67">
        <v>15000</v>
      </c>
      <c r="E156" s="67">
        <v>0</v>
      </c>
      <c r="F156" s="67">
        <v>0</v>
      </c>
      <c r="G156" t="str">
        <f t="shared" si="4"/>
        <v>3507</v>
      </c>
      <c r="H156" t="str">
        <f t="shared" si="5"/>
        <v>General expenses</v>
      </c>
    </row>
    <row r="157" spans="1:8" x14ac:dyDescent="0.25">
      <c r="A157" t="s">
        <v>440</v>
      </c>
      <c r="B157" t="s">
        <v>268</v>
      </c>
      <c r="C157" s="67">
        <v>0</v>
      </c>
      <c r="D157" s="67">
        <v>35000</v>
      </c>
      <c r="E157" s="67">
        <v>0</v>
      </c>
      <c r="F157" s="67">
        <v>0</v>
      </c>
      <c r="G157" t="str">
        <f t="shared" si="4"/>
        <v>3507</v>
      </c>
      <c r="H157" t="str">
        <f t="shared" si="5"/>
        <v>General expenses</v>
      </c>
    </row>
    <row r="158" spans="1:8" x14ac:dyDescent="0.25">
      <c r="A158" t="s">
        <v>441</v>
      </c>
      <c r="B158" t="s">
        <v>291</v>
      </c>
      <c r="C158" s="67">
        <v>3371</v>
      </c>
      <c r="D158" s="67">
        <v>3371</v>
      </c>
      <c r="E158" s="67">
        <v>3876.65</v>
      </c>
      <c r="F158" s="67">
        <v>4458.1475</v>
      </c>
      <c r="G158" t="str">
        <f t="shared" si="4"/>
        <v>3507</v>
      </c>
      <c r="H158" t="str">
        <f t="shared" si="5"/>
        <v>Depreciation and amortisation</v>
      </c>
    </row>
    <row r="159" spans="1:8" x14ac:dyDescent="0.25">
      <c r="A159" t="s">
        <v>442</v>
      </c>
      <c r="B159" t="s">
        <v>292</v>
      </c>
      <c r="C159" s="67">
        <v>92300</v>
      </c>
      <c r="D159" s="67">
        <v>92300</v>
      </c>
      <c r="E159" s="67">
        <v>106145</v>
      </c>
      <c r="F159" s="67">
        <v>122066.75</v>
      </c>
      <c r="G159" t="str">
        <f t="shared" si="4"/>
        <v>3507</v>
      </c>
      <c r="H159" t="str">
        <f t="shared" si="5"/>
        <v>Depreciation and amortisation</v>
      </c>
    </row>
    <row r="160" spans="1:8" x14ac:dyDescent="0.25">
      <c r="A160" t="s">
        <v>443</v>
      </c>
      <c r="B160" t="s">
        <v>293</v>
      </c>
      <c r="C160" s="67">
        <v>438975</v>
      </c>
      <c r="D160" s="67">
        <v>438975</v>
      </c>
      <c r="E160" s="67">
        <v>504821.25</v>
      </c>
      <c r="F160" s="67">
        <v>580544.4375</v>
      </c>
      <c r="G160" t="str">
        <f t="shared" si="4"/>
        <v>3507</v>
      </c>
      <c r="H160" t="str">
        <f t="shared" si="5"/>
        <v>Depreciation and amortisation</v>
      </c>
    </row>
    <row r="161" spans="1:8" x14ac:dyDescent="0.25">
      <c r="A161" t="s">
        <v>1475</v>
      </c>
      <c r="B161" t="s">
        <v>1404</v>
      </c>
      <c r="C161" s="67">
        <v>-4733301</v>
      </c>
      <c r="D161" s="67">
        <v>-4971055</v>
      </c>
      <c r="E161" s="67">
        <v>-4681446.2618284933</v>
      </c>
      <c r="F161" s="67">
        <v>-5020953.8359388877</v>
      </c>
      <c r="G161" t="str">
        <f t="shared" si="4"/>
        <v>3507</v>
      </c>
      <c r="H161" t="str">
        <f t="shared" si="5"/>
        <v>Accumulated surplus</v>
      </c>
    </row>
    <row r="162" spans="1:8" x14ac:dyDescent="0.25">
      <c r="A162" t="s">
        <v>1476</v>
      </c>
      <c r="B162" t="s">
        <v>1406</v>
      </c>
      <c r="C162" s="67">
        <v>1086925</v>
      </c>
      <c r="D162" s="67">
        <v>1086925</v>
      </c>
      <c r="E162" s="67">
        <v>1686925</v>
      </c>
      <c r="F162" s="67">
        <v>1686925</v>
      </c>
      <c r="G162" t="str">
        <f t="shared" si="4"/>
        <v>3507</v>
      </c>
      <c r="H162" t="str">
        <f t="shared" si="5"/>
        <v>Non-Current Assets (Cost)</v>
      </c>
    </row>
    <row r="163" spans="1:8" x14ac:dyDescent="0.25">
      <c r="A163" t="s">
        <v>444</v>
      </c>
      <c r="B163" t="s">
        <v>445</v>
      </c>
      <c r="C163" s="67">
        <v>600000</v>
      </c>
      <c r="D163" s="67">
        <v>600000</v>
      </c>
      <c r="E163" s="67">
        <v>0</v>
      </c>
      <c r="F163" s="67">
        <v>0</v>
      </c>
      <c r="G163" t="str">
        <f t="shared" si="4"/>
        <v>3507</v>
      </c>
      <c r="H163" t="str">
        <f t="shared" si="5"/>
        <v>Non-Current Assets (Acquisitions)</v>
      </c>
    </row>
    <row r="164" spans="1:8" x14ac:dyDescent="0.25">
      <c r="A164" t="s">
        <v>1477</v>
      </c>
      <c r="B164" t="s">
        <v>1408</v>
      </c>
      <c r="C164" s="67">
        <v>-224020</v>
      </c>
      <c r="D164" s="67">
        <v>-227397.44</v>
      </c>
      <c r="E164" s="67">
        <v>-230768.44</v>
      </c>
      <c r="F164" s="67">
        <v>-234645.09</v>
      </c>
      <c r="G164" t="str">
        <f t="shared" si="4"/>
        <v>3507</v>
      </c>
      <c r="H164" t="str">
        <f t="shared" si="5"/>
        <v>Non-Current Assets (Acc Depreciation)</v>
      </c>
    </row>
    <row r="165" spans="1:8" x14ac:dyDescent="0.25">
      <c r="A165" t="s">
        <v>1478</v>
      </c>
      <c r="B165" t="s">
        <v>1410</v>
      </c>
      <c r="C165" s="67">
        <v>-3371</v>
      </c>
      <c r="D165" s="67">
        <v>-3371</v>
      </c>
      <c r="E165" s="67">
        <v>-3876.65</v>
      </c>
      <c r="F165" s="67">
        <v>-4458.1475</v>
      </c>
      <c r="G165" t="str">
        <f t="shared" si="4"/>
        <v>3507</v>
      </c>
      <c r="H165" t="str">
        <f t="shared" si="5"/>
        <v>Non-Current Assets (Depreciation)</v>
      </c>
    </row>
    <row r="166" spans="1:8" x14ac:dyDescent="0.25">
      <c r="A166" t="s">
        <v>1479</v>
      </c>
      <c r="B166" t="s">
        <v>1428</v>
      </c>
      <c r="C166" s="67">
        <v>1968225</v>
      </c>
      <c r="D166" s="67">
        <v>2891474.59</v>
      </c>
      <c r="E166" s="67">
        <v>2891474.59</v>
      </c>
      <c r="F166" s="67">
        <v>2891474.59</v>
      </c>
      <c r="G166" t="str">
        <f t="shared" si="4"/>
        <v>3507</v>
      </c>
      <c r="H166" t="str">
        <f t="shared" si="5"/>
        <v>Non-Current Assets (Cost)</v>
      </c>
    </row>
    <row r="167" spans="1:8" x14ac:dyDescent="0.25">
      <c r="A167" t="s">
        <v>1480</v>
      </c>
      <c r="B167" t="s">
        <v>1430</v>
      </c>
      <c r="C167" s="67">
        <v>-804815</v>
      </c>
      <c r="D167" s="67">
        <v>-2116402.71</v>
      </c>
      <c r="E167" s="67">
        <v>-2555377.71</v>
      </c>
      <c r="F167" s="67">
        <v>-3060198.96</v>
      </c>
      <c r="G167" t="str">
        <f t="shared" si="4"/>
        <v>3507</v>
      </c>
      <c r="H167" t="str">
        <f t="shared" si="5"/>
        <v>Non-Current Assets (Acc Depreciation)</v>
      </c>
    </row>
    <row r="168" spans="1:8" x14ac:dyDescent="0.25">
      <c r="A168" t="s">
        <v>1481</v>
      </c>
      <c r="B168" t="s">
        <v>1432</v>
      </c>
      <c r="C168" s="67">
        <v>-438976</v>
      </c>
      <c r="D168" s="67">
        <v>-438975</v>
      </c>
      <c r="E168" s="67">
        <v>-504821.25</v>
      </c>
      <c r="F168" s="67">
        <v>-580544.4375</v>
      </c>
      <c r="G168" t="str">
        <f t="shared" si="4"/>
        <v>3507</v>
      </c>
      <c r="H168" t="str">
        <f t="shared" si="5"/>
        <v>Non-Current Assets (Depreciation)</v>
      </c>
    </row>
    <row r="169" spans="1:8" x14ac:dyDescent="0.25">
      <c r="A169" t="s">
        <v>1482</v>
      </c>
      <c r="B169" t="s">
        <v>1434</v>
      </c>
      <c r="C169" s="67">
        <v>2443099</v>
      </c>
      <c r="D169" s="67">
        <v>1585506.27</v>
      </c>
      <c r="E169" s="67">
        <v>2685506.27</v>
      </c>
      <c r="F169" s="67">
        <v>3085506.27</v>
      </c>
      <c r="G169" t="str">
        <f t="shared" si="4"/>
        <v>3507</v>
      </c>
      <c r="H169" t="str">
        <f t="shared" si="5"/>
        <v>Non-Current Assets (Cost)</v>
      </c>
    </row>
    <row r="170" spans="1:8" x14ac:dyDescent="0.25">
      <c r="A170" t="s">
        <v>1483</v>
      </c>
      <c r="B170" t="s">
        <v>1436</v>
      </c>
      <c r="C170" s="67">
        <v>-988559</v>
      </c>
      <c r="D170" s="67">
        <v>-1108304.78</v>
      </c>
      <c r="E170" s="67">
        <v>-1200604.78</v>
      </c>
      <c r="F170" s="67">
        <v>-1306749.78</v>
      </c>
      <c r="G170" t="str">
        <f t="shared" si="4"/>
        <v>3507</v>
      </c>
      <c r="H170" t="str">
        <f t="shared" si="5"/>
        <v>Non-Current Assets (Acc Depreciation)</v>
      </c>
    </row>
    <row r="171" spans="1:8" x14ac:dyDescent="0.25">
      <c r="A171" t="s">
        <v>1484</v>
      </c>
      <c r="B171" t="s">
        <v>1438</v>
      </c>
      <c r="C171" s="67">
        <v>-87077</v>
      </c>
      <c r="D171" s="67">
        <v>-92300</v>
      </c>
      <c r="E171" s="67">
        <v>-106145</v>
      </c>
      <c r="F171" s="67">
        <v>-122066.75</v>
      </c>
      <c r="G171" t="str">
        <f t="shared" si="4"/>
        <v>3507</v>
      </c>
      <c r="H171" t="str">
        <f t="shared" si="5"/>
        <v>Non-Current Assets (Depreciation)</v>
      </c>
    </row>
    <row r="172" spans="1:8" x14ac:dyDescent="0.25">
      <c r="A172" t="s">
        <v>446</v>
      </c>
      <c r="B172" t="s">
        <v>447</v>
      </c>
      <c r="C172" s="67">
        <v>1100000</v>
      </c>
      <c r="D172" s="67">
        <v>1100000</v>
      </c>
      <c r="E172" s="67">
        <v>400000</v>
      </c>
      <c r="F172" s="67">
        <v>0</v>
      </c>
      <c r="G172" t="str">
        <f t="shared" si="4"/>
        <v>3507</v>
      </c>
      <c r="H172" t="str">
        <f t="shared" si="5"/>
        <v>Non-Current Assets (Acquisitions)</v>
      </c>
    </row>
    <row r="173" spans="1:8" x14ac:dyDescent="0.25">
      <c r="A173" t="s">
        <v>1485</v>
      </c>
      <c r="B173" t="s">
        <v>1460</v>
      </c>
      <c r="C173" s="67">
        <v>-118639</v>
      </c>
      <c r="D173" s="67">
        <v>-118639</v>
      </c>
      <c r="E173" s="67">
        <v>-130502.9</v>
      </c>
      <c r="F173" s="67">
        <v>-143553.19</v>
      </c>
      <c r="G173" t="str">
        <f t="shared" si="4"/>
        <v>3507</v>
      </c>
      <c r="H173" t="str">
        <f t="shared" si="5"/>
        <v>Current Employee Benefits</v>
      </c>
    </row>
    <row r="174" spans="1:8" x14ac:dyDescent="0.25">
      <c r="A174" t="s">
        <v>1486</v>
      </c>
      <c r="B174" t="s">
        <v>1462</v>
      </c>
      <c r="C174" s="67">
        <v>-1609008</v>
      </c>
      <c r="D174" s="67">
        <v>9142608.0299999993</v>
      </c>
      <c r="E174" s="67">
        <v>14113663.029999999</v>
      </c>
      <c r="F174" s="67">
        <v>18795109.291828491</v>
      </c>
      <c r="G174" t="str">
        <f t="shared" si="4"/>
        <v>3507</v>
      </c>
      <c r="H174" t="str">
        <f t="shared" si="5"/>
        <v>Reserves</v>
      </c>
    </row>
    <row r="175" spans="1:8" x14ac:dyDescent="0.25">
      <c r="A175" t="s">
        <v>1487</v>
      </c>
      <c r="B175" t="s">
        <v>1464</v>
      </c>
      <c r="C175" s="67">
        <v>4733301</v>
      </c>
      <c r="D175" s="67">
        <v>4971055</v>
      </c>
      <c r="E175" s="67">
        <v>4681446.2618284933</v>
      </c>
      <c r="F175" s="67">
        <v>5020953.8359388877</v>
      </c>
      <c r="G175" t="str">
        <f t="shared" si="4"/>
        <v>3507</v>
      </c>
      <c r="H175" t="str">
        <f t="shared" si="5"/>
        <v>Reserves</v>
      </c>
    </row>
    <row r="176" spans="1:8" x14ac:dyDescent="0.25">
      <c r="A176" t="s">
        <v>449</v>
      </c>
      <c r="B176" t="s">
        <v>150</v>
      </c>
      <c r="C176" s="67">
        <v>1238187</v>
      </c>
      <c r="D176" s="67">
        <v>1238187</v>
      </c>
      <c r="E176" s="67">
        <v>1324860.2890200003</v>
      </c>
      <c r="F176" s="67">
        <v>1417600.5092514004</v>
      </c>
      <c r="G176" t="str">
        <f t="shared" si="4"/>
        <v>3508</v>
      </c>
      <c r="H176" t="str">
        <f t="shared" si="5"/>
        <v>Employee related costs</v>
      </c>
    </row>
    <row r="177" spans="1:8" x14ac:dyDescent="0.25">
      <c r="A177" t="s">
        <v>450</v>
      </c>
      <c r="B177" t="s">
        <v>151</v>
      </c>
      <c r="C177" s="67">
        <v>56405</v>
      </c>
      <c r="D177" s="67">
        <v>25401.26999999999</v>
      </c>
      <c r="E177" s="67">
        <v>16868.479999999989</v>
      </c>
      <c r="F177" s="67">
        <v>19300.939999999988</v>
      </c>
      <c r="G177" t="str">
        <f t="shared" si="4"/>
        <v>3508</v>
      </c>
      <c r="H177" t="str">
        <f t="shared" si="5"/>
        <v>Employee related costs</v>
      </c>
    </row>
    <row r="178" spans="1:8" x14ac:dyDescent="0.25">
      <c r="A178" t="s">
        <v>451</v>
      </c>
      <c r="B178" t="s">
        <v>152</v>
      </c>
      <c r="C178" s="67">
        <v>52200</v>
      </c>
      <c r="D178" s="67">
        <v>52200</v>
      </c>
      <c r="E178" s="67">
        <v>107195.02408500001</v>
      </c>
      <c r="F178" s="67">
        <v>114698.67577095001</v>
      </c>
      <c r="G178" t="str">
        <f t="shared" si="4"/>
        <v>3508</v>
      </c>
      <c r="H178" t="str">
        <f t="shared" si="5"/>
        <v>Employee related costs</v>
      </c>
    </row>
    <row r="179" spans="1:8" x14ac:dyDescent="0.25">
      <c r="A179" t="s">
        <v>452</v>
      </c>
      <c r="B179" t="s">
        <v>153</v>
      </c>
      <c r="C179" s="67">
        <v>10893</v>
      </c>
      <c r="D179" s="67">
        <v>10893</v>
      </c>
      <c r="E179" s="67">
        <v>55854</v>
      </c>
      <c r="F179" s="67">
        <v>59763.78</v>
      </c>
      <c r="G179" t="str">
        <f t="shared" si="4"/>
        <v>3508</v>
      </c>
      <c r="H179" t="str">
        <f t="shared" si="5"/>
        <v>Employee related costs</v>
      </c>
    </row>
    <row r="180" spans="1:8" x14ac:dyDescent="0.25">
      <c r="A180" t="s">
        <v>453</v>
      </c>
      <c r="B180" t="s">
        <v>155</v>
      </c>
      <c r="C180" s="67">
        <v>40056</v>
      </c>
      <c r="D180" s="67">
        <v>40056</v>
      </c>
      <c r="E180" s="67">
        <v>11655.766799999999</v>
      </c>
      <c r="F180" s="67">
        <v>12471.670475999999</v>
      </c>
      <c r="G180" t="str">
        <f t="shared" si="4"/>
        <v>3508</v>
      </c>
      <c r="H180" t="str">
        <f t="shared" si="5"/>
        <v>Employee related costs</v>
      </c>
    </row>
    <row r="181" spans="1:8" x14ac:dyDescent="0.25">
      <c r="A181" t="s">
        <v>454</v>
      </c>
      <c r="B181" t="s">
        <v>156</v>
      </c>
      <c r="C181" s="67">
        <v>300547</v>
      </c>
      <c r="D181" s="67">
        <v>300547</v>
      </c>
      <c r="E181" s="67">
        <v>42859.404430027404</v>
      </c>
      <c r="F181" s="67">
        <v>45859.562740129324</v>
      </c>
      <c r="G181" t="str">
        <f t="shared" si="4"/>
        <v>3508</v>
      </c>
      <c r="H181" t="str">
        <f t="shared" si="5"/>
        <v>Employee related costs</v>
      </c>
    </row>
    <row r="182" spans="1:8" x14ac:dyDescent="0.25">
      <c r="A182" t="s">
        <v>455</v>
      </c>
      <c r="B182" t="s">
        <v>158</v>
      </c>
      <c r="C182" s="67">
        <v>11405</v>
      </c>
      <c r="D182" s="67">
        <v>11405</v>
      </c>
      <c r="E182" s="67">
        <v>321585.07225500006</v>
      </c>
      <c r="F182" s="67">
        <v>344096.02731285006</v>
      </c>
      <c r="G182" t="str">
        <f t="shared" si="4"/>
        <v>3508</v>
      </c>
      <c r="H182" t="str">
        <f t="shared" si="5"/>
        <v>Employee related costs</v>
      </c>
    </row>
    <row r="183" spans="1:8" x14ac:dyDescent="0.25">
      <c r="A183" t="s">
        <v>456</v>
      </c>
      <c r="B183" t="s">
        <v>159</v>
      </c>
      <c r="C183" s="67">
        <v>100182</v>
      </c>
      <c r="D183" s="67">
        <v>100182</v>
      </c>
      <c r="E183" s="67">
        <v>12203.799596880001</v>
      </c>
      <c r="F183" s="67">
        <v>13058.065568661601</v>
      </c>
      <c r="G183" t="str">
        <f t="shared" si="4"/>
        <v>3508</v>
      </c>
      <c r="H183" t="str">
        <f t="shared" si="5"/>
        <v>Employee related costs</v>
      </c>
    </row>
    <row r="184" spans="1:8" x14ac:dyDescent="0.25">
      <c r="A184" t="s">
        <v>457</v>
      </c>
      <c r="B184" t="s">
        <v>161</v>
      </c>
      <c r="C184" s="67">
        <v>24284</v>
      </c>
      <c r="D184" s="67">
        <v>24284</v>
      </c>
      <c r="E184" s="67">
        <v>25983.597092</v>
      </c>
      <c r="F184" s="67">
        <v>27802.448888439998</v>
      </c>
      <c r="G184" t="str">
        <f t="shared" si="4"/>
        <v>3508</v>
      </c>
      <c r="H184" t="str">
        <f t="shared" si="5"/>
        <v>Employee related costs</v>
      </c>
    </row>
    <row r="185" spans="1:8" x14ac:dyDescent="0.25">
      <c r="A185" t="s">
        <v>458</v>
      </c>
      <c r="B185" t="s">
        <v>164</v>
      </c>
      <c r="C185" s="67">
        <v>15692</v>
      </c>
      <c r="D185" s="67">
        <v>15692</v>
      </c>
      <c r="E185" s="67">
        <v>16790.867999999999</v>
      </c>
      <c r="F185" s="67">
        <v>17966.228759999998</v>
      </c>
      <c r="G185" t="str">
        <f t="shared" si="4"/>
        <v>3508</v>
      </c>
      <c r="H185" t="str">
        <f t="shared" si="5"/>
        <v>Employee related costs</v>
      </c>
    </row>
    <row r="186" spans="1:8" x14ac:dyDescent="0.25">
      <c r="A186" t="s">
        <v>459</v>
      </c>
      <c r="B186" t="s">
        <v>167</v>
      </c>
      <c r="C186" s="67">
        <v>337</v>
      </c>
      <c r="D186" s="67">
        <v>337</v>
      </c>
      <c r="E186" s="67">
        <v>360.64349999999996</v>
      </c>
      <c r="F186" s="67">
        <v>385.88854499999997</v>
      </c>
      <c r="G186" t="str">
        <f t="shared" si="4"/>
        <v>3508</v>
      </c>
      <c r="H186" t="str">
        <f t="shared" si="5"/>
        <v>Employee related costs</v>
      </c>
    </row>
    <row r="187" spans="1:8" x14ac:dyDescent="0.25">
      <c r="A187" t="s">
        <v>460</v>
      </c>
      <c r="B187" t="s">
        <v>168</v>
      </c>
      <c r="C187" s="67">
        <v>161725</v>
      </c>
      <c r="D187" s="67">
        <v>161725</v>
      </c>
      <c r="E187" s="67">
        <v>173045.32200000001</v>
      </c>
      <c r="F187" s="67">
        <v>185158.49454000001</v>
      </c>
      <c r="G187" t="str">
        <f t="shared" si="4"/>
        <v>3508</v>
      </c>
      <c r="H187" t="str">
        <f t="shared" si="5"/>
        <v>Employee related costs</v>
      </c>
    </row>
    <row r="188" spans="1:8" x14ac:dyDescent="0.25">
      <c r="A188" t="s">
        <v>461</v>
      </c>
      <c r="B188" t="s">
        <v>169</v>
      </c>
      <c r="C188" s="67">
        <v>264481</v>
      </c>
      <c r="D188" s="67">
        <v>264481</v>
      </c>
      <c r="E188" s="67">
        <v>282994.86358440004</v>
      </c>
      <c r="F188" s="67">
        <v>302804.50403530803</v>
      </c>
      <c r="G188" t="str">
        <f t="shared" si="4"/>
        <v>3508</v>
      </c>
      <c r="H188" t="str">
        <f t="shared" si="5"/>
        <v>Employee related costs</v>
      </c>
    </row>
    <row r="189" spans="1:8" x14ac:dyDescent="0.25">
      <c r="A189" t="s">
        <v>462</v>
      </c>
      <c r="B189" t="s">
        <v>170</v>
      </c>
      <c r="C189" s="67">
        <v>5355</v>
      </c>
      <c r="D189" s="67">
        <v>5355</v>
      </c>
      <c r="E189" s="67">
        <v>5729.85</v>
      </c>
      <c r="F189" s="67">
        <v>6130.9395000000004</v>
      </c>
      <c r="G189" t="str">
        <f t="shared" si="4"/>
        <v>3508</v>
      </c>
      <c r="H189" t="str">
        <f t="shared" si="5"/>
        <v>Employee related costs</v>
      </c>
    </row>
    <row r="190" spans="1:8" x14ac:dyDescent="0.25">
      <c r="A190" t="s">
        <v>463</v>
      </c>
      <c r="B190" t="s">
        <v>173</v>
      </c>
      <c r="C190" s="67">
        <v>16993</v>
      </c>
      <c r="D190" s="67">
        <v>16993</v>
      </c>
      <c r="E190" s="67">
        <v>18012.4316</v>
      </c>
      <c r="F190" s="67">
        <v>19273.301812000002</v>
      </c>
      <c r="G190" t="str">
        <f t="shared" si="4"/>
        <v>3508</v>
      </c>
      <c r="H190" t="str">
        <f t="shared" si="5"/>
        <v>Employee related costs</v>
      </c>
    </row>
    <row r="191" spans="1:8" x14ac:dyDescent="0.25">
      <c r="A191" t="s">
        <v>464</v>
      </c>
      <c r="B191" t="s">
        <v>174</v>
      </c>
      <c r="C191" s="67">
        <v>17974</v>
      </c>
      <c r="D191" s="67">
        <v>17974</v>
      </c>
      <c r="E191" s="67">
        <v>19052.885199999997</v>
      </c>
      <c r="F191" s="67">
        <v>20386.587163999997</v>
      </c>
      <c r="G191" t="str">
        <f t="shared" si="4"/>
        <v>3508</v>
      </c>
      <c r="H191" t="str">
        <f t="shared" si="5"/>
        <v>Employee related costs</v>
      </c>
    </row>
    <row r="192" spans="1:8" x14ac:dyDescent="0.25">
      <c r="A192" t="s">
        <v>465</v>
      </c>
      <c r="B192" t="s">
        <v>175</v>
      </c>
      <c r="C192" s="67">
        <v>13156</v>
      </c>
      <c r="D192" s="67">
        <v>13156</v>
      </c>
      <c r="E192" s="67">
        <v>13944.999599999999</v>
      </c>
      <c r="F192" s="67">
        <v>14921.149571999998</v>
      </c>
      <c r="G192" t="str">
        <f t="shared" si="4"/>
        <v>3508</v>
      </c>
      <c r="H192" t="str">
        <f t="shared" si="5"/>
        <v>Employee related costs</v>
      </c>
    </row>
    <row r="193" spans="1:8" x14ac:dyDescent="0.25">
      <c r="A193" t="s">
        <v>466</v>
      </c>
      <c r="B193" t="s">
        <v>263</v>
      </c>
      <c r="C193" s="67">
        <v>424000</v>
      </c>
      <c r="D193" s="67">
        <v>624000</v>
      </c>
      <c r="E193" s="67">
        <v>449440</v>
      </c>
      <c r="F193" s="67">
        <v>473709.76</v>
      </c>
      <c r="G193" t="str">
        <f t="shared" si="4"/>
        <v>3508</v>
      </c>
      <c r="H193" t="str">
        <f t="shared" si="5"/>
        <v>General expenses</v>
      </c>
    </row>
    <row r="194" spans="1:8" x14ac:dyDescent="0.25">
      <c r="A194" t="s">
        <v>467</v>
      </c>
      <c r="B194" t="s">
        <v>263</v>
      </c>
      <c r="C194" s="67">
        <v>1219000</v>
      </c>
      <c r="D194" s="67">
        <v>1019000</v>
      </c>
      <c r="E194" s="67">
        <v>1292140</v>
      </c>
      <c r="F194" s="67">
        <v>1361915.56</v>
      </c>
      <c r="G194" t="str">
        <f t="shared" ref="G194:G257" si="6">VLOOKUP(A194,s,2,FALSE)</f>
        <v>3508</v>
      </c>
      <c r="H194" t="str">
        <f t="shared" ref="H194:H257" si="7">VLOOKUP(A194,s,3,FALSE)</f>
        <v>General expenses</v>
      </c>
    </row>
    <row r="195" spans="1:8" x14ac:dyDescent="0.25">
      <c r="A195" t="s">
        <v>468</v>
      </c>
      <c r="B195" t="s">
        <v>264</v>
      </c>
      <c r="C195" s="67">
        <v>2304000</v>
      </c>
      <c r="D195" s="67">
        <v>2304000</v>
      </c>
      <c r="E195" s="67">
        <v>2442240</v>
      </c>
      <c r="F195" s="67">
        <v>2574120.96</v>
      </c>
      <c r="G195" t="str">
        <f t="shared" si="6"/>
        <v>3508</v>
      </c>
      <c r="H195" t="str">
        <f t="shared" si="7"/>
        <v>General expenses</v>
      </c>
    </row>
    <row r="196" spans="1:8" x14ac:dyDescent="0.25">
      <c r="A196" t="s">
        <v>469</v>
      </c>
      <c r="B196" t="s">
        <v>265</v>
      </c>
      <c r="C196" s="67">
        <v>0</v>
      </c>
      <c r="D196" s="67">
        <v>20000</v>
      </c>
      <c r="E196" s="67">
        <v>0</v>
      </c>
      <c r="F196" s="67">
        <v>0</v>
      </c>
      <c r="G196" t="str">
        <f t="shared" si="6"/>
        <v>3508</v>
      </c>
      <c r="H196" t="str">
        <f t="shared" si="7"/>
        <v>General expenses</v>
      </c>
    </row>
    <row r="197" spans="1:8" x14ac:dyDescent="0.25">
      <c r="A197" t="s">
        <v>470</v>
      </c>
      <c r="B197" t="s">
        <v>267</v>
      </c>
      <c r="C197" s="67">
        <v>700000</v>
      </c>
      <c r="D197" s="67">
        <v>700000</v>
      </c>
      <c r="E197" s="67">
        <v>742000</v>
      </c>
      <c r="F197" s="67">
        <v>782068</v>
      </c>
      <c r="G197" t="str">
        <f t="shared" si="6"/>
        <v>3508</v>
      </c>
      <c r="H197" t="str">
        <f t="shared" si="7"/>
        <v>General expenses</v>
      </c>
    </row>
    <row r="198" spans="1:8" x14ac:dyDescent="0.25">
      <c r="A198" t="s">
        <v>471</v>
      </c>
      <c r="B198" t="s">
        <v>268</v>
      </c>
      <c r="C198" s="67">
        <v>0</v>
      </c>
      <c r="D198" s="67">
        <v>140000</v>
      </c>
      <c r="E198" s="67">
        <v>0</v>
      </c>
      <c r="F198" s="67">
        <v>0</v>
      </c>
      <c r="G198" t="str">
        <f t="shared" si="6"/>
        <v>3508</v>
      </c>
      <c r="H198" t="str">
        <f t="shared" si="7"/>
        <v>General expenses</v>
      </c>
    </row>
    <row r="199" spans="1:8" x14ac:dyDescent="0.25">
      <c r="A199" t="s">
        <v>472</v>
      </c>
      <c r="B199" t="s">
        <v>292</v>
      </c>
      <c r="C199" s="67">
        <v>620</v>
      </c>
      <c r="D199" s="67">
        <v>620</v>
      </c>
      <c r="E199" s="67">
        <v>713</v>
      </c>
      <c r="F199" s="67">
        <v>819.95</v>
      </c>
      <c r="G199" t="str">
        <f t="shared" si="6"/>
        <v>3508</v>
      </c>
      <c r="H199" t="str">
        <f t="shared" si="7"/>
        <v>Depreciation and amortisation</v>
      </c>
    </row>
    <row r="200" spans="1:8" x14ac:dyDescent="0.25">
      <c r="A200" t="s">
        <v>473</v>
      </c>
      <c r="B200" t="s">
        <v>293</v>
      </c>
      <c r="C200" s="67">
        <v>39428</v>
      </c>
      <c r="D200" s="67">
        <v>39428</v>
      </c>
      <c r="E200" s="67">
        <v>45342.2</v>
      </c>
      <c r="F200" s="67">
        <v>52143.53</v>
      </c>
      <c r="G200" t="str">
        <f t="shared" si="6"/>
        <v>3508</v>
      </c>
      <c r="H200" t="str">
        <f t="shared" si="7"/>
        <v>Depreciation and amortisation</v>
      </c>
    </row>
    <row r="201" spans="1:8" x14ac:dyDescent="0.25">
      <c r="A201" t="s">
        <v>474</v>
      </c>
      <c r="B201" t="s">
        <v>297</v>
      </c>
      <c r="C201" s="67">
        <v>184915</v>
      </c>
      <c r="D201" s="67">
        <v>184915</v>
      </c>
      <c r="E201" s="67">
        <v>212652.25</v>
      </c>
      <c r="F201" s="67">
        <v>244550.08749999999</v>
      </c>
      <c r="G201" t="str">
        <f t="shared" si="6"/>
        <v>3508</v>
      </c>
      <c r="H201" t="str">
        <f t="shared" si="7"/>
        <v>Depreciation and amortisation</v>
      </c>
    </row>
    <row r="202" spans="1:8" x14ac:dyDescent="0.25">
      <c r="A202" t="s">
        <v>475</v>
      </c>
      <c r="B202" t="s">
        <v>298</v>
      </c>
      <c r="C202" s="67">
        <v>0</v>
      </c>
      <c r="D202" s="67">
        <v>0</v>
      </c>
      <c r="E202" s="67">
        <v>0</v>
      </c>
      <c r="F202" s="67">
        <v>0</v>
      </c>
      <c r="G202" t="str">
        <f t="shared" si="6"/>
        <v>3508</v>
      </c>
      <c r="H202" t="str">
        <f t="shared" si="7"/>
        <v>Depreciation and amortisation</v>
      </c>
    </row>
    <row r="203" spans="1:8" x14ac:dyDescent="0.25">
      <c r="A203" t="s">
        <v>1488</v>
      </c>
      <c r="B203" t="s">
        <v>1404</v>
      </c>
      <c r="C203" s="67">
        <v>-7201835</v>
      </c>
      <c r="D203" s="67">
        <v>-7361835</v>
      </c>
      <c r="E203" s="67">
        <v>-7677009.9805633081</v>
      </c>
      <c r="F203" s="67">
        <v>-8156284.1552027399</v>
      </c>
      <c r="G203" t="str">
        <f t="shared" si="6"/>
        <v>3508</v>
      </c>
      <c r="H203" t="str">
        <f t="shared" si="7"/>
        <v>Accumulated surplus</v>
      </c>
    </row>
    <row r="204" spans="1:8" x14ac:dyDescent="0.25">
      <c r="A204" t="s">
        <v>1489</v>
      </c>
      <c r="B204" t="s">
        <v>1490</v>
      </c>
      <c r="C204" s="67">
        <v>368150</v>
      </c>
      <c r="D204" s="67">
        <v>368150</v>
      </c>
      <c r="E204" s="67">
        <v>368150</v>
      </c>
      <c r="F204" s="67">
        <v>368150</v>
      </c>
      <c r="G204" t="str">
        <f t="shared" si="6"/>
        <v>3508</v>
      </c>
      <c r="H204" t="str">
        <f t="shared" si="7"/>
        <v>Non-Current Assets (Cost)</v>
      </c>
    </row>
    <row r="205" spans="1:8" x14ac:dyDescent="0.25">
      <c r="A205" t="s">
        <v>1491</v>
      </c>
      <c r="B205" t="s">
        <v>1412</v>
      </c>
      <c r="C205" s="67">
        <v>2054246</v>
      </c>
      <c r="D205" s="67">
        <v>1499842.8</v>
      </c>
      <c r="E205" s="67">
        <v>1499842.8</v>
      </c>
      <c r="F205" s="67">
        <v>1499842.8</v>
      </c>
      <c r="G205" t="str">
        <f t="shared" si="6"/>
        <v>3508</v>
      </c>
      <c r="H205" t="str">
        <f t="shared" si="7"/>
        <v>Non-Current Assets (Cost)</v>
      </c>
    </row>
    <row r="206" spans="1:8" x14ac:dyDescent="0.25">
      <c r="A206" t="s">
        <v>1492</v>
      </c>
      <c r="B206" t="s">
        <v>1414</v>
      </c>
      <c r="C206" s="67">
        <v>-678545</v>
      </c>
      <c r="D206" s="67">
        <v>-308731.41000000003</v>
      </c>
      <c r="E206" s="67">
        <v>-493646.41000000003</v>
      </c>
      <c r="F206" s="67">
        <v>-706298.66</v>
      </c>
      <c r="G206" t="str">
        <f t="shared" si="6"/>
        <v>3508</v>
      </c>
      <c r="H206" t="str">
        <f t="shared" si="7"/>
        <v>Non-Current Assets (Acc Depreciation)</v>
      </c>
    </row>
    <row r="207" spans="1:8" x14ac:dyDescent="0.25">
      <c r="A207" t="s">
        <v>1493</v>
      </c>
      <c r="B207" t="s">
        <v>1416</v>
      </c>
      <c r="C207" s="67">
        <v>0</v>
      </c>
      <c r="D207" s="67">
        <v>0</v>
      </c>
      <c r="E207" s="67">
        <v>0</v>
      </c>
      <c r="F207" s="67">
        <v>0</v>
      </c>
      <c r="G207" t="str">
        <f t="shared" si="6"/>
        <v>3508</v>
      </c>
      <c r="H207" t="str">
        <f t="shared" si="7"/>
        <v>Non-Current Assets (Acc Depreciation)</v>
      </c>
    </row>
    <row r="208" spans="1:8" x14ac:dyDescent="0.25">
      <c r="A208" t="s">
        <v>1494</v>
      </c>
      <c r="B208" t="s">
        <v>1495</v>
      </c>
      <c r="C208" s="67">
        <v>-184916</v>
      </c>
      <c r="D208" s="67">
        <v>-184915</v>
      </c>
      <c r="E208" s="67">
        <v>-212652.25</v>
      </c>
      <c r="F208" s="67">
        <v>-244550.08749999999</v>
      </c>
      <c r="G208" t="str">
        <f t="shared" si="6"/>
        <v>3508</v>
      </c>
      <c r="H208" t="str">
        <f t="shared" si="7"/>
        <v>Non-Current Assets (Depreciation)</v>
      </c>
    </row>
    <row r="209" spans="1:8" x14ac:dyDescent="0.25">
      <c r="A209" t="s">
        <v>1496</v>
      </c>
      <c r="B209" t="s">
        <v>1428</v>
      </c>
      <c r="C209" s="67">
        <v>347300</v>
      </c>
      <c r="D209" s="67">
        <v>335033.16000000003</v>
      </c>
      <c r="E209" s="67">
        <v>335033.16000000003</v>
      </c>
      <c r="F209" s="67">
        <v>335033.16000000003</v>
      </c>
      <c r="G209" t="str">
        <f t="shared" si="6"/>
        <v>3508</v>
      </c>
      <c r="H209" t="str">
        <f t="shared" si="7"/>
        <v>Non-Current Assets (Cost)</v>
      </c>
    </row>
    <row r="210" spans="1:8" x14ac:dyDescent="0.25">
      <c r="A210" t="s">
        <v>1497</v>
      </c>
      <c r="B210" t="s">
        <v>1430</v>
      </c>
      <c r="C210" s="67">
        <v>-186949</v>
      </c>
      <c r="D210" s="67">
        <v>-173878.43</v>
      </c>
      <c r="E210" s="67">
        <v>-213306.43</v>
      </c>
      <c r="F210" s="67">
        <v>-258648.63</v>
      </c>
      <c r="G210" t="str">
        <f t="shared" si="6"/>
        <v>3508</v>
      </c>
      <c r="H210" t="str">
        <f t="shared" si="7"/>
        <v>Non-Current Assets (Acc Depreciation)</v>
      </c>
    </row>
    <row r="211" spans="1:8" x14ac:dyDescent="0.25">
      <c r="A211" t="s">
        <v>1498</v>
      </c>
      <c r="B211" t="s">
        <v>1432</v>
      </c>
      <c r="C211" s="67">
        <v>-39429</v>
      </c>
      <c r="D211" s="67">
        <v>-39428</v>
      </c>
      <c r="E211" s="67">
        <v>-45342.2</v>
      </c>
      <c r="F211" s="67">
        <v>-52143.53</v>
      </c>
      <c r="G211" t="str">
        <f t="shared" si="6"/>
        <v>3508</v>
      </c>
      <c r="H211" t="str">
        <f t="shared" si="7"/>
        <v>Non-Current Assets (Depreciation)</v>
      </c>
    </row>
    <row r="212" spans="1:8" x14ac:dyDescent="0.25">
      <c r="A212" t="s">
        <v>1499</v>
      </c>
      <c r="B212" t="s">
        <v>1434</v>
      </c>
      <c r="C212" s="67">
        <v>46023</v>
      </c>
      <c r="D212" s="67">
        <v>31375.480000000003</v>
      </c>
      <c r="E212" s="67">
        <v>31375.480000000003</v>
      </c>
      <c r="F212" s="67">
        <v>31375.480000000003</v>
      </c>
      <c r="G212" t="str">
        <f t="shared" si="6"/>
        <v>3508</v>
      </c>
      <c r="H212" t="str">
        <f t="shared" si="7"/>
        <v>Non-Current Assets (Cost)</v>
      </c>
    </row>
    <row r="213" spans="1:8" x14ac:dyDescent="0.25">
      <c r="A213" t="s">
        <v>1500</v>
      </c>
      <c r="B213" t="s">
        <v>1436</v>
      </c>
      <c r="C213" s="67">
        <v>-28307</v>
      </c>
      <c r="D213" s="67">
        <v>-24874.14</v>
      </c>
      <c r="E213" s="67">
        <v>-25494.14</v>
      </c>
      <c r="F213" s="67">
        <v>-26207.14</v>
      </c>
      <c r="G213" t="str">
        <f t="shared" si="6"/>
        <v>3508</v>
      </c>
      <c r="H213" t="str">
        <f t="shared" si="7"/>
        <v>Non-Current Assets (Acc Depreciation)</v>
      </c>
    </row>
    <row r="214" spans="1:8" x14ac:dyDescent="0.25">
      <c r="A214" t="s">
        <v>1501</v>
      </c>
      <c r="B214" t="s">
        <v>1438</v>
      </c>
      <c r="C214" s="67">
        <v>-586</v>
      </c>
      <c r="D214" s="67">
        <v>-620</v>
      </c>
      <c r="E214" s="67">
        <v>-713</v>
      </c>
      <c r="F214" s="67">
        <v>-819.95</v>
      </c>
      <c r="G214" t="str">
        <f t="shared" si="6"/>
        <v>3508</v>
      </c>
      <c r="H214" t="str">
        <f t="shared" si="7"/>
        <v>Non-Current Assets (Depreciation)</v>
      </c>
    </row>
    <row r="215" spans="1:8" x14ac:dyDescent="0.25">
      <c r="A215" t="s">
        <v>1502</v>
      </c>
      <c r="B215" t="s">
        <v>1444</v>
      </c>
      <c r="C215" s="67">
        <v>0</v>
      </c>
      <c r="D215" s="67">
        <v>0</v>
      </c>
      <c r="E215" s="67">
        <v>0</v>
      </c>
      <c r="F215" s="67">
        <v>0</v>
      </c>
      <c r="G215" t="str">
        <f t="shared" si="6"/>
        <v>3508</v>
      </c>
      <c r="H215" t="str">
        <f t="shared" si="7"/>
        <v>Non-Current Assets (Depreciation)</v>
      </c>
    </row>
    <row r="216" spans="1:8" x14ac:dyDescent="0.25">
      <c r="A216" t="s">
        <v>1503</v>
      </c>
      <c r="B216" t="s">
        <v>1460</v>
      </c>
      <c r="C216" s="67">
        <v>-126326</v>
      </c>
      <c r="D216" s="67">
        <v>-126326</v>
      </c>
      <c r="E216" s="67">
        <v>-138958.6</v>
      </c>
      <c r="F216" s="67">
        <v>-152854.46000000002</v>
      </c>
      <c r="G216" t="str">
        <f t="shared" si="6"/>
        <v>3508</v>
      </c>
      <c r="H216" t="str">
        <f t="shared" si="7"/>
        <v>Current Employee Benefits</v>
      </c>
    </row>
    <row r="217" spans="1:8" x14ac:dyDescent="0.25">
      <c r="A217" t="s">
        <v>1504</v>
      </c>
      <c r="B217" t="s">
        <v>1462</v>
      </c>
      <c r="C217" s="67">
        <v>-2256595</v>
      </c>
      <c r="D217" s="67">
        <v>9761857.3200000003</v>
      </c>
      <c r="E217" s="67">
        <v>17123692.32</v>
      </c>
      <c r="F217" s="67">
        <v>24800702.300563309</v>
      </c>
      <c r="G217" t="str">
        <f t="shared" si="6"/>
        <v>3508</v>
      </c>
      <c r="H217" t="str">
        <f t="shared" si="7"/>
        <v>Reserves</v>
      </c>
    </row>
    <row r="218" spans="1:8" x14ac:dyDescent="0.25">
      <c r="A218" t="s">
        <v>1505</v>
      </c>
      <c r="B218" t="s">
        <v>1464</v>
      </c>
      <c r="C218" s="67">
        <v>7201835</v>
      </c>
      <c r="D218" s="67">
        <v>7361835</v>
      </c>
      <c r="E218" s="67">
        <v>7677009.9805633081</v>
      </c>
      <c r="F218" s="67">
        <v>8156284.1552027399</v>
      </c>
      <c r="G218" t="str">
        <f t="shared" si="6"/>
        <v>3508</v>
      </c>
      <c r="H218" t="str">
        <f t="shared" si="7"/>
        <v>Reserves</v>
      </c>
    </row>
    <row r="219" spans="1:8" x14ac:dyDescent="0.25">
      <c r="A219" t="s">
        <v>477</v>
      </c>
      <c r="B219" t="s">
        <v>124</v>
      </c>
      <c r="C219" s="67">
        <v>928990</v>
      </c>
      <c r="D219" s="67">
        <v>464495</v>
      </c>
      <c r="E219" s="67">
        <v>994019.490888</v>
      </c>
      <c r="F219" s="67">
        <v>1063600.85525016</v>
      </c>
      <c r="G219" t="str">
        <f t="shared" si="6"/>
        <v>3509</v>
      </c>
      <c r="H219" t="str">
        <f t="shared" si="7"/>
        <v>Employee related costs</v>
      </c>
    </row>
    <row r="220" spans="1:8" x14ac:dyDescent="0.25">
      <c r="A220" t="s">
        <v>478</v>
      </c>
      <c r="B220" t="s">
        <v>125</v>
      </c>
      <c r="C220" s="67">
        <v>46450</v>
      </c>
      <c r="D220" s="67">
        <v>23225</v>
      </c>
      <c r="E220" s="67">
        <v>49700.9745444</v>
      </c>
      <c r="F220" s="67">
        <v>53180.042762507997</v>
      </c>
      <c r="G220" t="str">
        <f t="shared" si="6"/>
        <v>3509</v>
      </c>
      <c r="H220" t="str">
        <f t="shared" si="7"/>
        <v>Employee related costs</v>
      </c>
    </row>
    <row r="221" spans="1:8" x14ac:dyDescent="0.25">
      <c r="A221" t="s">
        <v>479</v>
      </c>
      <c r="B221" t="s">
        <v>126</v>
      </c>
      <c r="C221" s="67">
        <v>40000</v>
      </c>
      <c r="D221" s="67">
        <v>20000</v>
      </c>
      <c r="E221" s="67">
        <v>39760.779635519997</v>
      </c>
      <c r="F221" s="67">
        <v>42544.034210006394</v>
      </c>
      <c r="G221" t="str">
        <f t="shared" si="6"/>
        <v>3509</v>
      </c>
      <c r="H221" t="str">
        <f t="shared" si="7"/>
        <v>Employee related costs</v>
      </c>
    </row>
    <row r="222" spans="1:8" x14ac:dyDescent="0.25">
      <c r="A222" t="s">
        <v>480</v>
      </c>
      <c r="B222" t="s">
        <v>127</v>
      </c>
      <c r="C222" s="67">
        <v>17000</v>
      </c>
      <c r="D222" s="67">
        <v>8500</v>
      </c>
      <c r="E222" s="67">
        <v>18189.786000000004</v>
      </c>
      <c r="F222" s="67">
        <v>19463.071020000003</v>
      </c>
      <c r="G222" t="str">
        <f t="shared" si="6"/>
        <v>3509</v>
      </c>
      <c r="H222" t="str">
        <f t="shared" si="7"/>
        <v>Employee related costs</v>
      </c>
    </row>
    <row r="223" spans="1:8" x14ac:dyDescent="0.25">
      <c r="A223" t="s">
        <v>481</v>
      </c>
      <c r="B223" t="s">
        <v>128</v>
      </c>
      <c r="C223" s="67">
        <v>18580</v>
      </c>
      <c r="D223" s="67">
        <v>0</v>
      </c>
      <c r="E223" s="67">
        <v>19880.389817759999</v>
      </c>
      <c r="F223" s="67">
        <v>21272.017105003197</v>
      </c>
      <c r="G223" t="str">
        <f t="shared" si="6"/>
        <v>3509</v>
      </c>
      <c r="H223" t="str">
        <f t="shared" si="7"/>
        <v>Employee related costs</v>
      </c>
    </row>
    <row r="224" spans="1:8" x14ac:dyDescent="0.25">
      <c r="A224" t="s">
        <v>482</v>
      </c>
      <c r="B224" t="s">
        <v>150</v>
      </c>
      <c r="C224" s="67">
        <v>627000</v>
      </c>
      <c r="D224" s="67">
        <v>627000</v>
      </c>
      <c r="E224" s="67">
        <v>670889.64690000005</v>
      </c>
      <c r="F224" s="67">
        <v>717851.92218300002</v>
      </c>
      <c r="G224" t="str">
        <f t="shared" si="6"/>
        <v>3509</v>
      </c>
      <c r="H224" t="str">
        <f t="shared" si="7"/>
        <v>Employee related costs</v>
      </c>
    </row>
    <row r="225" spans="1:8" x14ac:dyDescent="0.25">
      <c r="A225" t="s">
        <v>483</v>
      </c>
      <c r="B225" t="s">
        <v>151</v>
      </c>
      <c r="C225" s="67">
        <v>29299</v>
      </c>
      <c r="D225" s="67">
        <v>16934.18</v>
      </c>
      <c r="E225" s="67">
        <v>8401.39</v>
      </c>
      <c r="F225" s="67">
        <v>10833.849999999999</v>
      </c>
      <c r="G225" t="str">
        <f t="shared" si="6"/>
        <v>3509</v>
      </c>
      <c r="H225" t="str">
        <f t="shared" si="7"/>
        <v>Employee related costs</v>
      </c>
    </row>
    <row r="226" spans="1:8" x14ac:dyDescent="0.25">
      <c r="A226" t="s">
        <v>484</v>
      </c>
      <c r="B226" t="s">
        <v>152</v>
      </c>
      <c r="C226" s="67">
        <v>24000</v>
      </c>
      <c r="D226" s="67">
        <v>24000</v>
      </c>
      <c r="E226" s="67">
        <v>55907.470575000007</v>
      </c>
      <c r="F226" s="67">
        <v>59820.993515250011</v>
      </c>
      <c r="G226" t="str">
        <f t="shared" si="6"/>
        <v>3509</v>
      </c>
      <c r="H226" t="str">
        <f t="shared" si="7"/>
        <v>Employee related costs</v>
      </c>
    </row>
    <row r="227" spans="1:8" x14ac:dyDescent="0.25">
      <c r="A227" t="s">
        <v>485</v>
      </c>
      <c r="B227" t="s">
        <v>153</v>
      </c>
      <c r="C227" s="67">
        <v>10893</v>
      </c>
      <c r="D227" s="67">
        <v>10893</v>
      </c>
      <c r="E227" s="67">
        <v>25680</v>
      </c>
      <c r="F227" s="67">
        <v>27477.599999999999</v>
      </c>
      <c r="G227" t="str">
        <f t="shared" si="6"/>
        <v>3509</v>
      </c>
      <c r="H227" t="str">
        <f t="shared" si="7"/>
        <v>Employee related costs</v>
      </c>
    </row>
    <row r="228" spans="1:8" x14ac:dyDescent="0.25">
      <c r="A228" t="s">
        <v>486</v>
      </c>
      <c r="B228" t="s">
        <v>155</v>
      </c>
      <c r="C228" s="67">
        <v>20806</v>
      </c>
      <c r="D228" s="67">
        <v>20806</v>
      </c>
      <c r="E228" s="67">
        <v>11655.766799999999</v>
      </c>
      <c r="F228" s="67">
        <v>12471.670475999999</v>
      </c>
      <c r="G228" t="str">
        <f t="shared" si="6"/>
        <v>3509</v>
      </c>
      <c r="H228" t="str">
        <f t="shared" si="7"/>
        <v>Employee related costs</v>
      </c>
    </row>
    <row r="229" spans="1:8" x14ac:dyDescent="0.25">
      <c r="A229" t="s">
        <v>487</v>
      </c>
      <c r="B229" t="s">
        <v>156</v>
      </c>
      <c r="C229" s="67">
        <v>156750</v>
      </c>
      <c r="D229" s="67">
        <v>156750</v>
      </c>
      <c r="E229" s="67">
        <v>22262.782803287668</v>
      </c>
      <c r="F229" s="67">
        <v>23821.177599517803</v>
      </c>
      <c r="G229" t="str">
        <f t="shared" si="6"/>
        <v>3509</v>
      </c>
      <c r="H229" t="str">
        <f t="shared" si="7"/>
        <v>Employee related costs</v>
      </c>
    </row>
    <row r="230" spans="1:8" x14ac:dyDescent="0.25">
      <c r="A230" t="s">
        <v>488</v>
      </c>
      <c r="B230" t="s">
        <v>158</v>
      </c>
      <c r="C230" s="67">
        <v>12657</v>
      </c>
      <c r="D230" s="67">
        <v>0</v>
      </c>
      <c r="E230" s="67">
        <v>167722.41172500001</v>
      </c>
      <c r="F230" s="67">
        <v>179462.98054575</v>
      </c>
      <c r="G230" t="str">
        <f t="shared" si="6"/>
        <v>3509</v>
      </c>
      <c r="H230" t="str">
        <f t="shared" si="7"/>
        <v>Employee related costs</v>
      </c>
    </row>
    <row r="231" spans="1:8" x14ac:dyDescent="0.25">
      <c r="A231" t="s">
        <v>489</v>
      </c>
      <c r="B231" t="s">
        <v>159</v>
      </c>
      <c r="C231" s="67">
        <v>52250</v>
      </c>
      <c r="D231" s="67">
        <v>52250</v>
      </c>
      <c r="E231" s="67">
        <v>55907.5</v>
      </c>
      <c r="F231" s="67">
        <v>59821.025000000001</v>
      </c>
      <c r="G231" t="str">
        <f t="shared" si="6"/>
        <v>3509</v>
      </c>
      <c r="H231" t="str">
        <f t="shared" si="7"/>
        <v>Employee related costs</v>
      </c>
    </row>
    <row r="232" spans="1:8" x14ac:dyDescent="0.25">
      <c r="A232" t="s">
        <v>490</v>
      </c>
      <c r="B232" t="s">
        <v>163</v>
      </c>
      <c r="C232" s="67">
        <v>15692</v>
      </c>
      <c r="D232" s="67">
        <v>15692</v>
      </c>
      <c r="E232" s="67">
        <v>16790.439999999999</v>
      </c>
      <c r="F232" s="67">
        <v>17965.770799999998</v>
      </c>
      <c r="G232" t="str">
        <f t="shared" si="6"/>
        <v>3509</v>
      </c>
      <c r="H232" t="str">
        <f t="shared" si="7"/>
        <v>Employee related costs</v>
      </c>
    </row>
    <row r="233" spans="1:8" x14ac:dyDescent="0.25">
      <c r="A233" t="s">
        <v>491</v>
      </c>
      <c r="B233" t="s">
        <v>164</v>
      </c>
      <c r="C233" s="67">
        <v>37160</v>
      </c>
      <c r="D233" s="67">
        <v>37160</v>
      </c>
      <c r="E233" s="67">
        <v>39761.199999999997</v>
      </c>
      <c r="F233" s="67">
        <v>42544.483999999997</v>
      </c>
      <c r="G233" t="str">
        <f t="shared" si="6"/>
        <v>3509</v>
      </c>
      <c r="H233" t="str">
        <f t="shared" si="7"/>
        <v>Employee related costs</v>
      </c>
    </row>
    <row r="234" spans="1:8" x14ac:dyDescent="0.25">
      <c r="A234" t="s">
        <v>492</v>
      </c>
      <c r="B234" t="s">
        <v>167</v>
      </c>
      <c r="C234" s="67">
        <v>112</v>
      </c>
      <c r="D234" s="67">
        <v>300</v>
      </c>
      <c r="E234" s="67">
        <v>120.21449999999999</v>
      </c>
      <c r="F234" s="67">
        <v>128.629515</v>
      </c>
      <c r="G234" t="str">
        <f t="shared" si="6"/>
        <v>3509</v>
      </c>
      <c r="H234" t="str">
        <f t="shared" si="7"/>
        <v>Employee related costs</v>
      </c>
    </row>
    <row r="235" spans="1:8" x14ac:dyDescent="0.25">
      <c r="A235" t="s">
        <v>493</v>
      </c>
      <c r="B235" t="s">
        <v>168</v>
      </c>
      <c r="C235" s="67">
        <v>53908</v>
      </c>
      <c r="D235" s="67">
        <v>53908</v>
      </c>
      <c r="E235" s="67">
        <v>57681.774000000005</v>
      </c>
      <c r="F235" s="67">
        <v>61719.498180000002</v>
      </c>
      <c r="G235" t="str">
        <f t="shared" si="6"/>
        <v>3509</v>
      </c>
      <c r="H235" t="str">
        <f t="shared" si="7"/>
        <v>Employee related costs</v>
      </c>
    </row>
    <row r="236" spans="1:8" x14ac:dyDescent="0.25">
      <c r="A236" t="s">
        <v>494</v>
      </c>
      <c r="B236" t="s">
        <v>169</v>
      </c>
      <c r="C236" s="67">
        <v>137940</v>
      </c>
      <c r="D236" s="67">
        <v>137940</v>
      </c>
      <c r="E236" s="67">
        <v>147595.72231800001</v>
      </c>
      <c r="F236" s="67">
        <v>157927.42288026001</v>
      </c>
      <c r="G236" t="str">
        <f t="shared" si="6"/>
        <v>3509</v>
      </c>
      <c r="H236" t="str">
        <f t="shared" si="7"/>
        <v>Employee related costs</v>
      </c>
    </row>
    <row r="237" spans="1:8" x14ac:dyDescent="0.25">
      <c r="A237" t="s">
        <v>495</v>
      </c>
      <c r="B237" t="s">
        <v>170</v>
      </c>
      <c r="C237" s="67">
        <v>1785</v>
      </c>
      <c r="D237" s="67">
        <v>3000</v>
      </c>
      <c r="E237" s="67">
        <v>1909.95</v>
      </c>
      <c r="F237" s="67">
        <v>2043.6465000000001</v>
      </c>
      <c r="G237" t="str">
        <f t="shared" si="6"/>
        <v>3509</v>
      </c>
      <c r="H237" t="str">
        <f t="shared" si="7"/>
        <v>Employee related costs</v>
      </c>
    </row>
    <row r="238" spans="1:8" x14ac:dyDescent="0.25">
      <c r="A238" t="s">
        <v>496</v>
      </c>
      <c r="B238" t="s">
        <v>173</v>
      </c>
      <c r="C238" s="67">
        <v>2151</v>
      </c>
      <c r="D238" s="67">
        <v>2151</v>
      </c>
      <c r="E238" s="67">
        <v>2280.06</v>
      </c>
      <c r="F238" s="67">
        <v>2439.6642000000002</v>
      </c>
      <c r="G238" t="str">
        <f t="shared" si="6"/>
        <v>3509</v>
      </c>
      <c r="H238" t="str">
        <f t="shared" si="7"/>
        <v>Employee related costs</v>
      </c>
    </row>
    <row r="239" spans="1:8" x14ac:dyDescent="0.25">
      <c r="A239" t="s">
        <v>497</v>
      </c>
      <c r="B239" t="s">
        <v>174</v>
      </c>
      <c r="C239" s="67">
        <v>1460</v>
      </c>
      <c r="D239" s="67">
        <v>1460</v>
      </c>
      <c r="E239" s="67">
        <v>1547.07</v>
      </c>
      <c r="F239" s="67">
        <v>1655.3649</v>
      </c>
      <c r="G239" t="str">
        <f t="shared" si="6"/>
        <v>3509</v>
      </c>
      <c r="H239" t="str">
        <f t="shared" si="7"/>
        <v>Employee related costs</v>
      </c>
    </row>
    <row r="240" spans="1:8" x14ac:dyDescent="0.25">
      <c r="A240" t="s">
        <v>498</v>
      </c>
      <c r="B240" t="s">
        <v>175</v>
      </c>
      <c r="C240" s="67">
        <v>14285</v>
      </c>
      <c r="D240" s="67">
        <v>14285</v>
      </c>
      <c r="E240" s="67">
        <v>15141.57</v>
      </c>
      <c r="F240" s="67">
        <v>16201.4799</v>
      </c>
      <c r="G240" t="str">
        <f t="shared" si="6"/>
        <v>3509</v>
      </c>
      <c r="H240" t="str">
        <f t="shared" si="7"/>
        <v>Employee related costs</v>
      </c>
    </row>
    <row r="241" spans="1:8" x14ac:dyDescent="0.25">
      <c r="A241" t="s">
        <v>499</v>
      </c>
      <c r="B241" t="s">
        <v>242</v>
      </c>
      <c r="C241" s="67">
        <v>84029</v>
      </c>
      <c r="D241" s="67">
        <v>24029</v>
      </c>
      <c r="E241" s="67">
        <v>89070.21</v>
      </c>
      <c r="F241" s="67">
        <v>93880.001340000003</v>
      </c>
      <c r="G241" t="str">
        <f t="shared" si="6"/>
        <v>3509</v>
      </c>
      <c r="H241" t="str">
        <f t="shared" si="7"/>
        <v>General expenses</v>
      </c>
    </row>
    <row r="242" spans="1:8" x14ac:dyDescent="0.25">
      <c r="A242" t="s">
        <v>500</v>
      </c>
      <c r="B242" t="s">
        <v>253</v>
      </c>
      <c r="C242" s="67">
        <v>2000</v>
      </c>
      <c r="D242" s="67">
        <v>2000</v>
      </c>
      <c r="E242" s="67">
        <v>2000</v>
      </c>
      <c r="F242" s="67">
        <v>2000</v>
      </c>
      <c r="G242" t="str">
        <f t="shared" si="6"/>
        <v>3509</v>
      </c>
      <c r="H242" t="str">
        <f t="shared" si="7"/>
        <v>General expenses</v>
      </c>
    </row>
    <row r="243" spans="1:8" x14ac:dyDescent="0.25">
      <c r="A243" t="s">
        <v>501</v>
      </c>
      <c r="B243" t="s">
        <v>258</v>
      </c>
      <c r="C243" s="67">
        <v>480000</v>
      </c>
      <c r="D243" s="67">
        <v>480000</v>
      </c>
      <c r="E243" s="67">
        <v>508800</v>
      </c>
      <c r="F243" s="67">
        <v>536275.19999999995</v>
      </c>
      <c r="G243" t="str">
        <f t="shared" si="6"/>
        <v>3509</v>
      </c>
      <c r="H243" t="str">
        <f t="shared" si="7"/>
        <v>General expenses</v>
      </c>
    </row>
    <row r="244" spans="1:8" x14ac:dyDescent="0.25">
      <c r="A244" t="s">
        <v>502</v>
      </c>
      <c r="B244" t="s">
        <v>265</v>
      </c>
      <c r="C244" s="67">
        <v>64698</v>
      </c>
      <c r="D244" s="67">
        <v>14698</v>
      </c>
      <c r="E244" s="67">
        <v>68579.88</v>
      </c>
      <c r="F244" s="67">
        <v>72283.193520000001</v>
      </c>
      <c r="G244" t="str">
        <f t="shared" si="6"/>
        <v>3509</v>
      </c>
      <c r="H244" t="str">
        <f t="shared" si="7"/>
        <v>General expenses</v>
      </c>
    </row>
    <row r="245" spans="1:8" x14ac:dyDescent="0.25">
      <c r="A245" t="s">
        <v>503</v>
      </c>
      <c r="B245" t="s">
        <v>268</v>
      </c>
      <c r="C245" s="67">
        <v>156818</v>
      </c>
      <c r="D245" s="67">
        <v>107818</v>
      </c>
      <c r="E245" s="67">
        <v>166227.07999999999</v>
      </c>
      <c r="F245" s="67">
        <v>175203.34232</v>
      </c>
      <c r="G245" t="str">
        <f t="shared" si="6"/>
        <v>3509</v>
      </c>
      <c r="H245" t="str">
        <f t="shared" si="7"/>
        <v>General expenses</v>
      </c>
    </row>
    <row r="246" spans="1:8" x14ac:dyDescent="0.25">
      <c r="A246" t="s">
        <v>504</v>
      </c>
      <c r="B246" t="s">
        <v>269</v>
      </c>
      <c r="C246" s="67">
        <v>50000</v>
      </c>
      <c r="D246" s="67">
        <v>20000</v>
      </c>
      <c r="E246" s="67">
        <v>53000</v>
      </c>
      <c r="F246" s="67">
        <v>55862</v>
      </c>
      <c r="G246" t="str">
        <f t="shared" si="6"/>
        <v>3509</v>
      </c>
      <c r="H246" t="str">
        <f t="shared" si="7"/>
        <v>General expenses</v>
      </c>
    </row>
    <row r="247" spans="1:8" x14ac:dyDescent="0.25">
      <c r="A247" t="s">
        <v>505</v>
      </c>
      <c r="B247" t="s">
        <v>292</v>
      </c>
      <c r="C247" s="67">
        <v>549</v>
      </c>
      <c r="D247" s="67">
        <v>549</v>
      </c>
      <c r="E247" s="67">
        <v>631.35</v>
      </c>
      <c r="F247" s="67">
        <v>726.05250000000001</v>
      </c>
      <c r="G247" t="str">
        <f t="shared" si="6"/>
        <v>3509</v>
      </c>
      <c r="H247" t="str">
        <f t="shared" si="7"/>
        <v>Depreciation and amortisation</v>
      </c>
    </row>
    <row r="248" spans="1:8" x14ac:dyDescent="0.25">
      <c r="A248" t="s">
        <v>506</v>
      </c>
      <c r="B248" t="s">
        <v>293</v>
      </c>
      <c r="C248" s="67">
        <v>12600</v>
      </c>
      <c r="D248" s="67">
        <v>12600</v>
      </c>
      <c r="E248" s="67">
        <v>14490</v>
      </c>
      <c r="F248" s="67">
        <v>16663.5</v>
      </c>
      <c r="G248" t="str">
        <f t="shared" si="6"/>
        <v>3509</v>
      </c>
      <c r="H248" t="str">
        <f t="shared" si="7"/>
        <v>Depreciation and amortisation</v>
      </c>
    </row>
    <row r="249" spans="1:8" x14ac:dyDescent="0.25">
      <c r="A249" t="s">
        <v>507</v>
      </c>
      <c r="B249" t="s">
        <v>300</v>
      </c>
      <c r="C249" s="67">
        <v>22976</v>
      </c>
      <c r="D249" s="67">
        <v>22976</v>
      </c>
      <c r="E249" s="67">
        <v>26422.400000000001</v>
      </c>
      <c r="F249" s="67">
        <v>30385.760000000002</v>
      </c>
      <c r="G249" t="str">
        <f t="shared" si="6"/>
        <v>3509</v>
      </c>
      <c r="H249" t="str">
        <f t="shared" si="7"/>
        <v>Depreciation and amortisation</v>
      </c>
    </row>
    <row r="250" spans="1:8" x14ac:dyDescent="0.25">
      <c r="A250" t="s">
        <v>1506</v>
      </c>
      <c r="B250" t="s">
        <v>1404</v>
      </c>
      <c r="C250" s="67">
        <v>-3122838</v>
      </c>
      <c r="D250" s="67">
        <v>-2386381</v>
      </c>
      <c r="E250" s="67">
        <v>-3374975.9040069683</v>
      </c>
      <c r="F250" s="67">
        <v>-3600236.8825674551</v>
      </c>
      <c r="G250" t="str">
        <f t="shared" si="6"/>
        <v>3509</v>
      </c>
      <c r="H250" t="str">
        <f t="shared" si="7"/>
        <v>Accumulated surplus</v>
      </c>
    </row>
    <row r="251" spans="1:8" x14ac:dyDescent="0.25">
      <c r="A251" t="s">
        <v>1507</v>
      </c>
      <c r="B251" t="s">
        <v>1428</v>
      </c>
      <c r="C251" s="67">
        <v>76048</v>
      </c>
      <c r="D251" s="67">
        <v>69348.77</v>
      </c>
      <c r="E251" s="67">
        <v>69348.77</v>
      </c>
      <c r="F251" s="67">
        <v>69348.77</v>
      </c>
      <c r="G251" t="str">
        <f t="shared" si="6"/>
        <v>3509</v>
      </c>
      <c r="H251" t="str">
        <f t="shared" si="7"/>
        <v>Non-Current Assets (Cost)</v>
      </c>
    </row>
    <row r="252" spans="1:8" x14ac:dyDescent="0.25">
      <c r="A252" t="s">
        <v>1508</v>
      </c>
      <c r="B252" t="s">
        <v>1430</v>
      </c>
      <c r="C252" s="67">
        <v>-58841</v>
      </c>
      <c r="D252" s="67">
        <v>-49157.670000000006</v>
      </c>
      <c r="E252" s="67">
        <v>-61757.670000000006</v>
      </c>
      <c r="F252" s="67">
        <v>-76247.670000000013</v>
      </c>
      <c r="G252" t="str">
        <f t="shared" si="6"/>
        <v>3509</v>
      </c>
      <c r="H252" t="str">
        <f t="shared" si="7"/>
        <v>Non-Current Assets (Acc Depreciation)</v>
      </c>
    </row>
    <row r="253" spans="1:8" x14ac:dyDescent="0.25">
      <c r="A253" t="s">
        <v>1509</v>
      </c>
      <c r="B253" t="s">
        <v>1432</v>
      </c>
      <c r="C253" s="67">
        <v>-8906</v>
      </c>
      <c r="D253" s="67">
        <v>-12600</v>
      </c>
      <c r="E253" s="67">
        <v>-14490</v>
      </c>
      <c r="F253" s="67">
        <v>-16663.5</v>
      </c>
      <c r="G253" t="str">
        <f t="shared" si="6"/>
        <v>3509</v>
      </c>
      <c r="H253" t="str">
        <f t="shared" si="7"/>
        <v>Non-Current Assets (Depreciation)</v>
      </c>
    </row>
    <row r="254" spans="1:8" x14ac:dyDescent="0.25">
      <c r="A254" t="s">
        <v>1510</v>
      </c>
      <c r="B254" t="s">
        <v>1434</v>
      </c>
      <c r="C254" s="67">
        <v>9521</v>
      </c>
      <c r="D254" s="67">
        <v>9521.92</v>
      </c>
      <c r="E254" s="67">
        <v>9521.92</v>
      </c>
      <c r="F254" s="67">
        <v>9521.92</v>
      </c>
      <c r="G254" t="str">
        <f t="shared" si="6"/>
        <v>3509</v>
      </c>
      <c r="H254" t="str">
        <f t="shared" si="7"/>
        <v>Non-Current Assets (Cost)</v>
      </c>
    </row>
    <row r="255" spans="1:8" x14ac:dyDescent="0.25">
      <c r="A255" t="s">
        <v>1511</v>
      </c>
      <c r="B255" t="s">
        <v>1436</v>
      </c>
      <c r="C255" s="67">
        <v>-7075</v>
      </c>
      <c r="D255" s="67">
        <v>-8195.06</v>
      </c>
      <c r="E255" s="67">
        <v>-8744.06</v>
      </c>
      <c r="F255" s="67">
        <v>-9375.41</v>
      </c>
      <c r="G255" t="str">
        <f t="shared" si="6"/>
        <v>3509</v>
      </c>
      <c r="H255" t="str">
        <f t="shared" si="7"/>
        <v>Non-Current Assets (Acc Depreciation)</v>
      </c>
    </row>
    <row r="256" spans="1:8" x14ac:dyDescent="0.25">
      <c r="A256" t="s">
        <v>1512</v>
      </c>
      <c r="B256" t="s">
        <v>1438</v>
      </c>
      <c r="C256" s="67">
        <v>-368</v>
      </c>
      <c r="D256" s="67">
        <v>-549</v>
      </c>
      <c r="E256" s="67">
        <v>-631.35</v>
      </c>
      <c r="F256" s="67">
        <v>-726.05250000000001</v>
      </c>
      <c r="G256" t="str">
        <f t="shared" si="6"/>
        <v>3509</v>
      </c>
      <c r="H256" t="str">
        <f t="shared" si="7"/>
        <v>Non-Current Assets (Depreciation)</v>
      </c>
    </row>
    <row r="257" spans="1:8" x14ac:dyDescent="0.25">
      <c r="A257" t="s">
        <v>1513</v>
      </c>
      <c r="B257" t="s">
        <v>1446</v>
      </c>
      <c r="C257" s="67">
        <v>433500</v>
      </c>
      <c r="D257" s="67">
        <v>433500</v>
      </c>
      <c r="E257" s="67">
        <v>433500</v>
      </c>
      <c r="F257" s="67">
        <v>433500</v>
      </c>
      <c r="G257" t="str">
        <f t="shared" si="6"/>
        <v>3509</v>
      </c>
      <c r="H257" t="str">
        <f t="shared" si="7"/>
        <v>Non-Current Assets (Cost)</v>
      </c>
    </row>
    <row r="258" spans="1:8" x14ac:dyDescent="0.25">
      <c r="A258" t="s">
        <v>1514</v>
      </c>
      <c r="B258" t="s">
        <v>1448</v>
      </c>
      <c r="C258" s="67">
        <v>-47701</v>
      </c>
      <c r="D258" s="67">
        <v>-47239.99</v>
      </c>
      <c r="E258" s="67">
        <v>-70215.989999999991</v>
      </c>
      <c r="F258" s="67">
        <v>-96638.389999999985</v>
      </c>
      <c r="G258" t="str">
        <f t="shared" ref="G258:G321" si="8">VLOOKUP(A258,s,2,FALSE)</f>
        <v>3509</v>
      </c>
      <c r="H258" t="str">
        <f t="shared" ref="H258:H321" si="9">VLOOKUP(A258,s,3,FALSE)</f>
        <v>Non-Current Assets (Acc Depreciation)</v>
      </c>
    </row>
    <row r="259" spans="1:8" x14ac:dyDescent="0.25">
      <c r="A259" t="s">
        <v>1515</v>
      </c>
      <c r="B259" t="s">
        <v>1450</v>
      </c>
      <c r="C259" s="67">
        <v>-16236</v>
      </c>
      <c r="D259" s="67">
        <v>-22976</v>
      </c>
      <c r="E259" s="67">
        <v>-26422.400000000001</v>
      </c>
      <c r="F259" s="67">
        <v>-30385.760000000002</v>
      </c>
      <c r="G259" t="str">
        <f t="shared" si="8"/>
        <v>3509</v>
      </c>
      <c r="H259" t="str">
        <f t="shared" si="9"/>
        <v>Non-Current Assets (Depreciation)</v>
      </c>
    </row>
    <row r="260" spans="1:8" x14ac:dyDescent="0.25">
      <c r="A260" t="s">
        <v>1516</v>
      </c>
      <c r="B260" t="s">
        <v>1460</v>
      </c>
      <c r="C260" s="67">
        <v>-110782</v>
      </c>
      <c r="D260" s="67">
        <v>-110782</v>
      </c>
      <c r="E260" s="67">
        <v>-121860.2</v>
      </c>
      <c r="F260" s="67">
        <v>-134046.22</v>
      </c>
      <c r="G260" t="str">
        <f t="shared" si="8"/>
        <v>3509</v>
      </c>
      <c r="H260" t="str">
        <f t="shared" si="9"/>
        <v>Current Employee Benefits</v>
      </c>
    </row>
    <row r="261" spans="1:8" x14ac:dyDescent="0.25">
      <c r="A261" t="s">
        <v>1517</v>
      </c>
      <c r="B261" t="s">
        <v>1462</v>
      </c>
      <c r="C261" s="67">
        <v>-305917</v>
      </c>
      <c r="D261" s="67">
        <v>4460056.26</v>
      </c>
      <c r="E261" s="67">
        <v>6846437.2599999998</v>
      </c>
      <c r="F261" s="67">
        <v>10221413.164006967</v>
      </c>
      <c r="G261" t="str">
        <f t="shared" si="8"/>
        <v>3509</v>
      </c>
      <c r="H261" t="str">
        <f t="shared" si="9"/>
        <v>Reserves</v>
      </c>
    </row>
    <row r="262" spans="1:8" x14ac:dyDescent="0.25">
      <c r="A262" t="s">
        <v>1518</v>
      </c>
      <c r="B262" t="s">
        <v>1464</v>
      </c>
      <c r="C262" s="67">
        <v>3122838</v>
      </c>
      <c r="D262" s="67">
        <v>2386381</v>
      </c>
      <c r="E262" s="67">
        <v>3374975.9040069683</v>
      </c>
      <c r="F262" s="67">
        <v>3600236.8825674551</v>
      </c>
      <c r="G262" t="str">
        <f t="shared" si="8"/>
        <v>3509</v>
      </c>
      <c r="H262" t="str">
        <f t="shared" si="9"/>
        <v>Reserves</v>
      </c>
    </row>
    <row r="263" spans="1:8" x14ac:dyDescent="0.25">
      <c r="A263" t="s">
        <v>509</v>
      </c>
      <c r="B263" t="s">
        <v>63</v>
      </c>
      <c r="C263" s="67">
        <v>0</v>
      </c>
      <c r="D263" s="67">
        <v>-50000</v>
      </c>
      <c r="E263" s="67">
        <v>0</v>
      </c>
      <c r="F263" s="67">
        <v>0</v>
      </c>
      <c r="G263" t="str">
        <f t="shared" si="8"/>
        <v>3510</v>
      </c>
      <c r="H263" t="str">
        <f t="shared" si="9"/>
        <v>Rental of facilities and equipment</v>
      </c>
    </row>
    <row r="264" spans="1:8" x14ac:dyDescent="0.25">
      <c r="A264" t="s">
        <v>510</v>
      </c>
      <c r="B264" t="s">
        <v>86</v>
      </c>
      <c r="C264" s="67">
        <v>-10462</v>
      </c>
      <c r="D264" s="67">
        <v>-10462</v>
      </c>
      <c r="E264" s="67">
        <v>0</v>
      </c>
      <c r="F264" s="67">
        <v>0</v>
      </c>
      <c r="G264" t="str">
        <f t="shared" si="8"/>
        <v>3510</v>
      </c>
      <c r="H264" t="str">
        <f t="shared" si="9"/>
        <v>Other income</v>
      </c>
    </row>
    <row r="265" spans="1:8" x14ac:dyDescent="0.25">
      <c r="A265" t="s">
        <v>511</v>
      </c>
      <c r="B265" t="s">
        <v>150</v>
      </c>
      <c r="C265" s="67">
        <v>663000</v>
      </c>
      <c r="D265" s="67">
        <v>663000</v>
      </c>
      <c r="E265" s="67">
        <v>709409.64690000005</v>
      </c>
      <c r="F265" s="67">
        <v>759068.32218300004</v>
      </c>
      <c r="G265" t="str">
        <f t="shared" si="8"/>
        <v>3510</v>
      </c>
      <c r="H265" t="str">
        <f t="shared" si="9"/>
        <v>Employee related costs</v>
      </c>
    </row>
    <row r="266" spans="1:8" x14ac:dyDescent="0.25">
      <c r="A266" t="s">
        <v>512</v>
      </c>
      <c r="B266" t="s">
        <v>151</v>
      </c>
      <c r="C266" s="67">
        <v>29299</v>
      </c>
      <c r="D266" s="67">
        <v>8467.0900000000038</v>
      </c>
      <c r="E266" s="67">
        <v>100</v>
      </c>
      <c r="F266" s="67">
        <v>2532.46</v>
      </c>
      <c r="G266" t="str">
        <f t="shared" si="8"/>
        <v>3510</v>
      </c>
      <c r="H266" t="str">
        <f t="shared" si="9"/>
        <v>Employee related costs</v>
      </c>
    </row>
    <row r="267" spans="1:8" x14ac:dyDescent="0.25">
      <c r="A267" t="s">
        <v>513</v>
      </c>
      <c r="B267" t="s">
        <v>152</v>
      </c>
      <c r="C267" s="67">
        <v>24000</v>
      </c>
      <c r="D267" s="67">
        <v>24000</v>
      </c>
      <c r="E267" s="67">
        <v>55384.970850000005</v>
      </c>
      <c r="F267" s="67">
        <v>59261.918809500006</v>
      </c>
      <c r="G267" t="str">
        <f t="shared" si="8"/>
        <v>3510</v>
      </c>
      <c r="H267" t="str">
        <f t="shared" si="9"/>
        <v>Employee related costs</v>
      </c>
    </row>
    <row r="268" spans="1:8" x14ac:dyDescent="0.25">
      <c r="A268" t="s">
        <v>514</v>
      </c>
      <c r="B268" t="s">
        <v>153</v>
      </c>
      <c r="C268" s="67">
        <v>10893</v>
      </c>
      <c r="D268" s="67">
        <v>10893</v>
      </c>
      <c r="E268" s="67">
        <v>25440</v>
      </c>
      <c r="F268" s="67">
        <v>27220.799999999999</v>
      </c>
      <c r="G268" t="str">
        <f t="shared" si="8"/>
        <v>3510</v>
      </c>
      <c r="H268" t="str">
        <f t="shared" si="9"/>
        <v>Employee related costs</v>
      </c>
    </row>
    <row r="269" spans="1:8" x14ac:dyDescent="0.25">
      <c r="A269" t="s">
        <v>515</v>
      </c>
      <c r="B269" t="s">
        <v>155</v>
      </c>
      <c r="C269" s="67">
        <v>20806</v>
      </c>
      <c r="D269" s="92">
        <v>122000</v>
      </c>
      <c r="E269" s="67">
        <v>11546.8344</v>
      </c>
      <c r="F269" s="67">
        <v>12355.112808</v>
      </c>
      <c r="G269" t="str">
        <f t="shared" si="8"/>
        <v>3510</v>
      </c>
      <c r="H269" t="str">
        <f t="shared" si="9"/>
        <v>Employee related costs</v>
      </c>
    </row>
    <row r="270" spans="1:8" x14ac:dyDescent="0.25">
      <c r="A270" t="s">
        <v>516</v>
      </c>
      <c r="B270" t="s">
        <v>156</v>
      </c>
      <c r="C270" s="67">
        <v>156750</v>
      </c>
      <c r="D270" s="67">
        <v>156750</v>
      </c>
      <c r="E270" s="67">
        <v>22054.719412602735</v>
      </c>
      <c r="F270" s="67">
        <v>23598.549771484926</v>
      </c>
      <c r="G270" t="str">
        <f t="shared" si="8"/>
        <v>3510</v>
      </c>
      <c r="H270" t="str">
        <f t="shared" si="9"/>
        <v>Employee related costs</v>
      </c>
    </row>
    <row r="271" spans="1:8" x14ac:dyDescent="0.25">
      <c r="A271" t="s">
        <v>517</v>
      </c>
      <c r="B271" t="s">
        <v>158</v>
      </c>
      <c r="C271" s="67">
        <v>12657</v>
      </c>
      <c r="D271" s="67">
        <v>0</v>
      </c>
      <c r="E271" s="67">
        <v>166154.91255000001</v>
      </c>
      <c r="F271" s="67">
        <v>177785.7564285</v>
      </c>
      <c r="G271" t="str">
        <f t="shared" si="8"/>
        <v>3510</v>
      </c>
      <c r="H271" t="str">
        <f t="shared" si="9"/>
        <v>Employee related costs</v>
      </c>
    </row>
    <row r="272" spans="1:8" x14ac:dyDescent="0.25">
      <c r="A272" t="s">
        <v>518</v>
      </c>
      <c r="B272" t="s">
        <v>159</v>
      </c>
      <c r="C272" s="67">
        <v>52250</v>
      </c>
      <c r="D272" s="67">
        <v>52250</v>
      </c>
      <c r="E272" s="67">
        <v>13416.620976000002</v>
      </c>
      <c r="F272" s="67">
        <v>14355.784444320003</v>
      </c>
      <c r="G272" t="str">
        <f t="shared" si="8"/>
        <v>3510</v>
      </c>
      <c r="H272" t="str">
        <f t="shared" si="9"/>
        <v>Employee related costs</v>
      </c>
    </row>
    <row r="273" spans="1:8" x14ac:dyDescent="0.25">
      <c r="A273" t="s">
        <v>519</v>
      </c>
      <c r="B273" t="s">
        <v>164</v>
      </c>
      <c r="C273" s="67">
        <v>15692</v>
      </c>
      <c r="D273" s="67">
        <v>15692</v>
      </c>
      <c r="E273" s="67">
        <v>16633.944</v>
      </c>
      <c r="F273" s="67">
        <v>17798.320079999998</v>
      </c>
      <c r="G273" t="str">
        <f t="shared" si="8"/>
        <v>3510</v>
      </c>
      <c r="H273" t="str">
        <f t="shared" si="9"/>
        <v>Employee related costs</v>
      </c>
    </row>
    <row r="274" spans="1:8" x14ac:dyDescent="0.25">
      <c r="A274" t="s">
        <v>520</v>
      </c>
      <c r="B274" t="s">
        <v>167</v>
      </c>
      <c r="C274" s="67">
        <v>112</v>
      </c>
      <c r="D274" s="67">
        <v>112</v>
      </c>
      <c r="E274" s="67">
        <v>120.21449999999999</v>
      </c>
      <c r="F274" s="67">
        <v>128.629515</v>
      </c>
      <c r="G274" t="str">
        <f t="shared" si="8"/>
        <v>3510</v>
      </c>
      <c r="H274" t="str">
        <f t="shared" si="9"/>
        <v>Employee related costs</v>
      </c>
    </row>
    <row r="275" spans="1:8" x14ac:dyDescent="0.25">
      <c r="A275" t="s">
        <v>521</v>
      </c>
      <c r="B275" t="s">
        <v>168</v>
      </c>
      <c r="C275" s="67">
        <v>53908</v>
      </c>
      <c r="D275" s="67">
        <v>53908</v>
      </c>
      <c r="E275" s="67">
        <v>57681.774000000005</v>
      </c>
      <c r="F275" s="67">
        <v>61719.498180000002</v>
      </c>
      <c r="G275" t="str">
        <f t="shared" si="8"/>
        <v>3510</v>
      </c>
      <c r="H275" t="str">
        <f t="shared" si="9"/>
        <v>Employee related costs</v>
      </c>
    </row>
    <row r="276" spans="1:8" x14ac:dyDescent="0.25">
      <c r="A276" t="s">
        <v>522</v>
      </c>
      <c r="B276" t="s">
        <v>169</v>
      </c>
      <c r="C276" s="67">
        <v>137940</v>
      </c>
      <c r="D276" s="67">
        <v>137940</v>
      </c>
      <c r="E276" s="67">
        <v>147595.72231800001</v>
      </c>
      <c r="F276" s="67">
        <v>157927.42288026001</v>
      </c>
      <c r="G276" t="str">
        <f t="shared" si="8"/>
        <v>3510</v>
      </c>
      <c r="H276" t="str">
        <f t="shared" si="9"/>
        <v>Employee related costs</v>
      </c>
    </row>
    <row r="277" spans="1:8" x14ac:dyDescent="0.25">
      <c r="A277" t="s">
        <v>523</v>
      </c>
      <c r="B277" t="s">
        <v>170</v>
      </c>
      <c r="C277" s="67">
        <v>3570</v>
      </c>
      <c r="D277" s="67">
        <v>3570</v>
      </c>
      <c r="E277" s="67">
        <v>3819.9</v>
      </c>
      <c r="F277" s="67">
        <v>4087.2930000000001</v>
      </c>
      <c r="G277" t="str">
        <f t="shared" si="8"/>
        <v>3510</v>
      </c>
      <c r="H277" t="str">
        <f t="shared" si="9"/>
        <v>Employee related costs</v>
      </c>
    </row>
    <row r="278" spans="1:8" x14ac:dyDescent="0.25">
      <c r="A278" t="s">
        <v>524</v>
      </c>
      <c r="B278" t="s">
        <v>173</v>
      </c>
      <c r="C278" s="67">
        <v>5543</v>
      </c>
      <c r="D278" s="67">
        <v>5543</v>
      </c>
      <c r="E278" s="67">
        <v>5875.05</v>
      </c>
      <c r="F278" s="67">
        <v>6286.3035</v>
      </c>
      <c r="G278" t="str">
        <f t="shared" si="8"/>
        <v>3510</v>
      </c>
      <c r="H278" t="str">
        <f t="shared" si="9"/>
        <v>Employee related costs</v>
      </c>
    </row>
    <row r="279" spans="1:8" x14ac:dyDescent="0.25">
      <c r="A279" t="s">
        <v>525</v>
      </c>
      <c r="B279" t="s">
        <v>174</v>
      </c>
      <c r="C279" s="67">
        <v>8283</v>
      </c>
      <c r="D279" s="67">
        <v>8283</v>
      </c>
      <c r="E279" s="67">
        <v>8779.98</v>
      </c>
      <c r="F279" s="67">
        <v>9394.5785999999989</v>
      </c>
      <c r="G279" t="str">
        <f t="shared" si="8"/>
        <v>3510</v>
      </c>
      <c r="H279" t="str">
        <f t="shared" si="9"/>
        <v>Employee related costs</v>
      </c>
    </row>
    <row r="280" spans="1:8" x14ac:dyDescent="0.25">
      <c r="A280" t="s">
        <v>526</v>
      </c>
      <c r="B280" t="s">
        <v>175</v>
      </c>
      <c r="C280" s="67">
        <v>10931</v>
      </c>
      <c r="D280" s="67">
        <v>10931</v>
      </c>
      <c r="E280" s="67">
        <v>11586.33</v>
      </c>
      <c r="F280" s="67">
        <v>12397.373100000001</v>
      </c>
      <c r="G280" t="str">
        <f t="shared" si="8"/>
        <v>3510</v>
      </c>
      <c r="H280" t="str">
        <f t="shared" si="9"/>
        <v>Employee related costs</v>
      </c>
    </row>
    <row r="281" spans="1:8" x14ac:dyDescent="0.25">
      <c r="A281" t="s">
        <v>527</v>
      </c>
      <c r="B281" t="s">
        <v>212</v>
      </c>
      <c r="C281" s="67">
        <v>802176</v>
      </c>
      <c r="D281" s="67">
        <v>702176</v>
      </c>
      <c r="E281" s="67">
        <v>850306.56000000006</v>
      </c>
      <c r="F281" s="67">
        <v>896223.11424000002</v>
      </c>
      <c r="G281" t="str">
        <f t="shared" si="8"/>
        <v>3510</v>
      </c>
      <c r="H281" t="str">
        <f t="shared" si="9"/>
        <v>Contracted services</v>
      </c>
    </row>
    <row r="282" spans="1:8" x14ac:dyDescent="0.25">
      <c r="A282" t="s">
        <v>528</v>
      </c>
      <c r="B282" t="s">
        <v>224</v>
      </c>
      <c r="C282" s="67">
        <v>1200000</v>
      </c>
      <c r="D282" s="67">
        <v>1000000</v>
      </c>
      <c r="E282" s="67">
        <v>0</v>
      </c>
      <c r="F282" s="67">
        <v>0</v>
      </c>
      <c r="G282" t="str">
        <f t="shared" si="8"/>
        <v>3510</v>
      </c>
      <c r="H282" t="str">
        <f t="shared" si="9"/>
        <v>Contracted services</v>
      </c>
    </row>
    <row r="283" spans="1:8" x14ac:dyDescent="0.25">
      <c r="A283" t="s">
        <v>529</v>
      </c>
      <c r="B283" t="s">
        <v>225</v>
      </c>
      <c r="C283" s="67">
        <v>600000</v>
      </c>
      <c r="D283" s="67">
        <v>500000</v>
      </c>
      <c r="E283" s="67">
        <v>0</v>
      </c>
      <c r="F283" s="67">
        <v>600000</v>
      </c>
      <c r="G283" t="str">
        <f t="shared" si="8"/>
        <v>3510</v>
      </c>
      <c r="H283" t="str">
        <f t="shared" si="9"/>
        <v>Contracted services</v>
      </c>
    </row>
    <row r="284" spans="1:8" x14ac:dyDescent="0.25">
      <c r="A284" t="s">
        <v>530</v>
      </c>
      <c r="B284" t="s">
        <v>225</v>
      </c>
      <c r="C284" s="67">
        <v>500000</v>
      </c>
      <c r="D284" s="67">
        <v>485000</v>
      </c>
      <c r="E284" s="67">
        <v>700000</v>
      </c>
      <c r="F284" s="67">
        <v>700000</v>
      </c>
      <c r="G284" t="str">
        <f t="shared" si="8"/>
        <v>3510</v>
      </c>
      <c r="H284" t="str">
        <f t="shared" si="9"/>
        <v>Contracted services</v>
      </c>
    </row>
    <row r="285" spans="1:8" x14ac:dyDescent="0.25">
      <c r="A285" t="s">
        <v>531</v>
      </c>
      <c r="B285" t="s">
        <v>225</v>
      </c>
      <c r="C285" s="67">
        <v>80000</v>
      </c>
      <c r="D285" s="67">
        <v>80000</v>
      </c>
      <c r="E285" s="67">
        <v>100000</v>
      </c>
      <c r="F285" s="67">
        <v>0</v>
      </c>
      <c r="G285" t="str">
        <f t="shared" si="8"/>
        <v>3510</v>
      </c>
      <c r="H285" t="str">
        <f t="shared" si="9"/>
        <v>Contracted services</v>
      </c>
    </row>
    <row r="286" spans="1:8" x14ac:dyDescent="0.25">
      <c r="A286" t="s">
        <v>532</v>
      </c>
      <c r="B286" t="s">
        <v>225</v>
      </c>
      <c r="C286" s="67">
        <v>1000000</v>
      </c>
      <c r="D286" s="67">
        <v>893350</v>
      </c>
      <c r="E286" s="67">
        <v>1000000</v>
      </c>
      <c r="F286" s="67">
        <v>1000000</v>
      </c>
      <c r="G286" t="str">
        <f t="shared" si="8"/>
        <v>3510</v>
      </c>
      <c r="H286" t="str">
        <f t="shared" si="9"/>
        <v>Contracted services</v>
      </c>
    </row>
    <row r="287" spans="1:8" x14ac:dyDescent="0.25">
      <c r="A287" t="s">
        <v>533</v>
      </c>
      <c r="B287" t="s">
        <v>238</v>
      </c>
      <c r="C287" s="67">
        <v>74600</v>
      </c>
      <c r="D287" s="67">
        <v>74600</v>
      </c>
      <c r="E287" s="67">
        <v>79075.597199999989</v>
      </c>
      <c r="F287" s="67">
        <v>83345.679448799987</v>
      </c>
      <c r="G287" t="str">
        <f t="shared" si="8"/>
        <v>3510</v>
      </c>
      <c r="H287" t="str">
        <f t="shared" si="9"/>
        <v>Contracted services</v>
      </c>
    </row>
    <row r="288" spans="1:8" x14ac:dyDescent="0.25">
      <c r="A288" t="s">
        <v>534</v>
      </c>
      <c r="B288" t="s">
        <v>242</v>
      </c>
      <c r="C288" s="67">
        <v>105566</v>
      </c>
      <c r="D288" s="67">
        <v>105566</v>
      </c>
      <c r="E288" s="67">
        <v>111899.96</v>
      </c>
      <c r="F288" s="67">
        <v>117942.55784000001</v>
      </c>
      <c r="G288" t="str">
        <f t="shared" si="8"/>
        <v>3510</v>
      </c>
      <c r="H288" t="str">
        <f t="shared" si="9"/>
        <v>General expenses</v>
      </c>
    </row>
    <row r="289" spans="1:8" x14ac:dyDescent="0.25">
      <c r="A289" t="s">
        <v>535</v>
      </c>
      <c r="B289" t="s">
        <v>265</v>
      </c>
      <c r="C289" s="67">
        <v>0</v>
      </c>
      <c r="D289" s="67">
        <v>10000</v>
      </c>
      <c r="E289" s="67">
        <v>0</v>
      </c>
      <c r="F289" s="67">
        <v>0</v>
      </c>
      <c r="G289" t="str">
        <f t="shared" si="8"/>
        <v>3510</v>
      </c>
      <c r="H289" t="str">
        <f t="shared" si="9"/>
        <v>General expenses</v>
      </c>
    </row>
    <row r="290" spans="1:8" x14ac:dyDescent="0.25">
      <c r="A290" t="s">
        <v>536</v>
      </c>
      <c r="B290" t="s">
        <v>266</v>
      </c>
      <c r="C290" s="67">
        <v>500000</v>
      </c>
      <c r="D290" s="67">
        <v>420000</v>
      </c>
      <c r="E290" s="67">
        <v>0</v>
      </c>
      <c r="F290" s="67">
        <v>0</v>
      </c>
      <c r="G290" t="str">
        <f t="shared" si="8"/>
        <v>3510</v>
      </c>
      <c r="H290" t="str">
        <f t="shared" si="9"/>
        <v>General expenses</v>
      </c>
    </row>
    <row r="291" spans="1:8" x14ac:dyDescent="0.25">
      <c r="A291" t="s">
        <v>537</v>
      </c>
      <c r="B291" t="s">
        <v>268</v>
      </c>
      <c r="C291" s="67">
        <v>78000</v>
      </c>
      <c r="D291" s="67">
        <v>28000</v>
      </c>
      <c r="E291" s="67">
        <v>82680</v>
      </c>
      <c r="F291" s="67">
        <v>87144.72</v>
      </c>
      <c r="G291" t="str">
        <f t="shared" si="8"/>
        <v>3510</v>
      </c>
      <c r="H291" t="str">
        <f t="shared" si="9"/>
        <v>General expenses</v>
      </c>
    </row>
    <row r="292" spans="1:8" x14ac:dyDescent="0.25">
      <c r="A292" t="s">
        <v>538</v>
      </c>
      <c r="B292" t="s">
        <v>293</v>
      </c>
      <c r="C292" s="67">
        <v>10946</v>
      </c>
      <c r="D292" s="67">
        <v>10946</v>
      </c>
      <c r="E292" s="67">
        <v>12587.9</v>
      </c>
      <c r="F292" s="67">
        <v>14476.084999999999</v>
      </c>
      <c r="G292" t="str">
        <f t="shared" si="8"/>
        <v>3510</v>
      </c>
      <c r="H292" t="str">
        <f t="shared" si="9"/>
        <v>Depreciation and amortisation</v>
      </c>
    </row>
    <row r="293" spans="1:8" x14ac:dyDescent="0.25">
      <c r="A293" t="s">
        <v>1519</v>
      </c>
      <c r="B293" t="s">
        <v>1404</v>
      </c>
      <c r="C293" s="67">
        <v>-6146460</v>
      </c>
      <c r="D293" s="67">
        <v>-5442153</v>
      </c>
      <c r="E293" s="67">
        <v>-4623107.6301066037</v>
      </c>
      <c r="F293" s="67">
        <v>-5275748.8023388647</v>
      </c>
      <c r="G293" t="str">
        <f t="shared" si="8"/>
        <v>3510</v>
      </c>
      <c r="H293" t="str">
        <f t="shared" si="9"/>
        <v>Accumulated surplus</v>
      </c>
    </row>
    <row r="294" spans="1:8" x14ac:dyDescent="0.25">
      <c r="A294" t="s">
        <v>1520</v>
      </c>
      <c r="B294" t="s">
        <v>1428</v>
      </c>
      <c r="C294" s="67">
        <v>42939</v>
      </c>
      <c r="D294" s="67">
        <v>42939.42</v>
      </c>
      <c r="E294" s="67">
        <v>42939.42</v>
      </c>
      <c r="F294" s="67">
        <v>42939.42</v>
      </c>
      <c r="G294" t="str">
        <f t="shared" si="8"/>
        <v>3510</v>
      </c>
      <c r="H294" t="str">
        <f t="shared" si="9"/>
        <v>Non-Current Assets (Cost)</v>
      </c>
    </row>
    <row r="295" spans="1:8" x14ac:dyDescent="0.25">
      <c r="A295" t="s">
        <v>1521</v>
      </c>
      <c r="B295" t="s">
        <v>1430</v>
      </c>
      <c r="C295" s="67">
        <v>-29059</v>
      </c>
      <c r="D295" s="67">
        <v>-67779.149999999994</v>
      </c>
      <c r="E295" s="67">
        <v>-78725.149999999994</v>
      </c>
      <c r="F295" s="67">
        <v>-91313.049999999988</v>
      </c>
      <c r="G295" t="str">
        <f t="shared" si="8"/>
        <v>3510</v>
      </c>
      <c r="H295" t="str">
        <f t="shared" si="9"/>
        <v>Non-Current Assets (Acc Depreciation)</v>
      </c>
    </row>
    <row r="296" spans="1:8" x14ac:dyDescent="0.25">
      <c r="A296" t="s">
        <v>1522</v>
      </c>
      <c r="B296" t="s">
        <v>1432</v>
      </c>
      <c r="C296" s="67">
        <v>-7736</v>
      </c>
      <c r="D296" s="67">
        <v>-10946</v>
      </c>
      <c r="E296" s="67">
        <v>-12587.9</v>
      </c>
      <c r="F296" s="67">
        <v>-14476.084999999999</v>
      </c>
      <c r="G296" t="str">
        <f t="shared" si="8"/>
        <v>3510</v>
      </c>
      <c r="H296" t="str">
        <f t="shared" si="9"/>
        <v>Non-Current Assets (Depreciation)</v>
      </c>
    </row>
    <row r="297" spans="1:8" x14ac:dyDescent="0.25">
      <c r="A297" t="s">
        <v>1523</v>
      </c>
      <c r="B297" t="s">
        <v>1460</v>
      </c>
      <c r="C297" s="67">
        <v>-79783</v>
      </c>
      <c r="D297" s="67">
        <v>-79783</v>
      </c>
      <c r="E297" s="67">
        <v>-87761.3</v>
      </c>
      <c r="F297" s="67">
        <v>-96537.430000000008</v>
      </c>
      <c r="G297" t="str">
        <f t="shared" si="8"/>
        <v>3510</v>
      </c>
      <c r="H297" t="str">
        <f t="shared" si="9"/>
        <v>Current Employee Benefits</v>
      </c>
    </row>
    <row r="298" spans="1:8" x14ac:dyDescent="0.25">
      <c r="A298" t="s">
        <v>1524</v>
      </c>
      <c r="B298" t="s">
        <v>1462</v>
      </c>
      <c r="C298" s="67">
        <v>51718</v>
      </c>
      <c r="D298" s="67">
        <v>7804604.4900000002</v>
      </c>
      <c r="E298" s="67">
        <v>13246757.49</v>
      </c>
      <c r="F298" s="67">
        <v>17869865.120106604</v>
      </c>
      <c r="G298" t="str">
        <f t="shared" si="8"/>
        <v>3510</v>
      </c>
      <c r="H298" t="str">
        <f t="shared" si="9"/>
        <v>Reserves</v>
      </c>
    </row>
    <row r="299" spans="1:8" x14ac:dyDescent="0.25">
      <c r="A299" t="s">
        <v>1525</v>
      </c>
      <c r="B299" t="s">
        <v>1464</v>
      </c>
      <c r="C299" s="67">
        <v>6146460</v>
      </c>
      <c r="D299" s="67">
        <v>5442153</v>
      </c>
      <c r="E299" s="67">
        <v>4623107.6301066037</v>
      </c>
      <c r="F299" s="67">
        <v>5275748.8023388647</v>
      </c>
      <c r="G299" t="str">
        <f t="shared" si="8"/>
        <v>3510</v>
      </c>
      <c r="H299" t="str">
        <f t="shared" si="9"/>
        <v>Reserves</v>
      </c>
    </row>
    <row r="300" spans="1:8" x14ac:dyDescent="0.25">
      <c r="A300" t="s">
        <v>540</v>
      </c>
      <c r="B300" t="s">
        <v>75</v>
      </c>
      <c r="C300" s="67">
        <v>-15000000</v>
      </c>
      <c r="D300" s="67">
        <v>-7500000</v>
      </c>
      <c r="E300" s="67">
        <v>-15810000</v>
      </c>
      <c r="F300" s="67">
        <v>-8000000</v>
      </c>
      <c r="G300" t="str">
        <f t="shared" si="8"/>
        <v>3511</v>
      </c>
      <c r="H300" t="str">
        <f t="shared" si="9"/>
        <v>Other income</v>
      </c>
    </row>
    <row r="301" spans="1:8" x14ac:dyDescent="0.25">
      <c r="A301" t="s">
        <v>541</v>
      </c>
      <c r="B301" t="s">
        <v>82</v>
      </c>
      <c r="C301" s="67">
        <v>-4640</v>
      </c>
      <c r="D301" s="67">
        <v>-4640</v>
      </c>
      <c r="E301" s="67">
        <v>-4890.6274560000002</v>
      </c>
      <c r="F301" s="67">
        <v>-5154.7213386240001</v>
      </c>
      <c r="G301" t="str">
        <f t="shared" si="8"/>
        <v>3511</v>
      </c>
      <c r="H301" t="str">
        <f t="shared" si="9"/>
        <v>Other income</v>
      </c>
    </row>
    <row r="302" spans="1:8" x14ac:dyDescent="0.25">
      <c r="A302" t="s">
        <v>542</v>
      </c>
      <c r="B302" t="s">
        <v>85</v>
      </c>
      <c r="C302" s="67">
        <v>-41011</v>
      </c>
      <c r="D302" s="67">
        <v>-41011</v>
      </c>
      <c r="E302" s="67">
        <v>-43225.400064000001</v>
      </c>
      <c r="F302" s="67">
        <v>-45559.571667456003</v>
      </c>
      <c r="G302" t="str">
        <f t="shared" si="8"/>
        <v>3511</v>
      </c>
      <c r="H302" t="str">
        <f t="shared" si="9"/>
        <v>Other income</v>
      </c>
    </row>
    <row r="303" spans="1:8" x14ac:dyDescent="0.25">
      <c r="A303" t="s">
        <v>543</v>
      </c>
      <c r="B303" t="s">
        <v>86</v>
      </c>
      <c r="C303" s="67">
        <v>0</v>
      </c>
      <c r="D303" s="67">
        <v>-20000</v>
      </c>
      <c r="E303" s="67">
        <v>-11026.728767999999</v>
      </c>
      <c r="F303" s="67">
        <v>-11622.172121471998</v>
      </c>
      <c r="G303" t="str">
        <f t="shared" si="8"/>
        <v>3511</v>
      </c>
      <c r="H303" t="str">
        <f t="shared" si="9"/>
        <v>Other income</v>
      </c>
    </row>
    <row r="304" spans="1:8" x14ac:dyDescent="0.25">
      <c r="A304" t="s">
        <v>544</v>
      </c>
      <c r="B304" t="s">
        <v>87</v>
      </c>
      <c r="C304" s="67">
        <v>-4715</v>
      </c>
      <c r="D304" s="67">
        <v>-4715</v>
      </c>
      <c r="E304" s="67">
        <v>-4969.6521599999996</v>
      </c>
      <c r="F304" s="67">
        <v>-5238.0133766399995</v>
      </c>
      <c r="G304" t="str">
        <f t="shared" si="8"/>
        <v>3511</v>
      </c>
      <c r="H304" t="str">
        <f t="shared" si="9"/>
        <v>Other income</v>
      </c>
    </row>
    <row r="305" spans="1:8" x14ac:dyDescent="0.25">
      <c r="A305" t="s">
        <v>545</v>
      </c>
      <c r="B305" t="s">
        <v>88</v>
      </c>
      <c r="C305" s="67">
        <v>-58934</v>
      </c>
      <c r="D305" s="67">
        <v>-58934</v>
      </c>
      <c r="E305" s="67">
        <v>-62116.756415999997</v>
      </c>
      <c r="F305" s="67">
        <v>-65471.061262463998</v>
      </c>
      <c r="G305" t="str">
        <f t="shared" si="8"/>
        <v>3511</v>
      </c>
      <c r="H305" t="str">
        <f t="shared" si="9"/>
        <v>Other income</v>
      </c>
    </row>
    <row r="306" spans="1:8" x14ac:dyDescent="0.25">
      <c r="A306" t="s">
        <v>546</v>
      </c>
      <c r="B306" t="s">
        <v>150</v>
      </c>
      <c r="C306" s="67">
        <v>1017319</v>
      </c>
      <c r="D306" s="67">
        <v>1017319</v>
      </c>
      <c r="E306" s="67">
        <v>1088531.031684</v>
      </c>
      <c r="F306" s="67">
        <v>1164728.20390188</v>
      </c>
      <c r="G306" t="str">
        <f t="shared" si="8"/>
        <v>3511</v>
      </c>
      <c r="H306" t="str">
        <f t="shared" si="9"/>
        <v>Employee related costs</v>
      </c>
    </row>
    <row r="307" spans="1:8" x14ac:dyDescent="0.25">
      <c r="A307" t="s">
        <v>547</v>
      </c>
      <c r="B307" t="s">
        <v>151</v>
      </c>
      <c r="C307" s="67">
        <v>45594</v>
      </c>
      <c r="D307" s="67">
        <v>16934.18</v>
      </c>
      <c r="E307" s="67">
        <v>8401.39</v>
      </c>
      <c r="F307" s="67">
        <v>10833.849999999999</v>
      </c>
      <c r="G307" t="str">
        <f t="shared" si="8"/>
        <v>3511</v>
      </c>
      <c r="H307" t="str">
        <f t="shared" si="9"/>
        <v>Employee related costs</v>
      </c>
    </row>
    <row r="308" spans="1:8" x14ac:dyDescent="0.25">
      <c r="A308" t="s">
        <v>548</v>
      </c>
      <c r="B308" t="s">
        <v>152</v>
      </c>
      <c r="C308" s="67">
        <v>38100</v>
      </c>
      <c r="D308" s="67">
        <v>38100</v>
      </c>
      <c r="E308" s="67">
        <v>87001.443306999994</v>
      </c>
      <c r="F308" s="67">
        <v>93091.544338489999</v>
      </c>
      <c r="G308" t="str">
        <f t="shared" si="8"/>
        <v>3511</v>
      </c>
      <c r="H308" t="str">
        <f t="shared" si="9"/>
        <v>Employee related costs</v>
      </c>
    </row>
    <row r="309" spans="1:8" x14ac:dyDescent="0.25">
      <c r="A309" t="s">
        <v>549</v>
      </c>
      <c r="B309" t="s">
        <v>153</v>
      </c>
      <c r="C309" s="67">
        <v>10893</v>
      </c>
      <c r="D309" s="67">
        <v>10893</v>
      </c>
      <c r="E309" s="67">
        <v>40767</v>
      </c>
      <c r="F309" s="67">
        <v>43620.69</v>
      </c>
      <c r="G309" t="str">
        <f t="shared" si="8"/>
        <v>3511</v>
      </c>
      <c r="H309" t="str">
        <f t="shared" si="9"/>
        <v>Employee related costs</v>
      </c>
    </row>
    <row r="310" spans="1:8" x14ac:dyDescent="0.25">
      <c r="A310" t="s">
        <v>550</v>
      </c>
      <c r="B310" t="s">
        <v>155</v>
      </c>
      <c r="C310" s="67">
        <v>32378</v>
      </c>
      <c r="D310" s="67">
        <v>32378</v>
      </c>
      <c r="E310" s="67">
        <v>11655.766799999999</v>
      </c>
      <c r="F310" s="67">
        <v>12471.670475999999</v>
      </c>
      <c r="G310" t="str">
        <f t="shared" si="8"/>
        <v>3511</v>
      </c>
      <c r="H310" t="str">
        <f t="shared" si="9"/>
        <v>Employee related costs</v>
      </c>
    </row>
    <row r="311" spans="1:8" x14ac:dyDescent="0.25">
      <c r="A311" t="s">
        <v>551</v>
      </c>
      <c r="B311" t="s">
        <v>156</v>
      </c>
      <c r="C311" s="67">
        <v>243929</v>
      </c>
      <c r="D311" s="67">
        <v>243929</v>
      </c>
      <c r="E311" s="67">
        <v>34644.640796580825</v>
      </c>
      <c r="F311" s="67">
        <v>37069.765652341484</v>
      </c>
      <c r="G311" t="str">
        <f t="shared" si="8"/>
        <v>3511</v>
      </c>
      <c r="H311" t="str">
        <f t="shared" si="9"/>
        <v>Employee related costs</v>
      </c>
    </row>
    <row r="312" spans="1:8" x14ac:dyDescent="0.25">
      <c r="A312" t="s">
        <v>552</v>
      </c>
      <c r="B312" t="s">
        <v>158</v>
      </c>
      <c r="C312" s="67">
        <v>0</v>
      </c>
      <c r="D312" s="67">
        <v>0</v>
      </c>
      <c r="E312" s="67">
        <v>261004.32992100003</v>
      </c>
      <c r="F312" s="67">
        <v>279274.63301547006</v>
      </c>
      <c r="G312" t="str">
        <f t="shared" si="8"/>
        <v>3511</v>
      </c>
      <c r="H312" t="str">
        <f t="shared" si="9"/>
        <v>Employee related costs</v>
      </c>
    </row>
    <row r="313" spans="1:8" x14ac:dyDescent="0.25">
      <c r="A313" t="s">
        <v>553</v>
      </c>
      <c r="B313" t="s">
        <v>159</v>
      </c>
      <c r="C313" s="67">
        <v>81310</v>
      </c>
      <c r="D313" s="67">
        <v>81310</v>
      </c>
      <c r="E313" s="67">
        <v>0</v>
      </c>
      <c r="F313" s="67">
        <v>0</v>
      </c>
      <c r="G313" t="str">
        <f t="shared" si="8"/>
        <v>3511</v>
      </c>
      <c r="H313" t="str">
        <f t="shared" si="9"/>
        <v>Employee related costs</v>
      </c>
    </row>
    <row r="314" spans="1:8" x14ac:dyDescent="0.25">
      <c r="A314" t="s">
        <v>554</v>
      </c>
      <c r="B314" t="s">
        <v>164</v>
      </c>
      <c r="C314" s="67">
        <v>15692</v>
      </c>
      <c r="D314" s="67">
        <v>15692</v>
      </c>
      <c r="E314" s="67">
        <v>16790.867999999999</v>
      </c>
      <c r="F314" s="67">
        <v>17966.228759999998</v>
      </c>
      <c r="G314" t="str">
        <f t="shared" si="8"/>
        <v>3511</v>
      </c>
      <c r="H314" t="str">
        <f t="shared" si="9"/>
        <v>Employee related costs</v>
      </c>
    </row>
    <row r="315" spans="1:8" x14ac:dyDescent="0.25">
      <c r="A315" t="s">
        <v>555</v>
      </c>
      <c r="B315" t="s">
        <v>167</v>
      </c>
      <c r="C315" s="67">
        <v>225</v>
      </c>
      <c r="D315" s="67">
        <v>225</v>
      </c>
      <c r="E315" s="67">
        <v>240.42899999999997</v>
      </c>
      <c r="F315" s="67">
        <v>257.25903</v>
      </c>
      <c r="G315" t="str">
        <f t="shared" si="8"/>
        <v>3511</v>
      </c>
      <c r="H315" t="str">
        <f t="shared" si="9"/>
        <v>Employee related costs</v>
      </c>
    </row>
    <row r="316" spans="1:8" x14ac:dyDescent="0.25">
      <c r="A316" t="s">
        <v>556</v>
      </c>
      <c r="B316" t="s">
        <v>168</v>
      </c>
      <c r="C316" s="67">
        <v>107816</v>
      </c>
      <c r="D316" s="67">
        <v>107816</v>
      </c>
      <c r="E316" s="67">
        <v>115363.54800000001</v>
      </c>
      <c r="F316" s="67">
        <v>123438.99636</v>
      </c>
      <c r="G316" t="str">
        <f t="shared" si="8"/>
        <v>3511</v>
      </c>
      <c r="H316" t="str">
        <f t="shared" si="9"/>
        <v>Employee related costs</v>
      </c>
    </row>
    <row r="317" spans="1:8" x14ac:dyDescent="0.25">
      <c r="A317" t="s">
        <v>557</v>
      </c>
      <c r="B317" t="s">
        <v>169</v>
      </c>
      <c r="C317" s="67">
        <v>214658</v>
      </c>
      <c r="D317" s="67">
        <v>214658</v>
      </c>
      <c r="E317" s="67">
        <v>229683.81033047999</v>
      </c>
      <c r="F317" s="67">
        <v>245761.67705361359</v>
      </c>
      <c r="G317" t="str">
        <f t="shared" si="8"/>
        <v>3511</v>
      </c>
      <c r="H317" t="str">
        <f t="shared" si="9"/>
        <v>Employee related costs</v>
      </c>
    </row>
    <row r="318" spans="1:8" x14ac:dyDescent="0.25">
      <c r="A318" t="s">
        <v>558</v>
      </c>
      <c r="B318" t="s">
        <v>170</v>
      </c>
      <c r="C318" s="67">
        <v>5355</v>
      </c>
      <c r="D318" s="67">
        <v>5355</v>
      </c>
      <c r="E318" s="67">
        <v>5729.85</v>
      </c>
      <c r="F318" s="67">
        <v>6130.9395000000004</v>
      </c>
      <c r="G318" t="str">
        <f t="shared" si="8"/>
        <v>3511</v>
      </c>
      <c r="H318" t="str">
        <f t="shared" si="9"/>
        <v>Employee related costs</v>
      </c>
    </row>
    <row r="319" spans="1:8" x14ac:dyDescent="0.25">
      <c r="A319" t="s">
        <v>559</v>
      </c>
      <c r="B319" t="s">
        <v>173</v>
      </c>
      <c r="C319" s="67">
        <v>881</v>
      </c>
      <c r="D319" s="67">
        <v>881</v>
      </c>
      <c r="E319" s="67">
        <v>933.33</v>
      </c>
      <c r="F319" s="67">
        <v>998.66309999999999</v>
      </c>
      <c r="G319" t="str">
        <f t="shared" si="8"/>
        <v>3511</v>
      </c>
      <c r="H319" t="str">
        <f t="shared" si="9"/>
        <v>Employee related costs</v>
      </c>
    </row>
    <row r="320" spans="1:8" x14ac:dyDescent="0.25">
      <c r="A320" t="s">
        <v>560</v>
      </c>
      <c r="B320" t="s">
        <v>174</v>
      </c>
      <c r="C320" s="67">
        <v>275</v>
      </c>
      <c r="D320" s="67">
        <v>275</v>
      </c>
      <c r="E320" s="67">
        <v>290.97000000000003</v>
      </c>
      <c r="F320" s="67">
        <v>311.33790000000005</v>
      </c>
      <c r="G320" t="str">
        <f t="shared" si="8"/>
        <v>3511</v>
      </c>
      <c r="H320" t="str">
        <f t="shared" si="9"/>
        <v>Employee related costs</v>
      </c>
    </row>
    <row r="321" spans="1:8" x14ac:dyDescent="0.25">
      <c r="A321" t="s">
        <v>561</v>
      </c>
      <c r="B321" t="s">
        <v>175</v>
      </c>
      <c r="C321" s="67">
        <v>10931</v>
      </c>
      <c r="D321" s="67">
        <v>10931</v>
      </c>
      <c r="E321" s="67">
        <v>11586.33</v>
      </c>
      <c r="F321" s="67">
        <v>12397.373100000001</v>
      </c>
      <c r="G321" t="str">
        <f t="shared" si="8"/>
        <v>3511</v>
      </c>
      <c r="H321" t="str">
        <f t="shared" si="9"/>
        <v>Employee related costs</v>
      </c>
    </row>
    <row r="322" spans="1:8" x14ac:dyDescent="0.25">
      <c r="A322" t="s">
        <v>562</v>
      </c>
      <c r="B322" t="s">
        <v>265</v>
      </c>
      <c r="C322" s="67">
        <v>0</v>
      </c>
      <c r="D322" s="67">
        <v>20000</v>
      </c>
      <c r="E322" s="67">
        <v>0</v>
      </c>
      <c r="F322" s="67">
        <v>0</v>
      </c>
      <c r="G322" t="str">
        <f t="shared" ref="G322:G385" si="10">VLOOKUP(A322,s,2,FALSE)</f>
        <v>3511</v>
      </c>
      <c r="H322" t="str">
        <f t="shared" ref="H322:H385" si="11">VLOOKUP(A322,s,3,FALSE)</f>
        <v>General expenses</v>
      </c>
    </row>
    <row r="323" spans="1:8" x14ac:dyDescent="0.25">
      <c r="A323" t="s">
        <v>563</v>
      </c>
      <c r="B323" t="s">
        <v>268</v>
      </c>
      <c r="C323" s="67">
        <v>0</v>
      </c>
      <c r="D323" s="67">
        <v>120000</v>
      </c>
      <c r="E323" s="67">
        <v>0</v>
      </c>
      <c r="F323" s="67">
        <v>0</v>
      </c>
      <c r="G323" t="str">
        <f t="shared" si="10"/>
        <v>3511</v>
      </c>
      <c r="H323" t="str">
        <f t="shared" si="11"/>
        <v>General expenses</v>
      </c>
    </row>
    <row r="324" spans="1:8" x14ac:dyDescent="0.25">
      <c r="A324" t="s">
        <v>564</v>
      </c>
      <c r="B324" t="s">
        <v>291</v>
      </c>
      <c r="C324" s="67">
        <v>4770</v>
      </c>
      <c r="D324" s="67">
        <v>0</v>
      </c>
      <c r="E324" s="67">
        <v>0</v>
      </c>
      <c r="F324" s="67">
        <v>0</v>
      </c>
      <c r="G324" t="str">
        <f t="shared" si="10"/>
        <v>3511</v>
      </c>
      <c r="H324" t="str">
        <f t="shared" si="11"/>
        <v>Depreciation and amortisation</v>
      </c>
    </row>
    <row r="325" spans="1:8" x14ac:dyDescent="0.25">
      <c r="A325" t="s">
        <v>565</v>
      </c>
      <c r="B325" t="s">
        <v>292</v>
      </c>
      <c r="C325" s="67">
        <v>4770</v>
      </c>
      <c r="D325" s="67">
        <v>4770</v>
      </c>
      <c r="E325" s="67">
        <v>5485.5</v>
      </c>
      <c r="F325" s="67">
        <v>6308.3249999999998</v>
      </c>
      <c r="G325" t="str">
        <f t="shared" si="10"/>
        <v>3511</v>
      </c>
      <c r="H325" t="str">
        <f t="shared" si="11"/>
        <v>Depreciation and amortisation</v>
      </c>
    </row>
    <row r="326" spans="1:8" x14ac:dyDescent="0.25">
      <c r="A326" t="s">
        <v>566</v>
      </c>
      <c r="B326" t="s">
        <v>293</v>
      </c>
      <c r="C326" s="67">
        <v>19904</v>
      </c>
      <c r="D326" s="67">
        <v>19904</v>
      </c>
      <c r="E326" s="67">
        <v>22889.599999999999</v>
      </c>
      <c r="F326" s="67">
        <v>26323.039999999997</v>
      </c>
      <c r="G326" t="str">
        <f t="shared" si="10"/>
        <v>3511</v>
      </c>
      <c r="H326" t="str">
        <f t="shared" si="11"/>
        <v>Depreciation and amortisation</v>
      </c>
    </row>
    <row r="327" spans="1:8" x14ac:dyDescent="0.25">
      <c r="A327" t="s">
        <v>567</v>
      </c>
      <c r="B327" t="s">
        <v>297</v>
      </c>
      <c r="C327" s="67">
        <v>0</v>
      </c>
      <c r="D327" s="67">
        <v>0</v>
      </c>
      <c r="E327" s="67">
        <v>0</v>
      </c>
      <c r="F327" s="67">
        <v>0</v>
      </c>
      <c r="G327" t="str">
        <f t="shared" si="10"/>
        <v>3511</v>
      </c>
      <c r="H327" t="str">
        <f t="shared" si="11"/>
        <v>Depreciation and amortisation</v>
      </c>
    </row>
    <row r="328" spans="1:8" x14ac:dyDescent="0.25">
      <c r="A328" t="s">
        <v>1526</v>
      </c>
      <c r="B328" t="s">
        <v>1404</v>
      </c>
      <c r="C328" s="67">
        <v>13254500</v>
      </c>
      <c r="D328" s="67">
        <v>5639270</v>
      </c>
      <c r="E328" s="67">
        <v>13954844.860964941</v>
      </c>
      <c r="F328" s="67">
        <v>6010694.326594661</v>
      </c>
      <c r="G328" t="str">
        <f t="shared" si="10"/>
        <v>3511</v>
      </c>
      <c r="H328" t="str">
        <f t="shared" si="11"/>
        <v>Accumulated surplus</v>
      </c>
    </row>
    <row r="329" spans="1:8" x14ac:dyDescent="0.25">
      <c r="A329" t="s">
        <v>1527</v>
      </c>
      <c r="B329" t="s">
        <v>1406</v>
      </c>
      <c r="C329" s="67">
        <v>390711</v>
      </c>
      <c r="D329" s="67">
        <v>390711.8</v>
      </c>
      <c r="E329" s="67">
        <v>390711.8</v>
      </c>
      <c r="F329" s="67">
        <v>390711.8</v>
      </c>
      <c r="G329" t="str">
        <f t="shared" si="10"/>
        <v>3511</v>
      </c>
      <c r="H329" t="str">
        <f t="shared" si="11"/>
        <v>Non-Current Assets (Cost)</v>
      </c>
    </row>
    <row r="330" spans="1:8" x14ac:dyDescent="0.25">
      <c r="A330" t="s">
        <v>1528</v>
      </c>
      <c r="B330" t="s">
        <v>1408</v>
      </c>
      <c r="C330" s="67">
        <v>-311634</v>
      </c>
      <c r="D330" s="67">
        <v>-299685.15999999997</v>
      </c>
      <c r="E330" s="67">
        <v>-303056.15999999997</v>
      </c>
      <c r="F330" s="67">
        <v>-303056.15999999997</v>
      </c>
      <c r="G330" t="str">
        <f t="shared" si="10"/>
        <v>3511</v>
      </c>
      <c r="H330" t="str">
        <f t="shared" si="11"/>
        <v>Non-Current Assets (Acc Depreciation)</v>
      </c>
    </row>
    <row r="331" spans="1:8" x14ac:dyDescent="0.25">
      <c r="A331" t="s">
        <v>1529</v>
      </c>
      <c r="B331" t="s">
        <v>1410</v>
      </c>
      <c r="C331" s="67">
        <v>-3371</v>
      </c>
      <c r="D331" s="67">
        <v>-3371</v>
      </c>
      <c r="E331" s="67">
        <v>0</v>
      </c>
      <c r="F331" s="67">
        <v>0</v>
      </c>
      <c r="G331" t="str">
        <f t="shared" si="10"/>
        <v>3511</v>
      </c>
      <c r="H331" t="str">
        <f t="shared" si="11"/>
        <v>Non-Current Assets (Acc Depreciation)</v>
      </c>
    </row>
    <row r="332" spans="1:8" x14ac:dyDescent="0.25">
      <c r="A332" t="s">
        <v>1530</v>
      </c>
      <c r="B332" t="s">
        <v>1428</v>
      </c>
      <c r="C332" s="67">
        <v>82956</v>
      </c>
      <c r="D332" s="67">
        <v>77397.89</v>
      </c>
      <c r="E332" s="67">
        <v>77397.89</v>
      </c>
      <c r="F332" s="67">
        <v>77397.89</v>
      </c>
      <c r="G332" t="str">
        <f t="shared" si="10"/>
        <v>3511</v>
      </c>
      <c r="H332" t="str">
        <f t="shared" si="11"/>
        <v>Non-Current Assets (Cost)</v>
      </c>
    </row>
    <row r="333" spans="1:8" x14ac:dyDescent="0.25">
      <c r="A333" t="s">
        <v>1531</v>
      </c>
      <c r="B333" t="s">
        <v>1430</v>
      </c>
      <c r="C333" s="67">
        <v>-58244</v>
      </c>
      <c r="D333" s="67">
        <v>-42301.740000000005</v>
      </c>
      <c r="E333" s="67">
        <v>-62205.740000000005</v>
      </c>
      <c r="F333" s="67">
        <v>-85095.34</v>
      </c>
      <c r="G333" t="str">
        <f t="shared" si="10"/>
        <v>3511</v>
      </c>
      <c r="H333" t="str">
        <f t="shared" si="11"/>
        <v>Non-Current Assets (Acc Depreciation)</v>
      </c>
    </row>
    <row r="334" spans="1:8" x14ac:dyDescent="0.25">
      <c r="A334" t="s">
        <v>1532</v>
      </c>
      <c r="B334" t="s">
        <v>1432</v>
      </c>
      <c r="C334" s="67">
        <v>-14066</v>
      </c>
      <c r="D334" s="67">
        <v>-19904</v>
      </c>
      <c r="E334" s="67">
        <v>-22889.599999999999</v>
      </c>
      <c r="F334" s="67">
        <v>-26323.039999999997</v>
      </c>
      <c r="G334" t="str">
        <f t="shared" si="10"/>
        <v>3511</v>
      </c>
      <c r="H334" t="str">
        <f t="shared" si="11"/>
        <v>Non-Current Assets (Depreciation)</v>
      </c>
    </row>
    <row r="335" spans="1:8" x14ac:dyDescent="0.25">
      <c r="A335" t="s">
        <v>1533</v>
      </c>
      <c r="B335" t="s">
        <v>1434</v>
      </c>
      <c r="C335" s="67">
        <v>75574</v>
      </c>
      <c r="D335" s="67">
        <v>53560.84</v>
      </c>
      <c r="E335" s="67">
        <v>53560.84</v>
      </c>
      <c r="F335" s="67">
        <v>53560.84</v>
      </c>
      <c r="G335" t="str">
        <f t="shared" si="10"/>
        <v>3511</v>
      </c>
      <c r="H335" t="str">
        <f t="shared" si="11"/>
        <v>Non-Current Assets (Cost)</v>
      </c>
    </row>
    <row r="336" spans="1:8" x14ac:dyDescent="0.25">
      <c r="A336" t="s">
        <v>1534</v>
      </c>
      <c r="B336" t="s">
        <v>1436</v>
      </c>
      <c r="C336" s="67">
        <v>-57121</v>
      </c>
      <c r="D336" s="67">
        <v>-40297.409999999989</v>
      </c>
      <c r="E336" s="67">
        <v>-45067.409999999989</v>
      </c>
      <c r="F336" s="67">
        <v>-50552.909999999989</v>
      </c>
      <c r="G336" t="str">
        <f t="shared" si="10"/>
        <v>3511</v>
      </c>
      <c r="H336" t="str">
        <f t="shared" si="11"/>
        <v>Non-Current Assets (Acc Depreciation)</v>
      </c>
    </row>
    <row r="337" spans="1:8" x14ac:dyDescent="0.25">
      <c r="A337" t="s">
        <v>1535</v>
      </c>
      <c r="B337" t="s">
        <v>1438</v>
      </c>
      <c r="C337" s="67">
        <v>-3180</v>
      </c>
      <c r="D337" s="67">
        <v>-4770</v>
      </c>
      <c r="E337" s="67">
        <v>-5485.5</v>
      </c>
      <c r="F337" s="67">
        <v>-6308.3249999999998</v>
      </c>
      <c r="G337" t="str">
        <f t="shared" si="10"/>
        <v>3511</v>
      </c>
      <c r="H337" t="str">
        <f t="shared" si="11"/>
        <v>Non-Current Assets (Depreciation)</v>
      </c>
    </row>
    <row r="338" spans="1:8" x14ac:dyDescent="0.25">
      <c r="A338" t="s">
        <v>1536</v>
      </c>
      <c r="B338" t="s">
        <v>1460</v>
      </c>
      <c r="C338" s="67">
        <v>-73156</v>
      </c>
      <c r="D338" s="67">
        <v>-73156</v>
      </c>
      <c r="E338" s="67">
        <v>-80471.600000000006</v>
      </c>
      <c r="F338" s="67">
        <v>-88518.760000000009</v>
      </c>
      <c r="G338" t="str">
        <f t="shared" si="10"/>
        <v>3511</v>
      </c>
      <c r="H338" t="str">
        <f t="shared" si="11"/>
        <v>Current Employee Benefits</v>
      </c>
    </row>
    <row r="339" spans="1:8" x14ac:dyDescent="0.25">
      <c r="A339" t="s">
        <v>1537</v>
      </c>
      <c r="B339" t="s">
        <v>1462</v>
      </c>
      <c r="C339" s="67">
        <v>-84060</v>
      </c>
      <c r="D339" s="67">
        <v>3060279.87</v>
      </c>
      <c r="E339" s="67">
        <v>-2578990.13</v>
      </c>
      <c r="F339" s="67">
        <v>-16533834.990964942</v>
      </c>
      <c r="G339" t="str">
        <f t="shared" si="10"/>
        <v>3511</v>
      </c>
      <c r="H339" t="str">
        <f t="shared" si="11"/>
        <v>Reserves</v>
      </c>
    </row>
    <row r="340" spans="1:8" x14ac:dyDescent="0.25">
      <c r="A340" t="s">
        <v>1538</v>
      </c>
      <c r="B340" t="s">
        <v>1464</v>
      </c>
      <c r="C340" s="67">
        <v>-13254500</v>
      </c>
      <c r="D340" s="67">
        <v>-5639270</v>
      </c>
      <c r="E340" s="67">
        <v>-13954844.860964941</v>
      </c>
      <c r="F340" s="67">
        <v>-6010694.326594661</v>
      </c>
      <c r="G340" t="str">
        <f t="shared" si="10"/>
        <v>3511</v>
      </c>
      <c r="H340" t="str">
        <f t="shared" si="11"/>
        <v>Reserves</v>
      </c>
    </row>
    <row r="341" spans="1:8" x14ac:dyDescent="0.25">
      <c r="A341" t="s">
        <v>569</v>
      </c>
      <c r="B341" t="s">
        <v>150</v>
      </c>
      <c r="C341" s="67">
        <v>210622</v>
      </c>
      <c r="D341" s="67">
        <v>210622</v>
      </c>
      <c r="E341" s="67">
        <v>225365.367516</v>
      </c>
      <c r="F341" s="67">
        <v>241140.94324212</v>
      </c>
      <c r="G341" t="str">
        <f t="shared" si="10"/>
        <v>3512</v>
      </c>
      <c r="H341" t="str">
        <f t="shared" si="11"/>
        <v>Employee related costs</v>
      </c>
    </row>
    <row r="342" spans="1:8" x14ac:dyDescent="0.25">
      <c r="A342" t="s">
        <v>570</v>
      </c>
      <c r="B342" t="s">
        <v>151</v>
      </c>
      <c r="C342" s="67">
        <v>9842</v>
      </c>
      <c r="D342" s="67">
        <v>9842</v>
      </c>
      <c r="E342" s="67">
        <v>10531.09194</v>
      </c>
      <c r="F342" s="67">
        <v>11268.2683758</v>
      </c>
      <c r="G342" t="str">
        <f t="shared" si="10"/>
        <v>3512</v>
      </c>
      <c r="H342" t="str">
        <f t="shared" si="11"/>
        <v>Employee related costs</v>
      </c>
    </row>
    <row r="343" spans="1:8" x14ac:dyDescent="0.25">
      <c r="A343" t="s">
        <v>571</v>
      </c>
      <c r="B343" t="s">
        <v>153</v>
      </c>
      <c r="C343" s="67">
        <v>10893</v>
      </c>
      <c r="D343" s="67">
        <v>10893</v>
      </c>
      <c r="E343" s="67">
        <v>18780.447292999997</v>
      </c>
      <c r="F343" s="67">
        <v>20095.078603509995</v>
      </c>
      <c r="G343" t="str">
        <f t="shared" si="10"/>
        <v>3512</v>
      </c>
      <c r="H343" t="str">
        <f t="shared" si="11"/>
        <v>Employee related costs</v>
      </c>
    </row>
    <row r="344" spans="1:8" x14ac:dyDescent="0.25">
      <c r="A344" t="s">
        <v>572</v>
      </c>
      <c r="B344" t="s">
        <v>155</v>
      </c>
      <c r="C344" s="67">
        <v>6989</v>
      </c>
      <c r="D344" s="67">
        <v>6989</v>
      </c>
      <c r="E344" s="67">
        <v>11655.766799999999</v>
      </c>
      <c r="F344" s="67">
        <v>12471.670475999999</v>
      </c>
      <c r="G344" t="str">
        <f t="shared" si="10"/>
        <v>3512</v>
      </c>
      <c r="H344" t="str">
        <f t="shared" si="11"/>
        <v>Employee related costs</v>
      </c>
    </row>
    <row r="345" spans="1:8" x14ac:dyDescent="0.25">
      <c r="A345" t="s">
        <v>573</v>
      </c>
      <c r="B345" t="s">
        <v>157</v>
      </c>
      <c r="C345" s="67">
        <v>7374</v>
      </c>
      <c r="D345" s="67">
        <v>7374</v>
      </c>
      <c r="E345" s="67">
        <v>7478.5178927342458</v>
      </c>
      <c r="F345" s="67">
        <v>8002.014145225643</v>
      </c>
      <c r="G345" t="str">
        <f t="shared" si="10"/>
        <v>3512</v>
      </c>
      <c r="H345" t="str">
        <f t="shared" si="11"/>
        <v>Employee related costs</v>
      </c>
    </row>
    <row r="346" spans="1:8" x14ac:dyDescent="0.25">
      <c r="A346" t="s">
        <v>574</v>
      </c>
      <c r="B346" t="s">
        <v>159</v>
      </c>
      <c r="C346" s="67">
        <v>17552</v>
      </c>
      <c r="D346" s="67">
        <v>17552</v>
      </c>
      <c r="E346" s="67">
        <v>7890.4367999999995</v>
      </c>
      <c r="F346" s="67">
        <v>8442.7673759999998</v>
      </c>
      <c r="G346" t="str">
        <f t="shared" si="10"/>
        <v>3512</v>
      </c>
      <c r="H346" t="str">
        <f t="shared" si="11"/>
        <v>Employee related costs</v>
      </c>
    </row>
    <row r="347" spans="1:8" x14ac:dyDescent="0.25">
      <c r="A347" t="s">
        <v>575</v>
      </c>
      <c r="B347" t="s">
        <v>167</v>
      </c>
      <c r="C347" s="67">
        <v>112</v>
      </c>
      <c r="D347" s="67">
        <v>112</v>
      </c>
      <c r="E347" s="67">
        <v>120.21449999999999</v>
      </c>
      <c r="F347" s="67">
        <v>128.629515</v>
      </c>
      <c r="G347" t="str">
        <f t="shared" si="10"/>
        <v>3512</v>
      </c>
      <c r="H347" t="str">
        <f t="shared" si="11"/>
        <v>Employee related costs</v>
      </c>
    </row>
    <row r="348" spans="1:8" x14ac:dyDescent="0.25">
      <c r="A348" t="s">
        <v>576</v>
      </c>
      <c r="B348" t="s">
        <v>168</v>
      </c>
      <c r="C348" s="67">
        <v>53908</v>
      </c>
      <c r="D348" s="67">
        <v>53908</v>
      </c>
      <c r="E348" s="67">
        <v>57681.774000000005</v>
      </c>
      <c r="F348" s="67">
        <v>61719.498180000002</v>
      </c>
      <c r="G348" t="str">
        <f t="shared" si="10"/>
        <v>3512</v>
      </c>
      <c r="H348" t="str">
        <f t="shared" si="11"/>
        <v>Employee related costs</v>
      </c>
    </row>
    <row r="349" spans="1:8" x14ac:dyDescent="0.25">
      <c r="A349" t="s">
        <v>577</v>
      </c>
      <c r="B349" t="s">
        <v>169</v>
      </c>
      <c r="C349" s="67">
        <v>46337</v>
      </c>
      <c r="D349" s="67">
        <v>46337</v>
      </c>
      <c r="E349" s="67">
        <v>49580.380853519993</v>
      </c>
      <c r="F349" s="67">
        <v>53051.007513266391</v>
      </c>
      <c r="G349" t="str">
        <f t="shared" si="10"/>
        <v>3512</v>
      </c>
      <c r="H349" t="str">
        <f t="shared" si="11"/>
        <v>Employee related costs</v>
      </c>
    </row>
    <row r="350" spans="1:8" x14ac:dyDescent="0.25">
      <c r="A350" t="s">
        <v>578</v>
      </c>
      <c r="B350" t="s">
        <v>170</v>
      </c>
      <c r="C350" s="67">
        <v>1785</v>
      </c>
      <c r="D350" s="67">
        <v>1785</v>
      </c>
      <c r="E350" s="67">
        <v>1909.95</v>
      </c>
      <c r="F350" s="67">
        <v>2043.6465000000001</v>
      </c>
      <c r="G350" t="str">
        <f t="shared" si="10"/>
        <v>3512</v>
      </c>
      <c r="H350" t="str">
        <f t="shared" si="11"/>
        <v>Employee related costs</v>
      </c>
    </row>
    <row r="351" spans="1:8" x14ac:dyDescent="0.25">
      <c r="A351" t="s">
        <v>579</v>
      </c>
      <c r="B351" t="s">
        <v>173</v>
      </c>
      <c r="C351" s="67">
        <v>312</v>
      </c>
      <c r="D351" s="67">
        <v>312</v>
      </c>
      <c r="E351" s="67">
        <v>330.72</v>
      </c>
      <c r="F351" s="67">
        <v>353.87040000000002</v>
      </c>
      <c r="G351" t="str">
        <f t="shared" si="10"/>
        <v>3512</v>
      </c>
      <c r="H351" t="str">
        <f t="shared" si="11"/>
        <v>Employee related costs</v>
      </c>
    </row>
    <row r="352" spans="1:8" x14ac:dyDescent="0.25">
      <c r="A352" t="s">
        <v>580</v>
      </c>
      <c r="B352" t="s">
        <v>174</v>
      </c>
      <c r="C352" s="67">
        <v>113</v>
      </c>
      <c r="D352" s="67">
        <v>113</v>
      </c>
      <c r="E352" s="67">
        <v>119.25</v>
      </c>
      <c r="F352" s="67">
        <v>127.5975</v>
      </c>
      <c r="G352" t="str">
        <f t="shared" si="10"/>
        <v>3512</v>
      </c>
      <c r="H352" t="str">
        <f t="shared" si="11"/>
        <v>Employee related costs</v>
      </c>
    </row>
    <row r="353" spans="1:8" x14ac:dyDescent="0.25">
      <c r="A353" t="s">
        <v>581</v>
      </c>
      <c r="B353" t="s">
        <v>175</v>
      </c>
      <c r="C353" s="67">
        <v>944</v>
      </c>
      <c r="D353" s="67">
        <v>944</v>
      </c>
      <c r="E353" s="67">
        <v>1000.11</v>
      </c>
      <c r="F353" s="67">
        <v>1070.1177</v>
      </c>
      <c r="G353" t="str">
        <f t="shared" si="10"/>
        <v>3512</v>
      </c>
      <c r="H353" t="str">
        <f t="shared" si="11"/>
        <v>Employee related costs</v>
      </c>
    </row>
    <row r="354" spans="1:8" x14ac:dyDescent="0.25">
      <c r="A354" t="s">
        <v>1539</v>
      </c>
      <c r="B354" t="s">
        <v>1404</v>
      </c>
      <c r="C354" s="67">
        <v>-366783</v>
      </c>
      <c r="D354" s="67">
        <v>-366783</v>
      </c>
      <c r="E354" s="67">
        <v>-392444.0275952543</v>
      </c>
      <c r="F354" s="67">
        <v>-419915.10952692199</v>
      </c>
      <c r="G354" t="str">
        <f t="shared" si="10"/>
        <v>3512</v>
      </c>
      <c r="H354" t="str">
        <f t="shared" si="11"/>
        <v>Accumulated surplus</v>
      </c>
    </row>
    <row r="355" spans="1:8" x14ac:dyDescent="0.25">
      <c r="A355" t="s">
        <v>1540</v>
      </c>
      <c r="B355" t="s">
        <v>1462</v>
      </c>
      <c r="C355" s="67">
        <v>0</v>
      </c>
      <c r="D355" s="67">
        <v>271430.45</v>
      </c>
      <c r="E355" s="67">
        <v>638213.44999999995</v>
      </c>
      <c r="F355" s="67">
        <v>1030657.4775952543</v>
      </c>
      <c r="G355" t="str">
        <f t="shared" si="10"/>
        <v>3512</v>
      </c>
      <c r="H355" t="str">
        <f t="shared" si="11"/>
        <v>Reserves</v>
      </c>
    </row>
    <row r="356" spans="1:8" x14ac:dyDescent="0.25">
      <c r="A356" t="s">
        <v>1541</v>
      </c>
      <c r="B356" t="s">
        <v>1464</v>
      </c>
      <c r="C356" s="67">
        <v>366783</v>
      </c>
      <c r="D356" s="67">
        <v>366783</v>
      </c>
      <c r="E356" s="67">
        <v>392444.0275952543</v>
      </c>
      <c r="F356" s="67">
        <v>419915.10952692199</v>
      </c>
      <c r="G356" t="str">
        <f t="shared" si="10"/>
        <v>3512</v>
      </c>
      <c r="H356" t="str">
        <f t="shared" si="11"/>
        <v>Reserves</v>
      </c>
    </row>
    <row r="357" spans="1:8" x14ac:dyDescent="0.25">
      <c r="A357" t="s">
        <v>583</v>
      </c>
      <c r="B357" t="s">
        <v>100</v>
      </c>
      <c r="C357" s="67">
        <v>891108</v>
      </c>
      <c r="D357" s="67">
        <v>891108</v>
      </c>
      <c r="E357" s="67">
        <v>953485.56</v>
      </c>
      <c r="F357" s="67">
        <v>1020229.5492</v>
      </c>
      <c r="G357" t="str">
        <f t="shared" si="10"/>
        <v>4005</v>
      </c>
      <c r="H357" t="str">
        <f t="shared" si="11"/>
        <v>Employee related costs</v>
      </c>
    </row>
    <row r="358" spans="1:8" x14ac:dyDescent="0.25">
      <c r="A358" t="s">
        <v>584</v>
      </c>
      <c r="B358" t="s">
        <v>101</v>
      </c>
      <c r="C358" s="67">
        <v>44555</v>
      </c>
      <c r="D358" s="67">
        <v>44555</v>
      </c>
      <c r="E358" s="67">
        <v>47674.277999999998</v>
      </c>
      <c r="F358" s="67">
        <v>51011.477459999995</v>
      </c>
      <c r="G358" t="str">
        <f t="shared" si="10"/>
        <v>4005</v>
      </c>
      <c r="H358" t="str">
        <f t="shared" si="11"/>
        <v>Employee related costs</v>
      </c>
    </row>
    <row r="359" spans="1:8" x14ac:dyDescent="0.25">
      <c r="A359" t="s">
        <v>585</v>
      </c>
      <c r="B359" t="s">
        <v>102</v>
      </c>
      <c r="C359" s="67">
        <v>40000</v>
      </c>
      <c r="D359" s="67">
        <v>40000</v>
      </c>
      <c r="E359" s="67">
        <v>47520.84</v>
      </c>
      <c r="F359" s="67">
        <v>50847.298799999997</v>
      </c>
      <c r="G359" t="str">
        <f t="shared" si="10"/>
        <v>4005</v>
      </c>
      <c r="H359" t="str">
        <f t="shared" si="11"/>
        <v>Employee related costs</v>
      </c>
    </row>
    <row r="360" spans="1:8" x14ac:dyDescent="0.25">
      <c r="A360" t="s">
        <v>586</v>
      </c>
      <c r="B360" t="s">
        <v>103</v>
      </c>
      <c r="C360" s="67">
        <v>253608</v>
      </c>
      <c r="D360" s="67">
        <v>253608</v>
      </c>
      <c r="E360" s="67">
        <v>18194.28</v>
      </c>
      <c r="F360" s="67">
        <v>19467.8796</v>
      </c>
      <c r="G360" t="str">
        <f t="shared" si="10"/>
        <v>4005</v>
      </c>
      <c r="H360" t="str">
        <f t="shared" si="11"/>
        <v>Employee related costs</v>
      </c>
    </row>
    <row r="361" spans="1:8" x14ac:dyDescent="0.25">
      <c r="A361" t="s">
        <v>587</v>
      </c>
      <c r="B361" t="s">
        <v>104</v>
      </c>
      <c r="C361" s="67">
        <v>31385</v>
      </c>
      <c r="D361" s="67">
        <v>31385</v>
      </c>
      <c r="E361" s="67">
        <v>42799.957199999997</v>
      </c>
      <c r="F361" s="67">
        <v>45795.954203999994</v>
      </c>
      <c r="G361" t="str">
        <f t="shared" si="10"/>
        <v>4005</v>
      </c>
      <c r="H361" t="str">
        <f t="shared" si="11"/>
        <v>Employee related costs</v>
      </c>
    </row>
    <row r="362" spans="1:8" x14ac:dyDescent="0.25">
      <c r="A362" t="s">
        <v>588</v>
      </c>
      <c r="B362" t="s">
        <v>105</v>
      </c>
      <c r="C362" s="67">
        <v>17004</v>
      </c>
      <c r="D362" s="67">
        <v>17004</v>
      </c>
      <c r="E362" s="67">
        <v>271360.56</v>
      </c>
      <c r="F362" s="67">
        <v>290355.79920000001</v>
      </c>
      <c r="G362" t="str">
        <f t="shared" si="10"/>
        <v>4005</v>
      </c>
      <c r="H362" t="str">
        <f t="shared" si="11"/>
        <v>Employee related costs</v>
      </c>
    </row>
    <row r="363" spans="1:8" x14ac:dyDescent="0.25">
      <c r="A363" t="s">
        <v>589</v>
      </c>
      <c r="B363" t="s">
        <v>150</v>
      </c>
      <c r="C363" s="67">
        <v>1773819</v>
      </c>
      <c r="D363" s="67">
        <v>1773819</v>
      </c>
      <c r="E363" s="67">
        <v>1880248.1781600001</v>
      </c>
      <c r="F363" s="67">
        <v>2011865.5506312002</v>
      </c>
      <c r="G363" t="str">
        <f t="shared" si="10"/>
        <v>4005</v>
      </c>
      <c r="H363" t="str">
        <f t="shared" si="11"/>
        <v>Employee related costs</v>
      </c>
    </row>
    <row r="364" spans="1:8" x14ac:dyDescent="0.25">
      <c r="A364" t="s">
        <v>590</v>
      </c>
      <c r="B364" t="s">
        <v>151</v>
      </c>
      <c r="C364" s="67">
        <v>88691</v>
      </c>
      <c r="D364" s="67">
        <v>25401.270000000004</v>
      </c>
      <c r="E364" s="67">
        <v>16868.480000000003</v>
      </c>
      <c r="F364" s="67">
        <v>19300.940000000002</v>
      </c>
      <c r="G364" t="str">
        <f t="shared" si="10"/>
        <v>4005</v>
      </c>
      <c r="H364" t="str">
        <f t="shared" si="11"/>
        <v>Employee related costs</v>
      </c>
    </row>
    <row r="365" spans="1:8" x14ac:dyDescent="0.25">
      <c r="A365" t="s">
        <v>591</v>
      </c>
      <c r="B365" t="s">
        <v>152</v>
      </c>
      <c r="C365" s="67">
        <v>62100</v>
      </c>
      <c r="D365" s="67">
        <v>62100</v>
      </c>
      <c r="E365" s="67">
        <v>156687.34818</v>
      </c>
      <c r="F365" s="67">
        <v>167655.46255260002</v>
      </c>
      <c r="G365" t="str">
        <f t="shared" si="10"/>
        <v>4005</v>
      </c>
      <c r="H365" t="str">
        <f t="shared" si="11"/>
        <v>Employee related costs</v>
      </c>
    </row>
    <row r="366" spans="1:8" x14ac:dyDescent="0.25">
      <c r="A366" t="s">
        <v>592</v>
      </c>
      <c r="B366" t="s">
        <v>153</v>
      </c>
      <c r="C366" s="67">
        <v>21786</v>
      </c>
      <c r="D366" s="67">
        <v>21786</v>
      </c>
      <c r="E366" s="67">
        <v>65826</v>
      </c>
      <c r="F366" s="67">
        <v>70433.820000000007</v>
      </c>
      <c r="G366" t="str">
        <f t="shared" si="10"/>
        <v>4005</v>
      </c>
      <c r="H366" t="str">
        <f t="shared" si="11"/>
        <v>Employee related costs</v>
      </c>
    </row>
    <row r="367" spans="1:8" x14ac:dyDescent="0.25">
      <c r="A367" t="s">
        <v>593</v>
      </c>
      <c r="B367" t="s">
        <v>155</v>
      </c>
      <c r="C367" s="67">
        <v>58863</v>
      </c>
      <c r="D367" s="67">
        <v>58863</v>
      </c>
      <c r="E367" s="67">
        <v>23093.668799999999</v>
      </c>
      <c r="F367" s="67">
        <v>24710.225616</v>
      </c>
      <c r="G367" t="str">
        <f t="shared" si="10"/>
        <v>4005</v>
      </c>
      <c r="H367" t="str">
        <f t="shared" si="11"/>
        <v>Employee related costs</v>
      </c>
    </row>
    <row r="368" spans="1:8" x14ac:dyDescent="0.25">
      <c r="A368" t="s">
        <v>594</v>
      </c>
      <c r="B368" t="s">
        <v>156</v>
      </c>
      <c r="C368" s="67">
        <v>443455</v>
      </c>
      <c r="D368" s="67">
        <v>443455</v>
      </c>
      <c r="E368" s="67">
        <v>62394.493078619176</v>
      </c>
      <c r="F368" s="67">
        <v>66762.107594122514</v>
      </c>
      <c r="G368" t="str">
        <f t="shared" si="10"/>
        <v>4005</v>
      </c>
      <c r="H368" t="str">
        <f t="shared" si="11"/>
        <v>Employee related costs</v>
      </c>
    </row>
    <row r="369" spans="1:8" x14ac:dyDescent="0.25">
      <c r="A369" t="s">
        <v>595</v>
      </c>
      <c r="B369" t="s">
        <v>158</v>
      </c>
      <c r="C369" s="67">
        <v>35475</v>
      </c>
      <c r="D369" s="67">
        <v>0</v>
      </c>
      <c r="E369" s="67">
        <v>470062.04454000003</v>
      </c>
      <c r="F369" s="67">
        <v>502966.38765780005</v>
      </c>
      <c r="G369" t="str">
        <f t="shared" si="10"/>
        <v>4005</v>
      </c>
      <c r="H369" t="str">
        <f t="shared" si="11"/>
        <v>Employee related costs</v>
      </c>
    </row>
    <row r="370" spans="1:8" x14ac:dyDescent="0.25">
      <c r="A370" t="s">
        <v>596</v>
      </c>
      <c r="B370" t="s">
        <v>159</v>
      </c>
      <c r="C370" s="67">
        <v>147818</v>
      </c>
      <c r="D370" s="67">
        <v>147818</v>
      </c>
      <c r="E370" s="67">
        <v>37603.991780640004</v>
      </c>
      <c r="F370" s="67">
        <v>40236.271205284807</v>
      </c>
      <c r="G370" t="str">
        <f t="shared" si="10"/>
        <v>4005</v>
      </c>
      <c r="H370" t="str">
        <f t="shared" si="11"/>
        <v>Employee related costs</v>
      </c>
    </row>
    <row r="371" spans="1:8" x14ac:dyDescent="0.25">
      <c r="A371" t="s">
        <v>597</v>
      </c>
      <c r="B371" t="s">
        <v>164</v>
      </c>
      <c r="C371" s="67">
        <v>44412</v>
      </c>
      <c r="D371" s="67">
        <v>193946.76</v>
      </c>
      <c r="E371" s="67">
        <v>33267.888000000006</v>
      </c>
      <c r="F371" s="67">
        <v>35596.64016000001</v>
      </c>
      <c r="G371" t="str">
        <f t="shared" si="10"/>
        <v>4005</v>
      </c>
      <c r="H371" t="str">
        <f t="shared" si="11"/>
        <v>Employee related costs</v>
      </c>
    </row>
    <row r="372" spans="1:8" x14ac:dyDescent="0.25">
      <c r="A372" t="s">
        <v>598</v>
      </c>
      <c r="B372" t="s">
        <v>167</v>
      </c>
      <c r="C372" s="67">
        <v>449</v>
      </c>
      <c r="D372" s="67">
        <v>449</v>
      </c>
      <c r="E372" s="67">
        <v>475.99299999999994</v>
      </c>
      <c r="F372" s="67">
        <v>509.31250999999992</v>
      </c>
      <c r="G372" t="str">
        <f t="shared" si="10"/>
        <v>4005</v>
      </c>
      <c r="H372" t="str">
        <f t="shared" si="11"/>
        <v>Employee related costs</v>
      </c>
    </row>
    <row r="373" spans="1:8" x14ac:dyDescent="0.25">
      <c r="A373" t="s">
        <v>599</v>
      </c>
      <c r="B373" t="s">
        <v>168</v>
      </c>
      <c r="C373" s="67">
        <v>215633</v>
      </c>
      <c r="D373" s="67">
        <v>215633</v>
      </c>
      <c r="E373" s="67">
        <v>228570.76800000001</v>
      </c>
      <c r="F373" s="67">
        <v>244570.72176000001</v>
      </c>
      <c r="G373" t="str">
        <f t="shared" si="10"/>
        <v>4005</v>
      </c>
      <c r="H373" t="str">
        <f t="shared" si="11"/>
        <v>Employee related costs</v>
      </c>
    </row>
    <row r="374" spans="1:8" x14ac:dyDescent="0.25">
      <c r="A374" t="s">
        <v>600</v>
      </c>
      <c r="B374" t="s">
        <v>169</v>
      </c>
      <c r="C374" s="67">
        <v>390240</v>
      </c>
      <c r="D374" s="67">
        <v>390240</v>
      </c>
      <c r="E374" s="67">
        <v>413654.59919520008</v>
      </c>
      <c r="F374" s="67">
        <v>442610.42113886407</v>
      </c>
      <c r="G374" t="str">
        <f t="shared" si="10"/>
        <v>4005</v>
      </c>
      <c r="H374" t="str">
        <f t="shared" si="11"/>
        <v>Employee related costs</v>
      </c>
    </row>
    <row r="375" spans="1:8" x14ac:dyDescent="0.25">
      <c r="A375" t="s">
        <v>601</v>
      </c>
      <c r="B375" t="s">
        <v>170</v>
      </c>
      <c r="C375" s="67">
        <v>7140</v>
      </c>
      <c r="D375" s="67">
        <v>7140</v>
      </c>
      <c r="E375" s="67">
        <v>7568.4</v>
      </c>
      <c r="F375" s="67">
        <v>8098.1880000000001</v>
      </c>
      <c r="G375" t="str">
        <f t="shared" si="10"/>
        <v>4005</v>
      </c>
      <c r="H375" t="str">
        <f t="shared" si="11"/>
        <v>Employee related costs</v>
      </c>
    </row>
    <row r="376" spans="1:8" x14ac:dyDescent="0.25">
      <c r="A376" t="s">
        <v>602</v>
      </c>
      <c r="B376" t="s">
        <v>173</v>
      </c>
      <c r="C376" s="67">
        <v>15638</v>
      </c>
      <c r="D376" s="67">
        <v>15638</v>
      </c>
      <c r="E376" s="67">
        <v>16732.713499999998</v>
      </c>
      <c r="F376" s="67">
        <v>17904.003444999998</v>
      </c>
      <c r="G376" t="str">
        <f t="shared" si="10"/>
        <v>4005</v>
      </c>
      <c r="H376" t="str">
        <f t="shared" si="11"/>
        <v>Employee related costs</v>
      </c>
    </row>
    <row r="377" spans="1:8" x14ac:dyDescent="0.25">
      <c r="A377" t="s">
        <v>603</v>
      </c>
      <c r="B377" t="s">
        <v>174</v>
      </c>
      <c r="C377" s="67">
        <v>19697</v>
      </c>
      <c r="D377" s="67">
        <v>19697</v>
      </c>
      <c r="E377" s="67">
        <v>21075.319200000002</v>
      </c>
      <c r="F377" s="67">
        <v>22550.591544000003</v>
      </c>
      <c r="G377" t="str">
        <f t="shared" si="10"/>
        <v>4005</v>
      </c>
      <c r="H377" t="str">
        <f t="shared" si="11"/>
        <v>Employee related costs</v>
      </c>
    </row>
    <row r="378" spans="1:8" x14ac:dyDescent="0.25">
      <c r="A378" t="s">
        <v>604</v>
      </c>
      <c r="B378" t="s">
        <v>175</v>
      </c>
      <c r="C378" s="67">
        <v>16419</v>
      </c>
      <c r="D378" s="67">
        <v>16419</v>
      </c>
      <c r="E378" s="67">
        <v>17568.4905</v>
      </c>
      <c r="F378" s="67">
        <v>18798.284834999999</v>
      </c>
      <c r="G378" t="str">
        <f t="shared" si="10"/>
        <v>4005</v>
      </c>
      <c r="H378" t="str">
        <f t="shared" si="11"/>
        <v>Employee related costs</v>
      </c>
    </row>
    <row r="379" spans="1:8" x14ac:dyDescent="0.25">
      <c r="A379" t="s">
        <v>605</v>
      </c>
      <c r="B379" t="s">
        <v>214</v>
      </c>
      <c r="C379" s="67">
        <v>200000</v>
      </c>
      <c r="D379" s="67">
        <v>170000</v>
      </c>
      <c r="E379" s="67">
        <v>212000</v>
      </c>
      <c r="F379" s="67">
        <v>211448</v>
      </c>
      <c r="G379" t="str">
        <f t="shared" si="10"/>
        <v>4005</v>
      </c>
      <c r="H379" t="str">
        <f t="shared" si="11"/>
        <v>Contracted services</v>
      </c>
    </row>
    <row r="380" spans="1:8" x14ac:dyDescent="0.25">
      <c r="A380" t="s">
        <v>606</v>
      </c>
      <c r="B380" t="s">
        <v>242</v>
      </c>
      <c r="C380" s="67">
        <v>50473</v>
      </c>
      <c r="D380" s="67">
        <v>30473</v>
      </c>
      <c r="E380" s="67">
        <v>53501.337599999999</v>
      </c>
      <c r="F380" s="67">
        <v>53362.0322304</v>
      </c>
      <c r="G380" t="str">
        <f t="shared" si="10"/>
        <v>4005</v>
      </c>
      <c r="H380" t="str">
        <f t="shared" si="11"/>
        <v>General expenses</v>
      </c>
    </row>
    <row r="381" spans="1:8" x14ac:dyDescent="0.25">
      <c r="A381" t="s">
        <v>607</v>
      </c>
      <c r="B381" t="s">
        <v>242</v>
      </c>
      <c r="C381" s="67">
        <v>950000</v>
      </c>
      <c r="D381" s="67">
        <v>950000</v>
      </c>
      <c r="E381" s="67">
        <v>1007000</v>
      </c>
      <c r="F381" s="67">
        <v>1004378</v>
      </c>
      <c r="G381" t="str">
        <f t="shared" si="10"/>
        <v>4005</v>
      </c>
      <c r="H381" t="str">
        <f t="shared" si="11"/>
        <v>General expenses</v>
      </c>
    </row>
    <row r="382" spans="1:8" x14ac:dyDescent="0.25">
      <c r="A382" t="s">
        <v>608</v>
      </c>
      <c r="B382" t="s">
        <v>242</v>
      </c>
      <c r="C382" s="67">
        <v>236200</v>
      </c>
      <c r="D382" s="67">
        <v>266200</v>
      </c>
      <c r="E382" s="67">
        <v>303372</v>
      </c>
      <c r="F382" s="67">
        <v>302582.08799999999</v>
      </c>
      <c r="G382" t="str">
        <f t="shared" si="10"/>
        <v>4005</v>
      </c>
      <c r="H382" t="str">
        <f t="shared" si="11"/>
        <v>General expenses</v>
      </c>
    </row>
    <row r="383" spans="1:8" x14ac:dyDescent="0.25">
      <c r="A383" t="s">
        <v>609</v>
      </c>
      <c r="B383" t="s">
        <v>253</v>
      </c>
      <c r="C383" s="67">
        <v>2000</v>
      </c>
      <c r="D383" s="67">
        <v>2000</v>
      </c>
      <c r="E383" s="67">
        <v>2000</v>
      </c>
      <c r="F383" s="67">
        <v>2000</v>
      </c>
      <c r="G383" t="str">
        <f t="shared" si="10"/>
        <v>4005</v>
      </c>
      <c r="H383" t="str">
        <f t="shared" si="11"/>
        <v>General expenses</v>
      </c>
    </row>
    <row r="384" spans="1:8" x14ac:dyDescent="0.25">
      <c r="A384" t="s">
        <v>610</v>
      </c>
      <c r="B384" t="s">
        <v>254</v>
      </c>
      <c r="C384" s="67">
        <v>1000</v>
      </c>
      <c r="D384" s="67">
        <v>1000</v>
      </c>
      <c r="E384" s="67">
        <v>1000</v>
      </c>
      <c r="F384" s="67">
        <v>1000</v>
      </c>
      <c r="G384" t="str">
        <f t="shared" si="10"/>
        <v>4005</v>
      </c>
      <c r="H384" t="str">
        <f t="shared" si="11"/>
        <v>General expenses</v>
      </c>
    </row>
    <row r="385" spans="1:8" x14ac:dyDescent="0.25">
      <c r="A385" t="s">
        <v>611</v>
      </c>
      <c r="B385" t="s">
        <v>265</v>
      </c>
      <c r="C385" s="67">
        <v>238204</v>
      </c>
      <c r="D385" s="67">
        <v>38204</v>
      </c>
      <c r="E385" s="67">
        <v>252496.51560000001</v>
      </c>
      <c r="F385" s="67">
        <v>251839.07184240001</v>
      </c>
      <c r="G385" t="str">
        <f t="shared" si="10"/>
        <v>4005</v>
      </c>
      <c r="H385" t="str">
        <f t="shared" si="11"/>
        <v>General expenses</v>
      </c>
    </row>
    <row r="386" spans="1:8" x14ac:dyDescent="0.25">
      <c r="A386" t="s">
        <v>612</v>
      </c>
      <c r="B386" t="s">
        <v>268</v>
      </c>
      <c r="C386" s="67">
        <v>380000</v>
      </c>
      <c r="D386" s="67">
        <v>280000</v>
      </c>
      <c r="E386" s="67">
        <v>402800</v>
      </c>
      <c r="F386" s="67">
        <v>401751.2</v>
      </c>
      <c r="G386" t="str">
        <f t="shared" ref="G386:G449" si="12">VLOOKUP(A386,s,2,FALSE)</f>
        <v>4005</v>
      </c>
      <c r="H386" t="str">
        <f t="shared" ref="H386:H449" si="13">VLOOKUP(A386,s,3,FALSE)</f>
        <v>General expenses</v>
      </c>
    </row>
    <row r="387" spans="1:8" x14ac:dyDescent="0.25">
      <c r="A387" t="s">
        <v>613</v>
      </c>
      <c r="B387" t="s">
        <v>268</v>
      </c>
      <c r="C387" s="67">
        <v>300000</v>
      </c>
      <c r="D387" s="67">
        <v>200000</v>
      </c>
      <c r="E387" s="67">
        <v>318000</v>
      </c>
      <c r="F387" s="67">
        <v>317172</v>
      </c>
      <c r="G387" t="str">
        <f t="shared" si="12"/>
        <v>4005</v>
      </c>
      <c r="H387" t="str">
        <f t="shared" si="13"/>
        <v>General expenses</v>
      </c>
    </row>
    <row r="388" spans="1:8" x14ac:dyDescent="0.25">
      <c r="A388" t="s">
        <v>614</v>
      </c>
      <c r="B388" t="s">
        <v>269</v>
      </c>
      <c r="C388" s="67">
        <v>70000</v>
      </c>
      <c r="D388" s="67">
        <v>30000</v>
      </c>
      <c r="E388" s="67">
        <v>74200</v>
      </c>
      <c r="F388" s="67">
        <v>74006.8</v>
      </c>
      <c r="G388" t="str">
        <f t="shared" si="12"/>
        <v>4005</v>
      </c>
      <c r="H388" t="str">
        <f t="shared" si="13"/>
        <v>General expenses</v>
      </c>
    </row>
    <row r="389" spans="1:8" x14ac:dyDescent="0.25">
      <c r="A389" t="s">
        <v>615</v>
      </c>
      <c r="B389" t="s">
        <v>292</v>
      </c>
      <c r="C389" s="67">
        <v>3371</v>
      </c>
      <c r="D389" s="67">
        <v>3371</v>
      </c>
      <c r="E389" s="67">
        <v>3876.65</v>
      </c>
      <c r="F389" s="67">
        <v>4458.1475</v>
      </c>
      <c r="G389" t="str">
        <f t="shared" si="12"/>
        <v>4005</v>
      </c>
      <c r="H389" t="str">
        <f t="shared" si="13"/>
        <v>Depreciation and amortisation</v>
      </c>
    </row>
    <row r="390" spans="1:8" x14ac:dyDescent="0.25">
      <c r="A390" t="s">
        <v>616</v>
      </c>
      <c r="B390" t="s">
        <v>293</v>
      </c>
      <c r="C390" s="67">
        <v>7399</v>
      </c>
      <c r="D390" s="92">
        <v>7399</v>
      </c>
      <c r="E390" s="67">
        <v>8508.85</v>
      </c>
      <c r="F390" s="67">
        <v>9785.1774999999998</v>
      </c>
      <c r="G390" t="str">
        <f t="shared" si="12"/>
        <v>4005</v>
      </c>
      <c r="H390" t="str">
        <f t="shared" si="13"/>
        <v>Depreciation and amortisation</v>
      </c>
    </row>
    <row r="391" spans="1:8" x14ac:dyDescent="0.25">
      <c r="A391" t="s">
        <v>617</v>
      </c>
      <c r="B391" t="s">
        <v>295</v>
      </c>
      <c r="C391" s="67">
        <v>48688</v>
      </c>
      <c r="D391" s="67">
        <v>48688</v>
      </c>
      <c r="E391" s="67">
        <v>55991.199999999997</v>
      </c>
      <c r="F391" s="67">
        <v>64389.88</v>
      </c>
      <c r="G391" t="str">
        <f t="shared" si="12"/>
        <v>4005</v>
      </c>
      <c r="H391" t="str">
        <f t="shared" si="13"/>
        <v>Depreciation and amortisation</v>
      </c>
    </row>
    <row r="392" spans="1:8" x14ac:dyDescent="0.25">
      <c r="A392" t="s">
        <v>618</v>
      </c>
      <c r="B392" t="s">
        <v>296</v>
      </c>
      <c r="C392" s="67">
        <v>38659</v>
      </c>
      <c r="D392" s="67">
        <v>38659</v>
      </c>
      <c r="E392" s="67">
        <v>44457.85</v>
      </c>
      <c r="F392" s="67">
        <v>51126.527499999997</v>
      </c>
      <c r="G392" t="str">
        <f t="shared" si="12"/>
        <v>4005</v>
      </c>
      <c r="H392" t="str">
        <f t="shared" si="13"/>
        <v>Depreciation and amortisation</v>
      </c>
    </row>
    <row r="393" spans="1:8" x14ac:dyDescent="0.25">
      <c r="A393" t="s">
        <v>619</v>
      </c>
      <c r="B393" t="s">
        <v>298</v>
      </c>
      <c r="C393" s="67">
        <v>0</v>
      </c>
      <c r="D393" s="67">
        <v>0</v>
      </c>
      <c r="E393" s="67">
        <v>0</v>
      </c>
      <c r="F393" s="67">
        <v>0</v>
      </c>
      <c r="G393" t="str">
        <f t="shared" si="12"/>
        <v>4005</v>
      </c>
      <c r="H393" t="str">
        <f t="shared" si="13"/>
        <v>Depreciation and amortisation</v>
      </c>
    </row>
    <row r="394" spans="1:8" x14ac:dyDescent="0.25">
      <c r="A394" t="s">
        <v>620</v>
      </c>
      <c r="B394" t="s">
        <v>299</v>
      </c>
      <c r="C394" s="67">
        <v>1701</v>
      </c>
      <c r="D394" s="67">
        <v>1701</v>
      </c>
      <c r="E394" s="67">
        <v>1956.15</v>
      </c>
      <c r="F394" s="67">
        <v>2249.5725000000002</v>
      </c>
      <c r="G394" t="str">
        <f t="shared" si="12"/>
        <v>4005</v>
      </c>
      <c r="H394" t="str">
        <f t="shared" si="13"/>
        <v>Depreciation and amortisation</v>
      </c>
    </row>
    <row r="395" spans="1:8" x14ac:dyDescent="0.25">
      <c r="A395" t="s">
        <v>621</v>
      </c>
      <c r="B395" t="s">
        <v>300</v>
      </c>
      <c r="C395" s="67">
        <v>148336</v>
      </c>
      <c r="D395" s="67">
        <v>148336</v>
      </c>
      <c r="E395" s="67">
        <v>170586.4</v>
      </c>
      <c r="F395" s="67">
        <v>196174.36</v>
      </c>
      <c r="G395" t="str">
        <f t="shared" si="12"/>
        <v>4005</v>
      </c>
      <c r="H395" t="str">
        <f t="shared" si="13"/>
        <v>Depreciation and amortisation</v>
      </c>
    </row>
    <row r="396" spans="1:8" x14ac:dyDescent="0.25">
      <c r="A396" t="s">
        <v>622</v>
      </c>
      <c r="B396" t="s">
        <v>303</v>
      </c>
      <c r="C396" s="67">
        <v>594034</v>
      </c>
      <c r="D396" s="67">
        <v>594034</v>
      </c>
      <c r="E396" s="67">
        <v>683139.1</v>
      </c>
      <c r="F396" s="67">
        <v>785609.96499999997</v>
      </c>
      <c r="G396" t="str">
        <f t="shared" si="12"/>
        <v>4005</v>
      </c>
      <c r="H396" t="str">
        <f t="shared" si="13"/>
        <v>Depreciation and amortisation</v>
      </c>
    </row>
    <row r="397" spans="1:8" x14ac:dyDescent="0.25">
      <c r="A397" t="s">
        <v>1542</v>
      </c>
      <c r="B397" t="s">
        <v>1404</v>
      </c>
      <c r="C397" s="67">
        <v>-7889360</v>
      </c>
      <c r="D397" s="67">
        <v>-7543419.7599999998</v>
      </c>
      <c r="E397" s="67">
        <v>-8504763.8332424611</v>
      </c>
      <c r="F397" s="67">
        <v>-8986902.0467182323</v>
      </c>
      <c r="G397" t="str">
        <f t="shared" si="12"/>
        <v>4005</v>
      </c>
      <c r="H397" t="str">
        <f t="shared" si="13"/>
        <v>Accumulated surplus</v>
      </c>
    </row>
    <row r="398" spans="1:8" x14ac:dyDescent="0.25">
      <c r="A398" t="s">
        <v>1543</v>
      </c>
      <c r="B398" t="s">
        <v>1544</v>
      </c>
      <c r="C398" s="67">
        <v>1801000</v>
      </c>
      <c r="D398" s="67">
        <v>1801000</v>
      </c>
      <c r="E398" s="67">
        <v>1801000</v>
      </c>
      <c r="F398" s="67">
        <v>1801000</v>
      </c>
      <c r="G398" t="str">
        <f t="shared" si="12"/>
        <v>4005</v>
      </c>
      <c r="H398" t="str">
        <f t="shared" si="13"/>
        <v>Non-Current Assets (Cost)</v>
      </c>
    </row>
    <row r="399" spans="1:8" x14ac:dyDescent="0.25">
      <c r="A399" t="s">
        <v>1545</v>
      </c>
      <c r="B399" t="s">
        <v>1546</v>
      </c>
      <c r="C399" s="67">
        <v>-392601</v>
      </c>
      <c r="D399" s="67">
        <v>-389999.04</v>
      </c>
      <c r="E399" s="67">
        <v>-438687.04</v>
      </c>
      <c r="F399" s="67">
        <v>-494678.24</v>
      </c>
      <c r="G399" t="str">
        <f t="shared" si="12"/>
        <v>4005</v>
      </c>
      <c r="H399" t="str">
        <f t="shared" si="13"/>
        <v>Non-Current Assets (Acc Depreciation)</v>
      </c>
    </row>
    <row r="400" spans="1:8" x14ac:dyDescent="0.25">
      <c r="A400" t="s">
        <v>1547</v>
      </c>
      <c r="B400" t="s">
        <v>1548</v>
      </c>
      <c r="C400" s="67">
        <v>-48690</v>
      </c>
      <c r="D400" s="67">
        <v>-48688</v>
      </c>
      <c r="E400" s="67">
        <v>-55991.199999999997</v>
      </c>
      <c r="F400" s="67">
        <v>-64389.88</v>
      </c>
      <c r="G400" t="str">
        <f t="shared" si="12"/>
        <v>4005</v>
      </c>
      <c r="H400" t="str">
        <f t="shared" si="13"/>
        <v>Non-Current Assets (Depreciation)</v>
      </c>
    </row>
    <row r="401" spans="1:8" x14ac:dyDescent="0.25">
      <c r="A401" t="s">
        <v>1549</v>
      </c>
      <c r="B401" t="s">
        <v>1550</v>
      </c>
      <c r="C401" s="67">
        <v>0</v>
      </c>
      <c r="D401" s="67">
        <v>10186109.050000001</v>
      </c>
      <c r="E401" s="67">
        <v>10186109.050000001</v>
      </c>
      <c r="F401" s="67">
        <v>10186109.050000001</v>
      </c>
      <c r="G401" t="str">
        <f t="shared" si="12"/>
        <v>4005</v>
      </c>
      <c r="H401" t="str">
        <f t="shared" si="13"/>
        <v>Non-Current Assets (Cost)</v>
      </c>
    </row>
    <row r="402" spans="1:8" x14ac:dyDescent="0.25">
      <c r="A402" t="s">
        <v>1551</v>
      </c>
      <c r="B402" t="s">
        <v>1412</v>
      </c>
      <c r="C402" s="67">
        <v>0</v>
      </c>
      <c r="D402" s="67">
        <v>83944.63</v>
      </c>
      <c r="E402" s="67">
        <v>83944.63</v>
      </c>
      <c r="F402" s="67">
        <v>83944.63</v>
      </c>
      <c r="G402" t="str">
        <f t="shared" si="12"/>
        <v>4005</v>
      </c>
      <c r="H402" t="str">
        <f t="shared" si="13"/>
        <v>Non-Current Assets (Cost)</v>
      </c>
    </row>
    <row r="403" spans="1:8" x14ac:dyDescent="0.25">
      <c r="A403" t="s">
        <v>1552</v>
      </c>
      <c r="B403" t="s">
        <v>1414</v>
      </c>
      <c r="C403" s="67">
        <v>0</v>
      </c>
      <c r="D403" s="67">
        <v>-9271.5</v>
      </c>
      <c r="E403" s="67">
        <v>-9271.5</v>
      </c>
      <c r="F403" s="67">
        <v>-9271.5</v>
      </c>
      <c r="G403" t="str">
        <f t="shared" si="12"/>
        <v>4005</v>
      </c>
      <c r="H403" t="str">
        <f t="shared" si="13"/>
        <v>Non-Current Assets (Acc Depreciation)</v>
      </c>
    </row>
    <row r="404" spans="1:8" x14ac:dyDescent="0.25">
      <c r="A404" t="s">
        <v>1553</v>
      </c>
      <c r="B404" t="s">
        <v>1422</v>
      </c>
      <c r="C404" s="67">
        <v>100000</v>
      </c>
      <c r="D404" s="67">
        <v>589038.62</v>
      </c>
      <c r="E404" s="67">
        <v>589038.62</v>
      </c>
      <c r="F404" s="67">
        <v>589038.62</v>
      </c>
      <c r="G404" t="str">
        <f t="shared" si="12"/>
        <v>4005</v>
      </c>
      <c r="H404" t="str">
        <f t="shared" si="13"/>
        <v>Non-Current Assets (Cost)</v>
      </c>
    </row>
    <row r="405" spans="1:8" x14ac:dyDescent="0.25">
      <c r="A405" t="s">
        <v>1554</v>
      </c>
      <c r="B405" t="s">
        <v>1424</v>
      </c>
      <c r="C405" s="67">
        <v>-36422</v>
      </c>
      <c r="D405" s="67">
        <v>-240968.11000000002</v>
      </c>
      <c r="E405" s="67">
        <v>-279627.11</v>
      </c>
      <c r="F405" s="67">
        <v>-324084.95999999996</v>
      </c>
      <c r="G405" t="str">
        <f t="shared" si="12"/>
        <v>4005</v>
      </c>
      <c r="H405" t="str">
        <f t="shared" si="13"/>
        <v>Non-Current Assets (Acc Depreciation)</v>
      </c>
    </row>
    <row r="406" spans="1:8" x14ac:dyDescent="0.25">
      <c r="A406" t="s">
        <v>1555</v>
      </c>
      <c r="B406" t="s">
        <v>1426</v>
      </c>
      <c r="C406" s="67">
        <v>-38661</v>
      </c>
      <c r="D406" s="67">
        <v>-38659</v>
      </c>
      <c r="E406" s="67">
        <v>-44457.85</v>
      </c>
      <c r="F406" s="67">
        <v>-51126.527499999997</v>
      </c>
      <c r="G406" t="str">
        <f t="shared" si="12"/>
        <v>4005</v>
      </c>
      <c r="H406" t="str">
        <f t="shared" si="13"/>
        <v>Non-Current Assets (Depreciation)</v>
      </c>
    </row>
    <row r="407" spans="1:8" x14ac:dyDescent="0.25">
      <c r="A407" t="s">
        <v>1556</v>
      </c>
      <c r="B407" t="s">
        <v>1428</v>
      </c>
      <c r="C407" s="67">
        <v>604619</v>
      </c>
      <c r="D407" s="67">
        <v>567011.81999999995</v>
      </c>
      <c r="E407" s="67">
        <v>567011.81999999995</v>
      </c>
      <c r="F407" s="67">
        <v>567011.81999999995</v>
      </c>
      <c r="G407" t="str">
        <f t="shared" si="12"/>
        <v>4005</v>
      </c>
      <c r="H407" t="str">
        <f t="shared" si="13"/>
        <v>Non-Current Assets (Cost)</v>
      </c>
    </row>
    <row r="408" spans="1:8" x14ac:dyDescent="0.25">
      <c r="A408" t="s">
        <v>1557</v>
      </c>
      <c r="B408" t="s">
        <v>1430</v>
      </c>
      <c r="C408" s="67">
        <v>-193091</v>
      </c>
      <c r="D408" s="67">
        <v>-210435.15000000002</v>
      </c>
      <c r="E408" s="67">
        <v>-217834.15000000002</v>
      </c>
      <c r="F408" s="67">
        <v>-226343.00000000003</v>
      </c>
      <c r="G408" t="str">
        <f t="shared" si="12"/>
        <v>4005</v>
      </c>
      <c r="H408" t="str">
        <f t="shared" si="13"/>
        <v>Non-Current Assets (Acc Depreciation)</v>
      </c>
    </row>
    <row r="409" spans="1:8" x14ac:dyDescent="0.25">
      <c r="A409" t="s">
        <v>1558</v>
      </c>
      <c r="B409" t="s">
        <v>1432</v>
      </c>
      <c r="C409" s="67">
        <v>-7400</v>
      </c>
      <c r="D409" s="67">
        <v>-7399</v>
      </c>
      <c r="E409" s="67">
        <v>-8508.85</v>
      </c>
      <c r="F409" s="67">
        <v>-9785.1774999999998</v>
      </c>
      <c r="G409" t="str">
        <f t="shared" si="12"/>
        <v>4005</v>
      </c>
      <c r="H409" t="str">
        <f t="shared" si="13"/>
        <v>Non-Current Assets (Depreciation)</v>
      </c>
    </row>
    <row r="410" spans="1:8" x14ac:dyDescent="0.25">
      <c r="A410" t="s">
        <v>1559</v>
      </c>
      <c r="B410" t="s">
        <v>1434</v>
      </c>
      <c r="C410" s="67">
        <v>24738</v>
      </c>
      <c r="D410" s="67">
        <v>23138</v>
      </c>
      <c r="E410" s="67">
        <v>23138</v>
      </c>
      <c r="F410" s="67">
        <v>23138</v>
      </c>
      <c r="G410" t="str">
        <f t="shared" si="12"/>
        <v>4005</v>
      </c>
      <c r="H410" t="str">
        <f t="shared" si="13"/>
        <v>Non-Current Assets (Cost)</v>
      </c>
    </row>
    <row r="411" spans="1:8" x14ac:dyDescent="0.25">
      <c r="A411" t="s">
        <v>1560</v>
      </c>
      <c r="B411" t="s">
        <v>1436</v>
      </c>
      <c r="C411" s="67">
        <v>-21829</v>
      </c>
      <c r="D411" s="67">
        <v>-16678.46</v>
      </c>
      <c r="E411" s="67">
        <v>-20049.46</v>
      </c>
      <c r="F411" s="67">
        <v>-23926.11</v>
      </c>
      <c r="G411" t="str">
        <f t="shared" si="12"/>
        <v>4005</v>
      </c>
      <c r="H411" t="str">
        <f t="shared" si="13"/>
        <v>Non-Current Assets (Acc Depreciation)</v>
      </c>
    </row>
    <row r="412" spans="1:8" x14ac:dyDescent="0.25">
      <c r="A412" t="s">
        <v>1561</v>
      </c>
      <c r="B412" t="s">
        <v>1438</v>
      </c>
      <c r="C412" s="67">
        <v>-3180</v>
      </c>
      <c r="D412" s="67">
        <v>-3371</v>
      </c>
      <c r="E412" s="67">
        <v>-3876.65</v>
      </c>
      <c r="F412" s="67">
        <v>-4458.1475</v>
      </c>
      <c r="G412" t="str">
        <f t="shared" si="12"/>
        <v>4005</v>
      </c>
      <c r="H412" t="str">
        <f t="shared" si="13"/>
        <v>Non-Current Assets (Depreciation)</v>
      </c>
    </row>
    <row r="413" spans="1:8" x14ac:dyDescent="0.25">
      <c r="A413" t="s">
        <v>1562</v>
      </c>
      <c r="B413" t="s">
        <v>1440</v>
      </c>
      <c r="C413" s="67">
        <v>45450</v>
      </c>
      <c r="D413" s="67">
        <v>45450</v>
      </c>
      <c r="E413" s="67">
        <v>45450</v>
      </c>
      <c r="F413" s="67">
        <v>45450</v>
      </c>
      <c r="G413" t="str">
        <f t="shared" si="12"/>
        <v>4005</v>
      </c>
      <c r="H413" t="str">
        <f t="shared" si="13"/>
        <v>Non-Current Assets (Cost)</v>
      </c>
    </row>
    <row r="414" spans="1:8" x14ac:dyDescent="0.25">
      <c r="A414" t="s">
        <v>1563</v>
      </c>
      <c r="B414" t="s">
        <v>1442</v>
      </c>
      <c r="C414" s="67">
        <v>-12216</v>
      </c>
      <c r="D414" s="67">
        <v>-12123.97</v>
      </c>
      <c r="E414" s="67">
        <v>-13824.97</v>
      </c>
      <c r="F414" s="67">
        <v>-15781.119999999999</v>
      </c>
      <c r="G414" t="str">
        <f t="shared" si="12"/>
        <v>4005</v>
      </c>
      <c r="H414" t="str">
        <f t="shared" si="13"/>
        <v>Non-Current Assets (Acc Depreciation)</v>
      </c>
    </row>
    <row r="415" spans="1:8" x14ac:dyDescent="0.25">
      <c r="A415" t="s">
        <v>1564</v>
      </c>
      <c r="B415" t="s">
        <v>1444</v>
      </c>
      <c r="C415" s="67">
        <v>-1702</v>
      </c>
      <c r="D415" s="67">
        <v>-1701</v>
      </c>
      <c r="E415" s="67">
        <v>-1956.15</v>
      </c>
      <c r="F415" s="67">
        <v>-2249.5725000000002</v>
      </c>
      <c r="G415" t="str">
        <f t="shared" si="12"/>
        <v>4005</v>
      </c>
      <c r="H415" t="str">
        <f t="shared" si="13"/>
        <v>Non-Current Assets (Depreciation)</v>
      </c>
    </row>
    <row r="416" spans="1:8" x14ac:dyDescent="0.25">
      <c r="A416" t="s">
        <v>1565</v>
      </c>
      <c r="B416" t="s">
        <v>1446</v>
      </c>
      <c r="C416" s="67">
        <v>3725675</v>
      </c>
      <c r="D416" s="67">
        <v>3287044.75</v>
      </c>
      <c r="E416" s="67">
        <v>3287044.75</v>
      </c>
      <c r="F416" s="67">
        <v>3287044.75</v>
      </c>
      <c r="G416" t="str">
        <f t="shared" si="12"/>
        <v>4005</v>
      </c>
      <c r="H416" t="str">
        <f t="shared" si="13"/>
        <v>Non-Current Assets (Cost)</v>
      </c>
    </row>
    <row r="417" spans="1:8" x14ac:dyDescent="0.25">
      <c r="A417" t="s">
        <v>1566</v>
      </c>
      <c r="B417" t="s">
        <v>1448</v>
      </c>
      <c r="C417" s="67">
        <v>-898242</v>
      </c>
      <c r="D417" s="67">
        <v>-50775.489999999991</v>
      </c>
      <c r="E417" s="67">
        <v>-199111.49</v>
      </c>
      <c r="F417" s="67">
        <v>-369697.89</v>
      </c>
      <c r="G417" t="str">
        <f t="shared" si="12"/>
        <v>4005</v>
      </c>
      <c r="H417" t="str">
        <f t="shared" si="13"/>
        <v>Non-Current Assets (Acc Depreciation)</v>
      </c>
    </row>
    <row r="418" spans="1:8" x14ac:dyDescent="0.25">
      <c r="A418" t="s">
        <v>1567</v>
      </c>
      <c r="B418" t="s">
        <v>1450</v>
      </c>
      <c r="C418" s="67">
        <v>-148338</v>
      </c>
      <c r="D418" s="67">
        <v>-148336</v>
      </c>
      <c r="E418" s="67">
        <v>-170586.4</v>
      </c>
      <c r="F418" s="67">
        <v>-196174.36</v>
      </c>
      <c r="G418" t="str">
        <f t="shared" si="12"/>
        <v>4005</v>
      </c>
      <c r="H418" t="str">
        <f t="shared" si="13"/>
        <v>Non-Current Assets (Depreciation)</v>
      </c>
    </row>
    <row r="419" spans="1:8" x14ac:dyDescent="0.25">
      <c r="A419" t="s">
        <v>1568</v>
      </c>
      <c r="B419" t="s">
        <v>1452</v>
      </c>
      <c r="C419" s="67">
        <v>0</v>
      </c>
      <c r="D419" s="67">
        <v>16325611.199999999</v>
      </c>
      <c r="E419" s="67">
        <v>16325611.199999999</v>
      </c>
      <c r="F419" s="67">
        <v>16325611.199999999</v>
      </c>
      <c r="G419" t="str">
        <f t="shared" si="12"/>
        <v>4005</v>
      </c>
      <c r="H419" t="str">
        <f t="shared" si="13"/>
        <v>Non-Current Assets (Cost)</v>
      </c>
    </row>
    <row r="420" spans="1:8" x14ac:dyDescent="0.25">
      <c r="A420" t="s">
        <v>1569</v>
      </c>
      <c r="B420" t="s">
        <v>1454</v>
      </c>
      <c r="C420" s="67">
        <v>-3422131</v>
      </c>
      <c r="D420" s="67">
        <v>-2186858.1500000004</v>
      </c>
      <c r="E420" s="67">
        <v>-2780892.1500000004</v>
      </c>
      <c r="F420" s="67">
        <v>-3464031.2500000005</v>
      </c>
      <c r="G420" t="str">
        <f t="shared" si="12"/>
        <v>4005</v>
      </c>
      <c r="H420" t="str">
        <f t="shared" si="13"/>
        <v>Non-Current Assets (Acc Depreciation)</v>
      </c>
    </row>
    <row r="421" spans="1:8" x14ac:dyDescent="0.25">
      <c r="A421" t="s">
        <v>1570</v>
      </c>
      <c r="B421" t="s">
        <v>1456</v>
      </c>
      <c r="C421" s="67">
        <v>-594035</v>
      </c>
      <c r="D421" s="67">
        <v>-594034</v>
      </c>
      <c r="E421" s="67">
        <v>-683139.1</v>
      </c>
      <c r="F421" s="67">
        <v>-785609.96499999997</v>
      </c>
      <c r="G421" t="str">
        <f t="shared" si="12"/>
        <v>4005</v>
      </c>
      <c r="H421" t="str">
        <f t="shared" si="13"/>
        <v>Non-Current Assets (Depreciation)</v>
      </c>
    </row>
    <row r="422" spans="1:8" x14ac:dyDescent="0.25">
      <c r="A422" t="s">
        <v>1571</v>
      </c>
      <c r="B422" t="s">
        <v>1460</v>
      </c>
      <c r="C422" s="67">
        <v>-805840</v>
      </c>
      <c r="D422" s="67">
        <v>-805840</v>
      </c>
      <c r="E422" s="67">
        <v>-886424</v>
      </c>
      <c r="F422" s="67">
        <v>-975066.4</v>
      </c>
      <c r="G422" t="str">
        <f t="shared" si="12"/>
        <v>4005</v>
      </c>
      <c r="H422" t="str">
        <f t="shared" si="13"/>
        <v>Current Employee Benefits</v>
      </c>
    </row>
    <row r="423" spans="1:8" x14ac:dyDescent="0.25">
      <c r="A423" t="s">
        <v>1572</v>
      </c>
      <c r="B423" t="s">
        <v>1462</v>
      </c>
      <c r="C423" s="67">
        <v>-4743391</v>
      </c>
      <c r="D423" s="67">
        <v>12749655.109999999</v>
      </c>
      <c r="E423" s="67">
        <v>20293074.869999997</v>
      </c>
      <c r="F423" s="67">
        <v>28797838.703242458</v>
      </c>
      <c r="G423" t="str">
        <f t="shared" si="12"/>
        <v>4005</v>
      </c>
      <c r="H423" t="str">
        <f t="shared" si="13"/>
        <v>Reserves</v>
      </c>
    </row>
    <row r="424" spans="1:8" x14ac:dyDescent="0.25">
      <c r="A424" t="s">
        <v>1573</v>
      </c>
      <c r="B424" t="s">
        <v>1464</v>
      </c>
      <c r="C424" s="67">
        <v>7889360</v>
      </c>
      <c r="D424" s="67">
        <v>7543419.7599999998</v>
      </c>
      <c r="E424" s="67">
        <v>8504763.8332424611</v>
      </c>
      <c r="F424" s="67">
        <v>8986902.0467182323</v>
      </c>
      <c r="G424" t="str">
        <f t="shared" si="12"/>
        <v>4005</v>
      </c>
      <c r="H424" t="str">
        <f t="shared" si="13"/>
        <v>Reserves</v>
      </c>
    </row>
    <row r="425" spans="1:8" x14ac:dyDescent="0.25">
      <c r="A425" t="s">
        <v>624</v>
      </c>
      <c r="B425" t="s">
        <v>150</v>
      </c>
      <c r="C425" s="67">
        <v>570271</v>
      </c>
      <c r="D425" s="67">
        <v>570271</v>
      </c>
      <c r="E425" s="67">
        <v>610189.97984400007</v>
      </c>
      <c r="F425" s="67">
        <v>652903.27843308006</v>
      </c>
      <c r="G425" t="str">
        <f t="shared" si="12"/>
        <v>4007</v>
      </c>
      <c r="H425" t="str">
        <f t="shared" si="13"/>
        <v>Employee related costs</v>
      </c>
    </row>
    <row r="426" spans="1:8" x14ac:dyDescent="0.25">
      <c r="A426" t="s">
        <v>625</v>
      </c>
      <c r="B426" t="s">
        <v>151</v>
      </c>
      <c r="C426" s="67">
        <v>28514</v>
      </c>
      <c r="D426" s="67">
        <v>8467.0900000000038</v>
      </c>
      <c r="E426" s="67">
        <v>100</v>
      </c>
      <c r="F426" s="67">
        <v>2532.46</v>
      </c>
      <c r="G426" t="str">
        <f t="shared" si="12"/>
        <v>4007</v>
      </c>
      <c r="H426" t="str">
        <f t="shared" si="13"/>
        <v>Employee related costs</v>
      </c>
    </row>
    <row r="427" spans="1:8" x14ac:dyDescent="0.25">
      <c r="A427" t="s">
        <v>626</v>
      </c>
      <c r="B427" t="s">
        <v>152</v>
      </c>
      <c r="C427" s="67">
        <v>24000</v>
      </c>
      <c r="D427" s="67">
        <v>24000</v>
      </c>
      <c r="E427" s="67">
        <v>50849.164987000011</v>
      </c>
      <c r="F427" s="67">
        <v>54408.60653609001</v>
      </c>
      <c r="G427" t="str">
        <f t="shared" si="12"/>
        <v>4007</v>
      </c>
      <c r="H427" t="str">
        <f t="shared" si="13"/>
        <v>Employee related costs</v>
      </c>
    </row>
    <row r="428" spans="1:8" x14ac:dyDescent="0.25">
      <c r="A428" t="s">
        <v>627</v>
      </c>
      <c r="B428" t="s">
        <v>153</v>
      </c>
      <c r="C428" s="67">
        <v>10893</v>
      </c>
      <c r="D428" s="67">
        <v>10893</v>
      </c>
      <c r="E428" s="67">
        <v>25680</v>
      </c>
      <c r="F428" s="67">
        <v>27477.599999999999</v>
      </c>
      <c r="G428" t="str">
        <f t="shared" si="12"/>
        <v>4007</v>
      </c>
      <c r="H428" t="str">
        <f t="shared" si="13"/>
        <v>Employee related costs</v>
      </c>
    </row>
    <row r="429" spans="1:8" x14ac:dyDescent="0.25">
      <c r="A429" t="s">
        <v>628</v>
      </c>
      <c r="B429" t="s">
        <v>155</v>
      </c>
      <c r="C429" s="67">
        <v>18924</v>
      </c>
      <c r="D429" s="67">
        <v>18924</v>
      </c>
      <c r="E429" s="67">
        <v>11655.766799999999</v>
      </c>
      <c r="F429" s="67">
        <v>12471.670475999999</v>
      </c>
      <c r="G429" t="str">
        <f t="shared" si="12"/>
        <v>4007</v>
      </c>
      <c r="H429" t="str">
        <f t="shared" si="13"/>
        <v>Employee related costs</v>
      </c>
    </row>
    <row r="430" spans="1:8" x14ac:dyDescent="0.25">
      <c r="A430" t="s">
        <v>629</v>
      </c>
      <c r="B430" t="s">
        <v>156</v>
      </c>
      <c r="C430" s="67">
        <v>142568</v>
      </c>
      <c r="D430" s="67">
        <v>142568</v>
      </c>
      <c r="E430" s="67">
        <v>20248.526792416444</v>
      </c>
      <c r="F430" s="67">
        <v>21665.923667885596</v>
      </c>
      <c r="G430" t="str">
        <f t="shared" si="12"/>
        <v>4007</v>
      </c>
      <c r="H430" t="str">
        <f t="shared" si="13"/>
        <v>Employee related costs</v>
      </c>
    </row>
    <row r="431" spans="1:8" x14ac:dyDescent="0.25">
      <c r="A431" t="s">
        <v>630</v>
      </c>
      <c r="B431" t="s">
        <v>158</v>
      </c>
      <c r="C431" s="67">
        <v>11405</v>
      </c>
      <c r="D431" s="67">
        <v>11405</v>
      </c>
      <c r="E431" s="67">
        <v>152547.49496100002</v>
      </c>
      <c r="F431" s="67">
        <v>163225.81960827002</v>
      </c>
      <c r="G431" t="str">
        <f t="shared" si="12"/>
        <v>4007</v>
      </c>
      <c r="H431" t="str">
        <f t="shared" si="13"/>
        <v>Employee related costs</v>
      </c>
    </row>
    <row r="432" spans="1:8" x14ac:dyDescent="0.25">
      <c r="A432" t="s">
        <v>631</v>
      </c>
      <c r="B432" t="s">
        <v>159</v>
      </c>
      <c r="C432" s="67">
        <v>47523</v>
      </c>
      <c r="D432" s="67">
        <v>47523</v>
      </c>
      <c r="E432" s="67">
        <v>12203.799596880001</v>
      </c>
      <c r="F432" s="67">
        <v>13058.065568661601</v>
      </c>
      <c r="G432" t="str">
        <f t="shared" si="12"/>
        <v>4007</v>
      </c>
      <c r="H432" t="str">
        <f t="shared" si="13"/>
        <v>Employee related costs</v>
      </c>
    </row>
    <row r="433" spans="1:8" x14ac:dyDescent="0.25">
      <c r="A433" t="s">
        <v>632</v>
      </c>
      <c r="B433" t="s">
        <v>164</v>
      </c>
      <c r="C433" s="67">
        <v>15692</v>
      </c>
      <c r="D433" s="67">
        <v>15692</v>
      </c>
      <c r="E433" s="67">
        <v>16790.868000000002</v>
      </c>
      <c r="F433" s="67">
        <v>17966.228760000002</v>
      </c>
      <c r="G433" t="str">
        <f t="shared" si="12"/>
        <v>4007</v>
      </c>
      <c r="H433" t="str">
        <f t="shared" si="13"/>
        <v>Employee related costs</v>
      </c>
    </row>
    <row r="434" spans="1:8" x14ac:dyDescent="0.25">
      <c r="A434" t="s">
        <v>633</v>
      </c>
      <c r="B434" t="s">
        <v>167</v>
      </c>
      <c r="C434" s="67">
        <v>112</v>
      </c>
      <c r="D434" s="67">
        <v>112</v>
      </c>
      <c r="E434" s="67">
        <v>120.21449999999999</v>
      </c>
      <c r="F434" s="67">
        <v>128.629515</v>
      </c>
      <c r="G434" t="str">
        <f t="shared" si="12"/>
        <v>4007</v>
      </c>
      <c r="H434" t="str">
        <f t="shared" si="13"/>
        <v>Employee related costs</v>
      </c>
    </row>
    <row r="435" spans="1:8" x14ac:dyDescent="0.25">
      <c r="A435" t="s">
        <v>634</v>
      </c>
      <c r="B435" t="s">
        <v>168</v>
      </c>
      <c r="C435" s="67">
        <v>0</v>
      </c>
      <c r="D435" s="67">
        <v>50000</v>
      </c>
      <c r="E435" s="67">
        <v>0</v>
      </c>
      <c r="F435" s="67">
        <v>0</v>
      </c>
      <c r="G435" t="str">
        <f t="shared" si="12"/>
        <v>4007</v>
      </c>
      <c r="H435" t="str">
        <f t="shared" si="13"/>
        <v>Employee related costs</v>
      </c>
    </row>
    <row r="436" spans="1:8" x14ac:dyDescent="0.25">
      <c r="A436" t="s">
        <v>635</v>
      </c>
      <c r="B436" t="s">
        <v>169</v>
      </c>
      <c r="C436" s="67">
        <v>125460</v>
      </c>
      <c r="D436" s="67">
        <v>125460</v>
      </c>
      <c r="E436" s="67">
        <v>134241.79556568002</v>
      </c>
      <c r="F436" s="67">
        <v>143638.72125527763</v>
      </c>
      <c r="G436" t="str">
        <f t="shared" si="12"/>
        <v>4007</v>
      </c>
      <c r="H436" t="str">
        <f t="shared" si="13"/>
        <v>Employee related costs</v>
      </c>
    </row>
    <row r="437" spans="1:8" x14ac:dyDescent="0.25">
      <c r="A437" t="s">
        <v>636</v>
      </c>
      <c r="B437" t="s">
        <v>170</v>
      </c>
      <c r="C437" s="67">
        <v>1785</v>
      </c>
      <c r="D437" s="67">
        <v>1785</v>
      </c>
      <c r="E437" s="67">
        <v>1909.95</v>
      </c>
      <c r="F437" s="67">
        <v>2043.6465000000001</v>
      </c>
      <c r="G437" t="str">
        <f t="shared" si="12"/>
        <v>4007</v>
      </c>
      <c r="H437" t="str">
        <f t="shared" si="13"/>
        <v>Employee related costs</v>
      </c>
    </row>
    <row r="438" spans="1:8" x14ac:dyDescent="0.25">
      <c r="A438" t="s">
        <v>637</v>
      </c>
      <c r="B438" t="s">
        <v>173</v>
      </c>
      <c r="C438" s="67">
        <v>4563</v>
      </c>
      <c r="D438" s="67">
        <v>4563</v>
      </c>
      <c r="E438" s="67">
        <v>5166.3127999999997</v>
      </c>
      <c r="F438" s="67">
        <v>5527.9546959999998</v>
      </c>
      <c r="G438" t="str">
        <f t="shared" si="12"/>
        <v>4007</v>
      </c>
      <c r="H438" t="str">
        <f t="shared" si="13"/>
        <v>Employee related costs</v>
      </c>
    </row>
    <row r="439" spans="1:8" x14ac:dyDescent="0.25">
      <c r="A439" t="s">
        <v>638</v>
      </c>
      <c r="B439" t="s">
        <v>174</v>
      </c>
      <c r="C439" s="67">
        <v>7289</v>
      </c>
      <c r="D439" s="67">
        <v>7289</v>
      </c>
      <c r="E439" s="67">
        <v>0</v>
      </c>
      <c r="F439" s="67">
        <v>0</v>
      </c>
      <c r="G439" t="str">
        <f t="shared" si="12"/>
        <v>4007</v>
      </c>
      <c r="H439" t="str">
        <f t="shared" si="13"/>
        <v>Employee related costs</v>
      </c>
    </row>
    <row r="440" spans="1:8" x14ac:dyDescent="0.25">
      <c r="A440" t="s">
        <v>639</v>
      </c>
      <c r="B440" t="s">
        <v>175</v>
      </c>
      <c r="C440" s="67">
        <v>4874</v>
      </c>
      <c r="D440" s="67">
        <v>4874</v>
      </c>
      <c r="E440" s="67">
        <v>17729.2844</v>
      </c>
      <c r="F440" s="67">
        <v>18970.334308000001</v>
      </c>
      <c r="G440" t="str">
        <f t="shared" si="12"/>
        <v>4007</v>
      </c>
      <c r="H440" t="str">
        <f t="shared" si="13"/>
        <v>Employee related costs</v>
      </c>
    </row>
    <row r="441" spans="1:8" x14ac:dyDescent="0.25">
      <c r="A441" t="s">
        <v>640</v>
      </c>
      <c r="B441" t="s">
        <v>212</v>
      </c>
      <c r="C441" s="67">
        <v>300000</v>
      </c>
      <c r="D441" s="67">
        <v>300000</v>
      </c>
      <c r="E441" s="67">
        <v>318000</v>
      </c>
      <c r="F441" s="67">
        <v>335172</v>
      </c>
      <c r="G441" t="str">
        <f t="shared" si="12"/>
        <v>4007</v>
      </c>
      <c r="H441" t="str">
        <f t="shared" si="13"/>
        <v>Contracted services</v>
      </c>
    </row>
    <row r="442" spans="1:8" x14ac:dyDescent="0.25">
      <c r="A442" t="s">
        <v>641</v>
      </c>
      <c r="B442" t="s">
        <v>226</v>
      </c>
      <c r="C442" s="67">
        <v>1200000</v>
      </c>
      <c r="D442" s="67">
        <v>1200000</v>
      </c>
      <c r="E442" s="67">
        <v>1272000</v>
      </c>
      <c r="F442" s="67">
        <v>1340688</v>
      </c>
      <c r="G442" t="str">
        <f t="shared" si="12"/>
        <v>4007</v>
      </c>
      <c r="H442" t="str">
        <f t="shared" si="13"/>
        <v>Contracted services</v>
      </c>
    </row>
    <row r="443" spans="1:8" x14ac:dyDescent="0.25">
      <c r="A443" t="s">
        <v>642</v>
      </c>
      <c r="B443" t="s">
        <v>265</v>
      </c>
      <c r="C443" s="67">
        <v>0</v>
      </c>
      <c r="D443" s="67">
        <v>10000</v>
      </c>
      <c r="E443" s="67">
        <v>0</v>
      </c>
      <c r="F443" s="67">
        <v>0</v>
      </c>
      <c r="G443" t="str">
        <f t="shared" si="12"/>
        <v>4007</v>
      </c>
      <c r="H443" t="str">
        <f t="shared" si="13"/>
        <v>General expenses</v>
      </c>
    </row>
    <row r="444" spans="1:8" x14ac:dyDescent="0.25">
      <c r="A444" t="s">
        <v>643</v>
      </c>
      <c r="B444" t="s">
        <v>268</v>
      </c>
      <c r="C444" s="67">
        <v>0</v>
      </c>
      <c r="D444" s="67">
        <v>20000</v>
      </c>
      <c r="E444" s="67">
        <v>0</v>
      </c>
      <c r="F444" s="67">
        <v>0</v>
      </c>
      <c r="G444" t="str">
        <f t="shared" si="12"/>
        <v>4007</v>
      </c>
      <c r="H444" t="str">
        <f t="shared" si="13"/>
        <v>General expenses</v>
      </c>
    </row>
    <row r="445" spans="1:8" x14ac:dyDescent="0.25">
      <c r="A445" t="s">
        <v>1574</v>
      </c>
      <c r="B445" t="s">
        <v>1404</v>
      </c>
      <c r="C445" s="67">
        <v>-2513873</v>
      </c>
      <c r="D445" s="67">
        <v>-2593873</v>
      </c>
      <c r="E445" s="67">
        <v>-2679842.6572391763</v>
      </c>
      <c r="F445" s="67">
        <v>-2841991.6432459191</v>
      </c>
      <c r="G445" t="str">
        <f t="shared" si="12"/>
        <v>4007</v>
      </c>
      <c r="H445" t="str">
        <f t="shared" si="13"/>
        <v>Accumulated surplus</v>
      </c>
    </row>
    <row r="446" spans="1:8" x14ac:dyDescent="0.25">
      <c r="A446" t="s">
        <v>1575</v>
      </c>
      <c r="B446" t="s">
        <v>1462</v>
      </c>
      <c r="C446" s="67">
        <v>0</v>
      </c>
      <c r="D446" s="67">
        <v>2862524.77</v>
      </c>
      <c r="E446" s="67">
        <v>5456397.7699999996</v>
      </c>
      <c r="F446" s="67">
        <v>8136240.4272391759</v>
      </c>
      <c r="G446" t="str">
        <f t="shared" si="12"/>
        <v>4007</v>
      </c>
      <c r="H446" t="str">
        <f t="shared" si="13"/>
        <v>Reserves</v>
      </c>
    </row>
    <row r="447" spans="1:8" x14ac:dyDescent="0.25">
      <c r="A447" t="s">
        <v>1576</v>
      </c>
      <c r="B447" t="s">
        <v>1464</v>
      </c>
      <c r="C447" s="67">
        <v>2513873</v>
      </c>
      <c r="D447" s="67">
        <v>2593873</v>
      </c>
      <c r="E447" s="67">
        <v>2679842.6572391763</v>
      </c>
      <c r="F447" s="67">
        <v>2841991.6432459191</v>
      </c>
      <c r="G447" t="str">
        <f t="shared" si="12"/>
        <v>4007</v>
      </c>
      <c r="H447" t="str">
        <f t="shared" si="13"/>
        <v>Reserves</v>
      </c>
    </row>
    <row r="448" spans="1:8" x14ac:dyDescent="0.25">
      <c r="A448" t="s">
        <v>644</v>
      </c>
      <c r="B448" t="s">
        <v>150</v>
      </c>
      <c r="C448" s="67">
        <v>390877</v>
      </c>
      <c r="D448" s="67">
        <v>390877</v>
      </c>
      <c r="E448" s="67">
        <v>418237.90036800003</v>
      </c>
      <c r="F448" s="67">
        <v>447514.55339376006</v>
      </c>
      <c r="G448" t="str">
        <f t="shared" si="12"/>
        <v>4010</v>
      </c>
      <c r="H448" t="str">
        <f t="shared" si="13"/>
        <v>Employee related costs</v>
      </c>
    </row>
    <row r="449" spans="1:8" x14ac:dyDescent="0.25">
      <c r="A449" t="s">
        <v>645</v>
      </c>
      <c r="B449" t="s">
        <v>151</v>
      </c>
      <c r="C449" s="67">
        <v>17744</v>
      </c>
      <c r="D449" s="67">
        <v>8467.0899999999965</v>
      </c>
      <c r="E449" s="67">
        <v>100</v>
      </c>
      <c r="F449" s="67">
        <v>2532.46</v>
      </c>
      <c r="G449" t="str">
        <f t="shared" si="12"/>
        <v>4010</v>
      </c>
      <c r="H449" t="str">
        <f t="shared" si="13"/>
        <v>Employee related costs</v>
      </c>
    </row>
    <row r="450" spans="1:8" x14ac:dyDescent="0.25">
      <c r="A450" t="s">
        <v>646</v>
      </c>
      <c r="B450" t="s">
        <v>152</v>
      </c>
      <c r="C450" s="67">
        <v>14100</v>
      </c>
      <c r="D450" s="67">
        <v>14100</v>
      </c>
      <c r="E450" s="67">
        <v>31643.158364000003</v>
      </c>
      <c r="F450" s="67">
        <v>33858.179449480005</v>
      </c>
      <c r="G450" t="str">
        <f t="shared" ref="G450:G513" si="14">VLOOKUP(A450,s,2,FALSE)</f>
        <v>4010</v>
      </c>
      <c r="H450" t="str">
        <f t="shared" ref="H450:H513" si="15">VLOOKUP(A450,s,3,FALSE)</f>
        <v>Employee related costs</v>
      </c>
    </row>
    <row r="451" spans="1:8" x14ac:dyDescent="0.25">
      <c r="A451" t="s">
        <v>647</v>
      </c>
      <c r="B451" t="s">
        <v>155</v>
      </c>
      <c r="C451" s="67">
        <v>11776</v>
      </c>
      <c r="D451" s="67">
        <v>11776</v>
      </c>
      <c r="E451" s="67">
        <v>15087</v>
      </c>
      <c r="F451" s="67">
        <v>16143.09</v>
      </c>
      <c r="G451" t="str">
        <f t="shared" si="14"/>
        <v>4010</v>
      </c>
      <c r="H451" t="str">
        <f t="shared" si="15"/>
        <v>Employee related costs</v>
      </c>
    </row>
    <row r="452" spans="1:8" x14ac:dyDescent="0.25">
      <c r="A452" t="s">
        <v>648</v>
      </c>
      <c r="B452" t="s">
        <v>156</v>
      </c>
      <c r="C452" s="67">
        <v>88719</v>
      </c>
      <c r="D452" s="67">
        <v>88719</v>
      </c>
      <c r="E452" s="67">
        <v>12600.547916449317</v>
      </c>
      <c r="F452" s="67">
        <v>13482.58627060077</v>
      </c>
      <c r="G452" t="str">
        <f t="shared" si="14"/>
        <v>4010</v>
      </c>
      <c r="H452" t="str">
        <f t="shared" si="15"/>
        <v>Employee related costs</v>
      </c>
    </row>
    <row r="453" spans="1:8" x14ac:dyDescent="0.25">
      <c r="A453" t="s">
        <v>649</v>
      </c>
      <c r="B453" t="s">
        <v>158</v>
      </c>
      <c r="C453" s="67">
        <v>7098</v>
      </c>
      <c r="D453" s="67">
        <v>7098</v>
      </c>
      <c r="E453" s="67">
        <v>94929.475092000008</v>
      </c>
      <c r="F453" s="67">
        <v>101574.53834844001</v>
      </c>
      <c r="G453" t="str">
        <f t="shared" si="14"/>
        <v>4010</v>
      </c>
      <c r="H453" t="str">
        <f t="shared" si="15"/>
        <v>Employee related costs</v>
      </c>
    </row>
    <row r="454" spans="1:8" x14ac:dyDescent="0.25">
      <c r="A454" t="s">
        <v>650</v>
      </c>
      <c r="B454" t="s">
        <v>159</v>
      </c>
      <c r="C454" s="67">
        <v>29573</v>
      </c>
      <c r="D454" s="67">
        <v>29573</v>
      </c>
      <c r="E454" s="67">
        <v>7594.3580073600006</v>
      </c>
      <c r="F454" s="67">
        <v>8125.9630678752001</v>
      </c>
      <c r="G454" t="str">
        <f t="shared" si="14"/>
        <v>4010</v>
      </c>
      <c r="H454" t="str">
        <f t="shared" si="15"/>
        <v>Employee related costs</v>
      </c>
    </row>
    <row r="455" spans="1:8" x14ac:dyDescent="0.25">
      <c r="A455" t="s">
        <v>651</v>
      </c>
      <c r="B455" t="s">
        <v>164</v>
      </c>
      <c r="C455" s="67">
        <v>15692</v>
      </c>
      <c r="D455" s="67">
        <v>15692</v>
      </c>
      <c r="E455" s="67">
        <v>16790.868000000002</v>
      </c>
      <c r="F455" s="67">
        <v>17966.228760000002</v>
      </c>
      <c r="G455" t="str">
        <f t="shared" si="14"/>
        <v>4010</v>
      </c>
      <c r="H455" t="str">
        <f t="shared" si="15"/>
        <v>Employee related costs</v>
      </c>
    </row>
    <row r="456" spans="1:8" x14ac:dyDescent="0.25">
      <c r="A456" t="s">
        <v>652</v>
      </c>
      <c r="B456" t="s">
        <v>167</v>
      </c>
      <c r="C456" s="67">
        <v>112</v>
      </c>
      <c r="D456" s="67">
        <v>112</v>
      </c>
      <c r="E456" s="67">
        <v>120.21449999999999</v>
      </c>
      <c r="F456" s="67">
        <v>128.629515</v>
      </c>
      <c r="G456" t="str">
        <f t="shared" si="14"/>
        <v>4010</v>
      </c>
      <c r="H456" t="str">
        <f t="shared" si="15"/>
        <v>Employee related costs</v>
      </c>
    </row>
    <row r="457" spans="1:8" x14ac:dyDescent="0.25">
      <c r="A457" t="s">
        <v>653</v>
      </c>
      <c r="B457" t="s">
        <v>168</v>
      </c>
      <c r="C457" s="67">
        <v>53908</v>
      </c>
      <c r="D457" s="67">
        <v>53908</v>
      </c>
      <c r="E457" s="67">
        <v>57681.774000000005</v>
      </c>
      <c r="F457" s="67">
        <v>61719.498180000002</v>
      </c>
      <c r="G457" t="str">
        <f t="shared" si="14"/>
        <v>4010</v>
      </c>
      <c r="H457" t="str">
        <f t="shared" si="15"/>
        <v>Employee related costs</v>
      </c>
    </row>
    <row r="458" spans="1:8" x14ac:dyDescent="0.25">
      <c r="A458" t="s">
        <v>654</v>
      </c>
      <c r="B458" t="s">
        <v>169</v>
      </c>
      <c r="C458" s="67">
        <v>78073</v>
      </c>
      <c r="D458" s="67">
        <v>78073</v>
      </c>
      <c r="E458" s="67">
        <v>83537.938080959997</v>
      </c>
      <c r="F458" s="67">
        <v>89385.593746627201</v>
      </c>
      <c r="G458" t="str">
        <f t="shared" si="14"/>
        <v>4010</v>
      </c>
      <c r="H458" t="str">
        <f t="shared" si="15"/>
        <v>Employee related costs</v>
      </c>
    </row>
    <row r="459" spans="1:8" x14ac:dyDescent="0.25">
      <c r="A459" t="s">
        <v>655</v>
      </c>
      <c r="B459" t="s">
        <v>170</v>
      </c>
      <c r="C459" s="67">
        <v>1785</v>
      </c>
      <c r="D459" s="67">
        <v>1785</v>
      </c>
      <c r="E459" s="67">
        <v>1909.95</v>
      </c>
      <c r="F459" s="67">
        <v>2043.6465000000001</v>
      </c>
      <c r="G459" t="str">
        <f t="shared" si="14"/>
        <v>4010</v>
      </c>
      <c r="H459" t="str">
        <f t="shared" si="15"/>
        <v>Employee related costs</v>
      </c>
    </row>
    <row r="460" spans="1:8" x14ac:dyDescent="0.25">
      <c r="A460" t="s">
        <v>656</v>
      </c>
      <c r="B460" t="s">
        <v>173</v>
      </c>
      <c r="C460" s="67">
        <v>753</v>
      </c>
      <c r="D460" s="67">
        <v>753</v>
      </c>
      <c r="E460" s="67">
        <v>797.75600000000009</v>
      </c>
      <c r="F460" s="67">
        <v>853.59892000000013</v>
      </c>
      <c r="G460" t="str">
        <f t="shared" si="14"/>
        <v>4010</v>
      </c>
      <c r="H460" t="str">
        <f t="shared" si="15"/>
        <v>Employee related costs</v>
      </c>
    </row>
    <row r="461" spans="1:8" x14ac:dyDescent="0.25">
      <c r="A461" t="s">
        <v>657</v>
      </c>
      <c r="B461" t="s">
        <v>174</v>
      </c>
      <c r="C461" s="67">
        <v>398</v>
      </c>
      <c r="D461" s="67">
        <v>398</v>
      </c>
      <c r="E461" s="67">
        <v>421.35</v>
      </c>
      <c r="F461" s="67">
        <v>450.84450000000004</v>
      </c>
      <c r="G461" t="str">
        <f t="shared" si="14"/>
        <v>4010</v>
      </c>
      <c r="H461" t="str">
        <f t="shared" si="15"/>
        <v>Employee related costs</v>
      </c>
    </row>
    <row r="462" spans="1:8" x14ac:dyDescent="0.25">
      <c r="A462" t="s">
        <v>658</v>
      </c>
      <c r="B462" t="s">
        <v>175</v>
      </c>
      <c r="C462" s="67">
        <v>2789</v>
      </c>
      <c r="D462" s="67">
        <v>2789</v>
      </c>
      <c r="E462" s="67">
        <v>2956.1916000000001</v>
      </c>
      <c r="F462" s="67">
        <v>3163.125012</v>
      </c>
      <c r="G462" t="str">
        <f t="shared" si="14"/>
        <v>4010</v>
      </c>
      <c r="H462" t="str">
        <f t="shared" si="15"/>
        <v>Employee related costs</v>
      </c>
    </row>
    <row r="463" spans="1:8" x14ac:dyDescent="0.25">
      <c r="A463" t="s">
        <v>659</v>
      </c>
      <c r="B463" t="s">
        <v>242</v>
      </c>
      <c r="C463" s="67">
        <v>521759</v>
      </c>
      <c r="D463" s="67">
        <v>543039</v>
      </c>
      <c r="E463" s="67">
        <v>553064.01</v>
      </c>
      <c r="F463" s="67">
        <v>582929.46654000005</v>
      </c>
      <c r="G463" t="str">
        <f t="shared" si="14"/>
        <v>4010</v>
      </c>
      <c r="H463" t="str">
        <f t="shared" si="15"/>
        <v>General expenses</v>
      </c>
    </row>
    <row r="464" spans="1:8" x14ac:dyDescent="0.25">
      <c r="A464" t="s">
        <v>660</v>
      </c>
      <c r="B464" t="s">
        <v>260</v>
      </c>
      <c r="C464" s="67">
        <v>1101000</v>
      </c>
      <c r="D464" s="67">
        <v>1201000</v>
      </c>
      <c r="E464" s="67">
        <v>1167060</v>
      </c>
      <c r="F464" s="67">
        <v>1230081.24</v>
      </c>
      <c r="G464" t="str">
        <f t="shared" si="14"/>
        <v>4010</v>
      </c>
      <c r="H464" t="str">
        <f t="shared" si="15"/>
        <v>General expenses</v>
      </c>
    </row>
    <row r="465" spans="1:8" x14ac:dyDescent="0.25">
      <c r="A465" t="s">
        <v>661</v>
      </c>
      <c r="B465" t="s">
        <v>265</v>
      </c>
      <c r="C465" s="67">
        <v>0</v>
      </c>
      <c r="D465" s="67">
        <v>6000</v>
      </c>
      <c r="E465" s="67">
        <v>0</v>
      </c>
      <c r="F465" s="67">
        <v>0</v>
      </c>
      <c r="G465" t="str">
        <f t="shared" si="14"/>
        <v>4010</v>
      </c>
      <c r="H465" t="str">
        <f t="shared" si="15"/>
        <v>General expenses</v>
      </c>
    </row>
    <row r="466" spans="1:8" x14ac:dyDescent="0.25">
      <c r="A466" t="s">
        <v>662</v>
      </c>
      <c r="B466" t="s">
        <v>268</v>
      </c>
      <c r="C466" s="67">
        <v>0</v>
      </c>
      <c r="D466" s="67">
        <v>40000</v>
      </c>
      <c r="E466" s="67">
        <v>0</v>
      </c>
      <c r="F466" s="67">
        <v>0</v>
      </c>
      <c r="G466" t="str">
        <f t="shared" si="14"/>
        <v>4010</v>
      </c>
      <c r="H466" t="str">
        <f t="shared" si="15"/>
        <v>General expenses</v>
      </c>
    </row>
    <row r="467" spans="1:8" x14ac:dyDescent="0.25">
      <c r="A467" t="s">
        <v>1577</v>
      </c>
      <c r="B467" t="s">
        <v>1404</v>
      </c>
      <c r="C467" s="67">
        <v>-2336156</v>
      </c>
      <c r="D467" s="67">
        <v>-2503436</v>
      </c>
      <c r="E467" s="67">
        <v>-2483418.3869471694</v>
      </c>
      <c r="F467" s="67">
        <v>-2629735.6898734714</v>
      </c>
      <c r="G467" t="str">
        <f t="shared" si="14"/>
        <v>4010</v>
      </c>
      <c r="H467" t="str">
        <f t="shared" si="15"/>
        <v>Accumulated surplus</v>
      </c>
    </row>
    <row r="468" spans="1:8" x14ac:dyDescent="0.25">
      <c r="A468" t="s">
        <v>1578</v>
      </c>
      <c r="B468" t="s">
        <v>1422</v>
      </c>
      <c r="C468" s="67">
        <v>0</v>
      </c>
      <c r="D468" s="67">
        <v>136108.70000000001</v>
      </c>
      <c r="E468" s="67">
        <v>136108.70000000001</v>
      </c>
      <c r="F468" s="67">
        <v>286108.7</v>
      </c>
      <c r="G468" t="str">
        <f t="shared" si="14"/>
        <v>4010</v>
      </c>
      <c r="H468" t="str">
        <f t="shared" si="15"/>
        <v>Non-Current Assets (Cost)</v>
      </c>
    </row>
    <row r="469" spans="1:8" x14ac:dyDescent="0.25">
      <c r="A469" t="s">
        <v>1579</v>
      </c>
      <c r="B469" t="s">
        <v>1342</v>
      </c>
      <c r="C469" s="67">
        <v>150000</v>
      </c>
      <c r="D469" s="67">
        <v>150000</v>
      </c>
      <c r="E469" s="67">
        <v>150000</v>
      </c>
      <c r="F469" s="67">
        <v>150000</v>
      </c>
      <c r="G469" t="str">
        <f t="shared" si="14"/>
        <v>4010</v>
      </c>
      <c r="H469" t="str">
        <f t="shared" si="15"/>
        <v>Non-Current Assets (Acquisitions)</v>
      </c>
    </row>
    <row r="470" spans="1:8" x14ac:dyDescent="0.25">
      <c r="A470" t="s">
        <v>1580</v>
      </c>
      <c r="B470" t="s">
        <v>1430</v>
      </c>
      <c r="C470" s="67">
        <v>0</v>
      </c>
      <c r="D470" s="67">
        <v>-9277.7800000000007</v>
      </c>
      <c r="E470" s="67">
        <v>-9277.7800000000007</v>
      </c>
      <c r="F470" s="67">
        <v>-9277.7800000000007</v>
      </c>
      <c r="G470" t="str">
        <f t="shared" si="14"/>
        <v>4010</v>
      </c>
      <c r="H470" t="str">
        <f t="shared" si="15"/>
        <v>Non-Current Assets (Acc Depreciation)</v>
      </c>
    </row>
    <row r="471" spans="1:8" x14ac:dyDescent="0.25">
      <c r="A471" t="s">
        <v>1581</v>
      </c>
      <c r="B471" t="s">
        <v>1460</v>
      </c>
      <c r="C471" s="67">
        <v>-48461</v>
      </c>
      <c r="D471" s="67">
        <v>-48461</v>
      </c>
      <c r="E471" s="67">
        <v>-53307.1</v>
      </c>
      <c r="F471" s="67">
        <v>-58637.81</v>
      </c>
      <c r="G471" t="str">
        <f t="shared" si="14"/>
        <v>4010</v>
      </c>
      <c r="H471" t="str">
        <f t="shared" si="15"/>
        <v>Current Employee Benefits</v>
      </c>
    </row>
    <row r="472" spans="1:8" x14ac:dyDescent="0.25">
      <c r="A472" t="s">
        <v>1582</v>
      </c>
      <c r="B472" t="s">
        <v>1462</v>
      </c>
      <c r="C472" s="67">
        <v>48460</v>
      </c>
      <c r="D472" s="67">
        <v>2838104.5</v>
      </c>
      <c r="E472" s="67">
        <v>5341540.5</v>
      </c>
      <c r="F472" s="67">
        <v>7824958.8869471699</v>
      </c>
      <c r="G472" t="str">
        <f t="shared" si="14"/>
        <v>4010</v>
      </c>
      <c r="H472" t="str">
        <f t="shared" si="15"/>
        <v>Reserves</v>
      </c>
    </row>
    <row r="473" spans="1:8" x14ac:dyDescent="0.25">
      <c r="A473" t="s">
        <v>1583</v>
      </c>
      <c r="B473" t="s">
        <v>1464</v>
      </c>
      <c r="C473" s="67">
        <v>2336156</v>
      </c>
      <c r="D473" s="67">
        <v>2503436</v>
      </c>
      <c r="E473" s="67">
        <v>2483418.3869471694</v>
      </c>
      <c r="F473" s="67">
        <v>2629735.6898734714</v>
      </c>
      <c r="G473" t="str">
        <f t="shared" si="14"/>
        <v>4010</v>
      </c>
      <c r="H473" t="str">
        <f t="shared" si="15"/>
        <v>Reserves</v>
      </c>
    </row>
    <row r="474" spans="1:8" x14ac:dyDescent="0.25">
      <c r="A474" t="s">
        <v>664</v>
      </c>
      <c r="B474" t="s">
        <v>150</v>
      </c>
      <c r="C474" s="67">
        <v>853944</v>
      </c>
      <c r="D474" s="67">
        <v>853944</v>
      </c>
      <c r="E474" s="67">
        <v>913719.72690000001</v>
      </c>
      <c r="F474" s="67">
        <v>977680.10778299998</v>
      </c>
      <c r="G474" t="str">
        <f t="shared" si="14"/>
        <v>4015</v>
      </c>
      <c r="H474" t="str">
        <f t="shared" si="15"/>
        <v>Employee related costs</v>
      </c>
    </row>
    <row r="475" spans="1:8" x14ac:dyDescent="0.25">
      <c r="A475" t="s">
        <v>665</v>
      </c>
      <c r="B475" t="s">
        <v>151</v>
      </c>
      <c r="C475" s="67">
        <v>42697</v>
      </c>
      <c r="D475" s="67">
        <v>8467.0900000000038</v>
      </c>
      <c r="E475" s="67">
        <v>100</v>
      </c>
      <c r="F475" s="67">
        <v>2532.46</v>
      </c>
      <c r="G475" t="str">
        <f t="shared" si="14"/>
        <v>4015</v>
      </c>
      <c r="H475" t="str">
        <f t="shared" si="15"/>
        <v>Employee related costs</v>
      </c>
    </row>
    <row r="476" spans="1:8" x14ac:dyDescent="0.25">
      <c r="A476" t="s">
        <v>666</v>
      </c>
      <c r="B476" t="s">
        <v>152</v>
      </c>
      <c r="C476" s="67">
        <v>24000</v>
      </c>
      <c r="D476" s="67">
        <v>24000</v>
      </c>
      <c r="E476" s="67">
        <v>76143.31057500001</v>
      </c>
      <c r="F476" s="67">
        <v>81473.342315250018</v>
      </c>
      <c r="G476" t="str">
        <f t="shared" si="14"/>
        <v>4015</v>
      </c>
      <c r="H476" t="str">
        <f t="shared" si="15"/>
        <v>Employee related costs</v>
      </c>
    </row>
    <row r="477" spans="1:8" x14ac:dyDescent="0.25">
      <c r="A477" t="s">
        <v>667</v>
      </c>
      <c r="B477" t="s">
        <v>153</v>
      </c>
      <c r="C477" s="67">
        <v>21786</v>
      </c>
      <c r="D477" s="67">
        <v>21786</v>
      </c>
      <c r="E477" s="67">
        <v>25680</v>
      </c>
      <c r="F477" s="67">
        <v>27477.599999999999</v>
      </c>
      <c r="G477" t="str">
        <f t="shared" si="14"/>
        <v>4015</v>
      </c>
      <c r="H477" t="str">
        <f t="shared" si="15"/>
        <v>Employee related costs</v>
      </c>
    </row>
    <row r="478" spans="1:8" x14ac:dyDescent="0.25">
      <c r="A478" t="s">
        <v>668</v>
      </c>
      <c r="B478" t="s">
        <v>155</v>
      </c>
      <c r="C478" s="67">
        <v>20806</v>
      </c>
      <c r="D478" s="67">
        <v>20806</v>
      </c>
      <c r="E478" s="67">
        <v>23311.533599999999</v>
      </c>
      <c r="F478" s="67">
        <v>24943.340951999999</v>
      </c>
      <c r="G478" t="str">
        <f t="shared" si="14"/>
        <v>4015</v>
      </c>
      <c r="H478" t="str">
        <f t="shared" si="15"/>
        <v>Employee related costs</v>
      </c>
    </row>
    <row r="479" spans="1:8" x14ac:dyDescent="0.25">
      <c r="A479" t="s">
        <v>669</v>
      </c>
      <c r="B479" t="s">
        <v>156</v>
      </c>
      <c r="C479" s="67">
        <v>156750</v>
      </c>
      <c r="D479" s="67">
        <v>156750</v>
      </c>
      <c r="E479" s="67">
        <v>22262.782803287668</v>
      </c>
      <c r="F479" s="67">
        <v>23821.177599517803</v>
      </c>
      <c r="G479" t="str">
        <f t="shared" si="14"/>
        <v>4015</v>
      </c>
      <c r="H479" t="str">
        <f t="shared" si="15"/>
        <v>Employee related costs</v>
      </c>
    </row>
    <row r="480" spans="1:8" x14ac:dyDescent="0.25">
      <c r="A480" t="s">
        <v>670</v>
      </c>
      <c r="B480" t="s">
        <v>158</v>
      </c>
      <c r="C480" s="67">
        <v>12540</v>
      </c>
      <c r="D480" s="67">
        <v>12540</v>
      </c>
      <c r="E480" s="67">
        <v>167722.41172500001</v>
      </c>
      <c r="F480" s="67">
        <v>179462.98054575</v>
      </c>
      <c r="G480" t="str">
        <f t="shared" si="14"/>
        <v>4015</v>
      </c>
      <c r="H480" t="str">
        <f t="shared" si="15"/>
        <v>Employee related costs</v>
      </c>
    </row>
    <row r="481" spans="1:8" x14ac:dyDescent="0.25">
      <c r="A481" t="s">
        <v>671</v>
      </c>
      <c r="B481" t="s">
        <v>159</v>
      </c>
      <c r="C481" s="67">
        <v>71162</v>
      </c>
      <c r="D481" s="67">
        <v>71162</v>
      </c>
      <c r="E481" s="67">
        <v>13417.792938000001</v>
      </c>
      <c r="F481" s="67">
        <v>14357.03844366</v>
      </c>
      <c r="G481" t="str">
        <f t="shared" si="14"/>
        <v>4015</v>
      </c>
      <c r="H481" t="str">
        <f t="shared" si="15"/>
        <v>Employee related costs</v>
      </c>
    </row>
    <row r="482" spans="1:8" x14ac:dyDescent="0.25">
      <c r="A482" t="s">
        <v>672</v>
      </c>
      <c r="B482" t="s">
        <v>164</v>
      </c>
      <c r="C482" s="67">
        <v>15692</v>
      </c>
      <c r="D482" s="67">
        <v>15692</v>
      </c>
      <c r="E482" s="67">
        <v>16790.868000000002</v>
      </c>
      <c r="F482" s="67">
        <v>17966.228760000002</v>
      </c>
      <c r="G482" t="str">
        <f t="shared" si="14"/>
        <v>4015</v>
      </c>
      <c r="H482" t="str">
        <f t="shared" si="15"/>
        <v>Employee related costs</v>
      </c>
    </row>
    <row r="483" spans="1:8" x14ac:dyDescent="0.25">
      <c r="A483" t="s">
        <v>673</v>
      </c>
      <c r="B483" t="s">
        <v>167</v>
      </c>
      <c r="C483" s="67">
        <v>224</v>
      </c>
      <c r="D483" s="67">
        <v>224</v>
      </c>
      <c r="E483" s="67">
        <v>240.05449999999999</v>
      </c>
      <c r="F483" s="67">
        <v>256.858315</v>
      </c>
      <c r="G483" t="str">
        <f t="shared" si="14"/>
        <v>4015</v>
      </c>
      <c r="H483" t="str">
        <f t="shared" si="15"/>
        <v>Employee related costs</v>
      </c>
    </row>
    <row r="484" spans="1:8" x14ac:dyDescent="0.25">
      <c r="A484" t="s">
        <v>674</v>
      </c>
      <c r="B484" t="s">
        <v>168</v>
      </c>
      <c r="C484" s="67">
        <v>107816</v>
      </c>
      <c r="D484" s="67">
        <v>47816</v>
      </c>
      <c r="E484" s="67">
        <v>115363.54800000001</v>
      </c>
      <c r="F484" s="67">
        <v>123438.99636</v>
      </c>
      <c r="G484" t="str">
        <f t="shared" si="14"/>
        <v>4015</v>
      </c>
      <c r="H484" t="str">
        <f t="shared" si="15"/>
        <v>Employee related costs</v>
      </c>
    </row>
    <row r="485" spans="1:8" x14ac:dyDescent="0.25">
      <c r="A485" t="s">
        <v>675</v>
      </c>
      <c r="B485" t="s">
        <v>169</v>
      </c>
      <c r="C485" s="67">
        <v>187868</v>
      </c>
      <c r="D485" s="67">
        <v>187868</v>
      </c>
      <c r="E485" s="67">
        <v>201018.33991800001</v>
      </c>
      <c r="F485" s="67">
        <v>215089.62371226001</v>
      </c>
      <c r="G485" t="str">
        <f t="shared" si="14"/>
        <v>4015</v>
      </c>
      <c r="H485" t="str">
        <f t="shared" si="15"/>
        <v>Employee related costs</v>
      </c>
    </row>
    <row r="486" spans="1:8" x14ac:dyDescent="0.25">
      <c r="A486" t="s">
        <v>676</v>
      </c>
      <c r="B486" t="s">
        <v>170</v>
      </c>
      <c r="C486" s="67">
        <v>3570</v>
      </c>
      <c r="D486" s="67">
        <v>3570</v>
      </c>
      <c r="E486" s="67">
        <v>3819.9</v>
      </c>
      <c r="F486" s="67">
        <v>4087.2930000000001</v>
      </c>
      <c r="G486" t="str">
        <f t="shared" si="14"/>
        <v>4015</v>
      </c>
      <c r="H486" t="str">
        <f t="shared" si="15"/>
        <v>Employee related costs</v>
      </c>
    </row>
    <row r="487" spans="1:8" x14ac:dyDescent="0.25">
      <c r="A487" t="s">
        <v>677</v>
      </c>
      <c r="B487" t="s">
        <v>173</v>
      </c>
      <c r="C487" s="67">
        <v>20768</v>
      </c>
      <c r="D487" s="67">
        <v>20768</v>
      </c>
      <c r="E487" s="67">
        <v>22013.571199999998</v>
      </c>
      <c r="F487" s="67">
        <v>23554.521183999997</v>
      </c>
      <c r="G487" t="str">
        <f t="shared" si="14"/>
        <v>4015</v>
      </c>
      <c r="H487" t="str">
        <f t="shared" si="15"/>
        <v>Employee related costs</v>
      </c>
    </row>
    <row r="488" spans="1:8" x14ac:dyDescent="0.25">
      <c r="A488" t="s">
        <v>678</v>
      </c>
      <c r="B488" t="s">
        <v>174</v>
      </c>
      <c r="C488" s="67">
        <v>19770</v>
      </c>
      <c r="D488" s="67">
        <v>19770</v>
      </c>
      <c r="E488" s="67">
        <v>20956.263600000002</v>
      </c>
      <c r="F488" s="67">
        <v>22423.202052000001</v>
      </c>
      <c r="G488" t="str">
        <f t="shared" si="14"/>
        <v>4015</v>
      </c>
      <c r="H488" t="str">
        <f t="shared" si="15"/>
        <v>Employee related costs</v>
      </c>
    </row>
    <row r="489" spans="1:8" x14ac:dyDescent="0.25">
      <c r="A489" t="s">
        <v>679</v>
      </c>
      <c r="B489" t="s">
        <v>175</v>
      </c>
      <c r="C489" s="67">
        <v>6053</v>
      </c>
      <c r="D489" s="67">
        <v>6053</v>
      </c>
      <c r="E489" s="67">
        <v>6415.7560000000003</v>
      </c>
      <c r="F489" s="67">
        <v>6864.8589200000006</v>
      </c>
      <c r="G489" t="str">
        <f t="shared" si="14"/>
        <v>4015</v>
      </c>
      <c r="H489" t="str">
        <f t="shared" si="15"/>
        <v>Employee related costs</v>
      </c>
    </row>
    <row r="490" spans="1:8" x14ac:dyDescent="0.25">
      <c r="A490" t="s">
        <v>680</v>
      </c>
      <c r="B490" t="s">
        <v>221</v>
      </c>
      <c r="C490" s="67">
        <v>400000</v>
      </c>
      <c r="D490" s="67">
        <v>400000</v>
      </c>
      <c r="E490" s="67">
        <v>421600</v>
      </c>
      <c r="F490" s="67">
        <v>444366.4</v>
      </c>
      <c r="G490" t="str">
        <f t="shared" si="14"/>
        <v>4015</v>
      </c>
      <c r="H490" t="str">
        <f t="shared" si="15"/>
        <v>Contracted services</v>
      </c>
    </row>
    <row r="491" spans="1:8" x14ac:dyDescent="0.25">
      <c r="A491" t="s">
        <v>681</v>
      </c>
      <c r="B491" t="s">
        <v>265</v>
      </c>
      <c r="C491" s="67">
        <v>0</v>
      </c>
      <c r="D491" s="67">
        <v>10000</v>
      </c>
      <c r="E491" s="67">
        <v>0</v>
      </c>
      <c r="F491" s="67">
        <v>0</v>
      </c>
      <c r="G491" t="str">
        <f t="shared" si="14"/>
        <v>4015</v>
      </c>
      <c r="H491" t="str">
        <f t="shared" si="15"/>
        <v>General expenses</v>
      </c>
    </row>
    <row r="492" spans="1:8" x14ac:dyDescent="0.25">
      <c r="A492" t="s">
        <v>682</v>
      </c>
      <c r="B492" t="s">
        <v>268</v>
      </c>
      <c r="C492" s="67">
        <v>0</v>
      </c>
      <c r="D492" s="67">
        <v>25000</v>
      </c>
      <c r="E492" s="67">
        <v>0</v>
      </c>
      <c r="F492" s="67">
        <v>0</v>
      </c>
      <c r="G492" t="str">
        <f t="shared" si="14"/>
        <v>4015</v>
      </c>
      <c r="H492" t="str">
        <f t="shared" si="15"/>
        <v>General expenses</v>
      </c>
    </row>
    <row r="493" spans="1:8" x14ac:dyDescent="0.25">
      <c r="A493" t="s">
        <v>1584</v>
      </c>
      <c r="B493" t="s">
        <v>1404</v>
      </c>
      <c r="C493" s="67">
        <v>-1965446</v>
      </c>
      <c r="D493" s="67">
        <v>-1940446</v>
      </c>
      <c r="E493" s="67">
        <v>-2096161.8461042875</v>
      </c>
      <c r="F493" s="67">
        <v>-2236147.5753315883</v>
      </c>
      <c r="G493" t="str">
        <f t="shared" si="14"/>
        <v>4015</v>
      </c>
      <c r="H493" t="str">
        <f t="shared" si="15"/>
        <v>Accumulated surplus</v>
      </c>
    </row>
    <row r="494" spans="1:8" x14ac:dyDescent="0.25">
      <c r="A494" t="s">
        <v>1585</v>
      </c>
      <c r="B494" t="s">
        <v>1586</v>
      </c>
      <c r="C494" s="67">
        <v>0</v>
      </c>
      <c r="D494" s="67">
        <v>888633.68</v>
      </c>
      <c r="E494" s="67">
        <v>888633.68</v>
      </c>
      <c r="F494" s="67">
        <v>1688633.6800000002</v>
      </c>
      <c r="G494" t="str">
        <f t="shared" si="14"/>
        <v>4015</v>
      </c>
      <c r="H494" t="str">
        <f t="shared" si="15"/>
        <v>Non-Current Assets (Cost)</v>
      </c>
    </row>
    <row r="495" spans="1:8" x14ac:dyDescent="0.25">
      <c r="A495" t="s">
        <v>1587</v>
      </c>
      <c r="B495" t="s">
        <v>1460</v>
      </c>
      <c r="C495" s="67">
        <v>-58378</v>
      </c>
      <c r="D495" s="67">
        <v>-58378</v>
      </c>
      <c r="E495" s="67">
        <v>-64215.8</v>
      </c>
      <c r="F495" s="67">
        <v>-70637.38</v>
      </c>
      <c r="G495" t="str">
        <f t="shared" si="14"/>
        <v>4015</v>
      </c>
      <c r="H495" t="str">
        <f t="shared" si="15"/>
        <v>Current Employee Benefits</v>
      </c>
    </row>
    <row r="496" spans="1:8" x14ac:dyDescent="0.25">
      <c r="A496" t="s">
        <v>1588</v>
      </c>
      <c r="B496" t="s">
        <v>1462</v>
      </c>
      <c r="C496" s="67">
        <v>58377</v>
      </c>
      <c r="D496" s="67">
        <v>2481155.2000000002</v>
      </c>
      <c r="E496" s="67">
        <v>4421601.2</v>
      </c>
      <c r="F496" s="67">
        <v>6517763.0461042877</v>
      </c>
      <c r="G496" t="str">
        <f t="shared" si="14"/>
        <v>4015</v>
      </c>
      <c r="H496" t="str">
        <f t="shared" si="15"/>
        <v>Reserves</v>
      </c>
    </row>
    <row r="497" spans="1:8" x14ac:dyDescent="0.25">
      <c r="A497" t="s">
        <v>1589</v>
      </c>
      <c r="B497" t="s">
        <v>1464</v>
      </c>
      <c r="C497" s="67">
        <v>1965446</v>
      </c>
      <c r="D497" s="67">
        <v>1940446</v>
      </c>
      <c r="E497" s="67">
        <v>2096161.8461042875</v>
      </c>
      <c r="F497" s="67">
        <v>2236147.5753315883</v>
      </c>
      <c r="G497" t="str">
        <f t="shared" si="14"/>
        <v>4015</v>
      </c>
      <c r="H497" t="str">
        <f t="shared" si="15"/>
        <v>Reserves</v>
      </c>
    </row>
    <row r="498" spans="1:8" x14ac:dyDescent="0.25">
      <c r="A498" t="s">
        <v>684</v>
      </c>
      <c r="B498" t="s">
        <v>150</v>
      </c>
      <c r="C498" s="67">
        <v>1364454</v>
      </c>
      <c r="D498" s="67">
        <v>1364454</v>
      </c>
      <c r="E498" s="67">
        <v>1459965.9238080001</v>
      </c>
      <c r="F498" s="67">
        <v>1562163.53847456</v>
      </c>
      <c r="G498" t="str">
        <f t="shared" si="14"/>
        <v>4020</v>
      </c>
      <c r="H498" t="str">
        <f t="shared" si="15"/>
        <v>Employee related costs</v>
      </c>
    </row>
    <row r="499" spans="1:8" x14ac:dyDescent="0.25">
      <c r="A499" t="s">
        <v>685</v>
      </c>
      <c r="B499" t="s">
        <v>150</v>
      </c>
      <c r="C499" s="67">
        <v>80600</v>
      </c>
      <c r="D499" s="67">
        <v>80600</v>
      </c>
      <c r="E499" s="67">
        <v>100000</v>
      </c>
      <c r="F499" s="67">
        <v>100000</v>
      </c>
      <c r="G499" t="str">
        <f t="shared" si="14"/>
        <v>4020</v>
      </c>
      <c r="H499" t="str">
        <f t="shared" si="15"/>
        <v>Employee related costs</v>
      </c>
    </row>
    <row r="500" spans="1:8" x14ac:dyDescent="0.25">
      <c r="A500" t="s">
        <v>686</v>
      </c>
      <c r="B500" t="s">
        <v>151</v>
      </c>
      <c r="C500" s="67">
        <v>66423</v>
      </c>
      <c r="D500" s="67">
        <v>25401.270000000004</v>
      </c>
      <c r="E500" s="67">
        <v>16868.480000000003</v>
      </c>
      <c r="F500" s="67">
        <v>19300.940000000002</v>
      </c>
      <c r="G500" t="str">
        <f t="shared" si="14"/>
        <v>4020</v>
      </c>
      <c r="H500" t="str">
        <f t="shared" si="15"/>
        <v>Employee related costs</v>
      </c>
    </row>
    <row r="501" spans="1:8" x14ac:dyDescent="0.25">
      <c r="A501" t="s">
        <v>687</v>
      </c>
      <c r="B501" t="s">
        <v>152</v>
      </c>
      <c r="C501" s="67">
        <v>52200</v>
      </c>
      <c r="D501" s="67">
        <v>52200</v>
      </c>
      <c r="E501" s="67">
        <v>118453.82698400001</v>
      </c>
      <c r="F501" s="67">
        <v>126745.59487288001</v>
      </c>
      <c r="G501" t="str">
        <f t="shared" si="14"/>
        <v>4020</v>
      </c>
      <c r="H501" t="str">
        <f t="shared" si="15"/>
        <v>Employee related costs</v>
      </c>
    </row>
    <row r="502" spans="1:8" x14ac:dyDescent="0.25">
      <c r="A502" t="s">
        <v>688</v>
      </c>
      <c r="B502" t="s">
        <v>153</v>
      </c>
      <c r="C502" s="67">
        <v>21786</v>
      </c>
      <c r="D502" s="67">
        <v>21786</v>
      </c>
      <c r="E502" s="67">
        <v>55854</v>
      </c>
      <c r="F502" s="67">
        <v>59763.78</v>
      </c>
      <c r="G502" t="str">
        <f t="shared" si="14"/>
        <v>4020</v>
      </c>
      <c r="H502" t="str">
        <f t="shared" si="15"/>
        <v>Employee related costs</v>
      </c>
    </row>
    <row r="503" spans="1:8" x14ac:dyDescent="0.25">
      <c r="A503" t="s">
        <v>689</v>
      </c>
      <c r="B503" t="s">
        <v>155</v>
      </c>
      <c r="C503" s="67">
        <v>44083</v>
      </c>
      <c r="D503" s="67">
        <v>44083</v>
      </c>
      <c r="E503" s="67">
        <v>23311.533599999999</v>
      </c>
      <c r="F503" s="67">
        <v>24943.340951999999</v>
      </c>
      <c r="G503" t="str">
        <f t="shared" si="14"/>
        <v>4020</v>
      </c>
      <c r="H503" t="str">
        <f t="shared" si="15"/>
        <v>Employee related costs</v>
      </c>
    </row>
    <row r="504" spans="1:8" x14ac:dyDescent="0.25">
      <c r="A504" t="s">
        <v>690</v>
      </c>
      <c r="B504" t="s">
        <v>156</v>
      </c>
      <c r="C504" s="67">
        <v>332114</v>
      </c>
      <c r="D504" s="67">
        <v>332114</v>
      </c>
      <c r="E504" s="67">
        <v>47169.220772120549</v>
      </c>
      <c r="F504" s="67">
        <v>50471.066226168987</v>
      </c>
      <c r="G504" t="str">
        <f t="shared" si="14"/>
        <v>4020</v>
      </c>
      <c r="H504" t="str">
        <f t="shared" si="15"/>
        <v>Employee related costs</v>
      </c>
    </row>
    <row r="505" spans="1:8" x14ac:dyDescent="0.25">
      <c r="A505" t="s">
        <v>691</v>
      </c>
      <c r="B505" t="s">
        <v>158</v>
      </c>
      <c r="C505" s="67">
        <v>26569</v>
      </c>
      <c r="D505" s="67">
        <v>53138</v>
      </c>
      <c r="E505" s="67">
        <v>355361.48095200001</v>
      </c>
      <c r="F505" s="67">
        <v>380236.78461864003</v>
      </c>
      <c r="G505" t="str">
        <f t="shared" si="14"/>
        <v>4020</v>
      </c>
      <c r="H505" t="str">
        <f t="shared" si="15"/>
        <v>Employee related costs</v>
      </c>
    </row>
    <row r="506" spans="1:8" x14ac:dyDescent="0.25">
      <c r="A506" t="s">
        <v>692</v>
      </c>
      <c r="B506" t="s">
        <v>159</v>
      </c>
      <c r="C506" s="67">
        <v>110705</v>
      </c>
      <c r="D506" s="67">
        <v>110705</v>
      </c>
      <c r="E506" s="67">
        <v>28428.918476160001</v>
      </c>
      <c r="F506" s="67">
        <v>30418.942769491201</v>
      </c>
      <c r="G506" t="str">
        <f t="shared" si="14"/>
        <v>4020</v>
      </c>
      <c r="H506" t="str">
        <f t="shared" si="15"/>
        <v>Employee related costs</v>
      </c>
    </row>
    <row r="507" spans="1:8" x14ac:dyDescent="0.25">
      <c r="A507" t="s">
        <v>693</v>
      </c>
      <c r="B507" t="s">
        <v>164</v>
      </c>
      <c r="C507" s="67">
        <v>15692</v>
      </c>
      <c r="D507" s="67">
        <v>15692</v>
      </c>
      <c r="E507" s="67">
        <v>16790.868000000002</v>
      </c>
      <c r="F507" s="67">
        <v>17966.228760000002</v>
      </c>
      <c r="G507" t="str">
        <f t="shared" si="14"/>
        <v>4020</v>
      </c>
      <c r="H507" t="str">
        <f t="shared" si="15"/>
        <v>Employee related costs</v>
      </c>
    </row>
    <row r="508" spans="1:8" x14ac:dyDescent="0.25">
      <c r="A508" t="s">
        <v>694</v>
      </c>
      <c r="B508" t="s">
        <v>167</v>
      </c>
      <c r="C508" s="67">
        <v>337</v>
      </c>
      <c r="D508" s="67">
        <v>337</v>
      </c>
      <c r="E508" s="67">
        <v>360.64349999999996</v>
      </c>
      <c r="F508" s="67">
        <v>385.88854499999997</v>
      </c>
      <c r="G508" t="str">
        <f t="shared" si="14"/>
        <v>4020</v>
      </c>
      <c r="H508" t="str">
        <f t="shared" si="15"/>
        <v>Employee related costs</v>
      </c>
    </row>
    <row r="509" spans="1:8" x14ac:dyDescent="0.25">
      <c r="A509" t="s">
        <v>695</v>
      </c>
      <c r="B509" t="s">
        <v>168</v>
      </c>
      <c r="C509" s="67">
        <v>161725</v>
      </c>
      <c r="D509" s="67">
        <v>161725</v>
      </c>
      <c r="E509" s="67">
        <v>173045.32200000001</v>
      </c>
      <c r="F509" s="67">
        <v>185158.49454000001</v>
      </c>
      <c r="G509" t="str">
        <f t="shared" si="14"/>
        <v>4020</v>
      </c>
      <c r="H509" t="str">
        <f t="shared" si="15"/>
        <v>Employee related costs</v>
      </c>
    </row>
    <row r="510" spans="1:8" x14ac:dyDescent="0.25">
      <c r="A510" t="s">
        <v>696</v>
      </c>
      <c r="B510" t="s">
        <v>169</v>
      </c>
      <c r="C510" s="67">
        <v>278128</v>
      </c>
      <c r="D510" s="67">
        <v>278128</v>
      </c>
      <c r="E510" s="67">
        <v>297597.20956679998</v>
      </c>
      <c r="F510" s="67">
        <v>318429.01423647598</v>
      </c>
      <c r="G510" t="str">
        <f t="shared" si="14"/>
        <v>4020</v>
      </c>
      <c r="H510" t="str">
        <f t="shared" si="15"/>
        <v>Employee related costs</v>
      </c>
    </row>
    <row r="511" spans="1:8" x14ac:dyDescent="0.25">
      <c r="A511" t="s">
        <v>697</v>
      </c>
      <c r="B511" t="s">
        <v>170</v>
      </c>
      <c r="C511" s="67">
        <v>5355</v>
      </c>
      <c r="D511" s="67">
        <v>5355</v>
      </c>
      <c r="E511" s="67">
        <v>5729.85</v>
      </c>
      <c r="F511" s="67">
        <v>6130.9395000000004</v>
      </c>
      <c r="G511" t="str">
        <f t="shared" si="14"/>
        <v>4020</v>
      </c>
      <c r="H511" t="str">
        <f t="shared" si="15"/>
        <v>Employee related costs</v>
      </c>
    </row>
    <row r="512" spans="1:8" x14ac:dyDescent="0.25">
      <c r="A512" t="s">
        <v>698</v>
      </c>
      <c r="B512" t="s">
        <v>170</v>
      </c>
      <c r="C512" s="67">
        <v>0</v>
      </c>
      <c r="D512" s="67">
        <v>0</v>
      </c>
      <c r="E512" s="67">
        <v>0</v>
      </c>
      <c r="F512" s="67">
        <v>0</v>
      </c>
      <c r="G512" t="str">
        <f t="shared" si="14"/>
        <v>4020</v>
      </c>
      <c r="H512" t="str">
        <f t="shared" si="15"/>
        <v>Employee related costs</v>
      </c>
    </row>
    <row r="513" spans="1:8" x14ac:dyDescent="0.25">
      <c r="A513" t="s">
        <v>699</v>
      </c>
      <c r="B513" t="s">
        <v>173</v>
      </c>
      <c r="C513" s="67">
        <v>8794</v>
      </c>
      <c r="D513" s="67">
        <v>8794</v>
      </c>
      <c r="E513" s="67">
        <v>9321.3855999999996</v>
      </c>
      <c r="F513" s="67">
        <v>9973.8825919999999</v>
      </c>
      <c r="G513" t="str">
        <f t="shared" si="14"/>
        <v>4020</v>
      </c>
      <c r="H513" t="str">
        <f t="shared" si="15"/>
        <v>Employee related costs</v>
      </c>
    </row>
    <row r="514" spans="1:8" x14ac:dyDescent="0.25">
      <c r="A514" t="s">
        <v>700</v>
      </c>
      <c r="B514" t="s">
        <v>174</v>
      </c>
      <c r="C514" s="67">
        <v>8346</v>
      </c>
      <c r="D514" s="67">
        <v>8346</v>
      </c>
      <c r="E514" s="67">
        <v>8847.2264000000014</v>
      </c>
      <c r="F514" s="67">
        <v>9466.5322480000013</v>
      </c>
      <c r="G514" t="str">
        <f t="shared" ref="G514:G577" si="16">VLOOKUP(A514,s,2,FALSE)</f>
        <v>4020</v>
      </c>
      <c r="H514" t="str">
        <f t="shared" ref="H514:H577" si="17">VLOOKUP(A514,s,3,FALSE)</f>
        <v>Employee related costs</v>
      </c>
    </row>
    <row r="515" spans="1:8" x14ac:dyDescent="0.25">
      <c r="A515" t="s">
        <v>701</v>
      </c>
      <c r="B515" t="s">
        <v>175</v>
      </c>
      <c r="C515" s="67">
        <v>11677</v>
      </c>
      <c r="D515" s="67">
        <v>11677</v>
      </c>
      <c r="E515" s="67">
        <v>12377.577599999999</v>
      </c>
      <c r="F515" s="67">
        <v>13244.008031999998</v>
      </c>
      <c r="G515" t="str">
        <f t="shared" si="16"/>
        <v>4020</v>
      </c>
      <c r="H515" t="str">
        <f t="shared" si="17"/>
        <v>Employee related costs</v>
      </c>
    </row>
    <row r="516" spans="1:8" x14ac:dyDescent="0.25">
      <c r="A516" t="s">
        <v>702</v>
      </c>
      <c r="B516" t="s">
        <v>220</v>
      </c>
      <c r="C516" s="67">
        <v>424278</v>
      </c>
      <c r="D516" s="67">
        <v>424278</v>
      </c>
      <c r="E516" s="67">
        <v>449734.38319999998</v>
      </c>
      <c r="F516" s="67">
        <v>476718.446192</v>
      </c>
      <c r="G516" t="str">
        <f t="shared" si="16"/>
        <v>4020</v>
      </c>
      <c r="H516" t="str">
        <f t="shared" si="17"/>
        <v>Contracted services</v>
      </c>
    </row>
    <row r="517" spans="1:8" x14ac:dyDescent="0.25">
      <c r="A517" t="s">
        <v>703</v>
      </c>
      <c r="B517" t="s">
        <v>244</v>
      </c>
      <c r="C517" s="67">
        <v>3000000</v>
      </c>
      <c r="D517" s="67">
        <v>3000000</v>
      </c>
      <c r="E517" s="67">
        <v>3180000</v>
      </c>
      <c r="F517" s="67">
        <v>3370800</v>
      </c>
      <c r="G517" t="str">
        <f t="shared" si="16"/>
        <v>4020</v>
      </c>
      <c r="H517" t="str">
        <f t="shared" si="17"/>
        <v>General expenses</v>
      </c>
    </row>
    <row r="518" spans="1:8" x14ac:dyDescent="0.25">
      <c r="A518" t="s">
        <v>704</v>
      </c>
      <c r="B518" t="s">
        <v>257</v>
      </c>
      <c r="C518" s="67">
        <v>790000</v>
      </c>
      <c r="D518" s="67">
        <v>790000</v>
      </c>
      <c r="E518" s="67">
        <v>837400</v>
      </c>
      <c r="F518" s="67">
        <v>887644</v>
      </c>
      <c r="G518" t="str">
        <f t="shared" si="16"/>
        <v>4020</v>
      </c>
      <c r="H518" t="str">
        <f t="shared" si="17"/>
        <v>General expenses</v>
      </c>
    </row>
    <row r="519" spans="1:8" x14ac:dyDescent="0.25">
      <c r="A519" t="s">
        <v>705</v>
      </c>
      <c r="B519" t="s">
        <v>265</v>
      </c>
      <c r="C519" s="67">
        <v>0</v>
      </c>
      <c r="D519" s="67">
        <v>20000</v>
      </c>
      <c r="E519" s="67">
        <v>0</v>
      </c>
      <c r="F519" s="67">
        <v>0</v>
      </c>
      <c r="G519" t="str">
        <f t="shared" si="16"/>
        <v>4020</v>
      </c>
      <c r="H519" t="str">
        <f t="shared" si="17"/>
        <v>General expenses</v>
      </c>
    </row>
    <row r="520" spans="1:8" x14ac:dyDescent="0.25">
      <c r="A520" t="s">
        <v>706</v>
      </c>
      <c r="B520" t="s">
        <v>268</v>
      </c>
      <c r="C520" s="67">
        <v>0</v>
      </c>
      <c r="D520" s="67">
        <v>40000</v>
      </c>
      <c r="E520" s="67">
        <v>0</v>
      </c>
      <c r="F520" s="67">
        <v>0</v>
      </c>
      <c r="G520" t="str">
        <f t="shared" si="16"/>
        <v>4020</v>
      </c>
      <c r="H520" t="str">
        <f t="shared" si="17"/>
        <v>General expenses</v>
      </c>
    </row>
    <row r="521" spans="1:8" x14ac:dyDescent="0.25">
      <c r="A521" t="s">
        <v>707</v>
      </c>
      <c r="B521" t="s">
        <v>292</v>
      </c>
      <c r="C521" s="67">
        <v>11399</v>
      </c>
      <c r="D521" s="67">
        <v>11399</v>
      </c>
      <c r="E521" s="67">
        <v>13108.85</v>
      </c>
      <c r="F521" s="67">
        <v>15075.1775</v>
      </c>
      <c r="G521" t="str">
        <f t="shared" si="16"/>
        <v>4020</v>
      </c>
      <c r="H521" t="str">
        <f t="shared" si="17"/>
        <v>Depreciation and amortisation</v>
      </c>
    </row>
    <row r="522" spans="1:8" x14ac:dyDescent="0.25">
      <c r="A522" t="s">
        <v>708</v>
      </c>
      <c r="B522" t="s">
        <v>293</v>
      </c>
      <c r="C522" s="67">
        <v>2988</v>
      </c>
      <c r="D522" s="67">
        <v>2988</v>
      </c>
      <c r="E522" s="67">
        <v>3436.2</v>
      </c>
      <c r="F522" s="67">
        <v>3951.6299999999997</v>
      </c>
      <c r="G522" t="str">
        <f t="shared" si="16"/>
        <v>4020</v>
      </c>
      <c r="H522" t="str">
        <f t="shared" si="17"/>
        <v>Depreciation and amortisation</v>
      </c>
    </row>
    <row r="523" spans="1:8" x14ac:dyDescent="0.25">
      <c r="A523" t="s">
        <v>1590</v>
      </c>
      <c r="B523" t="s">
        <v>1404</v>
      </c>
      <c r="C523" s="67">
        <v>-6817653</v>
      </c>
      <c r="D523" s="67">
        <v>-6904222</v>
      </c>
      <c r="E523" s="67">
        <v>-7267366.7166494802</v>
      </c>
      <c r="F523" s="67">
        <v>-7725734.6469829446</v>
      </c>
      <c r="G523" t="str">
        <f t="shared" si="16"/>
        <v>4020</v>
      </c>
      <c r="H523" t="str">
        <f t="shared" si="17"/>
        <v>Accumulated surplus</v>
      </c>
    </row>
    <row r="524" spans="1:8" x14ac:dyDescent="0.25">
      <c r="A524" t="s">
        <v>1591</v>
      </c>
      <c r="B524" t="s">
        <v>1428</v>
      </c>
      <c r="C524" s="67">
        <v>28427</v>
      </c>
      <c r="D524" s="67">
        <v>28427.99</v>
      </c>
      <c r="E524" s="67">
        <v>28427.99</v>
      </c>
      <c r="F524" s="67">
        <v>28427.99</v>
      </c>
      <c r="G524" t="str">
        <f t="shared" si="16"/>
        <v>4020</v>
      </c>
      <c r="H524" t="str">
        <f t="shared" si="17"/>
        <v>Non-Current Assets (Cost)</v>
      </c>
    </row>
    <row r="525" spans="1:8" x14ac:dyDescent="0.25">
      <c r="A525" t="s">
        <v>1592</v>
      </c>
      <c r="B525" t="s">
        <v>1430</v>
      </c>
      <c r="C525" s="67">
        <v>-19328</v>
      </c>
      <c r="D525" s="67">
        <v>-17950.02</v>
      </c>
      <c r="E525" s="67">
        <v>-20938.02</v>
      </c>
      <c r="F525" s="67">
        <v>-24374.22</v>
      </c>
      <c r="G525" t="str">
        <f t="shared" si="16"/>
        <v>4020</v>
      </c>
      <c r="H525" t="str">
        <f t="shared" si="17"/>
        <v>Non-Current Assets (Acc Depreciation)</v>
      </c>
    </row>
    <row r="526" spans="1:8" x14ac:dyDescent="0.25">
      <c r="A526" t="s">
        <v>1593</v>
      </c>
      <c r="B526" t="s">
        <v>1432</v>
      </c>
      <c r="C526" s="67">
        <v>-2990</v>
      </c>
      <c r="D526" s="67">
        <v>-2988</v>
      </c>
      <c r="E526" s="67">
        <v>-3436.2</v>
      </c>
      <c r="F526" s="67">
        <v>-3951.6299999999997</v>
      </c>
      <c r="G526" t="str">
        <f t="shared" si="16"/>
        <v>4020</v>
      </c>
      <c r="H526" t="str">
        <f t="shared" si="17"/>
        <v>Non-Current Assets (Depreciation)</v>
      </c>
    </row>
    <row r="527" spans="1:8" x14ac:dyDescent="0.25">
      <c r="A527" t="s">
        <v>1594</v>
      </c>
      <c r="B527" t="s">
        <v>1434</v>
      </c>
      <c r="C527" s="67">
        <v>42740</v>
      </c>
      <c r="D527" s="67">
        <v>42740.92</v>
      </c>
      <c r="E527" s="67">
        <v>42740.92</v>
      </c>
      <c r="F527" s="67">
        <v>42740.92</v>
      </c>
      <c r="G527" t="str">
        <f t="shared" si="16"/>
        <v>4020</v>
      </c>
      <c r="H527" t="str">
        <f t="shared" si="17"/>
        <v>Non-Current Assets (Cost)</v>
      </c>
    </row>
    <row r="528" spans="1:8" x14ac:dyDescent="0.25">
      <c r="A528" t="s">
        <v>1595</v>
      </c>
      <c r="B528" t="s">
        <v>1436</v>
      </c>
      <c r="C528" s="67">
        <v>-21398</v>
      </c>
      <c r="D528" s="67">
        <v>-31626.79</v>
      </c>
      <c r="E528" s="67">
        <v>-43025.79</v>
      </c>
      <c r="F528" s="67">
        <v>-56134.64</v>
      </c>
      <c r="G528" t="str">
        <f t="shared" si="16"/>
        <v>4020</v>
      </c>
      <c r="H528" t="str">
        <f t="shared" si="17"/>
        <v>Non-Current Assets (Acc Depreciation)</v>
      </c>
    </row>
    <row r="529" spans="1:8" x14ac:dyDescent="0.25">
      <c r="A529" t="s">
        <v>1596</v>
      </c>
      <c r="B529" t="s">
        <v>1438</v>
      </c>
      <c r="C529" s="67">
        <v>-10756</v>
      </c>
      <c r="D529" s="67">
        <v>-11399</v>
      </c>
      <c r="E529" s="67">
        <v>-13108.85</v>
      </c>
      <c r="F529" s="67">
        <v>-15075.1775</v>
      </c>
      <c r="G529" t="str">
        <f t="shared" si="16"/>
        <v>4020</v>
      </c>
      <c r="H529" t="str">
        <f t="shared" si="17"/>
        <v>Non-Current Assets (Depreciation)</v>
      </c>
    </row>
    <row r="530" spans="1:8" x14ac:dyDescent="0.25">
      <c r="A530" t="s">
        <v>1597</v>
      </c>
      <c r="B530" t="s">
        <v>1460</v>
      </c>
      <c r="C530" s="67">
        <v>-140774</v>
      </c>
      <c r="D530" s="67">
        <v>-140774</v>
      </c>
      <c r="E530" s="67">
        <v>-154851.4</v>
      </c>
      <c r="F530" s="67">
        <v>-170336.53999999998</v>
      </c>
      <c r="G530" t="str">
        <f t="shared" si="16"/>
        <v>4020</v>
      </c>
      <c r="H530" t="str">
        <f t="shared" si="17"/>
        <v>Current Employee Benefits</v>
      </c>
    </row>
    <row r="531" spans="1:8" x14ac:dyDescent="0.25">
      <c r="A531" t="s">
        <v>1598</v>
      </c>
      <c r="B531" t="s">
        <v>1462</v>
      </c>
      <c r="C531" s="67">
        <v>94701</v>
      </c>
      <c r="D531" s="67">
        <v>10561038.949999999</v>
      </c>
      <c r="E531" s="67">
        <v>17465260.949999999</v>
      </c>
      <c r="F531" s="67">
        <v>24732627.666649479</v>
      </c>
      <c r="G531" t="str">
        <f t="shared" si="16"/>
        <v>4020</v>
      </c>
      <c r="H531" t="str">
        <f t="shared" si="17"/>
        <v>Reserves</v>
      </c>
    </row>
    <row r="532" spans="1:8" x14ac:dyDescent="0.25">
      <c r="A532" t="s">
        <v>1599</v>
      </c>
      <c r="B532" t="s">
        <v>1464</v>
      </c>
      <c r="C532" s="67">
        <v>6817653</v>
      </c>
      <c r="D532" s="67">
        <v>6904222</v>
      </c>
      <c r="E532" s="67">
        <v>7267366.7166494802</v>
      </c>
      <c r="F532" s="67">
        <v>7725734.6469829446</v>
      </c>
      <c r="G532" t="str">
        <f t="shared" si="16"/>
        <v>4020</v>
      </c>
      <c r="H532" t="str">
        <f t="shared" si="17"/>
        <v>Reserves</v>
      </c>
    </row>
    <row r="533" spans="1:8" x14ac:dyDescent="0.25">
      <c r="A533" t="s">
        <v>710</v>
      </c>
      <c r="B533" t="s">
        <v>150</v>
      </c>
      <c r="C533" s="67">
        <v>1335043</v>
      </c>
      <c r="D533" s="67">
        <v>1335043</v>
      </c>
      <c r="E533" s="67">
        <v>1428495.570444</v>
      </c>
      <c r="F533" s="67">
        <v>1528490.2603750799</v>
      </c>
      <c r="G533" t="str">
        <f t="shared" si="16"/>
        <v>4505</v>
      </c>
      <c r="H533" t="str">
        <f t="shared" si="17"/>
        <v>Employee related costs</v>
      </c>
    </row>
    <row r="534" spans="1:8" x14ac:dyDescent="0.25">
      <c r="A534" t="s">
        <v>711</v>
      </c>
      <c r="B534" t="s">
        <v>151</v>
      </c>
      <c r="C534" s="67">
        <v>66752</v>
      </c>
      <c r="D534" s="67">
        <v>25401.269999999997</v>
      </c>
      <c r="E534" s="67">
        <v>16868.479999999996</v>
      </c>
      <c r="F534" s="67">
        <v>19300.939999999995</v>
      </c>
      <c r="G534" t="str">
        <f t="shared" si="16"/>
        <v>4505</v>
      </c>
      <c r="H534" t="str">
        <f t="shared" si="17"/>
        <v>Employee related costs</v>
      </c>
    </row>
    <row r="535" spans="1:8" x14ac:dyDescent="0.25">
      <c r="A535" t="s">
        <v>712</v>
      </c>
      <c r="B535" t="s">
        <v>152</v>
      </c>
      <c r="C535" s="67">
        <v>66300</v>
      </c>
      <c r="D535" s="67">
        <v>66300</v>
      </c>
      <c r="E535" s="67">
        <v>119041.29753699999</v>
      </c>
      <c r="F535" s="67">
        <v>127374.18836458999</v>
      </c>
      <c r="G535" t="str">
        <f t="shared" si="16"/>
        <v>4505</v>
      </c>
      <c r="H535" t="str">
        <f t="shared" si="17"/>
        <v>Employee related costs</v>
      </c>
    </row>
    <row r="536" spans="1:8" x14ac:dyDescent="0.25">
      <c r="A536" t="s">
        <v>713</v>
      </c>
      <c r="B536" t="s">
        <v>153</v>
      </c>
      <c r="C536" s="67">
        <v>10893</v>
      </c>
      <c r="D536" s="67">
        <v>10893</v>
      </c>
      <c r="E536" s="67">
        <v>70941</v>
      </c>
      <c r="F536" s="67">
        <v>75906.87</v>
      </c>
      <c r="G536" t="str">
        <f t="shared" si="16"/>
        <v>4505</v>
      </c>
      <c r="H536" t="str">
        <f t="shared" si="17"/>
        <v>Employee related costs</v>
      </c>
    </row>
    <row r="537" spans="1:8" x14ac:dyDescent="0.25">
      <c r="A537" t="s">
        <v>714</v>
      </c>
      <c r="B537" t="s">
        <v>154</v>
      </c>
      <c r="C537" s="67">
        <v>6420</v>
      </c>
      <c r="D537" s="67">
        <v>6420</v>
      </c>
      <c r="E537" s="67">
        <v>11655.766799999999</v>
      </c>
      <c r="F537" s="67">
        <v>12471.670475999999</v>
      </c>
      <c r="G537" t="str">
        <f t="shared" si="16"/>
        <v>4505</v>
      </c>
      <c r="H537" t="str">
        <f t="shared" si="17"/>
        <v>Employee related costs</v>
      </c>
    </row>
    <row r="538" spans="1:8" x14ac:dyDescent="0.25">
      <c r="A538" t="s">
        <v>715</v>
      </c>
      <c r="B538" t="s">
        <v>155</v>
      </c>
      <c r="C538" s="67">
        <v>34278</v>
      </c>
      <c r="D538" s="67">
        <v>34278</v>
      </c>
      <c r="E538" s="67">
        <v>6869.4</v>
      </c>
      <c r="F538" s="67">
        <v>7350.2579999999998</v>
      </c>
      <c r="G538" t="str">
        <f t="shared" si="16"/>
        <v>4505</v>
      </c>
      <c r="H538" t="str">
        <f t="shared" si="17"/>
        <v>Employee related costs</v>
      </c>
    </row>
    <row r="539" spans="1:8" x14ac:dyDescent="0.25">
      <c r="A539" t="s">
        <v>716</v>
      </c>
      <c r="B539" t="s">
        <v>156</v>
      </c>
      <c r="C539" s="67">
        <v>219886</v>
      </c>
      <c r="D539" s="67">
        <v>219886</v>
      </c>
      <c r="E539" s="67">
        <v>36677.120151583564</v>
      </c>
      <c r="F539" s="67">
        <v>39244.518562194411</v>
      </c>
      <c r="G539" t="str">
        <f t="shared" si="16"/>
        <v>4505</v>
      </c>
      <c r="H539" t="str">
        <f t="shared" si="17"/>
        <v>Employee related costs</v>
      </c>
    </row>
    <row r="540" spans="1:8" x14ac:dyDescent="0.25">
      <c r="A540" t="s">
        <v>717</v>
      </c>
      <c r="B540" t="s">
        <v>157</v>
      </c>
      <c r="C540" s="67">
        <v>15152</v>
      </c>
      <c r="D540" s="67">
        <v>10000</v>
      </c>
      <c r="E540" s="67">
        <v>235278.18488699998</v>
      </c>
      <c r="F540" s="67">
        <v>251747.65782908999</v>
      </c>
      <c r="G540" t="str">
        <f t="shared" si="16"/>
        <v>4505</v>
      </c>
      <c r="H540" t="str">
        <f t="shared" si="17"/>
        <v>Employee related costs</v>
      </c>
    </row>
    <row r="541" spans="1:8" x14ac:dyDescent="0.25">
      <c r="A541" t="s">
        <v>718</v>
      </c>
      <c r="B541" t="s">
        <v>159</v>
      </c>
      <c r="C541" s="67">
        <v>111254</v>
      </c>
      <c r="D541" s="67">
        <v>111254</v>
      </c>
      <c r="E541" s="67">
        <v>16213.114224000001</v>
      </c>
      <c r="F541" s="67">
        <v>17348.032219680001</v>
      </c>
      <c r="G541" t="str">
        <f t="shared" si="16"/>
        <v>4505</v>
      </c>
      <c r="H541" t="str">
        <f t="shared" si="17"/>
        <v>Employee related costs</v>
      </c>
    </row>
    <row r="542" spans="1:8" x14ac:dyDescent="0.25">
      <c r="A542" t="s">
        <v>719</v>
      </c>
      <c r="B542" t="s">
        <v>162</v>
      </c>
      <c r="C542" s="67">
        <v>50926</v>
      </c>
      <c r="D542" s="67">
        <v>25926</v>
      </c>
      <c r="E542" s="67">
        <v>54491.268201600004</v>
      </c>
      <c r="F542" s="67">
        <v>58305.656975712001</v>
      </c>
      <c r="G542" t="str">
        <f t="shared" si="16"/>
        <v>4505</v>
      </c>
      <c r="H542" t="str">
        <f t="shared" si="17"/>
        <v>Employee related costs</v>
      </c>
    </row>
    <row r="543" spans="1:8" x14ac:dyDescent="0.25">
      <c r="A543" t="s">
        <v>720</v>
      </c>
      <c r="B543" t="s">
        <v>164</v>
      </c>
      <c r="C543" s="67">
        <v>15692</v>
      </c>
      <c r="D543" s="67">
        <v>15692</v>
      </c>
      <c r="E543" s="67">
        <v>16790.867999999999</v>
      </c>
      <c r="F543" s="67">
        <v>17966.228759999998</v>
      </c>
      <c r="G543" t="str">
        <f t="shared" si="16"/>
        <v>4505</v>
      </c>
      <c r="H543" t="str">
        <f t="shared" si="17"/>
        <v>Remuneration of councillors</v>
      </c>
    </row>
    <row r="544" spans="1:8" x14ac:dyDescent="0.25">
      <c r="A544" t="s">
        <v>721</v>
      </c>
      <c r="B544" t="s">
        <v>167</v>
      </c>
      <c r="C544" s="67">
        <v>449</v>
      </c>
      <c r="D544" s="67">
        <v>449</v>
      </c>
      <c r="E544" s="67">
        <v>480.48349999999994</v>
      </c>
      <c r="F544" s="67">
        <v>514.11734499999989</v>
      </c>
      <c r="G544" t="str">
        <f t="shared" si="16"/>
        <v>4505</v>
      </c>
      <c r="H544" t="str">
        <f t="shared" si="17"/>
        <v>Employee related costs</v>
      </c>
    </row>
    <row r="545" spans="1:8" x14ac:dyDescent="0.25">
      <c r="A545" t="s">
        <v>722</v>
      </c>
      <c r="B545" t="s">
        <v>168</v>
      </c>
      <c r="C545" s="67">
        <v>107816</v>
      </c>
      <c r="D545" s="67">
        <v>107816</v>
      </c>
      <c r="E545" s="67">
        <v>115363.54800000001</v>
      </c>
      <c r="F545" s="67">
        <v>123438.99636</v>
      </c>
      <c r="G545" t="str">
        <f t="shared" si="16"/>
        <v>4505</v>
      </c>
      <c r="H545" t="str">
        <f t="shared" si="17"/>
        <v>Employee related costs</v>
      </c>
    </row>
    <row r="546" spans="1:8" x14ac:dyDescent="0.25">
      <c r="A546" t="s">
        <v>723</v>
      </c>
      <c r="B546" t="s">
        <v>169</v>
      </c>
      <c r="C546" s="67">
        <v>293709</v>
      </c>
      <c r="D546" s="67">
        <v>293709</v>
      </c>
      <c r="E546" s="67">
        <v>314269.02549768001</v>
      </c>
      <c r="F546" s="67">
        <v>336267.85728251759</v>
      </c>
      <c r="G546" t="str">
        <f t="shared" si="16"/>
        <v>4505</v>
      </c>
      <c r="H546" t="str">
        <f t="shared" si="17"/>
        <v>Employee related costs</v>
      </c>
    </row>
    <row r="547" spans="1:8" x14ac:dyDescent="0.25">
      <c r="A547" t="s">
        <v>724</v>
      </c>
      <c r="B547" t="s">
        <v>170</v>
      </c>
      <c r="C547" s="67">
        <v>7140</v>
      </c>
      <c r="D547" s="67">
        <v>7140</v>
      </c>
      <c r="E547" s="67">
        <v>7639.8</v>
      </c>
      <c r="F547" s="67">
        <v>8174.5860000000002</v>
      </c>
      <c r="G547" t="str">
        <f t="shared" si="16"/>
        <v>4505</v>
      </c>
      <c r="H547" t="str">
        <f t="shared" si="17"/>
        <v>Employee related costs</v>
      </c>
    </row>
    <row r="548" spans="1:8" x14ac:dyDescent="0.25">
      <c r="A548" t="s">
        <v>725</v>
      </c>
      <c r="B548" t="s">
        <v>173</v>
      </c>
      <c r="C548" s="67">
        <v>4606</v>
      </c>
      <c r="D548" s="67">
        <v>4606</v>
      </c>
      <c r="E548" s="67">
        <v>4928.7945</v>
      </c>
      <c r="F548" s="67">
        <v>5273.8101150000002</v>
      </c>
      <c r="G548" t="str">
        <f t="shared" si="16"/>
        <v>4505</v>
      </c>
      <c r="H548" t="str">
        <f t="shared" si="17"/>
        <v>Employee related costs</v>
      </c>
    </row>
    <row r="549" spans="1:8" x14ac:dyDescent="0.25">
      <c r="A549" t="s">
        <v>726</v>
      </c>
      <c r="B549" t="s">
        <v>174</v>
      </c>
      <c r="C549" s="67">
        <v>7357</v>
      </c>
      <c r="D549" s="67">
        <v>7357</v>
      </c>
      <c r="E549" s="67">
        <v>7872.3323999999993</v>
      </c>
      <c r="F549" s="67">
        <v>8423.3956679999992</v>
      </c>
      <c r="G549" t="str">
        <f t="shared" si="16"/>
        <v>4505</v>
      </c>
      <c r="H549" t="str">
        <f t="shared" si="17"/>
        <v>Employee related costs</v>
      </c>
    </row>
    <row r="550" spans="1:8" x14ac:dyDescent="0.25">
      <c r="A550" t="s">
        <v>727</v>
      </c>
      <c r="B550" t="s">
        <v>175</v>
      </c>
      <c r="C550" s="67">
        <v>4920</v>
      </c>
      <c r="D550" s="67">
        <v>4920</v>
      </c>
      <c r="E550" s="67">
        <v>5264.2501999999995</v>
      </c>
      <c r="F550" s="67">
        <v>5632.7477139999992</v>
      </c>
      <c r="G550" t="str">
        <f t="shared" si="16"/>
        <v>4505</v>
      </c>
      <c r="H550" t="str">
        <f t="shared" si="17"/>
        <v>Employee related costs</v>
      </c>
    </row>
    <row r="551" spans="1:8" x14ac:dyDescent="0.25">
      <c r="A551" t="s">
        <v>728</v>
      </c>
      <c r="B551" t="s">
        <v>192</v>
      </c>
      <c r="C551" s="67">
        <v>221423</v>
      </c>
      <c r="D551" s="67">
        <v>221423</v>
      </c>
      <c r="E551" s="67">
        <v>236922.45752500001</v>
      </c>
      <c r="F551" s="67">
        <v>253507.02955174999</v>
      </c>
      <c r="G551" t="str">
        <f t="shared" si="16"/>
        <v>4505</v>
      </c>
      <c r="H551" t="str">
        <f t="shared" si="17"/>
        <v>Remuneration of councillors</v>
      </c>
    </row>
    <row r="552" spans="1:8" x14ac:dyDescent="0.25">
      <c r="A552" t="s">
        <v>729</v>
      </c>
      <c r="B552" t="s">
        <v>193</v>
      </c>
      <c r="C552" s="67">
        <v>664269</v>
      </c>
      <c r="D552" s="67">
        <v>664269</v>
      </c>
      <c r="E552" s="67">
        <v>710767.37257500004</v>
      </c>
      <c r="F552" s="67">
        <v>760521.08865525003</v>
      </c>
      <c r="G552" t="str">
        <f t="shared" si="16"/>
        <v>4505</v>
      </c>
      <c r="H552" t="str">
        <f t="shared" si="17"/>
        <v>Remuneration of councillors</v>
      </c>
    </row>
    <row r="553" spans="1:8" x14ac:dyDescent="0.25">
      <c r="A553" t="s">
        <v>730</v>
      </c>
      <c r="B553" t="s">
        <v>194</v>
      </c>
      <c r="C553" s="67">
        <v>47508</v>
      </c>
      <c r="D553" s="67">
        <v>47508</v>
      </c>
      <c r="E553" s="67">
        <v>50833.56</v>
      </c>
      <c r="F553" s="67">
        <v>54391.909199999995</v>
      </c>
      <c r="G553" t="str">
        <f t="shared" si="16"/>
        <v>4505</v>
      </c>
      <c r="H553" t="str">
        <f t="shared" si="17"/>
        <v>Remuneration of councillors</v>
      </c>
    </row>
    <row r="554" spans="1:8" x14ac:dyDescent="0.25">
      <c r="A554" t="s">
        <v>731</v>
      </c>
      <c r="B554" t="s">
        <v>202</v>
      </c>
      <c r="C554" s="67">
        <v>0</v>
      </c>
      <c r="D554" s="67">
        <v>0</v>
      </c>
      <c r="E554" s="67">
        <v>0</v>
      </c>
      <c r="F554" s="67">
        <v>0</v>
      </c>
      <c r="G554" t="str">
        <f t="shared" si="16"/>
        <v>4505</v>
      </c>
      <c r="H554" t="str">
        <f t="shared" si="17"/>
        <v>Remuneration of councillors</v>
      </c>
    </row>
    <row r="555" spans="1:8" x14ac:dyDescent="0.25">
      <c r="A555" t="s">
        <v>732</v>
      </c>
      <c r="B555" t="s">
        <v>203</v>
      </c>
      <c r="C555" s="67">
        <v>0</v>
      </c>
      <c r="D555" s="67">
        <v>0</v>
      </c>
      <c r="E555" s="67">
        <v>0</v>
      </c>
      <c r="F555" s="67">
        <v>0</v>
      </c>
      <c r="G555" t="str">
        <f t="shared" si="16"/>
        <v>4505</v>
      </c>
      <c r="H555" t="str">
        <f t="shared" si="17"/>
        <v>Remuneration of councillors</v>
      </c>
    </row>
    <row r="556" spans="1:8" x14ac:dyDescent="0.25">
      <c r="A556" t="s">
        <v>733</v>
      </c>
      <c r="B556" t="s">
        <v>204</v>
      </c>
      <c r="C556" s="67">
        <v>0</v>
      </c>
      <c r="D556" s="67">
        <v>0</v>
      </c>
      <c r="E556" s="67">
        <v>0</v>
      </c>
      <c r="F556" s="67">
        <v>0</v>
      </c>
      <c r="G556" t="str">
        <f t="shared" si="16"/>
        <v>4505</v>
      </c>
      <c r="H556" t="str">
        <f t="shared" si="17"/>
        <v>Remuneration of councillors</v>
      </c>
    </row>
    <row r="557" spans="1:8" x14ac:dyDescent="0.25">
      <c r="A557" t="s">
        <v>734</v>
      </c>
      <c r="B557" t="s">
        <v>214</v>
      </c>
      <c r="C557" s="67">
        <v>49290</v>
      </c>
      <c r="D557" s="67">
        <v>49290</v>
      </c>
      <c r="E557" s="67">
        <v>52247.4</v>
      </c>
      <c r="F557" s="67">
        <v>55068.759600000005</v>
      </c>
      <c r="G557" t="str">
        <f t="shared" si="16"/>
        <v>4505</v>
      </c>
      <c r="H557" t="str">
        <f t="shared" si="17"/>
        <v>Contracted services</v>
      </c>
    </row>
    <row r="558" spans="1:8" x14ac:dyDescent="0.25">
      <c r="A558" t="s">
        <v>735</v>
      </c>
      <c r="B558" t="s">
        <v>214</v>
      </c>
      <c r="C558" s="67">
        <v>129198</v>
      </c>
      <c r="D558" s="67">
        <v>84198</v>
      </c>
      <c r="E558" s="67">
        <v>150281.05909999998</v>
      </c>
      <c r="F558" s="67">
        <v>158396.23629139998</v>
      </c>
      <c r="G558" t="str">
        <f t="shared" si="16"/>
        <v>4505</v>
      </c>
      <c r="H558" t="str">
        <f t="shared" si="17"/>
        <v>Contracted services</v>
      </c>
    </row>
    <row r="559" spans="1:8" x14ac:dyDescent="0.25">
      <c r="A559" t="s">
        <v>736</v>
      </c>
      <c r="B559" t="s">
        <v>214</v>
      </c>
      <c r="C559" s="67">
        <v>142582</v>
      </c>
      <c r="D559" s="67">
        <v>292582</v>
      </c>
      <c r="E559" s="67">
        <v>157659.05909999998</v>
      </c>
      <c r="F559" s="67">
        <v>166172.64829139999</v>
      </c>
      <c r="G559" t="str">
        <f t="shared" si="16"/>
        <v>4505</v>
      </c>
      <c r="H559" t="str">
        <f t="shared" si="17"/>
        <v>Contracted services</v>
      </c>
    </row>
    <row r="560" spans="1:8" x14ac:dyDescent="0.25">
      <c r="A560" t="s">
        <v>737</v>
      </c>
      <c r="B560" t="s">
        <v>214</v>
      </c>
      <c r="C560" s="67">
        <v>149582</v>
      </c>
      <c r="D560" s="67">
        <v>169582</v>
      </c>
      <c r="E560" s="67">
        <v>211525.70007999998</v>
      </c>
      <c r="F560" s="67">
        <v>222948.08788431998</v>
      </c>
      <c r="G560" t="str">
        <f t="shared" si="16"/>
        <v>4505</v>
      </c>
      <c r="H560" t="str">
        <f t="shared" si="17"/>
        <v>Contracted services</v>
      </c>
    </row>
    <row r="561" spans="1:8" x14ac:dyDescent="0.25">
      <c r="A561" t="s">
        <v>738</v>
      </c>
      <c r="B561" t="s">
        <v>214</v>
      </c>
      <c r="C561" s="67">
        <v>200689</v>
      </c>
      <c r="D561" s="92">
        <v>230689</v>
      </c>
      <c r="E561" s="67">
        <v>136174.46012</v>
      </c>
      <c r="F561" s="67">
        <v>143527.88096648001</v>
      </c>
      <c r="G561" t="str">
        <f t="shared" si="16"/>
        <v>4505</v>
      </c>
      <c r="H561" t="str">
        <f t="shared" si="17"/>
        <v>Contracted services</v>
      </c>
    </row>
    <row r="562" spans="1:8" x14ac:dyDescent="0.25">
      <c r="A562" t="s">
        <v>739</v>
      </c>
      <c r="B562" t="s">
        <v>214</v>
      </c>
      <c r="C562" s="67">
        <v>100000</v>
      </c>
      <c r="D562" s="67">
        <v>78000</v>
      </c>
      <c r="E562" s="67">
        <v>158527.43916000001</v>
      </c>
      <c r="F562" s="67">
        <v>167087.92087464</v>
      </c>
      <c r="G562" t="str">
        <f t="shared" si="16"/>
        <v>4505</v>
      </c>
      <c r="H562" t="str">
        <f t="shared" si="17"/>
        <v>Contracted services</v>
      </c>
    </row>
    <row r="563" spans="1:8" x14ac:dyDescent="0.25">
      <c r="A563" t="s">
        <v>740</v>
      </c>
      <c r="B563" t="s">
        <v>214</v>
      </c>
      <c r="C563" s="67">
        <v>150406</v>
      </c>
      <c r="D563" s="67">
        <v>143150</v>
      </c>
      <c r="E563" s="67">
        <v>105400</v>
      </c>
      <c r="F563" s="67">
        <v>111091.6</v>
      </c>
      <c r="G563" t="str">
        <f t="shared" si="16"/>
        <v>4505</v>
      </c>
      <c r="H563" t="str">
        <f t="shared" si="17"/>
        <v>Contracted services</v>
      </c>
    </row>
    <row r="564" spans="1:8" x14ac:dyDescent="0.25">
      <c r="A564" t="s">
        <v>741</v>
      </c>
      <c r="B564" t="s">
        <v>242</v>
      </c>
      <c r="C564" s="67">
        <v>68920</v>
      </c>
      <c r="D564" s="67">
        <v>68920</v>
      </c>
      <c r="E564" s="67">
        <v>72641.827560000005</v>
      </c>
      <c r="F564" s="67">
        <v>76564.486248240006</v>
      </c>
      <c r="G564" t="str">
        <f t="shared" si="16"/>
        <v>4505</v>
      </c>
      <c r="H564" t="str">
        <f t="shared" si="17"/>
        <v>General expenses</v>
      </c>
    </row>
    <row r="565" spans="1:8" x14ac:dyDescent="0.25">
      <c r="A565" t="s">
        <v>742</v>
      </c>
      <c r="B565" t="s">
        <v>253</v>
      </c>
      <c r="C565" s="67">
        <v>2000</v>
      </c>
      <c r="D565" s="67">
        <v>2000</v>
      </c>
      <c r="E565" s="67">
        <v>2000</v>
      </c>
      <c r="F565" s="67">
        <v>2000</v>
      </c>
      <c r="G565" t="str">
        <f t="shared" si="16"/>
        <v>4505</v>
      </c>
      <c r="H565" t="str">
        <f t="shared" si="17"/>
        <v>General expenses</v>
      </c>
    </row>
    <row r="566" spans="1:8" x14ac:dyDescent="0.25">
      <c r="A566" t="s">
        <v>743</v>
      </c>
      <c r="B566" t="s">
        <v>262</v>
      </c>
      <c r="C566" s="67">
        <v>97801</v>
      </c>
      <c r="D566" s="67">
        <v>0</v>
      </c>
      <c r="E566" s="67">
        <v>103082.1486</v>
      </c>
      <c r="F566" s="67">
        <v>108648.5846244</v>
      </c>
      <c r="G566" t="str">
        <f t="shared" si="16"/>
        <v>4505</v>
      </c>
      <c r="H566" t="str">
        <f t="shared" si="17"/>
        <v>General expenses</v>
      </c>
    </row>
    <row r="567" spans="1:8" x14ac:dyDescent="0.25">
      <c r="A567" t="s">
        <v>744</v>
      </c>
      <c r="B567" t="s">
        <v>265</v>
      </c>
      <c r="C567" s="67">
        <v>60606</v>
      </c>
      <c r="D567" s="67">
        <v>56606</v>
      </c>
      <c r="E567" s="67">
        <v>63878.197</v>
      </c>
      <c r="F567" s="67">
        <v>67327.619638000004</v>
      </c>
      <c r="G567" t="str">
        <f t="shared" si="16"/>
        <v>4505</v>
      </c>
      <c r="H567" t="str">
        <f t="shared" si="17"/>
        <v>General expenses</v>
      </c>
    </row>
    <row r="568" spans="1:8" x14ac:dyDescent="0.25">
      <c r="A568" t="s">
        <v>745</v>
      </c>
      <c r="B568" t="s">
        <v>268</v>
      </c>
      <c r="C568" s="67">
        <v>175152</v>
      </c>
      <c r="D568" s="67">
        <v>95152</v>
      </c>
      <c r="E568" s="67">
        <v>184610.20800000001</v>
      </c>
      <c r="F568" s="67">
        <v>194579.15923200001</v>
      </c>
      <c r="G568" t="str">
        <f t="shared" si="16"/>
        <v>4505</v>
      </c>
      <c r="H568" t="str">
        <f t="shared" si="17"/>
        <v>General expenses</v>
      </c>
    </row>
    <row r="569" spans="1:8" x14ac:dyDescent="0.25">
      <c r="A569" t="s">
        <v>746</v>
      </c>
      <c r="B569" t="s">
        <v>268</v>
      </c>
      <c r="C569" s="67">
        <v>100000</v>
      </c>
      <c r="D569" s="67">
        <v>150000</v>
      </c>
      <c r="E569" s="67">
        <v>105400</v>
      </c>
      <c r="F569" s="67">
        <v>111091.6</v>
      </c>
      <c r="G569" t="str">
        <f t="shared" si="16"/>
        <v>4505</v>
      </c>
      <c r="H569" t="str">
        <f t="shared" si="17"/>
        <v>General expenses</v>
      </c>
    </row>
    <row r="570" spans="1:8" x14ac:dyDescent="0.25">
      <c r="A570" t="s">
        <v>747</v>
      </c>
      <c r="B570" t="s">
        <v>269</v>
      </c>
      <c r="C570" s="67">
        <v>76320</v>
      </c>
      <c r="D570" s="67">
        <v>56320</v>
      </c>
      <c r="E570" s="67">
        <v>80441.279999999999</v>
      </c>
      <c r="F570" s="67">
        <v>84785.109119999994</v>
      </c>
      <c r="G570" t="str">
        <f t="shared" si="16"/>
        <v>4505</v>
      </c>
      <c r="H570" t="str">
        <f t="shared" si="17"/>
        <v>General expenses</v>
      </c>
    </row>
    <row r="571" spans="1:8" x14ac:dyDescent="0.25">
      <c r="A571" t="s">
        <v>1600</v>
      </c>
      <c r="B571" t="s">
        <v>1404</v>
      </c>
      <c r="C571" s="67">
        <v>-4794339</v>
      </c>
      <c r="D571" s="67">
        <v>-4710130</v>
      </c>
      <c r="E571" s="67">
        <v>-5106088.7716850629</v>
      </c>
      <c r="F571" s="67">
        <v>-5438065.0852434989</v>
      </c>
      <c r="G571" t="str">
        <f t="shared" si="16"/>
        <v>4505</v>
      </c>
      <c r="H571" t="str">
        <f t="shared" si="17"/>
        <v>Accumulated surplus</v>
      </c>
    </row>
    <row r="572" spans="1:8" x14ac:dyDescent="0.25">
      <c r="A572" t="s">
        <v>1601</v>
      </c>
      <c r="B572" t="s">
        <v>1460</v>
      </c>
      <c r="C572" s="67">
        <v>-94167</v>
      </c>
      <c r="D572" s="67">
        <v>-94167</v>
      </c>
      <c r="E572" s="67">
        <v>-103583.7</v>
      </c>
      <c r="F572" s="67">
        <v>-113942.06999999999</v>
      </c>
      <c r="G572" t="str">
        <f t="shared" si="16"/>
        <v>4505</v>
      </c>
      <c r="H572" t="str">
        <f t="shared" si="17"/>
        <v>Current Employee Benefits</v>
      </c>
    </row>
    <row r="573" spans="1:8" x14ac:dyDescent="0.25">
      <c r="A573" t="s">
        <v>1602</v>
      </c>
      <c r="B573" t="s">
        <v>1462</v>
      </c>
      <c r="C573" s="67">
        <v>22951</v>
      </c>
      <c r="D573" s="67">
        <v>6911670.1100000003</v>
      </c>
      <c r="E573" s="67">
        <v>11621800.109999999</v>
      </c>
      <c r="F573" s="67">
        <v>16727888.881685063</v>
      </c>
      <c r="G573" t="str">
        <f t="shared" si="16"/>
        <v>4505</v>
      </c>
      <c r="H573" t="str">
        <f t="shared" si="17"/>
        <v>Reserves</v>
      </c>
    </row>
    <row r="574" spans="1:8" x14ac:dyDescent="0.25">
      <c r="A574" t="s">
        <v>1603</v>
      </c>
      <c r="B574" t="s">
        <v>1464</v>
      </c>
      <c r="C574" s="67">
        <v>4794339</v>
      </c>
      <c r="D574" s="67">
        <v>4710130</v>
      </c>
      <c r="E574" s="67">
        <v>5106088.7716850629</v>
      </c>
      <c r="F574" s="67">
        <v>5438065.0852434989</v>
      </c>
      <c r="G574" t="str">
        <f t="shared" si="16"/>
        <v>4505</v>
      </c>
      <c r="H574" t="str">
        <f t="shared" si="17"/>
        <v>Reserves</v>
      </c>
    </row>
    <row r="575" spans="1:8" x14ac:dyDescent="0.25">
      <c r="A575" t="s">
        <v>749</v>
      </c>
      <c r="B575" t="s">
        <v>202</v>
      </c>
      <c r="C575" s="67">
        <v>269777</v>
      </c>
      <c r="D575" s="67">
        <v>269777</v>
      </c>
      <c r="E575" s="67">
        <v>288661.63342500001</v>
      </c>
      <c r="F575" s="67">
        <v>308867.94776474999</v>
      </c>
      <c r="G575" t="str">
        <f t="shared" si="16"/>
        <v>4507</v>
      </c>
      <c r="H575" t="str">
        <f t="shared" si="17"/>
        <v>Remuneration of councillors</v>
      </c>
    </row>
    <row r="576" spans="1:8" x14ac:dyDescent="0.25">
      <c r="A576" t="s">
        <v>750</v>
      </c>
      <c r="B576" t="s">
        <v>203</v>
      </c>
      <c r="C576" s="67">
        <v>809332</v>
      </c>
      <c r="D576" s="67">
        <v>809332</v>
      </c>
      <c r="E576" s="67">
        <v>865984.90027499991</v>
      </c>
      <c r="F576" s="67">
        <v>926603.84329424985</v>
      </c>
      <c r="G576" t="str">
        <f t="shared" si="16"/>
        <v>4507</v>
      </c>
      <c r="H576" t="str">
        <f t="shared" si="17"/>
        <v>Remuneration of councillors</v>
      </c>
    </row>
    <row r="577" spans="1:8" x14ac:dyDescent="0.25">
      <c r="A577" t="s">
        <v>751</v>
      </c>
      <c r="B577" t="s">
        <v>204</v>
      </c>
      <c r="C577" s="67">
        <v>136308</v>
      </c>
      <c r="D577" s="67">
        <v>136308</v>
      </c>
      <c r="E577" s="67">
        <v>145849.56</v>
      </c>
      <c r="F577" s="67">
        <v>156059.02919999999</v>
      </c>
      <c r="G577" t="str">
        <f t="shared" si="16"/>
        <v>4507</v>
      </c>
      <c r="H577" t="str">
        <f t="shared" si="17"/>
        <v>Remuneration of councillors</v>
      </c>
    </row>
    <row r="578" spans="1:8" x14ac:dyDescent="0.25">
      <c r="A578" t="s">
        <v>752</v>
      </c>
      <c r="B578" t="s">
        <v>268</v>
      </c>
      <c r="C578" s="67">
        <v>50000</v>
      </c>
      <c r="D578" s="67">
        <v>25000</v>
      </c>
      <c r="E578" s="67">
        <v>52700</v>
      </c>
      <c r="F578" s="67">
        <v>55545.8</v>
      </c>
      <c r="G578" t="str">
        <f t="shared" ref="G578:G641" si="18">VLOOKUP(A578,s,2,FALSE)</f>
        <v>4507</v>
      </c>
      <c r="H578" t="str">
        <f t="shared" ref="H578:H641" si="19">VLOOKUP(A578,s,3,FALSE)</f>
        <v>General expenses</v>
      </c>
    </row>
    <row r="579" spans="1:8" x14ac:dyDescent="0.25">
      <c r="A579" t="s">
        <v>1604</v>
      </c>
      <c r="B579" t="s">
        <v>1404</v>
      </c>
      <c r="C579" s="67">
        <v>-1265417</v>
      </c>
      <c r="D579" s="67">
        <v>-1240417</v>
      </c>
      <c r="E579" s="67">
        <v>-1353196.0937000001</v>
      </c>
      <c r="F579" s="67">
        <v>-1447076.620259</v>
      </c>
      <c r="G579" t="str">
        <f t="shared" si="18"/>
        <v>4507</v>
      </c>
      <c r="H579" t="str">
        <f t="shared" si="19"/>
        <v>Accumulated surplus</v>
      </c>
    </row>
    <row r="580" spans="1:8" x14ac:dyDescent="0.25">
      <c r="A580" t="s">
        <v>1605</v>
      </c>
      <c r="B580" t="s">
        <v>1464</v>
      </c>
      <c r="C580" s="67">
        <v>1265417</v>
      </c>
      <c r="D580" s="67">
        <v>0</v>
      </c>
      <c r="E580" s="67">
        <v>1353196.0937000001</v>
      </c>
      <c r="F580" s="67">
        <v>1447076.620259</v>
      </c>
      <c r="G580" t="str">
        <f t="shared" si="18"/>
        <v>4507</v>
      </c>
      <c r="H580" t="str">
        <f t="shared" si="19"/>
        <v>Reserves</v>
      </c>
    </row>
    <row r="581" spans="1:8" x14ac:dyDescent="0.25">
      <c r="A581" t="s">
        <v>754</v>
      </c>
      <c r="B581" t="s">
        <v>150</v>
      </c>
      <c r="C581" s="67">
        <v>200866</v>
      </c>
      <c r="D581" s="67">
        <v>200866</v>
      </c>
      <c r="E581" s="67">
        <v>214926.48988799998</v>
      </c>
      <c r="F581" s="67">
        <v>229971.34418015997</v>
      </c>
      <c r="G581" t="str">
        <f t="shared" si="18"/>
        <v>4510</v>
      </c>
      <c r="H581" t="str">
        <f t="shared" si="19"/>
        <v>Employee related costs</v>
      </c>
    </row>
    <row r="582" spans="1:8" x14ac:dyDescent="0.25">
      <c r="A582" t="s">
        <v>755</v>
      </c>
      <c r="B582" t="s">
        <v>151</v>
      </c>
      <c r="C582" s="67">
        <v>10043</v>
      </c>
      <c r="D582" s="67">
        <v>8467.0899999999983</v>
      </c>
      <c r="E582" s="67">
        <v>100</v>
      </c>
      <c r="F582" s="67">
        <v>2532.46</v>
      </c>
      <c r="G582" t="str">
        <f t="shared" si="18"/>
        <v>4510</v>
      </c>
      <c r="H582" t="str">
        <f t="shared" si="19"/>
        <v>Employee related costs</v>
      </c>
    </row>
    <row r="583" spans="1:8" x14ac:dyDescent="0.25">
      <c r="A583" t="s">
        <v>756</v>
      </c>
      <c r="B583" t="s">
        <v>155</v>
      </c>
      <c r="C583" s="67">
        <v>6666</v>
      </c>
      <c r="D583" s="67">
        <v>6666</v>
      </c>
      <c r="E583" s="67">
        <v>17910.540824</v>
      </c>
      <c r="F583" s="67">
        <v>19164.27868168</v>
      </c>
      <c r="G583" t="str">
        <f t="shared" si="18"/>
        <v>4510</v>
      </c>
      <c r="H583" t="str">
        <f t="shared" si="19"/>
        <v>Employee related costs</v>
      </c>
    </row>
    <row r="584" spans="1:8" x14ac:dyDescent="0.25">
      <c r="A584" t="s">
        <v>757</v>
      </c>
      <c r="B584" t="s">
        <v>157</v>
      </c>
      <c r="C584" s="67">
        <v>23939</v>
      </c>
      <c r="D584" s="67">
        <v>23939</v>
      </c>
      <c r="E584" s="67">
        <v>7132.1144768876702</v>
      </c>
      <c r="F584" s="67">
        <v>7631.3624902698075</v>
      </c>
      <c r="G584" t="str">
        <f t="shared" si="18"/>
        <v>4510</v>
      </c>
      <c r="H584" t="str">
        <f t="shared" si="19"/>
        <v>Employee related costs</v>
      </c>
    </row>
    <row r="585" spans="1:8" x14ac:dyDescent="0.25">
      <c r="A585" t="s">
        <v>758</v>
      </c>
      <c r="B585" t="s">
        <v>159</v>
      </c>
      <c r="C585" s="67">
        <v>16739</v>
      </c>
      <c r="D585" s="67">
        <v>16739</v>
      </c>
      <c r="E585" s="67">
        <v>25615.191383999998</v>
      </c>
      <c r="F585" s="67">
        <v>27408.254780879997</v>
      </c>
      <c r="G585" t="str">
        <f t="shared" si="18"/>
        <v>4510</v>
      </c>
      <c r="H585" t="str">
        <f t="shared" si="19"/>
        <v>Employee related costs</v>
      </c>
    </row>
    <row r="586" spans="1:8" x14ac:dyDescent="0.25">
      <c r="A586" t="s">
        <v>759</v>
      </c>
      <c r="B586" t="s">
        <v>164</v>
      </c>
      <c r="C586" s="67">
        <v>0</v>
      </c>
      <c r="D586" s="67">
        <v>12363.6</v>
      </c>
      <c r="E586" s="67">
        <v>0</v>
      </c>
      <c r="F586" s="67">
        <v>0</v>
      </c>
      <c r="G586" t="str">
        <f t="shared" si="18"/>
        <v>4510</v>
      </c>
      <c r="H586" t="str">
        <f t="shared" si="19"/>
        <v>Remuneration of councillors</v>
      </c>
    </row>
    <row r="587" spans="1:8" x14ac:dyDescent="0.25">
      <c r="A587" t="s">
        <v>760</v>
      </c>
      <c r="B587" t="s">
        <v>167</v>
      </c>
      <c r="C587" s="67">
        <v>112</v>
      </c>
      <c r="D587" s="67">
        <v>112</v>
      </c>
      <c r="E587" s="67">
        <v>120.21449999999999</v>
      </c>
      <c r="F587" s="67">
        <v>128.629515</v>
      </c>
      <c r="G587" t="str">
        <f t="shared" si="18"/>
        <v>4510</v>
      </c>
      <c r="H587" t="str">
        <f t="shared" si="19"/>
        <v>Employee related costs</v>
      </c>
    </row>
    <row r="588" spans="1:8" x14ac:dyDescent="0.25">
      <c r="A588" t="s">
        <v>761</v>
      </c>
      <c r="B588" t="s">
        <v>168</v>
      </c>
      <c r="C588" s="67">
        <v>0</v>
      </c>
      <c r="D588" s="67">
        <v>0</v>
      </c>
      <c r="E588" s="67">
        <v>0</v>
      </c>
      <c r="F588" s="67">
        <v>0</v>
      </c>
      <c r="G588" t="str">
        <f t="shared" si="18"/>
        <v>4510</v>
      </c>
      <c r="H588" t="str">
        <f t="shared" si="19"/>
        <v>Employee related costs</v>
      </c>
    </row>
    <row r="589" spans="1:8" x14ac:dyDescent="0.25">
      <c r="A589" t="s">
        <v>762</v>
      </c>
      <c r="B589" t="s">
        <v>169</v>
      </c>
      <c r="C589" s="67">
        <v>44190</v>
      </c>
      <c r="D589" s="67">
        <v>44190</v>
      </c>
      <c r="E589" s="67">
        <v>47283.827775359998</v>
      </c>
      <c r="F589" s="67">
        <v>50593.695719635201</v>
      </c>
      <c r="G589" t="str">
        <f t="shared" si="18"/>
        <v>4510</v>
      </c>
      <c r="H589" t="str">
        <f t="shared" si="19"/>
        <v>Employee related costs</v>
      </c>
    </row>
    <row r="590" spans="1:8" x14ac:dyDescent="0.25">
      <c r="A590" t="s">
        <v>763</v>
      </c>
      <c r="B590" t="s">
        <v>170</v>
      </c>
      <c r="C590" s="67">
        <v>1785</v>
      </c>
      <c r="D590" s="67">
        <v>1785</v>
      </c>
      <c r="E590" s="67">
        <v>1909.95</v>
      </c>
      <c r="F590" s="67">
        <v>2043.6465000000001</v>
      </c>
      <c r="G590" t="str">
        <f t="shared" si="18"/>
        <v>4510</v>
      </c>
      <c r="H590" t="str">
        <f t="shared" si="19"/>
        <v>Employee related costs</v>
      </c>
    </row>
    <row r="591" spans="1:8" x14ac:dyDescent="0.25">
      <c r="A591" t="s">
        <v>764</v>
      </c>
      <c r="B591" t="s">
        <v>182</v>
      </c>
      <c r="C591" s="67">
        <v>177139</v>
      </c>
      <c r="D591" s="67">
        <v>177139</v>
      </c>
      <c r="E591" s="67">
        <v>189538.19500000001</v>
      </c>
      <c r="F591" s="67">
        <v>202805.86865000002</v>
      </c>
      <c r="G591" t="str">
        <f t="shared" si="18"/>
        <v>4510</v>
      </c>
      <c r="H591" t="str">
        <f t="shared" si="19"/>
        <v>Remuneration of councillors</v>
      </c>
    </row>
    <row r="592" spans="1:8" x14ac:dyDescent="0.25">
      <c r="A592" t="s">
        <v>765</v>
      </c>
      <c r="B592" t="s">
        <v>183</v>
      </c>
      <c r="C592" s="67">
        <v>531416</v>
      </c>
      <c r="D592" s="67">
        <v>531416</v>
      </c>
      <c r="E592" s="67">
        <v>568614.58499999996</v>
      </c>
      <c r="F592" s="67">
        <v>608417.60595</v>
      </c>
      <c r="G592" t="str">
        <f t="shared" si="18"/>
        <v>4510</v>
      </c>
      <c r="H592" t="str">
        <f t="shared" si="19"/>
        <v>Remuneration of councillors</v>
      </c>
    </row>
    <row r="593" spans="1:8" x14ac:dyDescent="0.25">
      <c r="A593" t="s">
        <v>766</v>
      </c>
      <c r="B593" t="s">
        <v>184</v>
      </c>
      <c r="C593" s="67">
        <v>47508</v>
      </c>
      <c r="D593" s="67">
        <v>47508</v>
      </c>
      <c r="E593" s="67">
        <v>50833.56</v>
      </c>
      <c r="F593" s="67">
        <v>54391.909199999995</v>
      </c>
      <c r="G593" t="str">
        <f t="shared" si="18"/>
        <v>4510</v>
      </c>
      <c r="H593" t="str">
        <f t="shared" si="19"/>
        <v>Remuneration of councillors</v>
      </c>
    </row>
    <row r="594" spans="1:8" x14ac:dyDescent="0.25">
      <c r="A594" t="s">
        <v>767</v>
      </c>
      <c r="B594" t="s">
        <v>202</v>
      </c>
      <c r="C594" s="67">
        <v>0</v>
      </c>
      <c r="D594" s="67">
        <v>0</v>
      </c>
      <c r="E594" s="67">
        <v>0</v>
      </c>
      <c r="F594" s="67">
        <v>0</v>
      </c>
      <c r="G594" t="str">
        <f t="shared" si="18"/>
        <v>4510</v>
      </c>
      <c r="H594" t="str">
        <f t="shared" si="19"/>
        <v>Remuneration of councillors</v>
      </c>
    </row>
    <row r="595" spans="1:8" x14ac:dyDescent="0.25">
      <c r="A595" t="s">
        <v>768</v>
      </c>
      <c r="B595" t="s">
        <v>203</v>
      </c>
      <c r="C595" s="67">
        <v>0</v>
      </c>
      <c r="D595" s="67">
        <v>0</v>
      </c>
      <c r="E595" s="67">
        <v>0</v>
      </c>
      <c r="F595" s="67">
        <v>0</v>
      </c>
      <c r="G595" t="str">
        <f t="shared" si="18"/>
        <v>4510</v>
      </c>
      <c r="H595" t="str">
        <f t="shared" si="19"/>
        <v>Remuneration of councillors</v>
      </c>
    </row>
    <row r="596" spans="1:8" x14ac:dyDescent="0.25">
      <c r="A596" t="s">
        <v>769</v>
      </c>
      <c r="B596" t="s">
        <v>204</v>
      </c>
      <c r="C596" s="67">
        <v>0</v>
      </c>
      <c r="D596" s="67">
        <v>0</v>
      </c>
      <c r="E596" s="67">
        <v>0</v>
      </c>
      <c r="F596" s="67">
        <v>0</v>
      </c>
      <c r="G596" t="str">
        <f t="shared" si="18"/>
        <v>4510</v>
      </c>
      <c r="H596" t="str">
        <f t="shared" si="19"/>
        <v>Remuneration of councillors</v>
      </c>
    </row>
    <row r="597" spans="1:8" x14ac:dyDescent="0.25">
      <c r="A597" t="s">
        <v>770</v>
      </c>
      <c r="B597" t="s">
        <v>253</v>
      </c>
      <c r="C597" s="67">
        <v>2000</v>
      </c>
      <c r="D597" s="67">
        <v>2000</v>
      </c>
      <c r="E597" s="67">
        <v>0</v>
      </c>
      <c r="F597" s="67">
        <v>0</v>
      </c>
      <c r="G597" t="str">
        <f t="shared" si="18"/>
        <v>4510</v>
      </c>
      <c r="H597" t="str">
        <f t="shared" si="19"/>
        <v>General expenses</v>
      </c>
    </row>
    <row r="598" spans="1:8" x14ac:dyDescent="0.25">
      <c r="A598" t="s">
        <v>771</v>
      </c>
      <c r="B598" t="s">
        <v>265</v>
      </c>
      <c r="C598" s="67">
        <v>0</v>
      </c>
      <c r="D598" s="67">
        <v>8000</v>
      </c>
      <c r="E598" s="67">
        <v>2000</v>
      </c>
      <c r="F598" s="67">
        <v>2000</v>
      </c>
      <c r="G598" t="str">
        <f t="shared" si="18"/>
        <v>4510</v>
      </c>
      <c r="H598" t="str">
        <f t="shared" si="19"/>
        <v>General expenses</v>
      </c>
    </row>
    <row r="599" spans="1:8" x14ac:dyDescent="0.25">
      <c r="A599" t="s">
        <v>772</v>
      </c>
      <c r="B599" t="s">
        <v>268</v>
      </c>
      <c r="C599" s="67">
        <v>85032</v>
      </c>
      <c r="D599" s="67">
        <v>85032</v>
      </c>
      <c r="E599" s="67">
        <v>89623.728000000003</v>
      </c>
      <c r="F599" s="67">
        <v>94463.409312000003</v>
      </c>
      <c r="G599" t="str">
        <f t="shared" si="18"/>
        <v>4510</v>
      </c>
      <c r="H599" t="str">
        <f t="shared" si="19"/>
        <v>General expenses</v>
      </c>
    </row>
    <row r="600" spans="1:8" x14ac:dyDescent="0.25">
      <c r="A600" t="s">
        <v>773</v>
      </c>
      <c r="B600" t="s">
        <v>269</v>
      </c>
      <c r="C600" s="67">
        <v>30000</v>
      </c>
      <c r="D600" s="67">
        <v>15000</v>
      </c>
      <c r="E600" s="67">
        <v>31620</v>
      </c>
      <c r="F600" s="67">
        <v>33327.480000000003</v>
      </c>
      <c r="G600" t="str">
        <f t="shared" si="18"/>
        <v>4510</v>
      </c>
      <c r="H600" t="str">
        <f t="shared" si="19"/>
        <v>General expenses</v>
      </c>
    </row>
    <row r="601" spans="1:8" x14ac:dyDescent="0.25">
      <c r="A601" t="s">
        <v>1606</v>
      </c>
      <c r="B601" t="s">
        <v>1404</v>
      </c>
      <c r="C601" s="67">
        <v>-1177435</v>
      </c>
      <c r="D601" s="67">
        <v>-1182798.6000000001</v>
      </c>
      <c r="E601" s="67">
        <v>-1257874.7213426479</v>
      </c>
      <c r="F601" s="67">
        <v>-1343846.052188633</v>
      </c>
      <c r="G601" t="str">
        <f t="shared" si="18"/>
        <v>4510</v>
      </c>
      <c r="H601" t="str">
        <f t="shared" si="19"/>
        <v>Accumulated surplus</v>
      </c>
    </row>
    <row r="602" spans="1:8" x14ac:dyDescent="0.25">
      <c r="A602" t="s">
        <v>1607</v>
      </c>
      <c r="B602" t="s">
        <v>1460</v>
      </c>
      <c r="C602" s="67">
        <v>-106099</v>
      </c>
      <c r="D602" s="67">
        <v>-106099</v>
      </c>
      <c r="E602" s="67">
        <v>-116708.9</v>
      </c>
      <c r="F602" s="67">
        <v>-128379.79</v>
      </c>
      <c r="G602" t="str">
        <f t="shared" si="18"/>
        <v>4510</v>
      </c>
      <c r="H602" t="str">
        <f t="shared" si="19"/>
        <v>Current Employee Benefits</v>
      </c>
    </row>
    <row r="603" spans="1:8" x14ac:dyDescent="0.25">
      <c r="A603" t="s">
        <v>1608</v>
      </c>
      <c r="B603" t="s">
        <v>1462</v>
      </c>
      <c r="C603" s="67">
        <v>8727</v>
      </c>
      <c r="D603" s="67">
        <v>1753132.11</v>
      </c>
      <c r="E603" s="67">
        <v>2935930.71</v>
      </c>
      <c r="F603" s="67">
        <v>4193805.4313426479</v>
      </c>
      <c r="G603" t="str">
        <f t="shared" si="18"/>
        <v>4510</v>
      </c>
      <c r="H603" t="str">
        <f t="shared" si="19"/>
        <v>Reserves</v>
      </c>
    </row>
    <row r="604" spans="1:8" x14ac:dyDescent="0.25">
      <c r="A604" t="s">
        <v>1609</v>
      </c>
      <c r="B604" t="s">
        <v>1464</v>
      </c>
      <c r="C604" s="67">
        <v>1177435</v>
      </c>
      <c r="D604" s="67">
        <v>1182798.6000000001</v>
      </c>
      <c r="E604" s="67">
        <v>1257874.7213426479</v>
      </c>
      <c r="F604" s="67">
        <v>1343846.052188633</v>
      </c>
      <c r="G604" t="str">
        <f t="shared" si="18"/>
        <v>4510</v>
      </c>
      <c r="H604" t="str">
        <f t="shared" si="19"/>
        <v>Reserves</v>
      </c>
    </row>
    <row r="605" spans="1:8" x14ac:dyDescent="0.25">
      <c r="A605" t="s">
        <v>775</v>
      </c>
      <c r="B605" t="s">
        <v>164</v>
      </c>
      <c r="C605" s="67">
        <v>0</v>
      </c>
      <c r="D605" s="67">
        <v>15000</v>
      </c>
      <c r="E605" s="67">
        <v>0</v>
      </c>
      <c r="F605" s="67">
        <v>0</v>
      </c>
      <c r="G605" t="str">
        <f t="shared" si="18"/>
        <v>4515</v>
      </c>
      <c r="H605" t="str">
        <f t="shared" si="19"/>
        <v>Remuneration of councillors</v>
      </c>
    </row>
    <row r="606" spans="1:8" x14ac:dyDescent="0.25">
      <c r="A606" t="s">
        <v>776</v>
      </c>
      <c r="B606" t="s">
        <v>187</v>
      </c>
      <c r="C606" s="67">
        <v>166067</v>
      </c>
      <c r="D606" s="67">
        <v>166067</v>
      </c>
      <c r="E606" s="67">
        <v>177692.20092500001</v>
      </c>
      <c r="F606" s="67">
        <v>190130.65498975001</v>
      </c>
      <c r="G606" t="str">
        <f t="shared" si="18"/>
        <v>4515</v>
      </c>
      <c r="H606" t="str">
        <f t="shared" si="19"/>
        <v>Remuneration of councillors</v>
      </c>
    </row>
    <row r="607" spans="1:8" x14ac:dyDescent="0.25">
      <c r="A607" t="s">
        <v>777</v>
      </c>
      <c r="B607" t="s">
        <v>188</v>
      </c>
      <c r="C607" s="67">
        <v>498202</v>
      </c>
      <c r="D607" s="67">
        <v>498202</v>
      </c>
      <c r="E607" s="67">
        <v>528094.57845000003</v>
      </c>
      <c r="F607" s="67">
        <v>565061.19894150004</v>
      </c>
      <c r="G607" t="str">
        <f t="shared" si="18"/>
        <v>4515</v>
      </c>
      <c r="H607" t="str">
        <f t="shared" si="19"/>
        <v>Remuneration of councillors</v>
      </c>
    </row>
    <row r="608" spans="1:8" x14ac:dyDescent="0.25">
      <c r="A608" t="s">
        <v>778</v>
      </c>
      <c r="B608" t="s">
        <v>189</v>
      </c>
      <c r="C608" s="67">
        <v>47508</v>
      </c>
      <c r="D608" s="67">
        <v>47508</v>
      </c>
      <c r="E608" s="67">
        <v>50358.48</v>
      </c>
      <c r="F608" s="67">
        <v>53883.573600000003</v>
      </c>
      <c r="G608" t="str">
        <f t="shared" si="18"/>
        <v>4515</v>
      </c>
      <c r="H608" t="str">
        <f t="shared" si="19"/>
        <v>Remuneration of councillors</v>
      </c>
    </row>
    <row r="609" spans="1:8" x14ac:dyDescent="0.25">
      <c r="A609" t="s">
        <v>779</v>
      </c>
      <c r="B609" t="s">
        <v>202</v>
      </c>
      <c r="C609" s="67">
        <v>0</v>
      </c>
      <c r="D609" s="67">
        <v>0</v>
      </c>
      <c r="E609" s="67">
        <v>0</v>
      </c>
      <c r="F609" s="67">
        <v>0</v>
      </c>
      <c r="G609" t="str">
        <f t="shared" si="18"/>
        <v>4515</v>
      </c>
      <c r="H609" t="str">
        <f t="shared" si="19"/>
        <v>Remuneration of councillors</v>
      </c>
    </row>
    <row r="610" spans="1:8" x14ac:dyDescent="0.25">
      <c r="A610" t="s">
        <v>780</v>
      </c>
      <c r="B610" t="s">
        <v>203</v>
      </c>
      <c r="C610" s="67">
        <v>0</v>
      </c>
      <c r="D610" s="67">
        <v>0</v>
      </c>
      <c r="E610" s="67">
        <v>0</v>
      </c>
      <c r="F610" s="67">
        <v>0</v>
      </c>
      <c r="G610" t="str">
        <f t="shared" si="18"/>
        <v>4515</v>
      </c>
      <c r="H610" t="str">
        <f t="shared" si="19"/>
        <v>Remuneration of councillors</v>
      </c>
    </row>
    <row r="611" spans="1:8" x14ac:dyDescent="0.25">
      <c r="A611" t="s">
        <v>781</v>
      </c>
      <c r="B611" t="s">
        <v>204</v>
      </c>
      <c r="C611" s="67">
        <v>0</v>
      </c>
      <c r="D611" s="67">
        <v>0</v>
      </c>
      <c r="E611" s="67">
        <v>0</v>
      </c>
      <c r="F611" s="67">
        <v>0</v>
      </c>
      <c r="G611" t="str">
        <f t="shared" si="18"/>
        <v>4515</v>
      </c>
      <c r="H611" t="str">
        <f t="shared" si="19"/>
        <v>Remuneration of councillors</v>
      </c>
    </row>
    <row r="612" spans="1:8" x14ac:dyDescent="0.25">
      <c r="A612" t="s">
        <v>782</v>
      </c>
      <c r="B612" t="s">
        <v>253</v>
      </c>
      <c r="C612" s="67">
        <v>2000</v>
      </c>
      <c r="D612" s="67">
        <v>2000</v>
      </c>
      <c r="E612" s="67">
        <v>2000</v>
      </c>
      <c r="F612" s="67">
        <v>2000</v>
      </c>
      <c r="G612" t="str">
        <f t="shared" si="18"/>
        <v>4515</v>
      </c>
      <c r="H612" t="str">
        <f t="shared" si="19"/>
        <v>General expenses</v>
      </c>
    </row>
    <row r="613" spans="1:8" x14ac:dyDescent="0.25">
      <c r="A613" t="s">
        <v>783</v>
      </c>
      <c r="B613" t="s">
        <v>265</v>
      </c>
      <c r="C613" s="67">
        <v>0</v>
      </c>
      <c r="D613" s="67">
        <v>0</v>
      </c>
      <c r="E613" s="67">
        <v>0</v>
      </c>
      <c r="F613" s="67">
        <v>0</v>
      </c>
      <c r="G613" t="str">
        <f t="shared" si="18"/>
        <v>4515</v>
      </c>
      <c r="H613" t="str">
        <f t="shared" si="19"/>
        <v>General expenses</v>
      </c>
    </row>
    <row r="614" spans="1:8" x14ac:dyDescent="0.25">
      <c r="A614" t="s">
        <v>784</v>
      </c>
      <c r="B614" t="s">
        <v>268</v>
      </c>
      <c r="C614" s="67">
        <v>85032</v>
      </c>
      <c r="D614" s="67">
        <v>75032</v>
      </c>
      <c r="E614" s="67">
        <v>89623.728000000003</v>
      </c>
      <c r="F614" s="67">
        <v>94463.409312000003</v>
      </c>
      <c r="G614" t="str">
        <f t="shared" si="18"/>
        <v>4515</v>
      </c>
      <c r="H614" t="str">
        <f t="shared" si="19"/>
        <v>General expenses</v>
      </c>
    </row>
    <row r="615" spans="1:8" x14ac:dyDescent="0.25">
      <c r="A615" t="s">
        <v>785</v>
      </c>
      <c r="B615" t="s">
        <v>269</v>
      </c>
      <c r="C615" s="67">
        <v>30000</v>
      </c>
      <c r="D615" s="67">
        <v>30000</v>
      </c>
      <c r="E615" s="67">
        <v>31620</v>
      </c>
      <c r="F615" s="67">
        <v>33327.480000000003</v>
      </c>
      <c r="G615" t="str">
        <f t="shared" si="18"/>
        <v>4515</v>
      </c>
      <c r="H615" t="str">
        <f t="shared" si="19"/>
        <v>General expenses</v>
      </c>
    </row>
    <row r="616" spans="1:8" x14ac:dyDescent="0.25">
      <c r="A616" t="s">
        <v>1610</v>
      </c>
      <c r="B616" t="s">
        <v>1404</v>
      </c>
      <c r="C616" s="67">
        <v>-828809</v>
      </c>
      <c r="D616" s="67">
        <v>-833809</v>
      </c>
      <c r="E616" s="67">
        <v>-879388.98737500003</v>
      </c>
      <c r="F616" s="67">
        <v>-938866.31684325007</v>
      </c>
      <c r="G616" t="str">
        <f t="shared" si="18"/>
        <v>4515</v>
      </c>
      <c r="H616" t="str">
        <f t="shared" si="19"/>
        <v>Accumulated surplus</v>
      </c>
    </row>
    <row r="617" spans="1:8" x14ac:dyDescent="0.25">
      <c r="A617" t="s">
        <v>1611</v>
      </c>
      <c r="B617" t="s">
        <v>1460</v>
      </c>
      <c r="C617" s="67">
        <v>0</v>
      </c>
      <c r="D617" s="67">
        <v>0</v>
      </c>
      <c r="E617" s="67">
        <v>0</v>
      </c>
      <c r="F617" s="67">
        <v>0</v>
      </c>
      <c r="G617" t="str">
        <f t="shared" si="18"/>
        <v>4515</v>
      </c>
      <c r="H617" t="str">
        <f t="shared" si="19"/>
        <v>Current Employee Benefits</v>
      </c>
    </row>
    <row r="618" spans="1:8" x14ac:dyDescent="0.25">
      <c r="A618" t="s">
        <v>1612</v>
      </c>
      <c r="B618" t="s">
        <v>1462</v>
      </c>
      <c r="C618" s="67">
        <v>0</v>
      </c>
      <c r="D618" s="67">
        <v>1631368.48</v>
      </c>
      <c r="E618" s="67">
        <v>2465177.48</v>
      </c>
      <c r="F618" s="67">
        <v>3344566.467375</v>
      </c>
      <c r="G618" t="str">
        <f t="shared" si="18"/>
        <v>4515</v>
      </c>
      <c r="H618" t="str">
        <f t="shared" si="19"/>
        <v>Reserves</v>
      </c>
    </row>
    <row r="619" spans="1:8" x14ac:dyDescent="0.25">
      <c r="A619" t="s">
        <v>1613</v>
      </c>
      <c r="B619" t="s">
        <v>1464</v>
      </c>
      <c r="C619" s="67">
        <v>828809</v>
      </c>
      <c r="D619" s="67">
        <v>833809</v>
      </c>
      <c r="E619" s="67">
        <v>879388.98737500003</v>
      </c>
      <c r="F619" s="67">
        <v>938866.31684325007</v>
      </c>
      <c r="G619" t="str">
        <f t="shared" si="18"/>
        <v>4515</v>
      </c>
      <c r="H619" t="str">
        <f t="shared" si="19"/>
        <v>Reserves</v>
      </c>
    </row>
    <row r="620" spans="1:8" x14ac:dyDescent="0.25">
      <c r="A620" t="s">
        <v>787</v>
      </c>
      <c r="B620" t="s">
        <v>168</v>
      </c>
      <c r="C620" s="67">
        <v>0</v>
      </c>
      <c r="D620" s="67">
        <v>70000</v>
      </c>
      <c r="E620" s="67">
        <v>0</v>
      </c>
      <c r="F620" s="67">
        <v>0</v>
      </c>
      <c r="G620" t="str">
        <f t="shared" si="18"/>
        <v>4520</v>
      </c>
      <c r="H620" t="str">
        <f t="shared" si="19"/>
        <v>Employee related costs</v>
      </c>
    </row>
    <row r="621" spans="1:8" x14ac:dyDescent="0.25">
      <c r="A621" t="s">
        <v>788</v>
      </c>
      <c r="B621" t="s">
        <v>197</v>
      </c>
      <c r="C621" s="67">
        <v>683494</v>
      </c>
      <c r="D621" s="67">
        <v>683494</v>
      </c>
      <c r="E621" s="67">
        <v>731338.36332500004</v>
      </c>
      <c r="F621" s="67">
        <v>782532.04875775008</v>
      </c>
      <c r="G621" t="str">
        <f t="shared" si="18"/>
        <v>4520</v>
      </c>
      <c r="H621" t="str">
        <f t="shared" si="19"/>
        <v>Remuneration of councillors</v>
      </c>
    </row>
    <row r="622" spans="1:8" x14ac:dyDescent="0.25">
      <c r="A622" t="s">
        <v>789</v>
      </c>
      <c r="B622" t="s">
        <v>198</v>
      </c>
      <c r="C622" s="67">
        <v>2050481</v>
      </c>
      <c r="D622" s="67">
        <v>2050481</v>
      </c>
      <c r="E622" s="67">
        <v>2173510.2760499995</v>
      </c>
      <c r="F622" s="67">
        <v>2325655.9953734996</v>
      </c>
      <c r="G622" t="str">
        <f t="shared" si="18"/>
        <v>4520</v>
      </c>
      <c r="H622" t="str">
        <f t="shared" si="19"/>
        <v>Remuneration of councillors</v>
      </c>
    </row>
    <row r="623" spans="1:8" x14ac:dyDescent="0.25">
      <c r="A623" t="s">
        <v>790</v>
      </c>
      <c r="B623" t="s">
        <v>199</v>
      </c>
      <c r="C623" s="67">
        <v>237540</v>
      </c>
      <c r="D623" s="67">
        <v>237540</v>
      </c>
      <c r="E623" s="67">
        <v>251792.4</v>
      </c>
      <c r="F623" s="67">
        <v>269417.86800000002</v>
      </c>
      <c r="G623" t="str">
        <f t="shared" si="18"/>
        <v>4520</v>
      </c>
      <c r="H623" t="str">
        <f t="shared" si="19"/>
        <v>Remuneration of councillors</v>
      </c>
    </row>
    <row r="624" spans="1:8" x14ac:dyDescent="0.25">
      <c r="A624" t="s">
        <v>791</v>
      </c>
      <c r="B624" t="s">
        <v>202</v>
      </c>
      <c r="C624" s="67">
        <v>0</v>
      </c>
      <c r="D624" s="67">
        <v>0</v>
      </c>
      <c r="E624" s="67">
        <v>0</v>
      </c>
      <c r="F624" s="67">
        <v>0</v>
      </c>
      <c r="G624" t="str">
        <f t="shared" si="18"/>
        <v>4520</v>
      </c>
      <c r="H624" t="str">
        <f t="shared" si="19"/>
        <v>Remuneration of councillors</v>
      </c>
    </row>
    <row r="625" spans="1:8" x14ac:dyDescent="0.25">
      <c r="A625" t="s">
        <v>792</v>
      </c>
      <c r="B625" t="s">
        <v>203</v>
      </c>
      <c r="C625" s="67">
        <v>0</v>
      </c>
      <c r="D625" s="67">
        <v>0</v>
      </c>
      <c r="E625" s="67">
        <v>0</v>
      </c>
      <c r="F625" s="67">
        <v>0</v>
      </c>
      <c r="G625" t="str">
        <f t="shared" si="18"/>
        <v>4520</v>
      </c>
      <c r="H625" t="str">
        <f t="shared" si="19"/>
        <v>Remuneration of councillors</v>
      </c>
    </row>
    <row r="626" spans="1:8" x14ac:dyDescent="0.25">
      <c r="A626" t="s">
        <v>793</v>
      </c>
      <c r="B626" t="s">
        <v>204</v>
      </c>
      <c r="C626" s="67">
        <v>0</v>
      </c>
      <c r="D626" s="67">
        <v>0</v>
      </c>
      <c r="E626" s="67">
        <v>0</v>
      </c>
      <c r="F626" s="67">
        <v>0</v>
      </c>
      <c r="G626" t="str">
        <f t="shared" si="18"/>
        <v>4520</v>
      </c>
      <c r="H626" t="str">
        <f t="shared" si="19"/>
        <v>Remuneration of councillors</v>
      </c>
    </row>
    <row r="627" spans="1:8" x14ac:dyDescent="0.25">
      <c r="A627" t="s">
        <v>794</v>
      </c>
      <c r="B627" t="s">
        <v>265</v>
      </c>
      <c r="C627" s="67">
        <v>0</v>
      </c>
      <c r="D627" s="67">
        <v>25000</v>
      </c>
      <c r="E627" s="67">
        <v>0</v>
      </c>
      <c r="F627" s="67">
        <v>0</v>
      </c>
      <c r="G627" t="str">
        <f t="shared" si="18"/>
        <v>4520</v>
      </c>
      <c r="H627" t="str">
        <f t="shared" si="19"/>
        <v>General expenses</v>
      </c>
    </row>
    <row r="628" spans="1:8" x14ac:dyDescent="0.25">
      <c r="A628" t="s">
        <v>795</v>
      </c>
      <c r="B628" t="s">
        <v>268</v>
      </c>
      <c r="C628" s="67">
        <v>85032</v>
      </c>
      <c r="D628" s="67">
        <v>235032</v>
      </c>
      <c r="E628" s="67">
        <v>89623.728000000003</v>
      </c>
      <c r="F628" s="67">
        <v>94463.409312000003</v>
      </c>
      <c r="G628" t="str">
        <f t="shared" si="18"/>
        <v>4520</v>
      </c>
      <c r="H628" t="str">
        <f t="shared" si="19"/>
        <v>General expenses</v>
      </c>
    </row>
    <row r="629" spans="1:8" x14ac:dyDescent="0.25">
      <c r="A629" t="s">
        <v>796</v>
      </c>
      <c r="B629" t="s">
        <v>269</v>
      </c>
      <c r="C629" s="67">
        <v>75000</v>
      </c>
      <c r="D629" s="67">
        <v>55000</v>
      </c>
      <c r="E629" s="67">
        <v>79050</v>
      </c>
      <c r="F629" s="67">
        <v>83318.7</v>
      </c>
      <c r="G629" t="str">
        <f t="shared" si="18"/>
        <v>4520</v>
      </c>
      <c r="H629" t="str">
        <f t="shared" si="19"/>
        <v>General expenses</v>
      </c>
    </row>
    <row r="630" spans="1:8" x14ac:dyDescent="0.25">
      <c r="A630" t="s">
        <v>1614</v>
      </c>
      <c r="B630" t="s">
        <v>1404</v>
      </c>
      <c r="C630" s="67">
        <v>-3131547</v>
      </c>
      <c r="D630" s="67">
        <v>-3356547</v>
      </c>
      <c r="E630" s="67">
        <v>-3325314.7673749994</v>
      </c>
      <c r="F630" s="67">
        <v>-3555388.0214432501</v>
      </c>
      <c r="G630" t="str">
        <f t="shared" si="18"/>
        <v>4520</v>
      </c>
      <c r="H630" t="str">
        <f t="shared" si="19"/>
        <v>Accumulated surplus</v>
      </c>
    </row>
    <row r="631" spans="1:8" x14ac:dyDescent="0.25">
      <c r="A631" t="s">
        <v>1615</v>
      </c>
      <c r="B631" t="s">
        <v>1462</v>
      </c>
      <c r="C631" s="67">
        <v>0</v>
      </c>
      <c r="D631" s="67">
        <v>6361152.8499999996</v>
      </c>
      <c r="E631" s="67">
        <v>9717699.8499999996</v>
      </c>
      <c r="F631" s="67">
        <v>13043014.617374999</v>
      </c>
      <c r="G631" t="str">
        <f t="shared" si="18"/>
        <v>4520</v>
      </c>
      <c r="H631" t="str">
        <f t="shared" si="19"/>
        <v>Reserves</v>
      </c>
    </row>
    <row r="632" spans="1:8" x14ac:dyDescent="0.25">
      <c r="A632" t="s">
        <v>1616</v>
      </c>
      <c r="B632" t="s">
        <v>1464</v>
      </c>
      <c r="C632" s="67">
        <v>3131547</v>
      </c>
      <c r="D632" s="67">
        <v>3356547</v>
      </c>
      <c r="E632" s="67">
        <v>3325314.7673749994</v>
      </c>
      <c r="F632" s="67">
        <v>3555388.0214432501</v>
      </c>
      <c r="G632" t="str">
        <f t="shared" si="18"/>
        <v>4520</v>
      </c>
      <c r="H632" t="str">
        <f t="shared" si="19"/>
        <v>Reserves</v>
      </c>
    </row>
    <row r="633" spans="1:8" x14ac:dyDescent="0.25">
      <c r="A633" t="s">
        <v>798</v>
      </c>
      <c r="B633" t="s">
        <v>150</v>
      </c>
      <c r="C633" s="67">
        <v>0</v>
      </c>
      <c r="D633" s="67">
        <v>80000</v>
      </c>
      <c r="E633" s="67">
        <v>0</v>
      </c>
      <c r="F633" s="67">
        <v>0</v>
      </c>
      <c r="G633" t="str">
        <f t="shared" si="18"/>
        <v>4525</v>
      </c>
      <c r="H633" t="str">
        <f t="shared" si="19"/>
        <v>Employee related costs</v>
      </c>
    </row>
    <row r="634" spans="1:8" x14ac:dyDescent="0.25">
      <c r="A634" t="s">
        <v>799</v>
      </c>
      <c r="B634" t="s">
        <v>168</v>
      </c>
      <c r="C634" s="67">
        <v>0</v>
      </c>
      <c r="D634" s="67">
        <v>30000</v>
      </c>
      <c r="E634" s="67">
        <v>0</v>
      </c>
      <c r="F634" s="67">
        <v>0</v>
      </c>
      <c r="G634" t="str">
        <f t="shared" si="18"/>
        <v>4525</v>
      </c>
      <c r="H634" t="str">
        <f t="shared" si="19"/>
        <v>Employee related costs</v>
      </c>
    </row>
    <row r="635" spans="1:8" x14ac:dyDescent="0.25">
      <c r="A635" t="s">
        <v>800</v>
      </c>
      <c r="B635" t="s">
        <v>202</v>
      </c>
      <c r="C635" s="67">
        <v>1611660</v>
      </c>
      <c r="D635" s="67">
        <v>1611660</v>
      </c>
      <c r="E635" s="67">
        <v>1724475.8575999998</v>
      </c>
      <c r="F635" s="67">
        <v>1845189.1676319998</v>
      </c>
      <c r="G635" t="str">
        <f t="shared" si="18"/>
        <v>4525</v>
      </c>
      <c r="H635" t="str">
        <f t="shared" si="19"/>
        <v>Remuneration of councillors</v>
      </c>
    </row>
    <row r="636" spans="1:8" x14ac:dyDescent="0.25">
      <c r="A636" t="s">
        <v>801</v>
      </c>
      <c r="B636" t="s">
        <v>203</v>
      </c>
      <c r="C636" s="67">
        <v>4834979</v>
      </c>
      <c r="D636" s="67">
        <v>4834979</v>
      </c>
      <c r="E636" s="67">
        <v>5173427.5728000021</v>
      </c>
      <c r="F636" s="67">
        <v>5535567.5028960025</v>
      </c>
      <c r="G636" t="str">
        <f t="shared" si="18"/>
        <v>4525</v>
      </c>
      <c r="H636" t="str">
        <f t="shared" si="19"/>
        <v>Remuneration of councillors</v>
      </c>
    </row>
    <row r="637" spans="1:8" x14ac:dyDescent="0.25">
      <c r="A637" t="s">
        <v>802</v>
      </c>
      <c r="B637" t="s">
        <v>204</v>
      </c>
      <c r="C637" s="67">
        <v>1092684</v>
      </c>
      <c r="D637" s="67">
        <v>1092684</v>
      </c>
      <c r="E637" s="67">
        <v>1169171.8799999999</v>
      </c>
      <c r="F637" s="67">
        <v>1251013.9115999998</v>
      </c>
      <c r="G637" t="str">
        <f t="shared" si="18"/>
        <v>4525</v>
      </c>
      <c r="H637" t="str">
        <f t="shared" si="19"/>
        <v>Remuneration of councillors</v>
      </c>
    </row>
    <row r="638" spans="1:8" x14ac:dyDescent="0.25">
      <c r="A638" t="s">
        <v>803</v>
      </c>
      <c r="B638" t="s">
        <v>265</v>
      </c>
      <c r="C638" s="67">
        <v>26435</v>
      </c>
      <c r="D638" s="67">
        <v>28000</v>
      </c>
      <c r="E638" s="67">
        <v>27862.84836</v>
      </c>
      <c r="F638" s="67">
        <v>29367.442171440001</v>
      </c>
      <c r="G638" t="str">
        <f t="shared" si="18"/>
        <v>4525</v>
      </c>
      <c r="H638" t="str">
        <f t="shared" si="19"/>
        <v>General expenses</v>
      </c>
    </row>
    <row r="639" spans="1:8" x14ac:dyDescent="0.25">
      <c r="A639" t="s">
        <v>804</v>
      </c>
      <c r="B639" t="s">
        <v>268</v>
      </c>
      <c r="C639" s="67">
        <v>744098</v>
      </c>
      <c r="D639" s="67">
        <v>744098</v>
      </c>
      <c r="E639" s="67">
        <v>784279.63981999992</v>
      </c>
      <c r="F639" s="67">
        <v>826630.74037027988</v>
      </c>
      <c r="G639" t="str">
        <f t="shared" si="18"/>
        <v>4525</v>
      </c>
      <c r="H639" t="str">
        <f t="shared" si="19"/>
        <v>General expenses</v>
      </c>
    </row>
    <row r="640" spans="1:8" x14ac:dyDescent="0.25">
      <c r="A640" t="s">
        <v>805</v>
      </c>
      <c r="B640" t="s">
        <v>269</v>
      </c>
      <c r="C640" s="67">
        <v>400000</v>
      </c>
      <c r="D640" s="67">
        <v>100000</v>
      </c>
      <c r="E640" s="67">
        <v>421600</v>
      </c>
      <c r="F640" s="67">
        <v>444366.4</v>
      </c>
      <c r="G640" t="str">
        <f t="shared" si="18"/>
        <v>4525</v>
      </c>
      <c r="H640" t="str">
        <f t="shared" si="19"/>
        <v>General expenses</v>
      </c>
    </row>
    <row r="641" spans="1:8" x14ac:dyDescent="0.25">
      <c r="A641" t="s">
        <v>1617</v>
      </c>
      <c r="B641" t="s">
        <v>1404</v>
      </c>
      <c r="C641" s="67">
        <v>-8709856</v>
      </c>
      <c r="D641" s="67">
        <v>-8519856</v>
      </c>
      <c r="E641" s="67">
        <v>-9300817.798580002</v>
      </c>
      <c r="F641" s="67">
        <v>-9932135.1646697205</v>
      </c>
      <c r="G641" t="str">
        <f t="shared" si="18"/>
        <v>4525</v>
      </c>
      <c r="H641" t="str">
        <f t="shared" si="19"/>
        <v>Accumulated surplus</v>
      </c>
    </row>
    <row r="642" spans="1:8" x14ac:dyDescent="0.25">
      <c r="A642" t="s">
        <v>1618</v>
      </c>
      <c r="B642" t="s">
        <v>1460</v>
      </c>
      <c r="C642" s="67">
        <v>0</v>
      </c>
      <c r="D642" s="67">
        <v>0</v>
      </c>
      <c r="E642" s="67">
        <v>0</v>
      </c>
      <c r="F642" s="67">
        <v>0</v>
      </c>
      <c r="G642" t="str">
        <f t="shared" ref="G642:G705" si="20">VLOOKUP(A642,s,2,FALSE)</f>
        <v>4525</v>
      </c>
      <c r="H642" t="str">
        <f t="shared" ref="H642:H705" si="21">VLOOKUP(A642,s,3,FALSE)</f>
        <v>Current Employee Benefits</v>
      </c>
    </row>
    <row r="643" spans="1:8" x14ac:dyDescent="0.25">
      <c r="A643" t="s">
        <v>1619</v>
      </c>
      <c r="B643" t="s">
        <v>1462</v>
      </c>
      <c r="C643" s="67">
        <v>0</v>
      </c>
      <c r="D643" s="67">
        <v>16223334.58</v>
      </c>
      <c r="E643" s="67">
        <v>24743190.579999998</v>
      </c>
      <c r="F643" s="67">
        <v>34044008.378580004</v>
      </c>
      <c r="G643" t="str">
        <f t="shared" si="20"/>
        <v>4525</v>
      </c>
      <c r="H643" t="str">
        <f t="shared" si="21"/>
        <v>Reserves</v>
      </c>
    </row>
    <row r="644" spans="1:8" x14ac:dyDescent="0.25">
      <c r="A644" t="s">
        <v>1620</v>
      </c>
      <c r="B644" t="s">
        <v>1464</v>
      </c>
      <c r="C644" s="67">
        <v>8709856</v>
      </c>
      <c r="D644" s="67">
        <v>8519856</v>
      </c>
      <c r="E644" s="67">
        <v>9300817.798580002</v>
      </c>
      <c r="F644" s="67">
        <v>9932135.1646697205</v>
      </c>
      <c r="G644" t="str">
        <f t="shared" si="20"/>
        <v>4525</v>
      </c>
      <c r="H644" t="str">
        <f t="shared" si="21"/>
        <v>Reserves</v>
      </c>
    </row>
    <row r="645" spans="1:8" x14ac:dyDescent="0.25">
      <c r="A645" t="s">
        <v>807</v>
      </c>
      <c r="B645" t="s">
        <v>12</v>
      </c>
      <c r="C645" s="67">
        <v>-1411279</v>
      </c>
      <c r="D645" s="67">
        <v>-1696156</v>
      </c>
      <c r="E645" s="67">
        <v>-1780963.8</v>
      </c>
      <c r="F645" s="67">
        <v>-1870011.99</v>
      </c>
      <c r="G645" t="str">
        <f t="shared" si="20"/>
        <v>5005</v>
      </c>
      <c r="H645" t="str">
        <f t="shared" si="21"/>
        <v>Property rates</v>
      </c>
    </row>
    <row r="646" spans="1:8" x14ac:dyDescent="0.25">
      <c r="A646" t="s">
        <v>808</v>
      </c>
      <c r="B646" t="s">
        <v>13</v>
      </c>
      <c r="C646" s="67">
        <v>0</v>
      </c>
      <c r="D646" s="67">
        <v>-5496279</v>
      </c>
      <c r="E646" s="67">
        <v>-5771092.9500000002</v>
      </c>
      <c r="F646" s="67">
        <v>-6059647.5975000001</v>
      </c>
      <c r="G646" t="str">
        <f t="shared" si="20"/>
        <v>5005</v>
      </c>
      <c r="H646" t="str">
        <f t="shared" si="21"/>
        <v>Property rates</v>
      </c>
    </row>
    <row r="647" spans="1:8" x14ac:dyDescent="0.25">
      <c r="A647" t="s">
        <v>809</v>
      </c>
      <c r="B647" t="s">
        <v>14</v>
      </c>
      <c r="C647" s="67">
        <v>-7880</v>
      </c>
      <c r="D647" s="67">
        <v>0</v>
      </c>
      <c r="E647" s="67">
        <v>-8305.3850880000009</v>
      </c>
      <c r="F647" s="67">
        <v>-8753.8758827520014</v>
      </c>
      <c r="G647" t="str">
        <f t="shared" si="20"/>
        <v>5005</v>
      </c>
      <c r="H647" t="str">
        <f t="shared" si="21"/>
        <v>General expenses</v>
      </c>
    </row>
    <row r="648" spans="1:8" x14ac:dyDescent="0.25">
      <c r="A648" t="s">
        <v>810</v>
      </c>
      <c r="B648" t="s">
        <v>15</v>
      </c>
      <c r="C648" s="67">
        <v>-22835</v>
      </c>
      <c r="D648" s="67">
        <v>-6022</v>
      </c>
      <c r="E648" s="67">
        <v>-6323.1</v>
      </c>
      <c r="F648" s="67">
        <v>-6639.2550000000001</v>
      </c>
      <c r="G648" t="str">
        <f t="shared" si="20"/>
        <v>5005</v>
      </c>
      <c r="H648" t="str">
        <f t="shared" si="21"/>
        <v>Property rates</v>
      </c>
    </row>
    <row r="649" spans="1:8" x14ac:dyDescent="0.25">
      <c r="A649" t="s">
        <v>811</v>
      </c>
      <c r="B649" t="s">
        <v>16</v>
      </c>
      <c r="C649" s="67">
        <v>-1954883</v>
      </c>
      <c r="D649" s="67">
        <v>1724122</v>
      </c>
      <c r="E649" s="67">
        <v>1810328.1</v>
      </c>
      <c r="F649" s="67">
        <v>1900844.5050000001</v>
      </c>
      <c r="G649" t="str">
        <f t="shared" si="20"/>
        <v>5005</v>
      </c>
      <c r="H649" t="str">
        <f t="shared" si="21"/>
        <v>Property rates</v>
      </c>
    </row>
    <row r="650" spans="1:8" x14ac:dyDescent="0.25">
      <c r="A650" t="s">
        <v>812</v>
      </c>
      <c r="B650" t="s">
        <v>16</v>
      </c>
      <c r="C650" s="67">
        <v>0</v>
      </c>
      <c r="D650" s="67">
        <v>-3584807</v>
      </c>
      <c r="E650" s="67">
        <v>-3764047.35</v>
      </c>
      <c r="F650" s="67">
        <v>-3952249.7175000003</v>
      </c>
      <c r="G650" t="str">
        <f t="shared" si="20"/>
        <v>5005</v>
      </c>
      <c r="H650" t="str">
        <f t="shared" si="21"/>
        <v>Property rates</v>
      </c>
    </row>
    <row r="651" spans="1:8" x14ac:dyDescent="0.25">
      <c r="A651" t="s">
        <v>813</v>
      </c>
      <c r="B651" t="s">
        <v>17</v>
      </c>
      <c r="C651" s="67">
        <v>-214619</v>
      </c>
      <c r="D651" s="67">
        <v>-56720</v>
      </c>
      <c r="E651" s="67">
        <v>-59556</v>
      </c>
      <c r="F651" s="67">
        <v>-62533.8</v>
      </c>
      <c r="G651" t="str">
        <f t="shared" si="20"/>
        <v>5005</v>
      </c>
      <c r="H651" t="str">
        <f t="shared" si="21"/>
        <v>Property rates</v>
      </c>
    </row>
    <row r="652" spans="1:8" x14ac:dyDescent="0.25">
      <c r="A652" t="s">
        <v>814</v>
      </c>
      <c r="B652" t="s">
        <v>18</v>
      </c>
      <c r="C652" s="67">
        <v>-1327315</v>
      </c>
      <c r="D652" s="67">
        <v>0</v>
      </c>
      <c r="E652" s="67">
        <v>0</v>
      </c>
      <c r="F652" s="67">
        <v>0</v>
      </c>
      <c r="G652" t="str">
        <f t="shared" si="20"/>
        <v>5005</v>
      </c>
      <c r="H652" t="str">
        <f t="shared" si="21"/>
        <v>Property rates</v>
      </c>
    </row>
    <row r="653" spans="1:8" x14ac:dyDescent="0.25">
      <c r="A653" t="s">
        <v>815</v>
      </c>
      <c r="B653" t="s">
        <v>19</v>
      </c>
      <c r="C653" s="67">
        <v>-10352372</v>
      </c>
      <c r="D653" s="67">
        <v>-10742205</v>
      </c>
      <c r="E653" s="67">
        <v>-11279315.25</v>
      </c>
      <c r="F653" s="67">
        <v>-11843281.012499999</v>
      </c>
      <c r="G653" t="str">
        <f t="shared" si="20"/>
        <v>5005</v>
      </c>
      <c r="H653" t="str">
        <f t="shared" si="21"/>
        <v>Property rates</v>
      </c>
    </row>
    <row r="654" spans="1:8" x14ac:dyDescent="0.25">
      <c r="A654" t="s">
        <v>816</v>
      </c>
      <c r="B654" t="s">
        <v>20</v>
      </c>
      <c r="C654" s="67">
        <v>0</v>
      </c>
      <c r="D654" s="67">
        <v>0</v>
      </c>
      <c r="E654" s="67">
        <v>0</v>
      </c>
      <c r="F654" s="67">
        <v>0</v>
      </c>
      <c r="G654" t="str">
        <f t="shared" si="20"/>
        <v>5005</v>
      </c>
      <c r="H654" t="str">
        <f t="shared" si="21"/>
        <v>Property rates</v>
      </c>
    </row>
    <row r="655" spans="1:8" x14ac:dyDescent="0.25">
      <c r="A655" t="s">
        <v>817</v>
      </c>
      <c r="B655" t="s">
        <v>27</v>
      </c>
      <c r="C655" s="67">
        <v>-3520000</v>
      </c>
      <c r="D655" s="67">
        <v>-3520000</v>
      </c>
      <c r="E655" s="67">
        <v>0</v>
      </c>
      <c r="F655" s="67">
        <v>0</v>
      </c>
      <c r="G655" t="str">
        <f t="shared" si="20"/>
        <v>5005</v>
      </c>
      <c r="H655" t="str">
        <f t="shared" si="21"/>
        <v>Other income</v>
      </c>
    </row>
    <row r="656" spans="1:8" x14ac:dyDescent="0.25">
      <c r="A656" t="s">
        <v>818</v>
      </c>
      <c r="B656" t="s">
        <v>32</v>
      </c>
      <c r="C656" s="67">
        <v>-2403000</v>
      </c>
      <c r="D656" s="67">
        <v>-2403000</v>
      </c>
      <c r="E656" s="67">
        <v>-2403000</v>
      </c>
      <c r="F656" s="67">
        <v>-2403000</v>
      </c>
      <c r="G656" t="str">
        <f t="shared" si="20"/>
        <v>5005</v>
      </c>
      <c r="H656" t="str">
        <f t="shared" si="21"/>
        <v>Government grants &amp; subsidies</v>
      </c>
    </row>
    <row r="657" spans="1:8" x14ac:dyDescent="0.25">
      <c r="A657" t="s">
        <v>819</v>
      </c>
      <c r="B657" t="s">
        <v>34</v>
      </c>
      <c r="C657" s="67">
        <v>-142578000</v>
      </c>
      <c r="D657" s="67">
        <v>-142578000</v>
      </c>
      <c r="E657" s="67">
        <v>-150814000</v>
      </c>
      <c r="F657" s="67">
        <v>-159866000</v>
      </c>
      <c r="G657" t="str">
        <f t="shared" si="20"/>
        <v>5005</v>
      </c>
      <c r="H657" t="str">
        <f t="shared" si="21"/>
        <v>Government grants &amp; subsidies</v>
      </c>
    </row>
    <row r="658" spans="1:8" x14ac:dyDescent="0.25">
      <c r="A658" t="s">
        <v>820</v>
      </c>
      <c r="B658" t="s">
        <v>65</v>
      </c>
      <c r="C658" s="67">
        <v>-346932</v>
      </c>
      <c r="D658" s="67">
        <v>-457331.98</v>
      </c>
      <c r="E658" s="67">
        <v>-365666.22681599995</v>
      </c>
      <c r="F658" s="67">
        <v>-385412.20306406397</v>
      </c>
      <c r="G658" t="str">
        <f t="shared" si="20"/>
        <v>5005</v>
      </c>
      <c r="H658" t="str">
        <f t="shared" si="21"/>
        <v>Interest received - debtors</v>
      </c>
    </row>
    <row r="659" spans="1:8" x14ac:dyDescent="0.25">
      <c r="A659" t="s">
        <v>821</v>
      </c>
      <c r="B659" t="s">
        <v>72</v>
      </c>
      <c r="C659" s="67">
        <v>-669425</v>
      </c>
      <c r="D659" s="67">
        <v>0</v>
      </c>
      <c r="E659" s="67">
        <v>-705573.73920000007</v>
      </c>
      <c r="F659" s="67">
        <v>-743674.72111680009</v>
      </c>
      <c r="G659" t="str">
        <f t="shared" si="20"/>
        <v>5005</v>
      </c>
      <c r="H659" t="str">
        <f t="shared" si="21"/>
        <v>Other income</v>
      </c>
    </row>
    <row r="660" spans="1:8" x14ac:dyDescent="0.25">
      <c r="A660" t="s">
        <v>822</v>
      </c>
      <c r="B660" t="s">
        <v>108</v>
      </c>
      <c r="C660" s="67">
        <v>601072</v>
      </c>
      <c r="D660" s="67">
        <v>601072</v>
      </c>
      <c r="E660" s="67">
        <v>643147.04</v>
      </c>
      <c r="F660" s="67">
        <v>688167.33280000009</v>
      </c>
      <c r="G660" t="str">
        <f t="shared" si="20"/>
        <v>5005</v>
      </c>
      <c r="H660" t="str">
        <f t="shared" si="21"/>
        <v>Employee related costs</v>
      </c>
    </row>
    <row r="661" spans="1:8" x14ac:dyDescent="0.25">
      <c r="A661" t="s">
        <v>823</v>
      </c>
      <c r="B661" t="s">
        <v>109</v>
      </c>
      <c r="C661" s="67">
        <v>30054</v>
      </c>
      <c r="D661" s="67">
        <v>30054</v>
      </c>
      <c r="E661" s="67">
        <v>32157.78</v>
      </c>
      <c r="F661" s="67">
        <v>34408.8246</v>
      </c>
      <c r="G661" t="str">
        <f t="shared" si="20"/>
        <v>5005</v>
      </c>
      <c r="H661" t="str">
        <f t="shared" si="21"/>
        <v>Employee related costs</v>
      </c>
    </row>
    <row r="662" spans="1:8" x14ac:dyDescent="0.25">
      <c r="A662" t="s">
        <v>824</v>
      </c>
      <c r="B662" t="s">
        <v>110</v>
      </c>
      <c r="C662" s="67">
        <v>40000</v>
      </c>
      <c r="D662" s="67">
        <v>40000</v>
      </c>
      <c r="E662" s="67">
        <v>42800</v>
      </c>
      <c r="F662" s="67">
        <v>45796</v>
      </c>
      <c r="G662" t="str">
        <f t="shared" si="20"/>
        <v>5005</v>
      </c>
      <c r="H662" t="str">
        <f t="shared" si="21"/>
        <v>Employee related costs</v>
      </c>
    </row>
    <row r="663" spans="1:8" x14ac:dyDescent="0.25">
      <c r="A663" t="s">
        <v>825</v>
      </c>
      <c r="B663" t="s">
        <v>111</v>
      </c>
      <c r="C663" s="67">
        <v>205628</v>
      </c>
      <c r="D663" s="67">
        <v>205628</v>
      </c>
      <c r="E663" s="67">
        <v>220021.96</v>
      </c>
      <c r="F663" s="67">
        <v>235423.49719999998</v>
      </c>
      <c r="G663" t="str">
        <f t="shared" si="20"/>
        <v>5005</v>
      </c>
      <c r="H663" t="str">
        <f t="shared" si="21"/>
        <v>Employee related costs</v>
      </c>
    </row>
    <row r="664" spans="1:8" x14ac:dyDescent="0.25">
      <c r="A664" t="s">
        <v>826</v>
      </c>
      <c r="B664" t="s">
        <v>112</v>
      </c>
      <c r="C664" s="67">
        <v>17000</v>
      </c>
      <c r="D664" s="67">
        <v>17000</v>
      </c>
      <c r="E664" s="67">
        <v>18190</v>
      </c>
      <c r="F664" s="67">
        <v>19463.3</v>
      </c>
      <c r="G664" t="str">
        <f t="shared" si="20"/>
        <v>5005</v>
      </c>
      <c r="H664" t="str">
        <f t="shared" si="21"/>
        <v>Employee related costs</v>
      </c>
    </row>
    <row r="665" spans="1:8" x14ac:dyDescent="0.25">
      <c r="A665" t="s">
        <v>827</v>
      </c>
      <c r="B665" t="s">
        <v>113</v>
      </c>
      <c r="C665" s="67">
        <v>18580</v>
      </c>
      <c r="D665" s="67">
        <v>0</v>
      </c>
      <c r="E665" s="67">
        <v>0</v>
      </c>
      <c r="F665" s="67">
        <v>0</v>
      </c>
      <c r="G665" t="str">
        <f t="shared" si="20"/>
        <v>5005</v>
      </c>
      <c r="H665" t="str">
        <f t="shared" si="21"/>
        <v>Employee related costs</v>
      </c>
    </row>
    <row r="666" spans="1:8" x14ac:dyDescent="0.25">
      <c r="A666" t="s">
        <v>828</v>
      </c>
      <c r="B666" t="s">
        <v>150</v>
      </c>
      <c r="C666" s="67">
        <v>514319</v>
      </c>
      <c r="D666" s="67">
        <v>514319</v>
      </c>
      <c r="E666" s="67">
        <v>550321.32999999996</v>
      </c>
      <c r="F666" s="67">
        <v>588843.82309999992</v>
      </c>
      <c r="G666" t="str">
        <f t="shared" si="20"/>
        <v>5005</v>
      </c>
      <c r="H666" t="str">
        <f t="shared" si="21"/>
        <v>Employee related costs</v>
      </c>
    </row>
    <row r="667" spans="1:8" x14ac:dyDescent="0.25">
      <c r="A667" t="s">
        <v>829</v>
      </c>
      <c r="B667" t="s">
        <v>151</v>
      </c>
      <c r="C667" s="67">
        <v>25716</v>
      </c>
      <c r="D667" s="67">
        <v>8467.0899999999965</v>
      </c>
      <c r="E667" s="67">
        <v>100</v>
      </c>
      <c r="F667" s="67">
        <v>2532.46</v>
      </c>
      <c r="G667" t="str">
        <f t="shared" si="20"/>
        <v>5005</v>
      </c>
      <c r="H667" t="str">
        <f t="shared" si="21"/>
        <v>Employee related costs</v>
      </c>
    </row>
    <row r="668" spans="1:8" x14ac:dyDescent="0.25">
      <c r="A668" t="s">
        <v>830</v>
      </c>
      <c r="B668" t="s">
        <v>153</v>
      </c>
      <c r="C668" s="67">
        <v>0</v>
      </c>
      <c r="D668" s="67">
        <v>10893.24</v>
      </c>
      <c r="E668" s="67">
        <v>11655.766799999999</v>
      </c>
      <c r="F668" s="67">
        <v>12471.670475999999</v>
      </c>
      <c r="G668" t="str">
        <f t="shared" si="20"/>
        <v>5005</v>
      </c>
      <c r="H668" t="str">
        <f t="shared" si="21"/>
        <v>Employee related costs</v>
      </c>
    </row>
    <row r="669" spans="1:8" x14ac:dyDescent="0.25">
      <c r="A669" t="s">
        <v>831</v>
      </c>
      <c r="B669" t="s">
        <v>155</v>
      </c>
      <c r="C669" s="67">
        <v>17067</v>
      </c>
      <c r="D669" s="67">
        <v>17067</v>
      </c>
      <c r="E669" s="67">
        <v>18261.689999999999</v>
      </c>
      <c r="F669" s="67">
        <v>19540.008299999998</v>
      </c>
      <c r="G669" t="str">
        <f t="shared" si="20"/>
        <v>5005</v>
      </c>
      <c r="H669" t="str">
        <f t="shared" si="21"/>
        <v>Employee related costs</v>
      </c>
    </row>
    <row r="670" spans="1:8" x14ac:dyDescent="0.25">
      <c r="A670" t="s">
        <v>832</v>
      </c>
      <c r="B670" t="s">
        <v>157</v>
      </c>
      <c r="C670" s="67">
        <v>27826</v>
      </c>
      <c r="D670" s="67">
        <v>27826</v>
      </c>
      <c r="E670" s="67">
        <v>29773.82</v>
      </c>
      <c r="F670" s="67">
        <v>31857.987399999998</v>
      </c>
      <c r="G670" t="str">
        <f t="shared" si="20"/>
        <v>5005</v>
      </c>
      <c r="H670" t="str">
        <f t="shared" si="21"/>
        <v>Employee related costs</v>
      </c>
    </row>
    <row r="671" spans="1:8" x14ac:dyDescent="0.25">
      <c r="A671" t="s">
        <v>833</v>
      </c>
      <c r="B671" t="s">
        <v>159</v>
      </c>
      <c r="C671" s="67">
        <v>42860</v>
      </c>
      <c r="D671" s="92">
        <v>70000</v>
      </c>
      <c r="E671" s="67">
        <v>45860.2</v>
      </c>
      <c r="F671" s="67">
        <v>49070.413999999997</v>
      </c>
      <c r="G671" t="str">
        <f t="shared" si="20"/>
        <v>5005</v>
      </c>
      <c r="H671" t="str">
        <f t="shared" si="21"/>
        <v>Employee related costs</v>
      </c>
    </row>
    <row r="672" spans="1:8" x14ac:dyDescent="0.25">
      <c r="A672" t="s">
        <v>834</v>
      </c>
      <c r="B672" t="s">
        <v>164</v>
      </c>
      <c r="C672" s="67">
        <v>32457</v>
      </c>
      <c r="D672" s="67">
        <v>32457</v>
      </c>
      <c r="E672" s="67">
        <v>34728.99</v>
      </c>
      <c r="F672" s="67">
        <v>37160.0193</v>
      </c>
      <c r="G672" t="str">
        <f t="shared" si="20"/>
        <v>5005</v>
      </c>
      <c r="H672" t="str">
        <f t="shared" si="21"/>
        <v>Employee related costs</v>
      </c>
    </row>
    <row r="673" spans="1:8" x14ac:dyDescent="0.25">
      <c r="A673" t="s">
        <v>835</v>
      </c>
      <c r="B673" t="s">
        <v>167</v>
      </c>
      <c r="C673" s="67">
        <v>225</v>
      </c>
      <c r="D673" s="67">
        <v>225</v>
      </c>
      <c r="E673" s="67">
        <v>240.42899999999997</v>
      </c>
      <c r="F673" s="67">
        <v>257.25903</v>
      </c>
      <c r="G673" t="str">
        <f t="shared" si="20"/>
        <v>5005</v>
      </c>
      <c r="H673" t="str">
        <f t="shared" si="21"/>
        <v>Employee related costs</v>
      </c>
    </row>
    <row r="674" spans="1:8" x14ac:dyDescent="0.25">
      <c r="A674" t="s">
        <v>836</v>
      </c>
      <c r="B674" t="s">
        <v>168</v>
      </c>
      <c r="C674" s="67">
        <v>107816</v>
      </c>
      <c r="D674" s="67">
        <v>47816</v>
      </c>
      <c r="E674" s="67">
        <v>115363.54800000001</v>
      </c>
      <c r="F674" s="67">
        <v>123438.99636</v>
      </c>
      <c r="G674" t="str">
        <f t="shared" si="20"/>
        <v>5005</v>
      </c>
      <c r="H674" t="str">
        <f t="shared" si="21"/>
        <v>Employee related costs</v>
      </c>
    </row>
    <row r="675" spans="1:8" x14ac:dyDescent="0.25">
      <c r="A675" t="s">
        <v>837</v>
      </c>
      <c r="B675" t="s">
        <v>169</v>
      </c>
      <c r="C675" s="67">
        <v>113150</v>
      </c>
      <c r="D675" s="67">
        <v>113150</v>
      </c>
      <c r="E675" s="67">
        <v>121070.58111455999</v>
      </c>
      <c r="F675" s="67">
        <v>129545.52179257918</v>
      </c>
      <c r="G675" t="str">
        <f t="shared" si="20"/>
        <v>5005</v>
      </c>
      <c r="H675" t="str">
        <f t="shared" si="21"/>
        <v>Employee related costs</v>
      </c>
    </row>
    <row r="676" spans="1:8" x14ac:dyDescent="0.25">
      <c r="A676" t="s">
        <v>838</v>
      </c>
      <c r="B676" t="s">
        <v>170</v>
      </c>
      <c r="C676" s="67">
        <v>3570</v>
      </c>
      <c r="D676" s="67">
        <v>3570</v>
      </c>
      <c r="E676" s="67">
        <v>3819.9</v>
      </c>
      <c r="F676" s="67">
        <v>4087.2930000000001</v>
      </c>
      <c r="G676" t="str">
        <f t="shared" si="20"/>
        <v>5005</v>
      </c>
      <c r="H676" t="str">
        <f t="shared" si="21"/>
        <v>Employee related costs</v>
      </c>
    </row>
    <row r="677" spans="1:8" x14ac:dyDescent="0.25">
      <c r="A677" t="s">
        <v>839</v>
      </c>
      <c r="B677" t="s">
        <v>173</v>
      </c>
      <c r="C677" s="67">
        <v>6657</v>
      </c>
      <c r="D677" s="67">
        <v>6657</v>
      </c>
      <c r="E677" s="67">
        <v>7056.2080000000005</v>
      </c>
      <c r="F677" s="67">
        <v>7550.1425600000002</v>
      </c>
      <c r="G677" t="str">
        <f t="shared" si="20"/>
        <v>5005</v>
      </c>
      <c r="H677" t="str">
        <f t="shared" si="21"/>
        <v>Employee related costs</v>
      </c>
    </row>
    <row r="678" spans="1:8" x14ac:dyDescent="0.25">
      <c r="A678" t="s">
        <v>840</v>
      </c>
      <c r="B678" t="s">
        <v>174</v>
      </c>
      <c r="C678" s="67">
        <v>6718</v>
      </c>
      <c r="D678" s="67">
        <v>6718</v>
      </c>
      <c r="E678" s="67">
        <v>7121.3768</v>
      </c>
      <c r="F678" s="67">
        <v>7619.8731760000001</v>
      </c>
      <c r="G678" t="str">
        <f t="shared" si="20"/>
        <v>5005</v>
      </c>
      <c r="H678" t="str">
        <f t="shared" si="21"/>
        <v>Employee related costs</v>
      </c>
    </row>
    <row r="679" spans="1:8" x14ac:dyDescent="0.25">
      <c r="A679" t="s">
        <v>841</v>
      </c>
      <c r="B679" t="s">
        <v>175</v>
      </c>
      <c r="C679" s="67">
        <v>9290</v>
      </c>
      <c r="D679" s="67">
        <v>9290</v>
      </c>
      <c r="E679" s="67">
        <v>9847.2304000000004</v>
      </c>
      <c r="F679" s="67">
        <v>10536.536528000001</v>
      </c>
      <c r="G679" t="str">
        <f t="shared" si="20"/>
        <v>5005</v>
      </c>
      <c r="H679" t="str">
        <f t="shared" si="21"/>
        <v>Employee related costs</v>
      </c>
    </row>
    <row r="680" spans="1:8" x14ac:dyDescent="0.25">
      <c r="A680" t="s">
        <v>842</v>
      </c>
      <c r="B680" t="s">
        <v>213</v>
      </c>
      <c r="C680" s="67">
        <v>1000000</v>
      </c>
      <c r="D680" s="67">
        <v>1150000</v>
      </c>
      <c r="E680" s="67">
        <v>1060000</v>
      </c>
      <c r="F680" s="67">
        <v>1117240</v>
      </c>
      <c r="G680" t="str">
        <f t="shared" si="20"/>
        <v>5005</v>
      </c>
      <c r="H680" t="str">
        <f t="shared" si="21"/>
        <v>Contracted services</v>
      </c>
    </row>
    <row r="681" spans="1:8" x14ac:dyDescent="0.25">
      <c r="A681" t="s">
        <v>843</v>
      </c>
      <c r="B681" t="s">
        <v>219</v>
      </c>
      <c r="C681" s="67">
        <v>2650000</v>
      </c>
      <c r="D681" s="67">
        <v>2950000</v>
      </c>
      <c r="E681" s="67">
        <v>2809000</v>
      </c>
      <c r="F681" s="67">
        <v>2960686</v>
      </c>
      <c r="G681" t="str">
        <f t="shared" si="20"/>
        <v>5005</v>
      </c>
      <c r="H681" t="str">
        <f t="shared" si="21"/>
        <v>Contracted services</v>
      </c>
    </row>
    <row r="682" spans="1:8" x14ac:dyDescent="0.25">
      <c r="A682" t="s">
        <v>844</v>
      </c>
      <c r="B682" t="s">
        <v>229</v>
      </c>
      <c r="C682" s="67">
        <v>600000</v>
      </c>
      <c r="D682" s="67">
        <v>900000</v>
      </c>
      <c r="E682" s="67">
        <v>636000</v>
      </c>
      <c r="F682" s="67">
        <v>670344</v>
      </c>
      <c r="G682" t="str">
        <f t="shared" si="20"/>
        <v>5005</v>
      </c>
      <c r="H682" t="str">
        <f t="shared" si="21"/>
        <v>Contracted services</v>
      </c>
    </row>
    <row r="683" spans="1:8" x14ac:dyDescent="0.25">
      <c r="A683" t="s">
        <v>845</v>
      </c>
      <c r="B683" t="s">
        <v>242</v>
      </c>
      <c r="C683" s="67">
        <v>55809</v>
      </c>
      <c r="D683" s="67">
        <v>25809</v>
      </c>
      <c r="E683" s="67">
        <v>59157.54</v>
      </c>
      <c r="F683" s="67">
        <v>62352.047160000002</v>
      </c>
      <c r="G683" t="str">
        <f t="shared" si="20"/>
        <v>5005</v>
      </c>
      <c r="H683" t="str">
        <f t="shared" si="21"/>
        <v>General expenses</v>
      </c>
    </row>
    <row r="684" spans="1:8" x14ac:dyDescent="0.25">
      <c r="A684" t="s">
        <v>846</v>
      </c>
      <c r="B684" t="s">
        <v>253</v>
      </c>
      <c r="C684" s="67">
        <v>2000</v>
      </c>
      <c r="D684" s="67">
        <v>2000</v>
      </c>
      <c r="E684" s="67">
        <v>2000</v>
      </c>
      <c r="F684" s="67">
        <v>2000</v>
      </c>
      <c r="G684" t="str">
        <f t="shared" si="20"/>
        <v>5005</v>
      </c>
      <c r="H684" t="str">
        <f t="shared" si="21"/>
        <v>General expenses</v>
      </c>
    </row>
    <row r="685" spans="1:8" x14ac:dyDescent="0.25">
      <c r="A685" t="s">
        <v>847</v>
      </c>
      <c r="B685" t="s">
        <v>263</v>
      </c>
      <c r="C685" s="67">
        <v>403000</v>
      </c>
      <c r="D685" s="67">
        <v>103000</v>
      </c>
      <c r="E685" s="67">
        <v>427180</v>
      </c>
      <c r="F685" s="67">
        <v>450247.72</v>
      </c>
      <c r="G685" t="str">
        <f t="shared" si="20"/>
        <v>5005</v>
      </c>
      <c r="H685" t="str">
        <f t="shared" si="21"/>
        <v>General expenses</v>
      </c>
    </row>
    <row r="686" spans="1:8" x14ac:dyDescent="0.25">
      <c r="A686" t="s">
        <v>848</v>
      </c>
      <c r="B686" t="s">
        <v>265</v>
      </c>
      <c r="C686" s="67">
        <v>132699</v>
      </c>
      <c r="D686" s="67">
        <v>17699</v>
      </c>
      <c r="E686" s="67">
        <v>140661.23679999998</v>
      </c>
      <c r="F686" s="67">
        <v>148256.94358719999</v>
      </c>
      <c r="G686" t="str">
        <f t="shared" si="20"/>
        <v>5005</v>
      </c>
      <c r="H686" t="str">
        <f t="shared" si="21"/>
        <v>General expenses</v>
      </c>
    </row>
    <row r="687" spans="1:8" x14ac:dyDescent="0.25">
      <c r="A687" t="s">
        <v>849</v>
      </c>
      <c r="B687" t="s">
        <v>268</v>
      </c>
      <c r="C687" s="67">
        <v>384808</v>
      </c>
      <c r="D687" s="67">
        <v>184808</v>
      </c>
      <c r="E687" s="67">
        <v>407896.01360000001</v>
      </c>
      <c r="F687" s="67">
        <v>429922.39833440003</v>
      </c>
      <c r="G687" t="str">
        <f t="shared" si="20"/>
        <v>5005</v>
      </c>
      <c r="H687" t="str">
        <f t="shared" si="21"/>
        <v>General expenses</v>
      </c>
    </row>
    <row r="688" spans="1:8" x14ac:dyDescent="0.25">
      <c r="A688" t="s">
        <v>850</v>
      </c>
      <c r="B688" t="s">
        <v>268</v>
      </c>
      <c r="C688" s="67">
        <v>343818</v>
      </c>
      <c r="D688" s="67">
        <v>143818</v>
      </c>
      <c r="E688" s="67">
        <v>364447.52519999997</v>
      </c>
      <c r="F688" s="67">
        <v>384127.69156079995</v>
      </c>
      <c r="G688" t="str">
        <f t="shared" si="20"/>
        <v>5005</v>
      </c>
      <c r="H688" t="str">
        <f t="shared" si="21"/>
        <v>General expenses</v>
      </c>
    </row>
    <row r="689" spans="1:8" x14ac:dyDescent="0.25">
      <c r="A689" t="s">
        <v>851</v>
      </c>
      <c r="B689" t="s">
        <v>269</v>
      </c>
      <c r="C689" s="67">
        <v>60000</v>
      </c>
      <c r="D689" s="67">
        <v>20000</v>
      </c>
      <c r="E689" s="67">
        <v>63600</v>
      </c>
      <c r="F689" s="67">
        <v>67034.399999999994</v>
      </c>
      <c r="G689" t="str">
        <f t="shared" si="20"/>
        <v>5005</v>
      </c>
      <c r="H689" t="str">
        <f t="shared" si="21"/>
        <v>General expenses</v>
      </c>
    </row>
    <row r="690" spans="1:8" x14ac:dyDescent="0.25">
      <c r="A690" t="s">
        <v>1621</v>
      </c>
      <c r="B690" t="s">
        <v>1622</v>
      </c>
      <c r="C690" s="67">
        <v>0</v>
      </c>
      <c r="D690" s="67">
        <v>0</v>
      </c>
      <c r="E690" s="67">
        <v>0</v>
      </c>
      <c r="F690" s="67">
        <v>0</v>
      </c>
      <c r="G690" t="str">
        <f t="shared" si="20"/>
        <v>5005</v>
      </c>
      <c r="H690" t="str">
        <f t="shared" si="21"/>
        <v>General expenses</v>
      </c>
    </row>
    <row r="691" spans="1:8" x14ac:dyDescent="0.25">
      <c r="A691" t="s">
        <v>1623</v>
      </c>
      <c r="B691" t="s">
        <v>1624</v>
      </c>
      <c r="C691" s="67">
        <v>0</v>
      </c>
      <c r="D691" s="67">
        <v>0</v>
      </c>
      <c r="E691" s="67">
        <v>0</v>
      </c>
      <c r="F691" s="67">
        <v>0</v>
      </c>
      <c r="G691" t="str">
        <f t="shared" si="20"/>
        <v>5005</v>
      </c>
      <c r="H691" t="str">
        <f t="shared" si="21"/>
        <v>Internal Charges</v>
      </c>
    </row>
    <row r="692" spans="1:8" x14ac:dyDescent="0.25">
      <c r="A692" t="s">
        <v>1625</v>
      </c>
      <c r="B692" t="s">
        <v>1626</v>
      </c>
      <c r="C692" s="67">
        <v>0</v>
      </c>
      <c r="D692" s="67">
        <v>0</v>
      </c>
      <c r="E692" s="67">
        <v>0</v>
      </c>
      <c r="F692" s="67">
        <v>0</v>
      </c>
      <c r="G692" t="str">
        <f t="shared" si="20"/>
        <v>5005</v>
      </c>
      <c r="H692" t="str">
        <f t="shared" si="21"/>
        <v>Internal Charges</v>
      </c>
    </row>
    <row r="693" spans="1:8" x14ac:dyDescent="0.25">
      <c r="A693" t="s">
        <v>1627</v>
      </c>
      <c r="B693" t="s">
        <v>1628</v>
      </c>
      <c r="C693" s="67">
        <v>0</v>
      </c>
      <c r="D693" s="67">
        <v>0</v>
      </c>
      <c r="E693" s="67">
        <v>0</v>
      </c>
      <c r="F693" s="67">
        <v>0</v>
      </c>
      <c r="G693" t="str">
        <f t="shared" si="20"/>
        <v>5005</v>
      </c>
      <c r="H693" t="str">
        <f t="shared" si="21"/>
        <v>Internal Charges</v>
      </c>
    </row>
    <row r="694" spans="1:8" x14ac:dyDescent="0.25">
      <c r="A694" t="s">
        <v>1629</v>
      </c>
      <c r="B694" t="s">
        <v>1630</v>
      </c>
      <c r="C694" s="67">
        <v>0</v>
      </c>
      <c r="D694" s="67">
        <v>0</v>
      </c>
      <c r="E694" s="67">
        <v>0</v>
      </c>
      <c r="F694" s="67">
        <v>0</v>
      </c>
      <c r="G694" t="str">
        <f t="shared" si="20"/>
        <v>5005</v>
      </c>
      <c r="H694" t="str">
        <f t="shared" si="21"/>
        <v>Internal Charges</v>
      </c>
    </row>
    <row r="695" spans="1:8" x14ac:dyDescent="0.25">
      <c r="A695" t="s">
        <v>1631</v>
      </c>
      <c r="B695" t="s">
        <v>1632</v>
      </c>
      <c r="C695" s="67">
        <v>0</v>
      </c>
      <c r="D695" s="67">
        <v>0</v>
      </c>
      <c r="E695" s="67">
        <v>0</v>
      </c>
      <c r="F695" s="67">
        <v>0</v>
      </c>
      <c r="G695" t="str">
        <f t="shared" si="20"/>
        <v>5005</v>
      </c>
      <c r="H695" t="str">
        <f t="shared" si="21"/>
        <v>Internal Charges</v>
      </c>
    </row>
    <row r="696" spans="1:8" x14ac:dyDescent="0.25">
      <c r="A696" t="s">
        <v>1633</v>
      </c>
      <c r="B696" t="s">
        <v>1404</v>
      </c>
      <c r="C696" s="67">
        <v>157356401</v>
      </c>
      <c r="D696" s="67">
        <v>162566946.73999998</v>
      </c>
      <c r="E696" s="67">
        <v>168308619.41538945</v>
      </c>
      <c r="F696" s="67">
        <v>178078367.7188985</v>
      </c>
      <c r="G696" t="str">
        <f t="shared" si="20"/>
        <v>5005</v>
      </c>
      <c r="H696" t="str">
        <f t="shared" si="21"/>
        <v>Accumulated surplus</v>
      </c>
    </row>
    <row r="697" spans="1:8" x14ac:dyDescent="0.25">
      <c r="A697" t="s">
        <v>1634</v>
      </c>
      <c r="B697" t="s">
        <v>1635</v>
      </c>
      <c r="C697" s="67">
        <v>8965236</v>
      </c>
      <c r="D697" s="67">
        <v>13830761</v>
      </c>
      <c r="E697" s="67">
        <v>16529877</v>
      </c>
      <c r="F697" s="67">
        <v>26529877</v>
      </c>
      <c r="G697" t="str">
        <f t="shared" si="20"/>
        <v>5005</v>
      </c>
      <c r="H697" t="str">
        <f t="shared" si="21"/>
        <v>Cash and cash equivalents</v>
      </c>
    </row>
    <row r="698" spans="1:8" x14ac:dyDescent="0.25">
      <c r="A698" t="s">
        <v>1636</v>
      </c>
      <c r="B698" t="s">
        <v>1637</v>
      </c>
      <c r="C698" s="67">
        <v>0</v>
      </c>
      <c r="D698" s="67">
        <v>0</v>
      </c>
      <c r="E698" s="67">
        <v>0</v>
      </c>
      <c r="F698" s="67">
        <v>0</v>
      </c>
      <c r="G698" t="str">
        <f t="shared" si="20"/>
        <v>5005</v>
      </c>
      <c r="H698" t="str">
        <f t="shared" si="21"/>
        <v>Cash and cash equivalents</v>
      </c>
    </row>
    <row r="699" spans="1:8" x14ac:dyDescent="0.25">
      <c r="A699" t="s">
        <v>1638</v>
      </c>
      <c r="B699" t="s">
        <v>1639</v>
      </c>
      <c r="C699" s="67">
        <v>0</v>
      </c>
      <c r="D699" s="67">
        <v>0</v>
      </c>
      <c r="E699" s="67">
        <v>0</v>
      </c>
      <c r="F699" s="67">
        <v>0</v>
      </c>
      <c r="G699" t="str">
        <f t="shared" si="20"/>
        <v>5005</v>
      </c>
      <c r="H699" t="str">
        <f t="shared" si="21"/>
        <v>Cash and cash equivalents</v>
      </c>
    </row>
    <row r="700" spans="1:8" x14ac:dyDescent="0.25">
      <c r="A700" t="s">
        <v>1640</v>
      </c>
      <c r="B700" t="s">
        <v>1641</v>
      </c>
      <c r="C700" s="67">
        <v>0</v>
      </c>
      <c r="D700" s="67">
        <v>0</v>
      </c>
      <c r="E700" s="67">
        <v>0</v>
      </c>
      <c r="F700" s="67">
        <v>0</v>
      </c>
      <c r="G700" t="str">
        <f t="shared" si="20"/>
        <v>5005</v>
      </c>
      <c r="H700" t="str">
        <f t="shared" si="21"/>
        <v>Cash and cash equivalents</v>
      </c>
    </row>
    <row r="701" spans="1:8" x14ac:dyDescent="0.25">
      <c r="A701" t="s">
        <v>1642</v>
      </c>
      <c r="B701" t="s">
        <v>1643</v>
      </c>
      <c r="C701" s="67">
        <v>5365696</v>
      </c>
      <c r="D701" s="67">
        <v>5365696</v>
      </c>
      <c r="E701" s="67">
        <v>10365696</v>
      </c>
      <c r="F701" s="67">
        <v>12442366</v>
      </c>
      <c r="G701" t="str">
        <f t="shared" si="20"/>
        <v>5005</v>
      </c>
      <c r="H701" t="str">
        <f t="shared" si="21"/>
        <v>Cash and cash equivalents</v>
      </c>
    </row>
    <row r="702" spans="1:8" x14ac:dyDescent="0.25">
      <c r="A702" t="s">
        <v>1644</v>
      </c>
      <c r="B702" t="s">
        <v>1645</v>
      </c>
      <c r="C702" s="67">
        <v>0</v>
      </c>
      <c r="D702" s="67">
        <v>0</v>
      </c>
      <c r="E702" s="67">
        <v>0</v>
      </c>
      <c r="F702" s="67">
        <v>0</v>
      </c>
      <c r="G702" t="str">
        <f t="shared" si="20"/>
        <v>5005</v>
      </c>
      <c r="H702" t="str">
        <f t="shared" si="21"/>
        <v>Cash and cash equivalents</v>
      </c>
    </row>
    <row r="703" spans="1:8" x14ac:dyDescent="0.25">
      <c r="A703" t="s">
        <v>1646</v>
      </c>
      <c r="B703" t="s">
        <v>1647</v>
      </c>
      <c r="C703" s="67">
        <v>0</v>
      </c>
      <c r="D703" s="67">
        <v>0</v>
      </c>
      <c r="E703" s="67">
        <v>0</v>
      </c>
      <c r="F703" s="67">
        <v>0</v>
      </c>
      <c r="G703" t="str">
        <f t="shared" si="20"/>
        <v>5005</v>
      </c>
      <c r="H703" t="str">
        <f t="shared" si="21"/>
        <v>Cash and cash equivalents</v>
      </c>
    </row>
    <row r="704" spans="1:8" x14ac:dyDescent="0.25">
      <c r="A704" t="s">
        <v>1648</v>
      </c>
      <c r="B704" t="s">
        <v>1649</v>
      </c>
      <c r="C704" s="67">
        <v>0</v>
      </c>
      <c r="D704" s="67">
        <v>0</v>
      </c>
      <c r="E704" s="67">
        <v>0</v>
      </c>
      <c r="F704" s="67">
        <v>0</v>
      </c>
      <c r="G704" t="str">
        <f t="shared" si="20"/>
        <v>5005</v>
      </c>
      <c r="H704" t="str">
        <f t="shared" si="21"/>
        <v>Cash and cash equivalents</v>
      </c>
    </row>
    <row r="705" spans="1:8" x14ac:dyDescent="0.25">
      <c r="A705" t="s">
        <v>1650</v>
      </c>
      <c r="B705" t="s">
        <v>1651</v>
      </c>
      <c r="C705" s="67">
        <v>9617316</v>
      </c>
      <c r="D705" s="67">
        <v>9617316</v>
      </c>
      <c r="E705" s="67">
        <v>13117316</v>
      </c>
      <c r="F705" s="67">
        <v>13117316</v>
      </c>
      <c r="G705" t="str">
        <f t="shared" si="20"/>
        <v>5005</v>
      </c>
      <c r="H705" t="str">
        <f t="shared" si="21"/>
        <v>Cash and cash equivalents</v>
      </c>
    </row>
    <row r="706" spans="1:8" x14ac:dyDescent="0.25">
      <c r="A706" t="s">
        <v>1652</v>
      </c>
      <c r="B706" t="s">
        <v>1653</v>
      </c>
      <c r="C706" s="67">
        <v>0</v>
      </c>
      <c r="D706" s="67">
        <v>0</v>
      </c>
      <c r="E706" s="67">
        <v>0</v>
      </c>
      <c r="F706" s="67">
        <v>0</v>
      </c>
      <c r="G706" t="str">
        <f t="shared" ref="G706:G769" si="22">VLOOKUP(A706,s,2,FALSE)</f>
        <v>5005</v>
      </c>
      <c r="H706" t="str">
        <f t="shared" ref="H706:H769" si="23">VLOOKUP(A706,s,3,FALSE)</f>
        <v>Cash and cash equivalents</v>
      </c>
    </row>
    <row r="707" spans="1:8" x14ac:dyDescent="0.25">
      <c r="A707" t="s">
        <v>1654</v>
      </c>
      <c r="B707" t="s">
        <v>1655</v>
      </c>
      <c r="C707" s="67">
        <v>0</v>
      </c>
      <c r="D707" s="67">
        <v>0</v>
      </c>
      <c r="E707" s="67">
        <v>0</v>
      </c>
      <c r="F707" s="67">
        <v>0</v>
      </c>
      <c r="G707" t="str">
        <f t="shared" si="22"/>
        <v>5005</v>
      </c>
      <c r="H707" t="str">
        <f t="shared" si="23"/>
        <v>Cash and cash equivalents</v>
      </c>
    </row>
    <row r="708" spans="1:8" x14ac:dyDescent="0.25">
      <c r="A708" t="s">
        <v>1656</v>
      </c>
      <c r="B708" t="s">
        <v>1657</v>
      </c>
      <c r="C708" s="67">
        <v>30256</v>
      </c>
      <c r="D708" s="67">
        <v>30256</v>
      </c>
      <c r="E708" s="67">
        <v>30849.58</v>
      </c>
      <c r="F708" s="67">
        <v>24849.58</v>
      </c>
      <c r="G708" t="str">
        <f t="shared" si="22"/>
        <v>5005</v>
      </c>
      <c r="H708" t="str">
        <f t="shared" si="23"/>
        <v>Receivables from exchange transactions</v>
      </c>
    </row>
    <row r="709" spans="1:8" x14ac:dyDescent="0.25">
      <c r="A709" t="s">
        <v>1658</v>
      </c>
      <c r="B709" t="s">
        <v>1659</v>
      </c>
      <c r="C709" s="67">
        <v>2186924</v>
      </c>
      <c r="D709" s="67">
        <v>3895543.29</v>
      </c>
      <c r="E709" s="67">
        <v>5044755.95</v>
      </c>
      <c r="F709" s="67">
        <v>6251429.2430000007</v>
      </c>
      <c r="G709" t="str">
        <f t="shared" si="22"/>
        <v>5005</v>
      </c>
      <c r="H709" t="str">
        <f t="shared" si="23"/>
        <v>Receivables from non-exchange transactions</v>
      </c>
    </row>
    <row r="710" spans="1:8" x14ac:dyDescent="0.25">
      <c r="A710" t="s">
        <v>1660</v>
      </c>
      <c r="B710" t="s">
        <v>1659</v>
      </c>
      <c r="C710" s="67">
        <v>0</v>
      </c>
      <c r="D710" s="67">
        <v>0</v>
      </c>
      <c r="E710" s="67">
        <v>0</v>
      </c>
      <c r="F710" s="67">
        <v>0</v>
      </c>
      <c r="G710" t="str">
        <f t="shared" si="22"/>
        <v>5005</v>
      </c>
      <c r="H710" t="str">
        <f t="shared" si="23"/>
        <v>Receivables from non-exchange transactions</v>
      </c>
    </row>
    <row r="711" spans="1:8" x14ac:dyDescent="0.25">
      <c r="A711" t="s">
        <v>1661</v>
      </c>
      <c r="B711" t="s">
        <v>1662</v>
      </c>
      <c r="C711" s="67">
        <v>1669783</v>
      </c>
      <c r="D711" s="67">
        <v>1696156.8</v>
      </c>
      <c r="E711" s="67">
        <v>1780964.6400000001</v>
      </c>
      <c r="F711" s="67">
        <v>1870012.8720000002</v>
      </c>
      <c r="G711" t="str">
        <f t="shared" si="22"/>
        <v>5005</v>
      </c>
      <c r="H711" t="str">
        <f t="shared" si="23"/>
        <v>Receivables from non-exchange transactions</v>
      </c>
    </row>
    <row r="712" spans="1:8" x14ac:dyDescent="0.25">
      <c r="A712" t="s">
        <v>1663</v>
      </c>
      <c r="B712" t="s">
        <v>1664</v>
      </c>
      <c r="C712" s="67">
        <v>-681219</v>
      </c>
      <c r="D712" s="67">
        <v>-751140.03999999992</v>
      </c>
      <c r="E712" s="67">
        <v>-788697.0419999999</v>
      </c>
      <c r="F712" s="67">
        <v>-828131.89409999992</v>
      </c>
      <c r="G712" t="str">
        <f t="shared" si="22"/>
        <v>5005</v>
      </c>
      <c r="H712" t="str">
        <f t="shared" si="23"/>
        <v>Receivables from non-exchange transactions</v>
      </c>
    </row>
    <row r="713" spans="1:8" x14ac:dyDescent="0.25">
      <c r="A713" t="s">
        <v>1665</v>
      </c>
      <c r="B713" t="s">
        <v>1666</v>
      </c>
      <c r="C713" s="67">
        <v>0</v>
      </c>
      <c r="D713" s="67">
        <v>204195.9</v>
      </c>
      <c r="E713" s="67">
        <v>214405.69500000001</v>
      </c>
      <c r="F713" s="67">
        <v>225125.97975</v>
      </c>
      <c r="G713" t="str">
        <f t="shared" si="22"/>
        <v>5005</v>
      </c>
      <c r="H713" t="str">
        <f t="shared" si="23"/>
        <v>Receivables from non-exchange transactions</v>
      </c>
    </row>
    <row r="714" spans="1:8" x14ac:dyDescent="0.25">
      <c r="A714" t="s">
        <v>1667</v>
      </c>
      <c r="B714" t="s">
        <v>1668</v>
      </c>
      <c r="C714" s="67">
        <v>-1749540</v>
      </c>
      <c r="D714" s="67">
        <v>-3396563.9</v>
      </c>
      <c r="E714" s="67">
        <v>-4106004.0999999996</v>
      </c>
      <c r="F714" s="67">
        <v>-4850916.3099999996</v>
      </c>
      <c r="G714" t="str">
        <f t="shared" si="22"/>
        <v>5005</v>
      </c>
      <c r="H714" t="str">
        <f t="shared" si="23"/>
        <v>Receivables from non-exchange transactions</v>
      </c>
    </row>
    <row r="715" spans="1:8" x14ac:dyDescent="0.25">
      <c r="A715" t="s">
        <v>1669</v>
      </c>
      <c r="B715" t="s">
        <v>1668</v>
      </c>
      <c r="C715" s="67">
        <v>0</v>
      </c>
      <c r="D715" s="67">
        <v>0</v>
      </c>
      <c r="E715" s="67">
        <v>0</v>
      </c>
      <c r="F715" s="67">
        <v>0</v>
      </c>
      <c r="G715" t="str">
        <f t="shared" si="22"/>
        <v>5005</v>
      </c>
      <c r="H715" t="str">
        <f t="shared" si="23"/>
        <v>Receivables from non-exchange transactions</v>
      </c>
    </row>
    <row r="716" spans="1:8" x14ac:dyDescent="0.25">
      <c r="A716" t="s">
        <v>1670</v>
      </c>
      <c r="B716" t="s">
        <v>1671</v>
      </c>
      <c r="C716" s="67">
        <v>-574236</v>
      </c>
      <c r="D716" s="67">
        <v>-709440.2</v>
      </c>
      <c r="E716" s="67">
        <v>-744912.21</v>
      </c>
      <c r="F716" s="67">
        <v>-782157.82049999991</v>
      </c>
      <c r="G716" t="str">
        <f t="shared" si="22"/>
        <v>5005</v>
      </c>
      <c r="H716" t="str">
        <f t="shared" si="23"/>
        <v>Receivables from non-exchange transactions</v>
      </c>
    </row>
    <row r="717" spans="1:8" x14ac:dyDescent="0.25">
      <c r="A717" t="s">
        <v>1672</v>
      </c>
      <c r="B717" t="s">
        <v>1673</v>
      </c>
      <c r="C717" s="67">
        <v>0</v>
      </c>
      <c r="D717" s="67">
        <v>1517.48</v>
      </c>
      <c r="E717" s="67">
        <v>1593.354</v>
      </c>
      <c r="F717" s="67">
        <v>1673.0217</v>
      </c>
      <c r="G717" t="str">
        <f t="shared" si="22"/>
        <v>5005</v>
      </c>
      <c r="H717" t="str">
        <f t="shared" si="23"/>
        <v>Receivables from non-exchange transactions</v>
      </c>
    </row>
    <row r="718" spans="1:8" x14ac:dyDescent="0.25">
      <c r="A718" t="s">
        <v>1674</v>
      </c>
      <c r="B718" t="s">
        <v>1675</v>
      </c>
      <c r="C718" s="67">
        <v>0</v>
      </c>
      <c r="D718" s="67">
        <v>0</v>
      </c>
      <c r="E718" s="67">
        <v>0</v>
      </c>
      <c r="F718" s="67">
        <v>0</v>
      </c>
      <c r="G718" t="str">
        <f t="shared" si="22"/>
        <v>5005</v>
      </c>
      <c r="H718" t="str">
        <f t="shared" si="23"/>
        <v>Receivables from non-exchange transactions</v>
      </c>
    </row>
    <row r="719" spans="1:8" x14ac:dyDescent="0.25">
      <c r="A719" t="s">
        <v>1676</v>
      </c>
      <c r="B719" t="s">
        <v>1677</v>
      </c>
      <c r="C719" s="67">
        <v>0</v>
      </c>
      <c r="D719" s="67">
        <v>0</v>
      </c>
      <c r="E719" s="67">
        <v>0</v>
      </c>
      <c r="F719" s="67">
        <v>0</v>
      </c>
      <c r="G719" t="str">
        <f t="shared" si="22"/>
        <v>5005</v>
      </c>
      <c r="H719" t="str">
        <f t="shared" si="23"/>
        <v>Receivables from non-exchange transactions</v>
      </c>
    </row>
    <row r="720" spans="1:8" x14ac:dyDescent="0.25">
      <c r="A720" t="s">
        <v>1678</v>
      </c>
      <c r="B720" t="s">
        <v>1679</v>
      </c>
      <c r="C720" s="67">
        <v>107766</v>
      </c>
      <c r="D720" s="67">
        <v>73570.060000000012</v>
      </c>
      <c r="E720" s="67">
        <v>80102.760000000009</v>
      </c>
      <c r="F720" s="67">
        <v>86962.095000000016</v>
      </c>
      <c r="G720" t="str">
        <f t="shared" si="22"/>
        <v>5005</v>
      </c>
      <c r="H720" t="str">
        <f t="shared" si="23"/>
        <v>Receivables from non-exchange transactions</v>
      </c>
    </row>
    <row r="721" spans="1:8" x14ac:dyDescent="0.25">
      <c r="A721" t="s">
        <v>1680</v>
      </c>
      <c r="B721" t="s">
        <v>1679</v>
      </c>
      <c r="C721" s="67">
        <v>0</v>
      </c>
      <c r="D721" s="67">
        <v>0</v>
      </c>
      <c r="E721" s="67">
        <v>0</v>
      </c>
      <c r="F721" s="67">
        <v>0</v>
      </c>
      <c r="G721" t="str">
        <f t="shared" si="22"/>
        <v>5005</v>
      </c>
      <c r="H721" t="str">
        <f t="shared" si="23"/>
        <v>Receivables from non-exchange transactions</v>
      </c>
    </row>
    <row r="722" spans="1:8" x14ac:dyDescent="0.25">
      <c r="A722" t="s">
        <v>1681</v>
      </c>
      <c r="B722" t="s">
        <v>1682</v>
      </c>
      <c r="C722" s="67">
        <v>30885</v>
      </c>
      <c r="D722" s="67">
        <v>5576.0400000000009</v>
      </c>
      <c r="E722" s="67">
        <v>5854.8419999999996</v>
      </c>
      <c r="F722" s="67">
        <v>6147.5841</v>
      </c>
      <c r="G722" t="str">
        <f t="shared" si="22"/>
        <v>5005</v>
      </c>
      <c r="H722" t="str">
        <f t="shared" si="23"/>
        <v>Receivables from non-exchange transactions</v>
      </c>
    </row>
    <row r="723" spans="1:8" x14ac:dyDescent="0.25">
      <c r="A723" t="s">
        <v>1683</v>
      </c>
      <c r="B723" t="s">
        <v>1684</v>
      </c>
      <c r="C723" s="67">
        <v>-5787</v>
      </c>
      <c r="D723" s="67">
        <v>-5787</v>
      </c>
      <c r="E723" s="67">
        <v>0</v>
      </c>
      <c r="F723" s="67">
        <v>0</v>
      </c>
      <c r="G723" t="str">
        <f t="shared" si="22"/>
        <v>5005</v>
      </c>
      <c r="H723" t="str">
        <f t="shared" si="23"/>
        <v>Receivables from non-exchange transactions</v>
      </c>
    </row>
    <row r="724" spans="1:8" x14ac:dyDescent="0.25">
      <c r="A724" t="s">
        <v>1685</v>
      </c>
      <c r="B724" t="s">
        <v>1686</v>
      </c>
      <c r="C724" s="67">
        <v>230</v>
      </c>
      <c r="D724" s="67">
        <v>956.66000000000008</v>
      </c>
      <c r="E724" s="67">
        <v>1004.4930000000001</v>
      </c>
      <c r="F724" s="67">
        <v>1054.71765</v>
      </c>
      <c r="G724" t="str">
        <f t="shared" si="22"/>
        <v>5005</v>
      </c>
      <c r="H724" t="str">
        <f t="shared" si="23"/>
        <v>Receivables from non-exchange transactions</v>
      </c>
    </row>
    <row r="725" spans="1:8" x14ac:dyDescent="0.25">
      <c r="A725" t="s">
        <v>1687</v>
      </c>
      <c r="B725" t="s">
        <v>1688</v>
      </c>
      <c r="C725" s="67">
        <v>-86213</v>
      </c>
      <c r="D725" s="67">
        <v>-53090.68</v>
      </c>
      <c r="E725" s="67">
        <v>-53090.68</v>
      </c>
      <c r="F725" s="67">
        <v>-53090.68</v>
      </c>
      <c r="G725" t="str">
        <f t="shared" si="22"/>
        <v>5005</v>
      </c>
      <c r="H725" t="str">
        <f t="shared" si="23"/>
        <v>Receivables from non-exchange transactions</v>
      </c>
    </row>
    <row r="726" spans="1:8" x14ac:dyDescent="0.25">
      <c r="A726" t="s">
        <v>1689</v>
      </c>
      <c r="B726" t="s">
        <v>1688</v>
      </c>
      <c r="C726" s="67">
        <v>0</v>
      </c>
      <c r="D726" s="67">
        <v>0</v>
      </c>
      <c r="E726" s="67">
        <v>0</v>
      </c>
      <c r="F726" s="67">
        <v>0</v>
      </c>
      <c r="G726" t="str">
        <f t="shared" si="22"/>
        <v>5005</v>
      </c>
      <c r="H726" t="str">
        <f t="shared" si="23"/>
        <v>Receivables from non-exchange transactions</v>
      </c>
    </row>
    <row r="727" spans="1:8" x14ac:dyDescent="0.25">
      <c r="A727" t="s">
        <v>1690</v>
      </c>
      <c r="B727" t="s">
        <v>1691</v>
      </c>
      <c r="C727" s="67">
        <v>-16325</v>
      </c>
      <c r="D727" s="67">
        <v>-16325</v>
      </c>
      <c r="E727" s="67">
        <v>0</v>
      </c>
      <c r="F727" s="67">
        <v>0</v>
      </c>
      <c r="G727" t="str">
        <f t="shared" si="22"/>
        <v>5005</v>
      </c>
      <c r="H727" t="str">
        <f t="shared" si="23"/>
        <v>Receivables from non-exchange transactions</v>
      </c>
    </row>
    <row r="728" spans="1:8" x14ac:dyDescent="0.25">
      <c r="A728" t="s">
        <v>1692</v>
      </c>
      <c r="B728" t="s">
        <v>1693</v>
      </c>
      <c r="C728" s="67">
        <v>6749864</v>
      </c>
      <c r="D728" s="67">
        <v>8017143.7399999993</v>
      </c>
      <c r="E728" s="67">
        <v>8595822.5199999996</v>
      </c>
      <c r="F728" s="67">
        <v>9203435.2390000001</v>
      </c>
      <c r="G728" t="str">
        <f t="shared" si="22"/>
        <v>5005</v>
      </c>
      <c r="H728" t="str">
        <f t="shared" si="23"/>
        <v>Receivables from non-exchange transactions</v>
      </c>
    </row>
    <row r="729" spans="1:8" x14ac:dyDescent="0.25">
      <c r="A729" t="s">
        <v>1694</v>
      </c>
      <c r="B729" t="s">
        <v>1693</v>
      </c>
      <c r="C729" s="67">
        <v>0</v>
      </c>
      <c r="D729" s="67">
        <v>0</v>
      </c>
      <c r="E729" s="67">
        <v>0</v>
      </c>
      <c r="F729" s="67">
        <v>0</v>
      </c>
      <c r="G729" t="str">
        <f t="shared" si="22"/>
        <v>5005</v>
      </c>
      <c r="H729" t="str">
        <f t="shared" si="23"/>
        <v>Receivables from non-exchange transactions</v>
      </c>
    </row>
    <row r="730" spans="1:8" x14ac:dyDescent="0.25">
      <c r="A730" t="s">
        <v>1695</v>
      </c>
      <c r="B730" t="s">
        <v>1696</v>
      </c>
      <c r="C730" s="67">
        <v>2261276</v>
      </c>
      <c r="D730" s="67">
        <v>2007928.04</v>
      </c>
      <c r="E730" s="67">
        <v>2108324.4419999998</v>
      </c>
      <c r="F730" s="67">
        <v>2213740.6640999997</v>
      </c>
      <c r="G730" t="str">
        <f t="shared" si="22"/>
        <v>5005</v>
      </c>
      <c r="H730" t="str">
        <f t="shared" si="23"/>
        <v>Receivables from non-exchange transactions</v>
      </c>
    </row>
    <row r="731" spans="1:8" x14ac:dyDescent="0.25">
      <c r="A731" t="s">
        <v>1697</v>
      </c>
      <c r="B731" t="s">
        <v>1698</v>
      </c>
      <c r="C731" s="67">
        <v>-1111536</v>
      </c>
      <c r="D731" s="67">
        <v>-1652917.24</v>
      </c>
      <c r="E731" s="67">
        <v>-1735563.102</v>
      </c>
      <c r="F731" s="67">
        <v>-1822341.2571</v>
      </c>
      <c r="G731" t="str">
        <f t="shared" si="22"/>
        <v>5005</v>
      </c>
      <c r="H731" t="str">
        <f t="shared" si="23"/>
        <v>Receivables from non-exchange transactions</v>
      </c>
    </row>
    <row r="732" spans="1:8" x14ac:dyDescent="0.25">
      <c r="A732" t="s">
        <v>1699</v>
      </c>
      <c r="B732" t="s">
        <v>1700</v>
      </c>
      <c r="C732" s="67">
        <v>0</v>
      </c>
      <c r="D732" s="67">
        <v>223667.98</v>
      </c>
      <c r="E732" s="67">
        <v>234851.37900000002</v>
      </c>
      <c r="F732" s="67">
        <v>246593.94795</v>
      </c>
      <c r="G732" t="str">
        <f t="shared" si="22"/>
        <v>5005</v>
      </c>
      <c r="H732" t="str">
        <f t="shared" si="23"/>
        <v>Receivables from non-exchange transactions</v>
      </c>
    </row>
    <row r="733" spans="1:8" x14ac:dyDescent="0.25">
      <c r="A733" t="s">
        <v>1701</v>
      </c>
      <c r="B733" t="s">
        <v>1702</v>
      </c>
      <c r="C733" s="67">
        <v>-7550780</v>
      </c>
      <c r="D733" s="67">
        <v>-6991112.8100000005</v>
      </c>
      <c r="E733" s="67">
        <v>-8492282.0899999999</v>
      </c>
      <c r="F733" s="67">
        <v>-9068509.8339999989</v>
      </c>
      <c r="G733" t="str">
        <f t="shared" si="22"/>
        <v>5005</v>
      </c>
      <c r="H733" t="str">
        <f t="shared" si="23"/>
        <v>Receivables from non-exchange transactions</v>
      </c>
    </row>
    <row r="734" spans="1:8" x14ac:dyDescent="0.25">
      <c r="A734" t="s">
        <v>1703</v>
      </c>
      <c r="B734" t="s">
        <v>1702</v>
      </c>
      <c r="C734" s="67">
        <v>0</v>
      </c>
      <c r="D734" s="67">
        <v>0</v>
      </c>
      <c r="E734" s="67">
        <v>0</v>
      </c>
      <c r="F734" s="67">
        <v>0</v>
      </c>
      <c r="G734" t="str">
        <f t="shared" si="22"/>
        <v>5005</v>
      </c>
      <c r="H734" t="str">
        <f t="shared" si="23"/>
        <v>Receivables from non-exchange transactions</v>
      </c>
    </row>
    <row r="735" spans="1:8" x14ac:dyDescent="0.25">
      <c r="A735" t="s">
        <v>1704</v>
      </c>
      <c r="B735" t="s">
        <v>1705</v>
      </c>
      <c r="C735" s="67">
        <v>-1186458</v>
      </c>
      <c r="D735" s="67">
        <v>-1501169.28</v>
      </c>
      <c r="E735" s="67">
        <v>-576227.74399999995</v>
      </c>
      <c r="F735" s="67">
        <v>-605039.13119999995</v>
      </c>
      <c r="G735" t="str">
        <f t="shared" si="22"/>
        <v>5005</v>
      </c>
      <c r="H735" t="str">
        <f t="shared" si="23"/>
        <v>Receivables from non-exchange transactions</v>
      </c>
    </row>
    <row r="736" spans="1:8" x14ac:dyDescent="0.25">
      <c r="A736" t="s">
        <v>1706</v>
      </c>
      <c r="B736" t="s">
        <v>1707</v>
      </c>
      <c r="C736" s="67">
        <v>90564</v>
      </c>
      <c r="D736" s="67">
        <v>151035.32</v>
      </c>
      <c r="E736" s="67">
        <v>200831.40000000002</v>
      </c>
      <c r="F736" s="67">
        <v>253117.28400000001</v>
      </c>
      <c r="G736" t="str">
        <f t="shared" si="22"/>
        <v>5005</v>
      </c>
      <c r="H736" t="str">
        <f t="shared" si="23"/>
        <v>Receivables from non-exchange transactions</v>
      </c>
    </row>
    <row r="737" spans="1:8" x14ac:dyDescent="0.25">
      <c r="A737" t="s">
        <v>1708</v>
      </c>
      <c r="B737" t="s">
        <v>1707</v>
      </c>
      <c r="C737" s="67">
        <v>0</v>
      </c>
      <c r="D737" s="67">
        <v>0</v>
      </c>
      <c r="E737" s="67">
        <v>0</v>
      </c>
      <c r="F737" s="67">
        <v>0</v>
      </c>
      <c r="G737" t="str">
        <f t="shared" si="22"/>
        <v>5005</v>
      </c>
      <c r="H737" t="str">
        <f t="shared" si="23"/>
        <v>Receivables from non-exchange transactions</v>
      </c>
    </row>
    <row r="738" spans="1:8" x14ac:dyDescent="0.25">
      <c r="A738" t="s">
        <v>1709</v>
      </c>
      <c r="B738" t="s">
        <v>1710</v>
      </c>
      <c r="C738" s="67">
        <v>43390</v>
      </c>
      <c r="D738" s="67">
        <v>56719.08</v>
      </c>
      <c r="E738" s="67">
        <v>59555.034</v>
      </c>
      <c r="F738" s="67">
        <v>62532.7857</v>
      </c>
      <c r="G738" t="str">
        <f t="shared" si="22"/>
        <v>5005</v>
      </c>
      <c r="H738" t="str">
        <f t="shared" si="23"/>
        <v>Receivables from non-exchange transactions</v>
      </c>
    </row>
    <row r="739" spans="1:8" x14ac:dyDescent="0.25">
      <c r="A739" t="s">
        <v>1711</v>
      </c>
      <c r="B739" t="s">
        <v>1712</v>
      </c>
      <c r="C739" s="67">
        <v>-40460</v>
      </c>
      <c r="D739" s="67">
        <v>-17602.72</v>
      </c>
      <c r="E739" s="67">
        <v>-18482.856</v>
      </c>
      <c r="F739" s="67">
        <v>-19406.998800000001</v>
      </c>
      <c r="G739" t="str">
        <f t="shared" si="22"/>
        <v>5005</v>
      </c>
      <c r="H739" t="str">
        <f t="shared" si="23"/>
        <v>Receivables from non-exchange transactions</v>
      </c>
    </row>
    <row r="740" spans="1:8" x14ac:dyDescent="0.25">
      <c r="A740" t="s">
        <v>1713</v>
      </c>
      <c r="B740" t="s">
        <v>1714</v>
      </c>
      <c r="C740" s="67">
        <v>0</v>
      </c>
      <c r="D740" s="67">
        <v>10679.72</v>
      </c>
      <c r="E740" s="67">
        <v>11213.706</v>
      </c>
      <c r="F740" s="67">
        <v>11774.391299999999</v>
      </c>
      <c r="G740" t="str">
        <f t="shared" si="22"/>
        <v>5005</v>
      </c>
      <c r="H740" t="str">
        <f t="shared" si="23"/>
        <v>Receivables from non-exchange transactions</v>
      </c>
    </row>
    <row r="741" spans="1:8" x14ac:dyDescent="0.25">
      <c r="A741" t="s">
        <v>1715</v>
      </c>
      <c r="B741" t="s">
        <v>1716</v>
      </c>
      <c r="C741" s="67">
        <v>-81110</v>
      </c>
      <c r="D741" s="67">
        <v>-131705.88</v>
      </c>
      <c r="E741" s="67">
        <v>-131705.88</v>
      </c>
      <c r="F741" s="67">
        <v>-131705.88</v>
      </c>
      <c r="G741" t="str">
        <f t="shared" si="22"/>
        <v>5005</v>
      </c>
      <c r="H741" t="str">
        <f t="shared" si="23"/>
        <v>Receivables from non-exchange transactions</v>
      </c>
    </row>
    <row r="742" spans="1:8" x14ac:dyDescent="0.25">
      <c r="A742" t="s">
        <v>1717</v>
      </c>
      <c r="B742" t="s">
        <v>1716</v>
      </c>
      <c r="C742" s="67">
        <v>0</v>
      </c>
      <c r="D742" s="67">
        <v>0</v>
      </c>
      <c r="E742" s="67">
        <v>0</v>
      </c>
      <c r="F742" s="67">
        <v>0</v>
      </c>
      <c r="G742" t="str">
        <f t="shared" si="22"/>
        <v>5005</v>
      </c>
      <c r="H742" t="str">
        <f t="shared" si="23"/>
        <v>Receivables from non-exchange transactions</v>
      </c>
    </row>
    <row r="743" spans="1:8" x14ac:dyDescent="0.25">
      <c r="A743" t="s">
        <v>1718</v>
      </c>
      <c r="B743" t="s">
        <v>1719</v>
      </c>
      <c r="C743" s="67">
        <v>-7568</v>
      </c>
      <c r="D743" s="67">
        <v>-7568</v>
      </c>
      <c r="E743" s="67">
        <v>0</v>
      </c>
      <c r="F743" s="67">
        <v>0</v>
      </c>
      <c r="G743" t="str">
        <f t="shared" si="22"/>
        <v>5005</v>
      </c>
      <c r="H743" t="str">
        <f t="shared" si="23"/>
        <v>Receivables from non-exchange transactions</v>
      </c>
    </row>
    <row r="744" spans="1:8" x14ac:dyDescent="0.25">
      <c r="A744" t="s">
        <v>1720</v>
      </c>
      <c r="B744" t="s">
        <v>1721</v>
      </c>
      <c r="C744" s="67">
        <v>0</v>
      </c>
      <c r="D744" s="67">
        <v>0</v>
      </c>
      <c r="E744" s="67">
        <v>0</v>
      </c>
      <c r="F744" s="67">
        <v>0</v>
      </c>
      <c r="G744" t="str">
        <f t="shared" si="22"/>
        <v>5005</v>
      </c>
      <c r="H744" t="str">
        <f t="shared" si="23"/>
        <v>Receivables from non-exchange transactions</v>
      </c>
    </row>
    <row r="745" spans="1:8" x14ac:dyDescent="0.25">
      <c r="A745" t="s">
        <v>1722</v>
      </c>
      <c r="B745" t="s">
        <v>1723</v>
      </c>
      <c r="C745" s="67">
        <v>11982357</v>
      </c>
      <c r="D745" s="67">
        <v>14847901.48</v>
      </c>
      <c r="E745" s="67">
        <v>15590296.554000001</v>
      </c>
      <c r="F745" s="67">
        <v>16369811.381700002</v>
      </c>
      <c r="G745" t="str">
        <f t="shared" si="22"/>
        <v>5005</v>
      </c>
      <c r="H745" t="str">
        <f t="shared" si="23"/>
        <v>Receivables from non-exchange transactions</v>
      </c>
    </row>
    <row r="746" spans="1:8" x14ac:dyDescent="0.25">
      <c r="A746" t="s">
        <v>1724</v>
      </c>
      <c r="B746" t="s">
        <v>1725</v>
      </c>
      <c r="C746" s="67">
        <v>-81150</v>
      </c>
      <c r="D746" s="67">
        <v>-6669582.6600000001</v>
      </c>
      <c r="E746" s="67">
        <v>-7003061.7930000005</v>
      </c>
      <c r="F746" s="67">
        <v>-7353214.882650001</v>
      </c>
      <c r="G746" t="str">
        <f t="shared" si="22"/>
        <v>5005</v>
      </c>
      <c r="H746" t="str">
        <f t="shared" si="23"/>
        <v>Receivables from non-exchange transactions</v>
      </c>
    </row>
    <row r="747" spans="1:8" x14ac:dyDescent="0.25">
      <c r="A747" t="s">
        <v>1726</v>
      </c>
      <c r="B747" t="s">
        <v>1727</v>
      </c>
      <c r="C747" s="67">
        <v>0</v>
      </c>
      <c r="D747" s="67">
        <v>18882.16</v>
      </c>
      <c r="E747" s="67">
        <v>19826.268</v>
      </c>
      <c r="F747" s="67">
        <v>20817.581399999999</v>
      </c>
      <c r="G747" t="str">
        <f t="shared" si="22"/>
        <v>5005</v>
      </c>
      <c r="H747" t="str">
        <f t="shared" si="23"/>
        <v>Receivables from non-exchange transactions</v>
      </c>
    </row>
    <row r="748" spans="1:8" x14ac:dyDescent="0.25">
      <c r="A748" t="s">
        <v>1728</v>
      </c>
      <c r="B748" t="s">
        <v>1729</v>
      </c>
      <c r="C748" s="67">
        <v>-10259253</v>
      </c>
      <c r="D748" s="67">
        <v>-9.9999997764825821E-3</v>
      </c>
      <c r="E748" s="67">
        <v>-0.01</v>
      </c>
      <c r="F748" s="67">
        <v>-0.02</v>
      </c>
      <c r="G748" t="str">
        <f t="shared" si="22"/>
        <v>5005</v>
      </c>
      <c r="H748" t="str">
        <f t="shared" si="23"/>
        <v>Receivables from non-exchange transactions</v>
      </c>
    </row>
    <row r="749" spans="1:8" x14ac:dyDescent="0.25">
      <c r="A749" t="s">
        <v>1730</v>
      </c>
      <c r="B749" t="s">
        <v>1729</v>
      </c>
      <c r="C749" s="67">
        <v>0</v>
      </c>
      <c r="D749" s="67">
        <v>0</v>
      </c>
      <c r="E749" s="67">
        <v>0</v>
      </c>
      <c r="F749" s="67">
        <v>0</v>
      </c>
      <c r="G749" t="str">
        <f t="shared" si="22"/>
        <v>5005</v>
      </c>
      <c r="H749" t="str">
        <f t="shared" si="23"/>
        <v>Receivables from non-exchange transactions</v>
      </c>
    </row>
    <row r="750" spans="1:8" x14ac:dyDescent="0.25">
      <c r="A750" t="s">
        <v>1731</v>
      </c>
      <c r="B750" t="s">
        <v>1732</v>
      </c>
      <c r="C750" s="67">
        <v>-658653</v>
      </c>
      <c r="D750" s="67">
        <v>-658653</v>
      </c>
      <c r="E750" s="67">
        <v>0</v>
      </c>
      <c r="F750" s="67">
        <v>0</v>
      </c>
      <c r="G750" t="str">
        <f t="shared" si="22"/>
        <v>5005</v>
      </c>
      <c r="H750" t="str">
        <f t="shared" si="23"/>
        <v>Receivables from non-exchange transactions</v>
      </c>
    </row>
    <row r="751" spans="1:8" x14ac:dyDescent="0.25">
      <c r="A751" t="s">
        <v>1733</v>
      </c>
      <c r="B751" t="s">
        <v>1734</v>
      </c>
      <c r="C751" s="67">
        <v>1102</v>
      </c>
      <c r="D751" s="67">
        <v>128.38999999999999</v>
      </c>
      <c r="E751" s="67">
        <v>539.75</v>
      </c>
      <c r="F751" s="67">
        <v>971.678</v>
      </c>
      <c r="G751" t="str">
        <f t="shared" si="22"/>
        <v>5005</v>
      </c>
      <c r="H751" t="str">
        <f t="shared" si="23"/>
        <v>Receivables from non-exchange transactions</v>
      </c>
    </row>
    <row r="752" spans="1:8" x14ac:dyDescent="0.25">
      <c r="A752" t="s">
        <v>1735</v>
      </c>
      <c r="B752" t="s">
        <v>1734</v>
      </c>
      <c r="C752" s="67">
        <v>0</v>
      </c>
      <c r="D752" s="67">
        <v>0</v>
      </c>
      <c r="E752" s="67">
        <v>0</v>
      </c>
      <c r="F752" s="67">
        <v>0</v>
      </c>
      <c r="G752" t="str">
        <f t="shared" si="22"/>
        <v>5005</v>
      </c>
      <c r="H752" t="str">
        <f t="shared" si="23"/>
        <v>Receivables from non-exchange transactions</v>
      </c>
    </row>
    <row r="753" spans="1:8" x14ac:dyDescent="0.25">
      <c r="A753" t="s">
        <v>1736</v>
      </c>
      <c r="B753" t="s">
        <v>1737</v>
      </c>
      <c r="C753" s="67">
        <v>28443</v>
      </c>
      <c r="D753" s="67">
        <v>445.31999999999971</v>
      </c>
      <c r="E753" s="67">
        <v>467.58600000000007</v>
      </c>
      <c r="F753" s="67">
        <v>490.96530000000007</v>
      </c>
      <c r="G753" t="str">
        <f t="shared" si="22"/>
        <v>5005</v>
      </c>
      <c r="H753" t="str">
        <f t="shared" si="23"/>
        <v>Receivables from non-exchange transactions</v>
      </c>
    </row>
    <row r="754" spans="1:8" x14ac:dyDescent="0.25">
      <c r="A754" t="s">
        <v>1738</v>
      </c>
      <c r="B754" t="s">
        <v>1739</v>
      </c>
      <c r="C754" s="67">
        <v>-352</v>
      </c>
      <c r="D754" s="67">
        <v>-33.95999999999998</v>
      </c>
      <c r="E754" s="67">
        <v>-35.658000000000001</v>
      </c>
      <c r="F754" s="67">
        <v>-37.440899999999999</v>
      </c>
      <c r="G754" t="str">
        <f t="shared" si="22"/>
        <v>5005</v>
      </c>
      <c r="H754" t="str">
        <f t="shared" si="23"/>
        <v>Receivables from non-exchange transactions</v>
      </c>
    </row>
    <row r="755" spans="1:8" x14ac:dyDescent="0.25">
      <c r="A755" t="s">
        <v>1740</v>
      </c>
      <c r="B755" t="s">
        <v>1741</v>
      </c>
      <c r="C755" s="67">
        <v>-883</v>
      </c>
      <c r="D755" s="67">
        <v>-50.090000000000032</v>
      </c>
      <c r="E755" s="67">
        <v>-50.089999999999996</v>
      </c>
      <c r="F755" s="67">
        <v>-50.089999999999996</v>
      </c>
      <c r="G755" t="str">
        <f t="shared" si="22"/>
        <v>5005</v>
      </c>
      <c r="H755" t="str">
        <f t="shared" si="23"/>
        <v>Receivables from non-exchange transactions</v>
      </c>
    </row>
    <row r="756" spans="1:8" x14ac:dyDescent="0.25">
      <c r="A756" t="s">
        <v>1742</v>
      </c>
      <c r="B756" t="s">
        <v>1741</v>
      </c>
      <c r="C756" s="67">
        <v>0</v>
      </c>
      <c r="D756" s="67">
        <v>0</v>
      </c>
      <c r="E756" s="67">
        <v>0</v>
      </c>
      <c r="F756" s="67">
        <v>0</v>
      </c>
      <c r="G756" t="str">
        <f t="shared" si="22"/>
        <v>5005</v>
      </c>
      <c r="H756" t="str">
        <f t="shared" si="23"/>
        <v>Receivables from non-exchange transactions</v>
      </c>
    </row>
    <row r="757" spans="1:8" x14ac:dyDescent="0.25">
      <c r="A757" t="s">
        <v>1743</v>
      </c>
      <c r="B757" t="s">
        <v>1744</v>
      </c>
      <c r="C757" s="67">
        <v>-23562</v>
      </c>
      <c r="D757" s="67">
        <v>-23562</v>
      </c>
      <c r="E757" s="67">
        <v>0</v>
      </c>
      <c r="F757" s="67">
        <v>0</v>
      </c>
      <c r="G757" t="str">
        <f t="shared" si="22"/>
        <v>5005</v>
      </c>
      <c r="H757" t="str">
        <f t="shared" si="23"/>
        <v>Receivables from non-exchange transactions</v>
      </c>
    </row>
    <row r="758" spans="1:8" x14ac:dyDescent="0.25">
      <c r="A758" t="s">
        <v>1745</v>
      </c>
      <c r="B758" t="s">
        <v>1746</v>
      </c>
      <c r="C758" s="67">
        <v>7485115</v>
      </c>
      <c r="D758" s="67">
        <v>9164461.3699999992</v>
      </c>
      <c r="E758" s="67">
        <v>10168373.629999999</v>
      </c>
      <c r="F758" s="67">
        <v>11222481.502999999</v>
      </c>
      <c r="G758" t="str">
        <f t="shared" si="22"/>
        <v>5005</v>
      </c>
      <c r="H758" t="str">
        <f t="shared" si="23"/>
        <v>Receivables from non-exchange transactions</v>
      </c>
    </row>
    <row r="759" spans="1:8" x14ac:dyDescent="0.25">
      <c r="A759" t="s">
        <v>1747</v>
      </c>
      <c r="B759" t="s">
        <v>1746</v>
      </c>
      <c r="C759" s="67">
        <v>0</v>
      </c>
      <c r="D759" s="67">
        <v>0</v>
      </c>
      <c r="E759" s="67">
        <v>0</v>
      </c>
      <c r="F759" s="67">
        <v>0</v>
      </c>
      <c r="G759" t="str">
        <f t="shared" si="22"/>
        <v>5005</v>
      </c>
      <c r="H759" t="str">
        <f t="shared" si="23"/>
        <v>Receivables from non-exchange transactions</v>
      </c>
    </row>
    <row r="760" spans="1:8" x14ac:dyDescent="0.25">
      <c r="A760" t="s">
        <v>1748</v>
      </c>
      <c r="B760" t="s">
        <v>1749</v>
      </c>
      <c r="C760" s="67">
        <v>1535544</v>
      </c>
      <c r="D760" s="67">
        <v>1394582.46</v>
      </c>
      <c r="E760" s="67">
        <v>1464311.5829999999</v>
      </c>
      <c r="F760" s="67">
        <v>1537527.1621499998</v>
      </c>
      <c r="G760" t="str">
        <f t="shared" si="22"/>
        <v>5005</v>
      </c>
      <c r="H760" t="str">
        <f t="shared" si="23"/>
        <v>Receivables from non-exchange transactions</v>
      </c>
    </row>
    <row r="761" spans="1:8" x14ac:dyDescent="0.25">
      <c r="A761" t="s">
        <v>1750</v>
      </c>
      <c r="B761" t="s">
        <v>1751</v>
      </c>
      <c r="C761" s="67">
        <v>-345127</v>
      </c>
      <c r="D761" s="67">
        <v>-390670.19999999995</v>
      </c>
      <c r="E761" s="67">
        <v>-410203.70999999996</v>
      </c>
      <c r="F761" s="67">
        <v>-430713.89549999998</v>
      </c>
      <c r="G761" t="str">
        <f t="shared" si="22"/>
        <v>5005</v>
      </c>
      <c r="H761" t="str">
        <f t="shared" si="23"/>
        <v>Receivables from non-exchange transactions</v>
      </c>
    </row>
    <row r="762" spans="1:8" x14ac:dyDescent="0.25">
      <c r="A762" t="s">
        <v>1752</v>
      </c>
      <c r="B762" t="s">
        <v>1753</v>
      </c>
      <c r="C762" s="67">
        <v>-5988093</v>
      </c>
      <c r="D762" s="67">
        <v>-7991597.1799999997</v>
      </c>
      <c r="E762" s="67">
        <v>-7991597.1799999997</v>
      </c>
      <c r="F762" s="67">
        <v>-7991597.1799999997</v>
      </c>
      <c r="G762" t="str">
        <f t="shared" si="22"/>
        <v>5005</v>
      </c>
      <c r="H762" t="str">
        <f t="shared" si="23"/>
        <v>Receivables from non-exchange transactions</v>
      </c>
    </row>
    <row r="763" spans="1:8" x14ac:dyDescent="0.25">
      <c r="A763" t="s">
        <v>1754</v>
      </c>
      <c r="B763" t="s">
        <v>1753</v>
      </c>
      <c r="C763" s="67">
        <v>0</v>
      </c>
      <c r="D763" s="67">
        <v>0</v>
      </c>
      <c r="E763" s="67">
        <v>0</v>
      </c>
      <c r="F763" s="67">
        <v>0</v>
      </c>
      <c r="G763" t="str">
        <f t="shared" si="22"/>
        <v>5005</v>
      </c>
      <c r="H763" t="str">
        <f t="shared" si="23"/>
        <v>Receivables from non-exchange transactions</v>
      </c>
    </row>
    <row r="764" spans="1:8" x14ac:dyDescent="0.25">
      <c r="A764" t="s">
        <v>1755</v>
      </c>
      <c r="B764" t="s">
        <v>1756</v>
      </c>
      <c r="C764" s="67">
        <v>-956856</v>
      </c>
      <c r="D764" s="67">
        <v>-956856</v>
      </c>
      <c r="E764" s="67">
        <v>0</v>
      </c>
      <c r="F764" s="67">
        <v>0</v>
      </c>
      <c r="G764" t="str">
        <f t="shared" si="22"/>
        <v>5005</v>
      </c>
      <c r="H764" t="str">
        <f t="shared" si="23"/>
        <v>Receivables from non-exchange transactions</v>
      </c>
    </row>
    <row r="765" spans="1:8" x14ac:dyDescent="0.25">
      <c r="A765" t="s">
        <v>1757</v>
      </c>
      <c r="B765" t="s">
        <v>1758</v>
      </c>
      <c r="C765" s="67">
        <v>4307490</v>
      </c>
      <c r="D765" s="67">
        <v>3882222.53</v>
      </c>
      <c r="E765" s="67">
        <v>4364989.8380000005</v>
      </c>
      <c r="F765" s="67">
        <v>4801488.821800001</v>
      </c>
      <c r="G765" t="str">
        <f t="shared" si="22"/>
        <v>5005</v>
      </c>
      <c r="H765" t="str">
        <f t="shared" si="23"/>
        <v>Receivables from non-exchange transactions</v>
      </c>
    </row>
    <row r="766" spans="1:8" x14ac:dyDescent="0.25">
      <c r="A766" t="s">
        <v>1759</v>
      </c>
      <c r="B766" t="s">
        <v>1760</v>
      </c>
      <c r="C766" s="67">
        <v>-3095561</v>
      </c>
      <c r="D766" s="67">
        <v>-293930.33000000007</v>
      </c>
      <c r="E766" s="67">
        <v>-437077.19000000006</v>
      </c>
      <c r="F766" s="67">
        <v>-480784.9090000001</v>
      </c>
      <c r="G766" t="str">
        <f t="shared" si="22"/>
        <v>5005</v>
      </c>
      <c r="H766" t="str">
        <f t="shared" si="23"/>
        <v>Receivables from non-exchange transactions</v>
      </c>
    </row>
    <row r="767" spans="1:8" x14ac:dyDescent="0.25">
      <c r="A767" t="s">
        <v>1761</v>
      </c>
      <c r="B767" t="s">
        <v>1762</v>
      </c>
      <c r="C767" s="67">
        <v>-625865</v>
      </c>
      <c r="D767" s="67">
        <v>-225865</v>
      </c>
      <c r="E767" s="67">
        <v>0</v>
      </c>
      <c r="F767" s="67">
        <v>0</v>
      </c>
      <c r="G767" t="str">
        <f t="shared" si="22"/>
        <v>5005</v>
      </c>
      <c r="H767" t="str">
        <f t="shared" si="23"/>
        <v>Receivables from non-exchange transactions</v>
      </c>
    </row>
    <row r="768" spans="1:8" x14ac:dyDescent="0.25">
      <c r="A768" t="s">
        <v>1763</v>
      </c>
      <c r="B768" t="s">
        <v>1764</v>
      </c>
      <c r="C768" s="67">
        <v>0</v>
      </c>
      <c r="D768" s="67">
        <v>23941.88</v>
      </c>
      <c r="E768" s="67">
        <v>8941.880000000001</v>
      </c>
      <c r="F768" s="67">
        <v>8941.880000000001</v>
      </c>
      <c r="G768" t="str">
        <f t="shared" si="22"/>
        <v>5005</v>
      </c>
      <c r="H768" t="str">
        <f t="shared" si="23"/>
        <v>Receivables from exchange transactions</v>
      </c>
    </row>
    <row r="769" spans="1:8" x14ac:dyDescent="0.25">
      <c r="A769" t="s">
        <v>1765</v>
      </c>
      <c r="B769" t="s">
        <v>1766</v>
      </c>
      <c r="C769" s="67">
        <v>0</v>
      </c>
      <c r="D769" s="67">
        <v>10924.369999999999</v>
      </c>
      <c r="E769" s="67">
        <v>10924.369999999999</v>
      </c>
      <c r="F769" s="67">
        <v>3924.369999999999</v>
      </c>
      <c r="G769" t="str">
        <f t="shared" si="22"/>
        <v>5005</v>
      </c>
      <c r="H769" t="str">
        <f t="shared" si="23"/>
        <v>Receivables from exchange transactions</v>
      </c>
    </row>
    <row r="770" spans="1:8" x14ac:dyDescent="0.25">
      <c r="A770" t="s">
        <v>1767</v>
      </c>
      <c r="B770" t="s">
        <v>1768</v>
      </c>
      <c r="C770" s="67">
        <v>564</v>
      </c>
      <c r="D770" s="67">
        <v>5954.36</v>
      </c>
      <c r="E770" s="67">
        <v>5954.36</v>
      </c>
      <c r="F770" s="67">
        <v>5954.36</v>
      </c>
      <c r="G770" t="str">
        <f t="shared" ref="G770:G833" si="24">VLOOKUP(A770,s,2,FALSE)</f>
        <v>5005</v>
      </c>
      <c r="H770" t="str">
        <f t="shared" ref="H770:H833" si="25">VLOOKUP(A770,s,3,FALSE)</f>
        <v>Receivables from exchange transactions</v>
      </c>
    </row>
    <row r="771" spans="1:8" x14ac:dyDescent="0.25">
      <c r="A771" t="s">
        <v>1769</v>
      </c>
      <c r="B771" t="s">
        <v>1770</v>
      </c>
      <c r="C771" s="67">
        <v>369856</v>
      </c>
      <c r="D771" s="67">
        <v>194483.45</v>
      </c>
      <c r="E771" s="67">
        <v>213931.79500000001</v>
      </c>
      <c r="F771" s="67">
        <v>235324.97450000001</v>
      </c>
      <c r="G771" t="str">
        <f t="shared" si="24"/>
        <v>5005</v>
      </c>
      <c r="H771" t="str">
        <f t="shared" si="25"/>
        <v>Inventories</v>
      </c>
    </row>
    <row r="772" spans="1:8" x14ac:dyDescent="0.25">
      <c r="A772" t="s">
        <v>1771</v>
      </c>
      <c r="B772" t="s">
        <v>1772</v>
      </c>
      <c r="C772" s="67">
        <v>516261</v>
      </c>
      <c r="D772" s="67">
        <v>516261.72</v>
      </c>
      <c r="E772" s="67">
        <v>516261.72</v>
      </c>
      <c r="F772" s="67">
        <v>516261.72</v>
      </c>
      <c r="G772" t="str">
        <f t="shared" si="24"/>
        <v>5005</v>
      </c>
      <c r="H772" t="str">
        <f t="shared" si="25"/>
        <v>Receivables from exchange transactions</v>
      </c>
    </row>
    <row r="773" spans="1:8" x14ac:dyDescent="0.25">
      <c r="A773" t="s">
        <v>1773</v>
      </c>
      <c r="B773" t="s">
        <v>1774</v>
      </c>
      <c r="C773" s="67">
        <v>0</v>
      </c>
      <c r="D773" s="67">
        <v>-387230.6</v>
      </c>
      <c r="E773" s="67">
        <v>-387230.6</v>
      </c>
      <c r="F773" s="67">
        <v>-387230.6</v>
      </c>
      <c r="G773" t="str">
        <f t="shared" si="24"/>
        <v>5005</v>
      </c>
      <c r="H773" t="str">
        <f t="shared" si="25"/>
        <v>Receivables from exchange transactions</v>
      </c>
    </row>
    <row r="774" spans="1:8" x14ac:dyDescent="0.25">
      <c r="A774" t="s">
        <v>1775</v>
      </c>
      <c r="B774" t="s">
        <v>1776</v>
      </c>
      <c r="C774" s="67">
        <v>0</v>
      </c>
      <c r="D774" s="67">
        <v>28783.1</v>
      </c>
      <c r="E774" s="67">
        <v>28783.1</v>
      </c>
      <c r="F774" s="67">
        <v>33100.564999999995</v>
      </c>
      <c r="G774" t="str">
        <f t="shared" si="24"/>
        <v>5005</v>
      </c>
      <c r="H774" t="str">
        <f t="shared" si="25"/>
        <v>Receivables from exchange transactions</v>
      </c>
    </row>
    <row r="775" spans="1:8" x14ac:dyDescent="0.25">
      <c r="A775" t="s">
        <v>1777</v>
      </c>
      <c r="B775" t="s">
        <v>1778</v>
      </c>
      <c r="C775" s="67">
        <v>14123993</v>
      </c>
      <c r="D775" s="67">
        <v>14123993</v>
      </c>
      <c r="E775" s="67">
        <v>14273993</v>
      </c>
      <c r="F775" s="67">
        <v>14448993</v>
      </c>
      <c r="G775" t="str">
        <f t="shared" si="24"/>
        <v>5005</v>
      </c>
      <c r="H775" t="str">
        <f t="shared" si="25"/>
        <v>VAT</v>
      </c>
    </row>
    <row r="776" spans="1:8" x14ac:dyDescent="0.25">
      <c r="A776" t="s">
        <v>1779</v>
      </c>
      <c r="B776" t="s">
        <v>1780</v>
      </c>
      <c r="C776" s="67">
        <v>0</v>
      </c>
      <c r="D776" s="67">
        <v>0</v>
      </c>
      <c r="E776" s="67">
        <v>0</v>
      </c>
      <c r="F776" s="67">
        <v>0</v>
      </c>
      <c r="G776" t="str">
        <f t="shared" si="24"/>
        <v>5005</v>
      </c>
      <c r="H776" t="str">
        <f t="shared" si="25"/>
        <v>VAT</v>
      </c>
    </row>
    <row r="777" spans="1:8" x14ac:dyDescent="0.25">
      <c r="A777" t="s">
        <v>1781</v>
      </c>
      <c r="B777" t="s">
        <v>1782</v>
      </c>
      <c r="C777" s="67">
        <v>0</v>
      </c>
      <c r="D777" s="67">
        <v>0</v>
      </c>
      <c r="E777" s="67">
        <v>0</v>
      </c>
      <c r="F777" s="67">
        <v>0</v>
      </c>
      <c r="G777" t="str">
        <f t="shared" si="24"/>
        <v>5005</v>
      </c>
      <c r="H777" t="str">
        <f t="shared" si="25"/>
        <v>VAT</v>
      </c>
    </row>
    <row r="778" spans="1:8" x14ac:dyDescent="0.25">
      <c r="A778" t="s">
        <v>1783</v>
      </c>
      <c r="B778" t="s">
        <v>1784</v>
      </c>
      <c r="C778" s="67">
        <v>0</v>
      </c>
      <c r="D778" s="67">
        <v>0</v>
      </c>
      <c r="E778" s="67">
        <v>0</v>
      </c>
      <c r="F778" s="67">
        <v>0</v>
      </c>
      <c r="G778" t="str">
        <f t="shared" si="24"/>
        <v>5005</v>
      </c>
      <c r="H778" t="str">
        <f t="shared" si="25"/>
        <v>VAT</v>
      </c>
    </row>
    <row r="779" spans="1:8" x14ac:dyDescent="0.25">
      <c r="A779" t="s">
        <v>1785</v>
      </c>
      <c r="B779" t="s">
        <v>1786</v>
      </c>
      <c r="C779" s="67">
        <v>0</v>
      </c>
      <c r="D779" s="67">
        <v>0</v>
      </c>
      <c r="E779" s="67">
        <v>0</v>
      </c>
      <c r="F779" s="67">
        <v>0</v>
      </c>
      <c r="G779" t="str">
        <f t="shared" si="24"/>
        <v>5005</v>
      </c>
      <c r="H779" t="str">
        <f t="shared" si="25"/>
        <v>VAT</v>
      </c>
    </row>
    <row r="780" spans="1:8" x14ac:dyDescent="0.25">
      <c r="A780" t="s">
        <v>1787</v>
      </c>
      <c r="B780" t="s">
        <v>1788</v>
      </c>
      <c r="C780" s="67">
        <v>0</v>
      </c>
      <c r="D780" s="67">
        <v>0</v>
      </c>
      <c r="E780" s="67">
        <v>0</v>
      </c>
      <c r="F780" s="67">
        <v>0</v>
      </c>
      <c r="G780" t="str">
        <f t="shared" si="24"/>
        <v>5005</v>
      </c>
      <c r="H780" t="str">
        <f t="shared" si="25"/>
        <v>VAT</v>
      </c>
    </row>
    <row r="781" spans="1:8" x14ac:dyDescent="0.25">
      <c r="A781" t="s">
        <v>1789</v>
      </c>
      <c r="B781" t="s">
        <v>1422</v>
      </c>
      <c r="C781" s="67">
        <v>0</v>
      </c>
      <c r="D781" s="67">
        <v>764049.39</v>
      </c>
      <c r="E781" s="67">
        <v>764049.39</v>
      </c>
      <c r="F781" s="67">
        <v>764049.39</v>
      </c>
      <c r="G781" t="str">
        <f t="shared" si="24"/>
        <v>5005</v>
      </c>
      <c r="H781" t="str">
        <f t="shared" si="25"/>
        <v>Non-Current Assets (Cost)</v>
      </c>
    </row>
    <row r="782" spans="1:8" x14ac:dyDescent="0.25">
      <c r="A782" t="s">
        <v>1790</v>
      </c>
      <c r="B782" t="s">
        <v>1424</v>
      </c>
      <c r="C782" s="67">
        <v>0</v>
      </c>
      <c r="D782" s="67">
        <v>-44182.05</v>
      </c>
      <c r="E782" s="67">
        <v>-44182.05</v>
      </c>
      <c r="F782" s="67">
        <v>-44182.05</v>
      </c>
      <c r="G782" t="str">
        <f t="shared" si="24"/>
        <v>5005</v>
      </c>
      <c r="H782" t="str">
        <f t="shared" si="25"/>
        <v>Non-Current Assets (Acc Depreciation)</v>
      </c>
    </row>
    <row r="783" spans="1:8" x14ac:dyDescent="0.25">
      <c r="A783" t="s">
        <v>1791</v>
      </c>
      <c r="B783" t="s">
        <v>1792</v>
      </c>
      <c r="C783" s="67">
        <v>0</v>
      </c>
      <c r="D783" s="67">
        <v>0</v>
      </c>
      <c r="E783" s="67">
        <v>0</v>
      </c>
      <c r="F783" s="67">
        <v>0</v>
      </c>
      <c r="G783" t="str">
        <f t="shared" si="24"/>
        <v>5005</v>
      </c>
      <c r="H783" t="str">
        <f t="shared" si="25"/>
        <v>Consumer deposits</v>
      </c>
    </row>
    <row r="784" spans="1:8" x14ac:dyDescent="0.25">
      <c r="A784" t="s">
        <v>1793</v>
      </c>
      <c r="B784" t="s">
        <v>1794</v>
      </c>
      <c r="C784" s="67">
        <v>-294221</v>
      </c>
      <c r="D784" s="67">
        <v>-393035.39</v>
      </c>
      <c r="E784" s="67">
        <v>-709819.04</v>
      </c>
      <c r="F784" s="67">
        <v>-709819.04</v>
      </c>
      <c r="G784" t="str">
        <f t="shared" si="24"/>
        <v>5005</v>
      </c>
      <c r="H784" t="str">
        <f t="shared" si="25"/>
        <v>Finance lease obligation (Current)</v>
      </c>
    </row>
    <row r="785" spans="1:8" x14ac:dyDescent="0.25">
      <c r="A785" t="s">
        <v>1795</v>
      </c>
      <c r="B785" t="s">
        <v>1796</v>
      </c>
      <c r="C785" s="67">
        <v>-396468</v>
      </c>
      <c r="D785" s="67">
        <v>-396468</v>
      </c>
      <c r="E785" s="67">
        <v>-436114.8</v>
      </c>
      <c r="F785" s="67">
        <v>-479726.27999999997</v>
      </c>
      <c r="G785" t="str">
        <f t="shared" si="24"/>
        <v>5005</v>
      </c>
      <c r="H785" t="str">
        <f t="shared" si="25"/>
        <v>Current Employee Benefits</v>
      </c>
    </row>
    <row r="786" spans="1:8" x14ac:dyDescent="0.25">
      <c r="A786" t="s">
        <v>1797</v>
      </c>
      <c r="B786" t="s">
        <v>1798</v>
      </c>
      <c r="C786" s="67">
        <v>-1023563</v>
      </c>
      <c r="D786" s="67">
        <v>-3523563</v>
      </c>
      <c r="E786" s="67">
        <v>-3875919.3</v>
      </c>
      <c r="F786" s="67">
        <v>-4263511.2299999995</v>
      </c>
      <c r="G786" t="str">
        <f t="shared" si="24"/>
        <v>5005</v>
      </c>
      <c r="H786" t="str">
        <f t="shared" si="25"/>
        <v>Payables from exchange transactions</v>
      </c>
    </row>
    <row r="787" spans="1:8" x14ac:dyDescent="0.25">
      <c r="A787" t="s">
        <v>1799</v>
      </c>
      <c r="B787" t="s">
        <v>1800</v>
      </c>
      <c r="C787" s="67">
        <v>-3582</v>
      </c>
      <c r="D787" s="67">
        <v>-3582</v>
      </c>
      <c r="E787" s="67">
        <v>-3582</v>
      </c>
      <c r="F787" s="67">
        <v>-3582</v>
      </c>
      <c r="G787" t="str">
        <f t="shared" si="24"/>
        <v>5005</v>
      </c>
      <c r="H787" t="str">
        <f t="shared" si="25"/>
        <v>Other current liability</v>
      </c>
    </row>
    <row r="788" spans="1:8" x14ac:dyDescent="0.25">
      <c r="A788" t="s">
        <v>1801</v>
      </c>
      <c r="B788" t="s">
        <v>1802</v>
      </c>
      <c r="C788" s="67">
        <v>0</v>
      </c>
      <c r="D788" s="67">
        <v>0</v>
      </c>
      <c r="E788" s="67">
        <v>0</v>
      </c>
      <c r="F788" s="67">
        <v>0</v>
      </c>
      <c r="G788" t="str">
        <f t="shared" si="24"/>
        <v>5005</v>
      </c>
      <c r="H788" t="str">
        <f t="shared" si="25"/>
        <v>Other current liability</v>
      </c>
    </row>
    <row r="789" spans="1:8" x14ac:dyDescent="0.25">
      <c r="A789" t="s">
        <v>1803</v>
      </c>
      <c r="B789" t="s">
        <v>1804</v>
      </c>
      <c r="C789" s="67">
        <v>0</v>
      </c>
      <c r="D789" s="67">
        <v>0</v>
      </c>
      <c r="E789" s="67">
        <v>0</v>
      </c>
      <c r="F789" s="67">
        <v>0</v>
      </c>
      <c r="G789" t="str">
        <f t="shared" si="24"/>
        <v>5005</v>
      </c>
      <c r="H789" t="str">
        <f t="shared" si="25"/>
        <v>Other current liability</v>
      </c>
    </row>
    <row r="790" spans="1:8" x14ac:dyDescent="0.25">
      <c r="A790" t="s">
        <v>1805</v>
      </c>
      <c r="B790" t="s">
        <v>1806</v>
      </c>
      <c r="C790" s="67">
        <v>0</v>
      </c>
      <c r="D790" s="67">
        <v>0</v>
      </c>
      <c r="E790" s="67">
        <v>0</v>
      </c>
      <c r="F790" s="67">
        <v>0</v>
      </c>
      <c r="G790" t="str">
        <f t="shared" si="24"/>
        <v>5005</v>
      </c>
      <c r="H790" t="str">
        <f t="shared" si="25"/>
        <v>Other current liability</v>
      </c>
    </row>
    <row r="791" spans="1:8" x14ac:dyDescent="0.25">
      <c r="A791" t="s">
        <v>1807</v>
      </c>
      <c r="B791" t="s">
        <v>1808</v>
      </c>
      <c r="C791" s="67">
        <v>0</v>
      </c>
      <c r="D791" s="67">
        <v>0</v>
      </c>
      <c r="E791" s="67">
        <v>0</v>
      </c>
      <c r="F791" s="67">
        <v>0</v>
      </c>
      <c r="G791" t="str">
        <f t="shared" si="24"/>
        <v>5005</v>
      </c>
      <c r="H791" t="str">
        <f t="shared" si="25"/>
        <v>Other current liability</v>
      </c>
    </row>
    <row r="792" spans="1:8" x14ac:dyDescent="0.25">
      <c r="A792" t="s">
        <v>1809</v>
      </c>
      <c r="B792" t="s">
        <v>1810</v>
      </c>
      <c r="C792" s="67">
        <v>0</v>
      </c>
      <c r="D792" s="67">
        <v>0</v>
      </c>
      <c r="E792" s="67">
        <v>0</v>
      </c>
      <c r="F792" s="67">
        <v>0</v>
      </c>
      <c r="G792" t="str">
        <f t="shared" si="24"/>
        <v>5005</v>
      </c>
      <c r="H792" t="str">
        <f t="shared" si="25"/>
        <v>Other current liability</v>
      </c>
    </row>
    <row r="793" spans="1:8" x14ac:dyDescent="0.25">
      <c r="A793" t="s">
        <v>1811</v>
      </c>
      <c r="B793" t="s">
        <v>1812</v>
      </c>
      <c r="C793" s="67">
        <v>0</v>
      </c>
      <c r="D793" s="67">
        <v>0</v>
      </c>
      <c r="E793" s="67">
        <v>0</v>
      </c>
      <c r="F793" s="67">
        <v>0</v>
      </c>
      <c r="G793" t="str">
        <f t="shared" si="24"/>
        <v>5005</v>
      </c>
      <c r="H793" t="str">
        <f t="shared" si="25"/>
        <v>Payables from exchange transactions</v>
      </c>
    </row>
    <row r="794" spans="1:8" x14ac:dyDescent="0.25">
      <c r="A794" t="s">
        <v>1813</v>
      </c>
      <c r="B794" t="s">
        <v>1814</v>
      </c>
      <c r="C794" s="67">
        <v>0</v>
      </c>
      <c r="D794" s="67">
        <v>0</v>
      </c>
      <c r="E794" s="67">
        <v>0</v>
      </c>
      <c r="F794" s="67">
        <v>0</v>
      </c>
      <c r="G794" t="str">
        <f t="shared" si="24"/>
        <v>5005</v>
      </c>
      <c r="H794" t="str">
        <f t="shared" si="25"/>
        <v>Cash and cash equivalents</v>
      </c>
    </row>
    <row r="795" spans="1:8" x14ac:dyDescent="0.25">
      <c r="A795" t="s">
        <v>1815</v>
      </c>
      <c r="B795" t="s">
        <v>1816</v>
      </c>
      <c r="C795" s="67">
        <v>0</v>
      </c>
      <c r="D795" s="67">
        <v>0</v>
      </c>
      <c r="E795" s="67">
        <v>0</v>
      </c>
      <c r="F795" s="67">
        <v>0</v>
      </c>
      <c r="G795" t="str">
        <f t="shared" si="24"/>
        <v>5005</v>
      </c>
      <c r="H795" t="str">
        <f t="shared" si="25"/>
        <v>Cash and cash equivalents</v>
      </c>
    </row>
    <row r="796" spans="1:8" x14ac:dyDescent="0.25">
      <c r="A796" t="s">
        <v>1817</v>
      </c>
      <c r="B796" t="s">
        <v>1818</v>
      </c>
      <c r="C796" s="67">
        <v>0</v>
      </c>
      <c r="D796" s="67">
        <v>0</v>
      </c>
      <c r="E796" s="67">
        <v>0</v>
      </c>
      <c r="F796" s="67">
        <v>0</v>
      </c>
      <c r="G796" t="str">
        <f t="shared" si="24"/>
        <v>5005</v>
      </c>
      <c r="H796" t="str">
        <f t="shared" si="25"/>
        <v>Cash and cash equivalents</v>
      </c>
    </row>
    <row r="797" spans="1:8" x14ac:dyDescent="0.25">
      <c r="A797" t="s">
        <v>1819</v>
      </c>
      <c r="B797" t="s">
        <v>1820</v>
      </c>
      <c r="C797" s="67">
        <v>0</v>
      </c>
      <c r="D797" s="67">
        <v>0</v>
      </c>
      <c r="E797" s="67">
        <v>0</v>
      </c>
      <c r="F797" s="67">
        <v>0</v>
      </c>
      <c r="G797" t="str">
        <f t="shared" si="24"/>
        <v>5005</v>
      </c>
      <c r="H797" t="str">
        <f t="shared" si="25"/>
        <v>VAT</v>
      </c>
    </row>
    <row r="798" spans="1:8" x14ac:dyDescent="0.25">
      <c r="A798" t="s">
        <v>1821</v>
      </c>
      <c r="B798" t="s">
        <v>1822</v>
      </c>
      <c r="C798" s="67">
        <v>0</v>
      </c>
      <c r="D798" s="67">
        <v>0</v>
      </c>
      <c r="E798" s="67">
        <v>0</v>
      </c>
      <c r="F798" s="67">
        <v>0</v>
      </c>
      <c r="G798" t="str">
        <f t="shared" si="24"/>
        <v>5005</v>
      </c>
      <c r="H798" t="str">
        <f t="shared" si="25"/>
        <v>VAT</v>
      </c>
    </row>
    <row r="799" spans="1:8" x14ac:dyDescent="0.25">
      <c r="A799" t="s">
        <v>1823</v>
      </c>
      <c r="B799" t="s">
        <v>1460</v>
      </c>
      <c r="C799" s="67">
        <v>-202749</v>
      </c>
      <c r="D799" s="67">
        <v>-202749</v>
      </c>
      <c r="E799" s="67">
        <v>-223023.9</v>
      </c>
      <c r="F799" s="67">
        <v>-245326.28999999998</v>
      </c>
      <c r="G799" t="str">
        <f t="shared" si="24"/>
        <v>5005</v>
      </c>
      <c r="H799" t="str">
        <f t="shared" si="25"/>
        <v>Current Employee Benefits</v>
      </c>
    </row>
    <row r="800" spans="1:8" x14ac:dyDescent="0.25">
      <c r="A800" t="s">
        <v>1824</v>
      </c>
      <c r="B800" t="s">
        <v>1825</v>
      </c>
      <c r="C800" s="67">
        <v>-10378789</v>
      </c>
      <c r="D800" s="67">
        <v>-5966789</v>
      </c>
      <c r="E800" s="67">
        <v>-5966789</v>
      </c>
      <c r="F800" s="67">
        <v>-7966789</v>
      </c>
      <c r="G800" t="str">
        <f t="shared" si="24"/>
        <v>5005</v>
      </c>
      <c r="H800" t="str">
        <f t="shared" si="25"/>
        <v>Payables from exchange transactions</v>
      </c>
    </row>
    <row r="801" spans="1:8" x14ac:dyDescent="0.25">
      <c r="A801" t="s">
        <v>1826</v>
      </c>
      <c r="B801" t="s">
        <v>1827</v>
      </c>
      <c r="C801" s="67">
        <v>0</v>
      </c>
      <c r="D801" s="67">
        <v>0</v>
      </c>
      <c r="E801" s="67">
        <v>-2000000</v>
      </c>
      <c r="F801" s="67">
        <v>-1000000</v>
      </c>
      <c r="G801" t="str">
        <f t="shared" si="24"/>
        <v>5005</v>
      </c>
      <c r="H801" t="str">
        <f t="shared" si="25"/>
        <v>Payables from exchange transactions</v>
      </c>
    </row>
    <row r="802" spans="1:8" x14ac:dyDescent="0.25">
      <c r="A802" t="s">
        <v>1828</v>
      </c>
      <c r="B802" t="s">
        <v>1829</v>
      </c>
      <c r="C802" s="67">
        <v>0</v>
      </c>
      <c r="D802" s="67">
        <v>0</v>
      </c>
      <c r="E802" s="67">
        <v>0</v>
      </c>
      <c r="F802" s="67">
        <v>0</v>
      </c>
      <c r="G802" t="str">
        <f t="shared" si="24"/>
        <v>5005</v>
      </c>
      <c r="H802" t="str">
        <f t="shared" si="25"/>
        <v>Payables from exchange transactions</v>
      </c>
    </row>
    <row r="803" spans="1:8" x14ac:dyDescent="0.25">
      <c r="A803" t="s">
        <v>1830</v>
      </c>
      <c r="B803" t="s">
        <v>1831</v>
      </c>
      <c r="C803" s="67">
        <v>0</v>
      </c>
      <c r="D803" s="67">
        <v>0</v>
      </c>
      <c r="E803" s="67">
        <v>0</v>
      </c>
      <c r="F803" s="67">
        <v>0</v>
      </c>
      <c r="G803" t="str">
        <f t="shared" si="24"/>
        <v>5005</v>
      </c>
      <c r="H803" t="str">
        <f t="shared" si="25"/>
        <v>Payables from exchange transactions</v>
      </c>
    </row>
    <row r="804" spans="1:8" x14ac:dyDescent="0.25">
      <c r="A804" t="s">
        <v>1832</v>
      </c>
      <c r="B804" t="s">
        <v>1833</v>
      </c>
      <c r="C804" s="67">
        <v>-1246871</v>
      </c>
      <c r="D804" s="67">
        <v>-1246871</v>
      </c>
      <c r="E804" s="67">
        <v>-1246871</v>
      </c>
      <c r="F804" s="67">
        <v>-1246871</v>
      </c>
      <c r="G804" t="str">
        <f t="shared" si="24"/>
        <v>5005</v>
      </c>
      <c r="H804" t="str">
        <f t="shared" si="25"/>
        <v>VAT</v>
      </c>
    </row>
    <row r="805" spans="1:8" x14ac:dyDescent="0.25">
      <c r="A805" t="s">
        <v>1834</v>
      </c>
      <c r="B805" t="s">
        <v>1835</v>
      </c>
      <c r="C805" s="67">
        <v>0</v>
      </c>
      <c r="D805" s="67">
        <v>0</v>
      </c>
      <c r="E805" s="67">
        <v>0</v>
      </c>
      <c r="F805" s="67">
        <v>0</v>
      </c>
      <c r="G805" t="str">
        <f t="shared" si="24"/>
        <v>5005</v>
      </c>
      <c r="H805" t="str">
        <f t="shared" si="25"/>
        <v>VAT</v>
      </c>
    </row>
    <row r="806" spans="1:8" x14ac:dyDescent="0.25">
      <c r="A806" t="s">
        <v>1836</v>
      </c>
      <c r="B806" t="s">
        <v>1837</v>
      </c>
      <c r="C806" s="67">
        <v>-458695</v>
      </c>
      <c r="D806" s="67">
        <v>-1458695</v>
      </c>
      <c r="E806" s="67">
        <v>-1458695</v>
      </c>
      <c r="F806" s="67">
        <v>-1458695</v>
      </c>
      <c r="G806" t="str">
        <f t="shared" si="24"/>
        <v>5005</v>
      </c>
      <c r="H806" t="str">
        <f t="shared" si="25"/>
        <v>Other current liability</v>
      </c>
    </row>
    <row r="807" spans="1:8" x14ac:dyDescent="0.25">
      <c r="A807" t="s">
        <v>1838</v>
      </c>
      <c r="B807" t="s">
        <v>1839</v>
      </c>
      <c r="C807" s="67">
        <v>0</v>
      </c>
      <c r="D807" s="67">
        <v>0</v>
      </c>
      <c r="E807" s="67">
        <v>0</v>
      </c>
      <c r="F807" s="67">
        <v>0</v>
      </c>
      <c r="G807" t="str">
        <f t="shared" si="24"/>
        <v>5005</v>
      </c>
      <c r="H807" t="str">
        <f t="shared" si="25"/>
        <v>Other current liability</v>
      </c>
    </row>
    <row r="808" spans="1:8" x14ac:dyDescent="0.25">
      <c r="A808" t="s">
        <v>1840</v>
      </c>
      <c r="B808" t="s">
        <v>1841</v>
      </c>
      <c r="C808" s="67">
        <v>-1331447</v>
      </c>
      <c r="D808" s="67">
        <v>-1331447</v>
      </c>
      <c r="E808" s="67">
        <v>-1611050.8699999999</v>
      </c>
      <c r="F808" s="67">
        <v>0</v>
      </c>
      <c r="G808" t="str">
        <f t="shared" si="24"/>
        <v>5005</v>
      </c>
      <c r="H808" t="str">
        <f t="shared" si="25"/>
        <v>Payables from exchange transactions</v>
      </c>
    </row>
    <row r="809" spans="1:8" x14ac:dyDescent="0.25">
      <c r="A809" t="s">
        <v>1842</v>
      </c>
      <c r="B809" t="s">
        <v>1843</v>
      </c>
      <c r="C809" s="67">
        <v>0</v>
      </c>
      <c r="D809" s="67">
        <v>-3478880</v>
      </c>
      <c r="E809" s="67">
        <v>-4558864.5999999996</v>
      </c>
      <c r="F809" s="67">
        <v>-5746847.6600000001</v>
      </c>
      <c r="G809" t="str">
        <f t="shared" si="24"/>
        <v>5005</v>
      </c>
      <c r="H809" t="str">
        <f t="shared" si="25"/>
        <v>Receivables from exchange transactions</v>
      </c>
    </row>
    <row r="810" spans="1:8" x14ac:dyDescent="0.25">
      <c r="A810" t="s">
        <v>1844</v>
      </c>
      <c r="B810" t="s">
        <v>1845</v>
      </c>
      <c r="C810" s="67">
        <v>0</v>
      </c>
      <c r="D810" s="67">
        <v>0</v>
      </c>
      <c r="E810" s="67">
        <v>0</v>
      </c>
      <c r="F810" s="67">
        <v>0</v>
      </c>
      <c r="G810" t="str">
        <f t="shared" si="24"/>
        <v>5005</v>
      </c>
      <c r="H810" t="str">
        <f t="shared" si="25"/>
        <v>Payables from exchange transactions</v>
      </c>
    </row>
    <row r="811" spans="1:8" x14ac:dyDescent="0.25">
      <c r="A811" t="s">
        <v>1846</v>
      </c>
      <c r="B811" t="s">
        <v>1847</v>
      </c>
      <c r="C811" s="67">
        <v>-15674840</v>
      </c>
      <c r="D811" s="67">
        <v>-10943646.17999994</v>
      </c>
      <c r="E811" s="67">
        <v>-9443646.1799999401</v>
      </c>
      <c r="F811" s="67">
        <v>-10443646.17999994</v>
      </c>
      <c r="G811" t="str">
        <f t="shared" si="24"/>
        <v>5005</v>
      </c>
      <c r="H811" t="str">
        <f t="shared" si="25"/>
        <v>Payables from exchange transactions</v>
      </c>
    </row>
    <row r="812" spans="1:8" x14ac:dyDescent="0.25">
      <c r="A812" t="s">
        <v>1848</v>
      </c>
      <c r="B812" t="s">
        <v>1849</v>
      </c>
      <c r="C812" s="67">
        <v>0</v>
      </c>
      <c r="D812" s="67">
        <v>0</v>
      </c>
      <c r="E812" s="67">
        <v>0</v>
      </c>
      <c r="F812" s="67">
        <v>0</v>
      </c>
      <c r="G812" t="str">
        <f t="shared" si="24"/>
        <v>5005</v>
      </c>
      <c r="H812" t="str">
        <f t="shared" si="25"/>
        <v>Payables from exchange transactions</v>
      </c>
    </row>
    <row r="813" spans="1:8" x14ac:dyDescent="0.25">
      <c r="A813" t="s">
        <v>1850</v>
      </c>
      <c r="B813" t="s">
        <v>1851</v>
      </c>
      <c r="C813" s="67">
        <v>0</v>
      </c>
      <c r="D813" s="67">
        <v>0</v>
      </c>
      <c r="E813" s="67">
        <v>0</v>
      </c>
      <c r="F813" s="67">
        <v>0</v>
      </c>
      <c r="G813" t="str">
        <f t="shared" si="24"/>
        <v>5005</v>
      </c>
      <c r="H813" t="str">
        <f t="shared" si="25"/>
        <v>Payables from exchange transactions</v>
      </c>
    </row>
    <row r="814" spans="1:8" x14ac:dyDescent="0.25">
      <c r="A814" t="s">
        <v>1852</v>
      </c>
      <c r="B814" t="s">
        <v>1853</v>
      </c>
      <c r="C814" s="67">
        <v>0</v>
      </c>
      <c r="D814" s="67">
        <v>-284262</v>
      </c>
      <c r="E814" s="67">
        <v>-294262</v>
      </c>
      <c r="F814" s="67">
        <v>-304262</v>
      </c>
      <c r="G814" t="str">
        <f t="shared" si="24"/>
        <v>5005</v>
      </c>
      <c r="H814" t="str">
        <f t="shared" si="25"/>
        <v>Payables from exchange transactions</v>
      </c>
    </row>
    <row r="815" spans="1:8" x14ac:dyDescent="0.25">
      <c r="A815" t="s">
        <v>1854</v>
      </c>
      <c r="B815" t="s">
        <v>1855</v>
      </c>
      <c r="C815" s="67">
        <v>0</v>
      </c>
      <c r="D815" s="67">
        <v>0</v>
      </c>
      <c r="E815" s="67">
        <v>0</v>
      </c>
      <c r="F815" s="67">
        <v>0</v>
      </c>
      <c r="G815" t="str">
        <f t="shared" si="24"/>
        <v>5005</v>
      </c>
      <c r="H815" t="str">
        <f t="shared" si="25"/>
        <v>Payables from exchange transactions</v>
      </c>
    </row>
    <row r="816" spans="1:8" x14ac:dyDescent="0.25">
      <c r="A816" t="s">
        <v>1856</v>
      </c>
      <c r="B816" t="s">
        <v>1857</v>
      </c>
      <c r="C816" s="67">
        <v>0</v>
      </c>
      <c r="D816" s="67">
        <v>0</v>
      </c>
      <c r="E816" s="67">
        <v>0</v>
      </c>
      <c r="F816" s="67">
        <v>0</v>
      </c>
      <c r="G816" t="str">
        <f t="shared" si="24"/>
        <v>5005</v>
      </c>
      <c r="H816" t="str">
        <f t="shared" si="25"/>
        <v>Payables from exchange transactions</v>
      </c>
    </row>
    <row r="817" spans="1:8" x14ac:dyDescent="0.25">
      <c r="A817" t="s">
        <v>1858</v>
      </c>
      <c r="B817" t="s">
        <v>1859</v>
      </c>
      <c r="C817" s="67">
        <v>0</v>
      </c>
      <c r="D817" s="67">
        <v>-983030.8</v>
      </c>
      <c r="E817" s="67">
        <v>-983030.8</v>
      </c>
      <c r="F817" s="67">
        <v>-633030.80000000005</v>
      </c>
      <c r="G817" t="str">
        <f t="shared" si="24"/>
        <v>5005</v>
      </c>
      <c r="H817" t="str">
        <f t="shared" si="25"/>
        <v>Payables from exchange transactions</v>
      </c>
    </row>
    <row r="818" spans="1:8" x14ac:dyDescent="0.25">
      <c r="A818" t="s">
        <v>1860</v>
      </c>
      <c r="B818" t="s">
        <v>1861</v>
      </c>
      <c r="C818" s="67">
        <v>0</v>
      </c>
      <c r="D818" s="67">
        <v>0</v>
      </c>
      <c r="E818" s="67">
        <v>0</v>
      </c>
      <c r="F818" s="67">
        <v>0</v>
      </c>
      <c r="G818" t="str">
        <f t="shared" si="24"/>
        <v>5005</v>
      </c>
      <c r="H818" t="str">
        <f t="shared" si="25"/>
        <v>Unspent conditional grants and receipts</v>
      </c>
    </row>
    <row r="819" spans="1:8" x14ac:dyDescent="0.25">
      <c r="A819" t="s">
        <v>1862</v>
      </c>
      <c r="B819" t="s">
        <v>1863</v>
      </c>
      <c r="C819" s="67">
        <v>0</v>
      </c>
      <c r="D819" s="67">
        <v>0</v>
      </c>
      <c r="E819" s="67">
        <v>0</v>
      </c>
      <c r="F819" s="67">
        <v>0</v>
      </c>
      <c r="G819" t="str">
        <f t="shared" si="24"/>
        <v>5005</v>
      </c>
      <c r="H819" t="str">
        <f t="shared" si="25"/>
        <v>Unspent conditional grants and receipts</v>
      </c>
    </row>
    <row r="820" spans="1:8" x14ac:dyDescent="0.25">
      <c r="A820" t="s">
        <v>1864</v>
      </c>
      <c r="B820" t="s">
        <v>1865</v>
      </c>
      <c r="C820" s="67">
        <v>0</v>
      </c>
      <c r="D820" s="67">
        <v>0</v>
      </c>
      <c r="E820" s="67">
        <v>0</v>
      </c>
      <c r="F820" s="67">
        <v>0</v>
      </c>
      <c r="G820" t="str">
        <f t="shared" si="24"/>
        <v>5005</v>
      </c>
      <c r="H820" t="str">
        <f t="shared" si="25"/>
        <v>Unspent conditional grants and receipts</v>
      </c>
    </row>
    <row r="821" spans="1:8" x14ac:dyDescent="0.25">
      <c r="A821" t="s">
        <v>1866</v>
      </c>
      <c r="B821" t="s">
        <v>1867</v>
      </c>
      <c r="C821" s="67">
        <v>0</v>
      </c>
      <c r="D821" s="67">
        <v>0</v>
      </c>
      <c r="E821" s="67">
        <v>0</v>
      </c>
      <c r="F821" s="67">
        <v>0</v>
      </c>
      <c r="G821" t="str">
        <f t="shared" si="24"/>
        <v>5005</v>
      </c>
      <c r="H821" t="str">
        <f t="shared" si="25"/>
        <v>Unspent conditional grants and receipts</v>
      </c>
    </row>
    <row r="822" spans="1:8" x14ac:dyDescent="0.25">
      <c r="A822" t="s">
        <v>1868</v>
      </c>
      <c r="B822" t="s">
        <v>1869</v>
      </c>
      <c r="C822" s="67">
        <v>0</v>
      </c>
      <c r="D822" s="67">
        <v>0</v>
      </c>
      <c r="E822" s="67">
        <v>0</v>
      </c>
      <c r="F822" s="67">
        <v>0</v>
      </c>
      <c r="G822" t="str">
        <f t="shared" si="24"/>
        <v>5005</v>
      </c>
      <c r="H822" t="str">
        <f t="shared" si="25"/>
        <v>Unspent conditional grants and receipts</v>
      </c>
    </row>
    <row r="823" spans="1:8" x14ac:dyDescent="0.25">
      <c r="A823" t="s">
        <v>1870</v>
      </c>
      <c r="B823" t="s">
        <v>1871</v>
      </c>
      <c r="C823" s="67">
        <v>0</v>
      </c>
      <c r="D823" s="67">
        <v>0</v>
      </c>
      <c r="E823" s="67">
        <v>0</v>
      </c>
      <c r="F823" s="67">
        <v>0</v>
      </c>
      <c r="G823" t="str">
        <f t="shared" si="24"/>
        <v>5005</v>
      </c>
      <c r="H823" t="str">
        <f t="shared" si="25"/>
        <v>Unspent conditional grants and receipts</v>
      </c>
    </row>
    <row r="824" spans="1:8" x14ac:dyDescent="0.25">
      <c r="A824" t="s">
        <v>1872</v>
      </c>
      <c r="B824" t="s">
        <v>1873</v>
      </c>
      <c r="C824" s="67">
        <v>0</v>
      </c>
      <c r="D824" s="67">
        <v>0</v>
      </c>
      <c r="E824" s="67">
        <v>0</v>
      </c>
      <c r="F824" s="67">
        <v>0</v>
      </c>
      <c r="G824" t="str">
        <f t="shared" si="24"/>
        <v>5005</v>
      </c>
      <c r="H824" t="str">
        <f t="shared" si="25"/>
        <v>Unspent conditional grants and receipts</v>
      </c>
    </row>
    <row r="825" spans="1:8" x14ac:dyDescent="0.25">
      <c r="A825" t="s">
        <v>1874</v>
      </c>
      <c r="B825" t="s">
        <v>1875</v>
      </c>
      <c r="C825" s="67">
        <v>0</v>
      </c>
      <c r="D825" s="67">
        <v>0</v>
      </c>
      <c r="E825" s="67">
        <v>0</v>
      </c>
      <c r="F825" s="67">
        <v>0</v>
      </c>
      <c r="G825" t="str">
        <f t="shared" si="24"/>
        <v>5005</v>
      </c>
      <c r="H825" t="str">
        <f t="shared" si="25"/>
        <v>Unspent conditional grants and receipts</v>
      </c>
    </row>
    <row r="826" spans="1:8" x14ac:dyDescent="0.25">
      <c r="A826" t="s">
        <v>1876</v>
      </c>
      <c r="B826" t="s">
        <v>1877</v>
      </c>
      <c r="C826" s="67">
        <v>0</v>
      </c>
      <c r="D826" s="67">
        <v>0</v>
      </c>
      <c r="E826" s="67">
        <v>0</v>
      </c>
      <c r="F826" s="67">
        <v>0</v>
      </c>
      <c r="G826" t="str">
        <f t="shared" si="24"/>
        <v>5005</v>
      </c>
      <c r="H826" t="str">
        <f t="shared" si="25"/>
        <v>Unspent conditional grants and receipts</v>
      </c>
    </row>
    <row r="827" spans="1:8" x14ac:dyDescent="0.25">
      <c r="A827" t="s">
        <v>1878</v>
      </c>
      <c r="B827" t="s">
        <v>1861</v>
      </c>
      <c r="C827" s="67">
        <v>0</v>
      </c>
      <c r="D827" s="67">
        <v>0</v>
      </c>
      <c r="E827" s="67">
        <v>0</v>
      </c>
      <c r="F827" s="67">
        <v>0</v>
      </c>
      <c r="G827" t="str">
        <f t="shared" si="24"/>
        <v>5005</v>
      </c>
      <c r="H827" t="str">
        <f t="shared" si="25"/>
        <v>Unspent conditional grants and receipts</v>
      </c>
    </row>
    <row r="828" spans="1:8" x14ac:dyDescent="0.25">
      <c r="A828" t="s">
        <v>1879</v>
      </c>
      <c r="B828" t="s">
        <v>1865</v>
      </c>
      <c r="C828" s="67">
        <v>0</v>
      </c>
      <c r="D828" s="67">
        <v>0</v>
      </c>
      <c r="E828" s="67">
        <v>0</v>
      </c>
      <c r="F828" s="67">
        <v>0</v>
      </c>
      <c r="G828" t="str">
        <f t="shared" si="24"/>
        <v>5005</v>
      </c>
      <c r="H828" t="str">
        <f t="shared" si="25"/>
        <v>Unspent conditional grants and receipts</v>
      </c>
    </row>
    <row r="829" spans="1:8" x14ac:dyDescent="0.25">
      <c r="A829" t="s">
        <v>1880</v>
      </c>
      <c r="B829" t="s">
        <v>1881</v>
      </c>
      <c r="C829" s="67">
        <v>0</v>
      </c>
      <c r="D829" s="67">
        <v>0</v>
      </c>
      <c r="E829" s="67">
        <v>0</v>
      </c>
      <c r="F829" s="67">
        <v>0</v>
      </c>
      <c r="G829" t="str">
        <f t="shared" si="24"/>
        <v>5005</v>
      </c>
      <c r="H829" t="str">
        <f t="shared" si="25"/>
        <v>Unspent conditional grants and receipts</v>
      </c>
    </row>
    <row r="830" spans="1:8" x14ac:dyDescent="0.25">
      <c r="A830" t="s">
        <v>1882</v>
      </c>
      <c r="B830" t="s">
        <v>1883</v>
      </c>
      <c r="C830" s="67">
        <v>-97182</v>
      </c>
      <c r="D830" s="67">
        <v>-97182</v>
      </c>
      <c r="E830" s="67">
        <v>-106900.2</v>
      </c>
      <c r="F830" s="67">
        <v>-117590.22</v>
      </c>
      <c r="G830" t="str">
        <f t="shared" si="24"/>
        <v>5005</v>
      </c>
      <c r="H830" t="str">
        <f t="shared" si="25"/>
        <v>Current Employee Benefits</v>
      </c>
    </row>
    <row r="831" spans="1:8" x14ac:dyDescent="0.25">
      <c r="A831" t="s">
        <v>1884</v>
      </c>
      <c r="B831" t="s">
        <v>1885</v>
      </c>
      <c r="C831" s="67">
        <v>0</v>
      </c>
      <c r="D831" s="67">
        <v>0</v>
      </c>
      <c r="E831" s="67">
        <v>0</v>
      </c>
      <c r="F831" s="67">
        <v>0</v>
      </c>
      <c r="G831" t="str">
        <f t="shared" si="24"/>
        <v>5005</v>
      </c>
      <c r="H831" t="str">
        <f t="shared" si="25"/>
        <v>Current Employee Benefits</v>
      </c>
    </row>
    <row r="832" spans="1:8" x14ac:dyDescent="0.25">
      <c r="A832" t="s">
        <v>1886</v>
      </c>
      <c r="B832" t="s">
        <v>1883</v>
      </c>
      <c r="C832" s="67">
        <v>-10755302</v>
      </c>
      <c r="D832" s="67">
        <v>-10755302</v>
      </c>
      <c r="E832" s="67">
        <v>-10755302</v>
      </c>
      <c r="F832" s="67">
        <v>-11105302</v>
      </c>
      <c r="G832" t="str">
        <f t="shared" si="24"/>
        <v>5005</v>
      </c>
      <c r="H832" t="str">
        <f t="shared" si="25"/>
        <v>Non-Current Employee Benefits</v>
      </c>
    </row>
    <row r="833" spans="1:8" x14ac:dyDescent="0.25">
      <c r="A833" t="s">
        <v>1887</v>
      </c>
      <c r="B833" t="s">
        <v>1888</v>
      </c>
      <c r="C833" s="67">
        <v>0</v>
      </c>
      <c r="D833" s="67">
        <v>-316783.65000000002</v>
      </c>
      <c r="E833" s="67">
        <v>0</v>
      </c>
      <c r="F833" s="67">
        <v>0</v>
      </c>
      <c r="G833" t="str">
        <f t="shared" si="24"/>
        <v>5005</v>
      </c>
      <c r="H833" t="str">
        <f t="shared" si="25"/>
        <v>Finance lease obligation (Current)</v>
      </c>
    </row>
    <row r="834" spans="1:8" x14ac:dyDescent="0.25">
      <c r="A834" t="s">
        <v>1889</v>
      </c>
      <c r="B834" t="s">
        <v>1890</v>
      </c>
      <c r="C834" s="67">
        <v>-2898617</v>
      </c>
      <c r="D834" s="67">
        <v>-2898617</v>
      </c>
      <c r="E834" s="67">
        <v>-3248617</v>
      </c>
      <c r="F834" s="67">
        <v>-3623617</v>
      </c>
      <c r="G834" t="str">
        <f t="shared" ref="G834:G897" si="26">VLOOKUP(A834,s,2,FALSE)</f>
        <v>5005</v>
      </c>
      <c r="H834" t="str">
        <f t="shared" ref="H834:H897" si="27">VLOOKUP(A834,s,3,FALSE)</f>
        <v>Provisions</v>
      </c>
    </row>
    <row r="835" spans="1:8" x14ac:dyDescent="0.25">
      <c r="A835" t="s">
        <v>1891</v>
      </c>
      <c r="B835" t="s">
        <v>1892</v>
      </c>
      <c r="C835" s="67">
        <v>-350000</v>
      </c>
      <c r="D835" s="67">
        <v>-350000</v>
      </c>
      <c r="E835" s="67">
        <v>-375000</v>
      </c>
      <c r="F835" s="67">
        <v>-375000</v>
      </c>
      <c r="G835" t="str">
        <f t="shared" si="26"/>
        <v>5005</v>
      </c>
      <c r="H835" t="str">
        <f t="shared" si="27"/>
        <v>Provisions</v>
      </c>
    </row>
    <row r="836" spans="1:8" x14ac:dyDescent="0.25">
      <c r="A836" t="s">
        <v>1893</v>
      </c>
      <c r="B836" t="s">
        <v>1462</v>
      </c>
      <c r="C836" s="67">
        <v>-4435109</v>
      </c>
      <c r="D836" s="67">
        <v>-454491539.66000003</v>
      </c>
      <c r="E836" s="67">
        <v>-617058486.39999998</v>
      </c>
      <c r="F836" s="67">
        <v>-785367105.81538939</v>
      </c>
      <c r="G836" t="str">
        <f t="shared" si="26"/>
        <v>5005</v>
      </c>
      <c r="H836" t="str">
        <f t="shared" si="27"/>
        <v>Reserves</v>
      </c>
    </row>
    <row r="837" spans="1:8" x14ac:dyDescent="0.25">
      <c r="A837" t="s">
        <v>1894</v>
      </c>
      <c r="B837" t="s">
        <v>1464</v>
      </c>
      <c r="C837" s="67">
        <v>-157356401</v>
      </c>
      <c r="D837" s="67">
        <v>-162566946.73999998</v>
      </c>
      <c r="E837" s="67">
        <v>-168308619.41538945</v>
      </c>
      <c r="F837" s="67">
        <v>-178078367.7188985</v>
      </c>
      <c r="G837" t="str">
        <f t="shared" si="26"/>
        <v>5005</v>
      </c>
      <c r="H837" t="str">
        <f t="shared" si="27"/>
        <v>Reserves</v>
      </c>
    </row>
    <row r="838" spans="1:8" x14ac:dyDescent="0.25">
      <c r="A838" t="s">
        <v>1895</v>
      </c>
      <c r="B838" t="s">
        <v>1896</v>
      </c>
      <c r="C838" s="67">
        <v>0</v>
      </c>
      <c r="D838" s="67">
        <v>-47614110.890000001</v>
      </c>
      <c r="E838" s="67">
        <v>-47614110.890000001</v>
      </c>
      <c r="F838" s="67">
        <v>-47614110.890000001</v>
      </c>
      <c r="G838" t="str">
        <f t="shared" si="26"/>
        <v>5005</v>
      </c>
      <c r="H838" t="str">
        <f t="shared" si="27"/>
        <v>Reserves</v>
      </c>
    </row>
    <row r="839" spans="1:8" x14ac:dyDescent="0.25">
      <c r="A839" t="s">
        <v>853</v>
      </c>
      <c r="B839" t="s">
        <v>291</v>
      </c>
      <c r="C839" s="67">
        <v>0</v>
      </c>
      <c r="D839" s="67">
        <v>0</v>
      </c>
      <c r="E839" s="67">
        <v>0</v>
      </c>
      <c r="F839" s="67">
        <v>0</v>
      </c>
      <c r="G839" t="str">
        <f t="shared" si="26"/>
        <v>5010</v>
      </c>
      <c r="H839" t="str">
        <f t="shared" si="27"/>
        <v>Depreciation and amortisation</v>
      </c>
    </row>
    <row r="840" spans="1:8" x14ac:dyDescent="0.25">
      <c r="A840" t="s">
        <v>854</v>
      </c>
      <c r="B840" t="s">
        <v>292</v>
      </c>
      <c r="C840" s="67">
        <v>0</v>
      </c>
      <c r="D840" s="67">
        <v>0</v>
      </c>
      <c r="E840" s="67">
        <v>0</v>
      </c>
      <c r="F840" s="67">
        <v>0</v>
      </c>
      <c r="G840" t="str">
        <f t="shared" si="26"/>
        <v>5010</v>
      </c>
      <c r="H840" t="str">
        <f t="shared" si="27"/>
        <v>Depreciation and amortisation</v>
      </c>
    </row>
    <row r="841" spans="1:8" x14ac:dyDescent="0.25">
      <c r="A841" t="s">
        <v>855</v>
      </c>
      <c r="B841" t="s">
        <v>293</v>
      </c>
      <c r="C841" s="67">
        <v>0</v>
      </c>
      <c r="D841" s="67">
        <v>0</v>
      </c>
      <c r="E841" s="67">
        <v>0</v>
      </c>
      <c r="F841" s="67">
        <v>0</v>
      </c>
      <c r="G841" t="str">
        <f t="shared" si="26"/>
        <v>5010</v>
      </c>
      <c r="H841" t="str">
        <f t="shared" si="27"/>
        <v>Depreciation and amortisation</v>
      </c>
    </row>
    <row r="842" spans="1:8" x14ac:dyDescent="0.25">
      <c r="A842" t="s">
        <v>1897</v>
      </c>
      <c r="B842" t="s">
        <v>1404</v>
      </c>
      <c r="C842" s="67">
        <v>0</v>
      </c>
      <c r="D842" s="67">
        <v>0</v>
      </c>
      <c r="E842" s="67">
        <v>0</v>
      </c>
      <c r="F842" s="67">
        <v>0</v>
      </c>
      <c r="G842" t="str">
        <f t="shared" si="26"/>
        <v>5010</v>
      </c>
      <c r="H842" t="str">
        <f t="shared" si="27"/>
        <v>Accumulated surplus</v>
      </c>
    </row>
    <row r="843" spans="1:8" x14ac:dyDescent="0.25">
      <c r="A843" t="s">
        <v>1898</v>
      </c>
      <c r="B843" t="s">
        <v>1899</v>
      </c>
      <c r="C843" s="67">
        <v>0</v>
      </c>
      <c r="D843" s="67">
        <v>0</v>
      </c>
      <c r="E843" s="67">
        <v>0</v>
      </c>
      <c r="F843" s="67">
        <v>0</v>
      </c>
      <c r="G843" t="str">
        <f t="shared" si="26"/>
        <v>5010</v>
      </c>
      <c r="H843" t="str">
        <f t="shared" si="27"/>
        <v>Cash and cash equivalents</v>
      </c>
    </row>
    <row r="844" spans="1:8" x14ac:dyDescent="0.25">
      <c r="A844" t="s">
        <v>1900</v>
      </c>
      <c r="B844" t="s">
        <v>1901</v>
      </c>
      <c r="C844" s="67">
        <v>0</v>
      </c>
      <c r="D844" s="67">
        <v>0</v>
      </c>
      <c r="E844" s="67">
        <v>0</v>
      </c>
      <c r="F844" s="67">
        <v>0</v>
      </c>
      <c r="G844" t="str">
        <f t="shared" si="26"/>
        <v>5010</v>
      </c>
      <c r="H844" t="str">
        <f t="shared" si="27"/>
        <v>Cash and cash equivalents</v>
      </c>
    </row>
    <row r="845" spans="1:8" x14ac:dyDescent="0.25">
      <c r="A845" t="s">
        <v>1902</v>
      </c>
      <c r="B845" t="s">
        <v>1406</v>
      </c>
      <c r="C845" s="67">
        <v>85687</v>
      </c>
      <c r="D845" s="67">
        <v>85687</v>
      </c>
      <c r="E845" s="67">
        <v>85687</v>
      </c>
      <c r="F845" s="67">
        <v>85687</v>
      </c>
      <c r="G845" t="str">
        <f t="shared" si="26"/>
        <v>5010</v>
      </c>
      <c r="H845" t="str">
        <f t="shared" si="27"/>
        <v>Non-Current Assets (Cost)</v>
      </c>
    </row>
    <row r="846" spans="1:8" x14ac:dyDescent="0.25">
      <c r="A846" t="s">
        <v>1903</v>
      </c>
      <c r="B846" t="s">
        <v>1408</v>
      </c>
      <c r="C846" s="67">
        <v>-57605</v>
      </c>
      <c r="D846" s="67">
        <v>-63288.990000000005</v>
      </c>
      <c r="E846" s="67">
        <v>-72257.990000000005</v>
      </c>
      <c r="F846" s="67">
        <v>-72257.990000000005</v>
      </c>
      <c r="G846" t="str">
        <f t="shared" si="26"/>
        <v>5010</v>
      </c>
      <c r="H846" t="str">
        <f t="shared" si="27"/>
        <v>Non-Current Assets (Acc Depreciation)</v>
      </c>
    </row>
    <row r="847" spans="1:8" x14ac:dyDescent="0.25">
      <c r="A847" t="s">
        <v>1904</v>
      </c>
      <c r="B847" t="s">
        <v>1410</v>
      </c>
      <c r="C847" s="67">
        <v>-8969</v>
      </c>
      <c r="D847" s="67">
        <v>-8969</v>
      </c>
      <c r="E847" s="67">
        <v>0</v>
      </c>
      <c r="F847" s="67">
        <v>0</v>
      </c>
      <c r="G847" t="str">
        <f t="shared" si="26"/>
        <v>5010</v>
      </c>
      <c r="H847" t="str">
        <f t="shared" si="27"/>
        <v>Non-Current Assets (Acc Depreciation)</v>
      </c>
    </row>
    <row r="848" spans="1:8" x14ac:dyDescent="0.25">
      <c r="A848" t="s">
        <v>1905</v>
      </c>
      <c r="B848" t="s">
        <v>1428</v>
      </c>
      <c r="C848" s="67">
        <v>47504</v>
      </c>
      <c r="D848" s="67">
        <v>47504.31</v>
      </c>
      <c r="E848" s="67">
        <v>47504.31</v>
      </c>
      <c r="F848" s="67">
        <v>47504.31</v>
      </c>
      <c r="G848" t="str">
        <f t="shared" si="26"/>
        <v>5010</v>
      </c>
      <c r="H848" t="str">
        <f t="shared" si="27"/>
        <v>Non-Current Assets (Cost)</v>
      </c>
    </row>
    <row r="849" spans="1:8" x14ac:dyDescent="0.25">
      <c r="A849" t="s">
        <v>1906</v>
      </c>
      <c r="B849" t="s">
        <v>1430</v>
      </c>
      <c r="C849" s="67">
        <v>-26771</v>
      </c>
      <c r="D849" s="67">
        <v>-26643.809999999998</v>
      </c>
      <c r="E849" s="67">
        <v>-26643.809999999998</v>
      </c>
      <c r="F849" s="67">
        <v>-26643.809999999998</v>
      </c>
      <c r="G849" t="str">
        <f t="shared" si="26"/>
        <v>5010</v>
      </c>
      <c r="H849" t="str">
        <f t="shared" si="27"/>
        <v>Non-Current Assets (Acc Depreciation)</v>
      </c>
    </row>
    <row r="850" spans="1:8" x14ac:dyDescent="0.25">
      <c r="A850" t="s">
        <v>1907</v>
      </c>
      <c r="B850" t="s">
        <v>1432</v>
      </c>
      <c r="C850" s="67">
        <v>-3784</v>
      </c>
      <c r="D850" s="67">
        <v>0</v>
      </c>
      <c r="E850" s="67">
        <v>0</v>
      </c>
      <c r="F850" s="67">
        <v>0</v>
      </c>
      <c r="G850" t="str">
        <f t="shared" si="26"/>
        <v>5010</v>
      </c>
      <c r="H850" t="str">
        <f t="shared" si="27"/>
        <v>Non-Current Assets (Depreciation)</v>
      </c>
    </row>
    <row r="851" spans="1:8" x14ac:dyDescent="0.25">
      <c r="A851" t="s">
        <v>1908</v>
      </c>
      <c r="B851" t="s">
        <v>1434</v>
      </c>
      <c r="C851" s="67">
        <v>12024</v>
      </c>
      <c r="D851" s="67">
        <v>4385.09</v>
      </c>
      <c r="E851" s="67">
        <v>4385.09</v>
      </c>
      <c r="F851" s="67">
        <v>4385.09</v>
      </c>
      <c r="G851" t="str">
        <f t="shared" si="26"/>
        <v>5010</v>
      </c>
      <c r="H851" t="str">
        <f t="shared" si="27"/>
        <v>Non-Current Assets (Cost)</v>
      </c>
    </row>
    <row r="852" spans="1:8" x14ac:dyDescent="0.25">
      <c r="A852" t="s">
        <v>1909</v>
      </c>
      <c r="B852" t="s">
        <v>1436</v>
      </c>
      <c r="C852" s="67">
        <v>-7435</v>
      </c>
      <c r="D852" s="67">
        <v>-3956.380000000001</v>
      </c>
      <c r="E852" s="67">
        <v>-3956.380000000001</v>
      </c>
      <c r="F852" s="67">
        <v>-3956.380000000001</v>
      </c>
      <c r="G852" t="str">
        <f t="shared" si="26"/>
        <v>5010</v>
      </c>
      <c r="H852" t="str">
        <f t="shared" si="27"/>
        <v>Non-Current Assets (Acc Depreciation)</v>
      </c>
    </row>
    <row r="853" spans="1:8" x14ac:dyDescent="0.25">
      <c r="A853" t="s">
        <v>1910</v>
      </c>
      <c r="B853" t="s">
        <v>1438</v>
      </c>
      <c r="C853" s="67">
        <v>-1340</v>
      </c>
      <c r="D853" s="67">
        <v>0</v>
      </c>
      <c r="E853" s="67">
        <v>0</v>
      </c>
      <c r="F853" s="67">
        <v>0</v>
      </c>
      <c r="G853" t="str">
        <f t="shared" si="26"/>
        <v>5010</v>
      </c>
      <c r="H853" t="str">
        <f t="shared" si="27"/>
        <v>Non-Current Assets (Depreciation)</v>
      </c>
    </row>
    <row r="854" spans="1:8" x14ac:dyDescent="0.25">
      <c r="A854" t="s">
        <v>1911</v>
      </c>
      <c r="B854" t="s">
        <v>1460</v>
      </c>
      <c r="C854" s="67">
        <v>-188585</v>
      </c>
      <c r="D854" s="67">
        <v>-188585</v>
      </c>
      <c r="E854" s="67">
        <v>-207443.5</v>
      </c>
      <c r="F854" s="67">
        <v>-228187.85</v>
      </c>
      <c r="G854" t="str">
        <f t="shared" si="26"/>
        <v>5010</v>
      </c>
      <c r="H854" t="str">
        <f t="shared" si="27"/>
        <v>Current Employee Benefits</v>
      </c>
    </row>
    <row r="855" spans="1:8" x14ac:dyDescent="0.25">
      <c r="A855" t="s">
        <v>1912</v>
      </c>
      <c r="B855" t="s">
        <v>1462</v>
      </c>
      <c r="C855" s="67">
        <v>109976</v>
      </c>
      <c r="D855" s="67">
        <v>33531.130000000005</v>
      </c>
      <c r="E855" s="67">
        <v>33531.130000000005</v>
      </c>
      <c r="F855" s="67">
        <v>33531.130000000005</v>
      </c>
      <c r="G855" t="str">
        <f t="shared" si="26"/>
        <v>5010</v>
      </c>
      <c r="H855" t="str">
        <f t="shared" si="27"/>
        <v>Reserves</v>
      </c>
    </row>
    <row r="856" spans="1:8" x14ac:dyDescent="0.25">
      <c r="A856" t="s">
        <v>1913</v>
      </c>
      <c r="B856" t="s">
        <v>1464</v>
      </c>
      <c r="C856" s="67">
        <v>0</v>
      </c>
      <c r="D856" s="67">
        <v>0</v>
      </c>
      <c r="E856" s="67">
        <v>0</v>
      </c>
      <c r="F856" s="67">
        <v>0</v>
      </c>
      <c r="G856" t="str">
        <f t="shared" si="26"/>
        <v>5010</v>
      </c>
      <c r="H856" t="str">
        <f t="shared" si="27"/>
        <v>Reserves</v>
      </c>
    </row>
    <row r="857" spans="1:8" x14ac:dyDescent="0.25">
      <c r="A857" t="s">
        <v>857</v>
      </c>
      <c r="B857" t="s">
        <v>62</v>
      </c>
      <c r="C857" s="67">
        <v>-2112000</v>
      </c>
      <c r="D857" s="67">
        <v>-2112000</v>
      </c>
      <c r="E857" s="67">
        <v>-2226048</v>
      </c>
      <c r="F857" s="67">
        <v>-2346254.5920000002</v>
      </c>
      <c r="G857" t="str">
        <f t="shared" si="26"/>
        <v>5015</v>
      </c>
      <c r="H857" t="str">
        <f t="shared" si="27"/>
        <v>Interest received - external investment</v>
      </c>
    </row>
    <row r="858" spans="1:8" x14ac:dyDescent="0.25">
      <c r="A858" t="s">
        <v>858</v>
      </c>
      <c r="B858" t="s">
        <v>150</v>
      </c>
      <c r="C858" s="67">
        <v>1243618</v>
      </c>
      <c r="D858" s="67">
        <v>1243618</v>
      </c>
      <c r="E858" s="67">
        <v>1330671.4739999999</v>
      </c>
      <c r="F858" s="67">
        <v>1423818.4771799999</v>
      </c>
      <c r="G858" t="str">
        <f t="shared" si="26"/>
        <v>5015</v>
      </c>
      <c r="H858" t="str">
        <f t="shared" si="27"/>
        <v>Employee related costs</v>
      </c>
    </row>
    <row r="859" spans="1:8" x14ac:dyDescent="0.25">
      <c r="A859" t="s">
        <v>859</v>
      </c>
      <c r="B859" t="s">
        <v>150</v>
      </c>
      <c r="C859" s="67">
        <v>80600</v>
      </c>
      <c r="D859" s="67">
        <v>80600</v>
      </c>
      <c r="E859" s="67">
        <v>86242</v>
      </c>
      <c r="F859" s="67">
        <v>100000</v>
      </c>
      <c r="G859" t="str">
        <f t="shared" si="26"/>
        <v>5015</v>
      </c>
      <c r="H859" t="str">
        <f t="shared" si="27"/>
        <v>Employee related costs</v>
      </c>
    </row>
    <row r="860" spans="1:8" x14ac:dyDescent="0.25">
      <c r="A860" t="s">
        <v>860</v>
      </c>
      <c r="B860" t="s">
        <v>151</v>
      </c>
      <c r="C860" s="67">
        <v>58113</v>
      </c>
      <c r="D860" s="67">
        <v>25401.270000000004</v>
      </c>
      <c r="E860" s="67">
        <v>16868.480000000003</v>
      </c>
      <c r="F860" s="67">
        <v>19300.940000000002</v>
      </c>
      <c r="G860" t="str">
        <f t="shared" si="26"/>
        <v>5015</v>
      </c>
      <c r="H860" t="str">
        <f t="shared" si="27"/>
        <v>Employee related costs</v>
      </c>
    </row>
    <row r="861" spans="1:8" x14ac:dyDescent="0.25">
      <c r="A861" t="s">
        <v>861</v>
      </c>
      <c r="B861" t="s">
        <v>152</v>
      </c>
      <c r="C861" s="67">
        <v>38100</v>
      </c>
      <c r="D861" s="67">
        <v>38100</v>
      </c>
      <c r="E861" s="67">
        <v>110889.28950000001</v>
      </c>
      <c r="F861" s="67">
        <v>118651.53976500001</v>
      </c>
      <c r="G861" t="str">
        <f t="shared" si="26"/>
        <v>5015</v>
      </c>
      <c r="H861" t="str">
        <f t="shared" si="27"/>
        <v>Employee related costs</v>
      </c>
    </row>
    <row r="862" spans="1:8" x14ac:dyDescent="0.25">
      <c r="A862" t="s">
        <v>862</v>
      </c>
      <c r="B862" t="s">
        <v>153</v>
      </c>
      <c r="C862" s="67">
        <v>10893</v>
      </c>
      <c r="D862" s="67">
        <v>10893</v>
      </c>
      <c r="E862" s="67">
        <v>40767</v>
      </c>
      <c r="F862" s="67">
        <v>43620.69</v>
      </c>
      <c r="G862" t="str">
        <f t="shared" si="26"/>
        <v>5015</v>
      </c>
      <c r="H862" t="str">
        <f t="shared" si="27"/>
        <v>Employee related costs</v>
      </c>
    </row>
    <row r="863" spans="1:8" x14ac:dyDescent="0.25">
      <c r="A863" t="s">
        <v>863</v>
      </c>
      <c r="B863" t="s">
        <v>155</v>
      </c>
      <c r="C863" s="67">
        <v>41268</v>
      </c>
      <c r="D863" s="67">
        <v>41268</v>
      </c>
      <c r="E863" s="67">
        <v>11655.766799999999</v>
      </c>
      <c r="F863" s="67">
        <v>12471.670475999999</v>
      </c>
      <c r="G863" t="str">
        <f t="shared" si="26"/>
        <v>5015</v>
      </c>
      <c r="H863" t="str">
        <f t="shared" si="27"/>
        <v>Employee related costs</v>
      </c>
    </row>
    <row r="864" spans="1:8" x14ac:dyDescent="0.25">
      <c r="A864" t="s">
        <v>864</v>
      </c>
      <c r="B864" t="s">
        <v>156</v>
      </c>
      <c r="C864" s="67">
        <v>267347</v>
      </c>
      <c r="D864" s="67">
        <v>267347</v>
      </c>
      <c r="E864" s="67">
        <v>44156.964032876713</v>
      </c>
      <c r="F864" s="67">
        <v>47247.95151517808</v>
      </c>
      <c r="G864" t="str">
        <f t="shared" si="26"/>
        <v>5015</v>
      </c>
      <c r="H864" t="str">
        <f t="shared" si="27"/>
        <v>Employee related costs</v>
      </c>
    </row>
    <row r="865" spans="1:8" x14ac:dyDescent="0.25">
      <c r="A865" t="s">
        <v>865</v>
      </c>
      <c r="B865" t="s">
        <v>157</v>
      </c>
      <c r="C865" s="67">
        <v>20000</v>
      </c>
      <c r="D865" s="67">
        <v>20000</v>
      </c>
      <c r="E865" s="67">
        <v>286061.56552499998</v>
      </c>
      <c r="F865" s="67">
        <v>306085.87511174998</v>
      </c>
      <c r="G865" t="str">
        <f t="shared" si="26"/>
        <v>5015</v>
      </c>
      <c r="H865" t="str">
        <f t="shared" si="27"/>
        <v>Employee related costs</v>
      </c>
    </row>
    <row r="866" spans="1:8" x14ac:dyDescent="0.25">
      <c r="A866" t="s">
        <v>866</v>
      </c>
      <c r="B866" t="s">
        <v>158</v>
      </c>
      <c r="C866" s="67">
        <v>12841</v>
      </c>
      <c r="D866" s="67">
        <v>0</v>
      </c>
      <c r="E866" s="67">
        <v>21400</v>
      </c>
      <c r="F866" s="67">
        <v>22898</v>
      </c>
      <c r="G866" t="str">
        <f t="shared" si="26"/>
        <v>5015</v>
      </c>
      <c r="H866" t="str">
        <f t="shared" si="27"/>
        <v>Employee related costs</v>
      </c>
    </row>
    <row r="867" spans="1:8" x14ac:dyDescent="0.25">
      <c r="A867" t="s">
        <v>867</v>
      </c>
      <c r="B867" t="s">
        <v>159</v>
      </c>
      <c r="C867" s="67">
        <v>103635</v>
      </c>
      <c r="D867" s="92">
        <v>120000</v>
      </c>
      <c r="E867" s="67">
        <v>13739.780950320001</v>
      </c>
      <c r="F867" s="67">
        <v>14701.565616842401</v>
      </c>
      <c r="G867" t="str">
        <f t="shared" si="26"/>
        <v>5015</v>
      </c>
      <c r="H867" t="str">
        <f t="shared" si="27"/>
        <v>Employee related costs</v>
      </c>
    </row>
    <row r="868" spans="1:8" x14ac:dyDescent="0.25">
      <c r="A868" t="s">
        <v>868</v>
      </c>
      <c r="B868" t="s">
        <v>164</v>
      </c>
      <c r="C868" s="67">
        <v>15692</v>
      </c>
      <c r="D868" s="67">
        <v>15692</v>
      </c>
      <c r="E868" s="67">
        <v>16790.868000000002</v>
      </c>
      <c r="F868" s="67">
        <v>17966.228760000002</v>
      </c>
      <c r="G868" t="str">
        <f t="shared" si="26"/>
        <v>5015</v>
      </c>
      <c r="H868" t="str">
        <f t="shared" si="27"/>
        <v>Employee related costs</v>
      </c>
    </row>
    <row r="869" spans="1:8" x14ac:dyDescent="0.25">
      <c r="A869" t="s">
        <v>869</v>
      </c>
      <c r="B869" t="s">
        <v>167</v>
      </c>
      <c r="C869" s="67">
        <v>337</v>
      </c>
      <c r="D869" s="67">
        <v>337</v>
      </c>
      <c r="E869" s="67">
        <v>360.64349999999996</v>
      </c>
      <c r="F869" s="67">
        <v>385.88854499999997</v>
      </c>
      <c r="G869" t="str">
        <f t="shared" si="26"/>
        <v>5015</v>
      </c>
      <c r="H869" t="str">
        <f t="shared" si="27"/>
        <v>Employee related costs</v>
      </c>
    </row>
    <row r="870" spans="1:8" x14ac:dyDescent="0.25">
      <c r="A870" t="s">
        <v>870</v>
      </c>
      <c r="B870" t="s">
        <v>168</v>
      </c>
      <c r="C870" s="67">
        <v>161725</v>
      </c>
      <c r="D870" s="67">
        <v>121725</v>
      </c>
      <c r="E870" s="67">
        <v>173045.32200000001</v>
      </c>
      <c r="F870" s="67">
        <v>185158.49454000001</v>
      </c>
      <c r="G870" t="str">
        <f t="shared" si="26"/>
        <v>5015</v>
      </c>
      <c r="H870" t="str">
        <f t="shared" si="27"/>
        <v>Employee related costs</v>
      </c>
    </row>
    <row r="871" spans="1:8" x14ac:dyDescent="0.25">
      <c r="A871" t="s">
        <v>871</v>
      </c>
      <c r="B871" t="s">
        <v>169</v>
      </c>
      <c r="C871" s="67">
        <v>273596</v>
      </c>
      <c r="D871" s="67">
        <v>273596</v>
      </c>
      <c r="E871" s="67">
        <v>292747.72428000002</v>
      </c>
      <c r="F871" s="67">
        <v>313240.06497960002</v>
      </c>
      <c r="G871" t="str">
        <f t="shared" si="26"/>
        <v>5015</v>
      </c>
      <c r="H871" t="str">
        <f t="shared" si="27"/>
        <v>Employee related costs</v>
      </c>
    </row>
    <row r="872" spans="1:8" x14ac:dyDescent="0.25">
      <c r="A872" t="s">
        <v>872</v>
      </c>
      <c r="B872" t="s">
        <v>170</v>
      </c>
      <c r="C872" s="67">
        <v>5355</v>
      </c>
      <c r="D872" s="67">
        <v>5355</v>
      </c>
      <c r="E872" s="67">
        <v>5729.85</v>
      </c>
      <c r="F872" s="67">
        <v>6130.9395000000004</v>
      </c>
      <c r="G872" t="str">
        <f t="shared" si="26"/>
        <v>5015</v>
      </c>
      <c r="H872" t="str">
        <f t="shared" si="27"/>
        <v>Employee related costs</v>
      </c>
    </row>
    <row r="873" spans="1:8" x14ac:dyDescent="0.25">
      <c r="A873" t="s">
        <v>873</v>
      </c>
      <c r="B873" t="s">
        <v>173</v>
      </c>
      <c r="C873" s="67">
        <v>11813</v>
      </c>
      <c r="D873" s="67">
        <v>11813</v>
      </c>
      <c r="E873" s="67">
        <v>12521.3984</v>
      </c>
      <c r="F873" s="67">
        <v>13397.896288</v>
      </c>
      <c r="G873" t="str">
        <f t="shared" si="26"/>
        <v>5015</v>
      </c>
      <c r="H873" t="str">
        <f t="shared" si="27"/>
        <v>Employee related costs</v>
      </c>
    </row>
    <row r="874" spans="1:8" x14ac:dyDescent="0.25">
      <c r="A874" t="s">
        <v>874</v>
      </c>
      <c r="B874" t="s">
        <v>174</v>
      </c>
      <c r="C874" s="67">
        <v>13427</v>
      </c>
      <c r="D874" s="67">
        <v>13427</v>
      </c>
      <c r="E874" s="67">
        <v>14232.6412</v>
      </c>
      <c r="F874" s="67">
        <v>15228.926084000001</v>
      </c>
      <c r="G874" t="str">
        <f t="shared" si="26"/>
        <v>5015</v>
      </c>
      <c r="H874" t="str">
        <f t="shared" si="27"/>
        <v>Employee related costs</v>
      </c>
    </row>
    <row r="875" spans="1:8" x14ac:dyDescent="0.25">
      <c r="A875" t="s">
        <v>875</v>
      </c>
      <c r="B875" t="s">
        <v>175</v>
      </c>
      <c r="C875" s="67">
        <v>20916</v>
      </c>
      <c r="D875" s="67">
        <v>20916</v>
      </c>
      <c r="E875" s="67">
        <v>22170.875199999999</v>
      </c>
      <c r="F875" s="67">
        <v>23722.836464</v>
      </c>
      <c r="G875" t="str">
        <f t="shared" si="26"/>
        <v>5015</v>
      </c>
      <c r="H875" t="str">
        <f t="shared" si="27"/>
        <v>Employee related costs</v>
      </c>
    </row>
    <row r="876" spans="1:8" x14ac:dyDescent="0.25">
      <c r="A876" t="s">
        <v>876</v>
      </c>
      <c r="B876" t="s">
        <v>265</v>
      </c>
      <c r="C876" s="67">
        <v>0</v>
      </c>
      <c r="D876" s="67">
        <v>20000</v>
      </c>
      <c r="E876" s="67">
        <v>0</v>
      </c>
      <c r="F876" s="67">
        <v>0</v>
      </c>
      <c r="G876" t="str">
        <f t="shared" si="26"/>
        <v>5015</v>
      </c>
      <c r="H876" t="str">
        <f t="shared" si="27"/>
        <v>General expenses</v>
      </c>
    </row>
    <row r="877" spans="1:8" x14ac:dyDescent="0.25">
      <c r="A877" t="s">
        <v>877</v>
      </c>
      <c r="B877" t="s">
        <v>268</v>
      </c>
      <c r="C877" s="67">
        <v>0</v>
      </c>
      <c r="D877" s="67">
        <v>50000</v>
      </c>
      <c r="E877" s="67">
        <v>0</v>
      </c>
      <c r="F877" s="67">
        <v>0</v>
      </c>
      <c r="G877" t="str">
        <f t="shared" si="26"/>
        <v>5015</v>
      </c>
      <c r="H877" t="str">
        <f t="shared" si="27"/>
        <v>General expenses</v>
      </c>
    </row>
    <row r="878" spans="1:8" x14ac:dyDescent="0.25">
      <c r="A878" t="s">
        <v>878</v>
      </c>
      <c r="B878" t="s">
        <v>283</v>
      </c>
      <c r="C878" s="67">
        <v>0</v>
      </c>
      <c r="D878" s="67">
        <v>0</v>
      </c>
      <c r="E878" s="67">
        <v>0</v>
      </c>
      <c r="F878" s="67">
        <v>0</v>
      </c>
      <c r="G878" t="str">
        <f t="shared" si="26"/>
        <v>5015</v>
      </c>
      <c r="H878" t="str">
        <f t="shared" si="27"/>
        <v>Finance costs</v>
      </c>
    </row>
    <row r="879" spans="1:8" x14ac:dyDescent="0.25">
      <c r="A879" t="s">
        <v>879</v>
      </c>
      <c r="B879" t="s">
        <v>291</v>
      </c>
      <c r="C879" s="67">
        <v>0</v>
      </c>
      <c r="D879" s="67">
        <v>0</v>
      </c>
      <c r="E879" s="67">
        <v>0</v>
      </c>
      <c r="F879" s="67">
        <v>0</v>
      </c>
      <c r="G879" t="str">
        <f t="shared" si="26"/>
        <v>5015</v>
      </c>
      <c r="H879" t="str">
        <f t="shared" si="27"/>
        <v>Depreciation and amortisation</v>
      </c>
    </row>
    <row r="880" spans="1:8" x14ac:dyDescent="0.25">
      <c r="A880" t="s">
        <v>880</v>
      </c>
      <c r="B880" t="s">
        <v>292</v>
      </c>
      <c r="C880" s="67">
        <v>3371</v>
      </c>
      <c r="D880" s="67">
        <v>3371</v>
      </c>
      <c r="E880" s="67">
        <v>3876.65</v>
      </c>
      <c r="F880" s="67">
        <v>4458.1475</v>
      </c>
      <c r="G880" t="str">
        <f t="shared" si="26"/>
        <v>5015</v>
      </c>
      <c r="H880" t="str">
        <f t="shared" si="27"/>
        <v>Depreciation and amortisation</v>
      </c>
    </row>
    <row r="881" spans="1:8" x14ac:dyDescent="0.25">
      <c r="A881" t="s">
        <v>881</v>
      </c>
      <c r="B881" t="s">
        <v>293</v>
      </c>
      <c r="C881" s="67">
        <v>268</v>
      </c>
      <c r="D881" s="67">
        <v>268</v>
      </c>
      <c r="E881" s="67">
        <v>308.2</v>
      </c>
      <c r="F881" s="67">
        <v>354.43</v>
      </c>
      <c r="G881" t="str">
        <f t="shared" si="26"/>
        <v>5015</v>
      </c>
      <c r="H881" t="str">
        <f t="shared" si="27"/>
        <v>Depreciation and amortisation</v>
      </c>
    </row>
    <row r="882" spans="1:8" x14ac:dyDescent="0.25">
      <c r="A882" t="s">
        <v>1914</v>
      </c>
      <c r="B882" t="s">
        <v>1404</v>
      </c>
      <c r="C882" s="67">
        <v>-270915</v>
      </c>
      <c r="D882" s="67">
        <v>-288074</v>
      </c>
      <c r="E882" s="67">
        <v>-323500.9233881968</v>
      </c>
      <c r="F882" s="67">
        <v>-389818.60402537038</v>
      </c>
      <c r="G882" t="str">
        <f t="shared" si="26"/>
        <v>5015</v>
      </c>
      <c r="H882" t="str">
        <f t="shared" si="27"/>
        <v>Accumulated surplus</v>
      </c>
    </row>
    <row r="883" spans="1:8" x14ac:dyDescent="0.25">
      <c r="A883" t="s">
        <v>1915</v>
      </c>
      <c r="B883" t="s">
        <v>1406</v>
      </c>
      <c r="C883" s="67">
        <v>3173503</v>
      </c>
      <c r="D883" s="67">
        <v>1835897.11</v>
      </c>
      <c r="E883" s="67">
        <v>1835897.11</v>
      </c>
      <c r="F883" s="67">
        <v>1835897.11</v>
      </c>
      <c r="G883" t="str">
        <f t="shared" si="26"/>
        <v>5015</v>
      </c>
      <c r="H883" t="str">
        <f t="shared" si="27"/>
        <v>Non-Current Assets (Cost)</v>
      </c>
    </row>
    <row r="884" spans="1:8" x14ac:dyDescent="0.25">
      <c r="A884" t="s">
        <v>882</v>
      </c>
      <c r="B884" t="s">
        <v>883</v>
      </c>
      <c r="C884" s="67">
        <v>350000</v>
      </c>
      <c r="D884" s="67">
        <v>0</v>
      </c>
      <c r="E884" s="67">
        <v>0</v>
      </c>
      <c r="F884" s="67">
        <v>0</v>
      </c>
      <c r="G884" t="str">
        <f t="shared" si="26"/>
        <v>5015</v>
      </c>
      <c r="H884" t="str">
        <f t="shared" si="27"/>
        <v>Non-Current Assets (Acquisitions)</v>
      </c>
    </row>
    <row r="885" spans="1:8" x14ac:dyDescent="0.25">
      <c r="A885" t="s">
        <v>1916</v>
      </c>
      <c r="B885" t="s">
        <v>1408</v>
      </c>
      <c r="C885" s="67">
        <v>0</v>
      </c>
      <c r="D885" s="67">
        <v>-1165450.96</v>
      </c>
      <c r="E885" s="67">
        <v>-1165450.96</v>
      </c>
      <c r="F885" s="67">
        <v>-1165450.96</v>
      </c>
      <c r="G885" t="str">
        <f t="shared" si="26"/>
        <v>5015</v>
      </c>
      <c r="H885" t="str">
        <f t="shared" si="27"/>
        <v>Non-Current Assets (Acc Depreciation)</v>
      </c>
    </row>
    <row r="886" spans="1:8" x14ac:dyDescent="0.25">
      <c r="A886" t="s">
        <v>1917</v>
      </c>
      <c r="B886" t="s">
        <v>1410</v>
      </c>
      <c r="C886" s="67">
        <v>0</v>
      </c>
      <c r="D886" s="67">
        <v>0</v>
      </c>
      <c r="E886" s="67">
        <v>0</v>
      </c>
      <c r="F886" s="67">
        <v>0</v>
      </c>
      <c r="G886" t="str">
        <f t="shared" si="26"/>
        <v>5015</v>
      </c>
      <c r="H886" t="str">
        <f t="shared" si="27"/>
        <v>Non-Current Assets (Acc Depreciation)</v>
      </c>
    </row>
    <row r="887" spans="1:8" x14ac:dyDescent="0.25">
      <c r="A887" t="s">
        <v>1918</v>
      </c>
      <c r="B887" t="s">
        <v>1428</v>
      </c>
      <c r="C887" s="67">
        <v>61702</v>
      </c>
      <c r="D887" s="67">
        <v>50553.72</v>
      </c>
      <c r="E887" s="67">
        <v>50553.72</v>
      </c>
      <c r="F887" s="67">
        <v>50553.72</v>
      </c>
      <c r="G887" t="str">
        <f t="shared" si="26"/>
        <v>5015</v>
      </c>
      <c r="H887" t="str">
        <f t="shared" si="27"/>
        <v>Non-Current Assets (Cost)</v>
      </c>
    </row>
    <row r="888" spans="1:8" x14ac:dyDescent="0.25">
      <c r="A888" t="s">
        <v>1919</v>
      </c>
      <c r="B888" t="s">
        <v>1430</v>
      </c>
      <c r="C888" s="67">
        <v>-28309</v>
      </c>
      <c r="D888" s="67">
        <v>-27826.85</v>
      </c>
      <c r="E888" s="67">
        <v>-28094.85</v>
      </c>
      <c r="F888" s="67">
        <v>-28403.05</v>
      </c>
      <c r="G888" t="str">
        <f t="shared" si="26"/>
        <v>5015</v>
      </c>
      <c r="H888" t="str">
        <f t="shared" si="27"/>
        <v>Non-Current Assets (Acc Depreciation)</v>
      </c>
    </row>
    <row r="889" spans="1:8" x14ac:dyDescent="0.25">
      <c r="A889" t="s">
        <v>1920</v>
      </c>
      <c r="B889" t="s">
        <v>1432</v>
      </c>
      <c r="C889" s="67">
        <v>-270</v>
      </c>
      <c r="D889" s="67">
        <v>-268</v>
      </c>
      <c r="E889" s="67">
        <v>-308.2</v>
      </c>
      <c r="F889" s="67">
        <v>-354.43</v>
      </c>
      <c r="G889" t="str">
        <f t="shared" si="26"/>
        <v>5015</v>
      </c>
      <c r="H889" t="str">
        <f t="shared" si="27"/>
        <v>Non-Current Assets (Depreciation)</v>
      </c>
    </row>
    <row r="890" spans="1:8" x14ac:dyDescent="0.25">
      <c r="A890" t="s">
        <v>1921</v>
      </c>
      <c r="B890" t="s">
        <v>1434</v>
      </c>
      <c r="C890" s="67">
        <v>32595</v>
      </c>
      <c r="D890" s="67">
        <v>32595.7</v>
      </c>
      <c r="E890" s="67">
        <v>32595.7</v>
      </c>
      <c r="F890" s="67">
        <v>32595.7</v>
      </c>
      <c r="G890" t="str">
        <f t="shared" si="26"/>
        <v>5015</v>
      </c>
      <c r="H890" t="str">
        <f t="shared" si="27"/>
        <v>Non-Current Assets (Cost)</v>
      </c>
    </row>
    <row r="891" spans="1:8" x14ac:dyDescent="0.25">
      <c r="A891" t="s">
        <v>1922</v>
      </c>
      <c r="B891" t="s">
        <v>1436</v>
      </c>
      <c r="C891" s="67">
        <v>-23193</v>
      </c>
      <c r="D891" s="67">
        <v>-21860.26</v>
      </c>
      <c r="E891" s="67">
        <v>-25231.26</v>
      </c>
      <c r="F891" s="67">
        <v>-29107.91</v>
      </c>
      <c r="G891" t="str">
        <f t="shared" si="26"/>
        <v>5015</v>
      </c>
      <c r="H891" t="str">
        <f t="shared" si="27"/>
        <v>Non-Current Assets (Acc Depreciation)</v>
      </c>
    </row>
    <row r="892" spans="1:8" x14ac:dyDescent="0.25">
      <c r="A892" t="s">
        <v>1923</v>
      </c>
      <c r="B892" t="s">
        <v>1438</v>
      </c>
      <c r="C892" s="67">
        <v>-3180</v>
      </c>
      <c r="D892" s="67">
        <v>-3371</v>
      </c>
      <c r="E892" s="67">
        <v>-3876.65</v>
      </c>
      <c r="F892" s="67">
        <v>-4458.1475</v>
      </c>
      <c r="G892" t="str">
        <f t="shared" si="26"/>
        <v>5015</v>
      </c>
      <c r="H892" t="str">
        <f t="shared" si="27"/>
        <v>Non-Current Assets (Depreciation)</v>
      </c>
    </row>
    <row r="893" spans="1:8" x14ac:dyDescent="0.25">
      <c r="A893" t="s">
        <v>1924</v>
      </c>
      <c r="B893" t="s">
        <v>1460</v>
      </c>
      <c r="C893" s="67">
        <v>-130014</v>
      </c>
      <c r="D893" s="67">
        <v>-130014</v>
      </c>
      <c r="E893" s="67">
        <v>-143015.4</v>
      </c>
      <c r="F893" s="67">
        <v>-157316.94</v>
      </c>
      <c r="G893" t="str">
        <f t="shared" si="26"/>
        <v>5015</v>
      </c>
      <c r="H893" t="str">
        <f t="shared" si="27"/>
        <v>Current Employee Benefits</v>
      </c>
    </row>
    <row r="894" spans="1:8" x14ac:dyDescent="0.25">
      <c r="A894" t="s">
        <v>1925</v>
      </c>
      <c r="B894" t="s">
        <v>1462</v>
      </c>
      <c r="C894" s="67">
        <v>83722</v>
      </c>
      <c r="D894" s="67">
        <v>2461246.62</v>
      </c>
      <c r="E894" s="67">
        <v>2749320.62</v>
      </c>
      <c r="F894" s="67">
        <v>3072821.5433881967</v>
      </c>
      <c r="G894" t="str">
        <f t="shared" si="26"/>
        <v>5015</v>
      </c>
      <c r="H894" t="str">
        <f t="shared" si="27"/>
        <v>Reserves</v>
      </c>
    </row>
    <row r="895" spans="1:8" x14ac:dyDescent="0.25">
      <c r="A895" t="s">
        <v>1926</v>
      </c>
      <c r="B895" t="s">
        <v>1464</v>
      </c>
      <c r="C895" s="67">
        <v>270915</v>
      </c>
      <c r="D895" s="67">
        <v>288074</v>
      </c>
      <c r="E895" s="67">
        <v>323500.9233881968</v>
      </c>
      <c r="F895" s="67">
        <v>389818.60402537038</v>
      </c>
      <c r="G895" t="str">
        <f t="shared" si="26"/>
        <v>5015</v>
      </c>
      <c r="H895" t="str">
        <f t="shared" si="27"/>
        <v>Reserves</v>
      </c>
    </row>
    <row r="896" spans="1:8" x14ac:dyDescent="0.25">
      <c r="A896" t="s">
        <v>885</v>
      </c>
      <c r="B896" t="s">
        <v>58</v>
      </c>
      <c r="C896" s="67">
        <v>-18666</v>
      </c>
      <c r="D896" s="67">
        <v>-28405.4</v>
      </c>
      <c r="E896" s="67">
        <v>-19673.812224000001</v>
      </c>
      <c r="F896" s="67">
        <v>-20736.198084096002</v>
      </c>
      <c r="G896" t="str">
        <f t="shared" si="26"/>
        <v>5020</v>
      </c>
      <c r="H896" t="str">
        <f t="shared" si="27"/>
        <v>Interest received - debtors</v>
      </c>
    </row>
    <row r="897" spans="1:8" x14ac:dyDescent="0.25">
      <c r="A897" t="s">
        <v>886</v>
      </c>
      <c r="B897" t="s">
        <v>74</v>
      </c>
      <c r="C897" s="67">
        <v>-18426329</v>
      </c>
      <c r="D897" s="67">
        <f>-18885329.64-1000000-369806</f>
        <v>-20255135.640000001</v>
      </c>
      <c r="E897" s="67">
        <f>-14284537.1398855-2000000+343650</f>
        <v>-15940887.1398855</v>
      </c>
      <c r="F897" s="67">
        <f>-21816331.1141838-1550000+367799</f>
        <v>-22998532.114183798</v>
      </c>
      <c r="G897" t="str">
        <f t="shared" si="26"/>
        <v>5020</v>
      </c>
      <c r="H897" t="str">
        <f t="shared" si="27"/>
        <v>Other income</v>
      </c>
    </row>
    <row r="898" spans="1:8" x14ac:dyDescent="0.25">
      <c r="A898" t="s">
        <v>887</v>
      </c>
      <c r="B898" t="s">
        <v>150</v>
      </c>
      <c r="C898" s="67">
        <v>2395771</v>
      </c>
      <c r="D898" s="67">
        <v>2395771</v>
      </c>
      <c r="E898" s="67">
        <v>2563474.6935120001</v>
      </c>
      <c r="F898" s="67">
        <v>2742917.92205784</v>
      </c>
      <c r="G898" t="str">
        <f t="shared" ref="G898:G961" si="28">VLOOKUP(A898,s,2,FALSE)</f>
        <v>5020</v>
      </c>
      <c r="H898" t="str">
        <f t="shared" ref="H898:H961" si="29">VLOOKUP(A898,s,3,FALSE)</f>
        <v>Employee related costs</v>
      </c>
    </row>
    <row r="899" spans="1:8" x14ac:dyDescent="0.25">
      <c r="A899" t="s">
        <v>888</v>
      </c>
      <c r="B899" t="s">
        <v>150</v>
      </c>
      <c r="C899" s="67">
        <v>80600</v>
      </c>
      <c r="D899" s="67">
        <v>80600</v>
      </c>
      <c r="E899" s="67">
        <v>86242</v>
      </c>
      <c r="F899" s="67">
        <v>100000</v>
      </c>
      <c r="G899" t="str">
        <f t="shared" si="28"/>
        <v>5020</v>
      </c>
      <c r="H899" t="str">
        <f t="shared" si="29"/>
        <v>Employee related costs</v>
      </c>
    </row>
    <row r="900" spans="1:8" x14ac:dyDescent="0.25">
      <c r="A900" t="s">
        <v>889</v>
      </c>
      <c r="B900" t="s">
        <v>151</v>
      </c>
      <c r="C900" s="67">
        <v>119789</v>
      </c>
      <c r="D900" s="67">
        <v>67736.719999999987</v>
      </c>
      <c r="E900" s="67">
        <v>59203.929999999986</v>
      </c>
      <c r="F900" s="67">
        <v>61636.389999999985</v>
      </c>
      <c r="G900" t="str">
        <f t="shared" si="28"/>
        <v>5020</v>
      </c>
      <c r="H900" t="str">
        <f t="shared" si="29"/>
        <v>Employee related costs</v>
      </c>
    </row>
    <row r="901" spans="1:8" x14ac:dyDescent="0.25">
      <c r="A901" t="s">
        <v>890</v>
      </c>
      <c r="B901" t="s">
        <v>152</v>
      </c>
      <c r="C901" s="67">
        <v>38100</v>
      </c>
      <c r="D901" s="67">
        <v>38100</v>
      </c>
      <c r="E901" s="67">
        <v>213622.89112599997</v>
      </c>
      <c r="F901" s="67">
        <v>228576.49350481998</v>
      </c>
      <c r="G901" t="str">
        <f t="shared" si="28"/>
        <v>5020</v>
      </c>
      <c r="H901" t="str">
        <f t="shared" si="29"/>
        <v>Employee related costs</v>
      </c>
    </row>
    <row r="902" spans="1:8" x14ac:dyDescent="0.25">
      <c r="A902" t="s">
        <v>891</v>
      </c>
      <c r="B902" t="s">
        <v>153</v>
      </c>
      <c r="C902" s="67">
        <v>10893</v>
      </c>
      <c r="D902" s="67">
        <v>10893</v>
      </c>
      <c r="E902" s="67">
        <v>40767</v>
      </c>
      <c r="F902" s="67">
        <v>43620.69</v>
      </c>
      <c r="G902" t="str">
        <f t="shared" si="28"/>
        <v>5020</v>
      </c>
      <c r="H902" t="str">
        <f t="shared" si="29"/>
        <v>Employee related costs</v>
      </c>
    </row>
    <row r="903" spans="1:8" x14ac:dyDescent="0.25">
      <c r="A903" t="s">
        <v>892</v>
      </c>
      <c r="B903" t="s">
        <v>155</v>
      </c>
      <c r="C903" s="67">
        <v>83636</v>
      </c>
      <c r="D903" s="67">
        <v>83636</v>
      </c>
      <c r="E903" s="67">
        <v>11655.766799999999</v>
      </c>
      <c r="F903" s="67">
        <v>12471.670475999999</v>
      </c>
      <c r="G903" t="str">
        <f t="shared" si="28"/>
        <v>5020</v>
      </c>
      <c r="H903" t="str">
        <f t="shared" si="29"/>
        <v>Employee related costs</v>
      </c>
    </row>
    <row r="904" spans="1:8" x14ac:dyDescent="0.25">
      <c r="A904" t="s">
        <v>893</v>
      </c>
      <c r="B904" t="s">
        <v>156</v>
      </c>
      <c r="C904" s="67">
        <v>277507</v>
      </c>
      <c r="D904" s="67">
        <v>277507</v>
      </c>
      <c r="E904" s="67">
        <v>89490.318781369846</v>
      </c>
      <c r="F904" s="67">
        <v>95754.641096065738</v>
      </c>
      <c r="G904" t="str">
        <f t="shared" si="28"/>
        <v>5020</v>
      </c>
      <c r="H904" t="str">
        <f t="shared" si="29"/>
        <v>Employee related costs</v>
      </c>
    </row>
    <row r="905" spans="1:8" x14ac:dyDescent="0.25">
      <c r="A905" t="s">
        <v>894</v>
      </c>
      <c r="B905" t="s">
        <v>157</v>
      </c>
      <c r="C905" s="67">
        <v>59936</v>
      </c>
      <c r="D905" s="67">
        <v>59936</v>
      </c>
      <c r="E905" s="67">
        <v>296932.18494300003</v>
      </c>
      <c r="F905" s="67">
        <v>317717.43788901001</v>
      </c>
      <c r="G905" t="str">
        <f t="shared" si="28"/>
        <v>5020</v>
      </c>
      <c r="H905" t="str">
        <f t="shared" si="29"/>
        <v>Employee related costs</v>
      </c>
    </row>
    <row r="906" spans="1:8" x14ac:dyDescent="0.25">
      <c r="A906" t="s">
        <v>895</v>
      </c>
      <c r="B906" t="s">
        <v>158</v>
      </c>
      <c r="C906" s="67">
        <v>12540</v>
      </c>
      <c r="D906" s="67">
        <v>12540</v>
      </c>
      <c r="E906" s="67">
        <v>64131.905628</v>
      </c>
      <c r="F906" s="67">
        <v>68621.13902196</v>
      </c>
      <c r="G906" t="str">
        <f t="shared" si="28"/>
        <v>5020</v>
      </c>
      <c r="H906" t="str">
        <f t="shared" si="29"/>
        <v>Employee related costs</v>
      </c>
    </row>
    <row r="907" spans="1:8" x14ac:dyDescent="0.25">
      <c r="A907" t="s">
        <v>896</v>
      </c>
      <c r="B907" t="s">
        <v>159</v>
      </c>
      <c r="C907" s="67">
        <v>199648</v>
      </c>
      <c r="D907" s="67">
        <v>199648</v>
      </c>
      <c r="E907" s="67">
        <v>13417.792938000001</v>
      </c>
      <c r="F907" s="67">
        <v>14357.03844366</v>
      </c>
      <c r="G907" t="str">
        <f t="shared" si="28"/>
        <v>5020</v>
      </c>
      <c r="H907" t="str">
        <f t="shared" si="29"/>
        <v>Employee related costs</v>
      </c>
    </row>
    <row r="908" spans="1:8" x14ac:dyDescent="0.25">
      <c r="A908" t="s">
        <v>897</v>
      </c>
      <c r="B908" t="s">
        <v>161</v>
      </c>
      <c r="C908" s="67">
        <v>21018</v>
      </c>
      <c r="D908" s="67">
        <v>21018</v>
      </c>
      <c r="E908" s="67">
        <v>22488.984475000001</v>
      </c>
      <c r="F908" s="67">
        <v>24063.213388250002</v>
      </c>
      <c r="G908" t="str">
        <f t="shared" si="28"/>
        <v>5020</v>
      </c>
      <c r="H908" t="str">
        <f t="shared" si="29"/>
        <v>Employee related costs</v>
      </c>
    </row>
    <row r="909" spans="1:8" x14ac:dyDescent="0.25">
      <c r="A909" t="s">
        <v>898</v>
      </c>
      <c r="B909" t="s">
        <v>164</v>
      </c>
      <c r="C909" s="67">
        <v>15692</v>
      </c>
      <c r="D909" s="67">
        <v>15692</v>
      </c>
      <c r="E909" s="67">
        <v>16790.868000000002</v>
      </c>
      <c r="F909" s="67">
        <v>17966.228760000002</v>
      </c>
      <c r="G909" t="str">
        <f t="shared" si="28"/>
        <v>5020</v>
      </c>
      <c r="H909" t="str">
        <f t="shared" si="29"/>
        <v>Employee related costs</v>
      </c>
    </row>
    <row r="910" spans="1:8" x14ac:dyDescent="0.25">
      <c r="A910" t="s">
        <v>899</v>
      </c>
      <c r="B910" t="s">
        <v>167</v>
      </c>
      <c r="C910" s="67">
        <v>1011</v>
      </c>
      <c r="D910" s="67">
        <v>1011</v>
      </c>
      <c r="E910" s="67">
        <v>1081.556</v>
      </c>
      <c r="F910" s="67">
        <v>1157.2649200000001</v>
      </c>
      <c r="G910" t="str">
        <f t="shared" si="28"/>
        <v>5020</v>
      </c>
      <c r="H910" t="str">
        <f t="shared" si="29"/>
        <v>Employee related costs</v>
      </c>
    </row>
    <row r="911" spans="1:8" x14ac:dyDescent="0.25">
      <c r="A911" t="s">
        <v>900</v>
      </c>
      <c r="B911" t="s">
        <v>168</v>
      </c>
      <c r="C911" s="67">
        <v>431265</v>
      </c>
      <c r="D911" s="67">
        <v>231265</v>
      </c>
      <c r="E911" s="67">
        <v>461453.978</v>
      </c>
      <c r="F911" s="67">
        <v>493755.75646</v>
      </c>
      <c r="G911" t="str">
        <f t="shared" si="28"/>
        <v>5020</v>
      </c>
      <c r="H911" t="str">
        <f t="shared" si="29"/>
        <v>Employee related costs</v>
      </c>
    </row>
    <row r="912" spans="1:8" x14ac:dyDescent="0.25">
      <c r="A912" t="s">
        <v>901</v>
      </c>
      <c r="B912" t="s">
        <v>169</v>
      </c>
      <c r="C912" s="67">
        <v>527070</v>
      </c>
      <c r="D912" s="67">
        <v>527070</v>
      </c>
      <c r="E912" s="67">
        <v>563964.43257264001</v>
      </c>
      <c r="F912" s="67">
        <v>603441.94285272481</v>
      </c>
      <c r="G912" t="str">
        <f t="shared" si="28"/>
        <v>5020</v>
      </c>
      <c r="H912" t="str">
        <f t="shared" si="29"/>
        <v>Employee related costs</v>
      </c>
    </row>
    <row r="913" spans="1:8" x14ac:dyDescent="0.25">
      <c r="A913" t="s">
        <v>902</v>
      </c>
      <c r="B913" t="s">
        <v>170</v>
      </c>
      <c r="C913" s="67">
        <v>14280</v>
      </c>
      <c r="D913" s="67">
        <v>14280</v>
      </c>
      <c r="E913" s="67">
        <v>15279.6</v>
      </c>
      <c r="F913" s="67">
        <v>16349.172</v>
      </c>
      <c r="G913" t="str">
        <f t="shared" si="28"/>
        <v>5020</v>
      </c>
      <c r="H913" t="str">
        <f t="shared" si="29"/>
        <v>Employee related costs</v>
      </c>
    </row>
    <row r="914" spans="1:8" x14ac:dyDescent="0.25">
      <c r="A914" t="s">
        <v>903</v>
      </c>
      <c r="B914" t="s">
        <v>170</v>
      </c>
      <c r="C914" s="67">
        <v>0</v>
      </c>
      <c r="D914" s="67">
        <v>0</v>
      </c>
      <c r="E914" s="67">
        <v>0</v>
      </c>
      <c r="F914" s="67">
        <v>0</v>
      </c>
      <c r="G914" t="str">
        <f t="shared" si="28"/>
        <v>5020</v>
      </c>
      <c r="H914" t="str">
        <f t="shared" si="29"/>
        <v>Employee related costs</v>
      </c>
    </row>
    <row r="915" spans="1:8" x14ac:dyDescent="0.25">
      <c r="A915" t="s">
        <v>904</v>
      </c>
      <c r="B915" t="s">
        <v>173</v>
      </c>
      <c r="C915" s="67">
        <v>41616</v>
      </c>
      <c r="D915" s="67">
        <v>41616</v>
      </c>
      <c r="E915" s="67">
        <v>44112.536</v>
      </c>
      <c r="F915" s="67">
        <v>47200.413520000002</v>
      </c>
      <c r="G915" t="str">
        <f t="shared" si="28"/>
        <v>5020</v>
      </c>
      <c r="H915" t="str">
        <f t="shared" si="29"/>
        <v>Employee related costs</v>
      </c>
    </row>
    <row r="916" spans="1:8" x14ac:dyDescent="0.25">
      <c r="A916" t="s">
        <v>905</v>
      </c>
      <c r="B916" t="s">
        <v>174</v>
      </c>
      <c r="C916" s="67">
        <v>54019</v>
      </c>
      <c r="D916" s="67">
        <v>54019</v>
      </c>
      <c r="E916" s="67">
        <v>57259.779600000002</v>
      </c>
      <c r="F916" s="67">
        <v>61267.964172</v>
      </c>
      <c r="G916" t="str">
        <f t="shared" si="28"/>
        <v>5020</v>
      </c>
      <c r="H916" t="str">
        <f t="shared" si="29"/>
        <v>Employee related costs</v>
      </c>
    </row>
    <row r="917" spans="1:8" x14ac:dyDescent="0.25">
      <c r="A917" t="s">
        <v>906</v>
      </c>
      <c r="B917" t="s">
        <v>175</v>
      </c>
      <c r="C917" s="67">
        <v>39314</v>
      </c>
      <c r="D917" s="67">
        <v>39314</v>
      </c>
      <c r="E917" s="67">
        <v>41673.200399999994</v>
      </c>
      <c r="F917" s="67">
        <v>44590.324427999993</v>
      </c>
      <c r="G917" t="str">
        <f t="shared" si="28"/>
        <v>5020</v>
      </c>
      <c r="H917" t="str">
        <f t="shared" si="29"/>
        <v>Employee related costs</v>
      </c>
    </row>
    <row r="918" spans="1:8" x14ac:dyDescent="0.25">
      <c r="A918" t="s">
        <v>907</v>
      </c>
      <c r="B918" t="s">
        <v>212</v>
      </c>
      <c r="C918" s="67">
        <v>205000</v>
      </c>
      <c r="D918" s="67">
        <v>405000</v>
      </c>
      <c r="E918" s="67">
        <v>205000</v>
      </c>
      <c r="F918" s="67">
        <v>205000</v>
      </c>
      <c r="G918" t="str">
        <f t="shared" si="28"/>
        <v>5020</v>
      </c>
      <c r="H918" t="str">
        <f t="shared" si="29"/>
        <v>Contracted services</v>
      </c>
    </row>
    <row r="919" spans="1:8" x14ac:dyDescent="0.25">
      <c r="A919" t="s">
        <v>908</v>
      </c>
      <c r="B919" t="s">
        <v>213</v>
      </c>
      <c r="C919" s="67">
        <v>300000</v>
      </c>
      <c r="D919" s="67">
        <v>468000</v>
      </c>
      <c r="E919" s="67">
        <v>300000</v>
      </c>
      <c r="F919" s="67">
        <v>300000</v>
      </c>
      <c r="G919" t="str">
        <f t="shared" si="28"/>
        <v>5020</v>
      </c>
      <c r="H919" t="str">
        <f t="shared" si="29"/>
        <v>Contracted services</v>
      </c>
    </row>
    <row r="920" spans="1:8" x14ac:dyDescent="0.25">
      <c r="A920" t="s">
        <v>909</v>
      </c>
      <c r="B920" t="s">
        <v>216</v>
      </c>
      <c r="C920" s="67">
        <v>162340</v>
      </c>
      <c r="D920" s="67">
        <v>162340</v>
      </c>
      <c r="E920" s="67">
        <v>172080.46359999999</v>
      </c>
      <c r="F920" s="67">
        <v>181372.80863439999</v>
      </c>
      <c r="G920" t="str">
        <f t="shared" si="28"/>
        <v>5020</v>
      </c>
      <c r="H920" t="str">
        <f t="shared" si="29"/>
        <v>Contracted services</v>
      </c>
    </row>
    <row r="921" spans="1:8" x14ac:dyDescent="0.25">
      <c r="A921" t="s">
        <v>910</v>
      </c>
      <c r="B921" t="s">
        <v>219</v>
      </c>
      <c r="C921" s="67">
        <v>700000</v>
      </c>
      <c r="D921" s="67">
        <v>648000</v>
      </c>
      <c r="E921" s="67">
        <v>0</v>
      </c>
      <c r="F921" s="67">
        <v>0</v>
      </c>
      <c r="G921" t="str">
        <f t="shared" si="28"/>
        <v>5020</v>
      </c>
      <c r="H921" t="str">
        <f t="shared" si="29"/>
        <v>Contracted services</v>
      </c>
    </row>
    <row r="922" spans="1:8" x14ac:dyDescent="0.25">
      <c r="A922" t="s">
        <v>911</v>
      </c>
      <c r="B922" t="s">
        <v>248</v>
      </c>
      <c r="C922" s="67">
        <v>1176923</v>
      </c>
      <c r="D922" s="67">
        <v>1776923</v>
      </c>
      <c r="E922" s="67">
        <v>1247538.6980000001</v>
      </c>
      <c r="F922" s="67">
        <v>1314905.7876920002</v>
      </c>
      <c r="G922" t="str">
        <f t="shared" si="28"/>
        <v>5020</v>
      </c>
      <c r="H922" t="str">
        <f t="shared" si="29"/>
        <v>General expenses</v>
      </c>
    </row>
    <row r="923" spans="1:8" x14ac:dyDescent="0.25">
      <c r="A923" t="s">
        <v>912</v>
      </c>
      <c r="B923" t="s">
        <v>265</v>
      </c>
      <c r="C923" s="67">
        <v>0</v>
      </c>
      <c r="D923" s="67">
        <v>40000</v>
      </c>
      <c r="E923" s="67">
        <v>0</v>
      </c>
      <c r="F923" s="67">
        <v>0</v>
      </c>
      <c r="G923" t="str">
        <f t="shared" si="28"/>
        <v>5020</v>
      </c>
      <c r="H923" t="str">
        <f t="shared" si="29"/>
        <v>General expenses</v>
      </c>
    </row>
    <row r="924" spans="1:8" x14ac:dyDescent="0.25">
      <c r="A924" t="s">
        <v>913</v>
      </c>
      <c r="B924" t="s">
        <v>265</v>
      </c>
      <c r="C924" s="67">
        <v>0</v>
      </c>
      <c r="D924" s="67">
        <v>800</v>
      </c>
      <c r="E924" s="67">
        <v>0</v>
      </c>
      <c r="F924" s="67">
        <v>0</v>
      </c>
      <c r="G924" t="str">
        <f t="shared" si="28"/>
        <v>5020</v>
      </c>
      <c r="H924" t="str">
        <f t="shared" si="29"/>
        <v>General expenses</v>
      </c>
    </row>
    <row r="925" spans="1:8" x14ac:dyDescent="0.25">
      <c r="A925" t="s">
        <v>914</v>
      </c>
      <c r="B925" t="s">
        <v>268</v>
      </c>
      <c r="C925" s="67">
        <v>0</v>
      </c>
      <c r="D925" s="67">
        <v>20000</v>
      </c>
      <c r="E925" s="67">
        <v>0</v>
      </c>
      <c r="F925" s="67">
        <v>0</v>
      </c>
      <c r="G925" t="str">
        <f t="shared" si="28"/>
        <v>5020</v>
      </c>
      <c r="H925" t="str">
        <f t="shared" si="29"/>
        <v>General expenses</v>
      </c>
    </row>
    <row r="926" spans="1:8" x14ac:dyDescent="0.25">
      <c r="A926" t="s">
        <v>915</v>
      </c>
      <c r="B926" t="s">
        <v>288</v>
      </c>
      <c r="C926" s="67">
        <v>5837102</v>
      </c>
      <c r="D926" s="67">
        <v>5837102</v>
      </c>
      <c r="E926" s="67">
        <v>6187328.1200000001</v>
      </c>
      <c r="F926" s="67">
        <v>6521443.8384800004</v>
      </c>
      <c r="G926" t="str">
        <f t="shared" si="28"/>
        <v>5020</v>
      </c>
      <c r="H926" t="str">
        <f t="shared" si="29"/>
        <v>Debt impairment</v>
      </c>
    </row>
    <row r="927" spans="1:8" x14ac:dyDescent="0.25">
      <c r="A927" t="s">
        <v>916</v>
      </c>
      <c r="B927" t="s">
        <v>291</v>
      </c>
      <c r="C927" s="67">
        <v>3371</v>
      </c>
      <c r="D927" s="67">
        <v>0</v>
      </c>
      <c r="E927" s="67">
        <v>0</v>
      </c>
      <c r="F927" s="67">
        <v>0</v>
      </c>
      <c r="G927" t="str">
        <f t="shared" si="28"/>
        <v>5020</v>
      </c>
      <c r="H927" t="str">
        <f t="shared" si="29"/>
        <v>Depreciation and amortisation</v>
      </c>
    </row>
    <row r="928" spans="1:8" x14ac:dyDescent="0.25">
      <c r="A928" t="s">
        <v>917</v>
      </c>
      <c r="B928" t="s">
        <v>292</v>
      </c>
      <c r="C928" s="67">
        <v>10575</v>
      </c>
      <c r="D928" s="67">
        <v>10575</v>
      </c>
      <c r="E928" s="67">
        <v>12161.25</v>
      </c>
      <c r="F928" s="67">
        <v>13985.4375</v>
      </c>
      <c r="G928" t="str">
        <f t="shared" si="28"/>
        <v>5020</v>
      </c>
      <c r="H928" t="str">
        <f t="shared" si="29"/>
        <v>Depreciation and amortisation</v>
      </c>
    </row>
    <row r="929" spans="1:8" x14ac:dyDescent="0.25">
      <c r="A929" t="s">
        <v>918</v>
      </c>
      <c r="B929" t="s">
        <v>293</v>
      </c>
      <c r="C929" s="67">
        <v>109733</v>
      </c>
      <c r="D929" s="67">
        <v>109733</v>
      </c>
      <c r="E929" s="67">
        <v>126192.95</v>
      </c>
      <c r="F929" s="67">
        <v>145121.89249999999</v>
      </c>
      <c r="G929" t="str">
        <f t="shared" si="28"/>
        <v>5020</v>
      </c>
      <c r="H929" t="str">
        <f t="shared" si="29"/>
        <v>Depreciation and amortisation</v>
      </c>
    </row>
    <row r="930" spans="1:8" x14ac:dyDescent="0.25">
      <c r="A930" t="s">
        <v>919</v>
      </c>
      <c r="B930" t="s">
        <v>296</v>
      </c>
      <c r="C930" s="67">
        <v>0</v>
      </c>
      <c r="D930" s="67">
        <v>0</v>
      </c>
      <c r="E930" s="67">
        <v>0</v>
      </c>
      <c r="F930" s="67">
        <v>0</v>
      </c>
      <c r="G930" t="str">
        <f t="shared" si="28"/>
        <v>5020</v>
      </c>
      <c r="H930" t="str">
        <f t="shared" si="29"/>
        <v>Depreciation and amortisation</v>
      </c>
    </row>
    <row r="931" spans="1:8" x14ac:dyDescent="0.25">
      <c r="A931" t="s">
        <v>1927</v>
      </c>
      <c r="B931" t="s">
        <v>1404</v>
      </c>
      <c r="C931" s="67">
        <v>5516246</v>
      </c>
      <c r="D931" s="67">
        <v>5211557.0400000177</v>
      </c>
      <c r="E931" s="67">
        <v>1321896.2470578917</v>
      </c>
      <c r="F931" s="67">
        <v>8084262.3383682789</v>
      </c>
      <c r="G931" t="str">
        <f t="shared" si="28"/>
        <v>5020</v>
      </c>
      <c r="H931" t="str">
        <f t="shared" si="29"/>
        <v>Accumulated surplus</v>
      </c>
    </row>
    <row r="932" spans="1:8" x14ac:dyDescent="0.25">
      <c r="A932" t="s">
        <v>1928</v>
      </c>
      <c r="B932" t="s">
        <v>1760</v>
      </c>
      <c r="C932" s="67">
        <v>0</v>
      </c>
      <c r="D932" s="67">
        <v>-1883000.75</v>
      </c>
      <c r="E932" s="67">
        <v>-2071300.825</v>
      </c>
      <c r="F932" s="67">
        <v>-2278430.9074999997</v>
      </c>
      <c r="G932" t="str">
        <f t="shared" si="28"/>
        <v>5020</v>
      </c>
      <c r="H932" t="str">
        <f t="shared" si="29"/>
        <v>Receivables from non-exchange transactions</v>
      </c>
    </row>
    <row r="933" spans="1:8" x14ac:dyDescent="0.25">
      <c r="A933" t="s">
        <v>1929</v>
      </c>
      <c r="B933" t="s">
        <v>1930</v>
      </c>
      <c r="C933" s="67">
        <v>1119644</v>
      </c>
      <c r="D933" s="67">
        <v>498600</v>
      </c>
      <c r="E933" s="67">
        <v>498600</v>
      </c>
      <c r="F933" s="67">
        <v>498600</v>
      </c>
      <c r="G933" t="str">
        <f t="shared" si="28"/>
        <v>5020</v>
      </c>
      <c r="H933" t="str">
        <f t="shared" si="29"/>
        <v>Receivables from exchange transactions</v>
      </c>
    </row>
    <row r="934" spans="1:8" x14ac:dyDescent="0.25">
      <c r="A934" t="s">
        <v>1931</v>
      </c>
      <c r="B934" t="s">
        <v>1932</v>
      </c>
      <c r="C934" s="67">
        <v>0</v>
      </c>
      <c r="D934" s="67">
        <v>252924.77</v>
      </c>
      <c r="E934" s="67">
        <v>278217.24699999997</v>
      </c>
      <c r="F934" s="67">
        <v>306038.97169999999</v>
      </c>
      <c r="G934" t="str">
        <f t="shared" si="28"/>
        <v>5020</v>
      </c>
      <c r="H934" t="str">
        <f t="shared" si="29"/>
        <v>Receivables from exchange transactions</v>
      </c>
    </row>
    <row r="935" spans="1:8" x14ac:dyDescent="0.25">
      <c r="A935" t="s">
        <v>1933</v>
      </c>
      <c r="B935" t="s">
        <v>1772</v>
      </c>
      <c r="C935" s="67">
        <v>17110</v>
      </c>
      <c r="D935" s="67">
        <v>65530.799999999996</v>
      </c>
      <c r="E935" s="67">
        <v>187339.03999999998</v>
      </c>
      <c r="F935" s="67">
        <v>315237.69199999992</v>
      </c>
      <c r="G935" t="str">
        <f t="shared" si="28"/>
        <v>5020</v>
      </c>
      <c r="H935" t="str">
        <f t="shared" si="29"/>
        <v>Receivables from exchange transactions</v>
      </c>
    </row>
    <row r="936" spans="1:8" x14ac:dyDescent="0.25">
      <c r="A936" t="s">
        <v>1934</v>
      </c>
      <c r="B936" t="s">
        <v>1935</v>
      </c>
      <c r="C936" s="67">
        <v>20936</v>
      </c>
      <c r="D936" s="67">
        <v>207418.41999999998</v>
      </c>
      <c r="E936" s="67">
        <v>217789.34099999999</v>
      </c>
      <c r="F936" s="67">
        <v>228678.80804999999</v>
      </c>
      <c r="G936" t="str">
        <f t="shared" si="28"/>
        <v>5020</v>
      </c>
      <c r="H936" t="str">
        <f t="shared" si="29"/>
        <v>Receivables from exchange transactions</v>
      </c>
    </row>
    <row r="937" spans="1:8" x14ac:dyDescent="0.25">
      <c r="A937" t="s">
        <v>1936</v>
      </c>
      <c r="B937" t="s">
        <v>1937</v>
      </c>
      <c r="C937" s="67">
        <v>-2971</v>
      </c>
      <c r="D937" s="67">
        <v>-118884.3</v>
      </c>
      <c r="E937" s="67">
        <v>-124828.515</v>
      </c>
      <c r="F937" s="67">
        <v>-131069.94074999999</v>
      </c>
      <c r="G937" t="str">
        <f t="shared" si="28"/>
        <v>5020</v>
      </c>
      <c r="H937" t="str">
        <f t="shared" si="29"/>
        <v>Receivables from exchange transactions</v>
      </c>
    </row>
    <row r="938" spans="1:8" x14ac:dyDescent="0.25">
      <c r="A938" t="s">
        <v>1938</v>
      </c>
      <c r="B938" t="s">
        <v>1939</v>
      </c>
      <c r="C938" s="67">
        <v>0</v>
      </c>
      <c r="D938" s="67">
        <v>28407.079999999998</v>
      </c>
      <c r="E938" s="67">
        <v>29827.433999999997</v>
      </c>
      <c r="F938" s="67">
        <v>31318.805699999997</v>
      </c>
      <c r="G938" t="str">
        <f t="shared" si="28"/>
        <v>5020</v>
      </c>
      <c r="H938" t="str">
        <f t="shared" si="29"/>
        <v>Receivables from exchange transactions</v>
      </c>
    </row>
    <row r="939" spans="1:8" x14ac:dyDescent="0.25">
      <c r="A939" t="s">
        <v>1940</v>
      </c>
      <c r="B939" t="s">
        <v>1774</v>
      </c>
      <c r="C939" s="67">
        <v>-2357</v>
      </c>
      <c r="D939" s="67">
        <v>-145204.34</v>
      </c>
      <c r="E939" s="67">
        <v>-256414.12</v>
      </c>
      <c r="F939" s="67">
        <v>-373184.38899999997</v>
      </c>
      <c r="G939" t="str">
        <f t="shared" si="28"/>
        <v>5020</v>
      </c>
      <c r="H939" t="str">
        <f t="shared" si="29"/>
        <v>Receivables from exchange transactions</v>
      </c>
    </row>
    <row r="940" spans="1:8" x14ac:dyDescent="0.25">
      <c r="A940" t="s">
        <v>1941</v>
      </c>
      <c r="B940" t="s">
        <v>1942</v>
      </c>
      <c r="C940" s="67">
        <v>-5367</v>
      </c>
      <c r="D940" s="67">
        <v>-111209.78</v>
      </c>
      <c r="E940" s="67">
        <v>-116770.269</v>
      </c>
      <c r="F940" s="67">
        <v>-122608.78245</v>
      </c>
      <c r="G940" t="str">
        <f t="shared" si="28"/>
        <v>5020</v>
      </c>
      <c r="H940" t="str">
        <f t="shared" si="29"/>
        <v>Receivables from exchange transactions</v>
      </c>
    </row>
    <row r="941" spans="1:8" x14ac:dyDescent="0.25">
      <c r="A941" t="s">
        <v>1943</v>
      </c>
      <c r="B941" t="s">
        <v>1776</v>
      </c>
      <c r="C941" s="67">
        <v>0</v>
      </c>
      <c r="D941" s="67">
        <v>15654.29</v>
      </c>
      <c r="E941" s="67">
        <v>0</v>
      </c>
      <c r="F941" s="67">
        <v>0</v>
      </c>
      <c r="G941" t="str">
        <f t="shared" si="28"/>
        <v>5020</v>
      </c>
      <c r="H941" t="str">
        <f t="shared" si="29"/>
        <v>Receivables from exchange transactions</v>
      </c>
    </row>
    <row r="942" spans="1:8" x14ac:dyDescent="0.25">
      <c r="A942" t="s">
        <v>1944</v>
      </c>
      <c r="B942" t="s">
        <v>1945</v>
      </c>
      <c r="C942" s="67">
        <v>0</v>
      </c>
      <c r="D942" s="67">
        <v>4867.04</v>
      </c>
      <c r="E942" s="67">
        <v>5110.3919999999998</v>
      </c>
      <c r="F942" s="67">
        <v>5365.9115999999995</v>
      </c>
      <c r="G942" t="str">
        <f t="shared" si="28"/>
        <v>5020</v>
      </c>
      <c r="H942" t="str">
        <f t="shared" si="29"/>
        <v>Receivables from exchange transactions</v>
      </c>
    </row>
    <row r="943" spans="1:8" x14ac:dyDescent="0.25">
      <c r="A943" t="s">
        <v>1946</v>
      </c>
      <c r="B943" t="s">
        <v>1406</v>
      </c>
      <c r="C943" s="67">
        <v>792000</v>
      </c>
      <c r="D943" s="67">
        <v>1138521.74</v>
      </c>
      <c r="E943" s="67">
        <v>1378521.74</v>
      </c>
      <c r="F943" s="67">
        <v>1578521.74</v>
      </c>
      <c r="G943" t="str">
        <f t="shared" si="28"/>
        <v>5020</v>
      </c>
      <c r="H943" t="str">
        <f t="shared" si="29"/>
        <v>Non-Current Assets (Cost)</v>
      </c>
    </row>
    <row r="944" spans="1:8" x14ac:dyDescent="0.25">
      <c r="A944" t="s">
        <v>1947</v>
      </c>
      <c r="B944" t="s">
        <v>1408</v>
      </c>
      <c r="C944" s="67">
        <v>-681731</v>
      </c>
      <c r="D944" s="67">
        <v>-603321.66999999993</v>
      </c>
      <c r="E944" s="67">
        <v>-606692.66999999993</v>
      </c>
      <c r="F944" s="67">
        <v>-606692.66999999993</v>
      </c>
      <c r="G944" t="str">
        <f t="shared" si="28"/>
        <v>5020</v>
      </c>
      <c r="H944" t="str">
        <f t="shared" si="29"/>
        <v>Non-Current Assets (Acc Depreciation)</v>
      </c>
    </row>
    <row r="945" spans="1:8" x14ac:dyDescent="0.25">
      <c r="A945" t="s">
        <v>1948</v>
      </c>
      <c r="B945" t="s">
        <v>1410</v>
      </c>
      <c r="C945" s="67">
        <v>-3371</v>
      </c>
      <c r="D945" s="67">
        <v>-3371</v>
      </c>
      <c r="E945" s="67">
        <v>0</v>
      </c>
      <c r="F945" s="67">
        <v>0</v>
      </c>
      <c r="G945" t="str">
        <f t="shared" si="28"/>
        <v>5020</v>
      </c>
      <c r="H945" t="str">
        <f t="shared" si="29"/>
        <v>Non-Current Assets (Acc Depreciation)</v>
      </c>
    </row>
    <row r="946" spans="1:8" x14ac:dyDescent="0.25">
      <c r="A946" t="s">
        <v>920</v>
      </c>
      <c r="B946" t="s">
        <v>921</v>
      </c>
      <c r="C946" s="67">
        <v>200000</v>
      </c>
      <c r="D946" s="67">
        <v>240000</v>
      </c>
      <c r="E946" s="67">
        <v>200000</v>
      </c>
      <c r="F946" s="67">
        <v>0</v>
      </c>
      <c r="G946" t="str">
        <f t="shared" si="28"/>
        <v>5020</v>
      </c>
      <c r="H946" t="str">
        <f t="shared" si="29"/>
        <v>Non-Current Assets (Acquisitions)</v>
      </c>
    </row>
    <row r="947" spans="1:8" x14ac:dyDescent="0.25">
      <c r="A947" t="s">
        <v>1949</v>
      </c>
      <c r="B947" t="s">
        <v>1416</v>
      </c>
      <c r="C947" s="67">
        <v>0</v>
      </c>
      <c r="D947" s="67">
        <v>0</v>
      </c>
      <c r="E947" s="67">
        <v>0</v>
      </c>
      <c r="F947" s="67">
        <v>0</v>
      </c>
      <c r="G947" t="str">
        <f t="shared" si="28"/>
        <v>5020</v>
      </c>
      <c r="H947" t="str">
        <f t="shared" si="29"/>
        <v>Non-Current Assets (Acc Depreciation)</v>
      </c>
    </row>
    <row r="948" spans="1:8" x14ac:dyDescent="0.25">
      <c r="A948" t="s">
        <v>1950</v>
      </c>
      <c r="B948" t="s">
        <v>1422</v>
      </c>
      <c r="C948" s="67">
        <v>0</v>
      </c>
      <c r="D948" s="67">
        <v>100</v>
      </c>
      <c r="E948" s="67">
        <v>100</v>
      </c>
      <c r="F948" s="67">
        <v>100</v>
      </c>
      <c r="G948" t="str">
        <f t="shared" si="28"/>
        <v>5020</v>
      </c>
      <c r="H948" t="str">
        <f t="shared" si="29"/>
        <v>Non-Current Assets (Cost)</v>
      </c>
    </row>
    <row r="949" spans="1:8" x14ac:dyDescent="0.25">
      <c r="A949" t="s">
        <v>1951</v>
      </c>
      <c r="B949" t="s">
        <v>1424</v>
      </c>
      <c r="C949" s="67">
        <v>0</v>
      </c>
      <c r="D949" s="67">
        <v>-86.7</v>
      </c>
      <c r="E949" s="67">
        <v>-86.7</v>
      </c>
      <c r="F949" s="67">
        <v>-86.7</v>
      </c>
      <c r="G949" t="str">
        <f t="shared" si="28"/>
        <v>5020</v>
      </c>
      <c r="H949" t="str">
        <f t="shared" si="29"/>
        <v>Non-Current Assets (Acc Depreciation)</v>
      </c>
    </row>
    <row r="950" spans="1:8" x14ac:dyDescent="0.25">
      <c r="A950" t="s">
        <v>1952</v>
      </c>
      <c r="B950" t="s">
        <v>1428</v>
      </c>
      <c r="C950" s="67">
        <v>504586</v>
      </c>
      <c r="D950" s="67">
        <v>432703.48</v>
      </c>
      <c r="E950" s="67">
        <v>432703.48</v>
      </c>
      <c r="F950" s="67">
        <v>432703.48</v>
      </c>
      <c r="G950" t="str">
        <f t="shared" si="28"/>
        <v>5020</v>
      </c>
      <c r="H950" t="str">
        <f t="shared" si="29"/>
        <v>Non-Current Assets (Cost)</v>
      </c>
    </row>
    <row r="951" spans="1:8" x14ac:dyDescent="0.25">
      <c r="A951" t="s">
        <v>1953</v>
      </c>
      <c r="B951" t="s">
        <v>1430</v>
      </c>
      <c r="C951" s="67">
        <v>-524480</v>
      </c>
      <c r="D951" s="67">
        <v>-319107.69000000006</v>
      </c>
      <c r="E951" s="67">
        <v>-428840.69000000006</v>
      </c>
      <c r="F951" s="67">
        <v>-555033.64</v>
      </c>
      <c r="G951" t="str">
        <f t="shared" si="28"/>
        <v>5020</v>
      </c>
      <c r="H951" t="str">
        <f t="shared" si="29"/>
        <v>Non-Current Assets (Acc Depreciation)</v>
      </c>
    </row>
    <row r="952" spans="1:8" x14ac:dyDescent="0.25">
      <c r="A952" t="s">
        <v>1954</v>
      </c>
      <c r="B952" t="s">
        <v>1432</v>
      </c>
      <c r="C952" s="67">
        <v>-109735</v>
      </c>
      <c r="D952" s="67">
        <v>-109733</v>
      </c>
      <c r="E952" s="67">
        <v>-126192.95</v>
      </c>
      <c r="F952" s="67">
        <v>-145121.89249999999</v>
      </c>
      <c r="G952" t="str">
        <f t="shared" si="28"/>
        <v>5020</v>
      </c>
      <c r="H952" t="str">
        <f t="shared" si="29"/>
        <v>Non-Current Assets (Depreciation)</v>
      </c>
    </row>
    <row r="953" spans="1:8" x14ac:dyDescent="0.25">
      <c r="A953" t="s">
        <v>1955</v>
      </c>
      <c r="B953" t="s">
        <v>1434</v>
      </c>
      <c r="C953" s="67">
        <v>83573</v>
      </c>
      <c r="D953" s="67">
        <v>71023.58</v>
      </c>
      <c r="E953" s="67">
        <v>71023.58</v>
      </c>
      <c r="F953" s="67">
        <v>71023.58</v>
      </c>
      <c r="G953" t="str">
        <f t="shared" si="28"/>
        <v>5020</v>
      </c>
      <c r="H953" t="str">
        <f t="shared" si="29"/>
        <v>Non-Current Assets (Cost)</v>
      </c>
    </row>
    <row r="954" spans="1:8" x14ac:dyDescent="0.25">
      <c r="A954" t="s">
        <v>1956</v>
      </c>
      <c r="B954" t="s">
        <v>1436</v>
      </c>
      <c r="C954" s="67">
        <v>-52823</v>
      </c>
      <c r="D954" s="67">
        <v>-52681.06</v>
      </c>
      <c r="E954" s="67">
        <v>-63256.06</v>
      </c>
      <c r="F954" s="67">
        <v>-75417.31</v>
      </c>
      <c r="G954" t="str">
        <f t="shared" si="28"/>
        <v>5020</v>
      </c>
      <c r="H954" t="str">
        <f t="shared" si="29"/>
        <v>Non-Current Assets (Acc Depreciation)</v>
      </c>
    </row>
    <row r="955" spans="1:8" x14ac:dyDescent="0.25">
      <c r="A955" t="s">
        <v>1957</v>
      </c>
      <c r="B955" t="s">
        <v>1438</v>
      </c>
      <c r="C955" s="67">
        <v>-9978</v>
      </c>
      <c r="D955" s="67">
        <v>-10575</v>
      </c>
      <c r="E955" s="67">
        <v>-12161.25</v>
      </c>
      <c r="F955" s="67">
        <v>-13985.4375</v>
      </c>
      <c r="G955" t="str">
        <f t="shared" si="28"/>
        <v>5020</v>
      </c>
      <c r="H955" t="str">
        <f t="shared" si="29"/>
        <v>Non-Current Assets (Depreciation)</v>
      </c>
    </row>
    <row r="956" spans="1:8" x14ac:dyDescent="0.25">
      <c r="A956" t="s">
        <v>1958</v>
      </c>
      <c r="B956" t="s">
        <v>1798</v>
      </c>
      <c r="C956" s="67">
        <v>0</v>
      </c>
      <c r="D956" s="67">
        <v>0</v>
      </c>
      <c r="E956" s="67">
        <v>0</v>
      </c>
      <c r="F956" s="67">
        <v>0</v>
      </c>
      <c r="G956" t="str">
        <f t="shared" si="28"/>
        <v>5020</v>
      </c>
      <c r="H956" t="str">
        <f t="shared" si="29"/>
        <v>Payables from exchange transactions</v>
      </c>
    </row>
    <row r="957" spans="1:8" x14ac:dyDescent="0.25">
      <c r="A957" t="s">
        <v>1959</v>
      </c>
      <c r="B957" t="s">
        <v>1960</v>
      </c>
      <c r="C957" s="67">
        <v>0</v>
      </c>
      <c r="D957" s="67">
        <v>0</v>
      </c>
      <c r="E957" s="67">
        <v>0</v>
      </c>
      <c r="F957" s="67">
        <v>0</v>
      </c>
      <c r="G957" t="str">
        <f t="shared" si="28"/>
        <v>5020</v>
      </c>
      <c r="H957" t="str">
        <f t="shared" si="29"/>
        <v>Payables from exchange transactions</v>
      </c>
    </row>
    <row r="958" spans="1:8" x14ac:dyDescent="0.25">
      <c r="A958" t="s">
        <v>1961</v>
      </c>
      <c r="B958" t="s">
        <v>1460</v>
      </c>
      <c r="C958" s="67">
        <v>-291001</v>
      </c>
      <c r="D958" s="67">
        <v>-291001</v>
      </c>
      <c r="E958" s="67">
        <v>-320101.09999999998</v>
      </c>
      <c r="F958" s="67">
        <v>-352111.20999999996</v>
      </c>
      <c r="G958" t="str">
        <f t="shared" si="28"/>
        <v>5020</v>
      </c>
      <c r="H958" t="str">
        <f t="shared" si="29"/>
        <v>Current Employee Benefits</v>
      </c>
    </row>
    <row r="959" spans="1:8" x14ac:dyDescent="0.25">
      <c r="A959" t="s">
        <v>1962</v>
      </c>
      <c r="B959" t="s">
        <v>1963</v>
      </c>
      <c r="C959" s="67">
        <v>0</v>
      </c>
      <c r="D959" s="67">
        <v>0</v>
      </c>
      <c r="E959" s="67">
        <v>0</v>
      </c>
      <c r="F959" s="67">
        <v>0</v>
      </c>
      <c r="G959" t="str">
        <f t="shared" si="28"/>
        <v>5020</v>
      </c>
      <c r="H959" t="str">
        <f t="shared" si="29"/>
        <v>VAT</v>
      </c>
    </row>
    <row r="960" spans="1:8" x14ac:dyDescent="0.25">
      <c r="A960" t="s">
        <v>1964</v>
      </c>
      <c r="B960" t="s">
        <v>1965</v>
      </c>
      <c r="C960" s="67">
        <v>0</v>
      </c>
      <c r="D960" s="67">
        <v>0</v>
      </c>
      <c r="E960" s="67">
        <v>0</v>
      </c>
      <c r="F960" s="67">
        <v>0</v>
      </c>
      <c r="G960" t="str">
        <f t="shared" si="28"/>
        <v>5020</v>
      </c>
      <c r="H960" t="str">
        <f t="shared" si="29"/>
        <v>VAT</v>
      </c>
    </row>
    <row r="961" spans="1:8" x14ac:dyDescent="0.25">
      <c r="A961" t="s">
        <v>1966</v>
      </c>
      <c r="B961" t="s">
        <v>1462</v>
      </c>
      <c r="C961" s="67">
        <v>-2632983</v>
      </c>
      <c r="D961" s="67">
        <v>21685293.82</v>
      </c>
      <c r="E961" s="67">
        <v>16473736.779999979</v>
      </c>
      <c r="F961" s="67">
        <v>15151840.532942086</v>
      </c>
      <c r="G961" t="str">
        <f t="shared" si="28"/>
        <v>5020</v>
      </c>
      <c r="H961" t="str">
        <f t="shared" si="29"/>
        <v>Reserves</v>
      </c>
    </row>
    <row r="962" spans="1:8" x14ac:dyDescent="0.25">
      <c r="A962" t="s">
        <v>1967</v>
      </c>
      <c r="B962" t="s">
        <v>1464</v>
      </c>
      <c r="C962" s="67">
        <v>-53209697</v>
      </c>
      <c r="D962" s="67">
        <v>-5211557.0400000215</v>
      </c>
      <c r="E962" s="67">
        <v>-1321896.2470578917</v>
      </c>
      <c r="F962" s="67">
        <v>-8084262.3383682789</v>
      </c>
      <c r="G962" t="str">
        <f t="shared" ref="G962:G1025" si="30">VLOOKUP(A962,s,2,FALSE)</f>
        <v>5020</v>
      </c>
      <c r="H962" t="str">
        <f t="shared" ref="H962:H1025" si="31">VLOOKUP(A962,s,3,FALSE)</f>
        <v>Reserves</v>
      </c>
    </row>
    <row r="963" spans="1:8" x14ac:dyDescent="0.25">
      <c r="A963" t="s">
        <v>923</v>
      </c>
      <c r="B963" t="s">
        <v>150</v>
      </c>
      <c r="C963" s="67">
        <v>2016139</v>
      </c>
      <c r="D963" s="67">
        <v>2016139</v>
      </c>
      <c r="E963" s="67">
        <v>2157268.386744</v>
      </c>
      <c r="F963" s="67">
        <v>2308277.1738160802</v>
      </c>
      <c r="G963" t="str">
        <f t="shared" si="30"/>
        <v>5025</v>
      </c>
      <c r="H963" t="str">
        <f t="shared" si="31"/>
        <v>Employee related costs</v>
      </c>
    </row>
    <row r="964" spans="1:8" x14ac:dyDescent="0.25">
      <c r="A964" t="s">
        <v>924</v>
      </c>
      <c r="B964" t="s">
        <v>150</v>
      </c>
      <c r="C964" s="67">
        <v>80600</v>
      </c>
      <c r="D964" s="67">
        <v>80600</v>
      </c>
      <c r="E964" s="67">
        <v>86242</v>
      </c>
      <c r="F964" s="67">
        <v>100000</v>
      </c>
      <c r="G964" t="str">
        <f t="shared" si="30"/>
        <v>5025</v>
      </c>
      <c r="H964" t="str">
        <f t="shared" si="31"/>
        <v>Employee related costs</v>
      </c>
    </row>
    <row r="965" spans="1:8" x14ac:dyDescent="0.25">
      <c r="A965" t="s">
        <v>925</v>
      </c>
      <c r="B965" t="s">
        <v>151</v>
      </c>
      <c r="C965" s="67">
        <v>83607</v>
      </c>
      <c r="D965" s="67">
        <v>42335.45</v>
      </c>
      <c r="E965" s="67">
        <v>33802.659999999996</v>
      </c>
      <c r="F965" s="67">
        <v>36235.119999999995</v>
      </c>
      <c r="G965" t="str">
        <f t="shared" si="30"/>
        <v>5025</v>
      </c>
      <c r="H965" t="str">
        <f t="shared" si="31"/>
        <v>Employee related costs</v>
      </c>
    </row>
    <row r="966" spans="1:8" x14ac:dyDescent="0.25">
      <c r="A966" t="s">
        <v>926</v>
      </c>
      <c r="B966" t="s">
        <v>152</v>
      </c>
      <c r="C966" s="67">
        <v>52200</v>
      </c>
      <c r="D966" s="67">
        <v>52200</v>
      </c>
      <c r="E966" s="67">
        <v>179772.36556199999</v>
      </c>
      <c r="F966" s="67">
        <v>192356.43115133999</v>
      </c>
      <c r="G966" t="str">
        <f t="shared" si="30"/>
        <v>5025</v>
      </c>
      <c r="H966" t="str">
        <f t="shared" si="31"/>
        <v>Employee related costs</v>
      </c>
    </row>
    <row r="967" spans="1:8" x14ac:dyDescent="0.25">
      <c r="A967" t="s">
        <v>927</v>
      </c>
      <c r="B967" t="s">
        <v>153</v>
      </c>
      <c r="C967" s="67">
        <v>10893</v>
      </c>
      <c r="D967" s="67">
        <v>10893</v>
      </c>
      <c r="E967" s="67">
        <v>55854</v>
      </c>
      <c r="F967" s="67">
        <v>59763.78</v>
      </c>
      <c r="G967" t="str">
        <f t="shared" si="30"/>
        <v>5025</v>
      </c>
      <c r="H967" t="str">
        <f t="shared" si="31"/>
        <v>Employee related costs</v>
      </c>
    </row>
    <row r="968" spans="1:8" x14ac:dyDescent="0.25">
      <c r="A968" t="s">
        <v>928</v>
      </c>
      <c r="B968" t="s">
        <v>155</v>
      </c>
      <c r="C968" s="67">
        <v>59373</v>
      </c>
      <c r="D968" s="67">
        <v>59373</v>
      </c>
      <c r="E968" s="67">
        <v>11655.766799999999</v>
      </c>
      <c r="F968" s="67">
        <v>12471.670475999999</v>
      </c>
      <c r="G968" t="str">
        <f t="shared" si="30"/>
        <v>5025</v>
      </c>
      <c r="H968" t="str">
        <f t="shared" si="31"/>
        <v>Employee related costs</v>
      </c>
    </row>
    <row r="969" spans="1:8" x14ac:dyDescent="0.25">
      <c r="A969" t="s">
        <v>929</v>
      </c>
      <c r="B969" t="s">
        <v>156</v>
      </c>
      <c r="C969" s="67">
        <v>307875</v>
      </c>
      <c r="D969" s="67">
        <v>307875</v>
      </c>
      <c r="E969" s="67">
        <v>63528.665869676719</v>
      </c>
      <c r="F969" s="67">
        <v>67975.672480554087</v>
      </c>
      <c r="G969" t="str">
        <f t="shared" si="30"/>
        <v>5025</v>
      </c>
      <c r="H969" t="str">
        <f t="shared" si="31"/>
        <v>Employee related costs</v>
      </c>
    </row>
    <row r="970" spans="1:8" x14ac:dyDescent="0.25">
      <c r="A970" t="s">
        <v>930</v>
      </c>
      <c r="B970" t="s">
        <v>157</v>
      </c>
      <c r="C970" s="67">
        <v>10516</v>
      </c>
      <c r="D970" s="67">
        <v>10516</v>
      </c>
      <c r="E970" s="67">
        <v>329426.40472200001</v>
      </c>
      <c r="F970" s="67">
        <v>352486.25305254001</v>
      </c>
      <c r="G970" t="str">
        <f t="shared" si="30"/>
        <v>5025</v>
      </c>
      <c r="H970" t="str">
        <f t="shared" si="31"/>
        <v>Employee related costs</v>
      </c>
    </row>
    <row r="971" spans="1:8" x14ac:dyDescent="0.25">
      <c r="A971" t="s">
        <v>931</v>
      </c>
      <c r="B971" t="s">
        <v>158</v>
      </c>
      <c r="C971" s="67">
        <v>11138</v>
      </c>
      <c r="D971" s="67">
        <v>11138</v>
      </c>
      <c r="E971" s="67">
        <v>11252.608775999999</v>
      </c>
      <c r="F971" s="67">
        <v>12040.291390319999</v>
      </c>
      <c r="G971" t="str">
        <f t="shared" si="30"/>
        <v>5025</v>
      </c>
      <c r="H971" t="str">
        <f t="shared" si="31"/>
        <v>Employee related costs</v>
      </c>
    </row>
    <row r="972" spans="1:8" x14ac:dyDescent="0.25">
      <c r="A972" t="s">
        <v>932</v>
      </c>
      <c r="B972" t="s">
        <v>159</v>
      </c>
      <c r="C972" s="67">
        <v>168012</v>
      </c>
      <c r="D972" s="67">
        <v>168012</v>
      </c>
      <c r="E972" s="67">
        <v>11917.535212320001</v>
      </c>
      <c r="F972" s="67">
        <v>12751.762677182402</v>
      </c>
      <c r="G972" t="str">
        <f t="shared" si="30"/>
        <v>5025</v>
      </c>
      <c r="H972" t="str">
        <f t="shared" si="31"/>
        <v>Employee related costs</v>
      </c>
    </row>
    <row r="973" spans="1:8" x14ac:dyDescent="0.25">
      <c r="A973" t="s">
        <v>933</v>
      </c>
      <c r="B973" t="s">
        <v>161</v>
      </c>
      <c r="C973" s="67">
        <v>21018</v>
      </c>
      <c r="D973" s="67">
        <v>21018</v>
      </c>
      <c r="E973" s="67">
        <v>22488.984475000001</v>
      </c>
      <c r="F973" s="67">
        <v>24063.213388250002</v>
      </c>
      <c r="G973" t="str">
        <f t="shared" si="30"/>
        <v>5025</v>
      </c>
      <c r="H973" t="str">
        <f t="shared" si="31"/>
        <v>Employee related costs</v>
      </c>
    </row>
    <row r="974" spans="1:8" x14ac:dyDescent="0.25">
      <c r="A974" t="s">
        <v>934</v>
      </c>
      <c r="B974" t="s">
        <v>164</v>
      </c>
      <c r="C974" s="67">
        <v>15692</v>
      </c>
      <c r="D974" s="67">
        <v>15692</v>
      </c>
      <c r="E974" s="67">
        <v>16790.868000000002</v>
      </c>
      <c r="F974" s="67">
        <v>17966.228760000002</v>
      </c>
      <c r="G974" t="str">
        <f t="shared" si="30"/>
        <v>5025</v>
      </c>
      <c r="H974" t="str">
        <f t="shared" si="31"/>
        <v>Employee related costs</v>
      </c>
    </row>
    <row r="975" spans="1:8" x14ac:dyDescent="0.25">
      <c r="A975" t="s">
        <v>935</v>
      </c>
      <c r="B975" t="s">
        <v>167</v>
      </c>
      <c r="C975" s="67">
        <v>674</v>
      </c>
      <c r="D975" s="67">
        <v>674</v>
      </c>
      <c r="E975" s="67">
        <v>721.28700000000003</v>
      </c>
      <c r="F975" s="67">
        <v>771.77709000000004</v>
      </c>
      <c r="G975" t="str">
        <f t="shared" si="30"/>
        <v>5025</v>
      </c>
      <c r="H975" t="str">
        <f t="shared" si="31"/>
        <v>Employee related costs</v>
      </c>
    </row>
    <row r="976" spans="1:8" x14ac:dyDescent="0.25">
      <c r="A976" t="s">
        <v>936</v>
      </c>
      <c r="B976" t="s">
        <v>168</v>
      </c>
      <c r="C976" s="67">
        <v>161725</v>
      </c>
      <c r="D976" s="67">
        <v>61725</v>
      </c>
      <c r="E976" s="67">
        <v>173045.32200000001</v>
      </c>
      <c r="F976" s="67">
        <v>185158.49454000001</v>
      </c>
      <c r="G976" t="str">
        <f t="shared" si="30"/>
        <v>5025</v>
      </c>
      <c r="H976" t="str">
        <f t="shared" si="31"/>
        <v>Employee related costs</v>
      </c>
    </row>
    <row r="977" spans="1:8" x14ac:dyDescent="0.25">
      <c r="A977" t="s">
        <v>937</v>
      </c>
      <c r="B977" t="s">
        <v>169</v>
      </c>
      <c r="C977" s="67">
        <v>443551</v>
      </c>
      <c r="D977" s="67">
        <v>443551</v>
      </c>
      <c r="E977" s="67">
        <v>474599.04508367996</v>
      </c>
      <c r="F977" s="67">
        <v>507820.97823953757</v>
      </c>
      <c r="G977" t="str">
        <f t="shared" si="30"/>
        <v>5025</v>
      </c>
      <c r="H977" t="str">
        <f t="shared" si="31"/>
        <v>Employee related costs</v>
      </c>
    </row>
    <row r="978" spans="1:8" x14ac:dyDescent="0.25">
      <c r="A978" t="s">
        <v>938</v>
      </c>
      <c r="B978" t="s">
        <v>170</v>
      </c>
      <c r="C978" s="67">
        <v>10710</v>
      </c>
      <c r="D978" s="67">
        <v>10710</v>
      </c>
      <c r="E978" s="67">
        <v>11459.7</v>
      </c>
      <c r="F978" s="67">
        <v>12261.879000000001</v>
      </c>
      <c r="G978" t="str">
        <f t="shared" si="30"/>
        <v>5025</v>
      </c>
      <c r="H978" t="str">
        <f t="shared" si="31"/>
        <v>Employee related costs</v>
      </c>
    </row>
    <row r="979" spans="1:8" x14ac:dyDescent="0.25">
      <c r="A979" t="s">
        <v>939</v>
      </c>
      <c r="B979" t="s">
        <v>170</v>
      </c>
      <c r="C979" s="67">
        <v>0</v>
      </c>
      <c r="D979" s="67">
        <v>0</v>
      </c>
      <c r="E979" s="67">
        <v>0</v>
      </c>
      <c r="F979" s="67">
        <v>0</v>
      </c>
      <c r="G979" t="str">
        <f t="shared" si="30"/>
        <v>5025</v>
      </c>
      <c r="H979" t="str">
        <f t="shared" si="31"/>
        <v>Employee related costs</v>
      </c>
    </row>
    <row r="980" spans="1:8" x14ac:dyDescent="0.25">
      <c r="A980" t="s">
        <v>940</v>
      </c>
      <c r="B980" t="s">
        <v>173</v>
      </c>
      <c r="C980" s="67">
        <v>13215</v>
      </c>
      <c r="D980" s="67">
        <v>13215</v>
      </c>
      <c r="E980" s="67">
        <v>14007.921200000001</v>
      </c>
      <c r="F980" s="67">
        <v>14988.475684000001</v>
      </c>
      <c r="G980" t="str">
        <f t="shared" si="30"/>
        <v>5025</v>
      </c>
      <c r="H980" t="str">
        <f t="shared" si="31"/>
        <v>Employee related costs</v>
      </c>
    </row>
    <row r="981" spans="1:8" x14ac:dyDescent="0.25">
      <c r="A981" t="s">
        <v>941</v>
      </c>
      <c r="B981" t="s">
        <v>174</v>
      </c>
      <c r="C981" s="67">
        <v>7153</v>
      </c>
      <c r="D981" s="67">
        <v>7153</v>
      </c>
      <c r="E981" s="67">
        <v>7582.0528000000004</v>
      </c>
      <c r="F981" s="67">
        <v>8112.7964960000008</v>
      </c>
      <c r="G981" t="str">
        <f t="shared" si="30"/>
        <v>5025</v>
      </c>
      <c r="H981" t="str">
        <f t="shared" si="31"/>
        <v>Employee related costs</v>
      </c>
    </row>
    <row r="982" spans="1:8" x14ac:dyDescent="0.25">
      <c r="A982" t="s">
        <v>942</v>
      </c>
      <c r="B982" t="s">
        <v>175</v>
      </c>
      <c r="C982" s="67">
        <v>24762</v>
      </c>
      <c r="D982" s="67">
        <v>24762</v>
      </c>
      <c r="E982" s="67">
        <v>26247.295999999998</v>
      </c>
      <c r="F982" s="67">
        <v>28084.60672</v>
      </c>
      <c r="G982" t="str">
        <f t="shared" si="30"/>
        <v>5025</v>
      </c>
      <c r="H982" t="str">
        <f t="shared" si="31"/>
        <v>Employee related costs</v>
      </c>
    </row>
    <row r="983" spans="1:8" x14ac:dyDescent="0.25">
      <c r="A983" t="s">
        <v>943</v>
      </c>
      <c r="B983" t="s">
        <v>210</v>
      </c>
      <c r="C983" s="67">
        <v>500000</v>
      </c>
      <c r="D983" s="67">
        <v>0</v>
      </c>
      <c r="E983" s="67">
        <v>0</v>
      </c>
      <c r="F983" s="67">
        <v>0</v>
      </c>
      <c r="G983" t="str">
        <f t="shared" si="30"/>
        <v>5025</v>
      </c>
      <c r="H983" t="str">
        <f t="shared" si="31"/>
        <v>Contracted services</v>
      </c>
    </row>
    <row r="984" spans="1:8" x14ac:dyDescent="0.25">
      <c r="A984" t="s">
        <v>944</v>
      </c>
      <c r="B984" t="s">
        <v>265</v>
      </c>
      <c r="C984" s="67">
        <v>0</v>
      </c>
      <c r="D984" s="67">
        <v>20000</v>
      </c>
      <c r="E984" s="67">
        <v>0</v>
      </c>
      <c r="F984" s="67">
        <v>0</v>
      </c>
      <c r="G984" t="str">
        <f t="shared" si="30"/>
        <v>5025</v>
      </c>
      <c r="H984" t="str">
        <f t="shared" si="31"/>
        <v>General expenses</v>
      </c>
    </row>
    <row r="985" spans="1:8" x14ac:dyDescent="0.25">
      <c r="A985" t="s">
        <v>945</v>
      </c>
      <c r="B985" t="s">
        <v>265</v>
      </c>
      <c r="C985" s="67">
        <v>0</v>
      </c>
      <c r="D985" s="67">
        <v>800</v>
      </c>
      <c r="E985" s="67">
        <v>0</v>
      </c>
      <c r="F985" s="67">
        <v>0</v>
      </c>
      <c r="G985" t="str">
        <f t="shared" si="30"/>
        <v>5025</v>
      </c>
      <c r="H985" t="str">
        <f t="shared" si="31"/>
        <v>General expenses</v>
      </c>
    </row>
    <row r="986" spans="1:8" x14ac:dyDescent="0.25">
      <c r="A986" t="s">
        <v>946</v>
      </c>
      <c r="B986" t="s">
        <v>268</v>
      </c>
      <c r="C986" s="67">
        <v>0</v>
      </c>
      <c r="D986" s="67">
        <v>30000</v>
      </c>
      <c r="E986" s="67">
        <v>0</v>
      </c>
      <c r="F986" s="67">
        <v>0</v>
      </c>
      <c r="G986" t="str">
        <f t="shared" si="30"/>
        <v>5025</v>
      </c>
      <c r="H986" t="str">
        <f t="shared" si="31"/>
        <v>General expenses</v>
      </c>
    </row>
    <row r="987" spans="1:8" x14ac:dyDescent="0.25">
      <c r="A987" t="s">
        <v>947</v>
      </c>
      <c r="B987" t="s">
        <v>276</v>
      </c>
      <c r="C987" s="67">
        <v>1270074</v>
      </c>
      <c r="D987" s="67">
        <v>1570074</v>
      </c>
      <c r="E987" s="67">
        <v>1346278.4188000001</v>
      </c>
      <c r="F987" s="67">
        <v>1440517.908116</v>
      </c>
      <c r="G987" t="str">
        <f t="shared" si="30"/>
        <v>5025</v>
      </c>
      <c r="H987" t="str">
        <f t="shared" si="31"/>
        <v>General expenses</v>
      </c>
    </row>
    <row r="988" spans="1:8" x14ac:dyDescent="0.25">
      <c r="A988" t="s">
        <v>948</v>
      </c>
      <c r="B988" t="s">
        <v>292</v>
      </c>
      <c r="C988" s="67">
        <v>7648</v>
      </c>
      <c r="D988" s="67">
        <v>7648</v>
      </c>
      <c r="E988" s="67">
        <v>8795.2000000000007</v>
      </c>
      <c r="F988" s="67">
        <v>10114.480000000001</v>
      </c>
      <c r="G988" t="str">
        <f t="shared" si="30"/>
        <v>5025</v>
      </c>
      <c r="H988" t="str">
        <f t="shared" si="31"/>
        <v>Depreciation and amortisation</v>
      </c>
    </row>
    <row r="989" spans="1:8" x14ac:dyDescent="0.25">
      <c r="A989" t="s">
        <v>949</v>
      </c>
      <c r="B989" t="s">
        <v>293</v>
      </c>
      <c r="C989" s="67">
        <v>2242</v>
      </c>
      <c r="D989" s="92">
        <v>2242</v>
      </c>
      <c r="E989" s="67">
        <v>2578.3000000000002</v>
      </c>
      <c r="F989" s="67">
        <v>2965.0450000000001</v>
      </c>
      <c r="G989" t="str">
        <f t="shared" si="30"/>
        <v>5025</v>
      </c>
      <c r="H989" t="str">
        <f t="shared" si="31"/>
        <v>Depreciation and amortisation</v>
      </c>
    </row>
    <row r="990" spans="1:8" x14ac:dyDescent="0.25">
      <c r="A990" t="s">
        <v>1968</v>
      </c>
      <c r="B990" t="s">
        <v>1404</v>
      </c>
      <c r="C990" s="67">
        <v>-5278817</v>
      </c>
      <c r="D990" s="67">
        <v>-5029617</v>
      </c>
      <c r="E990" s="67">
        <v>-5100971.8630046761</v>
      </c>
      <c r="F990" s="67">
        <v>-5466670.8334150044</v>
      </c>
      <c r="G990" t="str">
        <f t="shared" si="30"/>
        <v>5025</v>
      </c>
      <c r="H990" t="str">
        <f t="shared" si="31"/>
        <v>Accumulated surplus</v>
      </c>
    </row>
    <row r="991" spans="1:8" x14ac:dyDescent="0.25">
      <c r="A991" t="s">
        <v>1969</v>
      </c>
      <c r="B991" t="s">
        <v>1428</v>
      </c>
      <c r="C991" s="67">
        <v>186898</v>
      </c>
      <c r="D991" s="67">
        <v>162921.39000000001</v>
      </c>
      <c r="E991" s="67">
        <v>162921.39000000001</v>
      </c>
      <c r="F991" s="67">
        <v>162921.39000000001</v>
      </c>
      <c r="G991" t="str">
        <f t="shared" si="30"/>
        <v>5025</v>
      </c>
      <c r="H991" t="str">
        <f t="shared" si="31"/>
        <v>Non-Current Assets (Cost)</v>
      </c>
    </row>
    <row r="992" spans="1:8" x14ac:dyDescent="0.25">
      <c r="A992" t="s">
        <v>1970</v>
      </c>
      <c r="B992" t="s">
        <v>1430</v>
      </c>
      <c r="C992" s="67">
        <v>-102677</v>
      </c>
      <c r="D992" s="67">
        <v>-101577.07999999999</v>
      </c>
      <c r="E992" s="67">
        <v>-103819.07999999999</v>
      </c>
      <c r="F992" s="67">
        <v>-106397.37999999999</v>
      </c>
      <c r="G992" t="str">
        <f t="shared" si="30"/>
        <v>5025</v>
      </c>
      <c r="H992" t="str">
        <f t="shared" si="31"/>
        <v>Non-Current Assets (Acc Depreciation)</v>
      </c>
    </row>
    <row r="993" spans="1:8" x14ac:dyDescent="0.25">
      <c r="A993" t="s">
        <v>1971</v>
      </c>
      <c r="B993" t="s">
        <v>1432</v>
      </c>
      <c r="C993" s="67">
        <v>-2244</v>
      </c>
      <c r="D993" s="67">
        <v>-2242</v>
      </c>
      <c r="E993" s="67">
        <v>-2578.3000000000002</v>
      </c>
      <c r="F993" s="67">
        <v>-2965.0450000000001</v>
      </c>
      <c r="G993" t="str">
        <f t="shared" si="30"/>
        <v>5025</v>
      </c>
      <c r="H993" t="str">
        <f t="shared" si="31"/>
        <v>Non-Current Assets (Depreciation)</v>
      </c>
    </row>
    <row r="994" spans="1:8" x14ac:dyDescent="0.25">
      <c r="A994" t="s">
        <v>1972</v>
      </c>
      <c r="B994" t="s">
        <v>1434</v>
      </c>
      <c r="C994" s="67">
        <v>101061</v>
      </c>
      <c r="D994" s="67">
        <v>63412.570000000007</v>
      </c>
      <c r="E994" s="67">
        <v>63412.570000000007</v>
      </c>
      <c r="F994" s="67">
        <v>63412.570000000007</v>
      </c>
      <c r="G994" t="str">
        <f t="shared" si="30"/>
        <v>5025</v>
      </c>
      <c r="H994" t="str">
        <f t="shared" si="31"/>
        <v>Non-Current Assets (Cost)</v>
      </c>
    </row>
    <row r="995" spans="1:8" x14ac:dyDescent="0.25">
      <c r="A995" t="s">
        <v>1973</v>
      </c>
      <c r="B995" t="s">
        <v>1436</v>
      </c>
      <c r="C995" s="67">
        <v>-61296</v>
      </c>
      <c r="D995" s="67">
        <v>-51370.500000000007</v>
      </c>
      <c r="E995" s="67">
        <v>-59018.500000000007</v>
      </c>
      <c r="F995" s="67">
        <v>-67813.700000000012</v>
      </c>
      <c r="G995" t="str">
        <f t="shared" si="30"/>
        <v>5025</v>
      </c>
      <c r="H995" t="str">
        <f t="shared" si="31"/>
        <v>Non-Current Assets (Acc Depreciation)</v>
      </c>
    </row>
    <row r="996" spans="1:8" x14ac:dyDescent="0.25">
      <c r="A996" t="s">
        <v>1974</v>
      </c>
      <c r="B996" t="s">
        <v>1438</v>
      </c>
      <c r="C996" s="67">
        <v>-7216</v>
      </c>
      <c r="D996" s="67">
        <v>-7648</v>
      </c>
      <c r="E996" s="67">
        <v>-8795.2000000000007</v>
      </c>
      <c r="F996" s="67">
        <v>-10114.480000000001</v>
      </c>
      <c r="G996" t="str">
        <f t="shared" si="30"/>
        <v>5025</v>
      </c>
      <c r="H996" t="str">
        <f t="shared" si="31"/>
        <v>Non-Current Assets (Depreciation)</v>
      </c>
    </row>
    <row r="997" spans="1:8" x14ac:dyDescent="0.25">
      <c r="A997" t="s">
        <v>1975</v>
      </c>
      <c r="B997" t="s">
        <v>1460</v>
      </c>
      <c r="C997" s="67">
        <v>-220326</v>
      </c>
      <c r="D997" s="67">
        <v>-220326</v>
      </c>
      <c r="E997" s="67">
        <v>-242358.6</v>
      </c>
      <c r="F997" s="67">
        <v>-266594.46000000002</v>
      </c>
      <c r="G997" t="str">
        <f t="shared" si="30"/>
        <v>5025</v>
      </c>
      <c r="H997" t="str">
        <f t="shared" si="31"/>
        <v>Current Employee Benefits</v>
      </c>
    </row>
    <row r="998" spans="1:8" x14ac:dyDescent="0.25">
      <c r="A998" t="s">
        <v>1976</v>
      </c>
      <c r="B998" t="s">
        <v>1462</v>
      </c>
      <c r="C998" s="67">
        <v>85416</v>
      </c>
      <c r="D998" s="67">
        <v>9963293.2100000009</v>
      </c>
      <c r="E998" s="67">
        <v>14992910.210000001</v>
      </c>
      <c r="F998" s="67">
        <v>20093882.073004678</v>
      </c>
      <c r="G998" t="str">
        <f t="shared" si="30"/>
        <v>5025</v>
      </c>
      <c r="H998" t="str">
        <f t="shared" si="31"/>
        <v>Reserves</v>
      </c>
    </row>
    <row r="999" spans="1:8" x14ac:dyDescent="0.25">
      <c r="A999" t="s">
        <v>1977</v>
      </c>
      <c r="B999" t="s">
        <v>1464</v>
      </c>
      <c r="C999" s="67">
        <v>5278817</v>
      </c>
      <c r="D999" s="67">
        <v>5029617</v>
      </c>
      <c r="E999" s="67">
        <v>5100971.8630046761</v>
      </c>
      <c r="F999" s="67">
        <v>5466670.8334150044</v>
      </c>
      <c r="G999" t="str">
        <f t="shared" si="30"/>
        <v>5025</v>
      </c>
      <c r="H999" t="str">
        <f t="shared" si="31"/>
        <v>Reserves</v>
      </c>
    </row>
    <row r="1000" spans="1:8" x14ac:dyDescent="0.25">
      <c r="A1000" t="s">
        <v>950</v>
      </c>
      <c r="B1000" t="s">
        <v>150</v>
      </c>
      <c r="C1000" s="67">
        <v>1687888</v>
      </c>
      <c r="D1000" s="67">
        <v>1687888</v>
      </c>
      <c r="E1000" s="67">
        <v>1806040.2777000002</v>
      </c>
      <c r="F1000" s="67">
        <v>1932463.0971390002</v>
      </c>
      <c r="G1000" t="str">
        <f t="shared" si="30"/>
        <v>5030</v>
      </c>
      <c r="H1000" t="str">
        <f t="shared" si="31"/>
        <v>Employee related costs</v>
      </c>
    </row>
    <row r="1001" spans="1:8" x14ac:dyDescent="0.25">
      <c r="A1001" t="s">
        <v>951</v>
      </c>
      <c r="B1001" t="s">
        <v>150</v>
      </c>
      <c r="C1001" s="67">
        <v>80600</v>
      </c>
      <c r="D1001" s="67">
        <v>80600</v>
      </c>
      <c r="E1001" s="67">
        <v>86242</v>
      </c>
      <c r="F1001" s="67">
        <v>100000</v>
      </c>
      <c r="G1001" t="str">
        <f t="shared" si="30"/>
        <v>5030</v>
      </c>
      <c r="H1001" t="str">
        <f t="shared" si="31"/>
        <v>Employee related costs</v>
      </c>
    </row>
    <row r="1002" spans="1:8" x14ac:dyDescent="0.25">
      <c r="A1002" t="s">
        <v>952</v>
      </c>
      <c r="B1002" t="s">
        <v>151</v>
      </c>
      <c r="C1002" s="67">
        <v>84394</v>
      </c>
      <c r="D1002" s="67">
        <v>33868.36</v>
      </c>
      <c r="E1002" s="67">
        <v>25335.57</v>
      </c>
      <c r="F1002" s="67">
        <v>27768.03</v>
      </c>
      <c r="G1002" t="str">
        <f t="shared" si="30"/>
        <v>5030</v>
      </c>
      <c r="H1002" t="str">
        <f t="shared" si="31"/>
        <v>Employee related costs</v>
      </c>
    </row>
    <row r="1003" spans="1:8" x14ac:dyDescent="0.25">
      <c r="A1003" t="s">
        <v>953</v>
      </c>
      <c r="B1003" t="s">
        <v>152</v>
      </c>
      <c r="C1003" s="67">
        <v>52200</v>
      </c>
      <c r="D1003" s="67">
        <v>52200</v>
      </c>
      <c r="E1003" s="67">
        <v>150503.35647500001</v>
      </c>
      <c r="F1003" s="67">
        <v>161038.59142825002</v>
      </c>
      <c r="G1003" t="str">
        <f t="shared" si="30"/>
        <v>5030</v>
      </c>
      <c r="H1003" t="str">
        <f t="shared" si="31"/>
        <v>Employee related costs</v>
      </c>
    </row>
    <row r="1004" spans="1:8" x14ac:dyDescent="0.25">
      <c r="A1004" t="s">
        <v>954</v>
      </c>
      <c r="B1004" t="s">
        <v>153</v>
      </c>
      <c r="C1004" s="67">
        <v>10893</v>
      </c>
      <c r="D1004" s="67">
        <v>10893</v>
      </c>
      <c r="E1004" s="67">
        <v>55854</v>
      </c>
      <c r="F1004" s="67">
        <v>59763.78</v>
      </c>
      <c r="G1004" t="str">
        <f t="shared" si="30"/>
        <v>5030</v>
      </c>
      <c r="H1004" t="str">
        <f t="shared" si="31"/>
        <v>Employee related costs</v>
      </c>
    </row>
    <row r="1005" spans="1:8" x14ac:dyDescent="0.25">
      <c r="A1005" t="s">
        <v>955</v>
      </c>
      <c r="B1005" t="s">
        <v>155</v>
      </c>
      <c r="C1005" s="67">
        <v>55271</v>
      </c>
      <c r="D1005" s="67">
        <v>55271</v>
      </c>
      <c r="E1005" s="67">
        <v>11655.766799999999</v>
      </c>
      <c r="F1005" s="67">
        <v>12471.670475999999</v>
      </c>
      <c r="G1005" t="str">
        <f t="shared" si="30"/>
        <v>5030</v>
      </c>
      <c r="H1005" t="str">
        <f t="shared" si="31"/>
        <v>Employee related costs</v>
      </c>
    </row>
    <row r="1006" spans="1:8" x14ac:dyDescent="0.25">
      <c r="A1006" t="s">
        <v>956</v>
      </c>
      <c r="B1006" t="s">
        <v>156</v>
      </c>
      <c r="C1006" s="67">
        <v>365236</v>
      </c>
      <c r="D1006" s="67">
        <v>365236</v>
      </c>
      <c r="E1006" s="67">
        <v>59139.909066871231</v>
      </c>
      <c r="F1006" s="67">
        <v>63279.702701552218</v>
      </c>
      <c r="G1006" t="str">
        <f t="shared" si="30"/>
        <v>5030</v>
      </c>
      <c r="H1006" t="str">
        <f t="shared" si="31"/>
        <v>Employee related costs</v>
      </c>
    </row>
    <row r="1007" spans="1:8" x14ac:dyDescent="0.25">
      <c r="A1007" t="s">
        <v>957</v>
      </c>
      <c r="B1007" t="s">
        <v>157</v>
      </c>
      <c r="C1007" s="67">
        <v>7383</v>
      </c>
      <c r="D1007" s="67">
        <v>15000</v>
      </c>
      <c r="E1007" s="67">
        <v>390802.54942500003</v>
      </c>
      <c r="F1007" s="67">
        <v>418158.72788475006</v>
      </c>
      <c r="G1007" t="str">
        <f t="shared" si="30"/>
        <v>5030</v>
      </c>
      <c r="H1007" t="str">
        <f t="shared" si="31"/>
        <v>Employee related costs</v>
      </c>
    </row>
    <row r="1008" spans="1:8" x14ac:dyDescent="0.25">
      <c r="A1008" t="s">
        <v>958</v>
      </c>
      <c r="B1008" t="s">
        <v>158</v>
      </c>
      <c r="C1008" s="67">
        <v>12841</v>
      </c>
      <c r="D1008" s="92">
        <v>12841</v>
      </c>
      <c r="E1008" s="67">
        <v>7899.6238199999998</v>
      </c>
      <c r="F1008" s="67">
        <v>8452.5974874000003</v>
      </c>
      <c r="G1008" t="str">
        <f t="shared" si="30"/>
        <v>5030</v>
      </c>
      <c r="H1008" t="str">
        <f t="shared" si="31"/>
        <v>Employee related costs</v>
      </c>
    </row>
    <row r="1009" spans="1:8" x14ac:dyDescent="0.25">
      <c r="A1009" t="s">
        <v>959</v>
      </c>
      <c r="B1009" t="s">
        <v>159</v>
      </c>
      <c r="C1009" s="67">
        <v>140657</v>
      </c>
      <c r="D1009" s="67">
        <v>140657</v>
      </c>
      <c r="E1009" s="67">
        <v>13739.780950320001</v>
      </c>
      <c r="F1009" s="67">
        <v>14701.565616842401</v>
      </c>
      <c r="G1009" t="str">
        <f t="shared" si="30"/>
        <v>5030</v>
      </c>
      <c r="H1009" t="str">
        <f t="shared" si="31"/>
        <v>Employee related costs</v>
      </c>
    </row>
    <row r="1010" spans="1:8" x14ac:dyDescent="0.25">
      <c r="A1010" t="s">
        <v>960</v>
      </c>
      <c r="B1010" t="s">
        <v>161</v>
      </c>
      <c r="C1010" s="67">
        <v>57035</v>
      </c>
      <c r="D1010" s="67">
        <v>57035</v>
      </c>
      <c r="E1010" s="67">
        <v>61027.703803999997</v>
      </c>
      <c r="F1010" s="67">
        <v>0</v>
      </c>
      <c r="G1010" t="str">
        <f t="shared" si="30"/>
        <v>5030</v>
      </c>
      <c r="H1010" t="str">
        <f t="shared" si="31"/>
        <v>Employee related costs</v>
      </c>
    </row>
    <row r="1011" spans="1:8" x14ac:dyDescent="0.25">
      <c r="A1011" t="s">
        <v>961</v>
      </c>
      <c r="B1011" t="s">
        <v>164</v>
      </c>
      <c r="C1011" s="67">
        <v>15692</v>
      </c>
      <c r="D1011" s="67">
        <v>15692</v>
      </c>
      <c r="E1011" s="67">
        <v>16790.868000000002</v>
      </c>
      <c r="F1011" s="67">
        <v>17966.228760000002</v>
      </c>
      <c r="G1011" t="str">
        <f t="shared" si="30"/>
        <v>5030</v>
      </c>
      <c r="H1011" t="str">
        <f t="shared" si="31"/>
        <v>Employee related costs</v>
      </c>
    </row>
    <row r="1012" spans="1:8" x14ac:dyDescent="0.25">
      <c r="A1012" t="s">
        <v>962</v>
      </c>
      <c r="B1012" t="s">
        <v>167</v>
      </c>
      <c r="C1012" s="67">
        <v>449</v>
      </c>
      <c r="D1012" s="67">
        <v>449</v>
      </c>
      <c r="E1012" s="67">
        <v>480.85799999999995</v>
      </c>
      <c r="F1012" s="67">
        <v>514.51805999999999</v>
      </c>
      <c r="G1012" t="str">
        <f t="shared" si="30"/>
        <v>5030</v>
      </c>
      <c r="H1012" t="str">
        <f t="shared" si="31"/>
        <v>Employee related costs</v>
      </c>
    </row>
    <row r="1013" spans="1:8" x14ac:dyDescent="0.25">
      <c r="A1013" t="s">
        <v>963</v>
      </c>
      <c r="B1013" t="s">
        <v>168</v>
      </c>
      <c r="C1013" s="67">
        <v>161725</v>
      </c>
      <c r="D1013" s="67">
        <v>161725</v>
      </c>
      <c r="E1013" s="67">
        <v>173045.32200000001</v>
      </c>
      <c r="F1013" s="67">
        <v>185158.49454000001</v>
      </c>
      <c r="G1013" t="str">
        <f t="shared" si="30"/>
        <v>5030</v>
      </c>
      <c r="H1013" t="str">
        <f t="shared" si="31"/>
        <v>Employee related costs</v>
      </c>
    </row>
    <row r="1014" spans="1:8" x14ac:dyDescent="0.25">
      <c r="A1014" t="s">
        <v>964</v>
      </c>
      <c r="B1014" t="s">
        <v>169</v>
      </c>
      <c r="C1014" s="67">
        <v>371335</v>
      </c>
      <c r="D1014" s="67">
        <v>371335</v>
      </c>
      <c r="E1014" s="67">
        <v>397328.86109400005</v>
      </c>
      <c r="F1014" s="67">
        <v>425141.88137058006</v>
      </c>
      <c r="G1014" t="str">
        <f t="shared" si="30"/>
        <v>5030</v>
      </c>
      <c r="H1014" t="str">
        <f t="shared" si="31"/>
        <v>Employee related costs</v>
      </c>
    </row>
    <row r="1015" spans="1:8" x14ac:dyDescent="0.25">
      <c r="A1015" t="s">
        <v>965</v>
      </c>
      <c r="B1015" t="s">
        <v>170</v>
      </c>
      <c r="C1015" s="67">
        <v>7140</v>
      </c>
      <c r="D1015" s="67">
        <v>7140</v>
      </c>
      <c r="E1015" s="67">
        <v>7639.8</v>
      </c>
      <c r="F1015" s="67">
        <v>8174.5860000000002</v>
      </c>
      <c r="G1015" t="str">
        <f t="shared" si="30"/>
        <v>5030</v>
      </c>
      <c r="H1015" t="str">
        <f t="shared" si="31"/>
        <v>Employee related costs</v>
      </c>
    </row>
    <row r="1016" spans="1:8" x14ac:dyDescent="0.25">
      <c r="A1016" t="s">
        <v>966</v>
      </c>
      <c r="B1016" t="s">
        <v>173</v>
      </c>
      <c r="C1016" s="67">
        <v>32206</v>
      </c>
      <c r="D1016" s="67">
        <v>32206</v>
      </c>
      <c r="E1016" s="67">
        <v>34138.338799999998</v>
      </c>
      <c r="F1016" s="67">
        <v>36528.022515999997</v>
      </c>
      <c r="G1016" t="str">
        <f t="shared" si="30"/>
        <v>5030</v>
      </c>
      <c r="H1016" t="str">
        <f t="shared" si="31"/>
        <v>Employee related costs</v>
      </c>
    </row>
    <row r="1017" spans="1:8" x14ac:dyDescent="0.25">
      <c r="A1017" t="s">
        <v>967</v>
      </c>
      <c r="B1017" t="s">
        <v>174</v>
      </c>
      <c r="C1017" s="67">
        <v>40124</v>
      </c>
      <c r="D1017" s="67">
        <v>40124</v>
      </c>
      <c r="E1017" s="67">
        <v>42531.630799999999</v>
      </c>
      <c r="F1017" s="67">
        <v>45508.844956000001</v>
      </c>
      <c r="G1017" t="str">
        <f t="shared" si="30"/>
        <v>5030</v>
      </c>
      <c r="H1017" t="str">
        <f t="shared" si="31"/>
        <v>Employee related costs</v>
      </c>
    </row>
    <row r="1018" spans="1:8" x14ac:dyDescent="0.25">
      <c r="A1018" t="s">
        <v>968</v>
      </c>
      <c r="B1018" t="s">
        <v>175</v>
      </c>
      <c r="C1018" s="67">
        <v>29542</v>
      </c>
      <c r="D1018" s="67">
        <v>29542</v>
      </c>
      <c r="E1018" s="67">
        <v>31314.732</v>
      </c>
      <c r="F1018" s="67">
        <v>33506.76324</v>
      </c>
      <c r="G1018" t="str">
        <f t="shared" si="30"/>
        <v>5030</v>
      </c>
      <c r="H1018" t="str">
        <f t="shared" si="31"/>
        <v>Employee related costs</v>
      </c>
    </row>
    <row r="1019" spans="1:8" x14ac:dyDescent="0.25">
      <c r="A1019" t="s">
        <v>969</v>
      </c>
      <c r="B1019" t="s">
        <v>246</v>
      </c>
      <c r="C1019" s="67">
        <v>402221</v>
      </c>
      <c r="D1019" s="67">
        <v>402221</v>
      </c>
      <c r="E1019" s="67">
        <v>426354.51439999999</v>
      </c>
      <c r="F1019" s="67">
        <v>449377.65817760001</v>
      </c>
      <c r="G1019" t="str">
        <f t="shared" si="30"/>
        <v>5030</v>
      </c>
      <c r="H1019" t="str">
        <f t="shared" si="31"/>
        <v>General expenses</v>
      </c>
    </row>
    <row r="1020" spans="1:8" x14ac:dyDescent="0.25">
      <c r="A1020" t="s">
        <v>970</v>
      </c>
      <c r="B1020" t="s">
        <v>252</v>
      </c>
      <c r="C1020" s="67">
        <v>8917</v>
      </c>
      <c r="D1020" s="67">
        <v>8917</v>
      </c>
      <c r="E1020" s="67">
        <v>9451.7231999999985</v>
      </c>
      <c r="F1020" s="67">
        <v>9962.1162527999986</v>
      </c>
      <c r="G1020" t="str">
        <f t="shared" si="30"/>
        <v>5030</v>
      </c>
      <c r="H1020" t="str">
        <f t="shared" si="31"/>
        <v>General expenses</v>
      </c>
    </row>
    <row r="1021" spans="1:8" x14ac:dyDescent="0.25">
      <c r="A1021" t="s">
        <v>971</v>
      </c>
      <c r="B1021" t="s">
        <v>265</v>
      </c>
      <c r="C1021" s="67">
        <v>0</v>
      </c>
      <c r="D1021" s="67">
        <v>30000</v>
      </c>
      <c r="E1021" s="67">
        <v>0</v>
      </c>
      <c r="F1021" s="67">
        <v>0</v>
      </c>
      <c r="G1021" t="str">
        <f t="shared" si="30"/>
        <v>5030</v>
      </c>
      <c r="H1021" t="str">
        <f t="shared" si="31"/>
        <v>General expenses</v>
      </c>
    </row>
    <row r="1022" spans="1:8" x14ac:dyDescent="0.25">
      <c r="A1022" t="s">
        <v>972</v>
      </c>
      <c r="B1022" t="s">
        <v>268</v>
      </c>
      <c r="C1022" s="67">
        <v>0</v>
      </c>
      <c r="D1022" s="67">
        <v>40000</v>
      </c>
      <c r="E1022" s="67">
        <v>0</v>
      </c>
      <c r="F1022" s="67">
        <v>0</v>
      </c>
      <c r="G1022" t="str">
        <f t="shared" si="30"/>
        <v>5030</v>
      </c>
      <c r="H1022" t="str">
        <f t="shared" si="31"/>
        <v>General expenses</v>
      </c>
    </row>
    <row r="1023" spans="1:8" x14ac:dyDescent="0.25">
      <c r="A1023" t="s">
        <v>973</v>
      </c>
      <c r="B1023" t="s">
        <v>283</v>
      </c>
      <c r="C1023" s="67">
        <v>1255286</v>
      </c>
      <c r="D1023" s="67">
        <v>1255286</v>
      </c>
      <c r="E1023" s="67">
        <v>1330603.0751999998</v>
      </c>
      <c r="F1023" s="67">
        <v>1402455.6412608</v>
      </c>
      <c r="G1023" t="str">
        <f t="shared" si="30"/>
        <v>5030</v>
      </c>
      <c r="H1023" t="str">
        <f t="shared" si="31"/>
        <v>Finance costs</v>
      </c>
    </row>
    <row r="1024" spans="1:8" x14ac:dyDescent="0.25">
      <c r="A1024" t="s">
        <v>974</v>
      </c>
      <c r="B1024" t="s">
        <v>292</v>
      </c>
      <c r="C1024" s="67">
        <v>23297</v>
      </c>
      <c r="D1024" s="67">
        <v>23297</v>
      </c>
      <c r="E1024" s="67">
        <v>26791.55</v>
      </c>
      <c r="F1024" s="67">
        <v>30810.282499999998</v>
      </c>
      <c r="G1024" t="str">
        <f t="shared" si="30"/>
        <v>5030</v>
      </c>
      <c r="H1024" t="str">
        <f t="shared" si="31"/>
        <v>Depreciation and amortisation</v>
      </c>
    </row>
    <row r="1025" spans="1:8" x14ac:dyDescent="0.25">
      <c r="A1025" t="s">
        <v>975</v>
      </c>
      <c r="B1025" t="s">
        <v>293</v>
      </c>
      <c r="C1025" s="67">
        <v>18297</v>
      </c>
      <c r="D1025" s="67">
        <v>18297</v>
      </c>
      <c r="E1025" s="67">
        <v>21041.55</v>
      </c>
      <c r="F1025" s="67">
        <v>24197.782499999998</v>
      </c>
      <c r="G1025" t="str">
        <f t="shared" si="30"/>
        <v>5030</v>
      </c>
      <c r="H1025" t="str">
        <f t="shared" si="31"/>
        <v>Depreciation and amortisation</v>
      </c>
    </row>
    <row r="1026" spans="1:8" x14ac:dyDescent="0.25">
      <c r="A1026" t="s">
        <v>1978</v>
      </c>
      <c r="B1026" t="s">
        <v>1404</v>
      </c>
      <c r="C1026" s="67">
        <v>-4920629</v>
      </c>
      <c r="D1026" s="67">
        <v>-4990629</v>
      </c>
      <c r="E1026" s="67">
        <v>-5250719.8054201901</v>
      </c>
      <c r="F1026" s="67">
        <v>-5536255.7077245228</v>
      </c>
      <c r="G1026" t="str">
        <f t="shared" ref="G1026:G1089" si="32">VLOOKUP(A1026,s,2,FALSE)</f>
        <v>5030</v>
      </c>
      <c r="H1026" t="str">
        <f t="shared" ref="H1026:H1089" si="33">VLOOKUP(A1026,s,3,FALSE)</f>
        <v>Accumulated surplus</v>
      </c>
    </row>
    <row r="1027" spans="1:8" x14ac:dyDescent="0.25">
      <c r="A1027" t="s">
        <v>1979</v>
      </c>
      <c r="B1027" t="s">
        <v>1930</v>
      </c>
      <c r="C1027" s="67">
        <v>24370</v>
      </c>
      <c r="D1027" s="67">
        <v>1094197.96</v>
      </c>
      <c r="E1027" s="67">
        <v>1094197.96</v>
      </c>
      <c r="F1027" s="67">
        <v>1094197.96</v>
      </c>
      <c r="G1027" t="str">
        <f t="shared" si="32"/>
        <v>5030</v>
      </c>
      <c r="H1027" t="str">
        <f t="shared" si="33"/>
        <v>Receivables from exchange transactions</v>
      </c>
    </row>
    <row r="1028" spans="1:8" x14ac:dyDescent="0.25">
      <c r="A1028" t="s">
        <v>1980</v>
      </c>
      <c r="B1028" t="s">
        <v>1981</v>
      </c>
      <c r="C1028" s="67">
        <v>0</v>
      </c>
      <c r="D1028" s="67">
        <v>0</v>
      </c>
      <c r="E1028" s="67">
        <v>0</v>
      </c>
      <c r="F1028" s="67">
        <v>0</v>
      </c>
      <c r="G1028" t="str">
        <f t="shared" si="32"/>
        <v>5030</v>
      </c>
      <c r="H1028" t="str">
        <f t="shared" si="33"/>
        <v>Receivables from exchange transactions</v>
      </c>
    </row>
    <row r="1029" spans="1:8" x14ac:dyDescent="0.25">
      <c r="A1029" t="s">
        <v>1982</v>
      </c>
      <c r="B1029" t="s">
        <v>1983</v>
      </c>
      <c r="C1029" s="67">
        <v>0</v>
      </c>
      <c r="D1029" s="67">
        <v>0</v>
      </c>
      <c r="E1029" s="67">
        <v>0</v>
      </c>
      <c r="F1029" s="67">
        <v>0</v>
      </c>
      <c r="G1029" t="str">
        <f t="shared" si="32"/>
        <v>5030</v>
      </c>
      <c r="H1029" t="str">
        <f t="shared" si="33"/>
        <v>Receivables from exchange transactions</v>
      </c>
    </row>
    <row r="1030" spans="1:8" x14ac:dyDescent="0.25">
      <c r="A1030" t="s">
        <v>1984</v>
      </c>
      <c r="B1030" t="s">
        <v>1985</v>
      </c>
      <c r="C1030" s="67">
        <v>0</v>
      </c>
      <c r="D1030" s="67">
        <v>0</v>
      </c>
      <c r="E1030" s="67">
        <v>0</v>
      </c>
      <c r="F1030" s="67">
        <v>0</v>
      </c>
      <c r="G1030" t="str">
        <f t="shared" si="32"/>
        <v>5030</v>
      </c>
      <c r="H1030" t="str">
        <f t="shared" si="33"/>
        <v>VAT</v>
      </c>
    </row>
    <row r="1031" spans="1:8" x14ac:dyDescent="0.25">
      <c r="A1031" t="s">
        <v>1986</v>
      </c>
      <c r="B1031" t="s">
        <v>1987</v>
      </c>
      <c r="C1031" s="67">
        <v>0</v>
      </c>
      <c r="D1031" s="67">
        <v>0</v>
      </c>
      <c r="E1031" s="67">
        <v>0</v>
      </c>
      <c r="F1031" s="67">
        <v>0</v>
      </c>
      <c r="G1031" t="str">
        <f t="shared" si="32"/>
        <v>5030</v>
      </c>
      <c r="H1031" t="str">
        <f t="shared" si="33"/>
        <v>VAT</v>
      </c>
    </row>
    <row r="1032" spans="1:8" x14ac:dyDescent="0.25">
      <c r="A1032" t="s">
        <v>1988</v>
      </c>
      <c r="B1032" t="s">
        <v>1989</v>
      </c>
      <c r="C1032" s="67">
        <v>0</v>
      </c>
      <c r="D1032" s="67">
        <v>0</v>
      </c>
      <c r="E1032" s="67">
        <v>0</v>
      </c>
      <c r="F1032" s="67">
        <v>0</v>
      </c>
      <c r="G1032" t="str">
        <f t="shared" si="32"/>
        <v>5030</v>
      </c>
      <c r="H1032" t="str">
        <f t="shared" si="33"/>
        <v>VAT</v>
      </c>
    </row>
    <row r="1033" spans="1:8" x14ac:dyDescent="0.25">
      <c r="A1033" t="s">
        <v>1990</v>
      </c>
      <c r="B1033" t="s">
        <v>1991</v>
      </c>
      <c r="C1033" s="67">
        <v>0</v>
      </c>
      <c r="D1033" s="67">
        <v>0</v>
      </c>
      <c r="E1033" s="67">
        <v>0</v>
      </c>
      <c r="F1033" s="67">
        <v>0</v>
      </c>
      <c r="G1033" t="str">
        <f t="shared" si="32"/>
        <v>5030</v>
      </c>
      <c r="H1033" t="str">
        <f t="shared" si="33"/>
        <v>VAT</v>
      </c>
    </row>
    <row r="1034" spans="1:8" x14ac:dyDescent="0.25">
      <c r="A1034" t="s">
        <v>1992</v>
      </c>
      <c r="B1034" t="s">
        <v>1428</v>
      </c>
      <c r="C1034" s="67">
        <v>133553</v>
      </c>
      <c r="D1034" s="67">
        <v>123862.98</v>
      </c>
      <c r="E1034" s="67">
        <v>123862.98</v>
      </c>
      <c r="F1034" s="67">
        <v>123862.98</v>
      </c>
      <c r="G1034" t="str">
        <f t="shared" si="32"/>
        <v>5030</v>
      </c>
      <c r="H1034" t="str">
        <f t="shared" si="33"/>
        <v>Non-Current Assets (Cost)</v>
      </c>
    </row>
    <row r="1035" spans="1:8" x14ac:dyDescent="0.25">
      <c r="A1035" t="s">
        <v>1993</v>
      </c>
      <c r="B1035" t="s">
        <v>1430</v>
      </c>
      <c r="C1035" s="67">
        <v>-89512</v>
      </c>
      <c r="D1035" s="67">
        <v>-76461.73</v>
      </c>
      <c r="E1035" s="67">
        <v>-94758.73</v>
      </c>
      <c r="F1035" s="67">
        <v>-115800.28</v>
      </c>
      <c r="G1035" t="str">
        <f t="shared" si="32"/>
        <v>5030</v>
      </c>
      <c r="H1035" t="str">
        <f t="shared" si="33"/>
        <v>Non-Current Assets (Acc Depreciation)</v>
      </c>
    </row>
    <row r="1036" spans="1:8" x14ac:dyDescent="0.25">
      <c r="A1036" t="s">
        <v>1994</v>
      </c>
      <c r="B1036" t="s">
        <v>1432</v>
      </c>
      <c r="C1036" s="67">
        <v>-18298</v>
      </c>
      <c r="D1036" s="67">
        <v>-18297</v>
      </c>
      <c r="E1036" s="67">
        <v>-21041.55</v>
      </c>
      <c r="F1036" s="67">
        <v>-24197.782499999998</v>
      </c>
      <c r="G1036" t="str">
        <f t="shared" si="32"/>
        <v>5030</v>
      </c>
      <c r="H1036" t="str">
        <f t="shared" si="33"/>
        <v>Non-Current Assets (Depreciation)</v>
      </c>
    </row>
    <row r="1037" spans="1:8" x14ac:dyDescent="0.25">
      <c r="A1037" t="s">
        <v>1995</v>
      </c>
      <c r="B1037" t="s">
        <v>1434</v>
      </c>
      <c r="C1037" s="67">
        <v>101583</v>
      </c>
      <c r="D1037" s="67">
        <v>83419.63</v>
      </c>
      <c r="E1037" s="67">
        <v>83419.63</v>
      </c>
      <c r="F1037" s="67">
        <v>83419.63</v>
      </c>
      <c r="G1037" t="str">
        <f t="shared" si="32"/>
        <v>5030</v>
      </c>
      <c r="H1037" t="str">
        <f t="shared" si="33"/>
        <v>Non-Current Assets (Cost)</v>
      </c>
    </row>
    <row r="1038" spans="1:8" x14ac:dyDescent="0.25">
      <c r="A1038" t="s">
        <v>1996</v>
      </c>
      <c r="B1038" t="s">
        <v>1436</v>
      </c>
      <c r="C1038" s="67">
        <v>-64133</v>
      </c>
      <c r="D1038" s="67">
        <v>-57451.1</v>
      </c>
      <c r="E1038" s="67">
        <v>-80748.100000000006</v>
      </c>
      <c r="F1038" s="67">
        <v>-107539.65000000001</v>
      </c>
      <c r="G1038" t="str">
        <f t="shared" si="32"/>
        <v>5030</v>
      </c>
      <c r="H1038" t="str">
        <f t="shared" si="33"/>
        <v>Non-Current Assets (Acc Depreciation)</v>
      </c>
    </row>
    <row r="1039" spans="1:8" x14ac:dyDescent="0.25">
      <c r="A1039" t="s">
        <v>1997</v>
      </c>
      <c r="B1039" t="s">
        <v>1438</v>
      </c>
      <c r="C1039" s="67">
        <v>-21979</v>
      </c>
      <c r="D1039" s="67">
        <v>-23297</v>
      </c>
      <c r="E1039" s="67">
        <v>-26791.55</v>
      </c>
      <c r="F1039" s="67">
        <v>-30810.282499999998</v>
      </c>
      <c r="G1039" t="str">
        <f t="shared" si="32"/>
        <v>5030</v>
      </c>
      <c r="H1039" t="str">
        <f t="shared" si="33"/>
        <v>Non-Current Assets (Depreciation)</v>
      </c>
    </row>
    <row r="1040" spans="1:8" x14ac:dyDescent="0.25">
      <c r="A1040" t="s">
        <v>1998</v>
      </c>
      <c r="B1040" t="s">
        <v>1460</v>
      </c>
      <c r="C1040" s="67">
        <v>-158279</v>
      </c>
      <c r="D1040" s="67">
        <v>-158279</v>
      </c>
      <c r="E1040" s="67">
        <v>-174106.9</v>
      </c>
      <c r="F1040" s="67">
        <v>-191517.59</v>
      </c>
      <c r="G1040" t="str">
        <f t="shared" si="32"/>
        <v>5030</v>
      </c>
      <c r="H1040" t="str">
        <f t="shared" si="33"/>
        <v>Current Employee Benefits</v>
      </c>
    </row>
    <row r="1041" spans="1:8" x14ac:dyDescent="0.25">
      <c r="A1041" t="s">
        <v>1999</v>
      </c>
      <c r="B1041" t="s">
        <v>1462</v>
      </c>
      <c r="C1041" s="67">
        <v>-2569453</v>
      </c>
      <c r="D1041" s="67">
        <v>6537685.75</v>
      </c>
      <c r="E1041" s="67">
        <v>11528314.75</v>
      </c>
      <c r="F1041" s="67">
        <v>16779034.55542019</v>
      </c>
      <c r="G1041" t="str">
        <f t="shared" si="32"/>
        <v>5030</v>
      </c>
      <c r="H1041" t="str">
        <f t="shared" si="33"/>
        <v>Reserves</v>
      </c>
    </row>
    <row r="1042" spans="1:8" x14ac:dyDescent="0.25">
      <c r="A1042" t="s">
        <v>2000</v>
      </c>
      <c r="B1042" t="s">
        <v>1464</v>
      </c>
      <c r="C1042" s="67">
        <v>4920629</v>
      </c>
      <c r="D1042" s="67">
        <v>4990629</v>
      </c>
      <c r="E1042" s="67">
        <v>5250719.8054201901</v>
      </c>
      <c r="F1042" s="67">
        <v>5536255.7077245228</v>
      </c>
      <c r="G1042" t="str">
        <f t="shared" si="32"/>
        <v>5030</v>
      </c>
      <c r="H1042" t="str">
        <f t="shared" si="33"/>
        <v>Reserves</v>
      </c>
    </row>
    <row r="1043" spans="1:8" x14ac:dyDescent="0.25">
      <c r="A1043" t="s">
        <v>977</v>
      </c>
      <c r="B1043" t="s">
        <v>31</v>
      </c>
      <c r="C1043" s="67">
        <v>-1167000</v>
      </c>
      <c r="D1043" s="67">
        <v>-1167000</v>
      </c>
      <c r="E1043" s="67">
        <v>0</v>
      </c>
      <c r="F1043" s="67">
        <v>0</v>
      </c>
      <c r="G1043" t="str">
        <f t="shared" si="32"/>
        <v>5505</v>
      </c>
      <c r="H1043" t="str">
        <f t="shared" si="33"/>
        <v>Government grants &amp; subsidies</v>
      </c>
    </row>
    <row r="1044" spans="1:8" x14ac:dyDescent="0.25">
      <c r="A1044" t="s">
        <v>978</v>
      </c>
      <c r="B1044" t="s">
        <v>139</v>
      </c>
      <c r="C1044" s="67">
        <v>651161</v>
      </c>
      <c r="D1044" s="67">
        <v>651161</v>
      </c>
      <c r="E1044" s="67">
        <v>696742.69799999986</v>
      </c>
      <c r="F1044" s="67">
        <v>745514.6868599999</v>
      </c>
      <c r="G1044" t="str">
        <f t="shared" si="32"/>
        <v>5505</v>
      </c>
      <c r="H1044" t="str">
        <f t="shared" si="33"/>
        <v>Employee related costs</v>
      </c>
    </row>
    <row r="1045" spans="1:8" x14ac:dyDescent="0.25">
      <c r="A1045" t="s">
        <v>979</v>
      </c>
      <c r="B1045" t="s">
        <v>140</v>
      </c>
      <c r="C1045" s="67">
        <v>32558</v>
      </c>
      <c r="D1045" s="67">
        <v>32558</v>
      </c>
      <c r="E1045" s="67">
        <v>34837.134899999997</v>
      </c>
      <c r="F1045" s="67">
        <v>37275.734342999996</v>
      </c>
      <c r="G1045" t="str">
        <f t="shared" si="32"/>
        <v>5505</v>
      </c>
      <c r="H1045" t="str">
        <f t="shared" si="33"/>
        <v>Employee related costs</v>
      </c>
    </row>
    <row r="1046" spans="1:8" x14ac:dyDescent="0.25">
      <c r="A1046" t="s">
        <v>980</v>
      </c>
      <c r="B1046" t="s">
        <v>141</v>
      </c>
      <c r="C1046" s="67">
        <v>40000</v>
      </c>
      <c r="D1046" s="67">
        <v>40000</v>
      </c>
      <c r="E1046" s="67">
        <v>34728.604800000001</v>
      </c>
      <c r="F1046" s="67">
        <v>37159.607135999999</v>
      </c>
      <c r="G1046" t="str">
        <f t="shared" si="32"/>
        <v>5505</v>
      </c>
      <c r="H1046" t="str">
        <f t="shared" si="33"/>
        <v>Employee related costs</v>
      </c>
    </row>
    <row r="1047" spans="1:8" x14ac:dyDescent="0.25">
      <c r="A1047" t="s">
        <v>981</v>
      </c>
      <c r="B1047" t="s">
        <v>142</v>
      </c>
      <c r="C1047" s="67">
        <v>205628</v>
      </c>
      <c r="D1047" s="67">
        <v>205628</v>
      </c>
      <c r="E1047" s="67">
        <v>220022</v>
      </c>
      <c r="F1047" s="67">
        <v>235423</v>
      </c>
      <c r="G1047" t="str">
        <f t="shared" si="32"/>
        <v>5505</v>
      </c>
      <c r="H1047" t="str">
        <f t="shared" si="33"/>
        <v>Employee related costs</v>
      </c>
    </row>
    <row r="1048" spans="1:8" x14ac:dyDescent="0.25">
      <c r="A1048" t="s">
        <v>982</v>
      </c>
      <c r="B1048" t="s">
        <v>143</v>
      </c>
      <c r="C1048" s="67">
        <v>17000</v>
      </c>
      <c r="D1048" s="67">
        <v>17000</v>
      </c>
      <c r="E1048" s="67">
        <v>19880.389817759999</v>
      </c>
      <c r="F1048" s="67">
        <v>21272.017105003197</v>
      </c>
      <c r="G1048" t="str">
        <f t="shared" si="32"/>
        <v>5505</v>
      </c>
      <c r="H1048" t="str">
        <f t="shared" si="33"/>
        <v>Employee related costs</v>
      </c>
    </row>
    <row r="1049" spans="1:8" x14ac:dyDescent="0.25">
      <c r="A1049" t="s">
        <v>983</v>
      </c>
      <c r="B1049" t="s">
        <v>144</v>
      </c>
      <c r="C1049" s="67">
        <v>18580</v>
      </c>
      <c r="D1049" s="67">
        <v>0</v>
      </c>
      <c r="E1049" s="67">
        <v>42799.957199999997</v>
      </c>
      <c r="F1049" s="67">
        <v>45795.954203999994</v>
      </c>
      <c r="G1049" t="str">
        <f t="shared" si="32"/>
        <v>5505</v>
      </c>
      <c r="H1049" t="str">
        <f t="shared" si="33"/>
        <v>Employee related costs</v>
      </c>
    </row>
    <row r="1050" spans="1:8" x14ac:dyDescent="0.25">
      <c r="A1050" t="s">
        <v>984</v>
      </c>
      <c r="B1050" t="s">
        <v>150</v>
      </c>
      <c r="C1050" s="67">
        <v>215677</v>
      </c>
      <c r="D1050" s="67">
        <v>215677</v>
      </c>
      <c r="E1050" s="67">
        <v>230773.920912</v>
      </c>
      <c r="F1050" s="67">
        <v>246928.09537584</v>
      </c>
      <c r="G1050" t="str">
        <f t="shared" si="32"/>
        <v>5505</v>
      </c>
      <c r="H1050" t="str">
        <f t="shared" si="33"/>
        <v>Employee related costs</v>
      </c>
    </row>
    <row r="1051" spans="1:8" x14ac:dyDescent="0.25">
      <c r="A1051" t="s">
        <v>985</v>
      </c>
      <c r="B1051" t="s">
        <v>151</v>
      </c>
      <c r="C1051" s="67">
        <v>10078</v>
      </c>
      <c r="D1051" s="67">
        <v>8467.09</v>
      </c>
      <c r="E1051" s="67">
        <v>100</v>
      </c>
      <c r="F1051" s="67">
        <v>2532.46</v>
      </c>
      <c r="G1051" t="str">
        <f t="shared" si="32"/>
        <v>5505</v>
      </c>
      <c r="H1051" t="str">
        <f t="shared" si="33"/>
        <v>Employee related costs</v>
      </c>
    </row>
    <row r="1052" spans="1:8" x14ac:dyDescent="0.25">
      <c r="A1052" t="s">
        <v>986</v>
      </c>
      <c r="B1052" t="s">
        <v>155</v>
      </c>
      <c r="C1052" s="67">
        <v>7157</v>
      </c>
      <c r="D1052" s="67">
        <v>7157</v>
      </c>
      <c r="E1052" s="67">
        <v>7657.99</v>
      </c>
      <c r="F1052" s="67">
        <v>8194.0493000000006</v>
      </c>
      <c r="G1052" t="str">
        <f t="shared" si="32"/>
        <v>5505</v>
      </c>
      <c r="H1052" t="str">
        <f t="shared" si="33"/>
        <v>Employee related costs</v>
      </c>
    </row>
    <row r="1053" spans="1:8" x14ac:dyDescent="0.25">
      <c r="A1053" t="s">
        <v>987</v>
      </c>
      <c r="B1053" t="s">
        <v>157</v>
      </c>
      <c r="C1053" s="67">
        <v>36901</v>
      </c>
      <c r="D1053" s="67">
        <v>36901</v>
      </c>
      <c r="E1053" s="67">
        <v>39484.07</v>
      </c>
      <c r="F1053" s="67">
        <v>42247.954899999997</v>
      </c>
      <c r="G1053" t="str">
        <f t="shared" si="32"/>
        <v>5505</v>
      </c>
      <c r="H1053" t="str">
        <f t="shared" si="33"/>
        <v>Employee related costs</v>
      </c>
    </row>
    <row r="1054" spans="1:8" x14ac:dyDescent="0.25">
      <c r="A1054" t="s">
        <v>988</v>
      </c>
      <c r="B1054" t="s">
        <v>159</v>
      </c>
      <c r="C1054" s="67">
        <v>17973</v>
      </c>
      <c r="D1054" s="67">
        <v>17973</v>
      </c>
      <c r="E1054" s="67">
        <v>19231.11</v>
      </c>
      <c r="F1054" s="67">
        <v>20577.287700000001</v>
      </c>
      <c r="G1054" t="str">
        <f t="shared" si="32"/>
        <v>5505</v>
      </c>
      <c r="H1054" t="str">
        <f t="shared" si="33"/>
        <v>Employee related costs</v>
      </c>
    </row>
    <row r="1055" spans="1:8" x14ac:dyDescent="0.25">
      <c r="A1055" t="s">
        <v>989</v>
      </c>
      <c r="B1055" t="s">
        <v>164</v>
      </c>
      <c r="C1055" s="67">
        <v>32457</v>
      </c>
      <c r="D1055" s="67">
        <v>32457</v>
      </c>
      <c r="E1055" s="67">
        <v>34728.99</v>
      </c>
      <c r="F1055" s="67">
        <v>37160.0193</v>
      </c>
      <c r="G1055" t="str">
        <f t="shared" si="32"/>
        <v>5505</v>
      </c>
      <c r="H1055" t="str">
        <f t="shared" si="33"/>
        <v>Employee related costs</v>
      </c>
    </row>
    <row r="1056" spans="1:8" x14ac:dyDescent="0.25">
      <c r="A1056" t="s">
        <v>990</v>
      </c>
      <c r="B1056" t="s">
        <v>167</v>
      </c>
      <c r="C1056" s="67">
        <v>112</v>
      </c>
      <c r="D1056" s="67">
        <v>112</v>
      </c>
      <c r="E1056" s="67">
        <v>120.21449999999999</v>
      </c>
      <c r="F1056" s="67">
        <v>128.629515</v>
      </c>
      <c r="G1056" t="str">
        <f t="shared" si="32"/>
        <v>5505</v>
      </c>
      <c r="H1056" t="str">
        <f t="shared" si="33"/>
        <v>Employee related costs</v>
      </c>
    </row>
    <row r="1057" spans="1:8" x14ac:dyDescent="0.25">
      <c r="A1057" t="s">
        <v>991</v>
      </c>
      <c r="B1057" t="s">
        <v>168</v>
      </c>
      <c r="C1057" s="67">
        <v>53908</v>
      </c>
      <c r="D1057" s="67">
        <v>33908</v>
      </c>
      <c r="E1057" s="67">
        <v>57681.774000000005</v>
      </c>
      <c r="F1057" s="67">
        <v>61719.498180000002</v>
      </c>
      <c r="G1057" t="str">
        <f t="shared" si="32"/>
        <v>5505</v>
      </c>
      <c r="H1057" t="str">
        <f t="shared" si="33"/>
        <v>Employee related costs</v>
      </c>
    </row>
    <row r="1058" spans="1:8" x14ac:dyDescent="0.25">
      <c r="A1058" t="s">
        <v>992</v>
      </c>
      <c r="B1058" t="s">
        <v>169</v>
      </c>
      <c r="C1058" s="67">
        <v>47449</v>
      </c>
      <c r="D1058" s="67">
        <v>47449</v>
      </c>
      <c r="E1058" s="67">
        <v>50770.262600639995</v>
      </c>
      <c r="F1058" s="67">
        <v>54324.180982684797</v>
      </c>
      <c r="G1058" t="str">
        <f t="shared" si="32"/>
        <v>5505</v>
      </c>
      <c r="H1058" t="str">
        <f t="shared" si="33"/>
        <v>Employee related costs</v>
      </c>
    </row>
    <row r="1059" spans="1:8" x14ac:dyDescent="0.25">
      <c r="A1059" t="s">
        <v>993</v>
      </c>
      <c r="B1059" t="s">
        <v>170</v>
      </c>
      <c r="C1059" s="67">
        <v>1785</v>
      </c>
      <c r="D1059" s="67">
        <v>1785</v>
      </c>
      <c r="E1059" s="67">
        <v>1909.95</v>
      </c>
      <c r="F1059" s="67">
        <v>2043.6465000000001</v>
      </c>
      <c r="G1059" t="str">
        <f t="shared" si="32"/>
        <v>5505</v>
      </c>
      <c r="H1059" t="str">
        <f t="shared" si="33"/>
        <v>Employee related costs</v>
      </c>
    </row>
    <row r="1060" spans="1:8" x14ac:dyDescent="0.25">
      <c r="A1060" t="s">
        <v>994</v>
      </c>
      <c r="B1060" t="s">
        <v>173</v>
      </c>
      <c r="C1060" s="67">
        <v>1667</v>
      </c>
      <c r="D1060" s="67">
        <v>1667</v>
      </c>
      <c r="E1060" s="67">
        <v>1767.4228000000001</v>
      </c>
      <c r="F1060" s="67">
        <v>1891.142396</v>
      </c>
      <c r="G1060" t="str">
        <f t="shared" si="32"/>
        <v>5505</v>
      </c>
      <c r="H1060" t="str">
        <f t="shared" si="33"/>
        <v>Employee related costs</v>
      </c>
    </row>
    <row r="1061" spans="1:8" x14ac:dyDescent="0.25">
      <c r="A1061" t="s">
        <v>995</v>
      </c>
      <c r="B1061" t="s">
        <v>174</v>
      </c>
      <c r="C1061" s="67">
        <v>978</v>
      </c>
      <c r="D1061" s="67">
        <v>978</v>
      </c>
      <c r="E1061" s="67">
        <v>1037.0827999999999</v>
      </c>
      <c r="F1061" s="67">
        <v>1109.678596</v>
      </c>
      <c r="G1061" t="str">
        <f t="shared" si="32"/>
        <v>5505</v>
      </c>
      <c r="H1061" t="str">
        <f t="shared" si="33"/>
        <v>Employee related costs</v>
      </c>
    </row>
    <row r="1062" spans="1:8" x14ac:dyDescent="0.25">
      <c r="A1062" t="s">
        <v>996</v>
      </c>
      <c r="B1062" t="s">
        <v>175</v>
      </c>
      <c r="C1062" s="67">
        <v>2483</v>
      </c>
      <c r="D1062" s="67">
        <v>2483</v>
      </c>
      <c r="E1062" s="67">
        <v>2631.4712</v>
      </c>
      <c r="F1062" s="67">
        <v>2815.674184</v>
      </c>
      <c r="G1062" t="str">
        <f t="shared" si="32"/>
        <v>5505</v>
      </c>
      <c r="H1062" t="str">
        <f t="shared" si="33"/>
        <v>Employee related costs</v>
      </c>
    </row>
    <row r="1063" spans="1:8" x14ac:dyDescent="0.25">
      <c r="A1063" t="s">
        <v>997</v>
      </c>
      <c r="B1063" t="s">
        <v>235</v>
      </c>
      <c r="C1063" s="67">
        <v>120000</v>
      </c>
      <c r="D1063" s="67">
        <v>70000</v>
      </c>
      <c r="E1063" s="67">
        <v>127200</v>
      </c>
      <c r="F1063" s="67">
        <v>134068.79999999999</v>
      </c>
      <c r="G1063" t="str">
        <f t="shared" si="32"/>
        <v>5505</v>
      </c>
      <c r="H1063" t="str">
        <f t="shared" si="33"/>
        <v>Contracted services</v>
      </c>
    </row>
    <row r="1064" spans="1:8" x14ac:dyDescent="0.25">
      <c r="A1064" t="s">
        <v>998</v>
      </c>
      <c r="B1064" t="s">
        <v>242</v>
      </c>
      <c r="C1064" s="67">
        <v>57680</v>
      </c>
      <c r="D1064" s="67">
        <v>27680</v>
      </c>
      <c r="E1064" s="67">
        <v>61140.694000000003</v>
      </c>
      <c r="F1064" s="67">
        <v>64442.291476000006</v>
      </c>
      <c r="G1064" t="str">
        <f t="shared" si="32"/>
        <v>5505</v>
      </c>
      <c r="H1064" t="str">
        <f t="shared" si="33"/>
        <v>General expenses</v>
      </c>
    </row>
    <row r="1065" spans="1:8" x14ac:dyDescent="0.25">
      <c r="A1065" t="s">
        <v>999</v>
      </c>
      <c r="B1065" t="s">
        <v>253</v>
      </c>
      <c r="C1065" s="67">
        <v>2000</v>
      </c>
      <c r="D1065" s="67">
        <v>2000</v>
      </c>
      <c r="E1065" s="67">
        <v>2000</v>
      </c>
      <c r="F1065" s="67">
        <v>2000</v>
      </c>
      <c r="G1065" t="str">
        <f t="shared" si="32"/>
        <v>5505</v>
      </c>
      <c r="H1065" t="str">
        <f t="shared" si="33"/>
        <v>General expenses</v>
      </c>
    </row>
    <row r="1066" spans="1:8" x14ac:dyDescent="0.25">
      <c r="A1066" t="s">
        <v>1000</v>
      </c>
      <c r="B1066" t="s">
        <v>261</v>
      </c>
      <c r="C1066" s="67">
        <v>3147</v>
      </c>
      <c r="D1066" s="67">
        <v>3147</v>
      </c>
      <c r="E1066" s="67">
        <v>3335.9683999999997</v>
      </c>
      <c r="F1066" s="67">
        <v>3516.1106935999996</v>
      </c>
      <c r="G1066" t="str">
        <f t="shared" si="32"/>
        <v>5505</v>
      </c>
      <c r="H1066" t="str">
        <f t="shared" si="33"/>
        <v>General expenses</v>
      </c>
    </row>
    <row r="1067" spans="1:8" x14ac:dyDescent="0.25">
      <c r="A1067" t="s">
        <v>1001</v>
      </c>
      <c r="B1067" t="s">
        <v>265</v>
      </c>
      <c r="C1067" s="67">
        <v>214343</v>
      </c>
      <c r="D1067" s="67">
        <v>24343</v>
      </c>
      <c r="E1067" s="67">
        <v>227203.15600000002</v>
      </c>
      <c r="F1067" s="67">
        <v>239472.12642400002</v>
      </c>
      <c r="G1067" t="str">
        <f t="shared" si="32"/>
        <v>5505</v>
      </c>
      <c r="H1067" t="str">
        <f t="shared" si="33"/>
        <v>General expenses</v>
      </c>
    </row>
    <row r="1068" spans="1:8" x14ac:dyDescent="0.25">
      <c r="A1068" t="s">
        <v>1002</v>
      </c>
      <c r="B1068" t="s">
        <v>268</v>
      </c>
      <c r="C1068" s="67">
        <v>341356</v>
      </c>
      <c r="D1068" s="67">
        <v>61356</v>
      </c>
      <c r="E1068" s="67">
        <v>361837.40239999996</v>
      </c>
      <c r="F1068" s="67">
        <v>381376.62212959997</v>
      </c>
      <c r="G1068" t="str">
        <f t="shared" si="32"/>
        <v>5505</v>
      </c>
      <c r="H1068" t="str">
        <f t="shared" si="33"/>
        <v>General expenses</v>
      </c>
    </row>
    <row r="1069" spans="1:8" x14ac:dyDescent="0.25">
      <c r="A1069" t="s">
        <v>1003</v>
      </c>
      <c r="B1069" t="s">
        <v>268</v>
      </c>
      <c r="C1069" s="67">
        <v>299131</v>
      </c>
      <c r="D1069" s="67">
        <v>149131</v>
      </c>
      <c r="E1069" s="67">
        <v>317078.79639999999</v>
      </c>
      <c r="F1069" s="67">
        <v>334201.05140559998</v>
      </c>
      <c r="G1069" t="str">
        <f t="shared" si="32"/>
        <v>5505</v>
      </c>
      <c r="H1069" t="str">
        <f t="shared" si="33"/>
        <v>General expenses</v>
      </c>
    </row>
    <row r="1070" spans="1:8" x14ac:dyDescent="0.25">
      <c r="A1070" t="s">
        <v>1004</v>
      </c>
      <c r="B1070" t="s">
        <v>269</v>
      </c>
      <c r="C1070" s="67">
        <v>25440</v>
      </c>
      <c r="D1070" s="67">
        <v>15440</v>
      </c>
      <c r="E1070" s="67">
        <v>26966.400000000001</v>
      </c>
      <c r="F1070" s="67">
        <v>28422.585600000002</v>
      </c>
      <c r="G1070" t="str">
        <f t="shared" si="32"/>
        <v>5505</v>
      </c>
      <c r="H1070" t="str">
        <f t="shared" si="33"/>
        <v>General expenses</v>
      </c>
    </row>
    <row r="1071" spans="1:8" x14ac:dyDescent="0.25">
      <c r="A1071" t="s">
        <v>1005</v>
      </c>
      <c r="B1071" t="s">
        <v>272</v>
      </c>
      <c r="C1071" s="67">
        <v>20324</v>
      </c>
      <c r="D1071" s="67">
        <v>5324</v>
      </c>
      <c r="E1071" s="67">
        <v>21543.9064</v>
      </c>
      <c r="F1071" s="67">
        <v>22707.2773456</v>
      </c>
      <c r="G1071" t="str">
        <f t="shared" si="32"/>
        <v>5505</v>
      </c>
      <c r="H1071" t="str">
        <f t="shared" si="33"/>
        <v>General expenses</v>
      </c>
    </row>
    <row r="1072" spans="1:8" x14ac:dyDescent="0.25">
      <c r="A1072" t="s">
        <v>1006</v>
      </c>
      <c r="B1072" t="s">
        <v>277</v>
      </c>
      <c r="C1072" s="67">
        <v>283871</v>
      </c>
      <c r="D1072" s="67">
        <v>283871</v>
      </c>
      <c r="E1072" s="67">
        <v>300903.45079999999</v>
      </c>
      <c r="F1072" s="67">
        <v>317152.23714320001</v>
      </c>
      <c r="G1072" t="str">
        <f t="shared" si="32"/>
        <v>5505</v>
      </c>
      <c r="H1072" t="str">
        <f t="shared" si="33"/>
        <v>General expenses</v>
      </c>
    </row>
    <row r="1073" spans="1:8" x14ac:dyDescent="0.25">
      <c r="A1073" t="s">
        <v>1007</v>
      </c>
      <c r="B1073" t="s">
        <v>278</v>
      </c>
      <c r="C1073" s="67">
        <v>94743</v>
      </c>
      <c r="D1073" s="92">
        <v>120000</v>
      </c>
      <c r="E1073" s="67">
        <v>100427.368</v>
      </c>
      <c r="F1073" s="67">
        <v>105850.445872</v>
      </c>
      <c r="G1073" t="str">
        <f t="shared" si="32"/>
        <v>5505</v>
      </c>
      <c r="H1073" t="str">
        <f t="shared" si="33"/>
        <v>General expenses</v>
      </c>
    </row>
    <row r="1074" spans="1:8" x14ac:dyDescent="0.25">
      <c r="A1074" t="s">
        <v>1008</v>
      </c>
      <c r="B1074" t="s">
        <v>292</v>
      </c>
      <c r="C1074" s="67">
        <v>3371</v>
      </c>
      <c r="D1074" s="67">
        <v>3371</v>
      </c>
      <c r="E1074" s="67">
        <v>3876.65</v>
      </c>
      <c r="F1074" s="67">
        <v>4458.1475</v>
      </c>
      <c r="G1074" t="str">
        <f t="shared" si="32"/>
        <v>5505</v>
      </c>
      <c r="H1074" t="str">
        <f t="shared" si="33"/>
        <v>Depreciation and amortisation</v>
      </c>
    </row>
    <row r="1075" spans="1:8" x14ac:dyDescent="0.25">
      <c r="A1075" t="s">
        <v>1009</v>
      </c>
      <c r="B1075" t="s">
        <v>293</v>
      </c>
      <c r="C1075" s="67">
        <v>20133</v>
      </c>
      <c r="D1075" s="67">
        <v>20133</v>
      </c>
      <c r="E1075" s="67">
        <v>23152.95</v>
      </c>
      <c r="F1075" s="67">
        <v>26625.892500000002</v>
      </c>
      <c r="G1075" t="str">
        <f t="shared" si="32"/>
        <v>5505</v>
      </c>
      <c r="H1075" t="str">
        <f t="shared" si="33"/>
        <v>Depreciation and amortisation</v>
      </c>
    </row>
    <row r="1076" spans="1:8" x14ac:dyDescent="0.25">
      <c r="A1076" t="s">
        <v>1010</v>
      </c>
      <c r="B1076" t="s">
        <v>296</v>
      </c>
      <c r="C1076" s="67">
        <v>170617</v>
      </c>
      <c r="D1076" s="67">
        <v>170617</v>
      </c>
      <c r="E1076" s="67">
        <v>196209.55</v>
      </c>
      <c r="F1076" s="67">
        <v>225640.98249999998</v>
      </c>
      <c r="G1076" t="str">
        <f t="shared" si="32"/>
        <v>5505</v>
      </c>
      <c r="H1076" t="str">
        <f t="shared" si="33"/>
        <v>Depreciation and amortisation</v>
      </c>
    </row>
    <row r="1077" spans="1:8" x14ac:dyDescent="0.25">
      <c r="A1077" t="s">
        <v>1011</v>
      </c>
      <c r="B1077" t="s">
        <v>297</v>
      </c>
      <c r="C1077" s="67">
        <v>871352</v>
      </c>
      <c r="D1077" s="67">
        <v>871352</v>
      </c>
      <c r="E1077" s="67">
        <v>1002054.8</v>
      </c>
      <c r="F1077" s="67">
        <v>1152363.02</v>
      </c>
      <c r="G1077" t="str">
        <f t="shared" si="32"/>
        <v>5505</v>
      </c>
      <c r="H1077" t="str">
        <f t="shared" si="33"/>
        <v>Depreciation and amortisation</v>
      </c>
    </row>
    <row r="1078" spans="1:8" x14ac:dyDescent="0.25">
      <c r="A1078" t="s">
        <v>1012</v>
      </c>
      <c r="B1078" t="s">
        <v>298</v>
      </c>
      <c r="C1078" s="67">
        <v>0</v>
      </c>
      <c r="D1078" s="67">
        <v>0</v>
      </c>
      <c r="E1078" s="67">
        <v>0</v>
      </c>
      <c r="F1078" s="67">
        <v>0</v>
      </c>
      <c r="G1078" t="str">
        <f t="shared" si="32"/>
        <v>5505</v>
      </c>
      <c r="H1078" t="str">
        <f t="shared" si="33"/>
        <v>Depreciation and amortisation</v>
      </c>
    </row>
    <row r="1079" spans="1:8" x14ac:dyDescent="0.25">
      <c r="A1079" t="s">
        <v>1013</v>
      </c>
      <c r="B1079" t="s">
        <v>299</v>
      </c>
      <c r="C1079" s="67">
        <v>5688</v>
      </c>
      <c r="D1079" s="67">
        <v>5688</v>
      </c>
      <c r="E1079" s="67">
        <v>6541.2</v>
      </c>
      <c r="F1079" s="67">
        <v>7522.38</v>
      </c>
      <c r="G1079" t="str">
        <f t="shared" si="32"/>
        <v>5505</v>
      </c>
      <c r="H1079" t="str">
        <f t="shared" si="33"/>
        <v>Depreciation and amortisation</v>
      </c>
    </row>
    <row r="1080" spans="1:8" x14ac:dyDescent="0.25">
      <c r="A1080" t="s">
        <v>1014</v>
      </c>
      <c r="B1080" t="s">
        <v>300</v>
      </c>
      <c r="C1080" s="67">
        <v>398294</v>
      </c>
      <c r="D1080" s="67">
        <v>398294</v>
      </c>
      <c r="E1080" s="67">
        <v>458038.1</v>
      </c>
      <c r="F1080" s="67">
        <v>526743.81499999994</v>
      </c>
      <c r="G1080" t="str">
        <f t="shared" si="32"/>
        <v>5505</v>
      </c>
      <c r="H1080" t="str">
        <f t="shared" si="33"/>
        <v>Depreciation and amortisation</v>
      </c>
    </row>
    <row r="1081" spans="1:8" x14ac:dyDescent="0.25">
      <c r="A1081" t="s">
        <v>1015</v>
      </c>
      <c r="B1081" t="s">
        <v>303</v>
      </c>
      <c r="C1081" s="67">
        <v>412489</v>
      </c>
      <c r="D1081" s="67">
        <v>412489</v>
      </c>
      <c r="E1081" s="67">
        <v>474362.35</v>
      </c>
      <c r="F1081" s="67">
        <v>545516.70250000001</v>
      </c>
      <c r="G1081" t="str">
        <f t="shared" si="32"/>
        <v>5505</v>
      </c>
      <c r="H1081" t="str">
        <f t="shared" si="33"/>
        <v>Depreciation and amortisation</v>
      </c>
    </row>
    <row r="1082" spans="1:8" x14ac:dyDescent="0.25">
      <c r="A1082" t="s">
        <v>2001</v>
      </c>
      <c r="B1082" t="s">
        <v>1404</v>
      </c>
      <c r="C1082" s="67">
        <v>-3570531</v>
      </c>
      <c r="D1082" s="67">
        <v>-3146951</v>
      </c>
      <c r="E1082" s="67">
        <v>-5571461.6140103992</v>
      </c>
      <c r="F1082" s="67">
        <v>-6085200.0407127282</v>
      </c>
      <c r="G1082" t="str">
        <f t="shared" si="32"/>
        <v>5505</v>
      </c>
      <c r="H1082" t="str">
        <f t="shared" si="33"/>
        <v>Accumulated surplus</v>
      </c>
    </row>
    <row r="1083" spans="1:8" x14ac:dyDescent="0.25">
      <c r="A1083" t="s">
        <v>2002</v>
      </c>
      <c r="B1083" t="s">
        <v>1410</v>
      </c>
      <c r="C1083" s="67">
        <v>0</v>
      </c>
      <c r="D1083" s="67">
        <v>0</v>
      </c>
      <c r="E1083" s="67">
        <v>0</v>
      </c>
      <c r="F1083" s="67">
        <v>0</v>
      </c>
      <c r="G1083" t="str">
        <f t="shared" si="32"/>
        <v>5505</v>
      </c>
      <c r="H1083" t="str">
        <f t="shared" si="33"/>
        <v>Non-Current Assets (Acc Depreciation)</v>
      </c>
    </row>
    <row r="1084" spans="1:8" x14ac:dyDescent="0.25">
      <c r="A1084" t="s">
        <v>2003</v>
      </c>
      <c r="B1084" t="s">
        <v>1550</v>
      </c>
      <c r="C1084" s="67">
        <v>0</v>
      </c>
      <c r="D1084" s="67">
        <v>297790</v>
      </c>
      <c r="E1084" s="67">
        <v>297790</v>
      </c>
      <c r="F1084" s="67">
        <v>297790</v>
      </c>
      <c r="G1084" t="str">
        <f t="shared" si="32"/>
        <v>5505</v>
      </c>
      <c r="H1084" t="str">
        <f t="shared" si="33"/>
        <v>Non-Current Assets (Cost)</v>
      </c>
    </row>
    <row r="1085" spans="1:8" x14ac:dyDescent="0.25">
      <c r="A1085" t="s">
        <v>2004</v>
      </c>
      <c r="B1085" t="s">
        <v>1412</v>
      </c>
      <c r="C1085" s="67">
        <v>10113125</v>
      </c>
      <c r="D1085" s="67">
        <v>9830661.6400000006</v>
      </c>
      <c r="E1085" s="67">
        <v>9830661.6400000006</v>
      </c>
      <c r="F1085" s="67">
        <v>9830661.6400000006</v>
      </c>
      <c r="G1085" t="str">
        <f t="shared" si="32"/>
        <v>5505</v>
      </c>
      <c r="H1085" t="str">
        <f t="shared" si="33"/>
        <v>Non-Current Assets (Cost)</v>
      </c>
    </row>
    <row r="1086" spans="1:8" x14ac:dyDescent="0.25">
      <c r="A1086" t="s">
        <v>2005</v>
      </c>
      <c r="B1086" t="s">
        <v>1414</v>
      </c>
      <c r="C1086" s="67">
        <v>-4056354</v>
      </c>
      <c r="D1086" s="67">
        <v>-3025512.7199999997</v>
      </c>
      <c r="E1086" s="67">
        <v>-3896864.7199999997</v>
      </c>
      <c r="F1086" s="67">
        <v>-4898919.5199999996</v>
      </c>
      <c r="G1086" t="str">
        <f t="shared" si="32"/>
        <v>5505</v>
      </c>
      <c r="H1086" t="str">
        <f t="shared" si="33"/>
        <v>Non-Current Assets (Acc Depreciation)</v>
      </c>
    </row>
    <row r="1087" spans="1:8" x14ac:dyDescent="0.25">
      <c r="A1087" t="s">
        <v>2006</v>
      </c>
      <c r="B1087" t="s">
        <v>1416</v>
      </c>
      <c r="C1087" s="67">
        <v>0</v>
      </c>
      <c r="D1087" s="67">
        <v>0</v>
      </c>
      <c r="E1087" s="67">
        <v>0</v>
      </c>
      <c r="F1087" s="67">
        <v>0</v>
      </c>
      <c r="G1087" t="str">
        <f t="shared" si="32"/>
        <v>5505</v>
      </c>
      <c r="H1087" t="str">
        <f t="shared" si="33"/>
        <v>Non-Current Assets (Acc Depreciation)</v>
      </c>
    </row>
    <row r="1088" spans="1:8" x14ac:dyDescent="0.25">
      <c r="A1088" t="s">
        <v>2007</v>
      </c>
      <c r="B1088" t="s">
        <v>1495</v>
      </c>
      <c r="C1088" s="67">
        <v>-871353</v>
      </c>
      <c r="D1088" s="67">
        <v>-871352</v>
      </c>
      <c r="E1088" s="67">
        <v>-1002054.8</v>
      </c>
      <c r="F1088" s="67">
        <v>-1152363.02</v>
      </c>
      <c r="G1088" t="str">
        <f t="shared" si="32"/>
        <v>5505</v>
      </c>
      <c r="H1088" t="str">
        <f t="shared" si="33"/>
        <v>Non-Current Assets (Depreciation)</v>
      </c>
    </row>
    <row r="1089" spans="1:8" x14ac:dyDescent="0.25">
      <c r="A1089" t="s">
        <v>2008</v>
      </c>
      <c r="B1089" t="s">
        <v>1422</v>
      </c>
      <c r="C1089" s="67">
        <v>1381239</v>
      </c>
      <c r="D1089" s="67">
        <v>2419383.5</v>
      </c>
      <c r="E1089" s="67">
        <v>2419383.5</v>
      </c>
      <c r="F1089" s="67">
        <v>2419383.5</v>
      </c>
      <c r="G1089" t="str">
        <f t="shared" si="32"/>
        <v>5505</v>
      </c>
      <c r="H1089" t="str">
        <f t="shared" si="33"/>
        <v>Non-Current Assets (Cost)</v>
      </c>
    </row>
    <row r="1090" spans="1:8" x14ac:dyDescent="0.25">
      <c r="A1090" t="s">
        <v>2009</v>
      </c>
      <c r="B1090" t="s">
        <v>1424</v>
      </c>
      <c r="C1090" s="67">
        <v>-819213</v>
      </c>
      <c r="D1090" s="67">
        <v>-1115345.6299999999</v>
      </c>
      <c r="E1090" s="67">
        <v>-1285962.6299999999</v>
      </c>
      <c r="F1090" s="67">
        <v>-1482172.18</v>
      </c>
      <c r="G1090" t="str">
        <f t="shared" ref="G1090:G1153" si="34">VLOOKUP(A1090,s,2,FALSE)</f>
        <v>5505</v>
      </c>
      <c r="H1090" t="str">
        <f t="shared" ref="H1090:H1153" si="35">VLOOKUP(A1090,s,3,FALSE)</f>
        <v>Non-Current Assets (Acc Depreciation)</v>
      </c>
    </row>
    <row r="1091" spans="1:8" x14ac:dyDescent="0.25">
      <c r="A1091" t="s">
        <v>2010</v>
      </c>
      <c r="B1091" t="s">
        <v>1426</v>
      </c>
      <c r="C1091" s="67">
        <v>-170619</v>
      </c>
      <c r="D1091" s="67">
        <v>-170617</v>
      </c>
      <c r="E1091" s="67">
        <v>-196209.55</v>
      </c>
      <c r="F1091" s="67">
        <v>-225640.98249999998</v>
      </c>
      <c r="G1091" t="str">
        <f t="shared" si="34"/>
        <v>5505</v>
      </c>
      <c r="H1091" t="str">
        <f t="shared" si="35"/>
        <v>Non-Current Assets (Depreciation)</v>
      </c>
    </row>
    <row r="1092" spans="1:8" x14ac:dyDescent="0.25">
      <c r="A1092" t="s">
        <v>2011</v>
      </c>
      <c r="B1092" t="s">
        <v>1428</v>
      </c>
      <c r="C1092" s="67">
        <v>240233</v>
      </c>
      <c r="D1092" s="67">
        <v>209462.28999999998</v>
      </c>
      <c r="E1092" s="67">
        <v>209462.28999999998</v>
      </c>
      <c r="F1092" s="67">
        <v>209462.28999999998</v>
      </c>
      <c r="G1092" t="str">
        <f t="shared" si="34"/>
        <v>5505</v>
      </c>
      <c r="H1092" t="str">
        <f t="shared" si="35"/>
        <v>Non-Current Assets (Cost)</v>
      </c>
    </row>
    <row r="1093" spans="1:8" x14ac:dyDescent="0.25">
      <c r="A1093" t="s">
        <v>2012</v>
      </c>
      <c r="B1093" t="s">
        <v>1430</v>
      </c>
      <c r="C1093" s="67">
        <v>-168421</v>
      </c>
      <c r="D1093" s="67">
        <v>-138192.40999999997</v>
      </c>
      <c r="E1093" s="67">
        <v>-158325.40999999997</v>
      </c>
      <c r="F1093" s="67">
        <v>-181478.36</v>
      </c>
      <c r="G1093" t="str">
        <f t="shared" si="34"/>
        <v>5505</v>
      </c>
      <c r="H1093" t="str">
        <f t="shared" si="35"/>
        <v>Non-Current Assets (Acc Depreciation)</v>
      </c>
    </row>
    <row r="1094" spans="1:8" x14ac:dyDescent="0.25">
      <c r="A1094" t="s">
        <v>2013</v>
      </c>
      <c r="B1094" t="s">
        <v>1432</v>
      </c>
      <c r="C1094" s="67">
        <v>-20134</v>
      </c>
      <c r="D1094" s="67">
        <v>-20133</v>
      </c>
      <c r="E1094" s="67">
        <v>-23152.95</v>
      </c>
      <c r="F1094" s="67">
        <v>-26625.892500000002</v>
      </c>
      <c r="G1094" t="str">
        <f t="shared" si="34"/>
        <v>5505</v>
      </c>
      <c r="H1094" t="str">
        <f t="shared" si="35"/>
        <v>Non-Current Assets (Depreciation)</v>
      </c>
    </row>
    <row r="1095" spans="1:8" x14ac:dyDescent="0.25">
      <c r="A1095" t="s">
        <v>2014</v>
      </c>
      <c r="B1095" t="s">
        <v>1434</v>
      </c>
      <c r="C1095" s="67">
        <v>54428</v>
      </c>
      <c r="D1095" s="67">
        <v>53602.26</v>
      </c>
      <c r="E1095" s="67">
        <v>53602.26</v>
      </c>
      <c r="F1095" s="67">
        <v>53602.26</v>
      </c>
      <c r="G1095" t="str">
        <f t="shared" si="34"/>
        <v>5505</v>
      </c>
      <c r="H1095" t="str">
        <f t="shared" si="35"/>
        <v>Non-Current Assets (Cost)</v>
      </c>
    </row>
    <row r="1096" spans="1:8" x14ac:dyDescent="0.25">
      <c r="A1096" t="s">
        <v>2015</v>
      </c>
      <c r="B1096" t="s">
        <v>1436</v>
      </c>
      <c r="C1096" s="67">
        <v>-42129</v>
      </c>
      <c r="D1096" s="67">
        <v>-39092.28</v>
      </c>
      <c r="E1096" s="67">
        <v>-42463.28</v>
      </c>
      <c r="F1096" s="67">
        <v>-46339.93</v>
      </c>
      <c r="G1096" t="str">
        <f t="shared" si="34"/>
        <v>5505</v>
      </c>
      <c r="H1096" t="str">
        <f t="shared" si="35"/>
        <v>Non-Current Assets (Acc Depreciation)</v>
      </c>
    </row>
    <row r="1097" spans="1:8" x14ac:dyDescent="0.25">
      <c r="A1097" t="s">
        <v>2016</v>
      </c>
      <c r="B1097" t="s">
        <v>1438</v>
      </c>
      <c r="C1097" s="67">
        <v>-3180</v>
      </c>
      <c r="D1097" s="67">
        <v>-3371</v>
      </c>
      <c r="E1097" s="67">
        <v>-3876.65</v>
      </c>
      <c r="F1097" s="67">
        <v>-4458.1475</v>
      </c>
      <c r="G1097" t="str">
        <f t="shared" si="34"/>
        <v>5505</v>
      </c>
      <c r="H1097" t="str">
        <f t="shared" si="35"/>
        <v>Non-Current Assets (Depreciation)</v>
      </c>
    </row>
    <row r="1098" spans="1:8" x14ac:dyDescent="0.25">
      <c r="A1098" t="s">
        <v>2017</v>
      </c>
      <c r="B1098" t="s">
        <v>1440</v>
      </c>
      <c r="C1098" s="67">
        <v>101260</v>
      </c>
      <c r="D1098" s="67">
        <v>101260.44</v>
      </c>
      <c r="E1098" s="67">
        <v>101260.44</v>
      </c>
      <c r="F1098" s="67">
        <v>101260.44</v>
      </c>
      <c r="G1098" t="str">
        <f t="shared" si="34"/>
        <v>5505</v>
      </c>
      <c r="H1098" t="str">
        <f t="shared" si="35"/>
        <v>Non-Current Assets (Cost)</v>
      </c>
    </row>
    <row r="1099" spans="1:8" x14ac:dyDescent="0.25">
      <c r="A1099" t="s">
        <v>2018</v>
      </c>
      <c r="B1099" t="s">
        <v>1442</v>
      </c>
      <c r="C1099" s="67">
        <v>-25844</v>
      </c>
      <c r="D1099" s="67">
        <v>-25549.62</v>
      </c>
      <c r="E1099" s="67">
        <v>-31237.62</v>
      </c>
      <c r="F1099" s="67">
        <v>-37778.82</v>
      </c>
      <c r="G1099" t="str">
        <f t="shared" si="34"/>
        <v>5505</v>
      </c>
      <c r="H1099" t="str">
        <f t="shared" si="35"/>
        <v>Non-Current Assets (Acc Depreciation)</v>
      </c>
    </row>
    <row r="1100" spans="1:8" x14ac:dyDescent="0.25">
      <c r="A1100" t="s">
        <v>2019</v>
      </c>
      <c r="B1100" t="s">
        <v>1444</v>
      </c>
      <c r="C1100" s="67">
        <v>-5690</v>
      </c>
      <c r="D1100" s="67">
        <v>-5688</v>
      </c>
      <c r="E1100" s="67">
        <v>-6541.2</v>
      </c>
      <c r="F1100" s="67">
        <v>-7522.38</v>
      </c>
      <c r="G1100" t="str">
        <f t="shared" si="34"/>
        <v>5505</v>
      </c>
      <c r="H1100" t="str">
        <f t="shared" si="35"/>
        <v>Non-Current Assets (Depreciation)</v>
      </c>
    </row>
    <row r="1101" spans="1:8" x14ac:dyDescent="0.25">
      <c r="A1101" t="s">
        <v>2020</v>
      </c>
      <c r="B1101" t="s">
        <v>1446</v>
      </c>
      <c r="C1101" s="67">
        <v>12306089</v>
      </c>
      <c r="D1101" s="67">
        <v>11137555.48</v>
      </c>
      <c r="E1101" s="67">
        <v>11137555.48</v>
      </c>
      <c r="F1101" s="67">
        <v>11137555.48</v>
      </c>
      <c r="G1101" t="str">
        <f t="shared" si="34"/>
        <v>5505</v>
      </c>
      <c r="H1101" t="str">
        <f t="shared" si="35"/>
        <v>Non-Current Assets (Cost)</v>
      </c>
    </row>
    <row r="1102" spans="1:8" x14ac:dyDescent="0.25">
      <c r="A1102" t="s">
        <v>2021</v>
      </c>
      <c r="B1102" t="s">
        <v>1448</v>
      </c>
      <c r="C1102" s="67">
        <v>-2964881</v>
      </c>
      <c r="D1102" s="67">
        <v>-2005570.19</v>
      </c>
      <c r="E1102" s="67">
        <v>-2403864.19</v>
      </c>
      <c r="F1102" s="67">
        <v>-2861902.29</v>
      </c>
      <c r="G1102" t="str">
        <f t="shared" si="34"/>
        <v>5505</v>
      </c>
      <c r="H1102" t="str">
        <f t="shared" si="35"/>
        <v>Non-Current Assets (Acc Depreciation)</v>
      </c>
    </row>
    <row r="1103" spans="1:8" x14ac:dyDescent="0.25">
      <c r="A1103" t="s">
        <v>2022</v>
      </c>
      <c r="B1103" t="s">
        <v>1450</v>
      </c>
      <c r="C1103" s="67">
        <v>-398296</v>
      </c>
      <c r="D1103" s="67">
        <v>-398294</v>
      </c>
      <c r="E1103" s="67">
        <v>-458038.1</v>
      </c>
      <c r="F1103" s="67">
        <v>-526743.81499999994</v>
      </c>
      <c r="G1103" t="str">
        <f t="shared" si="34"/>
        <v>5505</v>
      </c>
      <c r="H1103" t="str">
        <f t="shared" si="35"/>
        <v>Non-Current Assets (Depreciation)</v>
      </c>
    </row>
    <row r="1104" spans="1:8" x14ac:dyDescent="0.25">
      <c r="A1104" t="s">
        <v>2023</v>
      </c>
      <c r="B1104" t="s">
        <v>1452</v>
      </c>
      <c r="C1104" s="67">
        <v>9005312</v>
      </c>
      <c r="D1104" s="67">
        <v>8736922.7599999998</v>
      </c>
      <c r="E1104" s="67">
        <v>8736922.7599999998</v>
      </c>
      <c r="F1104" s="67">
        <v>8736922.7599999998</v>
      </c>
      <c r="G1104" t="str">
        <f t="shared" si="34"/>
        <v>5505</v>
      </c>
      <c r="H1104" t="str">
        <f t="shared" si="35"/>
        <v>Non-Current Assets (Cost)</v>
      </c>
    </row>
    <row r="1105" spans="1:8" x14ac:dyDescent="0.25">
      <c r="A1105" t="s">
        <v>2024</v>
      </c>
      <c r="B1105" t="s">
        <v>1454</v>
      </c>
      <c r="C1105" s="67">
        <v>-1604945</v>
      </c>
      <c r="D1105" s="67">
        <v>-67484.760000000009</v>
      </c>
      <c r="E1105" s="67">
        <v>-479973.76</v>
      </c>
      <c r="F1105" s="67">
        <v>-954336.11</v>
      </c>
      <c r="G1105" t="str">
        <f t="shared" si="34"/>
        <v>5505</v>
      </c>
      <c r="H1105" t="str">
        <f t="shared" si="35"/>
        <v>Non-Current Assets (Acc Depreciation)</v>
      </c>
    </row>
    <row r="1106" spans="1:8" x14ac:dyDescent="0.25">
      <c r="A1106" t="s">
        <v>2025</v>
      </c>
      <c r="B1106" t="s">
        <v>1456</v>
      </c>
      <c r="C1106" s="67">
        <v>-412492</v>
      </c>
      <c r="D1106" s="67">
        <v>-412489</v>
      </c>
      <c r="E1106" s="67">
        <v>-474362.35</v>
      </c>
      <c r="F1106" s="67">
        <v>-545516.70250000001</v>
      </c>
      <c r="G1106" t="str">
        <f t="shared" si="34"/>
        <v>5505</v>
      </c>
      <c r="H1106" t="str">
        <f t="shared" si="35"/>
        <v>Non-Current Assets (Depreciation)</v>
      </c>
    </row>
    <row r="1107" spans="1:8" x14ac:dyDescent="0.25">
      <c r="A1107" t="s">
        <v>2026</v>
      </c>
      <c r="B1107" t="s">
        <v>2027</v>
      </c>
      <c r="C1107" s="67">
        <v>10569402</v>
      </c>
      <c r="D1107" s="67">
        <v>10140402.960000001</v>
      </c>
      <c r="E1107" s="67">
        <v>10140402.960000001</v>
      </c>
      <c r="F1107" s="67">
        <v>10140402.960000001</v>
      </c>
      <c r="G1107" t="str">
        <f t="shared" si="34"/>
        <v>5505</v>
      </c>
      <c r="H1107" t="str">
        <f t="shared" si="35"/>
        <v>Non-Current Assets (Cost)</v>
      </c>
    </row>
    <row r="1108" spans="1:8" x14ac:dyDescent="0.25">
      <c r="A1108" t="s">
        <v>2028</v>
      </c>
      <c r="B1108" t="s">
        <v>1460</v>
      </c>
      <c r="C1108" s="67">
        <v>-380443</v>
      </c>
      <c r="D1108" s="67">
        <v>-380443</v>
      </c>
      <c r="E1108" s="67">
        <v>-418487.3</v>
      </c>
      <c r="F1108" s="67">
        <v>-460336.02999999997</v>
      </c>
      <c r="G1108" t="str">
        <f t="shared" si="34"/>
        <v>5505</v>
      </c>
      <c r="H1108" t="str">
        <f t="shared" si="35"/>
        <v>Current Employee Benefits</v>
      </c>
    </row>
    <row r="1109" spans="1:8" x14ac:dyDescent="0.25">
      <c r="A1109" t="s">
        <v>2029</v>
      </c>
      <c r="B1109" t="s">
        <v>1871</v>
      </c>
      <c r="C1109" s="67">
        <v>0</v>
      </c>
      <c r="D1109" s="67">
        <v>0</v>
      </c>
      <c r="E1109" s="67">
        <v>0</v>
      </c>
      <c r="F1109" s="67">
        <v>0</v>
      </c>
      <c r="G1109" t="str">
        <f t="shared" si="34"/>
        <v>5505</v>
      </c>
      <c r="H1109" t="str">
        <f t="shared" si="35"/>
        <v>Unspent conditional grants and receipts</v>
      </c>
    </row>
    <row r="1110" spans="1:8" x14ac:dyDescent="0.25">
      <c r="A1110" t="s">
        <v>2030</v>
      </c>
      <c r="B1110" t="s">
        <v>1462</v>
      </c>
      <c r="C1110" s="67">
        <v>-1055204</v>
      </c>
      <c r="D1110" s="67">
        <v>4354320.75</v>
      </c>
      <c r="E1110" s="67">
        <v>7501271.75</v>
      </c>
      <c r="F1110" s="67">
        <v>13072733.364010399</v>
      </c>
      <c r="G1110" t="str">
        <f t="shared" si="34"/>
        <v>5505</v>
      </c>
      <c r="H1110" t="str">
        <f t="shared" si="35"/>
        <v>Reserves</v>
      </c>
    </row>
    <row r="1111" spans="1:8" x14ac:dyDescent="0.25">
      <c r="A1111" t="s">
        <v>2031</v>
      </c>
      <c r="B1111" t="s">
        <v>1464</v>
      </c>
      <c r="C1111" s="67">
        <v>3570531</v>
      </c>
      <c r="D1111" s="67">
        <v>3146951</v>
      </c>
      <c r="E1111" s="67">
        <v>5571461.6140103992</v>
      </c>
      <c r="F1111" s="67">
        <v>6085200.0407127282</v>
      </c>
      <c r="G1111" t="str">
        <f t="shared" si="34"/>
        <v>5505</v>
      </c>
      <c r="H1111" t="str">
        <f t="shared" si="35"/>
        <v>Reserves</v>
      </c>
    </row>
    <row r="1112" spans="1:8" x14ac:dyDescent="0.25">
      <c r="A1112" t="s">
        <v>1017</v>
      </c>
      <c r="B1112" t="s">
        <v>150</v>
      </c>
      <c r="C1112" s="67">
        <v>686133</v>
      </c>
      <c r="D1112" s="67">
        <v>686133</v>
      </c>
      <c r="E1112" s="67">
        <v>734161.92480000004</v>
      </c>
      <c r="F1112" s="67">
        <v>785553.25953600009</v>
      </c>
      <c r="G1112" t="str">
        <f t="shared" si="34"/>
        <v>5510</v>
      </c>
      <c r="H1112" t="str">
        <f t="shared" si="35"/>
        <v>Employee related costs</v>
      </c>
    </row>
    <row r="1113" spans="1:8" x14ac:dyDescent="0.25">
      <c r="A1113" t="s">
        <v>1018</v>
      </c>
      <c r="B1113" t="s">
        <v>151</v>
      </c>
      <c r="C1113" s="67">
        <v>33502</v>
      </c>
      <c r="D1113" s="67">
        <v>8467.09</v>
      </c>
      <c r="E1113" s="67">
        <v>100</v>
      </c>
      <c r="F1113" s="67">
        <v>2532.46</v>
      </c>
      <c r="G1113" t="str">
        <f t="shared" si="34"/>
        <v>5510</v>
      </c>
      <c r="H1113" t="str">
        <f t="shared" si="35"/>
        <v>Employee related costs</v>
      </c>
    </row>
    <row r="1114" spans="1:8" x14ac:dyDescent="0.25">
      <c r="A1114" t="s">
        <v>1019</v>
      </c>
      <c r="B1114" t="s">
        <v>152</v>
      </c>
      <c r="C1114" s="67">
        <v>14100</v>
      </c>
      <c r="D1114" s="67">
        <v>14100</v>
      </c>
      <c r="E1114" s="67">
        <v>61180.160400000001</v>
      </c>
      <c r="F1114" s="67">
        <v>65462.771628000002</v>
      </c>
      <c r="G1114" t="str">
        <f t="shared" si="34"/>
        <v>5510</v>
      </c>
      <c r="H1114" t="str">
        <f t="shared" si="35"/>
        <v>Employee related costs</v>
      </c>
    </row>
    <row r="1115" spans="1:8" x14ac:dyDescent="0.25">
      <c r="A1115" t="s">
        <v>1020</v>
      </c>
      <c r="B1115" t="s">
        <v>155</v>
      </c>
      <c r="C1115" s="67">
        <v>23791</v>
      </c>
      <c r="D1115" s="67">
        <v>23791</v>
      </c>
      <c r="E1115" s="67">
        <v>15087</v>
      </c>
      <c r="F1115" s="67">
        <v>16143.09</v>
      </c>
      <c r="G1115" t="str">
        <f t="shared" si="34"/>
        <v>5510</v>
      </c>
      <c r="H1115" t="str">
        <f t="shared" si="35"/>
        <v>Employee related costs</v>
      </c>
    </row>
    <row r="1116" spans="1:8" x14ac:dyDescent="0.25">
      <c r="A1116" t="s">
        <v>1021</v>
      </c>
      <c r="B1116" t="s">
        <v>156</v>
      </c>
      <c r="C1116" s="67">
        <v>97889</v>
      </c>
      <c r="D1116" s="67">
        <v>0</v>
      </c>
      <c r="E1116" s="67">
        <v>25456.545613676713</v>
      </c>
      <c r="F1116" s="67">
        <v>27238.503806634082</v>
      </c>
      <c r="G1116" t="str">
        <f t="shared" si="34"/>
        <v>5510</v>
      </c>
      <c r="H1116" t="str">
        <f t="shared" si="35"/>
        <v>Employee related costs</v>
      </c>
    </row>
    <row r="1117" spans="1:8" x14ac:dyDescent="0.25">
      <c r="A1117" t="s">
        <v>1022</v>
      </c>
      <c r="B1117" t="s">
        <v>159</v>
      </c>
      <c r="C1117" s="67">
        <v>57178</v>
      </c>
      <c r="D1117" s="67">
        <v>57178</v>
      </c>
      <c r="E1117" s="67">
        <v>104740.98390000001</v>
      </c>
      <c r="F1117" s="67">
        <v>112072.85277300001</v>
      </c>
      <c r="G1117" t="str">
        <f t="shared" si="34"/>
        <v>5510</v>
      </c>
      <c r="H1117" t="str">
        <f t="shared" si="35"/>
        <v>Employee related costs</v>
      </c>
    </row>
    <row r="1118" spans="1:8" x14ac:dyDescent="0.25">
      <c r="A1118" t="s">
        <v>1023</v>
      </c>
      <c r="B1118" t="s">
        <v>161</v>
      </c>
      <c r="C1118" s="67">
        <v>57035</v>
      </c>
      <c r="D1118" s="67">
        <v>57035</v>
      </c>
      <c r="E1118" s="67">
        <v>61027.703803999997</v>
      </c>
      <c r="F1118" s="67">
        <v>65299.643070279999</v>
      </c>
      <c r="G1118" t="str">
        <f t="shared" si="34"/>
        <v>5510</v>
      </c>
      <c r="H1118" t="str">
        <f t="shared" si="35"/>
        <v>Employee related costs</v>
      </c>
    </row>
    <row r="1119" spans="1:8" x14ac:dyDescent="0.25">
      <c r="A1119" t="s">
        <v>1024</v>
      </c>
      <c r="B1119" t="s">
        <v>167</v>
      </c>
      <c r="C1119" s="67">
        <v>225</v>
      </c>
      <c r="D1119" s="67">
        <v>225</v>
      </c>
      <c r="E1119" s="67">
        <v>240.42899999999997</v>
      </c>
      <c r="F1119" s="67">
        <v>257.25903</v>
      </c>
      <c r="G1119" t="str">
        <f t="shared" si="34"/>
        <v>5510</v>
      </c>
      <c r="H1119" t="str">
        <f t="shared" si="35"/>
        <v>Employee related costs</v>
      </c>
    </row>
    <row r="1120" spans="1:8" x14ac:dyDescent="0.25">
      <c r="A1120" t="s">
        <v>1025</v>
      </c>
      <c r="B1120" t="s">
        <v>168</v>
      </c>
      <c r="C1120" s="67">
        <v>107816</v>
      </c>
      <c r="D1120" s="67">
        <v>27816</v>
      </c>
      <c r="E1120" s="67">
        <v>115363.54800000001</v>
      </c>
      <c r="F1120" s="67">
        <v>123438.99636</v>
      </c>
      <c r="G1120" t="str">
        <f t="shared" si="34"/>
        <v>5510</v>
      </c>
      <c r="H1120" t="str">
        <f t="shared" si="35"/>
        <v>Employee related costs</v>
      </c>
    </row>
    <row r="1121" spans="1:8" x14ac:dyDescent="0.25">
      <c r="A1121" t="s">
        <v>1026</v>
      </c>
      <c r="B1121" t="s">
        <v>169</v>
      </c>
      <c r="C1121" s="67">
        <v>150949</v>
      </c>
      <c r="D1121" s="67">
        <v>150949</v>
      </c>
      <c r="E1121" s="67">
        <v>161515.623456</v>
      </c>
      <c r="F1121" s="67">
        <v>172821.71709792002</v>
      </c>
      <c r="G1121" t="str">
        <f t="shared" si="34"/>
        <v>5510</v>
      </c>
      <c r="H1121" t="str">
        <f t="shared" si="35"/>
        <v>Employee related costs</v>
      </c>
    </row>
    <row r="1122" spans="1:8" x14ac:dyDescent="0.25">
      <c r="A1122" t="s">
        <v>1027</v>
      </c>
      <c r="B1122" t="s">
        <v>170</v>
      </c>
      <c r="C1122" s="67">
        <v>3570</v>
      </c>
      <c r="D1122" s="67">
        <v>3570</v>
      </c>
      <c r="E1122" s="67">
        <v>3819.9</v>
      </c>
      <c r="F1122" s="67">
        <v>4087.2930000000001</v>
      </c>
      <c r="G1122" t="str">
        <f t="shared" si="34"/>
        <v>5510</v>
      </c>
      <c r="H1122" t="str">
        <f t="shared" si="35"/>
        <v>Employee related costs</v>
      </c>
    </row>
    <row r="1123" spans="1:8" x14ac:dyDescent="0.25">
      <c r="A1123" t="s">
        <v>1028</v>
      </c>
      <c r="B1123" t="s">
        <v>173</v>
      </c>
      <c r="C1123" s="67">
        <v>19440</v>
      </c>
      <c r="D1123" s="67">
        <v>19440</v>
      </c>
      <c r="E1123" s="67">
        <v>20606.824000000001</v>
      </c>
      <c r="F1123" s="67">
        <v>22049.30168</v>
      </c>
      <c r="G1123" t="str">
        <f t="shared" si="34"/>
        <v>5510</v>
      </c>
      <c r="H1123" t="str">
        <f t="shared" si="35"/>
        <v>Employee related costs</v>
      </c>
    </row>
    <row r="1124" spans="1:8" x14ac:dyDescent="0.25">
      <c r="A1124" t="s">
        <v>1029</v>
      </c>
      <c r="B1124" t="s">
        <v>174</v>
      </c>
      <c r="C1124" s="67">
        <v>30812</v>
      </c>
      <c r="D1124" s="67">
        <v>30812</v>
      </c>
      <c r="E1124" s="67">
        <v>32660.804800000002</v>
      </c>
      <c r="F1124" s="67">
        <v>34947.061136000004</v>
      </c>
      <c r="G1124" t="str">
        <f t="shared" si="34"/>
        <v>5510</v>
      </c>
      <c r="H1124" t="str">
        <f t="shared" si="35"/>
        <v>Employee related costs</v>
      </c>
    </row>
    <row r="1125" spans="1:8" x14ac:dyDescent="0.25">
      <c r="A1125" t="s">
        <v>1030</v>
      </c>
      <c r="B1125" t="s">
        <v>175</v>
      </c>
      <c r="C1125" s="67">
        <v>8784</v>
      </c>
      <c r="D1125" s="67">
        <v>8784</v>
      </c>
      <c r="E1125" s="67">
        <v>9311.2731999999996</v>
      </c>
      <c r="F1125" s="67">
        <v>9963.0623240000004</v>
      </c>
      <c r="G1125" t="str">
        <f t="shared" si="34"/>
        <v>5510</v>
      </c>
      <c r="H1125" t="str">
        <f t="shared" si="35"/>
        <v>Employee related costs</v>
      </c>
    </row>
    <row r="1126" spans="1:8" x14ac:dyDescent="0.25">
      <c r="A1126" t="s">
        <v>1031</v>
      </c>
      <c r="B1126" t="s">
        <v>265</v>
      </c>
      <c r="C1126" s="67">
        <v>0</v>
      </c>
      <c r="D1126" s="67">
        <v>4000</v>
      </c>
      <c r="E1126" s="67">
        <v>0</v>
      </c>
      <c r="F1126" s="67">
        <v>0</v>
      </c>
      <c r="G1126" t="str">
        <f t="shared" si="34"/>
        <v>5510</v>
      </c>
      <c r="H1126" t="str">
        <f t="shared" si="35"/>
        <v>General expenses</v>
      </c>
    </row>
    <row r="1127" spans="1:8" x14ac:dyDescent="0.25">
      <c r="A1127" t="s">
        <v>1032</v>
      </c>
      <c r="B1127" t="s">
        <v>292</v>
      </c>
      <c r="C1127" s="67">
        <v>3371</v>
      </c>
      <c r="D1127" s="92">
        <v>3371</v>
      </c>
      <c r="E1127" s="67">
        <v>3876.65</v>
      </c>
      <c r="F1127" s="67">
        <v>4458.1475</v>
      </c>
      <c r="G1127" t="str">
        <f t="shared" si="34"/>
        <v>5510</v>
      </c>
      <c r="H1127" t="str">
        <f t="shared" si="35"/>
        <v>Depreciation and amortisation</v>
      </c>
    </row>
    <row r="1128" spans="1:8" x14ac:dyDescent="0.25">
      <c r="A1128" t="s">
        <v>1033</v>
      </c>
      <c r="B1128" t="s">
        <v>293</v>
      </c>
      <c r="C1128" s="67">
        <v>6582</v>
      </c>
      <c r="D1128" s="67">
        <v>6582</v>
      </c>
      <c r="E1128" s="67">
        <v>7569.3</v>
      </c>
      <c r="F1128" s="67">
        <v>8704.6949999999997</v>
      </c>
      <c r="G1128" t="str">
        <f t="shared" si="34"/>
        <v>5510</v>
      </c>
      <c r="H1128" t="str">
        <f t="shared" si="35"/>
        <v>Depreciation and amortisation</v>
      </c>
    </row>
    <row r="1129" spans="1:8" x14ac:dyDescent="0.25">
      <c r="A1129" t="s">
        <v>2032</v>
      </c>
      <c r="B1129" t="s">
        <v>1404</v>
      </c>
      <c r="C1129" s="67">
        <v>-1301177</v>
      </c>
      <c r="D1129" s="67">
        <v>-1127288</v>
      </c>
      <c r="E1129" s="67">
        <v>-1392466.0442336765</v>
      </c>
      <c r="F1129" s="67">
        <v>-1490854.3433300345</v>
      </c>
      <c r="G1129" t="str">
        <f t="shared" si="34"/>
        <v>5510</v>
      </c>
      <c r="H1129" t="str">
        <f t="shared" si="35"/>
        <v>Accumulated surplus</v>
      </c>
    </row>
    <row r="1130" spans="1:8" x14ac:dyDescent="0.25">
      <c r="A1130" t="s">
        <v>2033</v>
      </c>
      <c r="B1130" t="s">
        <v>1428</v>
      </c>
      <c r="C1130" s="67">
        <v>87865</v>
      </c>
      <c r="D1130" s="67">
        <v>75111.240000000005</v>
      </c>
      <c r="E1130" s="67">
        <v>75111.240000000005</v>
      </c>
      <c r="F1130" s="67">
        <v>75111.240000000005</v>
      </c>
      <c r="G1130" t="str">
        <f t="shared" si="34"/>
        <v>5510</v>
      </c>
      <c r="H1130" t="str">
        <f t="shared" si="35"/>
        <v>Non-Current Assets (Cost)</v>
      </c>
    </row>
    <row r="1131" spans="1:8" x14ac:dyDescent="0.25">
      <c r="A1131" t="s">
        <v>2034</v>
      </c>
      <c r="B1131" t="s">
        <v>1430</v>
      </c>
      <c r="C1131" s="67">
        <v>-72746</v>
      </c>
      <c r="D1131" s="67">
        <v>-60710.81</v>
      </c>
      <c r="E1131" s="67">
        <v>-67292.81</v>
      </c>
      <c r="F1131" s="67">
        <v>-74862.11</v>
      </c>
      <c r="G1131" t="str">
        <f t="shared" si="34"/>
        <v>5510</v>
      </c>
      <c r="H1131" t="str">
        <f t="shared" si="35"/>
        <v>Non-Current Assets (Acc Depreciation)</v>
      </c>
    </row>
    <row r="1132" spans="1:8" x14ac:dyDescent="0.25">
      <c r="A1132" t="s">
        <v>2035</v>
      </c>
      <c r="B1132" t="s">
        <v>1432</v>
      </c>
      <c r="C1132" s="67">
        <v>-6583</v>
      </c>
      <c r="D1132" s="67">
        <v>-6582</v>
      </c>
      <c r="E1132" s="67">
        <v>-7569.3</v>
      </c>
      <c r="F1132" s="67">
        <v>-8704.6949999999997</v>
      </c>
      <c r="G1132" t="str">
        <f t="shared" si="34"/>
        <v>5510</v>
      </c>
      <c r="H1132" t="str">
        <f t="shared" si="35"/>
        <v>Non-Current Assets (Depreciation)</v>
      </c>
    </row>
    <row r="1133" spans="1:8" x14ac:dyDescent="0.25">
      <c r="A1133" t="s">
        <v>2036</v>
      </c>
      <c r="B1133" t="s">
        <v>1434</v>
      </c>
      <c r="C1133" s="67">
        <v>14000</v>
      </c>
      <c r="D1133" s="67">
        <v>14000</v>
      </c>
      <c r="E1133" s="67">
        <v>14000</v>
      </c>
      <c r="F1133" s="67">
        <v>14000</v>
      </c>
      <c r="G1133" t="str">
        <f t="shared" si="34"/>
        <v>5510</v>
      </c>
      <c r="H1133" t="str">
        <f t="shared" si="35"/>
        <v>Non-Current Assets (Cost)</v>
      </c>
    </row>
    <row r="1134" spans="1:8" x14ac:dyDescent="0.25">
      <c r="A1134" t="s">
        <v>2037</v>
      </c>
      <c r="B1134" t="s">
        <v>1436</v>
      </c>
      <c r="C1134" s="67">
        <v>-14779</v>
      </c>
      <c r="D1134" s="67">
        <v>-10951.759999999998</v>
      </c>
      <c r="E1134" s="67">
        <v>-14322.759999999998</v>
      </c>
      <c r="F1134" s="67">
        <v>-18199.41</v>
      </c>
      <c r="G1134" t="str">
        <f t="shared" si="34"/>
        <v>5510</v>
      </c>
      <c r="H1134" t="str">
        <f t="shared" si="35"/>
        <v>Non-Current Assets (Acc Depreciation)</v>
      </c>
    </row>
    <row r="1135" spans="1:8" x14ac:dyDescent="0.25">
      <c r="A1135" t="s">
        <v>2038</v>
      </c>
      <c r="B1135" t="s">
        <v>1438</v>
      </c>
      <c r="C1135" s="67">
        <v>-3180</v>
      </c>
      <c r="D1135" s="67">
        <v>-3371</v>
      </c>
      <c r="E1135" s="67">
        <v>-3876.65</v>
      </c>
      <c r="F1135" s="67">
        <v>-4458.1475</v>
      </c>
      <c r="G1135" t="str">
        <f t="shared" si="34"/>
        <v>5510</v>
      </c>
      <c r="H1135" t="str">
        <f t="shared" si="35"/>
        <v>Non-Current Assets (Depreciation)</v>
      </c>
    </row>
    <row r="1136" spans="1:8" x14ac:dyDescent="0.25">
      <c r="A1136" t="s">
        <v>2039</v>
      </c>
      <c r="B1136" t="s">
        <v>1460</v>
      </c>
      <c r="C1136" s="67">
        <v>-63522</v>
      </c>
      <c r="D1136" s="67">
        <v>-63522</v>
      </c>
      <c r="E1136" s="67">
        <v>-69874.2</v>
      </c>
      <c r="F1136" s="67">
        <v>-76861.62</v>
      </c>
      <c r="G1136" t="str">
        <f t="shared" si="34"/>
        <v>5510</v>
      </c>
      <c r="H1136" t="str">
        <f t="shared" si="35"/>
        <v>Current Employee Benefits</v>
      </c>
    </row>
    <row r="1137" spans="1:8" x14ac:dyDescent="0.25">
      <c r="A1137" t="s">
        <v>2040</v>
      </c>
      <c r="B1137" t="s">
        <v>1462</v>
      </c>
      <c r="C1137" s="67">
        <v>34109</v>
      </c>
      <c r="D1137" s="67">
        <v>866626.61</v>
      </c>
      <c r="E1137" s="67">
        <v>1993914.6099999999</v>
      </c>
      <c r="F1137" s="67">
        <v>3386380.6542336764</v>
      </c>
      <c r="G1137" t="str">
        <f t="shared" si="34"/>
        <v>5510</v>
      </c>
      <c r="H1137" t="str">
        <f t="shared" si="35"/>
        <v>Reserves</v>
      </c>
    </row>
    <row r="1138" spans="1:8" x14ac:dyDescent="0.25">
      <c r="A1138" t="s">
        <v>2041</v>
      </c>
      <c r="B1138" t="s">
        <v>1464</v>
      </c>
      <c r="C1138" s="67">
        <v>1301177</v>
      </c>
      <c r="D1138" s="67">
        <v>1127288</v>
      </c>
      <c r="E1138" s="67">
        <v>1392466.0442336765</v>
      </c>
      <c r="F1138" s="67">
        <v>1490854.3433300345</v>
      </c>
      <c r="G1138" t="str">
        <f t="shared" si="34"/>
        <v>5510</v>
      </c>
      <c r="H1138" t="str">
        <f t="shared" si="35"/>
        <v>Reserves</v>
      </c>
    </row>
    <row r="1139" spans="1:8" x14ac:dyDescent="0.25">
      <c r="A1139" t="s">
        <v>1035</v>
      </c>
      <c r="B1139" t="s">
        <v>25</v>
      </c>
      <c r="C1139" s="67">
        <v>-827</v>
      </c>
      <c r="D1139" s="67">
        <v>-827</v>
      </c>
      <c r="E1139" s="67">
        <v>-871.497792</v>
      </c>
      <c r="F1139" s="67">
        <v>-918.55867276799995</v>
      </c>
      <c r="G1139" t="str">
        <f t="shared" si="34"/>
        <v>5515</v>
      </c>
      <c r="H1139" t="str">
        <f t="shared" si="35"/>
        <v>Other income</v>
      </c>
    </row>
    <row r="1140" spans="1:8" x14ac:dyDescent="0.25">
      <c r="A1140" t="s">
        <v>1036</v>
      </c>
      <c r="B1140" t="s">
        <v>71</v>
      </c>
      <c r="C1140" s="67">
        <v>-310</v>
      </c>
      <c r="D1140" s="67">
        <v>-310</v>
      </c>
      <c r="E1140" s="67">
        <v>-327.22905600000001</v>
      </c>
      <c r="F1140" s="67">
        <v>-344.89942502400004</v>
      </c>
      <c r="G1140" t="str">
        <f t="shared" si="34"/>
        <v>5515</v>
      </c>
      <c r="H1140" t="str">
        <f t="shared" si="35"/>
        <v>Other income</v>
      </c>
    </row>
    <row r="1141" spans="1:8" x14ac:dyDescent="0.25">
      <c r="A1141" t="s">
        <v>1037</v>
      </c>
      <c r="B1141" t="s">
        <v>79</v>
      </c>
      <c r="C1141" s="67">
        <v>-283935</v>
      </c>
      <c r="D1141" s="67">
        <v>-233935</v>
      </c>
      <c r="E1141" s="67">
        <v>-299267.66707199998</v>
      </c>
      <c r="F1141" s="67">
        <v>-315428.12109388801</v>
      </c>
      <c r="G1141" t="str">
        <f t="shared" si="34"/>
        <v>5515</v>
      </c>
      <c r="H1141" t="str">
        <f t="shared" si="35"/>
        <v>Rental of facilities and equipment</v>
      </c>
    </row>
    <row r="1142" spans="1:8" x14ac:dyDescent="0.25">
      <c r="A1142" t="s">
        <v>1038</v>
      </c>
      <c r="B1142" t="s">
        <v>84</v>
      </c>
      <c r="C1142" s="67">
        <v>-2200</v>
      </c>
      <c r="D1142" s="67">
        <v>-2200</v>
      </c>
      <c r="E1142" s="67">
        <v>-2318.4289920000001</v>
      </c>
      <c r="F1142" s="67">
        <v>-2443.6241575680001</v>
      </c>
      <c r="G1142" t="str">
        <f t="shared" si="34"/>
        <v>5515</v>
      </c>
      <c r="H1142" t="str">
        <f t="shared" si="35"/>
        <v>Other income</v>
      </c>
    </row>
    <row r="1143" spans="1:8" x14ac:dyDescent="0.25">
      <c r="A1143" t="s">
        <v>1039</v>
      </c>
      <c r="B1143" t="s">
        <v>150</v>
      </c>
      <c r="C1143" s="67">
        <v>642046</v>
      </c>
      <c r="D1143" s="67">
        <v>642046</v>
      </c>
      <c r="E1143" s="67">
        <v>686989.04751599999</v>
      </c>
      <c r="F1143" s="67">
        <v>735078.28084211994</v>
      </c>
      <c r="G1143" t="str">
        <f t="shared" si="34"/>
        <v>5515</v>
      </c>
      <c r="H1143" t="str">
        <f t="shared" si="35"/>
        <v>Employee related costs</v>
      </c>
    </row>
    <row r="1144" spans="1:8" x14ac:dyDescent="0.25">
      <c r="A1144" t="s">
        <v>1040</v>
      </c>
      <c r="B1144" t="s">
        <v>151</v>
      </c>
      <c r="C1144" s="67">
        <v>30002</v>
      </c>
      <c r="D1144" s="67">
        <v>16934.18</v>
      </c>
      <c r="E1144" s="67">
        <v>8401.39</v>
      </c>
      <c r="F1144" s="67">
        <v>10833.849999999999</v>
      </c>
      <c r="G1144" t="str">
        <f t="shared" si="34"/>
        <v>5515</v>
      </c>
      <c r="H1144" t="str">
        <f t="shared" si="35"/>
        <v>Employee related costs</v>
      </c>
    </row>
    <row r="1145" spans="1:8" x14ac:dyDescent="0.25">
      <c r="A1145" t="s">
        <v>1041</v>
      </c>
      <c r="B1145" t="s">
        <v>152</v>
      </c>
      <c r="C1145" s="67">
        <v>24000</v>
      </c>
      <c r="D1145" s="67">
        <v>24000</v>
      </c>
      <c r="E1145" s="67">
        <v>57249.087293000004</v>
      </c>
      <c r="F1145" s="67">
        <v>61256.523403510007</v>
      </c>
      <c r="G1145" t="str">
        <f t="shared" si="34"/>
        <v>5515</v>
      </c>
      <c r="H1145" t="str">
        <f t="shared" si="35"/>
        <v>Employee related costs</v>
      </c>
    </row>
    <row r="1146" spans="1:8" x14ac:dyDescent="0.25">
      <c r="A1146" t="s">
        <v>1042</v>
      </c>
      <c r="B1146" t="s">
        <v>153</v>
      </c>
      <c r="C1146" s="67">
        <v>10893</v>
      </c>
      <c r="D1146" s="67">
        <v>10893</v>
      </c>
      <c r="E1146" s="67">
        <v>25680</v>
      </c>
      <c r="F1146" s="67">
        <v>27477.599999999999</v>
      </c>
      <c r="G1146" t="str">
        <f t="shared" si="34"/>
        <v>5515</v>
      </c>
      <c r="H1146" t="str">
        <f t="shared" si="35"/>
        <v>Employee related costs</v>
      </c>
    </row>
    <row r="1147" spans="1:8" x14ac:dyDescent="0.25">
      <c r="A1147" t="s">
        <v>1043</v>
      </c>
      <c r="B1147" t="s">
        <v>155</v>
      </c>
      <c r="C1147" s="67">
        <v>21306</v>
      </c>
      <c r="D1147" s="67">
        <v>21306</v>
      </c>
      <c r="E1147" s="67">
        <v>11655.766799999999</v>
      </c>
      <c r="F1147" s="67">
        <v>12471.670475999999</v>
      </c>
      <c r="G1147" t="str">
        <f t="shared" si="34"/>
        <v>5515</v>
      </c>
      <c r="H1147" t="str">
        <f t="shared" si="35"/>
        <v>Employee related costs</v>
      </c>
    </row>
    <row r="1148" spans="1:8" x14ac:dyDescent="0.25">
      <c r="A1148" t="s">
        <v>1044</v>
      </c>
      <c r="B1148" t="s">
        <v>156</v>
      </c>
      <c r="C1148" s="67">
        <v>160511</v>
      </c>
      <c r="D1148" s="67">
        <v>160511</v>
      </c>
      <c r="E1148" s="67">
        <v>22797.024851638354</v>
      </c>
      <c r="F1148" s="67">
        <v>24392.816591253038</v>
      </c>
      <c r="G1148" t="str">
        <f t="shared" si="34"/>
        <v>5515</v>
      </c>
      <c r="H1148" t="str">
        <f t="shared" si="35"/>
        <v>Employee related costs</v>
      </c>
    </row>
    <row r="1149" spans="1:8" x14ac:dyDescent="0.25">
      <c r="A1149" t="s">
        <v>1045</v>
      </c>
      <c r="B1149" t="s">
        <v>158</v>
      </c>
      <c r="C1149" s="67">
        <v>12961</v>
      </c>
      <c r="D1149" s="67">
        <v>0</v>
      </c>
      <c r="E1149" s="67">
        <v>171747.261879</v>
      </c>
      <c r="F1149" s="67">
        <v>183769.57021052999</v>
      </c>
      <c r="G1149" t="str">
        <f t="shared" si="34"/>
        <v>5515</v>
      </c>
      <c r="H1149" t="str">
        <f t="shared" si="35"/>
        <v>Employee related costs</v>
      </c>
    </row>
    <row r="1150" spans="1:8" x14ac:dyDescent="0.25">
      <c r="A1150" t="s">
        <v>1046</v>
      </c>
      <c r="B1150" t="s">
        <v>159</v>
      </c>
      <c r="C1150" s="67">
        <v>53504</v>
      </c>
      <c r="D1150" s="67">
        <v>53504</v>
      </c>
      <c r="E1150" s="67">
        <v>57249.279999999999</v>
      </c>
      <c r="F1150" s="67">
        <v>61256.729599999999</v>
      </c>
      <c r="G1150" t="str">
        <f t="shared" si="34"/>
        <v>5515</v>
      </c>
      <c r="H1150" t="str">
        <f t="shared" si="35"/>
        <v>Employee related costs</v>
      </c>
    </row>
    <row r="1151" spans="1:8" x14ac:dyDescent="0.25">
      <c r="A1151" t="s">
        <v>1047</v>
      </c>
      <c r="B1151" t="s">
        <v>161</v>
      </c>
      <c r="C1151" s="67">
        <v>81402</v>
      </c>
      <c r="D1151" s="67">
        <v>81402</v>
      </c>
      <c r="E1151" s="67">
        <v>87100.14</v>
      </c>
      <c r="F1151" s="67">
        <v>93197.149799999999</v>
      </c>
      <c r="G1151" t="str">
        <f t="shared" si="34"/>
        <v>5515</v>
      </c>
      <c r="H1151" t="str">
        <f t="shared" si="35"/>
        <v>Employee related costs</v>
      </c>
    </row>
    <row r="1152" spans="1:8" x14ac:dyDescent="0.25">
      <c r="A1152" t="s">
        <v>1048</v>
      </c>
      <c r="B1152" t="s">
        <v>164</v>
      </c>
      <c r="C1152" s="67">
        <v>15692</v>
      </c>
      <c r="D1152" s="67">
        <v>15692</v>
      </c>
      <c r="E1152" s="67">
        <v>16790.439999999999</v>
      </c>
      <c r="F1152" s="67">
        <v>17965.770799999998</v>
      </c>
      <c r="G1152" t="str">
        <f t="shared" si="34"/>
        <v>5515</v>
      </c>
      <c r="H1152" t="str">
        <f t="shared" si="35"/>
        <v>Employee related costs</v>
      </c>
    </row>
    <row r="1153" spans="1:8" x14ac:dyDescent="0.25">
      <c r="A1153" t="s">
        <v>1049</v>
      </c>
      <c r="B1153" t="s">
        <v>167</v>
      </c>
      <c r="C1153" s="67">
        <v>112</v>
      </c>
      <c r="D1153" s="67">
        <v>150</v>
      </c>
      <c r="E1153" s="67">
        <v>120.21449999999999</v>
      </c>
      <c r="F1153" s="67">
        <v>128.629515</v>
      </c>
      <c r="G1153" t="str">
        <f t="shared" si="34"/>
        <v>5515</v>
      </c>
      <c r="H1153" t="str">
        <f t="shared" si="35"/>
        <v>Employee related costs</v>
      </c>
    </row>
    <row r="1154" spans="1:8" x14ac:dyDescent="0.25">
      <c r="A1154" t="s">
        <v>1050</v>
      </c>
      <c r="B1154" t="s">
        <v>168</v>
      </c>
      <c r="C1154" s="67">
        <v>53908</v>
      </c>
      <c r="D1154" s="67">
        <v>53908</v>
      </c>
      <c r="E1154" s="67">
        <v>57681.56</v>
      </c>
      <c r="F1154" s="67">
        <v>61719.269199999995</v>
      </c>
      <c r="G1154" t="str">
        <f t="shared" ref="G1154:G1217" si="36">VLOOKUP(A1154,s,2,FALSE)</f>
        <v>5515</v>
      </c>
      <c r="H1154" t="str">
        <f t="shared" ref="H1154:H1217" si="37">VLOOKUP(A1154,s,3,FALSE)</f>
        <v>Employee related costs</v>
      </c>
    </row>
    <row r="1155" spans="1:8" x14ac:dyDescent="0.25">
      <c r="A1155" t="s">
        <v>1051</v>
      </c>
      <c r="B1155" t="s">
        <v>169</v>
      </c>
      <c r="C1155" s="67">
        <v>141250</v>
      </c>
      <c r="D1155" s="67">
        <v>141250</v>
      </c>
      <c r="E1155" s="67">
        <v>151137.59045352001</v>
      </c>
      <c r="F1155" s="67">
        <v>161717.22178526642</v>
      </c>
      <c r="G1155" t="str">
        <f t="shared" si="36"/>
        <v>5515</v>
      </c>
      <c r="H1155" t="str">
        <f t="shared" si="37"/>
        <v>Employee related costs</v>
      </c>
    </row>
    <row r="1156" spans="1:8" x14ac:dyDescent="0.25">
      <c r="A1156" t="s">
        <v>1052</v>
      </c>
      <c r="B1156" t="s">
        <v>170</v>
      </c>
      <c r="C1156" s="67">
        <v>1785</v>
      </c>
      <c r="D1156" s="92">
        <v>2500</v>
      </c>
      <c r="E1156" s="67">
        <v>1909.95</v>
      </c>
      <c r="F1156" s="67">
        <v>2043.6465000000001</v>
      </c>
      <c r="G1156" t="str">
        <f t="shared" si="36"/>
        <v>5515</v>
      </c>
      <c r="H1156" t="str">
        <f t="shared" si="37"/>
        <v>Employee related costs</v>
      </c>
    </row>
    <row r="1157" spans="1:8" x14ac:dyDescent="0.25">
      <c r="A1157" t="s">
        <v>1053</v>
      </c>
      <c r="B1157" t="s">
        <v>173</v>
      </c>
      <c r="C1157" s="67">
        <v>11869</v>
      </c>
      <c r="D1157" s="67">
        <v>11869</v>
      </c>
      <c r="E1157" s="67">
        <v>12580.949199999999</v>
      </c>
      <c r="F1157" s="67">
        <v>13461.615644</v>
      </c>
      <c r="G1157" t="str">
        <f t="shared" si="36"/>
        <v>5515</v>
      </c>
      <c r="H1157" t="str">
        <f t="shared" si="37"/>
        <v>Employee related costs</v>
      </c>
    </row>
    <row r="1158" spans="1:8" x14ac:dyDescent="0.25">
      <c r="A1158" t="s">
        <v>1054</v>
      </c>
      <c r="B1158" t="s">
        <v>174</v>
      </c>
      <c r="C1158" s="67">
        <v>19452</v>
      </c>
      <c r="D1158" s="67">
        <v>19452</v>
      </c>
      <c r="E1158" s="67">
        <v>20619.1836</v>
      </c>
      <c r="F1158" s="67">
        <v>22062.526452000002</v>
      </c>
      <c r="G1158" t="str">
        <f t="shared" si="36"/>
        <v>5515</v>
      </c>
      <c r="H1158" t="str">
        <f t="shared" si="37"/>
        <v>Employee related costs</v>
      </c>
    </row>
    <row r="1159" spans="1:8" x14ac:dyDescent="0.25">
      <c r="A1159" t="s">
        <v>1055</v>
      </c>
      <c r="B1159" t="s">
        <v>175</v>
      </c>
      <c r="C1159" s="67">
        <v>13540</v>
      </c>
      <c r="D1159" s="67">
        <v>13540</v>
      </c>
      <c r="E1159" s="67">
        <v>14352.866400000001</v>
      </c>
      <c r="F1159" s="67">
        <v>15357.567048000001</v>
      </c>
      <c r="G1159" t="str">
        <f t="shared" si="36"/>
        <v>5515</v>
      </c>
      <c r="H1159" t="str">
        <f t="shared" si="37"/>
        <v>Employee related costs</v>
      </c>
    </row>
    <row r="1160" spans="1:8" x14ac:dyDescent="0.25">
      <c r="A1160" t="s">
        <v>1056</v>
      </c>
      <c r="B1160" t="s">
        <v>216</v>
      </c>
      <c r="C1160" s="67">
        <v>42400</v>
      </c>
      <c r="D1160" s="67">
        <v>42400</v>
      </c>
      <c r="E1160" s="67">
        <v>44944</v>
      </c>
      <c r="F1160" s="67">
        <v>47370.976000000002</v>
      </c>
      <c r="G1160" t="str">
        <f t="shared" si="36"/>
        <v>5515</v>
      </c>
      <c r="H1160" t="str">
        <f t="shared" si="37"/>
        <v>Contracted services</v>
      </c>
    </row>
    <row r="1161" spans="1:8" x14ac:dyDescent="0.25">
      <c r="A1161" t="s">
        <v>1057</v>
      </c>
      <c r="B1161" t="s">
        <v>222</v>
      </c>
      <c r="C1161" s="67">
        <v>59380</v>
      </c>
      <c r="D1161" s="67">
        <v>59380</v>
      </c>
      <c r="E1161" s="67">
        <v>62942.948400000001</v>
      </c>
      <c r="F1161" s="67">
        <v>66341.867613599999</v>
      </c>
      <c r="G1161" t="str">
        <f t="shared" si="36"/>
        <v>5515</v>
      </c>
      <c r="H1161" t="str">
        <f t="shared" si="37"/>
        <v>Contracted services</v>
      </c>
    </row>
    <row r="1162" spans="1:8" x14ac:dyDescent="0.25">
      <c r="A1162" t="s">
        <v>1058</v>
      </c>
      <c r="B1162" t="s">
        <v>234</v>
      </c>
      <c r="C1162" s="67">
        <v>318000</v>
      </c>
      <c r="D1162" s="67">
        <v>318000</v>
      </c>
      <c r="E1162" s="67">
        <v>337080</v>
      </c>
      <c r="F1162" s="67">
        <v>355282.32</v>
      </c>
      <c r="G1162" t="str">
        <f t="shared" si="36"/>
        <v>5515</v>
      </c>
      <c r="H1162" t="str">
        <f t="shared" si="37"/>
        <v>Contracted services</v>
      </c>
    </row>
    <row r="1163" spans="1:8" x14ac:dyDescent="0.25">
      <c r="A1163" t="s">
        <v>1059</v>
      </c>
      <c r="B1163" t="s">
        <v>237</v>
      </c>
      <c r="C1163" s="67">
        <v>134336</v>
      </c>
      <c r="D1163" s="67">
        <v>134336</v>
      </c>
      <c r="E1163" s="67">
        <v>142396.07520000002</v>
      </c>
      <c r="F1163" s="67">
        <v>150085.46326080002</v>
      </c>
      <c r="G1163" t="str">
        <f t="shared" si="36"/>
        <v>5515</v>
      </c>
      <c r="H1163" t="str">
        <f t="shared" si="37"/>
        <v>Contracted services</v>
      </c>
    </row>
    <row r="1164" spans="1:8" x14ac:dyDescent="0.25">
      <c r="A1164" t="s">
        <v>1060</v>
      </c>
      <c r="B1164" t="s">
        <v>242</v>
      </c>
      <c r="C1164" s="67">
        <v>31800</v>
      </c>
      <c r="D1164" s="67">
        <v>31800</v>
      </c>
      <c r="E1164" s="67">
        <v>33708</v>
      </c>
      <c r="F1164" s="67">
        <v>35528.232000000004</v>
      </c>
      <c r="G1164" t="str">
        <f t="shared" si="36"/>
        <v>5515</v>
      </c>
      <c r="H1164" t="str">
        <f t="shared" si="37"/>
        <v>General expenses</v>
      </c>
    </row>
    <row r="1165" spans="1:8" x14ac:dyDescent="0.25">
      <c r="A1165" t="s">
        <v>1061</v>
      </c>
      <c r="B1165" t="s">
        <v>260</v>
      </c>
      <c r="C1165" s="67">
        <v>31800</v>
      </c>
      <c r="D1165" s="67">
        <v>31800</v>
      </c>
      <c r="E1165" s="67">
        <v>33708</v>
      </c>
      <c r="F1165" s="67">
        <v>35528.232000000004</v>
      </c>
      <c r="G1165" t="str">
        <f t="shared" si="36"/>
        <v>5515</v>
      </c>
      <c r="H1165" t="str">
        <f t="shared" si="37"/>
        <v>General expenses</v>
      </c>
    </row>
    <row r="1166" spans="1:8" x14ac:dyDescent="0.25">
      <c r="A1166" t="s">
        <v>1062</v>
      </c>
      <c r="B1166" t="s">
        <v>265</v>
      </c>
      <c r="C1166" s="67">
        <v>0</v>
      </c>
      <c r="D1166" s="67">
        <v>15000</v>
      </c>
      <c r="E1166" s="67">
        <v>0</v>
      </c>
      <c r="F1166" s="67">
        <v>0</v>
      </c>
      <c r="G1166" t="str">
        <f t="shared" si="36"/>
        <v>5515</v>
      </c>
      <c r="H1166" t="str">
        <f t="shared" si="37"/>
        <v>General expenses</v>
      </c>
    </row>
    <row r="1167" spans="1:8" x14ac:dyDescent="0.25">
      <c r="A1167" t="s">
        <v>1063</v>
      </c>
      <c r="B1167" t="s">
        <v>268</v>
      </c>
      <c r="C1167" s="67">
        <v>0</v>
      </c>
      <c r="D1167" s="67">
        <v>110000</v>
      </c>
      <c r="E1167" s="67">
        <v>0</v>
      </c>
      <c r="F1167" s="67">
        <v>0</v>
      </c>
      <c r="G1167" t="str">
        <f t="shared" si="36"/>
        <v>5515</v>
      </c>
      <c r="H1167" t="str">
        <f t="shared" si="37"/>
        <v>General expenses</v>
      </c>
    </row>
    <row r="1168" spans="1:8" x14ac:dyDescent="0.25">
      <c r="A1168" t="s">
        <v>1064</v>
      </c>
      <c r="B1168" t="s">
        <v>293</v>
      </c>
      <c r="C1168" s="67">
        <v>2688</v>
      </c>
      <c r="D1168" s="67">
        <v>2688</v>
      </c>
      <c r="E1168" s="67">
        <v>3091.2</v>
      </c>
      <c r="F1168" s="67">
        <v>3554.8799999999997</v>
      </c>
      <c r="G1168" t="str">
        <f t="shared" si="36"/>
        <v>5515</v>
      </c>
      <c r="H1168" t="str">
        <f t="shared" si="37"/>
        <v>Depreciation and amortisation</v>
      </c>
    </row>
    <row r="1169" spans="1:8" x14ac:dyDescent="0.25">
      <c r="A1169" t="s">
        <v>1065</v>
      </c>
      <c r="B1169" t="s">
        <v>296</v>
      </c>
      <c r="C1169" s="67">
        <v>34540</v>
      </c>
      <c r="D1169" s="67">
        <v>34540</v>
      </c>
      <c r="E1169" s="67">
        <v>39721</v>
      </c>
      <c r="F1169" s="67">
        <v>45679.15</v>
      </c>
      <c r="G1169" t="str">
        <f t="shared" si="36"/>
        <v>5515</v>
      </c>
      <c r="H1169" t="str">
        <f t="shared" si="37"/>
        <v>Depreciation and amortisation</v>
      </c>
    </row>
    <row r="1170" spans="1:8" x14ac:dyDescent="0.25">
      <c r="A1170" t="s">
        <v>1066</v>
      </c>
      <c r="B1170" t="s">
        <v>300</v>
      </c>
      <c r="C1170" s="67">
        <v>0</v>
      </c>
      <c r="D1170" s="67">
        <v>0</v>
      </c>
      <c r="E1170" s="67">
        <v>0</v>
      </c>
      <c r="F1170" s="67">
        <v>0</v>
      </c>
      <c r="G1170" t="str">
        <f t="shared" si="36"/>
        <v>5515</v>
      </c>
      <c r="H1170" t="str">
        <f t="shared" si="37"/>
        <v>Depreciation and amortisation</v>
      </c>
    </row>
    <row r="1171" spans="1:8" x14ac:dyDescent="0.25">
      <c r="A1171" t="s">
        <v>1067</v>
      </c>
      <c r="B1171" t="s">
        <v>302</v>
      </c>
      <c r="C1171" s="67">
        <v>623329</v>
      </c>
      <c r="D1171" s="67">
        <v>623329</v>
      </c>
      <c r="E1171" s="67">
        <v>716828.35</v>
      </c>
      <c r="F1171" s="67">
        <v>824352.60249999992</v>
      </c>
      <c r="G1171" t="str">
        <f t="shared" si="36"/>
        <v>5515</v>
      </c>
      <c r="H1171" t="str">
        <f t="shared" si="37"/>
        <v>Depreciation and amortisation</v>
      </c>
    </row>
    <row r="1172" spans="1:8" x14ac:dyDescent="0.25">
      <c r="A1172" t="s">
        <v>1068</v>
      </c>
      <c r="B1172" t="s">
        <v>303</v>
      </c>
      <c r="C1172" s="67">
        <v>12477</v>
      </c>
      <c r="D1172" s="67">
        <v>12477</v>
      </c>
      <c r="E1172" s="67">
        <v>14348.55</v>
      </c>
      <c r="F1172" s="67">
        <v>16500.8325</v>
      </c>
      <c r="G1172" t="str">
        <f t="shared" si="36"/>
        <v>5515</v>
      </c>
      <c r="H1172" t="str">
        <f t="shared" si="37"/>
        <v>Depreciation and amortisation</v>
      </c>
    </row>
    <row r="1173" spans="1:8" x14ac:dyDescent="0.25">
      <c r="A1173" t="s">
        <v>2042</v>
      </c>
      <c r="B1173" t="s">
        <v>1404</v>
      </c>
      <c r="C1173" s="67">
        <v>-2297711</v>
      </c>
      <c r="D1173" s="67">
        <v>-2459750</v>
      </c>
      <c r="E1173" s="67">
        <v>-2553745.9551211582</v>
      </c>
      <c r="F1173" s="67">
        <v>-2788795.3927686317</v>
      </c>
      <c r="G1173" t="str">
        <f t="shared" si="36"/>
        <v>5515</v>
      </c>
      <c r="H1173" t="str">
        <f t="shared" si="37"/>
        <v>Accumulated surplus</v>
      </c>
    </row>
    <row r="1174" spans="1:8" x14ac:dyDescent="0.25">
      <c r="A1174" t="s">
        <v>2043</v>
      </c>
      <c r="B1174" t="s">
        <v>1544</v>
      </c>
      <c r="C1174" s="67">
        <v>290000</v>
      </c>
      <c r="D1174" s="67">
        <v>290000</v>
      </c>
      <c r="E1174" s="67">
        <v>290000</v>
      </c>
      <c r="F1174" s="67">
        <v>290000</v>
      </c>
      <c r="G1174" t="str">
        <f t="shared" si="36"/>
        <v>5515</v>
      </c>
      <c r="H1174" t="str">
        <f t="shared" si="37"/>
        <v>Non-Current Assets (Cost)</v>
      </c>
    </row>
    <row r="1175" spans="1:8" x14ac:dyDescent="0.25">
      <c r="A1175" t="s">
        <v>2044</v>
      </c>
      <c r="B1175" t="s">
        <v>1550</v>
      </c>
      <c r="C1175" s="67">
        <v>0</v>
      </c>
      <c r="D1175" s="67">
        <v>749710</v>
      </c>
      <c r="E1175" s="67">
        <v>1463986</v>
      </c>
      <c r="F1175" s="67">
        <v>1463986</v>
      </c>
      <c r="G1175" t="str">
        <f t="shared" si="36"/>
        <v>5515</v>
      </c>
      <c r="H1175" t="str">
        <f t="shared" si="37"/>
        <v>Non-Current Assets (Cost)</v>
      </c>
    </row>
    <row r="1176" spans="1:8" x14ac:dyDescent="0.25">
      <c r="A1176" t="s">
        <v>1069</v>
      </c>
      <c r="B1176" t="s">
        <v>1070</v>
      </c>
      <c r="C1176" s="67">
        <v>900000</v>
      </c>
      <c r="D1176" s="67">
        <v>714276</v>
      </c>
      <c r="E1176" s="67">
        <v>0</v>
      </c>
      <c r="F1176" s="67">
        <v>0</v>
      </c>
      <c r="G1176" t="str">
        <f t="shared" si="36"/>
        <v>5515</v>
      </c>
      <c r="H1176" t="str">
        <f t="shared" si="37"/>
        <v>Non-Current Assets (Acquisitions)</v>
      </c>
    </row>
    <row r="1177" spans="1:8" x14ac:dyDescent="0.25">
      <c r="A1177" t="s">
        <v>1071</v>
      </c>
      <c r="B1177" t="s">
        <v>1072</v>
      </c>
      <c r="C1177" s="67">
        <v>1200000</v>
      </c>
      <c r="D1177" s="67">
        <v>0</v>
      </c>
      <c r="E1177" s="67">
        <v>0</v>
      </c>
      <c r="F1177" s="67">
        <v>0</v>
      </c>
      <c r="G1177" t="str">
        <f t="shared" si="36"/>
        <v>5515</v>
      </c>
      <c r="H1177" t="str">
        <f t="shared" si="37"/>
        <v>Non-Current Assets (Acquisitions)</v>
      </c>
    </row>
    <row r="1178" spans="1:8" x14ac:dyDescent="0.25">
      <c r="A1178" t="s">
        <v>2045</v>
      </c>
      <c r="B1178" t="s">
        <v>1422</v>
      </c>
      <c r="C1178" s="67">
        <v>155825</v>
      </c>
      <c r="D1178" s="67">
        <v>1035868.67</v>
      </c>
      <c r="E1178" s="67">
        <v>1035868.67</v>
      </c>
      <c r="F1178" s="67">
        <v>1035868.67</v>
      </c>
      <c r="G1178" t="str">
        <f t="shared" si="36"/>
        <v>5515</v>
      </c>
      <c r="H1178" t="str">
        <f t="shared" si="37"/>
        <v>Non-Current Assets (Cost)</v>
      </c>
    </row>
    <row r="1179" spans="1:8" x14ac:dyDescent="0.25">
      <c r="A1179" t="s">
        <v>2046</v>
      </c>
      <c r="B1179" t="s">
        <v>1424</v>
      </c>
      <c r="C1179" s="67">
        <v>-123902</v>
      </c>
      <c r="D1179" s="67">
        <v>-130842.48000000001</v>
      </c>
      <c r="E1179" s="67">
        <v>-165382.48000000001</v>
      </c>
      <c r="F1179" s="67">
        <v>-205103.48</v>
      </c>
      <c r="G1179" t="str">
        <f t="shared" si="36"/>
        <v>5515</v>
      </c>
      <c r="H1179" t="str">
        <f t="shared" si="37"/>
        <v>Non-Current Assets (Acc Depreciation)</v>
      </c>
    </row>
    <row r="1180" spans="1:8" x14ac:dyDescent="0.25">
      <c r="A1180" t="s">
        <v>2047</v>
      </c>
      <c r="B1180" t="s">
        <v>1426</v>
      </c>
      <c r="C1180" s="67">
        <v>-34542</v>
      </c>
      <c r="D1180" s="67">
        <v>-34540</v>
      </c>
      <c r="E1180" s="67">
        <v>-39721</v>
      </c>
      <c r="F1180" s="67">
        <v>-45679.15</v>
      </c>
      <c r="G1180" t="str">
        <f t="shared" si="36"/>
        <v>5515</v>
      </c>
      <c r="H1180" t="str">
        <f t="shared" si="37"/>
        <v>Non-Current Assets (Depreciation)</v>
      </c>
    </row>
    <row r="1181" spans="1:8" x14ac:dyDescent="0.25">
      <c r="A1181" t="s">
        <v>2048</v>
      </c>
      <c r="B1181" t="s">
        <v>1428</v>
      </c>
      <c r="C1181" s="67">
        <v>299713</v>
      </c>
      <c r="D1181" s="67">
        <v>285630.86000000004</v>
      </c>
      <c r="E1181" s="67">
        <v>285630.86000000004</v>
      </c>
      <c r="F1181" s="67">
        <v>285630.86000000004</v>
      </c>
      <c r="G1181" t="str">
        <f t="shared" si="36"/>
        <v>5515</v>
      </c>
      <c r="H1181" t="str">
        <f t="shared" si="37"/>
        <v>Non-Current Assets (Cost)</v>
      </c>
    </row>
    <row r="1182" spans="1:8" x14ac:dyDescent="0.25">
      <c r="A1182" t="s">
        <v>2049</v>
      </c>
      <c r="B1182" t="s">
        <v>1430</v>
      </c>
      <c r="C1182" s="67">
        <v>-81948</v>
      </c>
      <c r="D1182" s="67">
        <v>-96563.83</v>
      </c>
      <c r="E1182" s="67">
        <v>-99251.83</v>
      </c>
      <c r="F1182" s="67">
        <v>-102343.03</v>
      </c>
      <c r="G1182" t="str">
        <f t="shared" si="36"/>
        <v>5515</v>
      </c>
      <c r="H1182" t="str">
        <f t="shared" si="37"/>
        <v>Non-Current Assets (Acc Depreciation)</v>
      </c>
    </row>
    <row r="1183" spans="1:8" x14ac:dyDescent="0.25">
      <c r="A1183" t="s">
        <v>2050</v>
      </c>
      <c r="B1183" t="s">
        <v>1432</v>
      </c>
      <c r="C1183" s="67">
        <v>-2690</v>
      </c>
      <c r="D1183" s="67">
        <v>-2688</v>
      </c>
      <c r="E1183" s="67">
        <v>-3091.2</v>
      </c>
      <c r="F1183" s="67">
        <v>-3554.8799999999997</v>
      </c>
      <c r="G1183" t="str">
        <f t="shared" si="36"/>
        <v>5515</v>
      </c>
      <c r="H1183" t="str">
        <f t="shared" si="37"/>
        <v>Non-Current Assets (Depreciation)</v>
      </c>
    </row>
    <row r="1184" spans="1:8" x14ac:dyDescent="0.25">
      <c r="A1184" t="s">
        <v>2051</v>
      </c>
      <c r="B1184" t="s">
        <v>1446</v>
      </c>
      <c r="C1184" s="67">
        <v>0</v>
      </c>
      <c r="D1184" s="67">
        <v>21490002.840000004</v>
      </c>
      <c r="E1184" s="67">
        <v>21490002.840000004</v>
      </c>
      <c r="F1184" s="67">
        <v>21490002.840000004</v>
      </c>
      <c r="G1184" t="str">
        <f t="shared" si="36"/>
        <v>5515</v>
      </c>
      <c r="H1184" t="str">
        <f t="shared" si="37"/>
        <v>Non-Current Assets (Cost)</v>
      </c>
    </row>
    <row r="1185" spans="1:8" x14ac:dyDescent="0.25">
      <c r="A1185" t="s">
        <v>2052</v>
      </c>
      <c r="B1185" t="s">
        <v>1448</v>
      </c>
      <c r="C1185" s="67">
        <v>-2630320</v>
      </c>
      <c r="D1185" s="67">
        <v>-1472019.8599999999</v>
      </c>
      <c r="E1185" s="67">
        <v>-2095348.8599999999</v>
      </c>
      <c r="F1185" s="67">
        <v>-2812177.21</v>
      </c>
      <c r="G1185" t="str">
        <f t="shared" si="36"/>
        <v>5515</v>
      </c>
      <c r="H1185" t="str">
        <f t="shared" si="37"/>
        <v>Non-Current Assets (Acc Depreciation)</v>
      </c>
    </row>
    <row r="1186" spans="1:8" x14ac:dyDescent="0.25">
      <c r="A1186" t="s">
        <v>2053</v>
      </c>
      <c r="B1186" t="s">
        <v>1450</v>
      </c>
      <c r="C1186" s="67">
        <v>-623331</v>
      </c>
      <c r="D1186" s="67">
        <v>-623329</v>
      </c>
      <c r="E1186" s="67">
        <v>-716828.35</v>
      </c>
      <c r="F1186" s="67">
        <v>-824352.60249999992</v>
      </c>
      <c r="G1186" t="str">
        <f t="shared" si="36"/>
        <v>5515</v>
      </c>
      <c r="H1186" t="str">
        <f t="shared" si="37"/>
        <v>Non-Current Assets (Depreciation)</v>
      </c>
    </row>
    <row r="1187" spans="1:8" x14ac:dyDescent="0.25">
      <c r="A1187" t="s">
        <v>2054</v>
      </c>
      <c r="B1187" t="s">
        <v>1452</v>
      </c>
      <c r="C1187" s="67">
        <v>1082867</v>
      </c>
      <c r="D1187" s="67">
        <v>333157.89</v>
      </c>
      <c r="E1187" s="67">
        <v>333157.89</v>
      </c>
      <c r="F1187" s="67">
        <v>333157.89</v>
      </c>
      <c r="G1187" t="str">
        <f t="shared" si="36"/>
        <v>5515</v>
      </c>
      <c r="H1187" t="str">
        <f t="shared" si="37"/>
        <v>Non-Current Assets (Cost)</v>
      </c>
    </row>
    <row r="1188" spans="1:8" x14ac:dyDescent="0.25">
      <c r="A1188" t="s">
        <v>2055</v>
      </c>
      <c r="B1188" t="s">
        <v>1454</v>
      </c>
      <c r="C1188" s="67">
        <v>-33919</v>
      </c>
      <c r="D1188" s="67">
        <v>-74424.040000000008</v>
      </c>
      <c r="E1188" s="67">
        <v>-86901.040000000008</v>
      </c>
      <c r="F1188" s="67">
        <v>-101249.59000000001</v>
      </c>
      <c r="G1188" t="str">
        <f t="shared" si="36"/>
        <v>5515</v>
      </c>
      <c r="H1188" t="str">
        <f t="shared" si="37"/>
        <v>Non-Current Assets (Acc Depreciation)</v>
      </c>
    </row>
    <row r="1189" spans="1:8" x14ac:dyDescent="0.25">
      <c r="A1189" t="s">
        <v>2056</v>
      </c>
      <c r="B1189" t="s">
        <v>1456</v>
      </c>
      <c r="C1189" s="67">
        <v>-12479</v>
      </c>
      <c r="D1189" s="67">
        <v>-12477</v>
      </c>
      <c r="E1189" s="67">
        <v>-14348.55</v>
      </c>
      <c r="F1189" s="67">
        <v>-16500.8325</v>
      </c>
      <c r="G1189" t="str">
        <f t="shared" si="36"/>
        <v>5515</v>
      </c>
      <c r="H1189" t="str">
        <f t="shared" si="37"/>
        <v>Non-Current Assets (Depreciation)</v>
      </c>
    </row>
    <row r="1190" spans="1:8" x14ac:dyDescent="0.25">
      <c r="A1190" t="s">
        <v>2057</v>
      </c>
      <c r="B1190" t="s">
        <v>2027</v>
      </c>
      <c r="C1190" s="67">
        <v>353966</v>
      </c>
      <c r="D1190" s="67">
        <v>13080582.32</v>
      </c>
      <c r="E1190" s="67">
        <v>13080582.32</v>
      </c>
      <c r="F1190" s="67">
        <v>13080582.32</v>
      </c>
      <c r="G1190" t="str">
        <f t="shared" si="36"/>
        <v>5515</v>
      </c>
      <c r="H1190" t="str">
        <f t="shared" si="37"/>
        <v>Non-Current Assets (Cost)</v>
      </c>
    </row>
    <row r="1191" spans="1:8" x14ac:dyDescent="0.25">
      <c r="A1191" t="s">
        <v>2058</v>
      </c>
      <c r="B1191" t="s">
        <v>1460</v>
      </c>
      <c r="C1191" s="67">
        <v>-100290</v>
      </c>
      <c r="D1191" s="67">
        <v>-100290</v>
      </c>
      <c r="E1191" s="67">
        <v>-110319</v>
      </c>
      <c r="F1191" s="67">
        <v>-121350.9</v>
      </c>
      <c r="G1191" t="str">
        <f t="shared" si="36"/>
        <v>5515</v>
      </c>
      <c r="H1191" t="str">
        <f t="shared" si="37"/>
        <v>Current Employee Benefits</v>
      </c>
    </row>
    <row r="1192" spans="1:8" x14ac:dyDescent="0.25">
      <c r="A1192" t="s">
        <v>2059</v>
      </c>
      <c r="B1192" t="s">
        <v>2060</v>
      </c>
      <c r="C1192" s="67">
        <v>0</v>
      </c>
      <c r="D1192" s="67">
        <v>0</v>
      </c>
      <c r="E1192" s="67">
        <v>0</v>
      </c>
      <c r="F1192" s="67">
        <v>0</v>
      </c>
      <c r="G1192" t="str">
        <f t="shared" si="36"/>
        <v>5515</v>
      </c>
      <c r="H1192" t="str">
        <f t="shared" si="37"/>
        <v>Unspent conditional grants and receipts</v>
      </c>
    </row>
    <row r="1193" spans="1:8" x14ac:dyDescent="0.25">
      <c r="A1193" t="s">
        <v>2061</v>
      </c>
      <c r="B1193" t="s">
        <v>1462</v>
      </c>
      <c r="C1193" s="67">
        <v>-4743391</v>
      </c>
      <c r="D1193" s="67">
        <v>5966368.9699999988</v>
      </c>
      <c r="E1193" s="67">
        <v>8426118.9699999988</v>
      </c>
      <c r="F1193" s="67">
        <v>10979864.925121156</v>
      </c>
      <c r="G1193" t="str">
        <f t="shared" si="36"/>
        <v>5515</v>
      </c>
      <c r="H1193" t="str">
        <f t="shared" si="37"/>
        <v>Reserves</v>
      </c>
    </row>
    <row r="1194" spans="1:8" x14ac:dyDescent="0.25">
      <c r="A1194" t="s">
        <v>2062</v>
      </c>
      <c r="B1194" t="s">
        <v>1464</v>
      </c>
      <c r="C1194" s="67">
        <v>2297711</v>
      </c>
      <c r="D1194" s="67">
        <v>2459750</v>
      </c>
      <c r="E1194" s="67">
        <v>2553745.9551211582</v>
      </c>
      <c r="F1194" s="67">
        <v>2788795.3927686317</v>
      </c>
      <c r="G1194" t="str">
        <f t="shared" si="36"/>
        <v>5515</v>
      </c>
      <c r="H1194" t="str">
        <f t="shared" si="37"/>
        <v>Reserves</v>
      </c>
    </row>
    <row r="1195" spans="1:8" x14ac:dyDescent="0.25">
      <c r="A1195" t="s">
        <v>1074</v>
      </c>
      <c r="B1195" t="s">
        <v>24</v>
      </c>
      <c r="C1195" s="67">
        <v>-1200007</v>
      </c>
      <c r="D1195" s="67">
        <v>-1200007</v>
      </c>
      <c r="E1195" s="67">
        <v>-1264807.0828799999</v>
      </c>
      <c r="F1195" s="67">
        <v>-1333106.6653555199</v>
      </c>
      <c r="G1195" t="str">
        <f t="shared" si="36"/>
        <v>5520</v>
      </c>
      <c r="H1195" t="str">
        <f t="shared" si="37"/>
        <v>Fines</v>
      </c>
    </row>
    <row r="1196" spans="1:8" x14ac:dyDescent="0.25">
      <c r="A1196" t="s">
        <v>1075</v>
      </c>
      <c r="B1196" t="s">
        <v>26</v>
      </c>
      <c r="C1196" s="67">
        <v>0</v>
      </c>
      <c r="D1196" s="67">
        <v>0</v>
      </c>
      <c r="E1196" s="67">
        <v>0</v>
      </c>
      <c r="F1196" s="67">
        <v>0</v>
      </c>
      <c r="G1196" t="str">
        <f t="shared" si="36"/>
        <v>5520</v>
      </c>
      <c r="H1196" t="str">
        <f t="shared" si="37"/>
        <v>Licences and permits</v>
      </c>
    </row>
    <row r="1197" spans="1:8" x14ac:dyDescent="0.25">
      <c r="A1197" t="s">
        <v>1076</v>
      </c>
      <c r="B1197" t="s">
        <v>92</v>
      </c>
      <c r="C1197" s="67">
        <v>-7065504</v>
      </c>
      <c r="D1197" s="67">
        <v>-7065504</v>
      </c>
      <c r="E1197" s="67">
        <v>-8401265</v>
      </c>
      <c r="F1197" s="67">
        <v>-9448907</v>
      </c>
      <c r="G1197" t="str">
        <f t="shared" si="36"/>
        <v>5520</v>
      </c>
      <c r="H1197" t="str">
        <f t="shared" si="37"/>
        <v>Licences and permits</v>
      </c>
    </row>
    <row r="1198" spans="1:8" x14ac:dyDescent="0.25">
      <c r="A1198" t="s">
        <v>1077</v>
      </c>
      <c r="B1198" t="s">
        <v>150</v>
      </c>
      <c r="C1198" s="67">
        <v>7800438</v>
      </c>
      <c r="D1198" s="67">
        <v>7800438</v>
      </c>
      <c r="E1198" s="67">
        <v>8346468.1425480004</v>
      </c>
      <c r="F1198" s="67">
        <v>8930720.9125263598</v>
      </c>
      <c r="G1198" t="str">
        <f t="shared" si="36"/>
        <v>5520</v>
      </c>
      <c r="H1198" t="str">
        <f t="shared" si="37"/>
        <v>Employee related costs</v>
      </c>
    </row>
    <row r="1199" spans="1:8" x14ac:dyDescent="0.25">
      <c r="A1199" t="s">
        <v>1078</v>
      </c>
      <c r="B1199" t="s">
        <v>151</v>
      </c>
      <c r="C1199" s="67">
        <v>364506</v>
      </c>
      <c r="D1199" s="67">
        <v>220144.34000000008</v>
      </c>
      <c r="E1199" s="67">
        <v>211611.55000000008</v>
      </c>
      <c r="F1199" s="67">
        <v>214044.01000000007</v>
      </c>
      <c r="G1199" t="str">
        <f t="shared" si="36"/>
        <v>5520</v>
      </c>
      <c r="H1199" t="str">
        <f t="shared" si="37"/>
        <v>Employee related costs</v>
      </c>
    </row>
    <row r="1200" spans="1:8" x14ac:dyDescent="0.25">
      <c r="A1200" t="s">
        <v>1079</v>
      </c>
      <c r="B1200" t="s">
        <v>152</v>
      </c>
      <c r="C1200" s="67">
        <v>136800</v>
      </c>
      <c r="D1200" s="67">
        <v>136800</v>
      </c>
      <c r="E1200" s="67">
        <v>695539.011879</v>
      </c>
      <c r="F1200" s="67">
        <v>744226.74271053006</v>
      </c>
      <c r="G1200" t="str">
        <f t="shared" si="36"/>
        <v>5520</v>
      </c>
      <c r="H1200" t="str">
        <f t="shared" si="37"/>
        <v>Employee related costs</v>
      </c>
    </row>
    <row r="1201" spans="1:8" x14ac:dyDescent="0.25">
      <c r="A1201" t="s">
        <v>1080</v>
      </c>
      <c r="B1201" t="s">
        <v>153</v>
      </c>
      <c r="C1201" s="67">
        <v>0</v>
      </c>
      <c r="D1201" s="67">
        <v>65358.84</v>
      </c>
      <c r="E1201" s="67">
        <v>0</v>
      </c>
      <c r="F1201" s="67">
        <v>0</v>
      </c>
      <c r="G1201" t="str">
        <f t="shared" si="36"/>
        <v>5520</v>
      </c>
      <c r="H1201" t="str">
        <f t="shared" si="37"/>
        <v>Employee related costs</v>
      </c>
    </row>
    <row r="1202" spans="1:8" x14ac:dyDescent="0.25">
      <c r="A1202" t="s">
        <v>1081</v>
      </c>
      <c r="B1202" t="s">
        <v>155</v>
      </c>
      <c r="C1202" s="67">
        <v>258849</v>
      </c>
      <c r="D1202" s="67">
        <v>258849</v>
      </c>
      <c r="E1202" s="67">
        <v>146376</v>
      </c>
      <c r="F1202" s="67">
        <v>156622.32</v>
      </c>
      <c r="G1202" t="str">
        <f t="shared" si="36"/>
        <v>5520</v>
      </c>
      <c r="H1202" t="str">
        <f t="shared" si="37"/>
        <v>Employee related costs</v>
      </c>
    </row>
    <row r="1203" spans="1:8" x14ac:dyDescent="0.25">
      <c r="A1203" t="s">
        <v>1082</v>
      </c>
      <c r="B1203" t="s">
        <v>156</v>
      </c>
      <c r="C1203" s="67">
        <v>241565</v>
      </c>
      <c r="D1203" s="67">
        <v>698609.24</v>
      </c>
      <c r="E1203" s="67">
        <v>276968.95948642195</v>
      </c>
      <c r="F1203" s="67">
        <v>296356.78665047151</v>
      </c>
      <c r="G1203" t="str">
        <f t="shared" si="36"/>
        <v>5520</v>
      </c>
      <c r="H1203" t="str">
        <f t="shared" si="37"/>
        <v>Employee related costs</v>
      </c>
    </row>
    <row r="1204" spans="1:8" x14ac:dyDescent="0.25">
      <c r="A1204" t="s">
        <v>1083</v>
      </c>
      <c r="B1204" t="s">
        <v>157</v>
      </c>
      <c r="C1204" s="67">
        <v>258730</v>
      </c>
      <c r="D1204" s="67">
        <v>0</v>
      </c>
      <c r="E1204" s="67">
        <v>258474.63902400006</v>
      </c>
      <c r="F1204" s="67">
        <v>276567.86375568004</v>
      </c>
      <c r="G1204" t="str">
        <f t="shared" si="36"/>
        <v>5520</v>
      </c>
      <c r="H1204" t="str">
        <f t="shared" si="37"/>
        <v>Employee related costs</v>
      </c>
    </row>
    <row r="1205" spans="1:8" x14ac:dyDescent="0.25">
      <c r="A1205" t="s">
        <v>1084</v>
      </c>
      <c r="B1205" t="s">
        <v>158</v>
      </c>
      <c r="C1205" s="67">
        <v>0</v>
      </c>
      <c r="D1205" s="67">
        <v>110000</v>
      </c>
      <c r="E1205" s="67">
        <v>276841.15221600002</v>
      </c>
      <c r="F1205" s="67">
        <v>296220.03287112003</v>
      </c>
      <c r="G1205" t="str">
        <f t="shared" si="36"/>
        <v>5520</v>
      </c>
      <c r="H1205" t="str">
        <f t="shared" si="37"/>
        <v>Employee related costs</v>
      </c>
    </row>
    <row r="1206" spans="1:8" x14ac:dyDescent="0.25">
      <c r="A1206" t="s">
        <v>1085</v>
      </c>
      <c r="B1206" t="s">
        <v>159</v>
      </c>
      <c r="C1206" s="67">
        <v>650036</v>
      </c>
      <c r="D1206" s="67">
        <v>650036</v>
      </c>
      <c r="E1206" s="67">
        <v>0</v>
      </c>
      <c r="F1206" s="67">
        <v>0</v>
      </c>
      <c r="G1206" t="str">
        <f t="shared" si="36"/>
        <v>5520</v>
      </c>
      <c r="H1206" t="str">
        <f t="shared" si="37"/>
        <v>Employee related costs</v>
      </c>
    </row>
    <row r="1207" spans="1:8" x14ac:dyDescent="0.25">
      <c r="A1207" t="s">
        <v>1086</v>
      </c>
      <c r="B1207" t="s">
        <v>160</v>
      </c>
      <c r="C1207" s="67">
        <v>115560</v>
      </c>
      <c r="D1207" s="67">
        <v>115560</v>
      </c>
      <c r="E1207" s="67">
        <v>123649.2</v>
      </c>
      <c r="F1207" s="67">
        <v>132304.644</v>
      </c>
      <c r="G1207" t="str">
        <f t="shared" si="36"/>
        <v>5520</v>
      </c>
      <c r="H1207" t="str">
        <f t="shared" si="37"/>
        <v>Employee related costs</v>
      </c>
    </row>
    <row r="1208" spans="1:8" x14ac:dyDescent="0.25">
      <c r="A1208" t="s">
        <v>1087</v>
      </c>
      <c r="B1208" t="s">
        <v>164</v>
      </c>
      <c r="C1208" s="67">
        <v>0</v>
      </c>
      <c r="D1208" s="67">
        <v>15692.4</v>
      </c>
      <c r="E1208" s="67">
        <v>0</v>
      </c>
      <c r="F1208" s="67">
        <v>0</v>
      </c>
      <c r="G1208" t="str">
        <f t="shared" si="36"/>
        <v>5520</v>
      </c>
      <c r="H1208" t="str">
        <f t="shared" si="37"/>
        <v>Employee related costs</v>
      </c>
    </row>
    <row r="1209" spans="1:8" x14ac:dyDescent="0.25">
      <c r="A1209" t="s">
        <v>1088</v>
      </c>
      <c r="B1209" t="s">
        <v>167</v>
      </c>
      <c r="C1209" s="67">
        <v>2921</v>
      </c>
      <c r="D1209" s="67">
        <v>2921</v>
      </c>
      <c r="E1209" s="67">
        <v>3125.5769999999993</v>
      </c>
      <c r="F1209" s="67">
        <v>3344.3673899999994</v>
      </c>
      <c r="G1209" t="str">
        <f t="shared" si="36"/>
        <v>5520</v>
      </c>
      <c r="H1209" t="str">
        <f t="shared" si="37"/>
        <v>Employee related costs</v>
      </c>
    </row>
    <row r="1210" spans="1:8" x14ac:dyDescent="0.25">
      <c r="A1210" t="s">
        <v>1089</v>
      </c>
      <c r="B1210" t="s">
        <v>168</v>
      </c>
      <c r="C1210" s="67">
        <v>1401613</v>
      </c>
      <c r="D1210" s="67">
        <v>901613</v>
      </c>
      <c r="E1210" s="67">
        <v>1499726.1239999996</v>
      </c>
      <c r="F1210" s="67">
        <v>1604706.9526799996</v>
      </c>
      <c r="G1210" t="str">
        <f t="shared" si="36"/>
        <v>5520</v>
      </c>
      <c r="H1210" t="str">
        <f t="shared" si="37"/>
        <v>Employee related costs</v>
      </c>
    </row>
    <row r="1211" spans="1:8" x14ac:dyDescent="0.25">
      <c r="A1211" t="s">
        <v>1090</v>
      </c>
      <c r="B1211" t="s">
        <v>169</v>
      </c>
      <c r="C1211" s="67">
        <v>1716096</v>
      </c>
      <c r="D1211" s="67">
        <v>1716096</v>
      </c>
      <c r="E1211" s="67">
        <v>1836222.9913605603</v>
      </c>
      <c r="F1211" s="67">
        <v>1964758.6007557996</v>
      </c>
      <c r="G1211" t="str">
        <f t="shared" si="36"/>
        <v>5520</v>
      </c>
      <c r="H1211" t="str">
        <f t="shared" si="37"/>
        <v>Employee related costs</v>
      </c>
    </row>
    <row r="1212" spans="1:8" x14ac:dyDescent="0.25">
      <c r="A1212" t="s">
        <v>1091</v>
      </c>
      <c r="B1212" t="s">
        <v>170</v>
      </c>
      <c r="C1212" s="67">
        <v>46410</v>
      </c>
      <c r="D1212" s="67">
        <v>46410</v>
      </c>
      <c r="E1212" s="67">
        <v>49658.7</v>
      </c>
      <c r="F1212" s="67">
        <v>53134.808999999994</v>
      </c>
      <c r="G1212" t="str">
        <f t="shared" si="36"/>
        <v>5520</v>
      </c>
      <c r="H1212" t="str">
        <f t="shared" si="37"/>
        <v>Employee related costs</v>
      </c>
    </row>
    <row r="1213" spans="1:8" x14ac:dyDescent="0.25">
      <c r="A1213" t="s">
        <v>1092</v>
      </c>
      <c r="B1213" t="s">
        <v>173</v>
      </c>
      <c r="C1213" s="67">
        <v>111281</v>
      </c>
      <c r="D1213" s="67">
        <v>111281</v>
      </c>
      <c r="E1213" s="67">
        <v>117957.7752</v>
      </c>
      <c r="F1213" s="67">
        <v>126214.819464</v>
      </c>
      <c r="G1213" t="str">
        <f t="shared" si="36"/>
        <v>5520</v>
      </c>
      <c r="H1213" t="str">
        <f t="shared" si="37"/>
        <v>Employee related costs</v>
      </c>
    </row>
    <row r="1214" spans="1:8" x14ac:dyDescent="0.25">
      <c r="A1214" t="s">
        <v>1093</v>
      </c>
      <c r="B1214" t="s">
        <v>174</v>
      </c>
      <c r="C1214" s="67">
        <v>84517</v>
      </c>
      <c r="D1214" s="67">
        <v>84517</v>
      </c>
      <c r="E1214" s="67">
        <v>89587.998800000001</v>
      </c>
      <c r="F1214" s="67">
        <v>95859.158716000005</v>
      </c>
      <c r="G1214" t="str">
        <f t="shared" si="36"/>
        <v>5520</v>
      </c>
      <c r="H1214" t="str">
        <f t="shared" si="37"/>
        <v>Employee related costs</v>
      </c>
    </row>
    <row r="1215" spans="1:8" x14ac:dyDescent="0.25">
      <c r="A1215" t="s">
        <v>1094</v>
      </c>
      <c r="B1215" t="s">
        <v>175</v>
      </c>
      <c r="C1215" s="67">
        <v>120219</v>
      </c>
      <c r="D1215" s="67">
        <v>120219</v>
      </c>
      <c r="E1215" s="67">
        <v>127431.97039999999</v>
      </c>
      <c r="F1215" s="67">
        <v>136352.20832799998</v>
      </c>
      <c r="G1215" t="str">
        <f t="shared" si="36"/>
        <v>5520</v>
      </c>
      <c r="H1215" t="str">
        <f t="shared" si="37"/>
        <v>Employee related costs</v>
      </c>
    </row>
    <row r="1216" spans="1:8" x14ac:dyDescent="0.25">
      <c r="A1216" t="s">
        <v>1095</v>
      </c>
      <c r="B1216" t="s">
        <v>235</v>
      </c>
      <c r="C1216" s="67">
        <v>39987</v>
      </c>
      <c r="D1216" s="67">
        <v>39987</v>
      </c>
      <c r="E1216" s="67">
        <v>42386.686400000006</v>
      </c>
      <c r="F1216" s="67">
        <v>44675.567465600005</v>
      </c>
      <c r="G1216" t="str">
        <f t="shared" si="36"/>
        <v>5520</v>
      </c>
      <c r="H1216" t="str">
        <f t="shared" si="37"/>
        <v>Contracted services</v>
      </c>
    </row>
    <row r="1217" spans="1:8" x14ac:dyDescent="0.25">
      <c r="A1217" t="s">
        <v>1096</v>
      </c>
      <c r="B1217" t="s">
        <v>265</v>
      </c>
      <c r="C1217" s="67">
        <v>0</v>
      </c>
      <c r="D1217" s="67">
        <v>174021.27</v>
      </c>
      <c r="E1217" s="67">
        <v>0</v>
      </c>
      <c r="F1217" s="67">
        <v>0</v>
      </c>
      <c r="G1217" t="str">
        <f t="shared" si="36"/>
        <v>5520</v>
      </c>
      <c r="H1217" t="str">
        <f t="shared" si="37"/>
        <v>General expenses</v>
      </c>
    </row>
    <row r="1218" spans="1:8" x14ac:dyDescent="0.25">
      <c r="A1218" t="s">
        <v>1097</v>
      </c>
      <c r="B1218" t="s">
        <v>268</v>
      </c>
      <c r="C1218" s="67">
        <v>0</v>
      </c>
      <c r="D1218" s="67">
        <v>219649.7</v>
      </c>
      <c r="E1218" s="67">
        <v>0</v>
      </c>
      <c r="F1218" s="67">
        <v>0</v>
      </c>
      <c r="G1218" t="str">
        <f t="shared" ref="G1218:G1281" si="38">VLOOKUP(A1218,s,2,FALSE)</f>
        <v>5520</v>
      </c>
      <c r="H1218" t="str">
        <f t="shared" ref="H1218:H1281" si="39">VLOOKUP(A1218,s,3,FALSE)</f>
        <v>General expenses</v>
      </c>
    </row>
    <row r="1219" spans="1:8" x14ac:dyDescent="0.25">
      <c r="A1219" t="s">
        <v>1098</v>
      </c>
      <c r="B1219" t="s">
        <v>291</v>
      </c>
      <c r="C1219" s="67">
        <v>3371</v>
      </c>
      <c r="D1219" s="67">
        <v>3371</v>
      </c>
      <c r="E1219" s="67">
        <v>3876.65</v>
      </c>
      <c r="F1219" s="67">
        <v>4458.1475</v>
      </c>
      <c r="G1219" t="str">
        <f t="shared" si="38"/>
        <v>5520</v>
      </c>
      <c r="H1219" t="str">
        <f t="shared" si="39"/>
        <v>Depreciation and amortisation</v>
      </c>
    </row>
    <row r="1220" spans="1:8" x14ac:dyDescent="0.25">
      <c r="A1220" t="s">
        <v>1099</v>
      </c>
      <c r="B1220" t="s">
        <v>292</v>
      </c>
      <c r="C1220" s="67">
        <v>3371</v>
      </c>
      <c r="D1220" s="92">
        <v>3371</v>
      </c>
      <c r="E1220" s="67">
        <v>3876.65</v>
      </c>
      <c r="F1220" s="67">
        <v>4458.1475</v>
      </c>
      <c r="G1220" t="str">
        <f t="shared" si="38"/>
        <v>5520</v>
      </c>
      <c r="H1220" t="str">
        <f t="shared" si="39"/>
        <v>Depreciation and amortisation</v>
      </c>
    </row>
    <row r="1221" spans="1:8" x14ac:dyDescent="0.25">
      <c r="A1221" t="s">
        <v>1100</v>
      </c>
      <c r="B1221" t="s">
        <v>293</v>
      </c>
      <c r="C1221" s="67">
        <v>62309</v>
      </c>
      <c r="D1221" s="67">
        <v>62309</v>
      </c>
      <c r="E1221" s="67">
        <v>71655.350000000006</v>
      </c>
      <c r="F1221" s="67">
        <v>82403.652500000011</v>
      </c>
      <c r="G1221" t="str">
        <f t="shared" si="38"/>
        <v>5520</v>
      </c>
      <c r="H1221" t="str">
        <f t="shared" si="39"/>
        <v>Depreciation and amortisation</v>
      </c>
    </row>
    <row r="1222" spans="1:8" x14ac:dyDescent="0.25">
      <c r="A1222" t="s">
        <v>1101</v>
      </c>
      <c r="B1222" t="s">
        <v>296</v>
      </c>
      <c r="C1222" s="67">
        <v>10426</v>
      </c>
      <c r="D1222" s="67">
        <v>10426</v>
      </c>
      <c r="E1222" s="67">
        <v>11989.9</v>
      </c>
      <c r="F1222" s="67">
        <v>13788.385</v>
      </c>
      <c r="G1222" t="str">
        <f t="shared" si="38"/>
        <v>5520</v>
      </c>
      <c r="H1222" t="str">
        <f t="shared" si="39"/>
        <v>Depreciation and amortisation</v>
      </c>
    </row>
    <row r="1223" spans="1:8" x14ac:dyDescent="0.25">
      <c r="A1223" t="s">
        <v>1102</v>
      </c>
      <c r="B1223" t="s">
        <v>300</v>
      </c>
      <c r="C1223" s="67">
        <v>0</v>
      </c>
      <c r="D1223" s="67">
        <v>0</v>
      </c>
      <c r="E1223" s="67">
        <v>0</v>
      </c>
      <c r="F1223" s="67">
        <v>0</v>
      </c>
      <c r="G1223" t="str">
        <f t="shared" si="38"/>
        <v>5520</v>
      </c>
      <c r="H1223" t="str">
        <f t="shared" si="39"/>
        <v>Depreciation and amortisation</v>
      </c>
    </row>
    <row r="1224" spans="1:8" x14ac:dyDescent="0.25">
      <c r="A1224" t="s">
        <v>1103</v>
      </c>
      <c r="B1224" t="s">
        <v>301</v>
      </c>
      <c r="C1224" s="67">
        <v>11236</v>
      </c>
      <c r="D1224" s="67">
        <v>11236</v>
      </c>
      <c r="E1224" s="67">
        <v>12921.4</v>
      </c>
      <c r="F1224" s="67">
        <v>14859.609999999999</v>
      </c>
      <c r="G1224" t="str">
        <f t="shared" si="38"/>
        <v>5520</v>
      </c>
      <c r="H1224" t="str">
        <f t="shared" si="39"/>
        <v>Depreciation and amortisation</v>
      </c>
    </row>
    <row r="1225" spans="1:8" x14ac:dyDescent="0.25">
      <c r="A1225" t="s">
        <v>2063</v>
      </c>
      <c r="B1225" t="s">
        <v>1404</v>
      </c>
      <c r="C1225" s="67">
        <v>-5174730</v>
      </c>
      <c r="D1225" s="67">
        <v>-5457766.4500000002</v>
      </c>
      <c r="E1225" s="67">
        <v>-4718684.6712539839</v>
      </c>
      <c r="F1225" s="67">
        <v>-4617343.4705854403</v>
      </c>
      <c r="G1225" t="str">
        <f t="shared" si="38"/>
        <v>5520</v>
      </c>
      <c r="H1225" t="str">
        <f t="shared" si="39"/>
        <v>Accumulated surplus</v>
      </c>
    </row>
    <row r="1226" spans="1:8" x14ac:dyDescent="0.25">
      <c r="A1226" t="s">
        <v>2064</v>
      </c>
      <c r="B1226" t="s">
        <v>1406</v>
      </c>
      <c r="C1226" s="67">
        <v>29440</v>
      </c>
      <c r="D1226" s="67">
        <v>29440</v>
      </c>
      <c r="E1226" s="67">
        <v>29440</v>
      </c>
      <c r="F1226" s="67">
        <v>29440</v>
      </c>
      <c r="G1226" t="str">
        <f t="shared" si="38"/>
        <v>5520</v>
      </c>
      <c r="H1226" t="str">
        <f t="shared" si="39"/>
        <v>Non-Current Assets (Cost)</v>
      </c>
    </row>
    <row r="1227" spans="1:8" x14ac:dyDescent="0.25">
      <c r="A1227" t="s">
        <v>2065</v>
      </c>
      <c r="B1227" t="s">
        <v>1408</v>
      </c>
      <c r="C1227" s="67">
        <v>-25807</v>
      </c>
      <c r="D1227" s="67">
        <v>-19626.68</v>
      </c>
      <c r="E1227" s="67">
        <v>-22997.68</v>
      </c>
      <c r="F1227" s="67">
        <v>-26874.33</v>
      </c>
      <c r="G1227" t="str">
        <f t="shared" si="38"/>
        <v>5520</v>
      </c>
      <c r="H1227" t="str">
        <f t="shared" si="39"/>
        <v>Non-Current Assets (Acc Depreciation)</v>
      </c>
    </row>
    <row r="1228" spans="1:8" x14ac:dyDescent="0.25">
      <c r="A1228" t="s">
        <v>2066</v>
      </c>
      <c r="B1228" t="s">
        <v>1410</v>
      </c>
      <c r="C1228" s="67">
        <v>-3371</v>
      </c>
      <c r="D1228" s="67">
        <v>-3371</v>
      </c>
      <c r="E1228" s="67">
        <v>-3876.65</v>
      </c>
      <c r="F1228" s="67">
        <v>-4458.1475</v>
      </c>
      <c r="G1228" t="str">
        <f t="shared" si="38"/>
        <v>5520</v>
      </c>
      <c r="H1228" t="str">
        <f t="shared" si="39"/>
        <v>Non-Current Assets (Depreciation)</v>
      </c>
    </row>
    <row r="1229" spans="1:8" x14ac:dyDescent="0.25">
      <c r="A1229" t="s">
        <v>2067</v>
      </c>
      <c r="B1229" t="s">
        <v>1422</v>
      </c>
      <c r="C1229" s="67">
        <v>249459</v>
      </c>
      <c r="D1229" s="67">
        <v>184872.68</v>
      </c>
      <c r="E1229" s="67">
        <v>184872.68</v>
      </c>
      <c r="F1229" s="67">
        <v>384872.68</v>
      </c>
      <c r="G1229" t="str">
        <f t="shared" si="38"/>
        <v>5520</v>
      </c>
      <c r="H1229" t="str">
        <f t="shared" si="39"/>
        <v>Non-Current Assets (Cost)</v>
      </c>
    </row>
    <row r="1230" spans="1:8" x14ac:dyDescent="0.25">
      <c r="A1230" t="s">
        <v>2068</v>
      </c>
      <c r="B1230" t="s">
        <v>1424</v>
      </c>
      <c r="C1230" s="67">
        <v>-126401</v>
      </c>
      <c r="D1230" s="67">
        <v>-111837.29</v>
      </c>
      <c r="E1230" s="67">
        <v>-122263.29</v>
      </c>
      <c r="F1230" s="67">
        <v>-134253.19</v>
      </c>
      <c r="G1230" t="str">
        <f t="shared" si="38"/>
        <v>5520</v>
      </c>
      <c r="H1230" t="str">
        <f t="shared" si="39"/>
        <v>Non-Current Assets (Acc Depreciation)</v>
      </c>
    </row>
    <row r="1231" spans="1:8" x14ac:dyDescent="0.25">
      <c r="A1231" t="s">
        <v>2069</v>
      </c>
      <c r="B1231" t="s">
        <v>1426</v>
      </c>
      <c r="C1231" s="67">
        <v>-10428</v>
      </c>
      <c r="D1231" s="67">
        <v>-10426</v>
      </c>
      <c r="E1231" s="67">
        <v>-11989.9</v>
      </c>
      <c r="F1231" s="67">
        <v>-13788.385</v>
      </c>
      <c r="G1231" t="str">
        <f t="shared" si="38"/>
        <v>5520</v>
      </c>
      <c r="H1231" t="str">
        <f t="shared" si="39"/>
        <v>Non-Current Assets (Depreciation)</v>
      </c>
    </row>
    <row r="1232" spans="1:8" x14ac:dyDescent="0.25">
      <c r="A1232" t="s">
        <v>1104</v>
      </c>
      <c r="B1232" t="s">
        <v>1105</v>
      </c>
      <c r="C1232" s="67">
        <v>100000</v>
      </c>
      <c r="D1232" s="67">
        <v>0</v>
      </c>
      <c r="E1232" s="67">
        <v>200000</v>
      </c>
      <c r="F1232" s="67">
        <v>0</v>
      </c>
      <c r="G1232" t="str">
        <f t="shared" si="38"/>
        <v>5520</v>
      </c>
      <c r="H1232" t="str">
        <f t="shared" si="39"/>
        <v>Non-Current Assets (Acquisitions)</v>
      </c>
    </row>
    <row r="1233" spans="1:8" x14ac:dyDescent="0.25">
      <c r="A1233" t="s">
        <v>2070</v>
      </c>
      <c r="B1233" t="s">
        <v>1428</v>
      </c>
      <c r="C1233" s="67">
        <v>1826206</v>
      </c>
      <c r="D1233" s="67">
        <v>1765771.58</v>
      </c>
      <c r="E1233" s="67">
        <v>1765771.58</v>
      </c>
      <c r="F1233" s="67">
        <v>1765771.58</v>
      </c>
      <c r="G1233" t="str">
        <f t="shared" si="38"/>
        <v>5520</v>
      </c>
      <c r="H1233" t="str">
        <f t="shared" si="39"/>
        <v>Non-Current Assets (Cost)</v>
      </c>
    </row>
    <row r="1234" spans="1:8" x14ac:dyDescent="0.25">
      <c r="A1234" t="s">
        <v>2071</v>
      </c>
      <c r="B1234" t="s">
        <v>1430</v>
      </c>
      <c r="C1234" s="67">
        <v>-1075406</v>
      </c>
      <c r="D1234" s="67">
        <v>-1280689.1300000001</v>
      </c>
      <c r="E1234" s="67">
        <v>-1342998.1300000001</v>
      </c>
      <c r="F1234" s="67">
        <v>-1414653.4800000002</v>
      </c>
      <c r="G1234" t="str">
        <f t="shared" si="38"/>
        <v>5520</v>
      </c>
      <c r="H1234" t="str">
        <f t="shared" si="39"/>
        <v>Non-Current Assets (Acc Depreciation)</v>
      </c>
    </row>
    <row r="1235" spans="1:8" x14ac:dyDescent="0.25">
      <c r="A1235" t="s">
        <v>2072</v>
      </c>
      <c r="B1235" t="s">
        <v>1432</v>
      </c>
      <c r="C1235" s="67">
        <v>-62310</v>
      </c>
      <c r="D1235" s="67">
        <v>-62309</v>
      </c>
      <c r="E1235" s="67">
        <v>-71655.350000000006</v>
      </c>
      <c r="F1235" s="67">
        <v>-82403.652500000011</v>
      </c>
      <c r="G1235" t="str">
        <f t="shared" si="38"/>
        <v>5520</v>
      </c>
      <c r="H1235" t="str">
        <f t="shared" si="39"/>
        <v>Non-Current Assets (Depreciation)</v>
      </c>
    </row>
    <row r="1236" spans="1:8" x14ac:dyDescent="0.25">
      <c r="A1236" t="s">
        <v>2073</v>
      </c>
      <c r="B1236" t="s">
        <v>1434</v>
      </c>
      <c r="C1236" s="67">
        <v>527439</v>
      </c>
      <c r="D1236" s="67">
        <v>437543.02</v>
      </c>
      <c r="E1236" s="67">
        <v>437543.02</v>
      </c>
      <c r="F1236" s="67">
        <v>437543.02</v>
      </c>
      <c r="G1236" t="str">
        <f t="shared" si="38"/>
        <v>5520</v>
      </c>
      <c r="H1236" t="str">
        <f t="shared" si="39"/>
        <v>Non-Current Assets (Cost)</v>
      </c>
    </row>
    <row r="1237" spans="1:8" x14ac:dyDescent="0.25">
      <c r="A1237" t="s">
        <v>2074</v>
      </c>
      <c r="B1237" t="s">
        <v>1436</v>
      </c>
      <c r="C1237" s="67">
        <v>-342857</v>
      </c>
      <c r="D1237" s="67">
        <v>-298908.13</v>
      </c>
      <c r="E1237" s="67">
        <v>-302279.13</v>
      </c>
      <c r="F1237" s="67">
        <v>-306155.78000000003</v>
      </c>
      <c r="G1237" t="str">
        <f t="shared" si="38"/>
        <v>5520</v>
      </c>
      <c r="H1237" t="str">
        <f t="shared" si="39"/>
        <v>Non-Current Assets (Acc Depreciation)</v>
      </c>
    </row>
    <row r="1238" spans="1:8" x14ac:dyDescent="0.25">
      <c r="A1238" t="s">
        <v>2075</v>
      </c>
      <c r="B1238" t="s">
        <v>1438</v>
      </c>
      <c r="C1238" s="67">
        <v>-3180</v>
      </c>
      <c r="D1238" s="67">
        <v>-3371</v>
      </c>
      <c r="E1238" s="67">
        <v>-3876.65</v>
      </c>
      <c r="F1238" s="67">
        <v>-4458.1475</v>
      </c>
      <c r="G1238" t="str">
        <f t="shared" si="38"/>
        <v>5520</v>
      </c>
      <c r="H1238" t="str">
        <f t="shared" si="39"/>
        <v>Non-Current Assets (Depreciation)</v>
      </c>
    </row>
    <row r="1239" spans="1:8" x14ac:dyDescent="0.25">
      <c r="A1239" t="s">
        <v>2076</v>
      </c>
      <c r="B1239" t="s">
        <v>1446</v>
      </c>
      <c r="C1239" s="67">
        <v>300000</v>
      </c>
      <c r="D1239" s="67">
        <v>300000</v>
      </c>
      <c r="E1239" s="67">
        <v>300000</v>
      </c>
      <c r="F1239" s="67">
        <v>300000</v>
      </c>
      <c r="G1239" t="str">
        <f t="shared" si="38"/>
        <v>5520</v>
      </c>
      <c r="H1239" t="str">
        <f t="shared" si="39"/>
        <v>Non-Current Assets (Cost)</v>
      </c>
    </row>
    <row r="1240" spans="1:8" x14ac:dyDescent="0.25">
      <c r="A1240" t="s">
        <v>2077</v>
      </c>
      <c r="B1240" t="s">
        <v>1448</v>
      </c>
      <c r="C1240" s="67">
        <v>-62145</v>
      </c>
      <c r="D1240" s="67">
        <v>-7500</v>
      </c>
      <c r="E1240" s="67">
        <v>-18736</v>
      </c>
      <c r="F1240" s="67">
        <v>-31657.4</v>
      </c>
      <c r="G1240" t="str">
        <f t="shared" si="38"/>
        <v>5520</v>
      </c>
      <c r="H1240" t="str">
        <f t="shared" si="39"/>
        <v>Non-Current Assets (Acc Depreciation)</v>
      </c>
    </row>
    <row r="1241" spans="1:8" x14ac:dyDescent="0.25">
      <c r="A1241" t="s">
        <v>2078</v>
      </c>
      <c r="B1241" t="s">
        <v>1450</v>
      </c>
      <c r="C1241" s="67">
        <v>-11236</v>
      </c>
      <c r="D1241" s="67">
        <v>-11236</v>
      </c>
      <c r="E1241" s="67">
        <v>-12921.4</v>
      </c>
      <c r="F1241" s="67">
        <v>-14859.609999999999</v>
      </c>
      <c r="G1241" t="str">
        <f t="shared" si="38"/>
        <v>5520</v>
      </c>
      <c r="H1241" t="str">
        <f t="shared" si="39"/>
        <v>Non-Current Assets (Depreciation)</v>
      </c>
    </row>
    <row r="1242" spans="1:8" x14ac:dyDescent="0.25">
      <c r="A1242" t="s">
        <v>2079</v>
      </c>
      <c r="B1242" t="s">
        <v>1460</v>
      </c>
      <c r="C1242" s="67">
        <v>-1040433</v>
      </c>
      <c r="D1242" s="67">
        <v>-1040433</v>
      </c>
      <c r="E1242" s="67">
        <v>-1144476.3</v>
      </c>
      <c r="F1242" s="67">
        <v>-1258923.9300000002</v>
      </c>
      <c r="G1242" t="str">
        <f t="shared" si="38"/>
        <v>5520</v>
      </c>
      <c r="H1242" t="str">
        <f t="shared" si="39"/>
        <v>Current Employee Benefits</v>
      </c>
    </row>
    <row r="1243" spans="1:8" x14ac:dyDescent="0.25">
      <c r="A1243" t="s">
        <v>2080</v>
      </c>
      <c r="B1243" t="s">
        <v>1462</v>
      </c>
      <c r="C1243" s="67">
        <v>-372638</v>
      </c>
      <c r="D1243" s="67">
        <v>17947354.890000001</v>
      </c>
      <c r="E1243" s="67">
        <v>23405121.34</v>
      </c>
      <c r="F1243" s="67">
        <v>28123806.011253983</v>
      </c>
      <c r="G1243" t="str">
        <f t="shared" si="38"/>
        <v>5520</v>
      </c>
      <c r="H1243" t="str">
        <f t="shared" si="39"/>
        <v>Reserves</v>
      </c>
    </row>
    <row r="1244" spans="1:8" x14ac:dyDescent="0.25">
      <c r="A1244" t="s">
        <v>2081</v>
      </c>
      <c r="B1244" t="s">
        <v>1464</v>
      </c>
      <c r="C1244" s="67">
        <v>5174730</v>
      </c>
      <c r="D1244" s="67">
        <v>5457766.4500000002</v>
      </c>
      <c r="E1244" s="67">
        <v>4718684.6712539839</v>
      </c>
      <c r="F1244" s="67">
        <v>4617343.4705854403</v>
      </c>
      <c r="G1244" t="str">
        <f t="shared" si="38"/>
        <v>5520</v>
      </c>
      <c r="H1244" t="str">
        <f t="shared" si="39"/>
        <v>Reserves</v>
      </c>
    </row>
    <row r="1245" spans="1:8" x14ac:dyDescent="0.25">
      <c r="A1245" t="s">
        <v>1107</v>
      </c>
      <c r="B1245" t="s">
        <v>83</v>
      </c>
      <c r="C1245" s="67">
        <v>-12565</v>
      </c>
      <c r="D1245" s="67">
        <v>-12565</v>
      </c>
      <c r="E1245" s="67">
        <v>-13243.872576</v>
      </c>
      <c r="F1245" s="67">
        <v>-13959.041695103999</v>
      </c>
      <c r="G1245" t="str">
        <f t="shared" si="38"/>
        <v>5525</v>
      </c>
      <c r="H1245" t="str">
        <f t="shared" si="39"/>
        <v>Other income</v>
      </c>
    </row>
    <row r="1246" spans="1:8" x14ac:dyDescent="0.25">
      <c r="A1246" t="s">
        <v>1108</v>
      </c>
      <c r="B1246" t="s">
        <v>150</v>
      </c>
      <c r="C1246" s="67">
        <v>666935</v>
      </c>
      <c r="D1246" s="67">
        <v>666935</v>
      </c>
      <c r="E1246" s="67">
        <v>713620.81123200001</v>
      </c>
      <c r="F1246" s="67">
        <v>763574.26801823999</v>
      </c>
      <c r="G1246" t="str">
        <f t="shared" si="38"/>
        <v>5525</v>
      </c>
      <c r="H1246" t="str">
        <f t="shared" si="39"/>
        <v>Employee related costs</v>
      </c>
    </row>
    <row r="1247" spans="1:8" x14ac:dyDescent="0.25">
      <c r="A1247" t="s">
        <v>1109</v>
      </c>
      <c r="B1247" t="s">
        <v>151</v>
      </c>
      <c r="C1247" s="67">
        <v>30877</v>
      </c>
      <c r="D1247" s="67">
        <v>16934.18</v>
      </c>
      <c r="E1247" s="67">
        <v>8401.39</v>
      </c>
      <c r="F1247" s="67">
        <v>10833.849999999999</v>
      </c>
      <c r="G1247" t="str">
        <f t="shared" si="38"/>
        <v>5525</v>
      </c>
      <c r="H1247" t="str">
        <f t="shared" si="39"/>
        <v>Employee related costs</v>
      </c>
    </row>
    <row r="1248" spans="1:8" x14ac:dyDescent="0.25">
      <c r="A1248" t="s">
        <v>1110</v>
      </c>
      <c r="B1248" t="s">
        <v>155</v>
      </c>
      <c r="C1248" s="67">
        <v>21927</v>
      </c>
      <c r="D1248" s="67">
        <v>21927</v>
      </c>
      <c r="E1248" s="67">
        <v>59468.400936000005</v>
      </c>
      <c r="F1248" s="67">
        <v>63631.189001520004</v>
      </c>
      <c r="G1248" t="str">
        <f t="shared" si="38"/>
        <v>5525</v>
      </c>
      <c r="H1248" t="str">
        <f t="shared" si="39"/>
        <v>Employee related costs</v>
      </c>
    </row>
    <row r="1249" spans="1:8" x14ac:dyDescent="0.25">
      <c r="A1249" t="s">
        <v>1111</v>
      </c>
      <c r="B1249" t="s">
        <v>157</v>
      </c>
      <c r="C1249" s="67">
        <v>58869</v>
      </c>
      <c r="D1249" s="67">
        <v>58869</v>
      </c>
      <c r="E1249" s="67">
        <v>23461.506122695893</v>
      </c>
      <c r="F1249" s="67">
        <v>25103.811551284605</v>
      </c>
      <c r="G1249" t="str">
        <f t="shared" si="38"/>
        <v>5525</v>
      </c>
      <c r="H1249" t="str">
        <f t="shared" si="39"/>
        <v>Employee related costs</v>
      </c>
    </row>
    <row r="1250" spans="1:8" x14ac:dyDescent="0.25">
      <c r="A1250" t="s">
        <v>1112</v>
      </c>
      <c r="B1250" t="s">
        <v>159</v>
      </c>
      <c r="C1250" s="67">
        <v>55578</v>
      </c>
      <c r="D1250" s="67">
        <v>55578</v>
      </c>
      <c r="E1250" s="67">
        <v>62989.641251999994</v>
      </c>
      <c r="F1250" s="67">
        <v>67398.916139639987</v>
      </c>
      <c r="G1250" t="str">
        <f t="shared" si="38"/>
        <v>5525</v>
      </c>
      <c r="H1250" t="str">
        <f t="shared" si="39"/>
        <v>Employee related costs</v>
      </c>
    </row>
    <row r="1251" spans="1:8" x14ac:dyDescent="0.25">
      <c r="A1251" t="s">
        <v>1113</v>
      </c>
      <c r="B1251" t="s">
        <v>161</v>
      </c>
      <c r="C1251" s="67">
        <v>19114</v>
      </c>
      <c r="D1251" s="67">
        <v>19114</v>
      </c>
      <c r="E1251" s="67">
        <v>20452.069986999999</v>
      </c>
      <c r="F1251" s="67">
        <v>21883.714886089998</v>
      </c>
      <c r="G1251" t="str">
        <f t="shared" si="38"/>
        <v>5525</v>
      </c>
      <c r="H1251" t="str">
        <f t="shared" si="39"/>
        <v>Employee related costs</v>
      </c>
    </row>
    <row r="1252" spans="1:8" x14ac:dyDescent="0.25">
      <c r="A1252" t="s">
        <v>1114</v>
      </c>
      <c r="B1252" t="s">
        <v>162</v>
      </c>
      <c r="C1252" s="67">
        <v>0</v>
      </c>
      <c r="D1252" s="67">
        <v>3000</v>
      </c>
      <c r="E1252" s="67">
        <v>0</v>
      </c>
      <c r="F1252" s="67">
        <v>0</v>
      </c>
      <c r="G1252" t="str">
        <f t="shared" si="38"/>
        <v>5525</v>
      </c>
      <c r="H1252" t="str">
        <f t="shared" si="39"/>
        <v>Employee related costs</v>
      </c>
    </row>
    <row r="1253" spans="1:8" x14ac:dyDescent="0.25">
      <c r="A1253" t="s">
        <v>1115</v>
      </c>
      <c r="B1253" t="s">
        <v>167</v>
      </c>
      <c r="C1253" s="67">
        <v>449</v>
      </c>
      <c r="D1253" s="67">
        <v>449</v>
      </c>
      <c r="E1253" s="67">
        <v>480.85799999999995</v>
      </c>
      <c r="F1253" s="67">
        <v>514.51805999999999</v>
      </c>
      <c r="G1253" t="str">
        <f t="shared" si="38"/>
        <v>5525</v>
      </c>
      <c r="H1253" t="str">
        <f t="shared" si="39"/>
        <v>Employee related costs</v>
      </c>
    </row>
    <row r="1254" spans="1:8" x14ac:dyDescent="0.25">
      <c r="A1254" t="s">
        <v>1116</v>
      </c>
      <c r="B1254" t="s">
        <v>168</v>
      </c>
      <c r="C1254" s="67">
        <v>67191</v>
      </c>
      <c r="D1254" s="67">
        <v>67191</v>
      </c>
      <c r="E1254" s="67">
        <v>71894.241600000008</v>
      </c>
      <c r="F1254" s="67">
        <v>76926.838512000017</v>
      </c>
      <c r="G1254" t="str">
        <f t="shared" si="38"/>
        <v>5525</v>
      </c>
      <c r="H1254" t="str">
        <f t="shared" si="39"/>
        <v>Employee related costs</v>
      </c>
    </row>
    <row r="1255" spans="1:8" x14ac:dyDescent="0.25">
      <c r="A1255" t="s">
        <v>1117</v>
      </c>
      <c r="B1255" t="s">
        <v>169</v>
      </c>
      <c r="C1255" s="67">
        <v>146726</v>
      </c>
      <c r="D1255" s="67">
        <v>146726</v>
      </c>
      <c r="E1255" s="67">
        <v>156996.57847104</v>
      </c>
      <c r="F1255" s="67">
        <v>167986.3389640128</v>
      </c>
      <c r="G1255" t="str">
        <f t="shared" si="38"/>
        <v>5525</v>
      </c>
      <c r="H1255" t="str">
        <f t="shared" si="39"/>
        <v>Employee related costs</v>
      </c>
    </row>
    <row r="1256" spans="1:8" x14ac:dyDescent="0.25">
      <c r="A1256" t="s">
        <v>1118</v>
      </c>
      <c r="B1256" t="s">
        <v>170</v>
      </c>
      <c r="C1256" s="67">
        <v>7140</v>
      </c>
      <c r="D1256" s="67">
        <v>7140</v>
      </c>
      <c r="E1256" s="67">
        <v>7639.8</v>
      </c>
      <c r="F1256" s="67">
        <v>8174.5860000000002</v>
      </c>
      <c r="G1256" t="str">
        <f t="shared" si="38"/>
        <v>5525</v>
      </c>
      <c r="H1256" t="str">
        <f t="shared" si="39"/>
        <v>Employee related costs</v>
      </c>
    </row>
    <row r="1257" spans="1:8" x14ac:dyDescent="0.25">
      <c r="A1257" t="s">
        <v>1119</v>
      </c>
      <c r="B1257" t="s">
        <v>173</v>
      </c>
      <c r="C1257" s="67">
        <v>46893</v>
      </c>
      <c r="D1257" s="67">
        <v>46893</v>
      </c>
      <c r="E1257" s="67">
        <v>49706.940399999999</v>
      </c>
      <c r="F1257" s="67">
        <v>53186.426227999997</v>
      </c>
      <c r="G1257" t="str">
        <f t="shared" si="38"/>
        <v>5525</v>
      </c>
      <c r="H1257" t="str">
        <f t="shared" si="39"/>
        <v>Employee related costs</v>
      </c>
    </row>
    <row r="1258" spans="1:8" x14ac:dyDescent="0.25">
      <c r="A1258" t="s">
        <v>1120</v>
      </c>
      <c r="B1258" t="s">
        <v>174</v>
      </c>
      <c r="C1258" s="67">
        <v>26482</v>
      </c>
      <c r="D1258" s="67">
        <v>26482</v>
      </c>
      <c r="E1258" s="67">
        <v>28070.898799999999</v>
      </c>
      <c r="F1258" s="67">
        <v>30035.861715999999</v>
      </c>
      <c r="G1258" t="str">
        <f t="shared" si="38"/>
        <v>5525</v>
      </c>
      <c r="H1258" t="str">
        <f t="shared" si="39"/>
        <v>Employee related costs</v>
      </c>
    </row>
    <row r="1259" spans="1:8" x14ac:dyDescent="0.25">
      <c r="A1259" t="s">
        <v>1121</v>
      </c>
      <c r="B1259" t="s">
        <v>175</v>
      </c>
      <c r="C1259" s="67">
        <v>4306</v>
      </c>
      <c r="D1259" s="67">
        <v>4306</v>
      </c>
      <c r="E1259" s="67">
        <v>4564.0632000000005</v>
      </c>
      <c r="F1259" s="67">
        <v>4883.5476240000007</v>
      </c>
      <c r="G1259" t="str">
        <f t="shared" si="38"/>
        <v>5525</v>
      </c>
      <c r="H1259" t="str">
        <f t="shared" si="39"/>
        <v>Employee related costs</v>
      </c>
    </row>
    <row r="1260" spans="1:8" x14ac:dyDescent="0.25">
      <c r="A1260" t="s">
        <v>1122</v>
      </c>
      <c r="B1260" t="s">
        <v>234</v>
      </c>
      <c r="C1260" s="67">
        <v>159000</v>
      </c>
      <c r="D1260" s="67">
        <v>159000</v>
      </c>
      <c r="E1260" s="67">
        <v>168540</v>
      </c>
      <c r="F1260" s="67">
        <v>177641.16</v>
      </c>
      <c r="G1260" t="str">
        <f t="shared" si="38"/>
        <v>5525</v>
      </c>
      <c r="H1260" t="str">
        <f t="shared" si="39"/>
        <v>Contracted services</v>
      </c>
    </row>
    <row r="1261" spans="1:8" x14ac:dyDescent="0.25">
      <c r="A1261" t="s">
        <v>1123</v>
      </c>
      <c r="B1261" t="s">
        <v>265</v>
      </c>
      <c r="C1261" s="67">
        <v>0</v>
      </c>
      <c r="D1261" s="67">
        <v>8562.4</v>
      </c>
      <c r="E1261" s="67">
        <v>0</v>
      </c>
      <c r="F1261" s="67">
        <v>0</v>
      </c>
      <c r="G1261" t="str">
        <f t="shared" si="38"/>
        <v>5525</v>
      </c>
      <c r="H1261" t="str">
        <f t="shared" si="39"/>
        <v>General expenses</v>
      </c>
    </row>
    <row r="1262" spans="1:8" x14ac:dyDescent="0.25">
      <c r="A1262" t="s">
        <v>1124</v>
      </c>
      <c r="B1262" t="s">
        <v>296</v>
      </c>
      <c r="C1262" s="67">
        <v>0</v>
      </c>
      <c r="D1262" s="67">
        <v>0</v>
      </c>
      <c r="E1262" s="67">
        <v>0</v>
      </c>
      <c r="F1262" s="67">
        <v>0</v>
      </c>
      <c r="G1262" t="str">
        <f t="shared" si="38"/>
        <v>5525</v>
      </c>
      <c r="H1262" t="str">
        <f t="shared" si="39"/>
        <v>Depreciation and amortisation</v>
      </c>
    </row>
    <row r="1263" spans="1:8" x14ac:dyDescent="0.25">
      <c r="A1263" t="s">
        <v>2082</v>
      </c>
      <c r="B1263" t="s">
        <v>1404</v>
      </c>
      <c r="C1263" s="67">
        <v>-1298922</v>
      </c>
      <c r="D1263" s="67">
        <v>-1310484.3999999999</v>
      </c>
      <c r="E1263" s="67">
        <v>-1387679.9379447361</v>
      </c>
      <c r="F1263" s="67">
        <v>-1482332.7955620834</v>
      </c>
      <c r="G1263" t="str">
        <f t="shared" si="38"/>
        <v>5525</v>
      </c>
      <c r="H1263" t="str">
        <f t="shared" si="39"/>
        <v>Accumulated surplus</v>
      </c>
    </row>
    <row r="1264" spans="1:8" x14ac:dyDescent="0.25">
      <c r="A1264" t="s">
        <v>2083</v>
      </c>
      <c r="B1264" t="s">
        <v>1422</v>
      </c>
      <c r="C1264" s="67">
        <v>0</v>
      </c>
      <c r="D1264" s="67">
        <v>444009</v>
      </c>
      <c r="E1264" s="67">
        <v>444009</v>
      </c>
      <c r="F1264" s="67">
        <v>444009</v>
      </c>
      <c r="G1264" t="str">
        <f t="shared" si="38"/>
        <v>5525</v>
      </c>
      <c r="H1264" t="str">
        <f t="shared" si="39"/>
        <v>Non-Current Assets (Cost)</v>
      </c>
    </row>
    <row r="1265" spans="1:8" x14ac:dyDescent="0.25">
      <c r="A1265" t="s">
        <v>2084</v>
      </c>
      <c r="B1265" t="s">
        <v>1424</v>
      </c>
      <c r="C1265" s="67">
        <v>0</v>
      </c>
      <c r="D1265" s="67">
        <v>-45706.81</v>
      </c>
      <c r="E1265" s="67">
        <v>-45706.81</v>
      </c>
      <c r="F1265" s="67">
        <v>-45706.81</v>
      </c>
      <c r="G1265" t="str">
        <f t="shared" si="38"/>
        <v>5525</v>
      </c>
      <c r="H1265" t="str">
        <f t="shared" si="39"/>
        <v>Non-Current Assets (Acc Depreciation)</v>
      </c>
    </row>
    <row r="1266" spans="1:8" x14ac:dyDescent="0.25">
      <c r="A1266" t="s">
        <v>2085</v>
      </c>
      <c r="B1266" t="s">
        <v>1426</v>
      </c>
      <c r="C1266" s="67">
        <v>0</v>
      </c>
      <c r="D1266" s="67">
        <v>0</v>
      </c>
      <c r="E1266" s="67">
        <v>0</v>
      </c>
      <c r="F1266" s="67">
        <v>0</v>
      </c>
      <c r="G1266" t="str">
        <f t="shared" si="38"/>
        <v>5525</v>
      </c>
      <c r="H1266" t="str">
        <f t="shared" si="39"/>
        <v>Non-Current Assets (Depreciation)</v>
      </c>
    </row>
    <row r="1267" spans="1:8" x14ac:dyDescent="0.25">
      <c r="A1267" t="s">
        <v>2086</v>
      </c>
      <c r="B1267" t="s">
        <v>2087</v>
      </c>
      <c r="C1267" s="67">
        <v>500000</v>
      </c>
      <c r="D1267" s="67">
        <v>0.75</v>
      </c>
      <c r="E1267" s="67">
        <v>0.75</v>
      </c>
      <c r="F1267" s="67">
        <v>0.75</v>
      </c>
      <c r="G1267" t="str">
        <f t="shared" si="38"/>
        <v>5525</v>
      </c>
      <c r="H1267" t="str">
        <f t="shared" si="39"/>
        <v>Non-Current Assets (Cost)</v>
      </c>
    </row>
    <row r="1268" spans="1:8" x14ac:dyDescent="0.25">
      <c r="A1268" t="s">
        <v>2088</v>
      </c>
      <c r="B1268" t="s">
        <v>1460</v>
      </c>
      <c r="C1268" s="67">
        <v>-43907</v>
      </c>
      <c r="D1268" s="67">
        <v>-43907</v>
      </c>
      <c r="E1268" s="67">
        <v>-48297.7</v>
      </c>
      <c r="F1268" s="67">
        <v>-53127.469999999994</v>
      </c>
      <c r="G1268" t="str">
        <f t="shared" si="38"/>
        <v>5525</v>
      </c>
      <c r="H1268" t="str">
        <f t="shared" si="39"/>
        <v>Current Employee Benefits</v>
      </c>
    </row>
    <row r="1269" spans="1:8" x14ac:dyDescent="0.25">
      <c r="A1269" t="s">
        <v>2089</v>
      </c>
      <c r="B1269" t="s">
        <v>1462</v>
      </c>
      <c r="C1269" s="67">
        <v>43906</v>
      </c>
      <c r="D1269" s="67">
        <v>1482900.36</v>
      </c>
      <c r="E1269" s="67">
        <v>2793384.76</v>
      </c>
      <c r="F1269" s="67">
        <v>4181064.6979447361</v>
      </c>
      <c r="G1269" t="str">
        <f t="shared" si="38"/>
        <v>5525</v>
      </c>
      <c r="H1269" t="str">
        <f t="shared" si="39"/>
        <v>Reserves</v>
      </c>
    </row>
    <row r="1270" spans="1:8" x14ac:dyDescent="0.25">
      <c r="A1270" t="s">
        <v>2090</v>
      </c>
      <c r="B1270" t="s">
        <v>1464</v>
      </c>
      <c r="C1270" s="67">
        <v>1298922</v>
      </c>
      <c r="D1270" s="67">
        <v>1310484.3999999999</v>
      </c>
      <c r="E1270" s="67">
        <v>1387679.9379447361</v>
      </c>
      <c r="F1270" s="67">
        <v>1482332.7955620834</v>
      </c>
      <c r="G1270" t="str">
        <f t="shared" si="38"/>
        <v>5525</v>
      </c>
      <c r="H1270" t="str">
        <f t="shared" si="39"/>
        <v>Reserves</v>
      </c>
    </row>
    <row r="1271" spans="1:8" x14ac:dyDescent="0.25">
      <c r="A1271" t="s">
        <v>1126</v>
      </c>
      <c r="B1271" t="s">
        <v>49</v>
      </c>
      <c r="C1271" s="67">
        <v>-2285558</v>
      </c>
      <c r="D1271" s="67">
        <v>-2285558</v>
      </c>
      <c r="E1271" s="67">
        <v>-2408977.946496</v>
      </c>
      <c r="F1271" s="67">
        <v>-2539062.755606784</v>
      </c>
      <c r="G1271" t="str">
        <f t="shared" si="38"/>
        <v>5530</v>
      </c>
      <c r="H1271" t="str">
        <f t="shared" si="39"/>
        <v>Service charges</v>
      </c>
    </row>
    <row r="1272" spans="1:8" x14ac:dyDescent="0.25">
      <c r="A1272" t="s">
        <v>1127</v>
      </c>
      <c r="B1272" t="s">
        <v>50</v>
      </c>
      <c r="C1272" s="67">
        <v>0</v>
      </c>
      <c r="D1272" s="67">
        <v>0</v>
      </c>
      <c r="E1272" s="67">
        <v>0</v>
      </c>
      <c r="F1272" s="67">
        <v>0</v>
      </c>
      <c r="G1272" t="str">
        <f t="shared" si="38"/>
        <v>5530</v>
      </c>
      <c r="H1272" t="str">
        <f t="shared" si="39"/>
        <v>Service charges</v>
      </c>
    </row>
    <row r="1273" spans="1:8" x14ac:dyDescent="0.25">
      <c r="A1273" t="s">
        <v>1128</v>
      </c>
      <c r="B1273" t="s">
        <v>51</v>
      </c>
      <c r="C1273" s="67">
        <v>-2779</v>
      </c>
      <c r="D1273" s="67">
        <v>-2779</v>
      </c>
      <c r="E1273" s="67">
        <v>-2929.4791679999998</v>
      </c>
      <c r="F1273" s="67">
        <v>-3087.671043072</v>
      </c>
      <c r="G1273" t="str">
        <f t="shared" si="38"/>
        <v>5530</v>
      </c>
      <c r="H1273" t="str">
        <f t="shared" si="39"/>
        <v>Service charges</v>
      </c>
    </row>
    <row r="1274" spans="1:8" x14ac:dyDescent="0.25">
      <c r="A1274" t="s">
        <v>1129</v>
      </c>
      <c r="B1274" t="s">
        <v>59</v>
      </c>
      <c r="C1274" s="67">
        <v>-219191</v>
      </c>
      <c r="D1274" s="67">
        <v>-219191</v>
      </c>
      <c r="E1274" s="67">
        <v>-231027.052608</v>
      </c>
      <c r="F1274" s="67">
        <v>-243502.513448832</v>
      </c>
      <c r="G1274" t="str">
        <f t="shared" si="38"/>
        <v>5530</v>
      </c>
      <c r="H1274" t="str">
        <f t="shared" si="39"/>
        <v>Interest received - debtors</v>
      </c>
    </row>
    <row r="1275" spans="1:8" x14ac:dyDescent="0.25">
      <c r="A1275" t="s">
        <v>1130</v>
      </c>
      <c r="B1275" t="s">
        <v>150</v>
      </c>
      <c r="C1275" s="67">
        <v>3160845</v>
      </c>
      <c r="D1275" s="67">
        <v>3160845</v>
      </c>
      <c r="E1275" s="67">
        <v>3382103.8572479999</v>
      </c>
      <c r="F1275" s="67">
        <v>3618851.1272553597</v>
      </c>
      <c r="G1275" t="str">
        <f t="shared" si="38"/>
        <v>5530</v>
      </c>
      <c r="H1275" t="str">
        <f t="shared" si="39"/>
        <v>Employee related costs</v>
      </c>
    </row>
    <row r="1276" spans="1:8" x14ac:dyDescent="0.25">
      <c r="A1276" t="s">
        <v>1131</v>
      </c>
      <c r="B1276" t="s">
        <v>151</v>
      </c>
      <c r="C1276" s="67">
        <v>146335</v>
      </c>
      <c r="D1276" s="67">
        <v>118539.25999999995</v>
      </c>
      <c r="E1276" s="67">
        <v>110006.46999999994</v>
      </c>
      <c r="F1276" s="67">
        <v>112438.92999999995</v>
      </c>
      <c r="G1276" t="str">
        <f t="shared" si="38"/>
        <v>5530</v>
      </c>
      <c r="H1276" t="str">
        <f t="shared" si="39"/>
        <v>Employee related costs</v>
      </c>
    </row>
    <row r="1277" spans="1:8" x14ac:dyDescent="0.25">
      <c r="A1277" t="s">
        <v>1132</v>
      </c>
      <c r="B1277" t="s">
        <v>152</v>
      </c>
      <c r="C1277" s="67">
        <v>28200</v>
      </c>
      <c r="D1277" s="67">
        <v>28200</v>
      </c>
      <c r="E1277" s="67">
        <v>281841.98810399999</v>
      </c>
      <c r="F1277" s="67">
        <v>301570.92727127997</v>
      </c>
      <c r="G1277" t="str">
        <f t="shared" si="38"/>
        <v>5530</v>
      </c>
      <c r="H1277" t="str">
        <f t="shared" si="39"/>
        <v>Employee related costs</v>
      </c>
    </row>
    <row r="1278" spans="1:8" x14ac:dyDescent="0.25">
      <c r="A1278" t="s">
        <v>1133</v>
      </c>
      <c r="B1278" t="s">
        <v>155</v>
      </c>
      <c r="C1278" s="67">
        <v>103918</v>
      </c>
      <c r="D1278" s="67">
        <v>103918</v>
      </c>
      <c r="E1278" s="67">
        <v>30174</v>
      </c>
      <c r="F1278" s="67">
        <v>32286.18</v>
      </c>
      <c r="G1278" t="str">
        <f t="shared" si="38"/>
        <v>5530</v>
      </c>
      <c r="H1278" t="str">
        <f t="shared" si="39"/>
        <v>Employee related costs</v>
      </c>
    </row>
    <row r="1279" spans="1:8" x14ac:dyDescent="0.25">
      <c r="A1279" t="s">
        <v>1134</v>
      </c>
      <c r="B1279" t="s">
        <v>156</v>
      </c>
      <c r="C1279" s="67">
        <v>199536</v>
      </c>
      <c r="D1279" s="67">
        <v>199536</v>
      </c>
      <c r="E1279" s="67">
        <v>111192.45558075618</v>
      </c>
      <c r="F1279" s="67">
        <v>118975.92747140912</v>
      </c>
      <c r="G1279" t="str">
        <f t="shared" si="38"/>
        <v>5530</v>
      </c>
      <c r="H1279" t="str">
        <f t="shared" si="39"/>
        <v>Employee related costs</v>
      </c>
    </row>
    <row r="1280" spans="1:8" x14ac:dyDescent="0.25">
      <c r="A1280" t="s">
        <v>1135</v>
      </c>
      <c r="B1280" t="s">
        <v>157</v>
      </c>
      <c r="C1280" s="67">
        <v>249992</v>
      </c>
      <c r="D1280" s="67">
        <v>249992</v>
      </c>
      <c r="E1280" s="67">
        <v>213503.57135999994</v>
      </c>
      <c r="F1280" s="67">
        <v>228448.82135519994</v>
      </c>
      <c r="G1280" t="str">
        <f t="shared" si="38"/>
        <v>5530</v>
      </c>
      <c r="H1280" t="str">
        <f t="shared" si="39"/>
        <v>Employee related costs</v>
      </c>
    </row>
    <row r="1281" spans="1:8" x14ac:dyDescent="0.25">
      <c r="A1281" t="s">
        <v>1136</v>
      </c>
      <c r="B1281" t="s">
        <v>159</v>
      </c>
      <c r="C1281" s="67">
        <v>263404</v>
      </c>
      <c r="D1281" s="67">
        <v>263404</v>
      </c>
      <c r="E1281" s="67">
        <v>267491.96686799999</v>
      </c>
      <c r="F1281" s="67">
        <v>286216.40454875998</v>
      </c>
      <c r="G1281" t="str">
        <f t="shared" si="38"/>
        <v>5530</v>
      </c>
      <c r="H1281" t="str">
        <f t="shared" si="39"/>
        <v>Employee related costs</v>
      </c>
    </row>
    <row r="1282" spans="1:8" x14ac:dyDescent="0.25">
      <c r="A1282" t="s">
        <v>1137</v>
      </c>
      <c r="B1282" t="s">
        <v>161</v>
      </c>
      <c r="C1282" s="67">
        <v>56699</v>
      </c>
      <c r="D1282" s="67">
        <v>56699</v>
      </c>
      <c r="E1282" s="67">
        <v>60668.342591999994</v>
      </c>
      <c r="F1282" s="67">
        <v>64915.126573439993</v>
      </c>
      <c r="G1282" t="str">
        <f t="shared" ref="G1282:G1345" si="40">VLOOKUP(A1282,s,2,FALSE)</f>
        <v>5530</v>
      </c>
      <c r="H1282" t="str">
        <f t="shared" ref="H1282:H1345" si="41">VLOOKUP(A1282,s,3,FALSE)</f>
        <v>Employee related costs</v>
      </c>
    </row>
    <row r="1283" spans="1:8" x14ac:dyDescent="0.25">
      <c r="A1283" t="s">
        <v>1138</v>
      </c>
      <c r="B1283" t="s">
        <v>162</v>
      </c>
      <c r="C1283" s="67">
        <v>0</v>
      </c>
      <c r="D1283" s="67">
        <v>24000</v>
      </c>
      <c r="E1283" s="67">
        <v>0</v>
      </c>
      <c r="F1283" s="67">
        <v>0</v>
      </c>
      <c r="G1283" t="str">
        <f t="shared" si="40"/>
        <v>5530</v>
      </c>
      <c r="H1283" t="str">
        <f t="shared" si="41"/>
        <v>Employee related costs</v>
      </c>
    </row>
    <row r="1284" spans="1:8" x14ac:dyDescent="0.25">
      <c r="A1284" t="s">
        <v>1139</v>
      </c>
      <c r="B1284" t="s">
        <v>167</v>
      </c>
      <c r="C1284" s="67">
        <v>1573</v>
      </c>
      <c r="D1284" s="67">
        <v>1573</v>
      </c>
      <c r="E1284" s="67">
        <v>1683.0029999999997</v>
      </c>
      <c r="F1284" s="67">
        <v>1800.8132099999996</v>
      </c>
      <c r="G1284" t="str">
        <f t="shared" si="40"/>
        <v>5530</v>
      </c>
      <c r="H1284" t="str">
        <f t="shared" si="41"/>
        <v>Employee related costs</v>
      </c>
    </row>
    <row r="1285" spans="1:8" x14ac:dyDescent="0.25">
      <c r="A1285" t="s">
        <v>1140</v>
      </c>
      <c r="B1285" t="s">
        <v>168</v>
      </c>
      <c r="C1285" s="67">
        <v>268764</v>
      </c>
      <c r="D1285" s="67">
        <v>268764</v>
      </c>
      <c r="E1285" s="67">
        <v>287576.96640000003</v>
      </c>
      <c r="F1285" s="67">
        <v>307707.35404800007</v>
      </c>
      <c r="G1285" t="str">
        <f t="shared" si="40"/>
        <v>5530</v>
      </c>
      <c r="H1285" t="str">
        <f t="shared" si="41"/>
        <v>Employee related costs</v>
      </c>
    </row>
    <row r="1286" spans="1:8" x14ac:dyDescent="0.25">
      <c r="A1286" t="s">
        <v>1141</v>
      </c>
      <c r="B1286" t="s">
        <v>169</v>
      </c>
      <c r="C1286" s="67">
        <v>695386</v>
      </c>
      <c r="D1286" s="67">
        <v>695386</v>
      </c>
      <c r="E1286" s="67">
        <v>744062.84859456006</v>
      </c>
      <c r="F1286" s="67">
        <v>796147.24799617927</v>
      </c>
      <c r="G1286" t="str">
        <f t="shared" si="40"/>
        <v>5530</v>
      </c>
      <c r="H1286" t="str">
        <f t="shared" si="41"/>
        <v>Employee related costs</v>
      </c>
    </row>
    <row r="1287" spans="1:8" x14ac:dyDescent="0.25">
      <c r="A1287" t="s">
        <v>1142</v>
      </c>
      <c r="B1287" t="s">
        <v>170</v>
      </c>
      <c r="C1287" s="67">
        <v>24990</v>
      </c>
      <c r="D1287" s="67">
        <v>24990</v>
      </c>
      <c r="E1287" s="67">
        <v>26739.3</v>
      </c>
      <c r="F1287" s="67">
        <v>28611.050999999999</v>
      </c>
      <c r="G1287" t="str">
        <f t="shared" si="40"/>
        <v>5530</v>
      </c>
      <c r="H1287" t="str">
        <f t="shared" si="41"/>
        <v>Employee related costs</v>
      </c>
    </row>
    <row r="1288" spans="1:8" x14ac:dyDescent="0.25">
      <c r="A1288" t="s">
        <v>1143</v>
      </c>
      <c r="B1288" t="s">
        <v>173</v>
      </c>
      <c r="C1288" s="67">
        <v>56609</v>
      </c>
      <c r="D1288" s="67">
        <v>56609</v>
      </c>
      <c r="E1288" s="67">
        <v>60005.858</v>
      </c>
      <c r="F1288" s="67">
        <v>64206.268060000002</v>
      </c>
      <c r="G1288" t="str">
        <f t="shared" si="40"/>
        <v>5530</v>
      </c>
      <c r="H1288" t="str">
        <f t="shared" si="41"/>
        <v>Employee related costs</v>
      </c>
    </row>
    <row r="1289" spans="1:8" x14ac:dyDescent="0.25">
      <c r="A1289" t="s">
        <v>1144</v>
      </c>
      <c r="B1289" t="s">
        <v>174</v>
      </c>
      <c r="C1289" s="67">
        <v>73319</v>
      </c>
      <c r="D1289" s="67">
        <v>73319</v>
      </c>
      <c r="E1289" s="67">
        <v>77718.288400000005</v>
      </c>
      <c r="F1289" s="67">
        <v>83158.568588000009</v>
      </c>
      <c r="G1289" t="str">
        <f t="shared" si="40"/>
        <v>5530</v>
      </c>
      <c r="H1289" t="str">
        <f t="shared" si="41"/>
        <v>Employee related costs</v>
      </c>
    </row>
    <row r="1290" spans="1:8" x14ac:dyDescent="0.25">
      <c r="A1290" t="s">
        <v>1145</v>
      </c>
      <c r="B1290" t="s">
        <v>175</v>
      </c>
      <c r="C1290" s="67">
        <v>39991</v>
      </c>
      <c r="D1290" s="67">
        <v>39991</v>
      </c>
      <c r="E1290" s="67">
        <v>42390.057200000003</v>
      </c>
      <c r="F1290" s="67">
        <v>45357.361204000001</v>
      </c>
      <c r="G1290" t="str">
        <f t="shared" si="40"/>
        <v>5530</v>
      </c>
      <c r="H1290" t="str">
        <f t="shared" si="41"/>
        <v>Employee related costs</v>
      </c>
    </row>
    <row r="1291" spans="1:8" x14ac:dyDescent="0.25">
      <c r="A1291" t="s">
        <v>1146</v>
      </c>
      <c r="B1291" t="s">
        <v>245</v>
      </c>
      <c r="C1291" s="67">
        <v>1167000</v>
      </c>
      <c r="D1291" s="67">
        <v>1167000</v>
      </c>
      <c r="E1291" s="67">
        <v>0</v>
      </c>
      <c r="F1291" s="67">
        <v>0</v>
      </c>
      <c r="G1291" t="str">
        <f t="shared" si="40"/>
        <v>5530</v>
      </c>
      <c r="H1291" t="str">
        <f t="shared" si="41"/>
        <v>General expenses</v>
      </c>
    </row>
    <row r="1292" spans="1:8" x14ac:dyDescent="0.25">
      <c r="A1292" t="s">
        <v>1147</v>
      </c>
      <c r="B1292" t="s">
        <v>255</v>
      </c>
      <c r="C1292" s="67">
        <v>41566</v>
      </c>
      <c r="D1292" s="67">
        <v>41566</v>
      </c>
      <c r="E1292" s="67">
        <v>44059.726799999997</v>
      </c>
      <c r="F1292" s="67">
        <v>46438.9520472</v>
      </c>
      <c r="G1292" t="str">
        <f t="shared" si="40"/>
        <v>5530</v>
      </c>
      <c r="H1292" t="str">
        <f t="shared" si="41"/>
        <v>General expenses</v>
      </c>
    </row>
    <row r="1293" spans="1:8" x14ac:dyDescent="0.25">
      <c r="A1293" t="s">
        <v>1148</v>
      </c>
      <c r="B1293" t="s">
        <v>255</v>
      </c>
      <c r="C1293" s="67">
        <v>41566</v>
      </c>
      <c r="D1293" s="67">
        <v>41566</v>
      </c>
      <c r="E1293" s="67">
        <v>44059.726799999997</v>
      </c>
      <c r="F1293" s="67">
        <v>46438.9520472</v>
      </c>
      <c r="G1293" t="str">
        <f t="shared" si="40"/>
        <v>5530</v>
      </c>
      <c r="H1293" t="str">
        <f t="shared" si="41"/>
        <v>General expenses</v>
      </c>
    </row>
    <row r="1294" spans="1:8" x14ac:dyDescent="0.25">
      <c r="A1294" t="s">
        <v>1149</v>
      </c>
      <c r="B1294" t="s">
        <v>265</v>
      </c>
      <c r="C1294" s="67">
        <v>0</v>
      </c>
      <c r="D1294" s="67">
        <v>40000</v>
      </c>
      <c r="E1294" s="67">
        <v>0</v>
      </c>
      <c r="F1294" s="67">
        <v>0</v>
      </c>
      <c r="G1294" t="str">
        <f t="shared" si="40"/>
        <v>5530</v>
      </c>
      <c r="H1294" t="str">
        <f t="shared" si="41"/>
        <v>General expenses</v>
      </c>
    </row>
    <row r="1295" spans="1:8" x14ac:dyDescent="0.25">
      <c r="A1295" t="s">
        <v>1150</v>
      </c>
      <c r="B1295" t="s">
        <v>268</v>
      </c>
      <c r="C1295" s="67">
        <v>0</v>
      </c>
      <c r="D1295" s="67">
        <v>120000</v>
      </c>
      <c r="E1295" s="67">
        <v>0</v>
      </c>
      <c r="F1295" s="67">
        <v>0</v>
      </c>
      <c r="G1295" t="str">
        <f t="shared" si="40"/>
        <v>5530</v>
      </c>
      <c r="H1295" t="str">
        <f t="shared" si="41"/>
        <v>General expenses</v>
      </c>
    </row>
    <row r="1296" spans="1:8" x14ac:dyDescent="0.25">
      <c r="A1296" t="s">
        <v>2091</v>
      </c>
      <c r="B1296" t="s">
        <v>2092</v>
      </c>
      <c r="C1296" s="67">
        <v>0</v>
      </c>
      <c r="D1296" s="67">
        <v>0</v>
      </c>
      <c r="E1296" s="67">
        <v>0</v>
      </c>
      <c r="F1296" s="67">
        <v>0</v>
      </c>
      <c r="G1296" t="str">
        <f t="shared" si="40"/>
        <v>5530</v>
      </c>
      <c r="H1296" t="str">
        <f t="shared" si="41"/>
        <v>Internal Charges</v>
      </c>
    </row>
    <row r="1297" spans="1:8" x14ac:dyDescent="0.25">
      <c r="A1297" t="s">
        <v>2093</v>
      </c>
      <c r="B1297" t="s">
        <v>1404</v>
      </c>
      <c r="C1297" s="67">
        <v>-4112165</v>
      </c>
      <c r="D1297" s="67">
        <v>-4296165</v>
      </c>
      <c r="E1297" s="67">
        <v>-3188916.3609553161</v>
      </c>
      <c r="F1297" s="67">
        <v>-3453017.5466169398</v>
      </c>
      <c r="G1297" t="str">
        <f t="shared" si="40"/>
        <v>5530</v>
      </c>
      <c r="H1297" t="str">
        <f t="shared" si="41"/>
        <v>Accumulated surplus</v>
      </c>
    </row>
    <row r="1298" spans="1:8" x14ac:dyDescent="0.25">
      <c r="A1298" t="s">
        <v>2094</v>
      </c>
      <c r="B1298" t="s">
        <v>2095</v>
      </c>
      <c r="C1298" s="67">
        <v>7876599</v>
      </c>
      <c r="D1298" s="67">
        <v>7911807.0899999989</v>
      </c>
      <c r="E1298" s="67">
        <v>9346751.1899999995</v>
      </c>
      <c r="F1298" s="67">
        <v>10853442.494999999</v>
      </c>
      <c r="G1298" t="str">
        <f t="shared" si="40"/>
        <v>5530</v>
      </c>
      <c r="H1298" t="str">
        <f t="shared" si="41"/>
        <v>Receivables from exchange transactions</v>
      </c>
    </row>
    <row r="1299" spans="1:8" x14ac:dyDescent="0.25">
      <c r="A1299" t="s">
        <v>2096</v>
      </c>
      <c r="B1299" t="s">
        <v>2097</v>
      </c>
      <c r="C1299" s="67">
        <v>1120055</v>
      </c>
      <c r="D1299" s="67">
        <v>2204400.1</v>
      </c>
      <c r="E1299" s="67">
        <v>2314620.105</v>
      </c>
      <c r="F1299" s="67">
        <v>2430351.1102499999</v>
      </c>
      <c r="G1299" t="str">
        <f t="shared" si="40"/>
        <v>5530</v>
      </c>
      <c r="H1299" t="str">
        <f t="shared" si="41"/>
        <v>Receivables from exchange transactions</v>
      </c>
    </row>
    <row r="1300" spans="1:8" x14ac:dyDescent="0.25">
      <c r="A1300" t="s">
        <v>2098</v>
      </c>
      <c r="B1300" t="s">
        <v>2099</v>
      </c>
      <c r="C1300" s="67">
        <v>-119453</v>
      </c>
      <c r="D1300" s="67">
        <v>-963832.84</v>
      </c>
      <c r="E1300" s="67">
        <v>-1012024.482</v>
      </c>
      <c r="F1300" s="67">
        <v>-1062625.7061000001</v>
      </c>
      <c r="G1300" t="str">
        <f t="shared" si="40"/>
        <v>5530</v>
      </c>
      <c r="H1300" t="str">
        <f t="shared" si="41"/>
        <v>Receivables from exchange transactions</v>
      </c>
    </row>
    <row r="1301" spans="1:8" x14ac:dyDescent="0.25">
      <c r="A1301" t="s">
        <v>2100</v>
      </c>
      <c r="B1301" t="s">
        <v>2101</v>
      </c>
      <c r="C1301" s="67">
        <v>0</v>
      </c>
      <c r="D1301" s="67">
        <v>194376.83999999997</v>
      </c>
      <c r="E1301" s="67">
        <v>204095.68199999997</v>
      </c>
      <c r="F1301" s="67">
        <v>214300.46609999996</v>
      </c>
      <c r="G1301" t="str">
        <f t="shared" si="40"/>
        <v>5530</v>
      </c>
      <c r="H1301" t="str">
        <f t="shared" si="41"/>
        <v>Receivables from exchange transactions</v>
      </c>
    </row>
    <row r="1302" spans="1:8" x14ac:dyDescent="0.25">
      <c r="A1302" t="s">
        <v>2102</v>
      </c>
      <c r="B1302" t="s">
        <v>2103</v>
      </c>
      <c r="C1302" s="67">
        <v>-3864500</v>
      </c>
      <c r="D1302" s="67">
        <v>-7837540.5399999991</v>
      </c>
      <c r="E1302" s="67">
        <v>-10094082.559999999</v>
      </c>
      <c r="F1302" s="67">
        <v>-11650335.559999999</v>
      </c>
      <c r="G1302" t="str">
        <f t="shared" si="40"/>
        <v>5530</v>
      </c>
      <c r="H1302" t="str">
        <f t="shared" si="41"/>
        <v>Receivables from exchange transactions</v>
      </c>
    </row>
    <row r="1303" spans="1:8" x14ac:dyDescent="0.25">
      <c r="A1303" t="s">
        <v>2104</v>
      </c>
      <c r="B1303" t="s">
        <v>2105</v>
      </c>
      <c r="C1303" s="67">
        <v>-338131</v>
      </c>
      <c r="D1303" s="67">
        <v>-2256542.02</v>
      </c>
      <c r="E1303" s="67">
        <v>-1556253</v>
      </c>
      <c r="F1303" s="67">
        <v>-1652365</v>
      </c>
      <c r="G1303" t="str">
        <f t="shared" si="40"/>
        <v>5530</v>
      </c>
      <c r="H1303" t="str">
        <f t="shared" si="41"/>
        <v>Receivables from exchange transactions</v>
      </c>
    </row>
    <row r="1304" spans="1:8" x14ac:dyDescent="0.25">
      <c r="A1304" t="s">
        <v>2106</v>
      </c>
      <c r="B1304" t="s">
        <v>2107</v>
      </c>
      <c r="C1304" s="67">
        <v>0</v>
      </c>
      <c r="D1304" s="67">
        <v>1075987.8399999999</v>
      </c>
      <c r="E1304" s="67">
        <v>1207851.5799999998</v>
      </c>
      <c r="F1304" s="67">
        <v>1346308.5069999998</v>
      </c>
      <c r="G1304" t="str">
        <f t="shared" si="40"/>
        <v>5530</v>
      </c>
      <c r="H1304" t="str">
        <f t="shared" si="41"/>
        <v>Receivables from exchange transactions</v>
      </c>
    </row>
    <row r="1305" spans="1:8" x14ac:dyDescent="0.25">
      <c r="A1305" t="s">
        <v>2108</v>
      </c>
      <c r="B1305" t="s">
        <v>2109</v>
      </c>
      <c r="C1305" s="67">
        <v>0</v>
      </c>
      <c r="D1305" s="67">
        <v>131863.74</v>
      </c>
      <c r="E1305" s="67">
        <v>138456.927</v>
      </c>
      <c r="F1305" s="67">
        <v>145379.77335</v>
      </c>
      <c r="G1305" t="str">
        <f t="shared" si="40"/>
        <v>5530</v>
      </c>
      <c r="H1305" t="str">
        <f t="shared" si="41"/>
        <v>Receivables from exchange transactions</v>
      </c>
    </row>
    <row r="1306" spans="1:8" x14ac:dyDescent="0.25">
      <c r="A1306" t="s">
        <v>2110</v>
      </c>
      <c r="B1306" t="s">
        <v>1460</v>
      </c>
      <c r="C1306" s="67">
        <v>-348324</v>
      </c>
      <c r="D1306" s="67">
        <v>-348324</v>
      </c>
      <c r="E1306" s="67">
        <v>-383156.4</v>
      </c>
      <c r="F1306" s="67">
        <v>-421472.04000000004</v>
      </c>
      <c r="G1306" t="str">
        <f t="shared" si="40"/>
        <v>5530</v>
      </c>
      <c r="H1306" t="str">
        <f t="shared" si="41"/>
        <v>Current Employee Benefits</v>
      </c>
    </row>
    <row r="1307" spans="1:8" x14ac:dyDescent="0.25">
      <c r="A1307" t="s">
        <v>2111</v>
      </c>
      <c r="B1307" t="s">
        <v>2112</v>
      </c>
      <c r="C1307" s="67">
        <v>-11222961</v>
      </c>
      <c r="D1307" s="67">
        <v>-11222961</v>
      </c>
      <c r="E1307" s="67">
        <v>-11672961</v>
      </c>
      <c r="F1307" s="67">
        <v>-12122961</v>
      </c>
      <c r="G1307" t="str">
        <f t="shared" si="40"/>
        <v>5530</v>
      </c>
      <c r="H1307" t="str">
        <f t="shared" si="41"/>
        <v>Provisions</v>
      </c>
    </row>
    <row r="1308" spans="1:8" x14ac:dyDescent="0.25">
      <c r="A1308" t="s">
        <v>2113</v>
      </c>
      <c r="B1308" t="s">
        <v>2114</v>
      </c>
      <c r="C1308" s="67">
        <v>-450000</v>
      </c>
      <c r="D1308" s="67">
        <v>-450000</v>
      </c>
      <c r="E1308" s="67">
        <v>-450000</v>
      </c>
      <c r="F1308" s="67">
        <v>-450000</v>
      </c>
      <c r="G1308" t="str">
        <f t="shared" si="40"/>
        <v>5530</v>
      </c>
      <c r="H1308" t="str">
        <f t="shared" si="41"/>
        <v>Provisions</v>
      </c>
    </row>
    <row r="1309" spans="1:8" x14ac:dyDescent="0.25">
      <c r="A1309" t="s">
        <v>2115</v>
      </c>
      <c r="B1309" t="s">
        <v>1462</v>
      </c>
      <c r="C1309" s="67">
        <v>10054744</v>
      </c>
      <c r="D1309" s="67">
        <v>8721768.0600000005</v>
      </c>
      <c r="E1309" s="67">
        <v>13017933.060000001</v>
      </c>
      <c r="F1309" s="67">
        <v>16206849.420955317</v>
      </c>
      <c r="G1309" t="str">
        <f t="shared" si="40"/>
        <v>5530</v>
      </c>
      <c r="H1309" t="str">
        <f t="shared" si="41"/>
        <v>Reserves</v>
      </c>
    </row>
    <row r="1310" spans="1:8" x14ac:dyDescent="0.25">
      <c r="A1310" t="s">
        <v>2116</v>
      </c>
      <c r="B1310" t="s">
        <v>1464</v>
      </c>
      <c r="C1310" s="67">
        <v>4112165</v>
      </c>
      <c r="D1310" s="67">
        <v>4296165</v>
      </c>
      <c r="E1310" s="67">
        <v>3188916.3609553161</v>
      </c>
      <c r="F1310" s="67">
        <v>3453017.5466169398</v>
      </c>
      <c r="G1310" t="str">
        <f t="shared" si="40"/>
        <v>5530</v>
      </c>
      <c r="H1310" t="str">
        <f t="shared" si="41"/>
        <v>Reserves</v>
      </c>
    </row>
    <row r="1311" spans="1:8" x14ac:dyDescent="0.25">
      <c r="A1311" t="s">
        <v>1152</v>
      </c>
      <c r="B1311" t="s">
        <v>265</v>
      </c>
      <c r="C1311" s="67">
        <v>0</v>
      </c>
      <c r="D1311" s="67">
        <v>0</v>
      </c>
      <c r="E1311" s="67">
        <v>0</v>
      </c>
      <c r="F1311" s="67">
        <v>0</v>
      </c>
      <c r="G1311" t="str">
        <f t="shared" si="40"/>
        <v>6002</v>
      </c>
      <c r="H1311" t="str">
        <f t="shared" si="41"/>
        <v>General expenses</v>
      </c>
    </row>
    <row r="1312" spans="1:8" x14ac:dyDescent="0.25">
      <c r="A1312" t="s">
        <v>1153</v>
      </c>
      <c r="B1312" t="s">
        <v>293</v>
      </c>
      <c r="C1312" s="67">
        <v>5806</v>
      </c>
      <c r="D1312" s="67">
        <v>5806</v>
      </c>
      <c r="E1312" s="67">
        <v>6676.9</v>
      </c>
      <c r="F1312" s="67">
        <v>7678.4349999999995</v>
      </c>
      <c r="G1312" t="str">
        <f t="shared" si="40"/>
        <v>6002</v>
      </c>
      <c r="H1312" t="str">
        <f t="shared" si="41"/>
        <v>Depreciation and amortisation</v>
      </c>
    </row>
    <row r="1313" spans="1:8" x14ac:dyDescent="0.25">
      <c r="A1313" t="s">
        <v>1154</v>
      </c>
      <c r="B1313" t="s">
        <v>303</v>
      </c>
      <c r="C1313" s="67">
        <v>63245</v>
      </c>
      <c r="D1313" s="67">
        <v>63245</v>
      </c>
      <c r="E1313" s="67">
        <v>72731.75</v>
      </c>
      <c r="F1313" s="67">
        <v>83641.512499999997</v>
      </c>
      <c r="G1313" t="str">
        <f t="shared" si="40"/>
        <v>6002</v>
      </c>
      <c r="H1313" t="str">
        <f t="shared" si="41"/>
        <v>Depreciation and amortisation</v>
      </c>
    </row>
    <row r="1314" spans="1:8" x14ac:dyDescent="0.25">
      <c r="A1314" t="s">
        <v>2117</v>
      </c>
      <c r="B1314" t="s">
        <v>1404</v>
      </c>
      <c r="C1314" s="67">
        <v>-69051</v>
      </c>
      <c r="D1314" s="67">
        <v>-69051</v>
      </c>
      <c r="E1314" s="67">
        <v>-79408.649999999994</v>
      </c>
      <c r="F1314" s="67">
        <v>-91319.947499999995</v>
      </c>
      <c r="G1314" t="str">
        <f t="shared" si="40"/>
        <v>6002</v>
      </c>
      <c r="H1314" t="str">
        <f t="shared" si="41"/>
        <v>Accumulated surplus</v>
      </c>
    </row>
    <row r="1315" spans="1:8" x14ac:dyDescent="0.25">
      <c r="A1315" t="s">
        <v>2118</v>
      </c>
      <c r="B1315" t="s">
        <v>1422</v>
      </c>
      <c r="C1315" s="67">
        <v>0</v>
      </c>
      <c r="D1315" s="67">
        <v>96000</v>
      </c>
      <c r="E1315" s="67">
        <v>96000</v>
      </c>
      <c r="F1315" s="67">
        <v>96000</v>
      </c>
      <c r="G1315" t="str">
        <f t="shared" si="40"/>
        <v>6002</v>
      </c>
      <c r="H1315" t="str">
        <f t="shared" si="41"/>
        <v>Non-Current Assets (Cost)</v>
      </c>
    </row>
    <row r="1316" spans="1:8" x14ac:dyDescent="0.25">
      <c r="A1316" t="s">
        <v>2119</v>
      </c>
      <c r="B1316" t="s">
        <v>1424</v>
      </c>
      <c r="C1316" s="67">
        <v>0</v>
      </c>
      <c r="D1316" s="67">
        <v>-6683.09</v>
      </c>
      <c r="E1316" s="67">
        <v>-6683.09</v>
      </c>
      <c r="F1316" s="67">
        <v>-6683.09</v>
      </c>
      <c r="G1316" t="str">
        <f t="shared" si="40"/>
        <v>6002</v>
      </c>
      <c r="H1316" t="str">
        <f t="shared" si="41"/>
        <v>Non-Current Assets (Acc Depreciation)</v>
      </c>
    </row>
    <row r="1317" spans="1:8" x14ac:dyDescent="0.25">
      <c r="A1317" t="s">
        <v>2120</v>
      </c>
      <c r="B1317" t="s">
        <v>1428</v>
      </c>
      <c r="C1317" s="67">
        <v>155583</v>
      </c>
      <c r="D1317" s="67">
        <v>136930.41</v>
      </c>
      <c r="E1317" s="67">
        <v>136930.41</v>
      </c>
      <c r="F1317" s="67">
        <v>136930.41</v>
      </c>
      <c r="G1317" t="str">
        <f t="shared" si="40"/>
        <v>6002</v>
      </c>
      <c r="H1317" t="str">
        <f t="shared" si="41"/>
        <v>Non-Current Assets (Cost)</v>
      </c>
    </row>
    <row r="1318" spans="1:8" x14ac:dyDescent="0.25">
      <c r="A1318" t="s">
        <v>2121</v>
      </c>
      <c r="B1318" t="s">
        <v>1430</v>
      </c>
      <c r="C1318" s="67">
        <v>-104267</v>
      </c>
      <c r="D1318" s="67">
        <v>-93253.200000000012</v>
      </c>
      <c r="E1318" s="67">
        <v>-99059.200000000012</v>
      </c>
      <c r="F1318" s="67">
        <v>-105736.1</v>
      </c>
      <c r="G1318" t="str">
        <f t="shared" si="40"/>
        <v>6002</v>
      </c>
      <c r="H1318" t="str">
        <f t="shared" si="41"/>
        <v>Non-Current Assets (Acc Depreciation)</v>
      </c>
    </row>
    <row r="1319" spans="1:8" x14ac:dyDescent="0.25">
      <c r="A1319" t="s">
        <v>2122</v>
      </c>
      <c r="B1319" t="s">
        <v>1432</v>
      </c>
      <c r="C1319" s="67">
        <v>-5807</v>
      </c>
      <c r="D1319" s="67">
        <v>-5806</v>
      </c>
      <c r="E1319" s="67">
        <v>-6676.9</v>
      </c>
      <c r="F1319" s="67">
        <v>-7678.4349999999995</v>
      </c>
      <c r="G1319" t="str">
        <f t="shared" si="40"/>
        <v>6002</v>
      </c>
      <c r="H1319" t="str">
        <f t="shared" si="41"/>
        <v>Non-Current Assets (Depreciation)</v>
      </c>
    </row>
    <row r="1320" spans="1:8" x14ac:dyDescent="0.25">
      <c r="A1320" t="s">
        <v>2123</v>
      </c>
      <c r="B1320" t="s">
        <v>1452</v>
      </c>
      <c r="C1320" s="67">
        <v>1688649</v>
      </c>
      <c r="D1320" s="67">
        <v>3445176.48</v>
      </c>
      <c r="E1320" s="67">
        <v>3445176.48</v>
      </c>
      <c r="F1320" s="67">
        <v>3445176.48</v>
      </c>
      <c r="G1320" t="str">
        <f t="shared" si="40"/>
        <v>6002</v>
      </c>
      <c r="H1320" t="str">
        <f t="shared" si="41"/>
        <v>Non-Current Assets (Cost)</v>
      </c>
    </row>
    <row r="1321" spans="1:8" x14ac:dyDescent="0.25">
      <c r="A1321" t="s">
        <v>2124</v>
      </c>
      <c r="B1321" t="s">
        <v>1454</v>
      </c>
      <c r="C1321" s="67">
        <v>-222297</v>
      </c>
      <c r="D1321" s="67">
        <v>-121805.54000000002</v>
      </c>
      <c r="E1321" s="67">
        <v>-185050.54000000004</v>
      </c>
      <c r="F1321" s="67">
        <v>-257782.29000000004</v>
      </c>
      <c r="G1321" t="str">
        <f t="shared" si="40"/>
        <v>6002</v>
      </c>
      <c r="H1321" t="str">
        <f t="shared" si="41"/>
        <v>Non-Current Assets (Acc Depreciation)</v>
      </c>
    </row>
    <row r="1322" spans="1:8" x14ac:dyDescent="0.25">
      <c r="A1322" t="s">
        <v>2125</v>
      </c>
      <c r="B1322" t="s">
        <v>1456</v>
      </c>
      <c r="C1322" s="67">
        <v>-63246</v>
      </c>
      <c r="D1322" s="67">
        <v>-63245</v>
      </c>
      <c r="E1322" s="67">
        <v>-72731.75</v>
      </c>
      <c r="F1322" s="67">
        <v>-83641.512499999997</v>
      </c>
      <c r="G1322" t="str">
        <f t="shared" si="40"/>
        <v>6002</v>
      </c>
      <c r="H1322" t="str">
        <f t="shared" si="41"/>
        <v>Non-Current Assets (Depreciation)</v>
      </c>
    </row>
    <row r="1323" spans="1:8" x14ac:dyDescent="0.25">
      <c r="A1323" t="s">
        <v>2126</v>
      </c>
      <c r="B1323" t="s">
        <v>2027</v>
      </c>
      <c r="C1323" s="67">
        <v>1852527</v>
      </c>
      <c r="D1323" s="67">
        <v>0</v>
      </c>
      <c r="E1323" s="67">
        <v>0</v>
      </c>
      <c r="F1323" s="67">
        <v>0</v>
      </c>
      <c r="G1323" t="str">
        <f t="shared" si="40"/>
        <v>6002</v>
      </c>
      <c r="H1323" t="str">
        <f t="shared" si="41"/>
        <v>Non-Current Assets (Cost)</v>
      </c>
    </row>
    <row r="1324" spans="1:8" x14ac:dyDescent="0.25">
      <c r="A1324" t="s">
        <v>2127</v>
      </c>
      <c r="B1324" t="s">
        <v>1462</v>
      </c>
      <c r="C1324" s="67">
        <v>-3496797</v>
      </c>
      <c r="D1324" s="67">
        <v>211754.33000000007</v>
      </c>
      <c r="E1324" s="67">
        <v>280805.33000000007</v>
      </c>
      <c r="F1324" s="67">
        <v>360213.9800000001</v>
      </c>
      <c r="G1324" t="str">
        <f t="shared" si="40"/>
        <v>6002</v>
      </c>
      <c r="H1324" t="str">
        <f t="shared" si="41"/>
        <v>Reserves</v>
      </c>
    </row>
    <row r="1325" spans="1:8" x14ac:dyDescent="0.25">
      <c r="A1325" t="s">
        <v>2128</v>
      </c>
      <c r="B1325" t="s">
        <v>1464</v>
      </c>
      <c r="C1325" s="67">
        <v>69051</v>
      </c>
      <c r="D1325" s="67">
        <v>69051</v>
      </c>
      <c r="E1325" s="67">
        <v>79408.649999999994</v>
      </c>
      <c r="F1325" s="67">
        <v>91319.947499999995</v>
      </c>
      <c r="G1325" t="str">
        <f t="shared" si="40"/>
        <v>6002</v>
      </c>
      <c r="H1325" t="str">
        <f t="shared" si="41"/>
        <v>Reserves</v>
      </c>
    </row>
    <row r="1326" spans="1:8" x14ac:dyDescent="0.25">
      <c r="A1326" t="s">
        <v>1156</v>
      </c>
      <c r="B1326" t="s">
        <v>131</v>
      </c>
      <c r="C1326" s="67">
        <v>651161</v>
      </c>
      <c r="D1326" s="67">
        <v>651161</v>
      </c>
      <c r="E1326" s="67">
        <v>696742.69799999986</v>
      </c>
      <c r="F1326" s="67">
        <v>745514.6868599999</v>
      </c>
      <c r="G1326" t="str">
        <f t="shared" si="40"/>
        <v>6005</v>
      </c>
      <c r="H1326" t="str">
        <f t="shared" si="41"/>
        <v>Employee related costs</v>
      </c>
    </row>
    <row r="1327" spans="1:8" x14ac:dyDescent="0.25">
      <c r="A1327" t="s">
        <v>1157</v>
      </c>
      <c r="B1327" t="s">
        <v>132</v>
      </c>
      <c r="C1327" s="67">
        <v>32558</v>
      </c>
      <c r="D1327" s="67">
        <v>32558</v>
      </c>
      <c r="E1327" s="67">
        <v>34837.134899999997</v>
      </c>
      <c r="F1327" s="67">
        <v>37275.734342999996</v>
      </c>
      <c r="G1327" t="str">
        <f t="shared" si="40"/>
        <v>6005</v>
      </c>
      <c r="H1327" t="str">
        <f t="shared" si="41"/>
        <v>Employee related costs</v>
      </c>
    </row>
    <row r="1328" spans="1:8" x14ac:dyDescent="0.25">
      <c r="A1328" t="s">
        <v>1158</v>
      </c>
      <c r="B1328" t="s">
        <v>133</v>
      </c>
      <c r="C1328" s="67">
        <v>40000</v>
      </c>
      <c r="D1328" s="67">
        <v>40000</v>
      </c>
      <c r="E1328" s="67">
        <v>34728.604800000001</v>
      </c>
      <c r="F1328" s="67">
        <v>37159.607135999999</v>
      </c>
      <c r="G1328" t="str">
        <f t="shared" si="40"/>
        <v>6005</v>
      </c>
      <c r="H1328" t="str">
        <f t="shared" si="41"/>
        <v>Employee related costs</v>
      </c>
    </row>
    <row r="1329" spans="1:8" x14ac:dyDescent="0.25">
      <c r="A1329" t="s">
        <v>1159</v>
      </c>
      <c r="B1329" t="s">
        <v>134</v>
      </c>
      <c r="C1329" s="67">
        <v>206737</v>
      </c>
      <c r="D1329" s="67">
        <v>206737</v>
      </c>
      <c r="E1329" s="67">
        <v>221209</v>
      </c>
      <c r="F1329" s="67">
        <v>236694</v>
      </c>
      <c r="G1329" t="str">
        <f t="shared" si="40"/>
        <v>6005</v>
      </c>
      <c r="H1329" t="str">
        <f t="shared" si="41"/>
        <v>Employee related costs</v>
      </c>
    </row>
    <row r="1330" spans="1:8" x14ac:dyDescent="0.25">
      <c r="A1330" t="s">
        <v>1160</v>
      </c>
      <c r="B1330" t="s">
        <v>135</v>
      </c>
      <c r="C1330" s="67">
        <v>17000</v>
      </c>
      <c r="D1330" s="67">
        <v>17000</v>
      </c>
      <c r="E1330" s="67">
        <v>19880.389817759999</v>
      </c>
      <c r="F1330" s="67">
        <v>21272.017105003197</v>
      </c>
      <c r="G1330" t="str">
        <f t="shared" si="40"/>
        <v>6005</v>
      </c>
      <c r="H1330" t="str">
        <f t="shared" si="41"/>
        <v>Employee related costs</v>
      </c>
    </row>
    <row r="1331" spans="1:8" x14ac:dyDescent="0.25">
      <c r="A1331" t="s">
        <v>1161</v>
      </c>
      <c r="B1331" t="s">
        <v>136</v>
      </c>
      <c r="C1331" s="67">
        <v>18580</v>
      </c>
      <c r="D1331" s="67">
        <v>18580</v>
      </c>
      <c r="E1331" s="67">
        <v>42799.957199999997</v>
      </c>
      <c r="F1331" s="67">
        <v>45795.954203999994</v>
      </c>
      <c r="G1331" t="str">
        <f t="shared" si="40"/>
        <v>6005</v>
      </c>
      <c r="H1331" t="str">
        <f t="shared" si="41"/>
        <v>Employee related costs</v>
      </c>
    </row>
    <row r="1332" spans="1:8" x14ac:dyDescent="0.25">
      <c r="A1332" t="s">
        <v>1162</v>
      </c>
      <c r="B1332" t="s">
        <v>164</v>
      </c>
      <c r="C1332" s="67">
        <v>32457</v>
      </c>
      <c r="D1332" s="67">
        <v>0</v>
      </c>
      <c r="E1332" s="67">
        <v>0</v>
      </c>
      <c r="F1332" s="67">
        <v>0</v>
      </c>
      <c r="G1332" t="str">
        <f t="shared" si="40"/>
        <v>6005</v>
      </c>
      <c r="H1332" t="str">
        <f t="shared" si="41"/>
        <v>Employee related costs</v>
      </c>
    </row>
    <row r="1333" spans="1:8" x14ac:dyDescent="0.25">
      <c r="A1333" t="s">
        <v>1163</v>
      </c>
      <c r="B1333" t="s">
        <v>253</v>
      </c>
      <c r="C1333" s="67">
        <v>2000</v>
      </c>
      <c r="D1333" s="67">
        <v>2000</v>
      </c>
      <c r="E1333" s="67">
        <v>2000</v>
      </c>
      <c r="F1333" s="67">
        <v>2000</v>
      </c>
      <c r="G1333" t="str">
        <f t="shared" si="40"/>
        <v>6005</v>
      </c>
      <c r="H1333" t="str">
        <f t="shared" si="41"/>
        <v>General expenses</v>
      </c>
    </row>
    <row r="1334" spans="1:8" x14ac:dyDescent="0.25">
      <c r="A1334" t="s">
        <v>1164</v>
      </c>
      <c r="B1334" t="s">
        <v>265</v>
      </c>
      <c r="C1334" s="67">
        <v>0</v>
      </c>
      <c r="D1334" s="67">
        <v>10000</v>
      </c>
      <c r="E1334" s="67">
        <v>0</v>
      </c>
      <c r="F1334" s="67">
        <v>0</v>
      </c>
      <c r="G1334" t="str">
        <f t="shared" si="40"/>
        <v>6005</v>
      </c>
      <c r="H1334" t="str">
        <f t="shared" si="41"/>
        <v>General expenses</v>
      </c>
    </row>
    <row r="1335" spans="1:8" x14ac:dyDescent="0.25">
      <c r="A1335" t="s">
        <v>1165</v>
      </c>
      <c r="B1335" t="s">
        <v>268</v>
      </c>
      <c r="C1335" s="67">
        <v>80329</v>
      </c>
      <c r="D1335" s="67">
        <v>120329</v>
      </c>
      <c r="E1335" s="67">
        <v>85148.655199999994</v>
      </c>
      <c r="F1335" s="67">
        <v>89746.682580799999</v>
      </c>
      <c r="G1335" t="str">
        <f t="shared" si="40"/>
        <v>6005</v>
      </c>
      <c r="H1335" t="str">
        <f t="shared" si="41"/>
        <v>General expenses</v>
      </c>
    </row>
    <row r="1336" spans="1:8" x14ac:dyDescent="0.25">
      <c r="A1336" t="s">
        <v>1166</v>
      </c>
      <c r="B1336" t="s">
        <v>268</v>
      </c>
      <c r="C1336" s="67">
        <v>73677</v>
      </c>
      <c r="D1336" s="67">
        <v>103677</v>
      </c>
      <c r="E1336" s="67">
        <v>78098.065199999997</v>
      </c>
      <c r="F1336" s="67">
        <v>82315.360720800003</v>
      </c>
      <c r="G1336" t="str">
        <f t="shared" si="40"/>
        <v>6005</v>
      </c>
      <c r="H1336" t="str">
        <f t="shared" si="41"/>
        <v>General expenses</v>
      </c>
    </row>
    <row r="1337" spans="1:8" x14ac:dyDescent="0.25">
      <c r="A1337" t="s">
        <v>1167</v>
      </c>
      <c r="B1337" t="s">
        <v>269</v>
      </c>
      <c r="C1337" s="67">
        <v>21200</v>
      </c>
      <c r="D1337" s="67">
        <v>6200</v>
      </c>
      <c r="E1337" s="67">
        <v>22472</v>
      </c>
      <c r="F1337" s="67">
        <v>23685.488000000001</v>
      </c>
      <c r="G1337" t="str">
        <f t="shared" si="40"/>
        <v>6005</v>
      </c>
      <c r="H1337" t="str">
        <f t="shared" si="41"/>
        <v>General expenses</v>
      </c>
    </row>
    <row r="1338" spans="1:8" x14ac:dyDescent="0.25">
      <c r="A1338" t="s">
        <v>1168</v>
      </c>
      <c r="B1338" t="s">
        <v>272</v>
      </c>
      <c r="C1338" s="67">
        <v>34896</v>
      </c>
      <c r="D1338" s="67">
        <v>19896</v>
      </c>
      <c r="E1338" s="67">
        <v>36990.035600000003</v>
      </c>
      <c r="F1338" s="67">
        <v>38987.497522400001</v>
      </c>
      <c r="G1338" t="str">
        <f t="shared" si="40"/>
        <v>6005</v>
      </c>
      <c r="H1338" t="str">
        <f t="shared" si="41"/>
        <v>General expenses</v>
      </c>
    </row>
    <row r="1339" spans="1:8" x14ac:dyDescent="0.25">
      <c r="A1339" t="s">
        <v>1169</v>
      </c>
      <c r="B1339" t="s">
        <v>277</v>
      </c>
      <c r="C1339" s="67">
        <v>1967760</v>
      </c>
      <c r="D1339" s="67">
        <v>1967760</v>
      </c>
      <c r="E1339" s="67">
        <v>2085825.1972000001</v>
      </c>
      <c r="F1339" s="67">
        <v>2198459.7578488002</v>
      </c>
      <c r="G1339" t="str">
        <f t="shared" si="40"/>
        <v>6005</v>
      </c>
      <c r="H1339" t="str">
        <f t="shared" si="41"/>
        <v>General expenses</v>
      </c>
    </row>
    <row r="1340" spans="1:8" x14ac:dyDescent="0.25">
      <c r="A1340" t="s">
        <v>2129</v>
      </c>
      <c r="B1340" t="s">
        <v>1404</v>
      </c>
      <c r="C1340" s="67">
        <v>-3178355</v>
      </c>
      <c r="D1340" s="67">
        <v>-3195898</v>
      </c>
      <c r="E1340" s="67">
        <v>-3360731.7379177599</v>
      </c>
      <c r="F1340" s="67">
        <v>-3558906.7863208032</v>
      </c>
      <c r="G1340" t="str">
        <f t="shared" si="40"/>
        <v>6005</v>
      </c>
      <c r="H1340" t="str">
        <f t="shared" si="41"/>
        <v>Accumulated surplus</v>
      </c>
    </row>
    <row r="1341" spans="1:8" x14ac:dyDescent="0.25">
      <c r="A1341" t="s">
        <v>2130</v>
      </c>
      <c r="B1341" t="s">
        <v>1460</v>
      </c>
      <c r="C1341" s="67">
        <v>0</v>
      </c>
      <c r="D1341" s="67">
        <v>0</v>
      </c>
      <c r="E1341" s="67">
        <v>0</v>
      </c>
      <c r="F1341" s="67">
        <v>0</v>
      </c>
      <c r="G1341" t="str">
        <f t="shared" si="40"/>
        <v>6005</v>
      </c>
      <c r="H1341" t="str">
        <f t="shared" si="41"/>
        <v>Current Employee Benefits</v>
      </c>
    </row>
    <row r="1342" spans="1:8" x14ac:dyDescent="0.25">
      <c r="A1342" t="s">
        <v>2131</v>
      </c>
      <c r="B1342" t="s">
        <v>1462</v>
      </c>
      <c r="C1342" s="67">
        <v>0</v>
      </c>
      <c r="D1342" s="67">
        <v>4503240.32</v>
      </c>
      <c r="E1342" s="67">
        <v>7699138.3200000003</v>
      </c>
      <c r="F1342" s="67">
        <v>11059870.057917761</v>
      </c>
      <c r="G1342" t="str">
        <f t="shared" si="40"/>
        <v>6005</v>
      </c>
      <c r="H1342" t="str">
        <f t="shared" si="41"/>
        <v>Reserves</v>
      </c>
    </row>
    <row r="1343" spans="1:8" x14ac:dyDescent="0.25">
      <c r="A1343" t="s">
        <v>2132</v>
      </c>
      <c r="B1343" t="s">
        <v>1464</v>
      </c>
      <c r="C1343" s="67">
        <v>3178355</v>
      </c>
      <c r="D1343" s="67">
        <v>3195898</v>
      </c>
      <c r="E1343" s="67">
        <v>3360731.7379177599</v>
      </c>
      <c r="F1343" s="67">
        <v>3558906.7863208032</v>
      </c>
      <c r="G1343" t="str">
        <f t="shared" si="40"/>
        <v>6005</v>
      </c>
      <c r="H1343" t="str">
        <f t="shared" si="41"/>
        <v>Reserves</v>
      </c>
    </row>
    <row r="1344" spans="1:8" x14ac:dyDescent="0.25">
      <c r="A1344" t="s">
        <v>1171</v>
      </c>
      <c r="B1344" t="s">
        <v>150</v>
      </c>
      <c r="C1344" s="67">
        <v>2357397</v>
      </c>
      <c r="D1344" s="67">
        <v>2357397</v>
      </c>
      <c r="E1344" s="67">
        <v>2522415.2522399994</v>
      </c>
      <c r="F1344" s="67">
        <v>2698984.3198967995</v>
      </c>
      <c r="G1344" t="str">
        <f t="shared" si="40"/>
        <v>6006</v>
      </c>
      <c r="H1344" t="str">
        <f t="shared" si="41"/>
        <v>Employee related costs</v>
      </c>
    </row>
    <row r="1345" spans="1:8" x14ac:dyDescent="0.25">
      <c r="A1345" t="s">
        <v>1172</v>
      </c>
      <c r="B1345" t="s">
        <v>151</v>
      </c>
      <c r="C1345" s="67">
        <v>107339</v>
      </c>
      <c r="D1345" s="67">
        <v>42335.450000000012</v>
      </c>
      <c r="E1345" s="67">
        <v>33802.660000000011</v>
      </c>
      <c r="F1345" s="67">
        <v>36235.12000000001</v>
      </c>
      <c r="G1345" t="str">
        <f t="shared" si="40"/>
        <v>6006</v>
      </c>
      <c r="H1345" t="str">
        <f t="shared" si="41"/>
        <v>Employee related costs</v>
      </c>
    </row>
    <row r="1346" spans="1:8" x14ac:dyDescent="0.25">
      <c r="A1346" t="s">
        <v>1173</v>
      </c>
      <c r="B1346" t="s">
        <v>152</v>
      </c>
      <c r="C1346" s="67">
        <v>14100</v>
      </c>
      <c r="D1346" s="67">
        <v>14100</v>
      </c>
      <c r="E1346" s="67">
        <v>206734.47102</v>
      </c>
      <c r="F1346" s="67">
        <v>0</v>
      </c>
      <c r="G1346" t="str">
        <f t="shared" ref="G1346:G1409" si="42">VLOOKUP(A1346,s,2,FALSE)</f>
        <v>6006</v>
      </c>
      <c r="H1346" t="str">
        <f t="shared" ref="H1346:H1409" si="43">VLOOKUP(A1346,s,3,FALSE)</f>
        <v>Employee related costs</v>
      </c>
    </row>
    <row r="1347" spans="1:8" x14ac:dyDescent="0.25">
      <c r="A1347" t="s">
        <v>1174</v>
      </c>
      <c r="B1347" t="s">
        <v>153</v>
      </c>
      <c r="C1347" s="67">
        <v>21786</v>
      </c>
      <c r="D1347" s="67">
        <v>21786</v>
      </c>
      <c r="E1347" s="67">
        <v>15087</v>
      </c>
      <c r="F1347" s="67">
        <v>16143.09</v>
      </c>
      <c r="G1347" t="str">
        <f t="shared" si="42"/>
        <v>6006</v>
      </c>
      <c r="H1347" t="str">
        <f t="shared" si="43"/>
        <v>Employee related costs</v>
      </c>
    </row>
    <row r="1348" spans="1:8" x14ac:dyDescent="0.25">
      <c r="A1348" t="s">
        <v>1175</v>
      </c>
      <c r="B1348" t="s">
        <v>155</v>
      </c>
      <c r="C1348" s="67">
        <v>76225</v>
      </c>
      <c r="D1348" s="67">
        <v>76225</v>
      </c>
      <c r="E1348" s="67">
        <v>23311.533599999999</v>
      </c>
      <c r="F1348" s="67">
        <v>24943.340951999999</v>
      </c>
      <c r="G1348" t="str">
        <f t="shared" si="42"/>
        <v>6006</v>
      </c>
      <c r="H1348" t="str">
        <f t="shared" si="43"/>
        <v>Employee related costs</v>
      </c>
    </row>
    <row r="1349" spans="1:8" x14ac:dyDescent="0.25">
      <c r="A1349" t="s">
        <v>1176</v>
      </c>
      <c r="B1349" t="s">
        <v>156</v>
      </c>
      <c r="C1349" s="67">
        <v>91702</v>
      </c>
      <c r="D1349" s="67">
        <v>91702</v>
      </c>
      <c r="E1349" s="67">
        <v>81560.996785972617</v>
      </c>
      <c r="F1349" s="67">
        <v>87270.266560990698</v>
      </c>
      <c r="G1349" t="str">
        <f t="shared" si="42"/>
        <v>6006</v>
      </c>
      <c r="H1349" t="str">
        <f t="shared" si="43"/>
        <v>Employee related costs</v>
      </c>
    </row>
    <row r="1350" spans="1:8" x14ac:dyDescent="0.25">
      <c r="A1350" t="s">
        <v>1177</v>
      </c>
      <c r="B1350" t="s">
        <v>157</v>
      </c>
      <c r="C1350" s="67">
        <v>98324</v>
      </c>
      <c r="D1350" s="67">
        <v>38324</v>
      </c>
      <c r="E1350" s="67">
        <v>98120.909735999972</v>
      </c>
      <c r="F1350" s="67">
        <v>104989.37341751996</v>
      </c>
      <c r="G1350" t="str">
        <f t="shared" si="42"/>
        <v>6006</v>
      </c>
      <c r="H1350" t="str">
        <f t="shared" si="43"/>
        <v>Employee related costs</v>
      </c>
    </row>
    <row r="1351" spans="1:8" x14ac:dyDescent="0.25">
      <c r="A1351" t="s">
        <v>1178</v>
      </c>
      <c r="B1351" t="s">
        <v>159</v>
      </c>
      <c r="C1351" s="67">
        <v>193210</v>
      </c>
      <c r="D1351" s="67">
        <v>193210</v>
      </c>
      <c r="E1351" s="67">
        <v>105206.97960000002</v>
      </c>
      <c r="F1351" s="67">
        <v>112571.46817200002</v>
      </c>
      <c r="G1351" t="str">
        <f t="shared" si="42"/>
        <v>6006</v>
      </c>
      <c r="H1351" t="str">
        <f t="shared" si="43"/>
        <v>Employee related costs</v>
      </c>
    </row>
    <row r="1352" spans="1:8" x14ac:dyDescent="0.25">
      <c r="A1352" t="s">
        <v>1179</v>
      </c>
      <c r="B1352" t="s">
        <v>162</v>
      </c>
      <c r="C1352" s="67">
        <v>0</v>
      </c>
      <c r="D1352" s="67">
        <v>60000</v>
      </c>
      <c r="E1352" s="67">
        <v>0</v>
      </c>
      <c r="F1352" s="67">
        <v>0</v>
      </c>
      <c r="G1352" t="str">
        <f t="shared" si="42"/>
        <v>6006</v>
      </c>
      <c r="H1352" t="str">
        <f t="shared" si="43"/>
        <v>Employee related costs</v>
      </c>
    </row>
    <row r="1353" spans="1:8" x14ac:dyDescent="0.25">
      <c r="A1353" t="s">
        <v>1180</v>
      </c>
      <c r="B1353" t="s">
        <v>167</v>
      </c>
      <c r="C1353" s="67">
        <v>1124</v>
      </c>
      <c r="D1353" s="67">
        <v>1124</v>
      </c>
      <c r="E1353" s="67">
        <v>1202.145</v>
      </c>
      <c r="F1353" s="67">
        <v>1286.2951499999999</v>
      </c>
      <c r="G1353" t="str">
        <f t="shared" si="42"/>
        <v>6006</v>
      </c>
      <c r="H1353" t="str">
        <f t="shared" si="43"/>
        <v>Employee related costs</v>
      </c>
    </row>
    <row r="1354" spans="1:8" x14ac:dyDescent="0.25">
      <c r="A1354" t="s">
        <v>1181</v>
      </c>
      <c r="B1354" t="s">
        <v>168</v>
      </c>
      <c r="C1354" s="67">
        <v>100786</v>
      </c>
      <c r="D1354" s="67">
        <v>100786</v>
      </c>
      <c r="E1354" s="67">
        <v>107841.36240000001</v>
      </c>
      <c r="F1354" s="67">
        <v>115390.25776800001</v>
      </c>
      <c r="G1354" t="str">
        <f t="shared" si="42"/>
        <v>6006</v>
      </c>
      <c r="H1354" t="str">
        <f t="shared" si="43"/>
        <v>Employee related costs</v>
      </c>
    </row>
    <row r="1355" spans="1:8" x14ac:dyDescent="0.25">
      <c r="A1355" t="s">
        <v>1182</v>
      </c>
      <c r="B1355" t="s">
        <v>169</v>
      </c>
      <c r="C1355" s="67">
        <v>510074</v>
      </c>
      <c r="D1355" s="67">
        <v>510074</v>
      </c>
      <c r="E1355" s="67">
        <v>545779.00349279994</v>
      </c>
      <c r="F1355" s="67">
        <v>583983.53373729589</v>
      </c>
      <c r="G1355" t="str">
        <f t="shared" si="42"/>
        <v>6006</v>
      </c>
      <c r="H1355" t="str">
        <f t="shared" si="43"/>
        <v>Employee related costs</v>
      </c>
    </row>
    <row r="1356" spans="1:8" x14ac:dyDescent="0.25">
      <c r="A1356" t="s">
        <v>1183</v>
      </c>
      <c r="B1356" t="s">
        <v>170</v>
      </c>
      <c r="C1356" s="67">
        <v>19635</v>
      </c>
      <c r="D1356" s="67">
        <v>19635</v>
      </c>
      <c r="E1356" s="67">
        <v>21009.45</v>
      </c>
      <c r="F1356" s="67">
        <v>22480.111499999999</v>
      </c>
      <c r="G1356" t="str">
        <f t="shared" si="42"/>
        <v>6006</v>
      </c>
      <c r="H1356" t="str">
        <f t="shared" si="43"/>
        <v>Employee related costs</v>
      </c>
    </row>
    <row r="1357" spans="1:8" x14ac:dyDescent="0.25">
      <c r="A1357" t="s">
        <v>1184</v>
      </c>
      <c r="B1357" t="s">
        <v>173</v>
      </c>
      <c r="C1357" s="67">
        <v>13532</v>
      </c>
      <c r="D1357" s="67">
        <v>13532</v>
      </c>
      <c r="E1357" s="67">
        <v>14343.8776</v>
      </c>
      <c r="F1357" s="67">
        <v>15347.949032</v>
      </c>
      <c r="G1357" t="str">
        <f t="shared" si="42"/>
        <v>6006</v>
      </c>
      <c r="H1357" t="str">
        <f t="shared" si="43"/>
        <v>Employee related costs</v>
      </c>
    </row>
    <row r="1358" spans="1:8" x14ac:dyDescent="0.25">
      <c r="A1358" t="s">
        <v>1185</v>
      </c>
      <c r="B1358" t="s">
        <v>174</v>
      </c>
      <c r="C1358" s="67">
        <v>8126</v>
      </c>
      <c r="D1358" s="67">
        <v>8126</v>
      </c>
      <c r="E1358" s="67">
        <v>8613.5175999999992</v>
      </c>
      <c r="F1358" s="67">
        <v>9216.4638319999995</v>
      </c>
      <c r="G1358" t="str">
        <f t="shared" si="42"/>
        <v>6006</v>
      </c>
      <c r="H1358" t="str">
        <f t="shared" si="43"/>
        <v>Employee related costs</v>
      </c>
    </row>
    <row r="1359" spans="1:8" x14ac:dyDescent="0.25">
      <c r="A1359" t="s">
        <v>1186</v>
      </c>
      <c r="B1359" t="s">
        <v>175</v>
      </c>
      <c r="C1359" s="67">
        <v>23049</v>
      </c>
      <c r="D1359" s="67">
        <v>23049</v>
      </c>
      <c r="E1359" s="67">
        <v>24431.558399999998</v>
      </c>
      <c r="F1359" s="67">
        <v>26141.767487999998</v>
      </c>
      <c r="G1359" t="str">
        <f t="shared" si="42"/>
        <v>6006</v>
      </c>
      <c r="H1359" t="str">
        <f t="shared" si="43"/>
        <v>Employee related costs</v>
      </c>
    </row>
    <row r="1360" spans="1:8" x14ac:dyDescent="0.25">
      <c r="A1360" t="s">
        <v>1187</v>
      </c>
      <c r="B1360" t="s">
        <v>235</v>
      </c>
      <c r="C1360" s="67">
        <v>2700000</v>
      </c>
      <c r="D1360" s="67">
        <v>2700000</v>
      </c>
      <c r="E1360" s="67">
        <v>2862000</v>
      </c>
      <c r="F1360" s="67">
        <v>3016548</v>
      </c>
      <c r="G1360" t="str">
        <f t="shared" si="42"/>
        <v>6006</v>
      </c>
      <c r="H1360" t="str">
        <f t="shared" si="43"/>
        <v>Contracted services</v>
      </c>
    </row>
    <row r="1361" spans="1:8" x14ac:dyDescent="0.25">
      <c r="A1361" t="s">
        <v>1188</v>
      </c>
      <c r="B1361" t="s">
        <v>235</v>
      </c>
      <c r="C1361" s="67">
        <v>900000</v>
      </c>
      <c r="D1361" s="67">
        <v>900000</v>
      </c>
      <c r="E1361" s="67">
        <v>954000</v>
      </c>
      <c r="F1361" s="67">
        <v>1005516</v>
      </c>
      <c r="G1361" t="str">
        <f t="shared" si="42"/>
        <v>6006</v>
      </c>
      <c r="H1361" t="str">
        <f t="shared" si="43"/>
        <v>Contracted services</v>
      </c>
    </row>
    <row r="1362" spans="1:8" x14ac:dyDescent="0.25">
      <c r="A1362" t="s">
        <v>1189</v>
      </c>
      <c r="B1362" t="s">
        <v>236</v>
      </c>
      <c r="C1362" s="67">
        <v>1800000</v>
      </c>
      <c r="D1362" s="67">
        <v>1800000</v>
      </c>
      <c r="E1362" s="67">
        <v>1908000</v>
      </c>
      <c r="F1362" s="67">
        <v>2011032</v>
      </c>
      <c r="G1362" t="str">
        <f t="shared" si="42"/>
        <v>6006</v>
      </c>
      <c r="H1362" t="str">
        <f t="shared" si="43"/>
        <v>Contracted services</v>
      </c>
    </row>
    <row r="1363" spans="1:8" x14ac:dyDescent="0.25">
      <c r="A1363" t="s">
        <v>1190</v>
      </c>
      <c r="B1363" t="s">
        <v>256</v>
      </c>
      <c r="C1363" s="67">
        <v>36722</v>
      </c>
      <c r="D1363" s="67">
        <v>36722</v>
      </c>
      <c r="E1363" s="67">
        <v>38924.874800000005</v>
      </c>
      <c r="F1363" s="67">
        <v>41026.818039200007</v>
      </c>
      <c r="G1363" t="str">
        <f t="shared" si="42"/>
        <v>6006</v>
      </c>
      <c r="H1363" t="str">
        <f t="shared" si="43"/>
        <v>General expenses</v>
      </c>
    </row>
    <row r="1364" spans="1:8" x14ac:dyDescent="0.25">
      <c r="A1364" t="s">
        <v>1191</v>
      </c>
      <c r="B1364" t="s">
        <v>265</v>
      </c>
      <c r="C1364" s="67">
        <v>48487</v>
      </c>
      <c r="D1364" s="67">
        <v>48487</v>
      </c>
      <c r="E1364" s="67">
        <v>51395.711199999998</v>
      </c>
      <c r="F1364" s="67">
        <v>54171.079604799997</v>
      </c>
      <c r="G1364" t="str">
        <f t="shared" si="42"/>
        <v>6006</v>
      </c>
      <c r="H1364" t="str">
        <f t="shared" si="43"/>
        <v>General expenses</v>
      </c>
    </row>
    <row r="1365" spans="1:8" x14ac:dyDescent="0.25">
      <c r="A1365" t="s">
        <v>1192</v>
      </c>
      <c r="B1365" t="s">
        <v>268</v>
      </c>
      <c r="C1365" s="67">
        <v>0</v>
      </c>
      <c r="D1365" s="67">
        <v>90000</v>
      </c>
      <c r="E1365" s="67">
        <v>0</v>
      </c>
      <c r="F1365" s="67">
        <v>0</v>
      </c>
      <c r="G1365" t="str">
        <f t="shared" si="42"/>
        <v>6006</v>
      </c>
      <c r="H1365" t="str">
        <f t="shared" si="43"/>
        <v>General expenses</v>
      </c>
    </row>
    <row r="1366" spans="1:8" x14ac:dyDescent="0.25">
      <c r="A1366" t="s">
        <v>1193</v>
      </c>
      <c r="B1366" t="s">
        <v>276</v>
      </c>
      <c r="C1366" s="67">
        <v>0</v>
      </c>
      <c r="D1366" s="67">
        <v>95109</v>
      </c>
      <c r="E1366" s="67">
        <v>0</v>
      </c>
      <c r="F1366" s="67">
        <v>0</v>
      </c>
      <c r="G1366" t="str">
        <f t="shared" si="42"/>
        <v>6006</v>
      </c>
      <c r="H1366" t="str">
        <f t="shared" si="43"/>
        <v>General expenses</v>
      </c>
    </row>
    <row r="1367" spans="1:8" x14ac:dyDescent="0.25">
      <c r="A1367" t="s">
        <v>1194</v>
      </c>
      <c r="B1367" t="s">
        <v>291</v>
      </c>
      <c r="C1367" s="67">
        <v>0</v>
      </c>
      <c r="D1367" s="67">
        <v>0</v>
      </c>
      <c r="E1367" s="67">
        <v>0</v>
      </c>
      <c r="F1367" s="67">
        <v>0</v>
      </c>
      <c r="G1367" t="str">
        <f t="shared" si="42"/>
        <v>6006</v>
      </c>
      <c r="H1367" t="str">
        <f t="shared" si="43"/>
        <v>Depreciation and amortisation</v>
      </c>
    </row>
    <row r="1368" spans="1:8" x14ac:dyDescent="0.25">
      <c r="A1368" t="s">
        <v>1195</v>
      </c>
      <c r="B1368" t="s">
        <v>292</v>
      </c>
      <c r="C1368" s="67">
        <v>0</v>
      </c>
      <c r="D1368" s="67">
        <v>0</v>
      </c>
      <c r="E1368" s="67">
        <v>0</v>
      </c>
      <c r="F1368" s="67">
        <v>0</v>
      </c>
      <c r="G1368" t="str">
        <f t="shared" si="42"/>
        <v>6006</v>
      </c>
      <c r="H1368" t="str">
        <f t="shared" si="43"/>
        <v>Depreciation and amortisation</v>
      </c>
    </row>
    <row r="1369" spans="1:8" x14ac:dyDescent="0.25">
      <c r="A1369" t="s">
        <v>1196</v>
      </c>
      <c r="B1369" t="s">
        <v>293</v>
      </c>
      <c r="C1369" s="67">
        <v>476</v>
      </c>
      <c r="D1369" s="67">
        <v>476</v>
      </c>
      <c r="E1369" s="67">
        <v>547.4</v>
      </c>
      <c r="F1369" s="67">
        <v>629.51</v>
      </c>
      <c r="G1369" t="str">
        <f t="shared" si="42"/>
        <v>6006</v>
      </c>
      <c r="H1369" t="str">
        <f t="shared" si="43"/>
        <v>Depreciation and amortisation</v>
      </c>
    </row>
    <row r="1370" spans="1:8" x14ac:dyDescent="0.25">
      <c r="A1370" t="s">
        <v>1197</v>
      </c>
      <c r="B1370" t="s">
        <v>294</v>
      </c>
      <c r="C1370" s="67">
        <v>0</v>
      </c>
      <c r="D1370" s="67">
        <v>3513156.6700000199</v>
      </c>
      <c r="E1370" s="67">
        <v>4040130.1705000228</v>
      </c>
      <c r="F1370" s="67">
        <v>4646149.6960750259</v>
      </c>
      <c r="G1370" t="str">
        <f t="shared" si="42"/>
        <v>6006</v>
      </c>
      <c r="H1370" t="str">
        <f t="shared" si="43"/>
        <v>Depreciation and amortisation</v>
      </c>
    </row>
    <row r="1371" spans="1:8" x14ac:dyDescent="0.25">
      <c r="A1371" t="s">
        <v>1198</v>
      </c>
      <c r="B1371" t="s">
        <v>296</v>
      </c>
      <c r="C1371" s="67">
        <v>530622</v>
      </c>
      <c r="D1371" s="67">
        <v>530622</v>
      </c>
      <c r="E1371" s="67">
        <v>610215.30000000005</v>
      </c>
      <c r="F1371" s="67">
        <v>701747.59500000009</v>
      </c>
      <c r="G1371" t="str">
        <f t="shared" si="42"/>
        <v>6006</v>
      </c>
      <c r="H1371" t="str">
        <f t="shared" si="43"/>
        <v>Depreciation and amortisation</v>
      </c>
    </row>
    <row r="1372" spans="1:8" x14ac:dyDescent="0.25">
      <c r="A1372" t="s">
        <v>1199</v>
      </c>
      <c r="B1372" t="s">
        <v>297</v>
      </c>
      <c r="C1372" s="67">
        <v>168850</v>
      </c>
      <c r="D1372" s="67">
        <v>168850</v>
      </c>
      <c r="E1372" s="67">
        <v>194177.5</v>
      </c>
      <c r="F1372" s="67">
        <v>223304.125</v>
      </c>
      <c r="G1372" t="str">
        <f t="shared" si="42"/>
        <v>6006</v>
      </c>
      <c r="H1372" t="str">
        <f t="shared" si="43"/>
        <v>Depreciation and amortisation</v>
      </c>
    </row>
    <row r="1373" spans="1:8" x14ac:dyDescent="0.25">
      <c r="A1373" t="s">
        <v>1200</v>
      </c>
      <c r="B1373" t="s">
        <v>298</v>
      </c>
      <c r="C1373" s="67">
        <v>2276857</v>
      </c>
      <c r="D1373" s="67">
        <v>4459110</v>
      </c>
      <c r="E1373" s="67">
        <v>5127976.5</v>
      </c>
      <c r="F1373" s="67">
        <v>5897172.9749999996</v>
      </c>
      <c r="G1373" t="str">
        <f t="shared" si="42"/>
        <v>6006</v>
      </c>
      <c r="H1373" t="str">
        <f t="shared" si="43"/>
        <v>Depreciation and amortisation</v>
      </c>
    </row>
    <row r="1374" spans="1:8" x14ac:dyDescent="0.25">
      <c r="A1374" t="s">
        <v>1201</v>
      </c>
      <c r="B1374" t="s">
        <v>303</v>
      </c>
      <c r="C1374" s="67">
        <v>3371</v>
      </c>
      <c r="D1374" s="67">
        <v>3371</v>
      </c>
      <c r="E1374" s="67">
        <v>3876.65</v>
      </c>
      <c r="F1374" s="67">
        <v>4458.1475</v>
      </c>
      <c r="G1374" t="str">
        <f t="shared" si="42"/>
        <v>6006</v>
      </c>
      <c r="H1374" t="str">
        <f t="shared" si="43"/>
        <v>Depreciation and amortisation</v>
      </c>
    </row>
    <row r="1375" spans="1:8" x14ac:dyDescent="0.25">
      <c r="A1375" t="s">
        <v>2133</v>
      </c>
      <c r="B1375" t="s">
        <v>1404</v>
      </c>
      <c r="C1375" s="67">
        <v>-12101794</v>
      </c>
      <c r="D1375" s="67">
        <v>-17982312.67000002</v>
      </c>
      <c r="E1375" s="67">
        <v>-19681754.647874795</v>
      </c>
      <c r="F1375" s="67">
        <v>-21543396.341498632</v>
      </c>
      <c r="G1375" t="str">
        <f t="shared" si="42"/>
        <v>6006</v>
      </c>
      <c r="H1375" t="str">
        <f t="shared" si="43"/>
        <v>Accumulated surplus</v>
      </c>
    </row>
    <row r="1376" spans="1:8" x14ac:dyDescent="0.25">
      <c r="A1376" t="s">
        <v>2134</v>
      </c>
      <c r="B1376" t="s">
        <v>1406</v>
      </c>
      <c r="C1376" s="67">
        <v>0</v>
      </c>
      <c r="D1376" s="67">
        <v>26500</v>
      </c>
      <c r="E1376" s="67">
        <v>26500</v>
      </c>
      <c r="F1376" s="67">
        <v>26500</v>
      </c>
      <c r="G1376" t="str">
        <f t="shared" si="42"/>
        <v>6006</v>
      </c>
      <c r="H1376" t="str">
        <f t="shared" si="43"/>
        <v>Non-Current Assets (Cost)</v>
      </c>
    </row>
    <row r="1377" spans="1:8" x14ac:dyDescent="0.25">
      <c r="A1377" t="s">
        <v>2135</v>
      </c>
      <c r="B1377" t="s">
        <v>1408</v>
      </c>
      <c r="C1377" s="67">
        <v>0</v>
      </c>
      <c r="D1377" s="67">
        <v>-8849.4700000000012</v>
      </c>
      <c r="E1377" s="67">
        <v>-8849.4700000000012</v>
      </c>
      <c r="F1377" s="67">
        <v>-8849.4700000000012</v>
      </c>
      <c r="G1377" t="str">
        <f t="shared" si="42"/>
        <v>6006</v>
      </c>
      <c r="H1377" t="str">
        <f t="shared" si="43"/>
        <v>Non-Current Assets (Acc Depreciation)</v>
      </c>
    </row>
    <row r="1378" spans="1:8" x14ac:dyDescent="0.25">
      <c r="A1378" t="s">
        <v>2136</v>
      </c>
      <c r="B1378" t="s">
        <v>1410</v>
      </c>
      <c r="C1378" s="67">
        <v>0</v>
      </c>
      <c r="D1378" s="67">
        <v>0</v>
      </c>
      <c r="E1378" s="67">
        <v>0</v>
      </c>
      <c r="F1378" s="67">
        <v>0</v>
      </c>
      <c r="G1378" t="str">
        <f t="shared" si="42"/>
        <v>6006</v>
      </c>
      <c r="H1378" t="str">
        <f t="shared" si="43"/>
        <v>Non-Current Assets (Depreciation)</v>
      </c>
    </row>
    <row r="1379" spans="1:8" x14ac:dyDescent="0.25">
      <c r="A1379" t="s">
        <v>2137</v>
      </c>
      <c r="B1379" t="s">
        <v>2138</v>
      </c>
      <c r="C1379" s="67">
        <v>0</v>
      </c>
      <c r="D1379" s="67">
        <v>10935819</v>
      </c>
      <c r="E1379" s="67">
        <v>10935819</v>
      </c>
      <c r="F1379" s="67">
        <v>10935819</v>
      </c>
      <c r="G1379" t="str">
        <f t="shared" si="42"/>
        <v>6006</v>
      </c>
      <c r="H1379" t="str">
        <f t="shared" si="43"/>
        <v>Non-Current Assets (Cost)</v>
      </c>
    </row>
    <row r="1380" spans="1:8" x14ac:dyDescent="0.25">
      <c r="A1380" t="s">
        <v>2139</v>
      </c>
      <c r="B1380" t="s">
        <v>1412</v>
      </c>
      <c r="C1380" s="67">
        <v>4230906</v>
      </c>
      <c r="D1380" s="67">
        <v>2730906.22</v>
      </c>
      <c r="E1380" s="67">
        <v>3693086.22</v>
      </c>
      <c r="F1380" s="67">
        <v>3693086.22</v>
      </c>
      <c r="G1380" t="str">
        <f t="shared" si="42"/>
        <v>6006</v>
      </c>
      <c r="H1380" t="str">
        <f t="shared" si="43"/>
        <v>Non-Current Assets (Cost)</v>
      </c>
    </row>
    <row r="1381" spans="1:8" x14ac:dyDescent="0.25">
      <c r="A1381" t="s">
        <v>1202</v>
      </c>
      <c r="B1381" t="s">
        <v>1203</v>
      </c>
      <c r="C1381" s="67">
        <v>1000000</v>
      </c>
      <c r="D1381" s="67">
        <v>962180</v>
      </c>
      <c r="E1381" s="67">
        <v>0</v>
      </c>
      <c r="F1381" s="67">
        <v>0</v>
      </c>
      <c r="G1381" t="str">
        <f t="shared" si="42"/>
        <v>6006</v>
      </c>
      <c r="H1381" t="str">
        <f t="shared" si="43"/>
        <v>Non-Current Assets (Acquisitions)</v>
      </c>
    </row>
    <row r="1382" spans="1:8" x14ac:dyDescent="0.25">
      <c r="A1382" t="s">
        <v>2140</v>
      </c>
      <c r="B1382" t="s">
        <v>1414</v>
      </c>
      <c r="C1382" s="67">
        <v>-1170731</v>
      </c>
      <c r="D1382" s="67">
        <v>-1211090.3600000001</v>
      </c>
      <c r="E1382" s="67">
        <v>-1379940.36</v>
      </c>
      <c r="F1382" s="67">
        <v>-1574117.86</v>
      </c>
      <c r="G1382" t="str">
        <f t="shared" si="42"/>
        <v>6006</v>
      </c>
      <c r="H1382" t="str">
        <f t="shared" si="43"/>
        <v>Non-Current Assets (Acc Depreciation)</v>
      </c>
    </row>
    <row r="1383" spans="1:8" x14ac:dyDescent="0.25">
      <c r="A1383" t="s">
        <v>2141</v>
      </c>
      <c r="B1383" t="s">
        <v>1416</v>
      </c>
      <c r="C1383" s="67">
        <v>0</v>
      </c>
      <c r="D1383" s="67">
        <v>0</v>
      </c>
      <c r="E1383" s="67">
        <v>0</v>
      </c>
      <c r="F1383" s="67">
        <v>0</v>
      </c>
      <c r="G1383" t="str">
        <f t="shared" si="42"/>
        <v>6006</v>
      </c>
      <c r="H1383" t="str">
        <f t="shared" si="43"/>
        <v>Non-Current Assets (Acc Depreciation)</v>
      </c>
    </row>
    <row r="1384" spans="1:8" x14ac:dyDescent="0.25">
      <c r="A1384" t="s">
        <v>2142</v>
      </c>
      <c r="B1384" t="s">
        <v>1495</v>
      </c>
      <c r="C1384" s="67">
        <v>-168851</v>
      </c>
      <c r="D1384" s="67">
        <v>-168850</v>
      </c>
      <c r="E1384" s="67">
        <v>-194177.5</v>
      </c>
      <c r="F1384" s="67">
        <v>-223304.125</v>
      </c>
      <c r="G1384" t="str">
        <f t="shared" si="42"/>
        <v>6006</v>
      </c>
      <c r="H1384" t="str">
        <f t="shared" si="43"/>
        <v>Non-Current Assets (Depreciation)</v>
      </c>
    </row>
    <row r="1385" spans="1:8" x14ac:dyDescent="0.25">
      <c r="A1385" t="s">
        <v>2143</v>
      </c>
      <c r="B1385" t="s">
        <v>2144</v>
      </c>
      <c r="C1385" s="67">
        <v>0</v>
      </c>
      <c r="D1385" s="67">
        <v>-117240.63</v>
      </c>
      <c r="E1385" s="67">
        <v>-117240.63</v>
      </c>
      <c r="F1385" s="67">
        <v>-117240.63</v>
      </c>
      <c r="G1385" t="str">
        <f t="shared" si="42"/>
        <v>6006</v>
      </c>
      <c r="H1385" t="str">
        <f t="shared" si="43"/>
        <v>Non-Current Assets (Acc Depreciation)</v>
      </c>
    </row>
    <row r="1386" spans="1:8" x14ac:dyDescent="0.25">
      <c r="A1386" t="s">
        <v>2145</v>
      </c>
      <c r="B1386" t="s">
        <v>1422</v>
      </c>
      <c r="C1386" s="67">
        <v>9575223</v>
      </c>
      <c r="D1386" s="67">
        <v>8609899.4200000018</v>
      </c>
      <c r="E1386" s="67">
        <v>8609899.4200000018</v>
      </c>
      <c r="F1386" s="67">
        <v>8609899.4200000018</v>
      </c>
      <c r="G1386" t="str">
        <f t="shared" si="42"/>
        <v>6006</v>
      </c>
      <c r="H1386" t="str">
        <f t="shared" si="43"/>
        <v>Non-Current Assets (Cost)</v>
      </c>
    </row>
    <row r="1387" spans="1:8" x14ac:dyDescent="0.25">
      <c r="A1387" t="s">
        <v>1204</v>
      </c>
      <c r="B1387" t="s">
        <v>1205</v>
      </c>
      <c r="C1387" s="67">
        <v>3000000</v>
      </c>
      <c r="D1387" s="67">
        <v>0</v>
      </c>
      <c r="E1387" s="67">
        <v>0</v>
      </c>
      <c r="F1387" s="67">
        <v>0</v>
      </c>
      <c r="G1387" t="str">
        <f t="shared" si="42"/>
        <v>6006</v>
      </c>
      <c r="H1387" t="str">
        <f t="shared" si="43"/>
        <v>Non-Current Assets (Acquisitions)</v>
      </c>
    </row>
    <row r="1388" spans="1:8" x14ac:dyDescent="0.25">
      <c r="A1388" t="s">
        <v>2146</v>
      </c>
      <c r="B1388" t="s">
        <v>1424</v>
      </c>
      <c r="C1388" s="67">
        <v>-2708151</v>
      </c>
      <c r="D1388" s="67">
        <v>-1586922.3800000004</v>
      </c>
      <c r="E1388" s="67">
        <v>-2117544.3800000004</v>
      </c>
      <c r="F1388" s="67">
        <v>-2727759.6800000006</v>
      </c>
      <c r="G1388" t="str">
        <f t="shared" si="42"/>
        <v>6006</v>
      </c>
      <c r="H1388" t="str">
        <f t="shared" si="43"/>
        <v>Non-Current Assets (Acc Depreciation)</v>
      </c>
    </row>
    <row r="1389" spans="1:8" x14ac:dyDescent="0.25">
      <c r="A1389" t="s">
        <v>2147</v>
      </c>
      <c r="B1389" t="s">
        <v>1426</v>
      </c>
      <c r="C1389" s="67">
        <v>-530623</v>
      </c>
      <c r="D1389" s="67">
        <v>-530622</v>
      </c>
      <c r="E1389" s="67">
        <v>-610215.30000000005</v>
      </c>
      <c r="F1389" s="67">
        <v>-701747.59500000009</v>
      </c>
      <c r="G1389" t="str">
        <f t="shared" si="42"/>
        <v>6006</v>
      </c>
      <c r="H1389" t="str">
        <f t="shared" si="43"/>
        <v>Non-Current Assets (Depreciation)</v>
      </c>
    </row>
    <row r="1390" spans="1:8" x14ac:dyDescent="0.25">
      <c r="A1390" t="s">
        <v>2148</v>
      </c>
      <c r="B1390" t="s">
        <v>1428</v>
      </c>
      <c r="C1390" s="67">
        <v>5228</v>
      </c>
      <c r="D1390" s="67">
        <v>63116.77</v>
      </c>
      <c r="E1390" s="67">
        <v>63116.77</v>
      </c>
      <c r="F1390" s="67">
        <v>63116.77</v>
      </c>
      <c r="G1390" t="str">
        <f t="shared" si="42"/>
        <v>6006</v>
      </c>
      <c r="H1390" t="str">
        <f t="shared" si="43"/>
        <v>Non-Current Assets (Cost)</v>
      </c>
    </row>
    <row r="1391" spans="1:8" x14ac:dyDescent="0.25">
      <c r="A1391" t="s">
        <v>2149</v>
      </c>
      <c r="B1391" t="s">
        <v>1430</v>
      </c>
      <c r="C1391" s="67">
        <v>-2273</v>
      </c>
      <c r="D1391" s="67">
        <v>-19904.600000000002</v>
      </c>
      <c r="E1391" s="67">
        <v>-20380.600000000002</v>
      </c>
      <c r="F1391" s="67">
        <v>-20928.000000000004</v>
      </c>
      <c r="G1391" t="str">
        <f t="shared" si="42"/>
        <v>6006</v>
      </c>
      <c r="H1391" t="str">
        <f t="shared" si="43"/>
        <v>Non-Current Assets (Acc Depreciation)</v>
      </c>
    </row>
    <row r="1392" spans="1:8" x14ac:dyDescent="0.25">
      <c r="A1392" t="s">
        <v>2150</v>
      </c>
      <c r="B1392" t="s">
        <v>1432</v>
      </c>
      <c r="C1392" s="67">
        <v>-478</v>
      </c>
      <c r="D1392" s="67">
        <v>-476</v>
      </c>
      <c r="E1392" s="67">
        <v>-547.4</v>
      </c>
      <c r="F1392" s="67">
        <v>-629.51</v>
      </c>
      <c r="G1392" t="str">
        <f t="shared" si="42"/>
        <v>6006</v>
      </c>
      <c r="H1392" t="str">
        <f t="shared" si="43"/>
        <v>Non-Current Assets (Depreciation)</v>
      </c>
    </row>
    <row r="1393" spans="1:8" x14ac:dyDescent="0.25">
      <c r="A1393" t="s">
        <v>2151</v>
      </c>
      <c r="B1393" t="s">
        <v>1434</v>
      </c>
      <c r="C1393" s="67">
        <v>0</v>
      </c>
      <c r="D1393" s="67">
        <v>29798</v>
      </c>
      <c r="E1393" s="67">
        <v>29798</v>
      </c>
      <c r="F1393" s="67">
        <v>29798</v>
      </c>
      <c r="G1393" t="str">
        <f t="shared" si="42"/>
        <v>6006</v>
      </c>
      <c r="H1393" t="str">
        <f t="shared" si="43"/>
        <v>Non-Current Assets (Cost)</v>
      </c>
    </row>
    <row r="1394" spans="1:8" x14ac:dyDescent="0.25">
      <c r="A1394" t="s">
        <v>2152</v>
      </c>
      <c r="B1394" t="s">
        <v>1436</v>
      </c>
      <c r="C1394" s="67">
        <v>0</v>
      </c>
      <c r="D1394" s="67">
        <v>-10132.23</v>
      </c>
      <c r="E1394" s="67">
        <v>-10132.23</v>
      </c>
      <c r="F1394" s="67">
        <v>-10132.23</v>
      </c>
      <c r="G1394" t="str">
        <f t="shared" si="42"/>
        <v>6006</v>
      </c>
      <c r="H1394" t="str">
        <f t="shared" si="43"/>
        <v>Non-Current Assets (Acc Depreciation)</v>
      </c>
    </row>
    <row r="1395" spans="1:8" x14ac:dyDescent="0.25">
      <c r="A1395" t="s">
        <v>2153</v>
      </c>
      <c r="B1395" t="s">
        <v>1440</v>
      </c>
      <c r="C1395" s="67">
        <v>0</v>
      </c>
      <c r="D1395" s="67">
        <v>119820027.02000001</v>
      </c>
      <c r="E1395" s="67">
        <v>161323477.02000001</v>
      </c>
      <c r="F1395" s="67">
        <v>201336262.02000001</v>
      </c>
      <c r="G1395" t="str">
        <f t="shared" si="42"/>
        <v>6006</v>
      </c>
      <c r="H1395" t="str">
        <f t="shared" si="43"/>
        <v>Non-Current Assets (Cost)</v>
      </c>
    </row>
    <row r="1396" spans="1:8" x14ac:dyDescent="0.25">
      <c r="A1396" t="s">
        <v>1206</v>
      </c>
      <c r="B1396" t="s">
        <v>1207</v>
      </c>
      <c r="C1396" s="67">
        <v>2220000</v>
      </c>
      <c r="D1396" s="67">
        <v>0</v>
      </c>
      <c r="E1396" s="67">
        <v>0</v>
      </c>
      <c r="F1396" s="67">
        <v>0</v>
      </c>
      <c r="G1396" t="str">
        <f t="shared" si="42"/>
        <v>6006</v>
      </c>
      <c r="H1396" t="str">
        <f t="shared" si="43"/>
        <v>Non-Current Assets (Acquisitions)</v>
      </c>
    </row>
    <row r="1397" spans="1:8" x14ac:dyDescent="0.25">
      <c r="A1397" t="s">
        <v>1208</v>
      </c>
      <c r="B1397" t="s">
        <v>1209</v>
      </c>
      <c r="C1397" s="67">
        <v>17000000</v>
      </c>
      <c r="D1397" s="67">
        <v>25110000</v>
      </c>
      <c r="E1397" s="67">
        <v>10000000</v>
      </c>
      <c r="F1397" s="67">
        <v>0</v>
      </c>
      <c r="G1397" t="str">
        <f t="shared" si="42"/>
        <v>6006</v>
      </c>
      <c r="H1397" t="str">
        <f t="shared" si="43"/>
        <v>Non-Current Assets (Acquisitions)</v>
      </c>
    </row>
    <row r="1398" spans="1:8" x14ac:dyDescent="0.25">
      <c r="A1398" t="s">
        <v>1210</v>
      </c>
      <c r="B1398" t="s">
        <v>2154</v>
      </c>
      <c r="C1398" s="67">
        <v>16393450</v>
      </c>
      <c r="D1398" s="67">
        <v>16393450</v>
      </c>
      <c r="E1398" s="67">
        <v>6295198</v>
      </c>
      <c r="F1398" s="67">
        <v>0</v>
      </c>
      <c r="G1398" t="str">
        <f t="shared" si="42"/>
        <v>6006</v>
      </c>
      <c r="H1398" t="str">
        <f t="shared" si="43"/>
        <v>Non-Current Assets (Acquisitions)</v>
      </c>
    </row>
    <row r="1399" spans="1:8" x14ac:dyDescent="0.25">
      <c r="A1399" t="s">
        <v>2155</v>
      </c>
      <c r="B1399" t="s">
        <v>1442</v>
      </c>
      <c r="C1399" s="67">
        <v>-12523215</v>
      </c>
      <c r="D1399" s="67">
        <v>-14789973.390000001</v>
      </c>
      <c r="E1399" s="67">
        <v>-22762240.060000021</v>
      </c>
      <c r="F1399" s="67">
        <v>-31930346.730500042</v>
      </c>
      <c r="G1399" t="str">
        <f t="shared" si="42"/>
        <v>6006</v>
      </c>
      <c r="H1399" t="str">
        <f t="shared" si="43"/>
        <v>Non-Current Assets (Acc Depreciation)</v>
      </c>
    </row>
    <row r="1400" spans="1:8" x14ac:dyDescent="0.25">
      <c r="A1400" t="s">
        <v>2156</v>
      </c>
      <c r="B1400" t="s">
        <v>1444</v>
      </c>
      <c r="C1400" s="67">
        <v>-2276859</v>
      </c>
      <c r="D1400" s="67">
        <v>-7972266.6700000204</v>
      </c>
      <c r="E1400" s="67">
        <v>-9168106.6705000233</v>
      </c>
      <c r="F1400" s="67">
        <v>-10543322.671075026</v>
      </c>
      <c r="G1400" t="str">
        <f t="shared" si="42"/>
        <v>6006</v>
      </c>
      <c r="H1400" t="str">
        <f t="shared" si="43"/>
        <v>Non-Current Assets (Depreciation)</v>
      </c>
    </row>
    <row r="1401" spans="1:8" x14ac:dyDescent="0.25">
      <c r="A1401" t="s">
        <v>2157</v>
      </c>
      <c r="B1401" t="s">
        <v>1446</v>
      </c>
      <c r="C1401" s="67">
        <v>0</v>
      </c>
      <c r="D1401" s="67">
        <v>7700650.0099999998</v>
      </c>
      <c r="E1401" s="67">
        <v>10117342.01</v>
      </c>
      <c r="F1401" s="67">
        <v>10117342.01</v>
      </c>
      <c r="G1401" t="str">
        <f t="shared" si="42"/>
        <v>6006</v>
      </c>
      <c r="H1401" t="str">
        <f t="shared" si="43"/>
        <v>Non-Current Assets (Cost)</v>
      </c>
    </row>
    <row r="1402" spans="1:8" x14ac:dyDescent="0.25">
      <c r="A1402" t="s">
        <v>1211</v>
      </c>
      <c r="B1402" t="s">
        <v>1212</v>
      </c>
      <c r="C1402" s="67">
        <v>3000000</v>
      </c>
      <c r="D1402" s="67">
        <v>1616000</v>
      </c>
      <c r="E1402" s="67">
        <v>0</v>
      </c>
      <c r="F1402" s="67">
        <v>0</v>
      </c>
      <c r="G1402" t="str">
        <f t="shared" si="42"/>
        <v>6006</v>
      </c>
      <c r="H1402" t="str">
        <f t="shared" si="43"/>
        <v>Non-Current Assets (Acquisitions)</v>
      </c>
    </row>
    <row r="1403" spans="1:8" x14ac:dyDescent="0.25">
      <c r="A1403" t="s">
        <v>1213</v>
      </c>
      <c r="B1403" t="s">
        <v>1214</v>
      </c>
      <c r="C1403" s="67">
        <v>800000</v>
      </c>
      <c r="D1403" s="67">
        <v>800000</v>
      </c>
      <c r="E1403" s="67">
        <v>0</v>
      </c>
      <c r="F1403" s="67">
        <v>0</v>
      </c>
      <c r="G1403" t="str">
        <f t="shared" si="42"/>
        <v>6006</v>
      </c>
      <c r="H1403" t="str">
        <f t="shared" si="43"/>
        <v>Non-Current Assets (Acquisitions)</v>
      </c>
    </row>
    <row r="1404" spans="1:8" x14ac:dyDescent="0.25">
      <c r="A1404" t="s">
        <v>2158</v>
      </c>
      <c r="B1404" t="s">
        <v>1450</v>
      </c>
      <c r="C1404" s="67">
        <v>0</v>
      </c>
      <c r="D1404" s="67">
        <v>0</v>
      </c>
      <c r="E1404" s="67">
        <v>0</v>
      </c>
      <c r="F1404" s="67">
        <v>0</v>
      </c>
      <c r="G1404" t="str">
        <f t="shared" si="42"/>
        <v>6006</v>
      </c>
      <c r="H1404" t="str">
        <f t="shared" si="43"/>
        <v>Non-Current Assets (Depreciation)</v>
      </c>
    </row>
    <row r="1405" spans="1:8" x14ac:dyDescent="0.25">
      <c r="A1405" t="s">
        <v>2159</v>
      </c>
      <c r="B1405" t="s">
        <v>1452</v>
      </c>
      <c r="C1405" s="67">
        <v>10935819</v>
      </c>
      <c r="D1405" s="67">
        <v>0</v>
      </c>
      <c r="E1405" s="67">
        <v>2127821</v>
      </c>
      <c r="F1405" s="67">
        <v>2127821</v>
      </c>
      <c r="G1405" t="str">
        <f t="shared" si="42"/>
        <v>6006</v>
      </c>
      <c r="H1405" t="str">
        <f t="shared" si="43"/>
        <v>Non-Current Assets (Cost)</v>
      </c>
    </row>
    <row r="1406" spans="1:8" x14ac:dyDescent="0.25">
      <c r="A1406" t="s">
        <v>1215</v>
      </c>
      <c r="B1406" t="s">
        <v>1216</v>
      </c>
      <c r="C1406" s="67">
        <v>2127821</v>
      </c>
      <c r="D1406" s="67">
        <v>2127821</v>
      </c>
      <c r="E1406" s="67">
        <v>0</v>
      </c>
      <c r="F1406" s="67">
        <v>0</v>
      </c>
      <c r="G1406" t="str">
        <f t="shared" si="42"/>
        <v>6006</v>
      </c>
      <c r="H1406" t="str">
        <f t="shared" si="43"/>
        <v>Non-Current Assets (Acquisitions)</v>
      </c>
    </row>
    <row r="1407" spans="1:8" x14ac:dyDescent="0.25">
      <c r="A1407" t="s">
        <v>2160</v>
      </c>
      <c r="B1407" t="s">
        <v>1454</v>
      </c>
      <c r="C1407" s="67">
        <v>-6180</v>
      </c>
      <c r="D1407" s="67">
        <v>0</v>
      </c>
      <c r="E1407" s="67">
        <v>-3371</v>
      </c>
      <c r="F1407" s="67">
        <v>-7247.65</v>
      </c>
      <c r="G1407" t="str">
        <f t="shared" si="42"/>
        <v>6006</v>
      </c>
      <c r="H1407" t="str">
        <f t="shared" si="43"/>
        <v>Non-Current Assets (Acc Depreciation)</v>
      </c>
    </row>
    <row r="1408" spans="1:8" x14ac:dyDescent="0.25">
      <c r="A1408" t="s">
        <v>2161</v>
      </c>
      <c r="B1408" t="s">
        <v>1456</v>
      </c>
      <c r="C1408" s="67">
        <v>-3371</v>
      </c>
      <c r="D1408" s="67">
        <v>-3371</v>
      </c>
      <c r="E1408" s="67">
        <v>-3876.65</v>
      </c>
      <c r="F1408" s="67">
        <v>-4458.1475</v>
      </c>
      <c r="G1408" t="str">
        <f t="shared" si="42"/>
        <v>6006</v>
      </c>
      <c r="H1408" t="str">
        <f t="shared" si="43"/>
        <v>Non-Current Assets (Depreciation)</v>
      </c>
    </row>
    <row r="1409" spans="1:8" x14ac:dyDescent="0.25">
      <c r="A1409" t="s">
        <v>2162</v>
      </c>
      <c r="B1409" t="s">
        <v>2027</v>
      </c>
      <c r="C1409" s="67">
        <v>0</v>
      </c>
      <c r="D1409" s="67">
        <v>-19963684.909999996</v>
      </c>
      <c r="E1409" s="67">
        <v>-19963684.909999996</v>
      </c>
      <c r="F1409" s="67">
        <v>-19963684.909999996</v>
      </c>
      <c r="G1409" t="str">
        <f t="shared" si="42"/>
        <v>6006</v>
      </c>
      <c r="H1409" t="str">
        <f t="shared" si="43"/>
        <v>Non-Current Assets (Cost)</v>
      </c>
    </row>
    <row r="1410" spans="1:8" x14ac:dyDescent="0.25">
      <c r="A1410" t="s">
        <v>2163</v>
      </c>
      <c r="B1410" t="s">
        <v>1460</v>
      </c>
      <c r="C1410" s="67">
        <v>-307342</v>
      </c>
      <c r="D1410" s="67">
        <v>-307342</v>
      </c>
      <c r="E1410" s="67">
        <v>-338076.2</v>
      </c>
      <c r="F1410" s="67">
        <v>-371883.82</v>
      </c>
      <c r="G1410" t="str">
        <f t="shared" ref="G1410:G1473" si="44">VLOOKUP(A1410,s,2,FALSE)</f>
        <v>6006</v>
      </c>
      <c r="H1410" t="str">
        <f t="shared" ref="H1410:H1473" si="45">VLOOKUP(A1410,s,3,FALSE)</f>
        <v>Current Employee Benefits</v>
      </c>
    </row>
    <row r="1411" spans="1:8" x14ac:dyDescent="0.25">
      <c r="A1411" t="s">
        <v>2164</v>
      </c>
      <c r="B1411" t="s">
        <v>1462</v>
      </c>
      <c r="C1411" s="67">
        <v>-4743391</v>
      </c>
      <c r="D1411" s="67">
        <v>34900756.149999999</v>
      </c>
      <c r="E1411" s="67">
        <v>52883068.820000023</v>
      </c>
      <c r="F1411" s="67">
        <v>72564823.467874825</v>
      </c>
      <c r="G1411" t="str">
        <f t="shared" si="44"/>
        <v>6006</v>
      </c>
      <c r="H1411" t="str">
        <f t="shared" si="45"/>
        <v>Reserves</v>
      </c>
    </row>
    <row r="1412" spans="1:8" x14ac:dyDescent="0.25">
      <c r="A1412" t="s">
        <v>2165</v>
      </c>
      <c r="B1412" t="s">
        <v>1464</v>
      </c>
      <c r="C1412" s="67">
        <v>12101794</v>
      </c>
      <c r="D1412" s="67">
        <v>17982312.67000002</v>
      </c>
      <c r="E1412" s="67">
        <v>19681754.647874795</v>
      </c>
      <c r="F1412" s="67">
        <v>21543396.341498632</v>
      </c>
      <c r="G1412" t="str">
        <f t="shared" si="44"/>
        <v>6006</v>
      </c>
      <c r="H1412" t="str">
        <f t="shared" si="45"/>
        <v>Reserves</v>
      </c>
    </row>
    <row r="1413" spans="1:8" x14ac:dyDescent="0.25">
      <c r="A1413" t="s">
        <v>1218</v>
      </c>
      <c r="B1413" t="s">
        <v>33</v>
      </c>
      <c r="C1413" s="67">
        <v>-1757550</v>
      </c>
      <c r="D1413" s="67">
        <v>-1757550</v>
      </c>
      <c r="E1413" s="67">
        <v>-1848500</v>
      </c>
      <c r="F1413" s="67">
        <v>-1979400</v>
      </c>
      <c r="G1413" t="str">
        <f t="shared" si="44"/>
        <v>6007</v>
      </c>
      <c r="H1413" t="str">
        <f t="shared" si="45"/>
        <v>Government grants &amp; subsidies</v>
      </c>
    </row>
    <row r="1414" spans="1:8" x14ac:dyDescent="0.25">
      <c r="A1414" t="s">
        <v>1219</v>
      </c>
      <c r="B1414" t="s">
        <v>37</v>
      </c>
      <c r="C1414" s="67">
        <v>-33393460</v>
      </c>
      <c r="D1414" s="67">
        <v>-43119460</v>
      </c>
      <c r="E1414" s="67">
        <v>-35121500</v>
      </c>
      <c r="F1414" s="67">
        <v>-37608600</v>
      </c>
      <c r="G1414" t="str">
        <f t="shared" si="44"/>
        <v>6007</v>
      </c>
      <c r="H1414" t="str">
        <f t="shared" si="45"/>
        <v>Government grants &amp; subsidies</v>
      </c>
    </row>
    <row r="1415" spans="1:8" x14ac:dyDescent="0.25">
      <c r="A1415" t="s">
        <v>1220</v>
      </c>
      <c r="B1415" t="s">
        <v>150</v>
      </c>
      <c r="C1415" s="67">
        <v>1709823</v>
      </c>
      <c r="D1415" s="67">
        <v>1709823</v>
      </c>
      <c r="E1415" s="67">
        <v>1829510.1285000001</v>
      </c>
      <c r="F1415" s="67">
        <v>1957575.8374949999</v>
      </c>
      <c r="G1415" t="str">
        <f t="shared" si="44"/>
        <v>6007</v>
      </c>
      <c r="H1415" t="str">
        <f t="shared" si="45"/>
        <v>Employee related costs</v>
      </c>
    </row>
    <row r="1416" spans="1:8" x14ac:dyDescent="0.25">
      <c r="A1416" t="s">
        <v>1221</v>
      </c>
      <c r="B1416" t="s">
        <v>151</v>
      </c>
      <c r="C1416" s="67">
        <v>0</v>
      </c>
      <c r="D1416" s="67">
        <v>16934</v>
      </c>
      <c r="E1416" s="67">
        <v>8401.39</v>
      </c>
      <c r="F1416" s="67">
        <v>10833.849999999999</v>
      </c>
      <c r="G1416" t="str">
        <f t="shared" si="44"/>
        <v>6007</v>
      </c>
      <c r="H1416" t="str">
        <f t="shared" si="45"/>
        <v>Employee related costs</v>
      </c>
    </row>
    <row r="1417" spans="1:8" x14ac:dyDescent="0.25">
      <c r="A1417" t="s">
        <v>1222</v>
      </c>
      <c r="B1417" t="s">
        <v>170</v>
      </c>
      <c r="C1417" s="67">
        <v>0</v>
      </c>
      <c r="D1417" s="67">
        <v>1800</v>
      </c>
      <c r="E1417" s="67">
        <v>0</v>
      </c>
      <c r="F1417" s="67">
        <v>0</v>
      </c>
      <c r="G1417" t="str">
        <f t="shared" si="44"/>
        <v>6007</v>
      </c>
      <c r="H1417" t="str">
        <f t="shared" si="45"/>
        <v>Employee related costs</v>
      </c>
    </row>
    <row r="1418" spans="1:8" x14ac:dyDescent="0.25">
      <c r="A1418" t="s">
        <v>1223</v>
      </c>
      <c r="B1418" t="s">
        <v>222</v>
      </c>
      <c r="C1418" s="67">
        <v>47727</v>
      </c>
      <c r="D1418" s="67">
        <v>47727</v>
      </c>
      <c r="E1418" s="67">
        <v>50591.097000000002</v>
      </c>
      <c r="F1418" s="67">
        <v>54132.473789999902</v>
      </c>
      <c r="G1418" t="str">
        <f t="shared" si="44"/>
        <v>6007</v>
      </c>
      <c r="H1418" t="str">
        <f t="shared" si="45"/>
        <v>Contracted services</v>
      </c>
    </row>
    <row r="1419" spans="1:8" x14ac:dyDescent="0.25">
      <c r="A1419" t="s">
        <v>1224</v>
      </c>
      <c r="B1419" t="s">
        <v>223</v>
      </c>
      <c r="C1419" s="67">
        <v>1000000</v>
      </c>
      <c r="D1419" s="67">
        <v>752975</v>
      </c>
      <c r="E1419" s="67">
        <v>0</v>
      </c>
      <c r="F1419" s="67">
        <v>0</v>
      </c>
      <c r="G1419" t="str">
        <f t="shared" si="44"/>
        <v>6007</v>
      </c>
      <c r="H1419" t="str">
        <f t="shared" si="45"/>
        <v>Contracted services</v>
      </c>
    </row>
    <row r="1420" spans="1:8" x14ac:dyDescent="0.25">
      <c r="A1420" t="s">
        <v>1225</v>
      </c>
      <c r="B1420" t="s">
        <v>265</v>
      </c>
      <c r="C1420" s="67">
        <v>0</v>
      </c>
      <c r="D1420" s="67">
        <v>15000</v>
      </c>
      <c r="E1420" s="67">
        <v>0</v>
      </c>
      <c r="F1420" s="67">
        <v>0</v>
      </c>
      <c r="G1420" t="str">
        <f t="shared" si="44"/>
        <v>6007</v>
      </c>
      <c r="H1420" t="str">
        <f t="shared" si="45"/>
        <v>General expenses</v>
      </c>
    </row>
    <row r="1421" spans="1:8" x14ac:dyDescent="0.25">
      <c r="A1421" t="s">
        <v>1226</v>
      </c>
      <c r="B1421" t="s">
        <v>268</v>
      </c>
      <c r="C1421" s="67">
        <v>0</v>
      </c>
      <c r="D1421" s="67">
        <v>4000</v>
      </c>
      <c r="E1421" s="67">
        <v>0</v>
      </c>
      <c r="F1421" s="67">
        <v>0</v>
      </c>
      <c r="G1421" t="str">
        <f t="shared" si="44"/>
        <v>6007</v>
      </c>
      <c r="H1421" t="str">
        <f t="shared" si="45"/>
        <v>General expenses</v>
      </c>
    </row>
    <row r="1422" spans="1:8" x14ac:dyDescent="0.25">
      <c r="A1422" t="s">
        <v>1227</v>
      </c>
      <c r="B1422" t="s">
        <v>291</v>
      </c>
      <c r="C1422" s="67">
        <v>3371</v>
      </c>
      <c r="D1422" s="92">
        <v>3371</v>
      </c>
      <c r="E1422" s="67">
        <v>3876.65</v>
      </c>
      <c r="F1422" s="67">
        <v>4458.1475</v>
      </c>
      <c r="G1422" t="str">
        <f t="shared" si="44"/>
        <v>6007</v>
      </c>
      <c r="H1422" t="str">
        <f t="shared" si="45"/>
        <v>Depreciation and amortisation</v>
      </c>
    </row>
    <row r="1423" spans="1:8" x14ac:dyDescent="0.25">
      <c r="A1423" t="s">
        <v>1228</v>
      </c>
      <c r="B1423" t="s">
        <v>292</v>
      </c>
      <c r="C1423" s="67">
        <v>46972</v>
      </c>
      <c r="D1423" s="67">
        <v>46972</v>
      </c>
      <c r="E1423" s="67">
        <v>54017.8</v>
      </c>
      <c r="F1423" s="67">
        <v>62120.47</v>
      </c>
      <c r="G1423" t="str">
        <f t="shared" si="44"/>
        <v>6007</v>
      </c>
      <c r="H1423" t="str">
        <f t="shared" si="45"/>
        <v>Depreciation and amortisation</v>
      </c>
    </row>
    <row r="1424" spans="1:8" x14ac:dyDescent="0.25">
      <c r="A1424" t="s">
        <v>1229</v>
      </c>
      <c r="B1424" t="s">
        <v>293</v>
      </c>
      <c r="C1424" s="67">
        <v>15501</v>
      </c>
      <c r="D1424" s="67">
        <v>15501</v>
      </c>
      <c r="E1424" s="67">
        <v>17826.150000000001</v>
      </c>
      <c r="F1424" s="67">
        <v>20500.072500000002</v>
      </c>
      <c r="G1424" t="str">
        <f t="shared" si="44"/>
        <v>6007</v>
      </c>
      <c r="H1424" t="str">
        <f t="shared" si="45"/>
        <v>Depreciation and amortisation</v>
      </c>
    </row>
    <row r="1425" spans="1:8" x14ac:dyDescent="0.25">
      <c r="A1425" t="s">
        <v>2166</v>
      </c>
      <c r="B1425" t="s">
        <v>1404</v>
      </c>
      <c r="C1425" s="67">
        <v>32327616</v>
      </c>
      <c r="D1425" s="67">
        <v>42262907</v>
      </c>
      <c r="E1425" s="67">
        <v>35014178.174500003</v>
      </c>
      <c r="F1425" s="67">
        <v>37489212.998715006</v>
      </c>
      <c r="G1425" t="str">
        <f t="shared" si="44"/>
        <v>6007</v>
      </c>
      <c r="H1425" t="str">
        <f t="shared" si="45"/>
        <v>Accumulated surplus</v>
      </c>
    </row>
    <row r="1426" spans="1:8" x14ac:dyDescent="0.25">
      <c r="A1426" t="s">
        <v>2167</v>
      </c>
      <c r="B1426" t="s">
        <v>1406</v>
      </c>
      <c r="C1426" s="67">
        <v>69657</v>
      </c>
      <c r="D1426" s="67">
        <v>69657.77</v>
      </c>
      <c r="E1426" s="67">
        <v>69657.77</v>
      </c>
      <c r="F1426" s="67">
        <v>69657.77</v>
      </c>
      <c r="G1426" t="str">
        <f t="shared" si="44"/>
        <v>6007</v>
      </c>
      <c r="H1426" t="str">
        <f t="shared" si="45"/>
        <v>Non-Current Assets (Cost)</v>
      </c>
    </row>
    <row r="1427" spans="1:8" x14ac:dyDescent="0.25">
      <c r="A1427" t="s">
        <v>2168</v>
      </c>
      <c r="B1427" t="s">
        <v>1408</v>
      </c>
      <c r="C1427" s="67">
        <v>-52413</v>
      </c>
      <c r="D1427" s="67">
        <v>-49107.63</v>
      </c>
      <c r="E1427" s="67">
        <v>-52478.63</v>
      </c>
      <c r="F1427" s="67">
        <v>-56355.28</v>
      </c>
      <c r="G1427" t="str">
        <f t="shared" si="44"/>
        <v>6007</v>
      </c>
      <c r="H1427" t="str">
        <f t="shared" si="45"/>
        <v>Non-Current Assets (Acc Depreciation)</v>
      </c>
    </row>
    <row r="1428" spans="1:8" x14ac:dyDescent="0.25">
      <c r="A1428" t="s">
        <v>2169</v>
      </c>
      <c r="B1428" t="s">
        <v>1410</v>
      </c>
      <c r="C1428" s="67">
        <v>-3371</v>
      </c>
      <c r="D1428" s="67">
        <v>-3371</v>
      </c>
      <c r="E1428" s="67">
        <v>-3876.65</v>
      </c>
      <c r="F1428" s="67">
        <v>-4458.1475</v>
      </c>
      <c r="G1428" t="str">
        <f t="shared" si="44"/>
        <v>6007</v>
      </c>
      <c r="H1428" t="str">
        <f t="shared" si="45"/>
        <v>Non-Current Assets (Depreciation)</v>
      </c>
    </row>
    <row r="1429" spans="1:8" x14ac:dyDescent="0.25">
      <c r="A1429" t="s">
        <v>2170</v>
      </c>
      <c r="B1429" t="s">
        <v>1428</v>
      </c>
      <c r="C1429" s="67">
        <v>87036</v>
      </c>
      <c r="D1429" s="67">
        <v>87036.56</v>
      </c>
      <c r="E1429" s="67">
        <v>87036.56</v>
      </c>
      <c r="F1429" s="67">
        <v>87036.56</v>
      </c>
      <c r="G1429" t="str">
        <f t="shared" si="44"/>
        <v>6007</v>
      </c>
      <c r="H1429" t="str">
        <f t="shared" si="45"/>
        <v>Non-Current Assets (Cost)</v>
      </c>
    </row>
    <row r="1430" spans="1:8" x14ac:dyDescent="0.25">
      <c r="A1430" t="s">
        <v>2171</v>
      </c>
      <c r="B1430" t="s">
        <v>1430</v>
      </c>
      <c r="C1430" s="67">
        <v>-46633</v>
      </c>
      <c r="D1430" s="67">
        <v>-46280.76</v>
      </c>
      <c r="E1430" s="67">
        <v>-61781.760000000002</v>
      </c>
      <c r="F1430" s="67">
        <v>-79607.91</v>
      </c>
      <c r="G1430" t="str">
        <f t="shared" si="44"/>
        <v>6007</v>
      </c>
      <c r="H1430" t="str">
        <f t="shared" si="45"/>
        <v>Non-Current Assets (Acc Depreciation)</v>
      </c>
    </row>
    <row r="1431" spans="1:8" x14ac:dyDescent="0.25">
      <c r="A1431" t="s">
        <v>2172</v>
      </c>
      <c r="B1431" t="s">
        <v>1432</v>
      </c>
      <c r="C1431" s="67">
        <v>-15503</v>
      </c>
      <c r="D1431" s="67">
        <v>-15501</v>
      </c>
      <c r="E1431" s="67">
        <v>-17826.150000000001</v>
      </c>
      <c r="F1431" s="67">
        <v>-20500.072500000002</v>
      </c>
      <c r="G1431" t="str">
        <f t="shared" si="44"/>
        <v>6007</v>
      </c>
      <c r="H1431" t="str">
        <f t="shared" si="45"/>
        <v>Non-Current Assets (Depreciation)</v>
      </c>
    </row>
    <row r="1432" spans="1:8" x14ac:dyDescent="0.25">
      <c r="A1432" t="s">
        <v>2173</v>
      </c>
      <c r="B1432" t="s">
        <v>1434</v>
      </c>
      <c r="C1432" s="67">
        <v>125417</v>
      </c>
      <c r="D1432" s="67">
        <v>96145.06</v>
      </c>
      <c r="E1432" s="67">
        <v>96145.06</v>
      </c>
      <c r="F1432" s="67">
        <v>96145.06</v>
      </c>
      <c r="G1432" t="str">
        <f t="shared" si="44"/>
        <v>6007</v>
      </c>
      <c r="H1432" t="str">
        <f t="shared" si="45"/>
        <v>Non-Current Assets (Cost)</v>
      </c>
    </row>
    <row r="1433" spans="1:8" x14ac:dyDescent="0.25">
      <c r="A1433" t="s">
        <v>2174</v>
      </c>
      <c r="B1433" t="s">
        <v>1436</v>
      </c>
      <c r="C1433" s="67">
        <v>-68080</v>
      </c>
      <c r="D1433" s="67">
        <v>-69981.440000000002</v>
      </c>
      <c r="E1433" s="67">
        <v>-116953.44</v>
      </c>
      <c r="F1433" s="67">
        <v>-170971.24</v>
      </c>
      <c r="G1433" t="str">
        <f t="shared" si="44"/>
        <v>6007</v>
      </c>
      <c r="H1433" t="str">
        <f t="shared" si="45"/>
        <v>Non-Current Assets (Acc Depreciation)</v>
      </c>
    </row>
    <row r="1434" spans="1:8" x14ac:dyDescent="0.25">
      <c r="A1434" t="s">
        <v>2175</v>
      </c>
      <c r="B1434" t="s">
        <v>1438</v>
      </c>
      <c r="C1434" s="67">
        <v>-44314</v>
      </c>
      <c r="D1434" s="67">
        <v>-46972</v>
      </c>
      <c r="E1434" s="67">
        <v>-54017.8</v>
      </c>
      <c r="F1434" s="67">
        <v>-62120.47</v>
      </c>
      <c r="G1434" t="str">
        <f t="shared" si="44"/>
        <v>6007</v>
      </c>
      <c r="H1434" t="str">
        <f t="shared" si="45"/>
        <v>Non-Current Assets (Depreciation)</v>
      </c>
    </row>
    <row r="1435" spans="1:8" x14ac:dyDescent="0.25">
      <c r="A1435" t="s">
        <v>2176</v>
      </c>
      <c r="B1435" t="s">
        <v>1460</v>
      </c>
      <c r="C1435" s="67">
        <v>-38524</v>
      </c>
      <c r="D1435" s="67">
        <v>-38524</v>
      </c>
      <c r="E1435" s="67">
        <v>-42376.4</v>
      </c>
      <c r="F1435" s="67">
        <v>-46614.04</v>
      </c>
      <c r="G1435" t="str">
        <f t="shared" si="44"/>
        <v>6007</v>
      </c>
      <c r="H1435" t="str">
        <f t="shared" si="45"/>
        <v>Current Employee Benefits</v>
      </c>
    </row>
    <row r="1436" spans="1:8" x14ac:dyDescent="0.25">
      <c r="A1436" t="s">
        <v>2177</v>
      </c>
      <c r="B1436" t="s">
        <v>1462</v>
      </c>
      <c r="C1436" s="67">
        <v>-152874</v>
      </c>
      <c r="D1436" s="67">
        <v>-79514778.969999999</v>
      </c>
      <c r="E1436" s="67">
        <v>-121777685.97</v>
      </c>
      <c r="F1436" s="67">
        <v>-156791864.14450002</v>
      </c>
      <c r="G1436" t="str">
        <f t="shared" si="44"/>
        <v>6007</v>
      </c>
      <c r="H1436" t="str">
        <f t="shared" si="45"/>
        <v>Reserves</v>
      </c>
    </row>
    <row r="1437" spans="1:8" x14ac:dyDescent="0.25">
      <c r="A1437" t="s">
        <v>2178</v>
      </c>
      <c r="B1437" t="s">
        <v>1464</v>
      </c>
      <c r="C1437" s="67">
        <v>-32327616</v>
      </c>
      <c r="D1437" s="67">
        <v>-42262907</v>
      </c>
      <c r="E1437" s="67">
        <v>-35014178.174500003</v>
      </c>
      <c r="F1437" s="67">
        <v>-37489212.998715006</v>
      </c>
      <c r="G1437" t="str">
        <f t="shared" si="44"/>
        <v>6007</v>
      </c>
      <c r="H1437" t="str">
        <f t="shared" si="45"/>
        <v>Reserves</v>
      </c>
    </row>
    <row r="1438" spans="1:8" x14ac:dyDescent="0.25">
      <c r="A1438" t="s">
        <v>1231</v>
      </c>
      <c r="B1438" t="s">
        <v>23</v>
      </c>
      <c r="C1438" s="67">
        <v>-30535</v>
      </c>
      <c r="D1438" s="67">
        <v>0</v>
      </c>
      <c r="E1438" s="67">
        <v>-32184.201983999999</v>
      </c>
      <c r="F1438" s="67">
        <v>-33922.148891135999</v>
      </c>
      <c r="G1438" t="str">
        <f t="shared" si="44"/>
        <v>6008</v>
      </c>
      <c r="H1438" t="str">
        <f t="shared" si="45"/>
        <v>Fines</v>
      </c>
    </row>
    <row r="1439" spans="1:8" x14ac:dyDescent="0.25">
      <c r="A1439" t="s">
        <v>1232</v>
      </c>
      <c r="B1439" t="s">
        <v>43</v>
      </c>
      <c r="C1439" s="67">
        <v>-56291</v>
      </c>
      <c r="D1439" s="67">
        <v>-56291</v>
      </c>
      <c r="E1439" s="67">
        <v>-59668.778000000006</v>
      </c>
      <c r="F1439" s="67">
        <v>-60799.914500000006</v>
      </c>
      <c r="G1439" t="str">
        <f t="shared" si="44"/>
        <v>6008</v>
      </c>
      <c r="H1439" t="str">
        <f t="shared" si="45"/>
        <v>Other income</v>
      </c>
    </row>
    <row r="1440" spans="1:8" x14ac:dyDescent="0.25">
      <c r="A1440" t="s">
        <v>1233</v>
      </c>
      <c r="B1440" t="s">
        <v>44</v>
      </c>
      <c r="C1440" s="67">
        <v>-3611799</v>
      </c>
      <c r="D1440" s="67">
        <v>-3611799</v>
      </c>
      <c r="E1440" s="67">
        <v>-3828507.4487999999</v>
      </c>
      <c r="F1440" s="67">
        <v>-3901084.1742000002</v>
      </c>
      <c r="G1440" t="str">
        <f t="shared" si="44"/>
        <v>6008</v>
      </c>
      <c r="H1440" t="str">
        <f t="shared" si="45"/>
        <v>Service charges</v>
      </c>
    </row>
    <row r="1441" spans="1:8" x14ac:dyDescent="0.25">
      <c r="A1441" t="s">
        <v>1234</v>
      </c>
      <c r="B1441" t="s">
        <v>45</v>
      </c>
      <c r="C1441" s="67">
        <v>-4019609</v>
      </c>
      <c r="D1441" s="67">
        <v>-4019609</v>
      </c>
      <c r="E1441" s="67">
        <v>-4260785.5823999997</v>
      </c>
      <c r="F1441" s="67">
        <v>-4341556.9716000007</v>
      </c>
      <c r="G1441" t="str">
        <f t="shared" si="44"/>
        <v>6008</v>
      </c>
      <c r="H1441" t="str">
        <f t="shared" si="45"/>
        <v>Service charges</v>
      </c>
    </row>
    <row r="1442" spans="1:8" x14ac:dyDescent="0.25">
      <c r="A1442" t="s">
        <v>1235</v>
      </c>
      <c r="B1442" t="s">
        <v>46</v>
      </c>
      <c r="C1442" s="67">
        <v>-1374256</v>
      </c>
      <c r="D1442" s="67">
        <v>-1374256</v>
      </c>
      <c r="E1442" s="67">
        <v>-1456711.4448000002</v>
      </c>
      <c r="F1442" s="67">
        <v>-1484326.2132000001</v>
      </c>
      <c r="G1442" t="str">
        <f t="shared" si="44"/>
        <v>6008</v>
      </c>
      <c r="H1442" t="str">
        <f t="shared" si="45"/>
        <v>Service charges</v>
      </c>
    </row>
    <row r="1443" spans="1:8" x14ac:dyDescent="0.25">
      <c r="A1443" t="s">
        <v>1236</v>
      </c>
      <c r="B1443" t="s">
        <v>47</v>
      </c>
      <c r="C1443" s="67">
        <v>-145390</v>
      </c>
      <c r="D1443" s="67">
        <v>-145390</v>
      </c>
      <c r="E1443" s="67">
        <v>-154112.976</v>
      </c>
      <c r="F1443" s="67">
        <v>-157034.48400000003</v>
      </c>
      <c r="G1443" t="str">
        <f t="shared" si="44"/>
        <v>6008</v>
      </c>
      <c r="H1443" t="str">
        <f t="shared" si="45"/>
        <v>Service charges</v>
      </c>
    </row>
    <row r="1444" spans="1:8" x14ac:dyDescent="0.25">
      <c r="A1444" t="s">
        <v>1237</v>
      </c>
      <c r="B1444" t="s">
        <v>48</v>
      </c>
      <c r="C1444" s="67">
        <v>-17172</v>
      </c>
      <c r="D1444" s="67">
        <v>-17172</v>
      </c>
      <c r="E1444" s="67">
        <v>-18202.32</v>
      </c>
      <c r="F1444" s="67">
        <v>-18547.38</v>
      </c>
      <c r="G1444" t="str">
        <f t="shared" si="44"/>
        <v>6008</v>
      </c>
      <c r="H1444" t="str">
        <f t="shared" si="45"/>
        <v>Service charges</v>
      </c>
    </row>
    <row r="1445" spans="1:8" x14ac:dyDescent="0.25">
      <c r="A1445" t="s">
        <v>1238</v>
      </c>
      <c r="B1445" t="s">
        <v>57</v>
      </c>
      <c r="C1445" s="67">
        <v>-495509</v>
      </c>
      <c r="D1445" s="67">
        <v>-495509</v>
      </c>
      <c r="E1445" s="67">
        <v>-519309.90427600004</v>
      </c>
      <c r="F1445" s="67">
        <v>-525239.17959999992</v>
      </c>
      <c r="G1445" t="str">
        <f t="shared" si="44"/>
        <v>6008</v>
      </c>
      <c r="H1445" t="str">
        <f t="shared" si="45"/>
        <v>Interest received - debtors</v>
      </c>
    </row>
    <row r="1446" spans="1:8" x14ac:dyDescent="0.25">
      <c r="A1446" t="s">
        <v>1239</v>
      </c>
      <c r="B1446" t="s">
        <v>150</v>
      </c>
      <c r="C1446" s="67">
        <v>1827794</v>
      </c>
      <c r="D1446" s="67">
        <v>1827794</v>
      </c>
      <c r="E1446" s="67">
        <v>1955739.6741599999</v>
      </c>
      <c r="F1446" s="67">
        <v>2092641.4513512</v>
      </c>
      <c r="G1446" t="str">
        <f t="shared" si="44"/>
        <v>6008</v>
      </c>
      <c r="H1446" t="str">
        <f t="shared" si="45"/>
        <v>Employee related costs</v>
      </c>
    </row>
    <row r="1447" spans="1:8" x14ac:dyDescent="0.25">
      <c r="A1447" t="s">
        <v>1240</v>
      </c>
      <c r="B1447" t="s">
        <v>151</v>
      </c>
      <c r="C1447" s="67">
        <v>84982</v>
      </c>
      <c r="D1447" s="67">
        <v>33868.360000000015</v>
      </c>
      <c r="E1447" s="67">
        <v>25335.570000000014</v>
      </c>
      <c r="F1447" s="67">
        <v>27768.030000000013</v>
      </c>
      <c r="G1447" t="str">
        <f t="shared" si="44"/>
        <v>6008</v>
      </c>
      <c r="H1447" t="str">
        <f t="shared" si="45"/>
        <v>Employee related costs</v>
      </c>
    </row>
    <row r="1448" spans="1:8" x14ac:dyDescent="0.25">
      <c r="A1448" t="s">
        <v>1241</v>
      </c>
      <c r="B1448" t="s">
        <v>152</v>
      </c>
      <c r="C1448" s="67">
        <v>66300</v>
      </c>
      <c r="D1448" s="67">
        <v>66300</v>
      </c>
      <c r="E1448" s="67">
        <v>162978.30617999999</v>
      </c>
      <c r="F1448" s="67">
        <v>174386.78761259999</v>
      </c>
      <c r="G1448" t="str">
        <f t="shared" si="44"/>
        <v>6008</v>
      </c>
      <c r="H1448" t="str">
        <f t="shared" si="45"/>
        <v>Employee related costs</v>
      </c>
    </row>
    <row r="1449" spans="1:8" x14ac:dyDescent="0.25">
      <c r="A1449" t="s">
        <v>1242</v>
      </c>
      <c r="B1449" t="s">
        <v>153</v>
      </c>
      <c r="C1449" s="67">
        <v>10893</v>
      </c>
      <c r="D1449" s="67">
        <v>10893</v>
      </c>
      <c r="E1449" s="67">
        <v>70941</v>
      </c>
      <c r="F1449" s="67">
        <v>75906.87</v>
      </c>
      <c r="G1449" t="str">
        <f t="shared" si="44"/>
        <v>6008</v>
      </c>
      <c r="H1449" t="str">
        <f t="shared" si="45"/>
        <v>Employee related costs</v>
      </c>
    </row>
    <row r="1450" spans="1:8" x14ac:dyDescent="0.25">
      <c r="A1450" t="s">
        <v>1243</v>
      </c>
      <c r="B1450" t="s">
        <v>155</v>
      </c>
      <c r="C1450" s="67">
        <v>60349</v>
      </c>
      <c r="D1450" s="67">
        <v>60349</v>
      </c>
      <c r="E1450" s="67">
        <v>11655.766799999999</v>
      </c>
      <c r="F1450" s="67">
        <v>12471.670475999999</v>
      </c>
      <c r="G1450" t="str">
        <f t="shared" si="44"/>
        <v>6008</v>
      </c>
      <c r="H1450" t="str">
        <f t="shared" si="45"/>
        <v>Employee related costs</v>
      </c>
    </row>
    <row r="1451" spans="1:8" x14ac:dyDescent="0.25">
      <c r="A1451" t="s">
        <v>1244</v>
      </c>
      <c r="B1451" t="s">
        <v>156</v>
      </c>
      <c r="C1451" s="67">
        <v>138573</v>
      </c>
      <c r="D1451" s="67">
        <v>138573</v>
      </c>
      <c r="E1451" s="67">
        <v>64572.918459090419</v>
      </c>
      <c r="F1451" s="67">
        <v>69093.022751226745</v>
      </c>
      <c r="G1451" t="str">
        <f t="shared" si="44"/>
        <v>6008</v>
      </c>
      <c r="H1451" t="str">
        <f t="shared" si="45"/>
        <v>Employee related costs</v>
      </c>
    </row>
    <row r="1452" spans="1:8" x14ac:dyDescent="0.25">
      <c r="A1452" t="s">
        <v>1245</v>
      </c>
      <c r="B1452" t="s">
        <v>157</v>
      </c>
      <c r="C1452" s="67">
        <v>12290</v>
      </c>
      <c r="D1452" s="67">
        <v>23532</v>
      </c>
      <c r="E1452" s="67">
        <v>148273.10999999999</v>
      </c>
      <c r="F1452" s="67">
        <v>158652.22769999999</v>
      </c>
      <c r="G1452" t="str">
        <f t="shared" si="44"/>
        <v>6008</v>
      </c>
      <c r="H1452" t="str">
        <f t="shared" si="45"/>
        <v>Employee related costs</v>
      </c>
    </row>
    <row r="1453" spans="1:8" x14ac:dyDescent="0.25">
      <c r="A1453" t="s">
        <v>1246</v>
      </c>
      <c r="B1453" t="s">
        <v>158</v>
      </c>
      <c r="C1453" s="67">
        <v>11242</v>
      </c>
      <c r="D1453" s="67">
        <v>0</v>
      </c>
      <c r="E1453" s="67">
        <v>13150.727999999999</v>
      </c>
      <c r="F1453" s="67">
        <v>14071.27896</v>
      </c>
      <c r="G1453" t="str">
        <f t="shared" si="44"/>
        <v>6008</v>
      </c>
      <c r="H1453" t="str">
        <f t="shared" si="45"/>
        <v>Employee related costs</v>
      </c>
    </row>
    <row r="1454" spans="1:8" x14ac:dyDescent="0.25">
      <c r="A1454" t="s">
        <v>1247</v>
      </c>
      <c r="B1454" t="s">
        <v>159</v>
      </c>
      <c r="C1454" s="67">
        <v>152316</v>
      </c>
      <c r="D1454" s="67">
        <v>152316</v>
      </c>
      <c r="E1454" s="67">
        <v>12028.914046080001</v>
      </c>
      <c r="F1454" s="67">
        <v>12870.9380293056</v>
      </c>
      <c r="G1454" t="str">
        <f t="shared" si="44"/>
        <v>6008</v>
      </c>
      <c r="H1454" t="str">
        <f t="shared" si="45"/>
        <v>Employee related costs</v>
      </c>
    </row>
    <row r="1455" spans="1:8" x14ac:dyDescent="0.25">
      <c r="A1455" t="s">
        <v>1248</v>
      </c>
      <c r="B1455" t="s">
        <v>162</v>
      </c>
      <c r="C1455" s="67">
        <v>221161</v>
      </c>
      <c r="D1455" s="67">
        <v>221161</v>
      </c>
      <c r="E1455" s="67">
        <v>236642.74182720005</v>
      </c>
      <c r="F1455" s="67">
        <v>253207.73375510407</v>
      </c>
      <c r="G1455" t="str">
        <f t="shared" si="44"/>
        <v>6008</v>
      </c>
      <c r="H1455" t="str">
        <f t="shared" si="45"/>
        <v>Employee related costs</v>
      </c>
    </row>
    <row r="1456" spans="1:8" x14ac:dyDescent="0.25">
      <c r="A1456" t="s">
        <v>1249</v>
      </c>
      <c r="B1456" t="s">
        <v>164</v>
      </c>
      <c r="C1456" s="67">
        <v>15692</v>
      </c>
      <c r="D1456" s="67">
        <v>15692</v>
      </c>
      <c r="E1456" s="67">
        <v>16790.867999999999</v>
      </c>
      <c r="F1456" s="67">
        <v>17966.228759999998</v>
      </c>
      <c r="G1456" t="str">
        <f t="shared" si="44"/>
        <v>6008</v>
      </c>
      <c r="H1456" t="str">
        <f t="shared" si="45"/>
        <v>Employee related costs</v>
      </c>
    </row>
    <row r="1457" spans="1:8" x14ac:dyDescent="0.25">
      <c r="A1457" t="s">
        <v>1250</v>
      </c>
      <c r="B1457" t="s">
        <v>167</v>
      </c>
      <c r="C1457" s="67">
        <v>562</v>
      </c>
      <c r="D1457" s="67">
        <v>562</v>
      </c>
      <c r="E1457" s="67">
        <v>601.07249999999999</v>
      </c>
      <c r="F1457" s="67">
        <v>643.14757499999996</v>
      </c>
      <c r="G1457" t="str">
        <f t="shared" si="44"/>
        <v>6008</v>
      </c>
      <c r="H1457" t="str">
        <f t="shared" si="45"/>
        <v>Employee related costs</v>
      </c>
    </row>
    <row r="1458" spans="1:8" x14ac:dyDescent="0.25">
      <c r="A1458" t="s">
        <v>1251</v>
      </c>
      <c r="B1458" t="s">
        <v>168</v>
      </c>
      <c r="C1458" s="67">
        <v>134382</v>
      </c>
      <c r="D1458" s="67">
        <v>134382</v>
      </c>
      <c r="E1458" s="67">
        <v>143788.48320000002</v>
      </c>
      <c r="F1458" s="67">
        <v>153853.67702400003</v>
      </c>
      <c r="G1458" t="str">
        <f t="shared" si="44"/>
        <v>6008</v>
      </c>
      <c r="H1458" t="str">
        <f t="shared" si="45"/>
        <v>Employee related costs</v>
      </c>
    </row>
    <row r="1459" spans="1:8" x14ac:dyDescent="0.25">
      <c r="A1459" t="s">
        <v>1252</v>
      </c>
      <c r="B1459" t="s">
        <v>169</v>
      </c>
      <c r="C1459" s="67">
        <v>402115</v>
      </c>
      <c r="D1459" s="67">
        <v>402115</v>
      </c>
      <c r="E1459" s="67">
        <v>430262.72831520002</v>
      </c>
      <c r="F1459" s="67">
        <v>460381.11929726403</v>
      </c>
      <c r="G1459" t="str">
        <f t="shared" si="44"/>
        <v>6008</v>
      </c>
      <c r="H1459" t="str">
        <f t="shared" si="45"/>
        <v>Employee related costs</v>
      </c>
    </row>
    <row r="1460" spans="1:8" x14ac:dyDescent="0.25">
      <c r="A1460" t="s">
        <v>1253</v>
      </c>
      <c r="B1460" t="s">
        <v>170</v>
      </c>
      <c r="C1460" s="67">
        <v>8925</v>
      </c>
      <c r="D1460" s="67">
        <v>8925</v>
      </c>
      <c r="E1460" s="67">
        <v>9549.75</v>
      </c>
      <c r="F1460" s="67">
        <v>10218.2325</v>
      </c>
      <c r="G1460" t="str">
        <f t="shared" si="44"/>
        <v>6008</v>
      </c>
      <c r="H1460" t="str">
        <f t="shared" si="45"/>
        <v>Employee related costs</v>
      </c>
    </row>
    <row r="1461" spans="1:8" x14ac:dyDescent="0.25">
      <c r="A1461" t="s">
        <v>1254</v>
      </c>
      <c r="B1461" t="s">
        <v>173</v>
      </c>
      <c r="C1461" s="67">
        <v>17907</v>
      </c>
      <c r="D1461" s="67">
        <v>17907</v>
      </c>
      <c r="E1461" s="67">
        <v>18980.974800000004</v>
      </c>
      <c r="F1461" s="67">
        <v>20309.643036000005</v>
      </c>
      <c r="G1461" t="str">
        <f t="shared" si="44"/>
        <v>6008</v>
      </c>
      <c r="H1461" t="str">
        <f t="shared" si="45"/>
        <v>Employee related costs</v>
      </c>
    </row>
    <row r="1462" spans="1:8" x14ac:dyDescent="0.25">
      <c r="A1462" t="s">
        <v>1255</v>
      </c>
      <c r="B1462" t="s">
        <v>174</v>
      </c>
      <c r="C1462" s="67">
        <v>14818</v>
      </c>
      <c r="D1462" s="67">
        <v>14818</v>
      </c>
      <c r="E1462" s="67">
        <v>15706.804399999999</v>
      </c>
      <c r="F1462" s="67">
        <v>16806.280707999998</v>
      </c>
      <c r="G1462" t="str">
        <f t="shared" si="44"/>
        <v>6008</v>
      </c>
      <c r="H1462" t="str">
        <f t="shared" si="45"/>
        <v>Employee related costs</v>
      </c>
    </row>
    <row r="1463" spans="1:8" x14ac:dyDescent="0.25">
      <c r="A1463" t="s">
        <v>1256</v>
      </c>
      <c r="B1463" t="s">
        <v>175</v>
      </c>
      <c r="C1463" s="67">
        <v>31326</v>
      </c>
      <c r="D1463" s="67">
        <v>31326</v>
      </c>
      <c r="E1463" s="67">
        <v>33205.750800000002</v>
      </c>
      <c r="F1463" s="67">
        <v>35530.153356000003</v>
      </c>
      <c r="G1463" t="str">
        <f t="shared" si="44"/>
        <v>6008</v>
      </c>
      <c r="H1463" t="str">
        <f t="shared" si="45"/>
        <v>Employee related costs</v>
      </c>
    </row>
    <row r="1464" spans="1:8" x14ac:dyDescent="0.25">
      <c r="A1464" t="s">
        <v>1257</v>
      </c>
      <c r="B1464" t="s">
        <v>215</v>
      </c>
      <c r="C1464" s="67">
        <v>46033</v>
      </c>
      <c r="D1464" s="67">
        <v>0</v>
      </c>
      <c r="E1464" s="67">
        <v>48794.5772</v>
      </c>
      <c r="F1464" s="67">
        <v>51429.484368799996</v>
      </c>
      <c r="G1464" t="str">
        <f t="shared" si="44"/>
        <v>6008</v>
      </c>
      <c r="H1464" t="str">
        <f t="shared" si="45"/>
        <v>Contracted services</v>
      </c>
    </row>
    <row r="1465" spans="1:8" x14ac:dyDescent="0.25">
      <c r="A1465" t="s">
        <v>1258</v>
      </c>
      <c r="B1465" t="s">
        <v>236</v>
      </c>
      <c r="C1465" s="67">
        <v>636000</v>
      </c>
      <c r="D1465" s="67">
        <v>636000</v>
      </c>
      <c r="E1465" s="67">
        <v>674160</v>
      </c>
      <c r="F1465" s="67">
        <v>675408.4444444445</v>
      </c>
      <c r="G1465" t="str">
        <f t="shared" si="44"/>
        <v>6008</v>
      </c>
      <c r="H1465" t="str">
        <f t="shared" si="45"/>
        <v>Contracted services</v>
      </c>
    </row>
    <row r="1466" spans="1:8" x14ac:dyDescent="0.25">
      <c r="A1466" t="s">
        <v>1259</v>
      </c>
      <c r="B1466" t="s">
        <v>265</v>
      </c>
      <c r="C1466" s="67">
        <v>33129</v>
      </c>
      <c r="D1466" s="67">
        <v>33129</v>
      </c>
      <c r="E1466" s="67">
        <v>35116.994399999996</v>
      </c>
      <c r="F1466" s="67">
        <v>35182.025871111109</v>
      </c>
      <c r="G1466" t="str">
        <f t="shared" si="44"/>
        <v>6008</v>
      </c>
      <c r="H1466" t="str">
        <f t="shared" si="45"/>
        <v>General expenses</v>
      </c>
    </row>
    <row r="1467" spans="1:8" x14ac:dyDescent="0.25">
      <c r="A1467" t="s">
        <v>1260</v>
      </c>
      <c r="B1467" t="s">
        <v>268</v>
      </c>
      <c r="C1467" s="67">
        <v>76213</v>
      </c>
      <c r="D1467" s="67">
        <v>76213</v>
      </c>
      <c r="E1467" s="67">
        <v>80785.716400000005</v>
      </c>
      <c r="F1467" s="67">
        <v>80935.319578518523</v>
      </c>
      <c r="G1467" t="str">
        <f t="shared" si="44"/>
        <v>6008</v>
      </c>
      <c r="H1467" t="str">
        <f t="shared" si="45"/>
        <v>General expenses</v>
      </c>
    </row>
    <row r="1468" spans="1:8" x14ac:dyDescent="0.25">
      <c r="A1468" t="s">
        <v>1261</v>
      </c>
      <c r="B1468" t="s">
        <v>273</v>
      </c>
      <c r="C1468" s="67">
        <v>4355626</v>
      </c>
      <c r="D1468" s="67">
        <v>4700165</v>
      </c>
      <c r="E1468" s="67">
        <v>6368463.4116000002</v>
      </c>
      <c r="F1468" s="67">
        <v>5978521.3438437041</v>
      </c>
      <c r="G1468" t="str">
        <f t="shared" si="44"/>
        <v>6008</v>
      </c>
      <c r="H1468" t="str">
        <f t="shared" si="45"/>
        <v>General expenses</v>
      </c>
    </row>
    <row r="1469" spans="1:8" x14ac:dyDescent="0.25">
      <c r="A1469" t="s">
        <v>1262</v>
      </c>
      <c r="B1469" t="s">
        <v>281</v>
      </c>
      <c r="C1469" s="67">
        <v>8268000</v>
      </c>
      <c r="D1469" s="67">
        <v>8268000</v>
      </c>
      <c r="E1469" s="67">
        <v>8764080</v>
      </c>
      <c r="F1469" s="67">
        <v>8780309.777777778</v>
      </c>
      <c r="G1469" t="str">
        <f t="shared" si="44"/>
        <v>6008</v>
      </c>
      <c r="H1469" t="str">
        <f t="shared" si="45"/>
        <v>Bulk purchases</v>
      </c>
    </row>
    <row r="1470" spans="1:8" x14ac:dyDescent="0.25">
      <c r="A1470" t="s">
        <v>1263</v>
      </c>
      <c r="B1470" t="s">
        <v>292</v>
      </c>
      <c r="C1470" s="67">
        <v>3371</v>
      </c>
      <c r="D1470" s="92">
        <v>3371</v>
      </c>
      <c r="E1470" s="67">
        <v>3876.65</v>
      </c>
      <c r="F1470" s="67">
        <v>4458.1475</v>
      </c>
      <c r="G1470" t="str">
        <f t="shared" si="44"/>
        <v>6008</v>
      </c>
      <c r="H1470" t="str">
        <f t="shared" si="45"/>
        <v>Depreciation and amortisation</v>
      </c>
    </row>
    <row r="1471" spans="1:8" x14ac:dyDescent="0.25">
      <c r="A1471" t="s">
        <v>1264</v>
      </c>
      <c r="B1471" t="s">
        <v>293</v>
      </c>
      <c r="C1471" s="67">
        <v>5077</v>
      </c>
      <c r="D1471" s="92">
        <v>5077</v>
      </c>
      <c r="E1471" s="67">
        <v>5838.55</v>
      </c>
      <c r="F1471" s="67">
        <v>6714.3325000000004</v>
      </c>
      <c r="G1471" t="str">
        <f t="shared" si="44"/>
        <v>6008</v>
      </c>
      <c r="H1471" t="str">
        <f t="shared" si="45"/>
        <v>Depreciation and amortisation</v>
      </c>
    </row>
    <row r="1472" spans="1:8" x14ac:dyDescent="0.25">
      <c r="A1472" t="s">
        <v>1265</v>
      </c>
      <c r="B1472" t="s">
        <v>294</v>
      </c>
      <c r="C1472" s="67">
        <v>526309</v>
      </c>
      <c r="D1472" s="67">
        <v>526309</v>
      </c>
      <c r="E1472" s="67">
        <v>605255.35</v>
      </c>
      <c r="F1472" s="67">
        <v>696043.65249999997</v>
      </c>
      <c r="G1472" t="str">
        <f t="shared" si="44"/>
        <v>6008</v>
      </c>
      <c r="H1472" t="str">
        <f t="shared" si="45"/>
        <v>Depreciation and amortisation</v>
      </c>
    </row>
    <row r="1473" spans="1:8" x14ac:dyDescent="0.25">
      <c r="A1473" t="s">
        <v>1266</v>
      </c>
      <c r="B1473" t="s">
        <v>296</v>
      </c>
      <c r="C1473" s="67">
        <v>25648</v>
      </c>
      <c r="D1473" s="67">
        <v>25648</v>
      </c>
      <c r="E1473" s="67">
        <v>29495.200000000001</v>
      </c>
      <c r="F1473" s="67">
        <v>33919.480000000003</v>
      </c>
      <c r="G1473" t="str">
        <f t="shared" si="44"/>
        <v>6008</v>
      </c>
      <c r="H1473" t="str">
        <f t="shared" si="45"/>
        <v>Depreciation and amortisation</v>
      </c>
    </row>
    <row r="1474" spans="1:8" x14ac:dyDescent="0.25">
      <c r="A1474" t="s">
        <v>1267</v>
      </c>
      <c r="B1474" t="s">
        <v>297</v>
      </c>
      <c r="C1474" s="67">
        <v>116115</v>
      </c>
      <c r="D1474" s="67">
        <v>116115</v>
      </c>
      <c r="E1474" s="67">
        <v>133532.25</v>
      </c>
      <c r="F1474" s="67">
        <v>153562.08749999999</v>
      </c>
      <c r="G1474" t="str">
        <f t="shared" ref="G1474:G1537" si="46">VLOOKUP(A1474,s,2,FALSE)</f>
        <v>6008</v>
      </c>
      <c r="H1474" t="str">
        <f t="shared" ref="H1474:H1537" si="47">VLOOKUP(A1474,s,3,FALSE)</f>
        <v>Depreciation and amortisation</v>
      </c>
    </row>
    <row r="1475" spans="1:8" x14ac:dyDescent="0.25">
      <c r="A1475" t="s">
        <v>2179</v>
      </c>
      <c r="B1475" t="s">
        <v>2180</v>
      </c>
      <c r="C1475" s="67">
        <v>0</v>
      </c>
      <c r="D1475" s="67">
        <v>0</v>
      </c>
      <c r="E1475" s="67">
        <v>0</v>
      </c>
      <c r="F1475" s="67">
        <v>0</v>
      </c>
      <c r="G1475" t="str">
        <f t="shared" si="46"/>
        <v>6008</v>
      </c>
      <c r="H1475" t="str">
        <f t="shared" si="47"/>
        <v>General expenses</v>
      </c>
    </row>
    <row r="1476" spans="1:8" x14ac:dyDescent="0.25">
      <c r="A1476" t="s">
        <v>2181</v>
      </c>
      <c r="B1476" t="s">
        <v>1404</v>
      </c>
      <c r="C1476" s="67">
        <v>-7552587</v>
      </c>
      <c r="D1476" s="67">
        <v>-7881628</v>
      </c>
      <c r="E1476" s="67">
        <v>-9855715.8633675687</v>
      </c>
      <c r="F1476" s="67">
        <v>-9650279.4373227227</v>
      </c>
      <c r="G1476" t="str">
        <f t="shared" si="46"/>
        <v>6008</v>
      </c>
      <c r="H1476" t="str">
        <f t="shared" si="47"/>
        <v>Accumulated surplus</v>
      </c>
    </row>
    <row r="1477" spans="1:8" x14ac:dyDescent="0.25">
      <c r="A1477" t="s">
        <v>2182</v>
      </c>
      <c r="B1477" t="s">
        <v>2183</v>
      </c>
      <c r="C1477" s="67">
        <v>6715632</v>
      </c>
      <c r="D1477" s="67">
        <v>3124353.62</v>
      </c>
      <c r="E1477" s="67">
        <v>3019993.7400000007</v>
      </c>
      <c r="F1477" s="67">
        <v>3060415.8660000013</v>
      </c>
      <c r="G1477" t="str">
        <f t="shared" si="46"/>
        <v>6008</v>
      </c>
      <c r="H1477" t="str">
        <f t="shared" si="47"/>
        <v>Receivables from exchange transactions</v>
      </c>
    </row>
    <row r="1478" spans="1:8" x14ac:dyDescent="0.25">
      <c r="A1478" t="s">
        <v>2184</v>
      </c>
      <c r="B1478" t="s">
        <v>2185</v>
      </c>
      <c r="C1478" s="67">
        <v>3753758</v>
      </c>
      <c r="D1478" s="67">
        <v>1715110.74</v>
      </c>
      <c r="E1478" s="67">
        <v>1950866.277</v>
      </c>
      <c r="F1478" s="67">
        <v>2148409.5908500003</v>
      </c>
      <c r="G1478" t="str">
        <f t="shared" si="46"/>
        <v>6008</v>
      </c>
      <c r="H1478" t="str">
        <f t="shared" si="47"/>
        <v>Receivables from exchange transactions</v>
      </c>
    </row>
    <row r="1479" spans="1:8" x14ac:dyDescent="0.25">
      <c r="A1479" t="s">
        <v>2186</v>
      </c>
      <c r="B1479" t="s">
        <v>2187</v>
      </c>
      <c r="C1479" s="67">
        <v>-1814689</v>
      </c>
      <c r="D1479" s="67">
        <v>-2032131.6399999997</v>
      </c>
      <c r="E1479" s="67">
        <v>-2133738.2219999996</v>
      </c>
      <c r="F1479" s="67">
        <v>-2240425.1330999997</v>
      </c>
      <c r="G1479" t="str">
        <f t="shared" si="46"/>
        <v>6008</v>
      </c>
      <c r="H1479" t="str">
        <f t="shared" si="47"/>
        <v>Receivables from exchange transactions</v>
      </c>
    </row>
    <row r="1480" spans="1:8" x14ac:dyDescent="0.25">
      <c r="A1480" t="s">
        <v>2188</v>
      </c>
      <c r="B1480" t="s">
        <v>2189</v>
      </c>
      <c r="C1480" s="67">
        <v>0</v>
      </c>
      <c r="D1480" s="67">
        <v>212661.01999999996</v>
      </c>
      <c r="E1480" s="67">
        <v>223294.07099999997</v>
      </c>
      <c r="F1480" s="67">
        <v>234458.77454999997</v>
      </c>
      <c r="G1480" t="str">
        <f t="shared" si="46"/>
        <v>6008</v>
      </c>
      <c r="H1480" t="str">
        <f t="shared" si="47"/>
        <v>Receivables from exchange transactions</v>
      </c>
    </row>
    <row r="1481" spans="1:8" x14ac:dyDescent="0.25">
      <c r="A1481" t="s">
        <v>2190</v>
      </c>
      <c r="B1481" t="s">
        <v>2191</v>
      </c>
      <c r="C1481" s="67">
        <v>-5400943</v>
      </c>
      <c r="D1481" s="67">
        <v>-2966011.29</v>
      </c>
      <c r="E1481" s="67">
        <v>-2966011.29</v>
      </c>
      <c r="F1481" s="67">
        <v>-2966011.29</v>
      </c>
      <c r="G1481" t="str">
        <f t="shared" si="46"/>
        <v>6008</v>
      </c>
      <c r="H1481" t="str">
        <f t="shared" si="47"/>
        <v>Receivables from exchange transactions</v>
      </c>
    </row>
    <row r="1482" spans="1:8" x14ac:dyDescent="0.25">
      <c r="A1482" t="s">
        <v>2192</v>
      </c>
      <c r="B1482" t="s">
        <v>2193</v>
      </c>
      <c r="C1482" s="67">
        <v>-925325</v>
      </c>
      <c r="D1482" s="67">
        <v>-925325</v>
      </c>
      <c r="E1482" s="67">
        <v>0</v>
      </c>
      <c r="F1482" s="67">
        <v>0</v>
      </c>
      <c r="G1482" t="str">
        <f t="shared" si="46"/>
        <v>6008</v>
      </c>
      <c r="H1482" t="str">
        <f t="shared" si="47"/>
        <v>Receivables from exchange transactions</v>
      </c>
    </row>
    <row r="1483" spans="1:8" x14ac:dyDescent="0.25">
      <c r="A1483" t="s">
        <v>2194</v>
      </c>
      <c r="B1483" t="s">
        <v>2195</v>
      </c>
      <c r="C1483" s="67">
        <v>0</v>
      </c>
      <c r="D1483" s="67">
        <v>276242.19999999995</v>
      </c>
      <c r="E1483" s="67">
        <v>24227.01999999996</v>
      </c>
      <c r="F1483" s="67">
        <v>8958.0199999999604</v>
      </c>
      <c r="G1483" t="str">
        <f t="shared" si="46"/>
        <v>6008</v>
      </c>
      <c r="H1483" t="str">
        <f t="shared" si="47"/>
        <v>Receivables from exchange transactions</v>
      </c>
    </row>
    <row r="1484" spans="1:8" x14ac:dyDescent="0.25">
      <c r="A1484" t="s">
        <v>2196</v>
      </c>
      <c r="B1484" t="s">
        <v>2197</v>
      </c>
      <c r="C1484" s="67">
        <v>0</v>
      </c>
      <c r="D1484" s="67">
        <v>-252015.18</v>
      </c>
      <c r="E1484" s="67">
        <v>-15269</v>
      </c>
      <c r="F1484" s="67">
        <v>-3562</v>
      </c>
      <c r="G1484" t="str">
        <f t="shared" si="46"/>
        <v>6008</v>
      </c>
      <c r="H1484" t="str">
        <f t="shared" si="47"/>
        <v>Receivables from exchange transactions</v>
      </c>
    </row>
    <row r="1485" spans="1:8" x14ac:dyDescent="0.25">
      <c r="A1485" t="s">
        <v>2198</v>
      </c>
      <c r="B1485" t="s">
        <v>1412</v>
      </c>
      <c r="C1485" s="67">
        <v>2218650</v>
      </c>
      <c r="D1485" s="67">
        <v>2087206.97</v>
      </c>
      <c r="E1485" s="67">
        <v>2087206.97</v>
      </c>
      <c r="F1485" s="67">
        <v>2087206.97</v>
      </c>
      <c r="G1485" t="str">
        <f t="shared" si="46"/>
        <v>6008</v>
      </c>
      <c r="H1485" t="str">
        <f t="shared" si="47"/>
        <v>Non-Current Assets (Cost)</v>
      </c>
    </row>
    <row r="1486" spans="1:8" x14ac:dyDescent="0.25">
      <c r="A1486" t="s">
        <v>2199</v>
      </c>
      <c r="B1486" t="s">
        <v>1414</v>
      </c>
      <c r="C1486" s="67">
        <v>-517335</v>
      </c>
      <c r="D1486" s="67">
        <v>-542324.14</v>
      </c>
      <c r="E1486" s="67">
        <v>-658439.14</v>
      </c>
      <c r="F1486" s="67">
        <v>-791971.39</v>
      </c>
      <c r="G1486" t="str">
        <f t="shared" si="46"/>
        <v>6008</v>
      </c>
      <c r="H1486" t="str">
        <f t="shared" si="47"/>
        <v>Non-Current Assets (Acc Depreciation)</v>
      </c>
    </row>
    <row r="1487" spans="1:8" x14ac:dyDescent="0.25">
      <c r="A1487" t="s">
        <v>2200</v>
      </c>
      <c r="B1487" t="s">
        <v>1416</v>
      </c>
      <c r="C1487" s="67">
        <v>0</v>
      </c>
      <c r="D1487" s="67">
        <v>0</v>
      </c>
      <c r="E1487" s="67">
        <v>0</v>
      </c>
      <c r="F1487" s="67">
        <v>0</v>
      </c>
      <c r="G1487" t="str">
        <f t="shared" si="46"/>
        <v>6008</v>
      </c>
      <c r="H1487" t="str">
        <f t="shared" si="47"/>
        <v>Non-Current Assets (Acc Depreciation)</v>
      </c>
    </row>
    <row r="1488" spans="1:8" x14ac:dyDescent="0.25">
      <c r="A1488" t="s">
        <v>2201</v>
      </c>
      <c r="B1488" t="s">
        <v>1495</v>
      </c>
      <c r="C1488" s="67">
        <v>17741</v>
      </c>
      <c r="D1488" s="67">
        <v>-116115</v>
      </c>
      <c r="E1488" s="67">
        <v>-133532.25</v>
      </c>
      <c r="F1488" s="67">
        <v>-153562.08749999999</v>
      </c>
      <c r="G1488" t="str">
        <f t="shared" si="46"/>
        <v>6008</v>
      </c>
      <c r="H1488" t="str">
        <f t="shared" si="47"/>
        <v>Non-Current Assets (Depreciation)</v>
      </c>
    </row>
    <row r="1489" spans="1:8" x14ac:dyDescent="0.25">
      <c r="A1489" t="s">
        <v>2202</v>
      </c>
      <c r="B1489" t="s">
        <v>2203</v>
      </c>
      <c r="C1489" s="67">
        <v>5135252</v>
      </c>
      <c r="D1489" s="67">
        <v>282388.91999999993</v>
      </c>
      <c r="E1489" s="67">
        <v>1494726.42</v>
      </c>
      <c r="F1489" s="67">
        <v>3994726.42</v>
      </c>
      <c r="G1489" t="str">
        <f t="shared" si="46"/>
        <v>6008</v>
      </c>
      <c r="H1489" t="str">
        <f t="shared" si="47"/>
        <v>Non-Current Assets (Cost)</v>
      </c>
    </row>
    <row r="1490" spans="1:8" x14ac:dyDescent="0.25">
      <c r="A1490" t="s">
        <v>1268</v>
      </c>
      <c r="B1490" t="s">
        <v>1269</v>
      </c>
      <c r="C1490" s="67">
        <v>2000000</v>
      </c>
      <c r="D1490" s="67">
        <v>1212337.5</v>
      </c>
      <c r="E1490" s="67">
        <v>2500000</v>
      </c>
      <c r="F1490" s="67">
        <v>0</v>
      </c>
      <c r="G1490" t="str">
        <f t="shared" si="46"/>
        <v>6008</v>
      </c>
      <c r="H1490" t="str">
        <f t="shared" si="47"/>
        <v>Non-Current Assets (Acquisitions)</v>
      </c>
    </row>
    <row r="1491" spans="1:8" x14ac:dyDescent="0.25">
      <c r="A1491" t="s">
        <v>2204</v>
      </c>
      <c r="B1491" t="s">
        <v>2205</v>
      </c>
      <c r="C1491" s="67">
        <v>0</v>
      </c>
      <c r="D1491" s="67">
        <v>-82120.88</v>
      </c>
      <c r="E1491" s="67">
        <v>-82120.88</v>
      </c>
      <c r="F1491" s="67">
        <v>-82120.88</v>
      </c>
      <c r="G1491" t="str">
        <f t="shared" si="46"/>
        <v>6008</v>
      </c>
      <c r="H1491" t="str">
        <f t="shared" si="47"/>
        <v>Non-Current Assets (Acc Depreciation)</v>
      </c>
    </row>
    <row r="1492" spans="1:8" x14ac:dyDescent="0.25">
      <c r="A1492" t="s">
        <v>2206</v>
      </c>
      <c r="B1492" t="s">
        <v>2207</v>
      </c>
      <c r="C1492" s="67">
        <v>15911637</v>
      </c>
      <c r="D1492" s="67">
        <v>15944741.16</v>
      </c>
      <c r="E1492" s="67">
        <v>18944741.16</v>
      </c>
      <c r="F1492" s="67">
        <v>19944741.16</v>
      </c>
      <c r="G1492" t="str">
        <f t="shared" si="46"/>
        <v>6008</v>
      </c>
      <c r="H1492" t="str">
        <f t="shared" si="47"/>
        <v>Non-Current Assets (Cost)</v>
      </c>
    </row>
    <row r="1493" spans="1:8" x14ac:dyDescent="0.25">
      <c r="A1493" t="s">
        <v>1270</v>
      </c>
      <c r="B1493" t="s">
        <v>1271</v>
      </c>
      <c r="C1493" s="67">
        <v>3000000</v>
      </c>
      <c r="D1493" s="67">
        <v>3000000</v>
      </c>
      <c r="E1493" s="67">
        <v>1000000</v>
      </c>
      <c r="F1493" s="67">
        <v>0</v>
      </c>
      <c r="G1493" t="str">
        <f t="shared" si="46"/>
        <v>6008</v>
      </c>
      <c r="H1493" t="str">
        <f t="shared" si="47"/>
        <v>Non-Current Assets (Acquisitions)</v>
      </c>
    </row>
    <row r="1494" spans="1:8" x14ac:dyDescent="0.25">
      <c r="A1494" t="s">
        <v>2208</v>
      </c>
      <c r="B1494" t="s">
        <v>2144</v>
      </c>
      <c r="C1494" s="67">
        <v>-3713314</v>
      </c>
      <c r="D1494" s="67">
        <v>-3619960.6000000006</v>
      </c>
      <c r="E1494" s="67">
        <v>-4146269.6000000006</v>
      </c>
      <c r="F1494" s="67">
        <v>-4751524.95</v>
      </c>
      <c r="G1494" t="str">
        <f t="shared" si="46"/>
        <v>6008</v>
      </c>
      <c r="H1494" t="str">
        <f t="shared" si="47"/>
        <v>Non-Current Assets (Acc Depreciation)</v>
      </c>
    </row>
    <row r="1495" spans="1:8" x14ac:dyDescent="0.25">
      <c r="A1495" t="s">
        <v>2209</v>
      </c>
      <c r="B1495" t="s">
        <v>2210</v>
      </c>
      <c r="C1495" s="67">
        <v>-526311</v>
      </c>
      <c r="D1495" s="67">
        <v>-526309</v>
      </c>
      <c r="E1495" s="67">
        <v>-605255.35</v>
      </c>
      <c r="F1495" s="67">
        <v>-696043.65249999997</v>
      </c>
      <c r="G1495" t="str">
        <f t="shared" si="46"/>
        <v>6008</v>
      </c>
      <c r="H1495" t="str">
        <f t="shared" si="47"/>
        <v>Non-Current Assets (Depreciation)</v>
      </c>
    </row>
    <row r="1496" spans="1:8" x14ac:dyDescent="0.25">
      <c r="A1496" t="s">
        <v>2211</v>
      </c>
      <c r="B1496" t="s">
        <v>1422</v>
      </c>
      <c r="C1496" s="67">
        <v>358433</v>
      </c>
      <c r="D1496" s="67">
        <v>281071.37</v>
      </c>
      <c r="E1496" s="67">
        <v>281071.37</v>
      </c>
      <c r="F1496" s="67">
        <v>281071.37</v>
      </c>
      <c r="G1496" t="str">
        <f t="shared" si="46"/>
        <v>6008</v>
      </c>
      <c r="H1496" t="str">
        <f t="shared" si="47"/>
        <v>Non-Current Assets (Cost)</v>
      </c>
    </row>
    <row r="1497" spans="1:8" x14ac:dyDescent="0.25">
      <c r="A1497" t="s">
        <v>2212</v>
      </c>
      <c r="B1497" t="s">
        <v>1424</v>
      </c>
      <c r="C1497" s="67">
        <v>-280049</v>
      </c>
      <c r="D1497" s="67">
        <v>-238948.04</v>
      </c>
      <c r="E1497" s="67">
        <v>-264596.04000000004</v>
      </c>
      <c r="F1497" s="67">
        <v>-294091.24000000005</v>
      </c>
      <c r="G1497" t="str">
        <f t="shared" si="46"/>
        <v>6008</v>
      </c>
      <c r="H1497" t="str">
        <f t="shared" si="47"/>
        <v>Non-Current Assets (Acc Depreciation)</v>
      </c>
    </row>
    <row r="1498" spans="1:8" x14ac:dyDescent="0.25">
      <c r="A1498" t="s">
        <v>2213</v>
      </c>
      <c r="B1498" t="s">
        <v>1426</v>
      </c>
      <c r="C1498" s="67">
        <v>-25650</v>
      </c>
      <c r="D1498" s="67">
        <v>-25648</v>
      </c>
      <c r="E1498" s="67">
        <v>-29495.200000000001</v>
      </c>
      <c r="F1498" s="67">
        <v>-33919.480000000003</v>
      </c>
      <c r="G1498" t="str">
        <f t="shared" si="46"/>
        <v>6008</v>
      </c>
      <c r="H1498" t="str">
        <f t="shared" si="47"/>
        <v>Non-Current Assets (Depreciation)</v>
      </c>
    </row>
    <row r="1499" spans="1:8" x14ac:dyDescent="0.25">
      <c r="A1499" t="s">
        <v>2214</v>
      </c>
      <c r="B1499" t="s">
        <v>1428</v>
      </c>
      <c r="C1499" s="67">
        <v>60343</v>
      </c>
      <c r="D1499" s="67">
        <v>53152.46</v>
      </c>
      <c r="E1499" s="67">
        <v>53152.46</v>
      </c>
      <c r="F1499" s="67">
        <v>53152.46</v>
      </c>
      <c r="G1499" t="str">
        <f t="shared" si="46"/>
        <v>6008</v>
      </c>
      <c r="H1499" t="str">
        <f t="shared" si="47"/>
        <v>Non-Current Assets (Cost)</v>
      </c>
    </row>
    <row r="1500" spans="1:8" x14ac:dyDescent="0.25">
      <c r="A1500" t="s">
        <v>2215</v>
      </c>
      <c r="B1500" t="s">
        <v>1430</v>
      </c>
      <c r="C1500" s="67">
        <v>-54291</v>
      </c>
      <c r="D1500" s="67">
        <v>-42943.869999999995</v>
      </c>
      <c r="E1500" s="67">
        <v>-48020.869999999995</v>
      </c>
      <c r="F1500" s="67">
        <v>-53859.42</v>
      </c>
      <c r="G1500" t="str">
        <f t="shared" si="46"/>
        <v>6008</v>
      </c>
      <c r="H1500" t="str">
        <f t="shared" si="47"/>
        <v>Non-Current Assets (Acc Depreciation)</v>
      </c>
    </row>
    <row r="1501" spans="1:8" x14ac:dyDescent="0.25">
      <c r="A1501" t="s">
        <v>2216</v>
      </c>
      <c r="B1501" t="s">
        <v>1432</v>
      </c>
      <c r="C1501" s="67">
        <v>-5079</v>
      </c>
      <c r="D1501" s="67">
        <v>-5077</v>
      </c>
      <c r="E1501" s="67">
        <v>-5838.55</v>
      </c>
      <c r="F1501" s="67">
        <v>-6714.3325000000004</v>
      </c>
      <c r="G1501" t="str">
        <f t="shared" si="46"/>
        <v>6008</v>
      </c>
      <c r="H1501" t="str">
        <f t="shared" si="47"/>
        <v>Non-Current Assets (Depreciation)</v>
      </c>
    </row>
    <row r="1502" spans="1:8" x14ac:dyDescent="0.25">
      <c r="A1502" t="s">
        <v>2217</v>
      </c>
      <c r="B1502" t="s">
        <v>1434</v>
      </c>
      <c r="C1502" s="67">
        <v>6734</v>
      </c>
      <c r="D1502" s="67">
        <v>0</v>
      </c>
      <c r="E1502" s="67">
        <v>0</v>
      </c>
      <c r="F1502" s="67">
        <v>0</v>
      </c>
      <c r="G1502" t="str">
        <f t="shared" si="46"/>
        <v>6008</v>
      </c>
      <c r="H1502" t="str">
        <f t="shared" si="47"/>
        <v>Non-Current Assets (Cost)</v>
      </c>
    </row>
    <row r="1503" spans="1:8" x14ac:dyDescent="0.25">
      <c r="A1503" t="s">
        <v>2218</v>
      </c>
      <c r="B1503" t="s">
        <v>1436</v>
      </c>
      <c r="C1503" s="67">
        <v>-9418</v>
      </c>
      <c r="D1503" s="67">
        <v>-9.9999999983992893E-3</v>
      </c>
      <c r="E1503" s="67">
        <v>-3371.0099999999984</v>
      </c>
      <c r="F1503" s="67">
        <v>-7247.659999999998</v>
      </c>
      <c r="G1503" t="str">
        <f t="shared" si="46"/>
        <v>6008</v>
      </c>
      <c r="H1503" t="str">
        <f t="shared" si="47"/>
        <v>Non-Current Assets (Acc Depreciation)</v>
      </c>
    </row>
    <row r="1504" spans="1:8" x14ac:dyDescent="0.25">
      <c r="A1504" t="s">
        <v>2219</v>
      </c>
      <c r="B1504" t="s">
        <v>1438</v>
      </c>
      <c r="C1504" s="67">
        <v>-3180</v>
      </c>
      <c r="D1504" s="67">
        <v>-3371</v>
      </c>
      <c r="E1504" s="67">
        <v>-3876.65</v>
      </c>
      <c r="F1504" s="67">
        <v>-4458.1475</v>
      </c>
      <c r="G1504" t="str">
        <f t="shared" si="46"/>
        <v>6008</v>
      </c>
      <c r="H1504" t="str">
        <f t="shared" si="47"/>
        <v>Non-Current Assets (Depreciation)</v>
      </c>
    </row>
    <row r="1505" spans="1:8" x14ac:dyDescent="0.25">
      <c r="A1505" t="s">
        <v>2220</v>
      </c>
      <c r="B1505" t="s">
        <v>2027</v>
      </c>
      <c r="C1505" s="67">
        <v>5655604</v>
      </c>
      <c r="D1505" s="67">
        <v>5601323.1699999999</v>
      </c>
      <c r="E1505" s="67">
        <v>5601323.1699999999</v>
      </c>
      <c r="F1505" s="67">
        <v>5601323.1699999999</v>
      </c>
      <c r="G1505" t="str">
        <f t="shared" si="46"/>
        <v>6008</v>
      </c>
      <c r="H1505" t="str">
        <f t="shared" si="47"/>
        <v>Non-Current Assets (Cost)</v>
      </c>
    </row>
    <row r="1506" spans="1:8" x14ac:dyDescent="0.25">
      <c r="A1506" t="s">
        <v>2221</v>
      </c>
      <c r="B1506" t="s">
        <v>1792</v>
      </c>
      <c r="C1506" s="67">
        <v>-588650</v>
      </c>
      <c r="D1506" s="67">
        <v>-588650</v>
      </c>
      <c r="E1506" s="67">
        <v>-618082.5</v>
      </c>
      <c r="F1506" s="67">
        <v>-648986.625</v>
      </c>
      <c r="G1506" t="str">
        <f t="shared" si="46"/>
        <v>6008</v>
      </c>
      <c r="H1506" t="str">
        <f t="shared" si="47"/>
        <v>Consumer deposits</v>
      </c>
    </row>
    <row r="1507" spans="1:8" x14ac:dyDescent="0.25">
      <c r="A1507" t="s">
        <v>2222</v>
      </c>
      <c r="B1507" t="s">
        <v>2223</v>
      </c>
      <c r="C1507" s="67">
        <v>0</v>
      </c>
      <c r="D1507" s="67">
        <v>0</v>
      </c>
      <c r="E1507" s="67">
        <v>0</v>
      </c>
      <c r="F1507" s="67">
        <v>0</v>
      </c>
      <c r="G1507" t="str">
        <f t="shared" si="46"/>
        <v>6008</v>
      </c>
      <c r="H1507" t="str">
        <f t="shared" si="47"/>
        <v>Consumer deposits</v>
      </c>
    </row>
    <row r="1508" spans="1:8" x14ac:dyDescent="0.25">
      <c r="A1508" t="s">
        <v>2224</v>
      </c>
      <c r="B1508" t="s">
        <v>1460</v>
      </c>
      <c r="C1508" s="67">
        <v>-258929</v>
      </c>
      <c r="D1508" s="67">
        <v>-258929</v>
      </c>
      <c r="E1508" s="67">
        <v>-284821.90000000002</v>
      </c>
      <c r="F1508" s="67">
        <v>-313304.09000000003</v>
      </c>
      <c r="G1508" t="str">
        <f t="shared" si="46"/>
        <v>6008</v>
      </c>
      <c r="H1508" t="str">
        <f t="shared" si="47"/>
        <v>Current Employee Benefits</v>
      </c>
    </row>
    <row r="1509" spans="1:8" x14ac:dyDescent="0.25">
      <c r="A1509" t="s">
        <v>2225</v>
      </c>
      <c r="B1509" t="s">
        <v>1462</v>
      </c>
      <c r="C1509" s="67">
        <v>-4743391</v>
      </c>
      <c r="D1509" s="67">
        <v>9793062.7100000009</v>
      </c>
      <c r="E1509" s="67">
        <v>17674690.710000001</v>
      </c>
      <c r="F1509" s="67">
        <v>27530406.57336757</v>
      </c>
      <c r="G1509" t="str">
        <f t="shared" si="46"/>
        <v>6008</v>
      </c>
      <c r="H1509" t="str">
        <f t="shared" si="47"/>
        <v>Reserves</v>
      </c>
    </row>
    <row r="1510" spans="1:8" x14ac:dyDescent="0.25">
      <c r="A1510" t="s">
        <v>2226</v>
      </c>
      <c r="B1510" t="s">
        <v>1464</v>
      </c>
      <c r="C1510" s="67">
        <v>7552587</v>
      </c>
      <c r="D1510" s="67">
        <v>7881628</v>
      </c>
      <c r="E1510" s="67">
        <v>9855715.8633675687</v>
      </c>
      <c r="F1510" s="67">
        <v>9650279.4373227227</v>
      </c>
      <c r="G1510" t="str">
        <f t="shared" si="46"/>
        <v>6008</v>
      </c>
      <c r="H1510" t="str">
        <f t="shared" si="47"/>
        <v>Reserves</v>
      </c>
    </row>
    <row r="1511" spans="1:8" x14ac:dyDescent="0.25">
      <c r="A1511" t="s">
        <v>1273</v>
      </c>
      <c r="B1511" t="s">
        <v>53</v>
      </c>
      <c r="C1511" s="67">
        <v>0</v>
      </c>
      <c r="D1511" s="67">
        <v>0</v>
      </c>
      <c r="E1511" s="67">
        <v>0</v>
      </c>
      <c r="F1511" s="67">
        <v>0</v>
      </c>
      <c r="G1511" t="str">
        <f t="shared" si="46"/>
        <v>6015</v>
      </c>
      <c r="H1511" t="str">
        <f t="shared" si="47"/>
        <v>Commission Received</v>
      </c>
    </row>
    <row r="1512" spans="1:8" x14ac:dyDescent="0.25">
      <c r="A1512" t="s">
        <v>1274</v>
      </c>
      <c r="B1512" t="s">
        <v>54</v>
      </c>
      <c r="C1512" s="67">
        <v>0</v>
      </c>
      <c r="D1512" s="67">
        <v>0</v>
      </c>
      <c r="E1512" s="67">
        <v>0</v>
      </c>
      <c r="F1512" s="67">
        <v>0</v>
      </c>
      <c r="G1512" t="str">
        <f t="shared" si="46"/>
        <v>6015</v>
      </c>
      <c r="H1512" t="str">
        <f t="shared" si="47"/>
        <v>Commission Received</v>
      </c>
    </row>
    <row r="1513" spans="1:8" x14ac:dyDescent="0.25">
      <c r="A1513" t="s">
        <v>1275</v>
      </c>
      <c r="B1513" t="s">
        <v>61</v>
      </c>
      <c r="C1513" s="67">
        <v>-315185</v>
      </c>
      <c r="D1513" s="67">
        <v>0</v>
      </c>
      <c r="E1513" s="67">
        <v>0</v>
      </c>
      <c r="F1513" s="67">
        <v>0</v>
      </c>
      <c r="G1513" t="str">
        <f t="shared" si="46"/>
        <v>6015</v>
      </c>
      <c r="H1513" t="str">
        <f t="shared" si="47"/>
        <v>Commission Received</v>
      </c>
    </row>
    <row r="1514" spans="1:8" x14ac:dyDescent="0.25">
      <c r="A1514" t="s">
        <v>1276</v>
      </c>
      <c r="B1514" t="s">
        <v>68</v>
      </c>
      <c r="C1514" s="67">
        <v>-1696600</v>
      </c>
      <c r="D1514" s="67">
        <v>-403535.5</v>
      </c>
      <c r="E1514" s="67">
        <v>-544884.5</v>
      </c>
      <c r="F1514" s="67">
        <v>-598756</v>
      </c>
      <c r="G1514" t="str">
        <f t="shared" si="46"/>
        <v>6015</v>
      </c>
      <c r="H1514" t="str">
        <f t="shared" si="47"/>
        <v>Commission Received</v>
      </c>
    </row>
    <row r="1515" spans="1:8" x14ac:dyDescent="0.25">
      <c r="A1515" t="s">
        <v>1277</v>
      </c>
      <c r="B1515" t="s">
        <v>73</v>
      </c>
      <c r="C1515" s="67">
        <v>0</v>
      </c>
      <c r="D1515" s="67">
        <v>0</v>
      </c>
      <c r="E1515" s="67">
        <v>0</v>
      </c>
      <c r="F1515" s="67">
        <v>0</v>
      </c>
      <c r="G1515" t="str">
        <f t="shared" si="46"/>
        <v>6015</v>
      </c>
      <c r="H1515" t="str">
        <f t="shared" si="47"/>
        <v>Commission Received</v>
      </c>
    </row>
    <row r="1516" spans="1:8" x14ac:dyDescent="0.25">
      <c r="A1516" t="s">
        <v>1278</v>
      </c>
      <c r="B1516" t="s">
        <v>150</v>
      </c>
      <c r="C1516" s="67">
        <v>4209658</v>
      </c>
      <c r="D1516" s="67">
        <v>4209658</v>
      </c>
      <c r="E1516" s="67">
        <v>4504334.3356319992</v>
      </c>
      <c r="F1516" s="67">
        <v>4819637.739126239</v>
      </c>
      <c r="G1516" t="str">
        <f t="shared" si="46"/>
        <v>6015</v>
      </c>
      <c r="H1516" t="str">
        <f t="shared" si="47"/>
        <v>Employee related costs</v>
      </c>
    </row>
    <row r="1517" spans="1:8" x14ac:dyDescent="0.25">
      <c r="A1517" t="s">
        <v>1279</v>
      </c>
      <c r="B1517" t="s">
        <v>151</v>
      </c>
      <c r="C1517" s="67">
        <v>194892</v>
      </c>
      <c r="D1517" s="67">
        <v>135473.44</v>
      </c>
      <c r="E1517" s="67">
        <v>126940.65</v>
      </c>
      <c r="F1517" s="67">
        <v>129373.11</v>
      </c>
      <c r="G1517" t="str">
        <f t="shared" si="46"/>
        <v>6015</v>
      </c>
      <c r="H1517" t="str">
        <f t="shared" si="47"/>
        <v>Employee related costs</v>
      </c>
    </row>
    <row r="1518" spans="1:8" x14ac:dyDescent="0.25">
      <c r="A1518" t="s">
        <v>1280</v>
      </c>
      <c r="B1518" t="s">
        <v>152</v>
      </c>
      <c r="C1518" s="67">
        <v>28200</v>
      </c>
      <c r="D1518" s="67">
        <v>28200</v>
      </c>
      <c r="E1518" s="67">
        <v>375361.19463599997</v>
      </c>
      <c r="F1518" s="67">
        <v>401636.47826051997</v>
      </c>
      <c r="G1518" t="str">
        <f t="shared" si="46"/>
        <v>6015</v>
      </c>
      <c r="H1518" t="str">
        <f t="shared" si="47"/>
        <v>Employee related costs</v>
      </c>
    </row>
    <row r="1519" spans="1:8" x14ac:dyDescent="0.25">
      <c r="A1519" t="s">
        <v>1281</v>
      </c>
      <c r="B1519" t="s">
        <v>153</v>
      </c>
      <c r="C1519" s="67">
        <v>0</v>
      </c>
      <c r="D1519" s="67">
        <v>12000</v>
      </c>
      <c r="E1519" s="67">
        <v>0</v>
      </c>
      <c r="F1519" s="67">
        <v>0</v>
      </c>
      <c r="G1519" t="str">
        <f t="shared" si="46"/>
        <v>6015</v>
      </c>
      <c r="H1519" t="str">
        <f t="shared" si="47"/>
        <v>Employee related costs</v>
      </c>
    </row>
    <row r="1520" spans="1:8" x14ac:dyDescent="0.25">
      <c r="A1520" t="s">
        <v>1282</v>
      </c>
      <c r="B1520" t="s">
        <v>154</v>
      </c>
      <c r="C1520" s="67">
        <v>6420</v>
      </c>
      <c r="D1520" s="67">
        <v>6420</v>
      </c>
      <c r="E1520" s="67">
        <v>6869.4</v>
      </c>
      <c r="F1520" s="67">
        <v>7350.2579999999998</v>
      </c>
      <c r="G1520" t="str">
        <f t="shared" si="46"/>
        <v>6015</v>
      </c>
      <c r="H1520" t="str">
        <f t="shared" si="47"/>
        <v>Employee related costs</v>
      </c>
    </row>
    <row r="1521" spans="1:8" x14ac:dyDescent="0.25">
      <c r="A1521" t="s">
        <v>1283</v>
      </c>
      <c r="B1521" t="s">
        <v>155</v>
      </c>
      <c r="C1521" s="67">
        <v>138400</v>
      </c>
      <c r="D1521" s="67">
        <v>138400</v>
      </c>
      <c r="E1521" s="67">
        <v>148088</v>
      </c>
      <c r="F1521" s="67">
        <v>158454.16</v>
      </c>
      <c r="G1521" t="str">
        <f t="shared" si="46"/>
        <v>6015</v>
      </c>
      <c r="H1521" t="str">
        <f t="shared" si="47"/>
        <v>Employee related costs</v>
      </c>
    </row>
    <row r="1522" spans="1:8" x14ac:dyDescent="0.25">
      <c r="A1522" t="s">
        <v>1284</v>
      </c>
      <c r="B1522" t="s">
        <v>156</v>
      </c>
      <c r="C1522" s="67">
        <v>185604</v>
      </c>
      <c r="D1522" s="67">
        <v>185604</v>
      </c>
      <c r="E1522" s="67">
        <v>198596.28</v>
      </c>
      <c r="F1522" s="67">
        <v>212498.0196</v>
      </c>
      <c r="G1522" t="str">
        <f t="shared" si="46"/>
        <v>6015</v>
      </c>
      <c r="H1522" t="str">
        <f t="shared" si="47"/>
        <v>Employee related costs</v>
      </c>
    </row>
    <row r="1523" spans="1:8" x14ac:dyDescent="0.25">
      <c r="A1523" t="s">
        <v>1285</v>
      </c>
      <c r="B1523" t="s">
        <v>157</v>
      </c>
      <c r="C1523" s="67">
        <v>416905</v>
      </c>
      <c r="D1523" s="67">
        <v>376905</v>
      </c>
      <c r="E1523" s="67">
        <v>403288.35</v>
      </c>
      <c r="F1523" s="67">
        <v>431518.53449999995</v>
      </c>
      <c r="G1523" t="str">
        <f t="shared" si="46"/>
        <v>6015</v>
      </c>
      <c r="H1523" t="str">
        <f t="shared" si="47"/>
        <v>Employee related costs</v>
      </c>
    </row>
    <row r="1524" spans="1:8" x14ac:dyDescent="0.25">
      <c r="A1524" t="s">
        <v>1286</v>
      </c>
      <c r="B1524" t="s">
        <v>159</v>
      </c>
      <c r="C1524" s="67">
        <v>350805</v>
      </c>
      <c r="D1524" s="67">
        <v>350805</v>
      </c>
      <c r="E1524" s="67">
        <v>375361.35</v>
      </c>
      <c r="F1524" s="67">
        <v>401636.64449999999</v>
      </c>
      <c r="G1524" t="str">
        <f t="shared" si="46"/>
        <v>6015</v>
      </c>
      <c r="H1524" t="str">
        <f t="shared" si="47"/>
        <v>Employee related costs</v>
      </c>
    </row>
    <row r="1525" spans="1:8" x14ac:dyDescent="0.25">
      <c r="A1525" t="s">
        <v>1287</v>
      </c>
      <c r="B1525" t="s">
        <v>161</v>
      </c>
      <c r="C1525" s="67">
        <v>37996</v>
      </c>
      <c r="D1525" s="67">
        <v>37996</v>
      </c>
      <c r="E1525" s="67">
        <v>40655.72</v>
      </c>
      <c r="F1525" s="67">
        <v>43501.6204</v>
      </c>
      <c r="G1525" t="str">
        <f t="shared" si="46"/>
        <v>6015</v>
      </c>
      <c r="H1525" t="str">
        <f t="shared" si="47"/>
        <v>Employee related costs</v>
      </c>
    </row>
    <row r="1526" spans="1:8" x14ac:dyDescent="0.25">
      <c r="A1526" t="s">
        <v>1288</v>
      </c>
      <c r="B1526" t="s">
        <v>162</v>
      </c>
      <c r="C1526" s="67">
        <v>50197</v>
      </c>
      <c r="D1526" s="67">
        <v>90197</v>
      </c>
      <c r="E1526" s="67">
        <v>96510.79</v>
      </c>
      <c r="F1526" s="67">
        <v>103266.5453</v>
      </c>
      <c r="G1526" t="str">
        <f t="shared" si="46"/>
        <v>6015</v>
      </c>
      <c r="H1526" t="str">
        <f t="shared" si="47"/>
        <v>Employee related costs</v>
      </c>
    </row>
    <row r="1527" spans="1:8" x14ac:dyDescent="0.25">
      <c r="A1527" t="s">
        <v>1289</v>
      </c>
      <c r="B1527" t="s">
        <v>167</v>
      </c>
      <c r="C1527" s="67">
        <v>1910</v>
      </c>
      <c r="D1527" s="67">
        <v>1910</v>
      </c>
      <c r="E1527" s="67">
        <v>2043.6464999999994</v>
      </c>
      <c r="F1527" s="67">
        <v>2186.7017549999991</v>
      </c>
      <c r="G1527" t="str">
        <f t="shared" si="46"/>
        <v>6015</v>
      </c>
      <c r="H1527" t="str">
        <f t="shared" si="47"/>
        <v>Employee related costs</v>
      </c>
    </row>
    <row r="1528" spans="1:8" x14ac:dyDescent="0.25">
      <c r="A1528" t="s">
        <v>1290</v>
      </c>
      <c r="B1528" t="s">
        <v>168</v>
      </c>
      <c r="C1528" s="67">
        <v>134382</v>
      </c>
      <c r="D1528" s="67">
        <v>236542.8</v>
      </c>
      <c r="E1528" s="67">
        <v>143788.48320000002</v>
      </c>
      <c r="F1528" s="67">
        <v>153853.67702400003</v>
      </c>
      <c r="G1528" t="str">
        <f t="shared" si="46"/>
        <v>6015</v>
      </c>
      <c r="H1528" t="str">
        <f t="shared" si="47"/>
        <v>Employee related costs</v>
      </c>
    </row>
    <row r="1529" spans="1:8" x14ac:dyDescent="0.25">
      <c r="A1529" t="s">
        <v>1291</v>
      </c>
      <c r="B1529" t="s">
        <v>169</v>
      </c>
      <c r="C1529" s="67">
        <v>926125</v>
      </c>
      <c r="D1529" s="67">
        <v>926125</v>
      </c>
      <c r="E1529" s="67">
        <v>990953.55383903999</v>
      </c>
      <c r="F1529" s="67">
        <v>1060320.3026077729</v>
      </c>
      <c r="G1529" t="str">
        <f t="shared" si="46"/>
        <v>6015</v>
      </c>
      <c r="H1529" t="str">
        <f t="shared" si="47"/>
        <v>Employee related costs</v>
      </c>
    </row>
    <row r="1530" spans="1:8" x14ac:dyDescent="0.25">
      <c r="A1530" t="s">
        <v>1292</v>
      </c>
      <c r="B1530" t="s">
        <v>170</v>
      </c>
      <c r="C1530" s="67">
        <v>30345</v>
      </c>
      <c r="D1530" s="67">
        <v>30345</v>
      </c>
      <c r="E1530" s="67">
        <v>32469.15</v>
      </c>
      <c r="F1530" s="67">
        <v>34741.9905</v>
      </c>
      <c r="G1530" t="str">
        <f t="shared" si="46"/>
        <v>6015</v>
      </c>
      <c r="H1530" t="str">
        <f t="shared" si="47"/>
        <v>Employee related costs</v>
      </c>
    </row>
    <row r="1531" spans="1:8" x14ac:dyDescent="0.25">
      <c r="A1531" t="s">
        <v>1293</v>
      </c>
      <c r="B1531" t="s">
        <v>173</v>
      </c>
      <c r="C1531" s="67">
        <v>82612</v>
      </c>
      <c r="D1531" s="67">
        <v>82612</v>
      </c>
      <c r="E1531" s="67">
        <v>87568.88960000001</v>
      </c>
      <c r="F1531" s="67">
        <v>93698.711872000014</v>
      </c>
      <c r="G1531" t="str">
        <f t="shared" si="46"/>
        <v>6015</v>
      </c>
      <c r="H1531" t="str">
        <f t="shared" si="47"/>
        <v>Employee related costs</v>
      </c>
    </row>
    <row r="1532" spans="1:8" x14ac:dyDescent="0.25">
      <c r="A1532" t="s">
        <v>1294</v>
      </c>
      <c r="B1532" t="s">
        <v>174</v>
      </c>
      <c r="C1532" s="67">
        <v>107209</v>
      </c>
      <c r="D1532" s="67">
        <v>107209</v>
      </c>
      <c r="E1532" s="67">
        <v>113642.0276</v>
      </c>
      <c r="F1532" s="67">
        <v>121596.969532</v>
      </c>
      <c r="G1532" t="str">
        <f t="shared" si="46"/>
        <v>6015</v>
      </c>
      <c r="H1532" t="str">
        <f t="shared" si="47"/>
        <v>Employee related costs</v>
      </c>
    </row>
    <row r="1533" spans="1:8" x14ac:dyDescent="0.25">
      <c r="A1533" t="s">
        <v>1295</v>
      </c>
      <c r="B1533" t="s">
        <v>175</v>
      </c>
      <c r="C1533" s="67">
        <v>53913</v>
      </c>
      <c r="D1533" s="67">
        <v>53913</v>
      </c>
      <c r="E1533" s="67">
        <v>57147.419600000001</v>
      </c>
      <c r="F1533" s="67">
        <v>61147.738971999999</v>
      </c>
      <c r="G1533" t="str">
        <f t="shared" si="46"/>
        <v>6015</v>
      </c>
      <c r="H1533" t="str">
        <f t="shared" si="47"/>
        <v>Employee related costs</v>
      </c>
    </row>
    <row r="1534" spans="1:8" x14ac:dyDescent="0.25">
      <c r="A1534" t="s">
        <v>1296</v>
      </c>
      <c r="B1534" t="s">
        <v>265</v>
      </c>
      <c r="C1534" s="67">
        <v>56387</v>
      </c>
      <c r="D1534" s="67">
        <v>56387</v>
      </c>
      <c r="E1534" s="67">
        <v>59769.901999999995</v>
      </c>
      <c r="F1534" s="67">
        <v>62997.476707999995</v>
      </c>
      <c r="G1534" t="str">
        <f t="shared" si="46"/>
        <v>6015</v>
      </c>
      <c r="H1534" t="str">
        <f t="shared" si="47"/>
        <v>General expenses</v>
      </c>
    </row>
    <row r="1535" spans="1:8" x14ac:dyDescent="0.25">
      <c r="A1535" t="s">
        <v>1297</v>
      </c>
      <c r="B1535" t="s">
        <v>268</v>
      </c>
      <c r="C1535" s="67">
        <v>13448</v>
      </c>
      <c r="D1535" s="67">
        <v>49715</v>
      </c>
      <c r="E1535" s="67">
        <v>14255.1132</v>
      </c>
      <c r="F1535" s="67">
        <v>15024.8893128</v>
      </c>
      <c r="G1535" t="str">
        <f t="shared" si="46"/>
        <v>6015</v>
      </c>
      <c r="H1535" t="str">
        <f t="shared" si="47"/>
        <v>General expenses</v>
      </c>
    </row>
    <row r="1536" spans="1:8" x14ac:dyDescent="0.25">
      <c r="A1536" t="s">
        <v>1298</v>
      </c>
      <c r="B1536" t="s">
        <v>288</v>
      </c>
      <c r="C1536" s="67">
        <v>0</v>
      </c>
      <c r="D1536" s="67">
        <v>0</v>
      </c>
      <c r="E1536" s="67">
        <v>0</v>
      </c>
      <c r="F1536" s="67">
        <v>0</v>
      </c>
      <c r="G1536" t="str">
        <f t="shared" si="46"/>
        <v>6015</v>
      </c>
      <c r="H1536" t="str">
        <f t="shared" si="47"/>
        <v>Debt impairment</v>
      </c>
    </row>
    <row r="1537" spans="1:8" x14ac:dyDescent="0.25">
      <c r="A1537" t="s">
        <v>1299</v>
      </c>
      <c r="B1537" t="s">
        <v>292</v>
      </c>
      <c r="C1537" s="67">
        <v>3371</v>
      </c>
      <c r="D1537" s="67">
        <v>3371</v>
      </c>
      <c r="E1537" s="67">
        <v>3876.65</v>
      </c>
      <c r="F1537" s="67">
        <v>4458.1475</v>
      </c>
      <c r="G1537" t="str">
        <f t="shared" si="46"/>
        <v>6015</v>
      </c>
      <c r="H1537" t="str">
        <f t="shared" si="47"/>
        <v>Depreciation and amortisation</v>
      </c>
    </row>
    <row r="1538" spans="1:8" x14ac:dyDescent="0.25">
      <c r="A1538" t="s">
        <v>1300</v>
      </c>
      <c r="B1538" t="s">
        <v>293</v>
      </c>
      <c r="C1538" s="67">
        <v>7219</v>
      </c>
      <c r="D1538" s="67">
        <v>7219</v>
      </c>
      <c r="E1538" s="67">
        <v>8301.85</v>
      </c>
      <c r="F1538" s="67">
        <v>9547.1275000000005</v>
      </c>
      <c r="G1538" t="str">
        <f t="shared" ref="G1538:G1601" si="48">VLOOKUP(A1538,s,2,FALSE)</f>
        <v>6015</v>
      </c>
      <c r="H1538" t="str">
        <f t="shared" ref="H1538:H1601" si="49">VLOOKUP(A1538,s,3,FALSE)</f>
        <v>Depreciation and amortisation</v>
      </c>
    </row>
    <row r="1539" spans="1:8" x14ac:dyDescent="0.25">
      <c r="A1539" t="s">
        <v>1301</v>
      </c>
      <c r="B1539" t="s">
        <v>297</v>
      </c>
      <c r="C1539" s="67">
        <v>3371</v>
      </c>
      <c r="D1539" s="92">
        <v>3371</v>
      </c>
      <c r="E1539" s="67">
        <v>3876.65</v>
      </c>
      <c r="F1539" s="67">
        <v>4458.1475</v>
      </c>
      <c r="G1539" t="str">
        <f t="shared" si="48"/>
        <v>6015</v>
      </c>
      <c r="H1539" t="str">
        <f t="shared" si="49"/>
        <v>Depreciation and amortisation</v>
      </c>
    </row>
    <row r="1540" spans="1:8" x14ac:dyDescent="0.25">
      <c r="A1540" t="s">
        <v>2227</v>
      </c>
      <c r="B1540" t="s">
        <v>2228</v>
      </c>
      <c r="C1540" s="67">
        <v>0</v>
      </c>
      <c r="D1540" s="67">
        <v>0</v>
      </c>
      <c r="E1540" s="67">
        <v>0</v>
      </c>
      <c r="F1540" s="67">
        <v>0</v>
      </c>
      <c r="G1540" t="str">
        <f t="shared" si="48"/>
        <v>6015</v>
      </c>
      <c r="H1540" t="str">
        <f t="shared" si="49"/>
        <v>General expenses</v>
      </c>
    </row>
    <row r="1541" spans="1:8" x14ac:dyDescent="0.25">
      <c r="A1541" t="s">
        <v>2229</v>
      </c>
      <c r="B1541" t="s">
        <v>1404</v>
      </c>
      <c r="C1541" s="67">
        <v>-5027584</v>
      </c>
      <c r="D1541" s="67">
        <v>-6786261.2999999998</v>
      </c>
      <c r="E1541" s="67">
        <v>-7330408.2528270381</v>
      </c>
      <c r="F1541" s="67">
        <v>-7827907.2572817346</v>
      </c>
      <c r="G1541" t="str">
        <f t="shared" si="48"/>
        <v>6015</v>
      </c>
      <c r="H1541" t="str">
        <f t="shared" si="49"/>
        <v>Accumulated surplus</v>
      </c>
    </row>
    <row r="1542" spans="1:8" x14ac:dyDescent="0.25">
      <c r="A1542" t="s">
        <v>2230</v>
      </c>
      <c r="B1542" t="s">
        <v>2231</v>
      </c>
      <c r="C1542" s="67">
        <v>0</v>
      </c>
      <c r="D1542" s="67">
        <v>-10145560.73</v>
      </c>
      <c r="E1542" s="67">
        <v>-9736978.0700000022</v>
      </c>
      <c r="F1542" s="67">
        <v>-9307966.2770000007</v>
      </c>
      <c r="G1542" t="str">
        <f t="shared" si="48"/>
        <v>6015</v>
      </c>
      <c r="H1542" t="str">
        <f t="shared" si="49"/>
        <v>Receivables from exchange transactions</v>
      </c>
    </row>
    <row r="1543" spans="1:8" x14ac:dyDescent="0.25">
      <c r="A1543" t="s">
        <v>2232</v>
      </c>
      <c r="B1543" t="s">
        <v>2233</v>
      </c>
      <c r="C1543" s="67">
        <v>1578035</v>
      </c>
      <c r="D1543" s="67">
        <v>1239514.76</v>
      </c>
      <c r="E1543" s="67">
        <v>1301490.4979999999</v>
      </c>
      <c r="F1543" s="67">
        <v>1366565.0229</v>
      </c>
      <c r="G1543" t="str">
        <f t="shared" si="48"/>
        <v>6015</v>
      </c>
      <c r="H1543" t="str">
        <f t="shared" si="49"/>
        <v>Receivables from exchange transactions</v>
      </c>
    </row>
    <row r="1544" spans="1:8" x14ac:dyDescent="0.25">
      <c r="A1544" t="s">
        <v>2234</v>
      </c>
      <c r="B1544" t="s">
        <v>2235</v>
      </c>
      <c r="C1544" s="67">
        <v>-789017</v>
      </c>
      <c r="D1544" s="67">
        <v>-946333.22000000009</v>
      </c>
      <c r="E1544" s="67">
        <v>-993649.88100000005</v>
      </c>
      <c r="F1544" s="67">
        <v>-1043332.37505</v>
      </c>
      <c r="G1544" t="str">
        <f t="shared" si="48"/>
        <v>6015</v>
      </c>
      <c r="H1544" t="str">
        <f t="shared" si="49"/>
        <v>Receivables from exchange transactions</v>
      </c>
    </row>
    <row r="1545" spans="1:8" x14ac:dyDescent="0.25">
      <c r="A1545" t="s">
        <v>2236</v>
      </c>
      <c r="B1545" t="s">
        <v>2237</v>
      </c>
      <c r="C1545" s="67">
        <v>0</v>
      </c>
      <c r="D1545" s="67">
        <v>115401.12</v>
      </c>
      <c r="E1545" s="67">
        <v>121171.17599999999</v>
      </c>
      <c r="F1545" s="67">
        <v>127229.73479999999</v>
      </c>
      <c r="G1545" t="str">
        <f t="shared" si="48"/>
        <v>6015</v>
      </c>
      <c r="H1545" t="str">
        <f t="shared" si="49"/>
        <v>Receivables from exchange transactions</v>
      </c>
    </row>
    <row r="1546" spans="1:8" x14ac:dyDescent="0.25">
      <c r="A1546" t="s">
        <v>2238</v>
      </c>
      <c r="B1546" t="s">
        <v>2239</v>
      </c>
      <c r="C1546" s="67">
        <v>0</v>
      </c>
      <c r="D1546" s="67">
        <v>340155.18999999983</v>
      </c>
      <c r="E1546" s="67">
        <v>341643.76999999984</v>
      </c>
      <c r="F1546" s="67">
        <v>343206.77899999986</v>
      </c>
      <c r="G1546" t="str">
        <f t="shared" si="48"/>
        <v>6015</v>
      </c>
      <c r="H1546" t="str">
        <f t="shared" si="49"/>
        <v>Receivables from exchange transactions</v>
      </c>
    </row>
    <row r="1547" spans="1:8" x14ac:dyDescent="0.25">
      <c r="A1547" t="s">
        <v>2240</v>
      </c>
      <c r="B1547" t="s">
        <v>2241</v>
      </c>
      <c r="C1547" s="67">
        <v>0</v>
      </c>
      <c r="D1547" s="67">
        <v>1488.5800000000017</v>
      </c>
      <c r="E1547" s="67">
        <v>1563.0090000000018</v>
      </c>
      <c r="F1547" s="67">
        <v>1641.1594500000019</v>
      </c>
      <c r="G1547" t="str">
        <f t="shared" si="48"/>
        <v>6015</v>
      </c>
      <c r="H1547" t="str">
        <f t="shared" si="49"/>
        <v>Receivables from exchange transactions</v>
      </c>
    </row>
    <row r="1548" spans="1:8" x14ac:dyDescent="0.25">
      <c r="A1548" t="s">
        <v>2242</v>
      </c>
      <c r="B1548" t="s">
        <v>1412</v>
      </c>
      <c r="C1548" s="67">
        <v>726000</v>
      </c>
      <c r="D1548" s="67">
        <v>377099.99999999994</v>
      </c>
      <c r="E1548" s="67">
        <v>377099.99999999994</v>
      </c>
      <c r="F1548" s="67">
        <v>377099.99999999994</v>
      </c>
      <c r="G1548" t="str">
        <f t="shared" si="48"/>
        <v>6015</v>
      </c>
      <c r="H1548" t="str">
        <f t="shared" si="49"/>
        <v>Non-Current Assets (Cost)</v>
      </c>
    </row>
    <row r="1549" spans="1:8" x14ac:dyDescent="0.25">
      <c r="A1549" t="s">
        <v>2243</v>
      </c>
      <c r="B1549" t="s">
        <v>1414</v>
      </c>
      <c r="C1549" s="67">
        <v>-297889</v>
      </c>
      <c r="D1549" s="67">
        <v>-177458.83000000002</v>
      </c>
      <c r="E1549" s="67">
        <v>-180829.83000000002</v>
      </c>
      <c r="F1549" s="67">
        <v>-184706.48</v>
      </c>
      <c r="G1549" t="str">
        <f t="shared" si="48"/>
        <v>6015</v>
      </c>
      <c r="H1549" t="str">
        <f t="shared" si="49"/>
        <v>Non-Current Assets (Acc Depreciation)</v>
      </c>
    </row>
    <row r="1550" spans="1:8" x14ac:dyDescent="0.25">
      <c r="A1550" t="s">
        <v>2244</v>
      </c>
      <c r="B1550" t="s">
        <v>1416</v>
      </c>
      <c r="C1550" s="67">
        <v>0</v>
      </c>
      <c r="D1550" s="67">
        <v>0</v>
      </c>
      <c r="E1550" s="67">
        <v>0</v>
      </c>
      <c r="F1550" s="67">
        <v>0</v>
      </c>
      <c r="G1550" t="str">
        <f t="shared" si="48"/>
        <v>6015</v>
      </c>
      <c r="H1550" t="str">
        <f t="shared" si="49"/>
        <v>Non-Current Assets (Acc Depreciation)</v>
      </c>
    </row>
    <row r="1551" spans="1:8" x14ac:dyDescent="0.25">
      <c r="A1551" t="s">
        <v>2245</v>
      </c>
      <c r="B1551" t="s">
        <v>1495</v>
      </c>
      <c r="C1551" s="67">
        <v>-3371</v>
      </c>
      <c r="D1551" s="67">
        <v>-3371</v>
      </c>
      <c r="E1551" s="67">
        <v>-3876.65</v>
      </c>
      <c r="F1551" s="67">
        <v>-4458.1475</v>
      </c>
      <c r="G1551" t="str">
        <f t="shared" si="48"/>
        <v>6015</v>
      </c>
      <c r="H1551" t="str">
        <f t="shared" si="49"/>
        <v>Non-Current Assets (Depreciation)</v>
      </c>
    </row>
    <row r="1552" spans="1:8" x14ac:dyDescent="0.25">
      <c r="A1552" t="s">
        <v>2246</v>
      </c>
      <c r="B1552" t="s">
        <v>1428</v>
      </c>
      <c r="C1552" s="67">
        <v>31140</v>
      </c>
      <c r="D1552" s="67">
        <v>30090</v>
      </c>
      <c r="E1552" s="67">
        <v>30090</v>
      </c>
      <c r="F1552" s="67">
        <v>30090</v>
      </c>
      <c r="G1552" t="str">
        <f t="shared" si="48"/>
        <v>6015</v>
      </c>
      <c r="H1552" t="str">
        <f t="shared" si="49"/>
        <v>Non-Current Assets (Cost)</v>
      </c>
    </row>
    <row r="1553" spans="1:8" x14ac:dyDescent="0.25">
      <c r="A1553" t="s">
        <v>2247</v>
      </c>
      <c r="B1553" t="s">
        <v>1430</v>
      </c>
      <c r="C1553" s="67">
        <v>-27488</v>
      </c>
      <c r="D1553" s="67">
        <v>-20539.84</v>
      </c>
      <c r="E1553" s="67">
        <v>-27758.84</v>
      </c>
      <c r="F1553" s="67">
        <v>-36060.69</v>
      </c>
      <c r="G1553" t="str">
        <f t="shared" si="48"/>
        <v>6015</v>
      </c>
      <c r="H1553" t="str">
        <f t="shared" si="49"/>
        <v>Non-Current Assets (Acc Depreciation)</v>
      </c>
    </row>
    <row r="1554" spans="1:8" x14ac:dyDescent="0.25">
      <c r="A1554" t="s">
        <v>2248</v>
      </c>
      <c r="B1554" t="s">
        <v>1432</v>
      </c>
      <c r="C1554" s="67">
        <v>-7220</v>
      </c>
      <c r="D1554" s="67">
        <v>-7219</v>
      </c>
      <c r="E1554" s="67">
        <v>-8301.85</v>
      </c>
      <c r="F1554" s="67">
        <v>-9547.1275000000005</v>
      </c>
      <c r="G1554" t="str">
        <f t="shared" si="48"/>
        <v>6015</v>
      </c>
      <c r="H1554" t="str">
        <f t="shared" si="49"/>
        <v>Non-Current Assets (Depreciation)</v>
      </c>
    </row>
    <row r="1555" spans="1:8" x14ac:dyDescent="0.25">
      <c r="A1555" t="s">
        <v>2249</v>
      </c>
      <c r="B1555" t="s">
        <v>1434</v>
      </c>
      <c r="C1555" s="67">
        <v>14617</v>
      </c>
      <c r="D1555" s="67">
        <v>-1.0000000000218279E-2</v>
      </c>
      <c r="E1555" s="67">
        <v>-1.0000000000218279E-2</v>
      </c>
      <c r="F1555" s="67">
        <v>-1.0000000000218279E-2</v>
      </c>
      <c r="G1555" t="str">
        <f t="shared" si="48"/>
        <v>6015</v>
      </c>
      <c r="H1555" t="str">
        <f t="shared" si="49"/>
        <v>Non-Current Assets (Cost)</v>
      </c>
    </row>
    <row r="1556" spans="1:8" x14ac:dyDescent="0.25">
      <c r="A1556" t="s">
        <v>2250</v>
      </c>
      <c r="B1556" t="s">
        <v>1436</v>
      </c>
      <c r="C1556" s="67">
        <v>-14012</v>
      </c>
      <c r="D1556" s="67">
        <v>0</v>
      </c>
      <c r="E1556" s="67">
        <v>-3371</v>
      </c>
      <c r="F1556" s="67">
        <v>-7247.65</v>
      </c>
      <c r="G1556" t="str">
        <f t="shared" si="48"/>
        <v>6015</v>
      </c>
      <c r="H1556" t="str">
        <f t="shared" si="49"/>
        <v>Non-Current Assets (Acc Depreciation)</v>
      </c>
    </row>
    <row r="1557" spans="1:8" x14ac:dyDescent="0.25">
      <c r="A1557" t="s">
        <v>2251</v>
      </c>
      <c r="B1557" t="s">
        <v>1438</v>
      </c>
      <c r="C1557" s="67">
        <v>-3180</v>
      </c>
      <c r="D1557" s="67">
        <v>-3371</v>
      </c>
      <c r="E1557" s="67">
        <v>-3876.65</v>
      </c>
      <c r="F1557" s="67">
        <v>-4458.1475</v>
      </c>
      <c r="G1557" t="str">
        <f t="shared" si="48"/>
        <v>6015</v>
      </c>
      <c r="H1557" t="str">
        <f t="shared" si="49"/>
        <v>Non-Current Assets (Depreciation)</v>
      </c>
    </row>
    <row r="1558" spans="1:8" x14ac:dyDescent="0.25">
      <c r="A1558" t="s">
        <v>2252</v>
      </c>
      <c r="B1558" t="s">
        <v>1460</v>
      </c>
      <c r="C1558" s="67">
        <v>-627022</v>
      </c>
      <c r="D1558" s="67">
        <v>-627022</v>
      </c>
      <c r="E1558" s="67">
        <v>-689724.2</v>
      </c>
      <c r="F1558" s="67">
        <v>-758696.62</v>
      </c>
      <c r="G1558" t="str">
        <f t="shared" si="48"/>
        <v>6015</v>
      </c>
      <c r="H1558" t="str">
        <f t="shared" si="49"/>
        <v>Current Employee Benefits</v>
      </c>
    </row>
    <row r="1559" spans="1:8" x14ac:dyDescent="0.25">
      <c r="A1559" t="s">
        <v>2253</v>
      </c>
      <c r="B1559" t="s">
        <v>2060</v>
      </c>
      <c r="C1559" s="67">
        <v>0</v>
      </c>
      <c r="D1559" s="67">
        <v>0</v>
      </c>
      <c r="E1559" s="67">
        <v>0</v>
      </c>
      <c r="F1559" s="67">
        <v>0</v>
      </c>
      <c r="G1559" t="str">
        <f t="shared" si="48"/>
        <v>6015</v>
      </c>
      <c r="H1559" t="str">
        <f t="shared" si="49"/>
        <v>Unspent conditional grants and receipts</v>
      </c>
    </row>
    <row r="1560" spans="1:8" x14ac:dyDescent="0.25">
      <c r="A1560" t="s">
        <v>2254</v>
      </c>
      <c r="B1560" t="s">
        <v>1462</v>
      </c>
      <c r="C1560" s="67">
        <v>1130801</v>
      </c>
      <c r="D1560" s="67">
        <v>10178285.66</v>
      </c>
      <c r="E1560" s="67">
        <v>16964546.960000001</v>
      </c>
      <c r="F1560" s="67">
        <v>24294955.212827038</v>
      </c>
      <c r="G1560" t="str">
        <f t="shared" si="48"/>
        <v>6015</v>
      </c>
      <c r="H1560" t="str">
        <f t="shared" si="49"/>
        <v>Reserves</v>
      </c>
    </row>
    <row r="1561" spans="1:8" x14ac:dyDescent="0.25">
      <c r="A1561" t="s">
        <v>2255</v>
      </c>
      <c r="B1561" t="s">
        <v>1464</v>
      </c>
      <c r="C1561" s="67">
        <v>5027584</v>
      </c>
      <c r="D1561" s="67">
        <v>6786261.2999999998</v>
      </c>
      <c r="E1561" s="67">
        <v>7330408.2528270381</v>
      </c>
      <c r="F1561" s="67">
        <v>7827907.2572817346</v>
      </c>
      <c r="G1561" t="str">
        <f t="shared" si="48"/>
        <v>6015</v>
      </c>
      <c r="H1561" t="str">
        <f t="shared" si="49"/>
        <v>Reserves</v>
      </c>
    </row>
    <row r="1562" spans="1:8" x14ac:dyDescent="0.25">
      <c r="A1562" t="s">
        <v>1303</v>
      </c>
      <c r="B1562" t="s">
        <v>52</v>
      </c>
      <c r="C1562" s="67">
        <v>0</v>
      </c>
      <c r="D1562" s="67">
        <v>0</v>
      </c>
      <c r="E1562" s="67">
        <v>0</v>
      </c>
      <c r="F1562" s="67">
        <v>0</v>
      </c>
      <c r="G1562" t="str">
        <f t="shared" si="48"/>
        <v>6016</v>
      </c>
      <c r="H1562" t="str">
        <f t="shared" si="49"/>
        <v>Commission Received</v>
      </c>
    </row>
    <row r="1563" spans="1:8" x14ac:dyDescent="0.25">
      <c r="A1563" t="s">
        <v>1304</v>
      </c>
      <c r="B1563" t="s">
        <v>60</v>
      </c>
      <c r="C1563" s="67">
        <v>-88683</v>
      </c>
      <c r="D1563" s="67">
        <v>0</v>
      </c>
      <c r="E1563" s="67">
        <v>0</v>
      </c>
      <c r="F1563" s="67">
        <v>0</v>
      </c>
      <c r="G1563" t="str">
        <f t="shared" si="48"/>
        <v>6016</v>
      </c>
      <c r="H1563" t="str">
        <f t="shared" si="49"/>
        <v>Commission Received</v>
      </c>
    </row>
    <row r="1564" spans="1:8" x14ac:dyDescent="0.25">
      <c r="A1564" t="s">
        <v>1305</v>
      </c>
      <c r="B1564" t="s">
        <v>68</v>
      </c>
      <c r="C1564" s="67">
        <v>-781880</v>
      </c>
      <c r="D1564" s="67">
        <v>-261168.9</v>
      </c>
      <c r="E1564" s="67">
        <v>-261168.9</v>
      </c>
      <c r="F1564" s="67">
        <v>-289564</v>
      </c>
      <c r="G1564" t="str">
        <f t="shared" si="48"/>
        <v>6016</v>
      </c>
      <c r="H1564" t="str">
        <f t="shared" si="49"/>
        <v>Commission Received</v>
      </c>
    </row>
    <row r="1565" spans="1:8" x14ac:dyDescent="0.25">
      <c r="A1565" t="s">
        <v>1306</v>
      </c>
      <c r="B1565" t="s">
        <v>150</v>
      </c>
      <c r="C1565" s="67">
        <v>1598343</v>
      </c>
      <c r="D1565" s="67">
        <v>1598343</v>
      </c>
      <c r="E1565" s="67">
        <v>1710227.354112</v>
      </c>
      <c r="F1565" s="67">
        <v>1829943.2688998401</v>
      </c>
      <c r="G1565" t="str">
        <f t="shared" si="48"/>
        <v>6016</v>
      </c>
      <c r="H1565" t="str">
        <f t="shared" si="49"/>
        <v>Employee related costs</v>
      </c>
    </row>
    <row r="1566" spans="1:8" x14ac:dyDescent="0.25">
      <c r="A1566" t="s">
        <v>1307</v>
      </c>
      <c r="B1566" t="s">
        <v>151</v>
      </c>
      <c r="C1566" s="67">
        <v>72197</v>
      </c>
      <c r="D1566" s="67">
        <v>50802.539999999994</v>
      </c>
      <c r="E1566" s="67">
        <v>42269.749999999993</v>
      </c>
      <c r="F1566" s="67">
        <v>44702.209999999992</v>
      </c>
      <c r="G1566" t="str">
        <f t="shared" si="48"/>
        <v>6016</v>
      </c>
      <c r="H1566" t="str">
        <f t="shared" si="49"/>
        <v>Employee related costs</v>
      </c>
    </row>
    <row r="1567" spans="1:8" x14ac:dyDescent="0.25">
      <c r="A1567" t="s">
        <v>1308</v>
      </c>
      <c r="B1567" t="s">
        <v>155</v>
      </c>
      <c r="C1567" s="67">
        <v>51270</v>
      </c>
      <c r="D1567" s="67">
        <v>51270</v>
      </c>
      <c r="E1567" s="67">
        <v>137752.59340799999</v>
      </c>
      <c r="F1567" s="67">
        <v>147395.27494655998</v>
      </c>
      <c r="G1567" t="str">
        <f t="shared" si="48"/>
        <v>6016</v>
      </c>
      <c r="H1567" t="str">
        <f t="shared" si="49"/>
        <v>Employee related costs</v>
      </c>
    </row>
    <row r="1568" spans="1:8" x14ac:dyDescent="0.25">
      <c r="A1568" t="s">
        <v>1309</v>
      </c>
      <c r="B1568" t="s">
        <v>157</v>
      </c>
      <c r="C1568" s="67">
        <v>75281</v>
      </c>
      <c r="D1568" s="67">
        <v>65281</v>
      </c>
      <c r="E1568" s="67">
        <v>54346.228632197257</v>
      </c>
      <c r="F1568" s="67">
        <v>58150.464636451063</v>
      </c>
      <c r="G1568" t="str">
        <f t="shared" si="48"/>
        <v>6016</v>
      </c>
      <c r="H1568" t="str">
        <f t="shared" si="49"/>
        <v>Employee related costs</v>
      </c>
    </row>
    <row r="1569" spans="1:8" x14ac:dyDescent="0.25">
      <c r="A1569" t="s">
        <v>1310</v>
      </c>
      <c r="B1569" t="s">
        <v>159</v>
      </c>
      <c r="C1569" s="67">
        <v>129955</v>
      </c>
      <c r="D1569" s="67">
        <v>129955</v>
      </c>
      <c r="E1569" s="67">
        <v>79798.256863999995</v>
      </c>
      <c r="F1569" s="67">
        <v>85384.134844479995</v>
      </c>
      <c r="G1569" t="str">
        <f t="shared" si="48"/>
        <v>6016</v>
      </c>
      <c r="H1569" t="str">
        <f t="shared" si="49"/>
        <v>Employee related costs</v>
      </c>
    </row>
    <row r="1570" spans="1:8" x14ac:dyDescent="0.25">
      <c r="A1570" t="s">
        <v>1311</v>
      </c>
      <c r="B1570" t="s">
        <v>161</v>
      </c>
      <c r="C1570" s="67">
        <v>22568</v>
      </c>
      <c r="D1570" s="67">
        <v>22568</v>
      </c>
      <c r="E1570" s="67">
        <v>23921.741117999998</v>
      </c>
      <c r="F1570" s="67">
        <v>25596.262996259997</v>
      </c>
      <c r="G1570" t="str">
        <f t="shared" si="48"/>
        <v>6016</v>
      </c>
      <c r="H1570" t="str">
        <f t="shared" si="49"/>
        <v>Employee related costs</v>
      </c>
    </row>
    <row r="1571" spans="1:8" x14ac:dyDescent="0.25">
      <c r="A1571" t="s">
        <v>1312</v>
      </c>
      <c r="B1571" t="s">
        <v>162</v>
      </c>
      <c r="C1571" s="67">
        <v>0</v>
      </c>
      <c r="D1571" s="67">
        <v>10000</v>
      </c>
      <c r="E1571" s="67">
        <v>0</v>
      </c>
      <c r="F1571" s="67">
        <v>0</v>
      </c>
      <c r="G1571" t="str">
        <f t="shared" si="48"/>
        <v>6016</v>
      </c>
      <c r="H1571" t="str">
        <f t="shared" si="49"/>
        <v>Employee related costs</v>
      </c>
    </row>
    <row r="1572" spans="1:8" x14ac:dyDescent="0.25">
      <c r="A1572" t="s">
        <v>1313</v>
      </c>
      <c r="B1572" t="s">
        <v>167</v>
      </c>
      <c r="C1572" s="67">
        <v>674</v>
      </c>
      <c r="D1572" s="67">
        <v>674</v>
      </c>
      <c r="E1572" s="67">
        <v>721.28700000000003</v>
      </c>
      <c r="F1572" s="67">
        <v>771.77709000000004</v>
      </c>
      <c r="G1572" t="str">
        <f t="shared" si="48"/>
        <v>6016</v>
      </c>
      <c r="H1572" t="str">
        <f t="shared" si="49"/>
        <v>Employee related costs</v>
      </c>
    </row>
    <row r="1573" spans="1:8" x14ac:dyDescent="0.25">
      <c r="A1573" t="s">
        <v>1314</v>
      </c>
      <c r="B1573" t="s">
        <v>168</v>
      </c>
      <c r="C1573" s="67">
        <v>67191</v>
      </c>
      <c r="D1573" s="67">
        <v>67191</v>
      </c>
      <c r="E1573" s="67">
        <v>71894.241600000008</v>
      </c>
      <c r="F1573" s="67">
        <v>76926.838512000017</v>
      </c>
      <c r="G1573" t="str">
        <f t="shared" si="48"/>
        <v>6016</v>
      </c>
      <c r="H1573" t="str">
        <f t="shared" si="49"/>
        <v>Employee related costs</v>
      </c>
    </row>
    <row r="1574" spans="1:8" x14ac:dyDescent="0.25">
      <c r="A1574" t="s">
        <v>1315</v>
      </c>
      <c r="B1574" t="s">
        <v>169</v>
      </c>
      <c r="C1574" s="67">
        <v>343082</v>
      </c>
      <c r="D1574" s="67">
        <v>343082</v>
      </c>
      <c r="E1574" s="67">
        <v>367097.66590463999</v>
      </c>
      <c r="F1574" s="67">
        <v>392794.50251796481</v>
      </c>
      <c r="G1574" t="str">
        <f t="shared" si="48"/>
        <v>6016</v>
      </c>
      <c r="H1574" t="str">
        <f t="shared" si="49"/>
        <v>Employee related costs</v>
      </c>
    </row>
    <row r="1575" spans="1:8" x14ac:dyDescent="0.25">
      <c r="A1575" t="s">
        <v>1316</v>
      </c>
      <c r="B1575" t="s">
        <v>170</v>
      </c>
      <c r="C1575" s="67">
        <v>12495</v>
      </c>
      <c r="D1575" s="67">
        <v>12495</v>
      </c>
      <c r="E1575" s="67">
        <v>13369.65</v>
      </c>
      <c r="F1575" s="67">
        <v>14305.5255</v>
      </c>
      <c r="G1575" t="str">
        <f t="shared" si="48"/>
        <v>6016</v>
      </c>
      <c r="H1575" t="str">
        <f t="shared" si="49"/>
        <v>Employee related costs</v>
      </c>
    </row>
    <row r="1576" spans="1:8" x14ac:dyDescent="0.25">
      <c r="A1576" t="s">
        <v>1317</v>
      </c>
      <c r="B1576" t="s">
        <v>173</v>
      </c>
      <c r="C1576" s="67">
        <v>30119</v>
      </c>
      <c r="D1576" s="67">
        <v>30119</v>
      </c>
      <c r="E1576" s="67">
        <v>31925.970399999998</v>
      </c>
      <c r="F1576" s="67">
        <v>34160.788327999995</v>
      </c>
      <c r="G1576" t="str">
        <f t="shared" si="48"/>
        <v>6016</v>
      </c>
      <c r="H1576" t="str">
        <f t="shared" si="49"/>
        <v>Employee related costs</v>
      </c>
    </row>
    <row r="1577" spans="1:8" x14ac:dyDescent="0.25">
      <c r="A1577" t="s">
        <v>1318</v>
      </c>
      <c r="B1577" t="s">
        <v>174</v>
      </c>
      <c r="C1577" s="67">
        <v>42336</v>
      </c>
      <c r="D1577" s="67">
        <v>42336</v>
      </c>
      <c r="E1577" s="67">
        <v>44876.584000000003</v>
      </c>
      <c r="F1577" s="67">
        <v>48017.944880000003</v>
      </c>
      <c r="G1577" t="str">
        <f t="shared" si="48"/>
        <v>6016</v>
      </c>
      <c r="H1577" t="str">
        <f t="shared" si="49"/>
        <v>Employee related costs</v>
      </c>
    </row>
    <row r="1578" spans="1:8" x14ac:dyDescent="0.25">
      <c r="A1578" t="s">
        <v>1319</v>
      </c>
      <c r="B1578" t="s">
        <v>175</v>
      </c>
      <c r="C1578" s="67">
        <v>28718</v>
      </c>
      <c r="D1578" s="67">
        <v>28718</v>
      </c>
      <c r="E1578" s="67">
        <v>30440.571199999998</v>
      </c>
      <c r="F1578" s="67">
        <v>32571.411183999997</v>
      </c>
      <c r="G1578" t="str">
        <f t="shared" si="48"/>
        <v>6016</v>
      </c>
      <c r="H1578" t="str">
        <f t="shared" si="49"/>
        <v>Employee related costs</v>
      </c>
    </row>
    <row r="1579" spans="1:8" x14ac:dyDescent="0.25">
      <c r="A1579" t="s">
        <v>1320</v>
      </c>
      <c r="B1579" t="s">
        <v>265</v>
      </c>
      <c r="C1579" s="67">
        <v>50136</v>
      </c>
      <c r="D1579" s="67">
        <v>50136</v>
      </c>
      <c r="E1579" s="67">
        <v>53144.032800000001</v>
      </c>
      <c r="F1579" s="67">
        <v>53242.447675555559</v>
      </c>
      <c r="G1579" t="str">
        <f t="shared" si="48"/>
        <v>6016</v>
      </c>
      <c r="H1579" t="str">
        <f t="shared" si="49"/>
        <v>General expenses</v>
      </c>
    </row>
    <row r="1580" spans="1:8" x14ac:dyDescent="0.25">
      <c r="A1580" t="s">
        <v>1321</v>
      </c>
      <c r="B1580" t="s">
        <v>268</v>
      </c>
      <c r="C1580" s="67">
        <v>11957</v>
      </c>
      <c r="D1580" s="67">
        <v>1957</v>
      </c>
      <c r="E1580" s="67">
        <v>12674.207999999999</v>
      </c>
      <c r="F1580" s="67">
        <v>12697.678755555555</v>
      </c>
      <c r="G1580" t="str">
        <f t="shared" si="48"/>
        <v>6016</v>
      </c>
      <c r="H1580" t="str">
        <f t="shared" si="49"/>
        <v>General expenses</v>
      </c>
    </row>
    <row r="1581" spans="1:8" x14ac:dyDescent="0.25">
      <c r="A1581" t="s">
        <v>2256</v>
      </c>
      <c r="B1581" t="s">
        <v>1404</v>
      </c>
      <c r="C1581" s="67">
        <v>-1665759</v>
      </c>
      <c r="D1581" s="67">
        <v>-2265153.1</v>
      </c>
      <c r="E1581" s="67">
        <v>-2447550.7035988374</v>
      </c>
      <c r="F1581" s="67">
        <v>-2604280.5846258667</v>
      </c>
      <c r="G1581" t="str">
        <f t="shared" si="48"/>
        <v>6016</v>
      </c>
      <c r="H1581" t="str">
        <f t="shared" si="49"/>
        <v>Accumulated surplus</v>
      </c>
    </row>
    <row r="1582" spans="1:8" x14ac:dyDescent="0.25">
      <c r="A1582" t="s">
        <v>2257</v>
      </c>
      <c r="B1582" t="s">
        <v>2258</v>
      </c>
      <c r="C1582" s="67">
        <v>0</v>
      </c>
      <c r="D1582" s="67">
        <v>1282860.6700000002</v>
      </c>
      <c r="E1582" s="67">
        <v>1740480.9500000002</v>
      </c>
      <c r="F1582" s="67">
        <v>2220982.2439999999</v>
      </c>
      <c r="G1582" t="str">
        <f t="shared" si="48"/>
        <v>6016</v>
      </c>
      <c r="H1582" t="str">
        <f t="shared" si="49"/>
        <v>Receivables from exchange transactions</v>
      </c>
    </row>
    <row r="1583" spans="1:8" x14ac:dyDescent="0.25">
      <c r="A1583" t="s">
        <v>2259</v>
      </c>
      <c r="B1583" t="s">
        <v>2260</v>
      </c>
      <c r="C1583" s="67">
        <v>452067</v>
      </c>
      <c r="D1583" s="67">
        <v>775218.17999999993</v>
      </c>
      <c r="E1583" s="67">
        <v>813979.08899999992</v>
      </c>
      <c r="F1583" s="67">
        <v>854678.04344999988</v>
      </c>
      <c r="G1583" t="str">
        <f t="shared" si="48"/>
        <v>6016</v>
      </c>
      <c r="H1583" t="str">
        <f t="shared" si="49"/>
        <v>Receivables from exchange transactions</v>
      </c>
    </row>
    <row r="1584" spans="1:8" x14ac:dyDescent="0.25">
      <c r="A1584" t="s">
        <v>2261</v>
      </c>
      <c r="B1584" t="s">
        <v>2262</v>
      </c>
      <c r="C1584" s="67">
        <v>-76136</v>
      </c>
      <c r="D1584" s="67">
        <v>-441677.44</v>
      </c>
      <c r="E1584" s="67">
        <v>-463761.31200000003</v>
      </c>
      <c r="F1584" s="67">
        <v>-486949.37760000001</v>
      </c>
      <c r="G1584" t="str">
        <f t="shared" si="48"/>
        <v>6016</v>
      </c>
      <c r="H1584" t="str">
        <f t="shared" si="49"/>
        <v>Receivables from exchange transactions</v>
      </c>
    </row>
    <row r="1585" spans="1:8" x14ac:dyDescent="0.25">
      <c r="A1585" t="s">
        <v>2263</v>
      </c>
      <c r="B1585" t="s">
        <v>2264</v>
      </c>
      <c r="C1585" s="67">
        <v>0</v>
      </c>
      <c r="D1585" s="67">
        <v>124079.54</v>
      </c>
      <c r="E1585" s="67">
        <v>130283.51699999999</v>
      </c>
      <c r="F1585" s="67">
        <v>136797.69284999999</v>
      </c>
      <c r="G1585" t="str">
        <f t="shared" si="48"/>
        <v>6016</v>
      </c>
      <c r="H1585" t="str">
        <f t="shared" si="49"/>
        <v>Receivables from exchange transactions</v>
      </c>
    </row>
    <row r="1586" spans="1:8" x14ac:dyDescent="0.25">
      <c r="A1586" t="s">
        <v>2265</v>
      </c>
      <c r="B1586" t="s">
        <v>2266</v>
      </c>
      <c r="C1586" s="67">
        <v>0</v>
      </c>
      <c r="D1586" s="67">
        <v>0</v>
      </c>
      <c r="E1586" s="67">
        <v>0</v>
      </c>
      <c r="F1586" s="67">
        <v>0</v>
      </c>
      <c r="G1586" t="str">
        <f t="shared" si="48"/>
        <v>6016</v>
      </c>
      <c r="H1586" t="str">
        <f t="shared" si="49"/>
        <v>Receivables from exchange transactions</v>
      </c>
    </row>
    <row r="1587" spans="1:8" x14ac:dyDescent="0.25">
      <c r="A1587" t="s">
        <v>2267</v>
      </c>
      <c r="B1587" t="s">
        <v>2268</v>
      </c>
      <c r="C1587" s="67">
        <v>6237650</v>
      </c>
      <c r="D1587" s="67">
        <v>6237650</v>
      </c>
      <c r="E1587" s="67">
        <v>0</v>
      </c>
      <c r="F1587" s="67">
        <v>0</v>
      </c>
      <c r="G1587" t="str">
        <f t="shared" si="48"/>
        <v>6016</v>
      </c>
      <c r="H1587" t="str">
        <f t="shared" si="49"/>
        <v>Receivables from exchange transactions</v>
      </c>
    </row>
    <row r="1588" spans="1:8" x14ac:dyDescent="0.25">
      <c r="A1588" t="s">
        <v>2269</v>
      </c>
      <c r="B1588" t="s">
        <v>2270</v>
      </c>
      <c r="C1588" s="67">
        <v>-840764</v>
      </c>
      <c r="D1588" s="67">
        <v>-840764</v>
      </c>
      <c r="E1588" s="67">
        <v>0</v>
      </c>
      <c r="F1588" s="67">
        <v>0</v>
      </c>
      <c r="G1588" t="str">
        <f t="shared" si="48"/>
        <v>6016</v>
      </c>
      <c r="H1588" t="str">
        <f t="shared" si="49"/>
        <v>Receivables from exchange transactions</v>
      </c>
    </row>
    <row r="1589" spans="1:8" x14ac:dyDescent="0.25">
      <c r="A1589" t="s">
        <v>2271</v>
      </c>
      <c r="B1589" t="s">
        <v>2272</v>
      </c>
      <c r="C1589" s="67">
        <v>-518756</v>
      </c>
      <c r="D1589" s="67">
        <v>-518756</v>
      </c>
      <c r="E1589" s="67">
        <v>0</v>
      </c>
      <c r="F1589" s="67">
        <v>0</v>
      </c>
      <c r="G1589" t="str">
        <f t="shared" si="48"/>
        <v>6016</v>
      </c>
      <c r="H1589" t="str">
        <f t="shared" si="49"/>
        <v>Receivables from exchange transactions</v>
      </c>
    </row>
    <row r="1590" spans="1:8" x14ac:dyDescent="0.25">
      <c r="A1590" t="s">
        <v>2273</v>
      </c>
      <c r="B1590" t="s">
        <v>2274</v>
      </c>
      <c r="C1590" s="67">
        <v>0</v>
      </c>
      <c r="D1590" s="67">
        <v>163261.66999999998</v>
      </c>
      <c r="E1590" s="67">
        <v>178847.24999999997</v>
      </c>
      <c r="F1590" s="67">
        <v>195212.10899999997</v>
      </c>
      <c r="G1590" t="str">
        <f t="shared" si="48"/>
        <v>6016</v>
      </c>
      <c r="H1590" t="str">
        <f t="shared" si="49"/>
        <v>Receivables from exchange transactions</v>
      </c>
    </row>
    <row r="1591" spans="1:8" x14ac:dyDescent="0.25">
      <c r="A1591" t="s">
        <v>2275</v>
      </c>
      <c r="B1591" t="s">
        <v>2276</v>
      </c>
      <c r="C1591" s="67">
        <v>0</v>
      </c>
      <c r="D1591" s="67">
        <v>15585.579999999998</v>
      </c>
      <c r="E1591" s="67">
        <v>16364.858999999999</v>
      </c>
      <c r="F1591" s="67">
        <v>17183.10195</v>
      </c>
      <c r="G1591" t="str">
        <f t="shared" si="48"/>
        <v>6016</v>
      </c>
      <c r="H1591" t="str">
        <f t="shared" si="49"/>
        <v>Receivables from exchange transactions</v>
      </c>
    </row>
    <row r="1592" spans="1:8" x14ac:dyDescent="0.25">
      <c r="A1592" t="s">
        <v>2277</v>
      </c>
      <c r="B1592" t="s">
        <v>1460</v>
      </c>
      <c r="C1592" s="67">
        <v>-191216</v>
      </c>
      <c r="D1592" s="67">
        <v>-191216</v>
      </c>
      <c r="E1592" s="67">
        <v>-210337.6</v>
      </c>
      <c r="F1592" s="67">
        <v>-231371.36000000002</v>
      </c>
      <c r="G1592" t="str">
        <f t="shared" si="48"/>
        <v>6016</v>
      </c>
      <c r="H1592" t="str">
        <f t="shared" si="49"/>
        <v>Current Employee Benefits</v>
      </c>
    </row>
    <row r="1593" spans="1:8" x14ac:dyDescent="0.25">
      <c r="A1593" t="s">
        <v>2278</v>
      </c>
      <c r="B1593" t="s">
        <v>1462</v>
      </c>
      <c r="C1593" s="67">
        <v>-642086</v>
      </c>
      <c r="D1593" s="67">
        <v>5116095.9400000004</v>
      </c>
      <c r="E1593" s="67">
        <v>7381249.040000001</v>
      </c>
      <c r="F1593" s="67">
        <v>9828799.7435988374</v>
      </c>
      <c r="G1593" t="str">
        <f t="shared" si="48"/>
        <v>6016</v>
      </c>
      <c r="H1593" t="str">
        <f t="shared" si="49"/>
        <v>Reserves</v>
      </c>
    </row>
    <row r="1594" spans="1:8" x14ac:dyDescent="0.25">
      <c r="A1594" t="s">
        <v>2279</v>
      </c>
      <c r="B1594" t="s">
        <v>1464</v>
      </c>
      <c r="C1594" s="67">
        <v>1665759</v>
      </c>
      <c r="D1594" s="67">
        <v>2265153.1</v>
      </c>
      <c r="E1594" s="67">
        <v>2447550.7035988374</v>
      </c>
      <c r="F1594" s="67">
        <v>2604280.5846258667</v>
      </c>
      <c r="G1594" t="str">
        <f t="shared" si="48"/>
        <v>6016</v>
      </c>
      <c r="H1594" t="str">
        <f t="shared" si="49"/>
        <v>Reserves</v>
      </c>
    </row>
    <row r="1595" spans="1:8" x14ac:dyDescent="0.25">
      <c r="A1595" t="s">
        <v>2280</v>
      </c>
      <c r="B1595" t="s">
        <v>82</v>
      </c>
      <c r="C1595" s="67">
        <v>0</v>
      </c>
      <c r="D1595" s="67">
        <v>0</v>
      </c>
      <c r="E1595" s="67">
        <v>0</v>
      </c>
      <c r="F1595" s="67">
        <v>0</v>
      </c>
      <c r="G1595" t="str">
        <f t="shared" si="48"/>
        <v>3505</v>
      </c>
      <c r="H1595" t="str">
        <f t="shared" si="49"/>
        <v>Other income</v>
      </c>
    </row>
    <row r="1596" spans="1:8" x14ac:dyDescent="0.25">
      <c r="A1596" t="s">
        <v>1391</v>
      </c>
      <c r="B1596" t="s">
        <v>2281</v>
      </c>
      <c r="C1596" s="67">
        <v>0</v>
      </c>
      <c r="D1596" s="67">
        <v>350000</v>
      </c>
      <c r="E1596" s="67">
        <v>350000</v>
      </c>
      <c r="F1596" s="67">
        <v>350000</v>
      </c>
      <c r="G1596" t="str">
        <f t="shared" si="48"/>
        <v>3505</v>
      </c>
      <c r="H1596" t="str">
        <f t="shared" si="49"/>
        <v>Actuarial losses</v>
      </c>
    </row>
    <row r="1597" spans="1:8" x14ac:dyDescent="0.25">
      <c r="A1597" t="s">
        <v>2282</v>
      </c>
      <c r="B1597" t="s">
        <v>268</v>
      </c>
      <c r="C1597" s="67">
        <v>0</v>
      </c>
      <c r="D1597" s="67">
        <v>0</v>
      </c>
      <c r="E1597" s="67">
        <v>0</v>
      </c>
      <c r="F1597" s="67">
        <v>0</v>
      </c>
      <c r="G1597" t="str">
        <f t="shared" si="48"/>
        <v>3505</v>
      </c>
      <c r="H1597" t="str">
        <f t="shared" si="49"/>
        <v>General expenses</v>
      </c>
    </row>
    <row r="1598" spans="1:8" x14ac:dyDescent="0.25">
      <c r="A1598" t="s">
        <v>2283</v>
      </c>
      <c r="B1598" t="s">
        <v>2284</v>
      </c>
      <c r="C1598" s="67">
        <v>0</v>
      </c>
      <c r="D1598" s="67">
        <v>0</v>
      </c>
      <c r="E1598" s="67">
        <v>0</v>
      </c>
      <c r="F1598" s="67">
        <v>0</v>
      </c>
      <c r="G1598" t="str">
        <f t="shared" si="48"/>
        <v>3505</v>
      </c>
      <c r="H1598" t="str">
        <f t="shared" si="49"/>
        <v>Loss on disposal of assets and liabilities</v>
      </c>
    </row>
    <row r="1599" spans="1:8" x14ac:dyDescent="0.25">
      <c r="A1599" t="s">
        <v>2285</v>
      </c>
      <c r="B1599" t="s">
        <v>2286</v>
      </c>
      <c r="C1599" s="67">
        <v>0</v>
      </c>
      <c r="D1599" s="67">
        <v>0</v>
      </c>
      <c r="E1599" s="67">
        <v>0</v>
      </c>
      <c r="F1599" s="67">
        <v>0</v>
      </c>
      <c r="G1599" t="str">
        <f t="shared" si="48"/>
        <v>3505</v>
      </c>
      <c r="H1599" t="str">
        <f t="shared" si="49"/>
        <v>Loss on disposal of assets and liabilities</v>
      </c>
    </row>
    <row r="1600" spans="1:8" x14ac:dyDescent="0.25">
      <c r="A1600" t="s">
        <v>2287</v>
      </c>
      <c r="B1600" t="s">
        <v>2288</v>
      </c>
      <c r="C1600" s="67">
        <v>0</v>
      </c>
      <c r="D1600" s="67">
        <v>0</v>
      </c>
      <c r="E1600" s="67">
        <v>0</v>
      </c>
      <c r="F1600" s="67">
        <v>0</v>
      </c>
      <c r="G1600" t="str">
        <f t="shared" si="48"/>
        <v>3505</v>
      </c>
      <c r="H1600" t="str">
        <f t="shared" si="49"/>
        <v>Loss on disposal of assets and liabilities</v>
      </c>
    </row>
    <row r="1601" spans="1:8" x14ac:dyDescent="0.25">
      <c r="A1601" t="s">
        <v>2289</v>
      </c>
      <c r="B1601" t="s">
        <v>2290</v>
      </c>
      <c r="C1601" s="67" t="e">
        <v>#N/A</v>
      </c>
      <c r="D1601" s="67">
        <v>0</v>
      </c>
      <c r="E1601" s="67">
        <v>0</v>
      </c>
      <c r="F1601" s="67">
        <v>0</v>
      </c>
      <c r="G1601" t="str">
        <f t="shared" si="48"/>
        <v>3505</v>
      </c>
      <c r="H1601" t="str">
        <f t="shared" si="49"/>
        <v>Non-Current Assets (Acquisitions)</v>
      </c>
    </row>
    <row r="1602" spans="1:8" x14ac:dyDescent="0.25">
      <c r="A1602" t="s">
        <v>2291</v>
      </c>
      <c r="B1602" t="s">
        <v>1338</v>
      </c>
      <c r="C1602" s="67" t="e">
        <v>#N/A</v>
      </c>
      <c r="D1602" s="67">
        <v>0</v>
      </c>
      <c r="E1602" s="67">
        <v>2000000</v>
      </c>
      <c r="F1602" s="67">
        <v>700000</v>
      </c>
      <c r="G1602" t="str">
        <f t="shared" ref="G1602:G1665" si="50">VLOOKUP(A1602,s,2,FALSE)</f>
        <v>3505</v>
      </c>
      <c r="H1602" t="str">
        <f t="shared" ref="H1602:H1665" si="51">VLOOKUP(A1602,s,3,FALSE)</f>
        <v>Non-Current Assets (Acquisitions)</v>
      </c>
    </row>
    <row r="1603" spans="1:8" x14ac:dyDescent="0.25">
      <c r="A1603" t="s">
        <v>2292</v>
      </c>
      <c r="B1603" t="s">
        <v>1495</v>
      </c>
      <c r="C1603" s="67">
        <v>0</v>
      </c>
      <c r="D1603" s="67">
        <v>-52313</v>
      </c>
      <c r="E1603" s="67">
        <v>-60159.95</v>
      </c>
      <c r="F1603" s="67">
        <v>-69183.94249999999</v>
      </c>
      <c r="G1603" t="str">
        <f t="shared" si="50"/>
        <v>3505</v>
      </c>
      <c r="H1603" t="str">
        <f t="shared" si="51"/>
        <v>Non-Current Assets (Depreciation)</v>
      </c>
    </row>
    <row r="1604" spans="1:8" x14ac:dyDescent="0.25">
      <c r="A1604" t="s">
        <v>2293</v>
      </c>
      <c r="B1604" t="s">
        <v>2294</v>
      </c>
      <c r="C1604" s="67">
        <v>0</v>
      </c>
      <c r="D1604" s="67">
        <v>0</v>
      </c>
      <c r="E1604" s="67">
        <v>0</v>
      </c>
      <c r="F1604" s="67">
        <v>0</v>
      </c>
      <c r="G1604" t="str">
        <f t="shared" si="50"/>
        <v>3505</v>
      </c>
      <c r="H1604" t="str">
        <f t="shared" si="51"/>
        <v>Non-Current Assets (Cost)</v>
      </c>
    </row>
    <row r="1605" spans="1:8" x14ac:dyDescent="0.25">
      <c r="A1605" t="s">
        <v>2295</v>
      </c>
      <c r="B1605" t="s">
        <v>2296</v>
      </c>
      <c r="C1605" s="67">
        <v>0</v>
      </c>
      <c r="D1605" s="67">
        <v>0</v>
      </c>
      <c r="E1605" s="67">
        <v>0</v>
      </c>
      <c r="F1605" s="67">
        <v>0</v>
      </c>
      <c r="G1605" t="str">
        <f t="shared" si="50"/>
        <v>3505</v>
      </c>
      <c r="H1605" t="str">
        <f t="shared" si="51"/>
        <v>Non-Current Assets (Acc Depreciation)</v>
      </c>
    </row>
    <row r="1606" spans="1:8" x14ac:dyDescent="0.25">
      <c r="A1606" t="s">
        <v>2297</v>
      </c>
      <c r="B1606" t="s">
        <v>377</v>
      </c>
      <c r="C1606" s="67" t="e">
        <v>#N/A</v>
      </c>
      <c r="D1606" s="67">
        <v>0</v>
      </c>
      <c r="E1606" s="67">
        <v>0</v>
      </c>
      <c r="F1606" s="67">
        <v>0</v>
      </c>
      <c r="G1606" t="str">
        <f t="shared" si="50"/>
        <v>3505</v>
      </c>
      <c r="H1606" t="str">
        <f t="shared" si="51"/>
        <v>Non-Current Assets (Acquisitions)</v>
      </c>
    </row>
    <row r="1607" spans="1:8" x14ac:dyDescent="0.25">
      <c r="A1607" t="s">
        <v>2298</v>
      </c>
      <c r="B1607" t="s">
        <v>2299</v>
      </c>
      <c r="C1607" s="67">
        <v>0</v>
      </c>
      <c r="D1607" s="67">
        <v>0</v>
      </c>
      <c r="E1607" s="67">
        <v>0</v>
      </c>
      <c r="F1607" s="67">
        <v>0</v>
      </c>
      <c r="G1607" t="str">
        <f t="shared" si="50"/>
        <v>3505</v>
      </c>
      <c r="H1607" t="str">
        <f t="shared" si="51"/>
        <v>Non-Current Assets (Cost)</v>
      </c>
    </row>
    <row r="1608" spans="1:8" x14ac:dyDescent="0.25">
      <c r="A1608" t="s">
        <v>2300</v>
      </c>
      <c r="B1608" t="s">
        <v>2301</v>
      </c>
      <c r="C1608" s="67">
        <v>0</v>
      </c>
      <c r="D1608" s="67">
        <v>0</v>
      </c>
      <c r="E1608" s="67">
        <v>0</v>
      </c>
      <c r="F1608" s="67">
        <v>0</v>
      </c>
      <c r="G1608" t="str">
        <f t="shared" si="50"/>
        <v>3505</v>
      </c>
      <c r="H1608" t="str">
        <f t="shared" si="51"/>
        <v>Non-Current Assets (Acc Depreciation)</v>
      </c>
    </row>
    <row r="1609" spans="1:8" x14ac:dyDescent="0.25">
      <c r="A1609" t="s">
        <v>2302</v>
      </c>
      <c r="B1609" t="s">
        <v>2303</v>
      </c>
      <c r="C1609" s="67">
        <v>0</v>
      </c>
      <c r="D1609" s="67">
        <v>0</v>
      </c>
      <c r="E1609" s="67">
        <v>0</v>
      </c>
      <c r="F1609" s="67">
        <v>0</v>
      </c>
      <c r="G1609" t="str">
        <f t="shared" si="50"/>
        <v>3505</v>
      </c>
      <c r="H1609" t="str">
        <f t="shared" si="51"/>
        <v>Non-Current Assets (Cost)</v>
      </c>
    </row>
    <row r="1610" spans="1:8" x14ac:dyDescent="0.25">
      <c r="A1610" t="s">
        <v>2304</v>
      </c>
      <c r="B1610" t="s">
        <v>2305</v>
      </c>
      <c r="C1610" s="67">
        <v>0</v>
      </c>
      <c r="D1610" s="67">
        <v>0</v>
      </c>
      <c r="E1610" s="67">
        <v>0</v>
      </c>
      <c r="F1610" s="67">
        <v>0</v>
      </c>
      <c r="G1610" t="str">
        <f t="shared" si="50"/>
        <v>3505</v>
      </c>
      <c r="H1610" t="str">
        <f t="shared" si="51"/>
        <v>Non-Current Assets (Acc Depreciation)</v>
      </c>
    </row>
    <row r="1611" spans="1:8" x14ac:dyDescent="0.25">
      <c r="A1611" t="s">
        <v>2306</v>
      </c>
      <c r="B1611" t="s">
        <v>2307</v>
      </c>
      <c r="C1611" s="67">
        <v>0</v>
      </c>
      <c r="D1611" s="67">
        <v>0</v>
      </c>
      <c r="E1611" s="67">
        <v>0</v>
      </c>
      <c r="F1611" s="67">
        <v>0</v>
      </c>
      <c r="G1611" t="str">
        <f t="shared" si="50"/>
        <v>3505</v>
      </c>
      <c r="H1611" t="str">
        <f t="shared" si="51"/>
        <v>Non-Current Assets (Acc Depreciation)</v>
      </c>
    </row>
    <row r="1612" spans="1:8" x14ac:dyDescent="0.25">
      <c r="A1612" t="s">
        <v>2308</v>
      </c>
      <c r="B1612" t="s">
        <v>2309</v>
      </c>
      <c r="C1612" s="67">
        <v>0</v>
      </c>
      <c r="D1612" s="67">
        <v>0</v>
      </c>
      <c r="E1612" s="67">
        <v>0</v>
      </c>
      <c r="F1612" s="67">
        <v>0</v>
      </c>
      <c r="G1612" t="str">
        <f t="shared" si="50"/>
        <v>3505</v>
      </c>
      <c r="H1612" t="str">
        <f t="shared" si="51"/>
        <v>Non-Current Assets (Acquisitions)</v>
      </c>
    </row>
    <row r="1613" spans="1:8" x14ac:dyDescent="0.25">
      <c r="A1613" t="s">
        <v>2310</v>
      </c>
      <c r="B1613" t="s">
        <v>2311</v>
      </c>
      <c r="C1613" s="67">
        <v>0</v>
      </c>
      <c r="D1613" s="67">
        <v>0</v>
      </c>
      <c r="E1613" s="67">
        <v>0</v>
      </c>
      <c r="F1613" s="67">
        <v>0</v>
      </c>
      <c r="G1613" t="str">
        <f t="shared" si="50"/>
        <v>3505</v>
      </c>
      <c r="H1613" t="str">
        <f t="shared" si="51"/>
        <v>Non-Current Assets (Acc Depreciation)</v>
      </c>
    </row>
    <row r="1614" spans="1:8" x14ac:dyDescent="0.25">
      <c r="A1614" t="s">
        <v>2312</v>
      </c>
      <c r="B1614" t="s">
        <v>377</v>
      </c>
      <c r="C1614" s="67" t="e">
        <v>#N/A</v>
      </c>
      <c r="D1614" s="67">
        <v>0</v>
      </c>
      <c r="E1614" s="67">
        <v>0</v>
      </c>
      <c r="F1614" s="67">
        <v>0</v>
      </c>
      <c r="G1614" t="str">
        <f t="shared" si="50"/>
        <v>3505</v>
      </c>
      <c r="H1614" t="str">
        <f t="shared" si="51"/>
        <v>Non-Current Assets (Acquisitions)</v>
      </c>
    </row>
    <row r="1615" spans="1:8" x14ac:dyDescent="0.25">
      <c r="A1615" t="s">
        <v>2313</v>
      </c>
      <c r="B1615" t="s">
        <v>2284</v>
      </c>
      <c r="C1615" s="67">
        <v>0</v>
      </c>
      <c r="D1615" s="67">
        <v>0</v>
      </c>
      <c r="E1615" s="67">
        <v>0</v>
      </c>
      <c r="F1615" s="67">
        <v>0</v>
      </c>
      <c r="G1615" t="str">
        <f t="shared" si="50"/>
        <v>3506</v>
      </c>
      <c r="H1615" t="str">
        <f t="shared" si="51"/>
        <v>Loss on disposal of assets and liabilities</v>
      </c>
    </row>
    <row r="1616" spans="1:8" x14ac:dyDescent="0.25">
      <c r="A1616" t="s">
        <v>2314</v>
      </c>
      <c r="B1616" t="s">
        <v>2286</v>
      </c>
      <c r="C1616" s="67">
        <v>0</v>
      </c>
      <c r="D1616" s="67">
        <v>0</v>
      </c>
      <c r="E1616" s="67">
        <v>0</v>
      </c>
      <c r="F1616" s="67">
        <v>0</v>
      </c>
      <c r="G1616" t="str">
        <f t="shared" si="50"/>
        <v>3506</v>
      </c>
      <c r="H1616" t="str">
        <f t="shared" si="51"/>
        <v>Loss on disposal of assets and liabilities</v>
      </c>
    </row>
    <row r="1617" spans="1:8" x14ac:dyDescent="0.25">
      <c r="A1617" t="s">
        <v>2315</v>
      </c>
      <c r="B1617" t="s">
        <v>417</v>
      </c>
      <c r="C1617" s="67" t="e">
        <v>#N/A</v>
      </c>
      <c r="D1617" s="67">
        <v>0</v>
      </c>
      <c r="E1617" s="67">
        <v>0</v>
      </c>
      <c r="F1617" s="67">
        <v>0</v>
      </c>
      <c r="G1617" t="str">
        <f t="shared" si="50"/>
        <v>3506</v>
      </c>
      <c r="H1617" t="str">
        <f t="shared" si="51"/>
        <v>Non-Current Assets (Acquisitions)</v>
      </c>
    </row>
    <row r="1618" spans="1:8" x14ac:dyDescent="0.25">
      <c r="A1618" t="s">
        <v>2316</v>
      </c>
      <c r="B1618" t="s">
        <v>2299</v>
      </c>
      <c r="C1618" s="67">
        <v>0</v>
      </c>
      <c r="D1618" s="67">
        <v>0</v>
      </c>
      <c r="E1618" s="67">
        <v>0</v>
      </c>
      <c r="F1618" s="67">
        <v>0</v>
      </c>
      <c r="G1618" t="str">
        <f t="shared" si="50"/>
        <v>3506</v>
      </c>
      <c r="H1618" t="str">
        <f t="shared" si="51"/>
        <v>Non-Current Assets (Cost)</v>
      </c>
    </row>
    <row r="1619" spans="1:8" x14ac:dyDescent="0.25">
      <c r="A1619" t="s">
        <v>2317</v>
      </c>
      <c r="B1619" t="s">
        <v>2301</v>
      </c>
      <c r="C1619" s="67">
        <v>0</v>
      </c>
      <c r="D1619" s="67">
        <v>0</v>
      </c>
      <c r="E1619" s="67">
        <v>0</v>
      </c>
      <c r="F1619" s="67">
        <v>0</v>
      </c>
      <c r="G1619" t="str">
        <f t="shared" si="50"/>
        <v>3506</v>
      </c>
      <c r="H1619" t="str">
        <f t="shared" si="51"/>
        <v>Non-Current Assets (Acc Depreciation)</v>
      </c>
    </row>
    <row r="1620" spans="1:8" x14ac:dyDescent="0.25">
      <c r="A1620" t="s">
        <v>2318</v>
      </c>
      <c r="B1620" t="s">
        <v>2303</v>
      </c>
      <c r="C1620" s="67">
        <v>0</v>
      </c>
      <c r="D1620" s="67">
        <v>0</v>
      </c>
      <c r="E1620" s="67">
        <v>0</v>
      </c>
      <c r="F1620" s="67">
        <v>0</v>
      </c>
      <c r="G1620" t="str">
        <f t="shared" si="50"/>
        <v>3506</v>
      </c>
      <c r="H1620" t="str">
        <f t="shared" si="51"/>
        <v>Non-Current Assets (Cost)</v>
      </c>
    </row>
    <row r="1621" spans="1:8" x14ac:dyDescent="0.25">
      <c r="A1621" t="s">
        <v>2319</v>
      </c>
      <c r="B1621" t="s">
        <v>2305</v>
      </c>
      <c r="C1621" s="67">
        <v>0</v>
      </c>
      <c r="D1621" s="67">
        <v>0</v>
      </c>
      <c r="E1621" s="67">
        <v>0</v>
      </c>
      <c r="F1621" s="67">
        <v>0</v>
      </c>
      <c r="G1621" t="str">
        <f t="shared" si="50"/>
        <v>3506</v>
      </c>
      <c r="H1621" t="str">
        <f t="shared" si="51"/>
        <v>Non-Current Assets (Acc Depreciation)</v>
      </c>
    </row>
    <row r="1622" spans="1:8" x14ac:dyDescent="0.25">
      <c r="A1622" t="s">
        <v>2320</v>
      </c>
      <c r="B1622" t="s">
        <v>157</v>
      </c>
      <c r="C1622" s="67">
        <v>0</v>
      </c>
      <c r="D1622" s="67">
        <v>0</v>
      </c>
      <c r="E1622" s="67">
        <v>0</v>
      </c>
      <c r="F1622" s="67">
        <v>0</v>
      </c>
      <c r="G1622" t="str">
        <f t="shared" si="50"/>
        <v>3507</v>
      </c>
      <c r="H1622" t="str">
        <f t="shared" si="51"/>
        <v>Employee related costs</v>
      </c>
    </row>
    <row r="1623" spans="1:8" x14ac:dyDescent="0.25">
      <c r="A1623" t="s">
        <v>2321</v>
      </c>
      <c r="B1623" t="s">
        <v>2322</v>
      </c>
      <c r="C1623" s="67">
        <v>0</v>
      </c>
      <c r="D1623" s="67">
        <v>0</v>
      </c>
      <c r="E1623" s="67">
        <v>0</v>
      </c>
      <c r="F1623" s="67">
        <v>0</v>
      </c>
      <c r="G1623" t="str">
        <f t="shared" si="50"/>
        <v>3507</v>
      </c>
      <c r="H1623" t="str">
        <f t="shared" si="51"/>
        <v>General expenses</v>
      </c>
    </row>
    <row r="1624" spans="1:8" x14ac:dyDescent="0.25">
      <c r="A1624" t="s">
        <v>2323</v>
      </c>
      <c r="B1624" t="s">
        <v>2284</v>
      </c>
      <c r="C1624" s="67">
        <v>0</v>
      </c>
      <c r="D1624" s="67">
        <v>0</v>
      </c>
      <c r="E1624" s="67">
        <v>0</v>
      </c>
      <c r="F1624" s="67">
        <v>0</v>
      </c>
      <c r="G1624" t="str">
        <f t="shared" si="50"/>
        <v>3507</v>
      </c>
      <c r="H1624" t="str">
        <f t="shared" si="51"/>
        <v>Loss on disposal of assets and liabilities</v>
      </c>
    </row>
    <row r="1625" spans="1:8" x14ac:dyDescent="0.25">
      <c r="A1625" t="s">
        <v>2324</v>
      </c>
      <c r="B1625" t="s">
        <v>2286</v>
      </c>
      <c r="C1625" s="67">
        <v>0</v>
      </c>
      <c r="D1625" s="67">
        <v>0</v>
      </c>
      <c r="E1625" s="67">
        <v>0</v>
      </c>
      <c r="F1625" s="67">
        <v>0</v>
      </c>
      <c r="G1625" t="str">
        <f t="shared" si="50"/>
        <v>3507</v>
      </c>
      <c r="H1625" t="str">
        <f t="shared" si="51"/>
        <v>Loss on disposal of assets and liabilities</v>
      </c>
    </row>
    <row r="1626" spans="1:8" x14ac:dyDescent="0.25">
      <c r="A1626" t="s">
        <v>2325</v>
      </c>
      <c r="B1626" t="s">
        <v>2326</v>
      </c>
      <c r="C1626" s="67" t="e">
        <v>#N/A</v>
      </c>
      <c r="D1626" s="67">
        <v>0</v>
      </c>
      <c r="E1626" s="67">
        <v>0</v>
      </c>
      <c r="F1626" s="67">
        <v>0</v>
      </c>
      <c r="G1626" t="str">
        <f t="shared" si="50"/>
        <v>3507</v>
      </c>
      <c r="H1626" t="str">
        <f t="shared" si="51"/>
        <v>Non-Current Assets (Acquisitions)</v>
      </c>
    </row>
    <row r="1627" spans="1:8" x14ac:dyDescent="0.25">
      <c r="A1627" t="s">
        <v>2327</v>
      </c>
      <c r="B1627" t="s">
        <v>2299</v>
      </c>
      <c r="C1627" s="67">
        <v>0</v>
      </c>
      <c r="D1627" s="67">
        <v>0</v>
      </c>
      <c r="E1627" s="67">
        <v>0</v>
      </c>
      <c r="F1627" s="67">
        <v>0</v>
      </c>
      <c r="G1627" t="str">
        <f t="shared" si="50"/>
        <v>3507</v>
      </c>
      <c r="H1627" t="str">
        <f t="shared" si="51"/>
        <v>Non-Current Assets (Cost)</v>
      </c>
    </row>
    <row r="1628" spans="1:8" x14ac:dyDescent="0.25">
      <c r="A1628" t="s">
        <v>2328</v>
      </c>
      <c r="B1628" t="s">
        <v>2301</v>
      </c>
      <c r="C1628" s="67">
        <v>0</v>
      </c>
      <c r="D1628" s="67">
        <v>0</v>
      </c>
      <c r="E1628" s="67">
        <v>0</v>
      </c>
      <c r="F1628" s="67">
        <v>0</v>
      </c>
      <c r="G1628" t="str">
        <f t="shared" si="50"/>
        <v>3507</v>
      </c>
      <c r="H1628" t="str">
        <f t="shared" si="51"/>
        <v>Non-Current Assets (Acc Depreciation)</v>
      </c>
    </row>
    <row r="1629" spans="1:8" x14ac:dyDescent="0.25">
      <c r="A1629" t="s">
        <v>2329</v>
      </c>
      <c r="B1629" t="s">
        <v>2330</v>
      </c>
      <c r="C1629" s="67" t="e">
        <v>#N/A</v>
      </c>
      <c r="D1629" s="67">
        <v>0</v>
      </c>
      <c r="E1629" s="67">
        <v>0</v>
      </c>
      <c r="F1629" s="67">
        <v>0</v>
      </c>
      <c r="G1629" t="str">
        <f t="shared" si="50"/>
        <v>3507</v>
      </c>
      <c r="H1629" t="str">
        <f t="shared" si="51"/>
        <v>Non-Current Assets (Acquisitions)</v>
      </c>
    </row>
    <row r="1630" spans="1:8" x14ac:dyDescent="0.25">
      <c r="A1630" t="s">
        <v>2331</v>
      </c>
      <c r="B1630" t="s">
        <v>2303</v>
      </c>
      <c r="C1630" s="67">
        <v>0</v>
      </c>
      <c r="D1630" s="67">
        <v>0</v>
      </c>
      <c r="E1630" s="67">
        <v>0</v>
      </c>
      <c r="F1630" s="67">
        <v>0</v>
      </c>
      <c r="G1630" t="str">
        <f t="shared" si="50"/>
        <v>3507</v>
      </c>
      <c r="H1630" t="str">
        <f t="shared" si="51"/>
        <v>Non-Current Assets (Cost)</v>
      </c>
    </row>
    <row r="1631" spans="1:8" x14ac:dyDescent="0.25">
      <c r="A1631" t="s">
        <v>2332</v>
      </c>
      <c r="B1631" t="s">
        <v>2305</v>
      </c>
      <c r="C1631" s="67">
        <v>0</v>
      </c>
      <c r="D1631" s="67">
        <v>0</v>
      </c>
      <c r="E1631" s="67">
        <v>0</v>
      </c>
      <c r="F1631" s="67">
        <v>0</v>
      </c>
      <c r="G1631" t="str">
        <f t="shared" si="50"/>
        <v>3507</v>
      </c>
      <c r="H1631" t="str">
        <f t="shared" si="51"/>
        <v>Non-Current Assets (Acc Depreciation)</v>
      </c>
    </row>
    <row r="1632" spans="1:8" x14ac:dyDescent="0.25">
      <c r="A1632" t="s">
        <v>2333</v>
      </c>
      <c r="B1632" t="s">
        <v>2284</v>
      </c>
      <c r="C1632" s="67">
        <v>0</v>
      </c>
      <c r="D1632" s="67">
        <v>0</v>
      </c>
      <c r="E1632" s="67">
        <v>0</v>
      </c>
      <c r="F1632" s="67">
        <v>0</v>
      </c>
      <c r="G1632" t="str">
        <f t="shared" si="50"/>
        <v>3508</v>
      </c>
      <c r="H1632" t="str">
        <f t="shared" si="51"/>
        <v>Loss on disposal of assets and liabilities</v>
      </c>
    </row>
    <row r="1633" spans="1:8" x14ac:dyDescent="0.25">
      <c r="A1633" t="s">
        <v>2334</v>
      </c>
      <c r="B1633" t="s">
        <v>2286</v>
      </c>
      <c r="C1633" s="67">
        <v>0</v>
      </c>
      <c r="D1633" s="67">
        <v>0</v>
      </c>
      <c r="E1633" s="67">
        <v>0</v>
      </c>
      <c r="F1633" s="67">
        <v>0</v>
      </c>
      <c r="G1633" t="str">
        <f t="shared" si="50"/>
        <v>3508</v>
      </c>
      <c r="H1633" t="str">
        <f t="shared" si="51"/>
        <v>Loss on disposal of assets and liabilities</v>
      </c>
    </row>
    <row r="1634" spans="1:8" x14ac:dyDescent="0.25">
      <c r="A1634" t="s">
        <v>2335</v>
      </c>
      <c r="B1634" t="s">
        <v>2336</v>
      </c>
      <c r="C1634" s="67">
        <v>0</v>
      </c>
      <c r="D1634" s="67">
        <v>0</v>
      </c>
      <c r="E1634" s="67">
        <v>250000</v>
      </c>
      <c r="F1634" s="67">
        <v>275000</v>
      </c>
      <c r="G1634" t="str">
        <f t="shared" si="50"/>
        <v>3508</v>
      </c>
      <c r="H1634" t="str">
        <f t="shared" si="51"/>
        <v>Loss on disposal of assets and liabilities</v>
      </c>
    </row>
    <row r="1635" spans="1:8" x14ac:dyDescent="0.25">
      <c r="A1635" t="s">
        <v>2337</v>
      </c>
      <c r="B1635" t="s">
        <v>2338</v>
      </c>
      <c r="C1635" s="67">
        <v>0</v>
      </c>
      <c r="D1635" s="67">
        <v>0</v>
      </c>
      <c r="E1635" s="67">
        <v>0</v>
      </c>
      <c r="F1635" s="67">
        <v>0</v>
      </c>
      <c r="G1635" t="str">
        <f t="shared" si="50"/>
        <v>3508</v>
      </c>
      <c r="H1635" t="str">
        <f t="shared" si="51"/>
        <v>Non-Current Assets (Cost)</v>
      </c>
    </row>
    <row r="1636" spans="1:8" x14ac:dyDescent="0.25">
      <c r="A1636" t="s">
        <v>2339</v>
      </c>
      <c r="B1636" t="s">
        <v>2340</v>
      </c>
      <c r="C1636" s="67">
        <v>0</v>
      </c>
      <c r="D1636" s="67">
        <v>0</v>
      </c>
      <c r="E1636" s="67">
        <v>0</v>
      </c>
      <c r="F1636" s="67">
        <v>0</v>
      </c>
      <c r="G1636" t="str">
        <f t="shared" si="50"/>
        <v>3508</v>
      </c>
      <c r="H1636" t="str">
        <f t="shared" si="51"/>
        <v>Non-Current Assets (Acc Depreciation)</v>
      </c>
    </row>
    <row r="1637" spans="1:8" x14ac:dyDescent="0.25">
      <c r="A1637" t="s">
        <v>2341</v>
      </c>
      <c r="B1637" t="s">
        <v>2299</v>
      </c>
      <c r="C1637" s="67">
        <v>0</v>
      </c>
      <c r="D1637" s="67">
        <v>0</v>
      </c>
      <c r="E1637" s="67">
        <v>0</v>
      </c>
      <c r="F1637" s="67">
        <v>0</v>
      </c>
      <c r="G1637" t="str">
        <f t="shared" si="50"/>
        <v>3508</v>
      </c>
      <c r="H1637" t="str">
        <f t="shared" si="51"/>
        <v>Non-Current Assets (Cost)</v>
      </c>
    </row>
    <row r="1638" spans="1:8" x14ac:dyDescent="0.25">
      <c r="A1638" t="s">
        <v>2342</v>
      </c>
      <c r="B1638" t="s">
        <v>2301</v>
      </c>
      <c r="C1638" s="67">
        <v>0</v>
      </c>
      <c r="D1638" s="67">
        <v>0</v>
      </c>
      <c r="E1638" s="67">
        <v>0</v>
      </c>
      <c r="F1638" s="67">
        <v>0</v>
      </c>
      <c r="G1638" t="str">
        <f t="shared" si="50"/>
        <v>3508</v>
      </c>
      <c r="H1638" t="str">
        <f t="shared" si="51"/>
        <v>Non-Current Assets (Acc Depreciation)</v>
      </c>
    </row>
    <row r="1639" spans="1:8" x14ac:dyDescent="0.25">
      <c r="A1639" t="s">
        <v>2343</v>
      </c>
      <c r="B1639" t="s">
        <v>2303</v>
      </c>
      <c r="C1639" s="67">
        <v>0</v>
      </c>
      <c r="D1639" s="67">
        <v>0</v>
      </c>
      <c r="E1639" s="67">
        <v>0</v>
      </c>
      <c r="F1639" s="67">
        <v>0</v>
      </c>
      <c r="G1639" t="str">
        <f t="shared" si="50"/>
        <v>3508</v>
      </c>
      <c r="H1639" t="str">
        <f t="shared" si="51"/>
        <v>Non-Current Assets (Cost)</v>
      </c>
    </row>
    <row r="1640" spans="1:8" x14ac:dyDescent="0.25">
      <c r="A1640" t="s">
        <v>2344</v>
      </c>
      <c r="B1640" t="s">
        <v>2305</v>
      </c>
      <c r="C1640" s="67">
        <v>0</v>
      </c>
      <c r="D1640" s="67">
        <v>0</v>
      </c>
      <c r="E1640" s="67">
        <v>0</v>
      </c>
      <c r="F1640" s="67">
        <v>0</v>
      </c>
      <c r="G1640" t="str">
        <f t="shared" si="50"/>
        <v>3508</v>
      </c>
      <c r="H1640" t="str">
        <f t="shared" si="51"/>
        <v>Non-Current Assets (Acc Depreciation)</v>
      </c>
    </row>
    <row r="1641" spans="1:8" x14ac:dyDescent="0.25">
      <c r="A1641" t="s">
        <v>2345</v>
      </c>
      <c r="B1641" t="s">
        <v>2346</v>
      </c>
      <c r="C1641" s="67" t="e">
        <v>#N/A</v>
      </c>
      <c r="D1641" s="67">
        <v>0</v>
      </c>
      <c r="E1641" s="67">
        <v>0</v>
      </c>
      <c r="F1641" s="67">
        <v>0</v>
      </c>
      <c r="G1641" t="str">
        <f t="shared" si="50"/>
        <v>3509</v>
      </c>
      <c r="H1641" t="str">
        <f t="shared" si="51"/>
        <v>Government grants &amp; subsidies</v>
      </c>
    </row>
    <row r="1642" spans="1:8" x14ac:dyDescent="0.25">
      <c r="A1642" t="s">
        <v>2347</v>
      </c>
      <c r="B1642" t="s">
        <v>238</v>
      </c>
      <c r="C1642" s="67">
        <v>0</v>
      </c>
      <c r="D1642" s="67">
        <v>0</v>
      </c>
      <c r="E1642" s="67">
        <v>0</v>
      </c>
      <c r="F1642" s="67">
        <v>0</v>
      </c>
      <c r="G1642" t="str">
        <f t="shared" si="50"/>
        <v>3509</v>
      </c>
      <c r="H1642" t="str">
        <f t="shared" si="51"/>
        <v>Contracted services</v>
      </c>
    </row>
    <row r="1643" spans="1:8" x14ac:dyDescent="0.25">
      <c r="A1643" t="s">
        <v>2348</v>
      </c>
      <c r="B1643" t="s">
        <v>2349</v>
      </c>
      <c r="C1643" s="67">
        <v>0</v>
      </c>
      <c r="D1643" s="67">
        <v>0</v>
      </c>
      <c r="E1643" s="67">
        <v>0</v>
      </c>
      <c r="F1643" s="67">
        <v>0</v>
      </c>
      <c r="G1643" t="str">
        <f t="shared" si="50"/>
        <v>3509</v>
      </c>
      <c r="H1643" t="str">
        <f t="shared" si="51"/>
        <v>Current Employee Benefits</v>
      </c>
    </row>
    <row r="1644" spans="1:8" x14ac:dyDescent="0.25">
      <c r="A1644" t="s">
        <v>2350</v>
      </c>
      <c r="B1644" t="s">
        <v>2060</v>
      </c>
      <c r="C1644" s="67">
        <v>0</v>
      </c>
      <c r="D1644" s="67">
        <v>0</v>
      </c>
      <c r="E1644" s="67">
        <v>0</v>
      </c>
      <c r="F1644" s="67">
        <v>0</v>
      </c>
      <c r="G1644" t="str">
        <f t="shared" si="50"/>
        <v>3509</v>
      </c>
      <c r="H1644" t="str">
        <f t="shared" si="51"/>
        <v>Unspent conditional grants and receipts</v>
      </c>
    </row>
    <row r="1645" spans="1:8" x14ac:dyDescent="0.25">
      <c r="A1645" t="s">
        <v>2351</v>
      </c>
      <c r="B1645" t="s">
        <v>2352</v>
      </c>
      <c r="C1645" s="67">
        <v>0</v>
      </c>
      <c r="D1645" s="67">
        <v>0</v>
      </c>
      <c r="E1645" s="67">
        <v>0</v>
      </c>
      <c r="F1645" s="67">
        <v>0</v>
      </c>
      <c r="G1645" t="str">
        <f t="shared" si="50"/>
        <v>3509</v>
      </c>
      <c r="H1645" t="str">
        <f t="shared" si="51"/>
        <v>Unspent conditional grants and receipts</v>
      </c>
    </row>
    <row r="1646" spans="1:8" x14ac:dyDescent="0.25">
      <c r="A1646" t="s">
        <v>2353</v>
      </c>
      <c r="B1646" t="s">
        <v>63</v>
      </c>
      <c r="C1646" s="67" t="e">
        <v>#N/A</v>
      </c>
      <c r="D1646" s="67">
        <v>0</v>
      </c>
      <c r="E1646" s="67">
        <v>0</v>
      </c>
      <c r="F1646" s="67">
        <v>0</v>
      </c>
      <c r="G1646" t="str">
        <f t="shared" si="50"/>
        <v>3510</v>
      </c>
      <c r="H1646" t="str">
        <f t="shared" si="51"/>
        <v>Rental of facilities and equipment</v>
      </c>
    </row>
    <row r="1647" spans="1:8" x14ac:dyDescent="0.25">
      <c r="A1647" t="s">
        <v>2354</v>
      </c>
      <c r="B1647" t="s">
        <v>85</v>
      </c>
      <c r="C1647" s="67">
        <v>0</v>
      </c>
      <c r="D1647" s="67">
        <v>0</v>
      </c>
      <c r="E1647" s="67">
        <v>0</v>
      </c>
      <c r="F1647" s="67">
        <v>0</v>
      </c>
      <c r="G1647" t="str">
        <f t="shared" si="50"/>
        <v>3510</v>
      </c>
      <c r="H1647" t="str">
        <f t="shared" si="51"/>
        <v>Other income</v>
      </c>
    </row>
    <row r="1648" spans="1:8" x14ac:dyDescent="0.25">
      <c r="A1648" t="s">
        <v>2355</v>
      </c>
      <c r="B1648" t="s">
        <v>87</v>
      </c>
      <c r="C1648" s="67">
        <v>0</v>
      </c>
      <c r="D1648" s="67">
        <v>0</v>
      </c>
      <c r="E1648" s="67">
        <v>0</v>
      </c>
      <c r="F1648" s="67">
        <v>0</v>
      </c>
      <c r="G1648" t="str">
        <f t="shared" si="50"/>
        <v>3510</v>
      </c>
      <c r="H1648" t="str">
        <f t="shared" si="51"/>
        <v>Other income</v>
      </c>
    </row>
    <row r="1649" spans="1:8" x14ac:dyDescent="0.25">
      <c r="A1649" t="s">
        <v>2356</v>
      </c>
      <c r="B1649" t="s">
        <v>2357</v>
      </c>
      <c r="C1649" s="67">
        <v>0</v>
      </c>
      <c r="D1649" s="67">
        <v>0</v>
      </c>
      <c r="E1649" s="67">
        <v>0</v>
      </c>
      <c r="F1649" s="67">
        <v>0</v>
      </c>
      <c r="G1649" t="str">
        <f t="shared" si="50"/>
        <v>3510</v>
      </c>
      <c r="H1649" t="str">
        <f t="shared" si="51"/>
        <v>Contracted services</v>
      </c>
    </row>
    <row r="1650" spans="1:8" x14ac:dyDescent="0.25">
      <c r="A1650" t="s">
        <v>1339</v>
      </c>
      <c r="B1650" t="s">
        <v>225</v>
      </c>
      <c r="C1650" s="67">
        <v>0</v>
      </c>
      <c r="D1650" s="67">
        <v>0</v>
      </c>
      <c r="E1650" s="67">
        <v>400000</v>
      </c>
      <c r="F1650" s="67">
        <v>400000</v>
      </c>
      <c r="G1650" t="str">
        <f t="shared" si="50"/>
        <v>3510</v>
      </c>
      <c r="H1650" t="str">
        <f t="shared" si="51"/>
        <v>Contracted services</v>
      </c>
    </row>
    <row r="1651" spans="1:8" x14ac:dyDescent="0.25">
      <c r="A1651" t="s">
        <v>2358</v>
      </c>
      <c r="B1651" t="s">
        <v>225</v>
      </c>
      <c r="C1651" s="67">
        <v>0</v>
      </c>
      <c r="D1651" s="67">
        <v>0</v>
      </c>
      <c r="E1651" s="67">
        <v>0</v>
      </c>
      <c r="F1651" s="67">
        <v>0</v>
      </c>
      <c r="G1651" t="str">
        <f t="shared" si="50"/>
        <v>3510</v>
      </c>
      <c r="H1651" t="str">
        <f t="shared" si="51"/>
        <v>Contracted services</v>
      </c>
    </row>
    <row r="1652" spans="1:8" x14ac:dyDescent="0.25">
      <c r="A1652" t="s">
        <v>2359</v>
      </c>
      <c r="B1652" t="s">
        <v>238</v>
      </c>
      <c r="C1652" s="67">
        <v>0</v>
      </c>
      <c r="D1652" s="67">
        <v>0</v>
      </c>
      <c r="E1652" s="67">
        <v>0</v>
      </c>
      <c r="F1652" s="67">
        <v>0</v>
      </c>
      <c r="G1652" t="str">
        <f t="shared" si="50"/>
        <v>3510</v>
      </c>
      <c r="H1652" t="str">
        <f t="shared" si="51"/>
        <v>Contracted services</v>
      </c>
    </row>
    <row r="1653" spans="1:8" x14ac:dyDescent="0.25">
      <c r="A1653" t="s">
        <v>2360</v>
      </c>
      <c r="B1653" t="s">
        <v>268</v>
      </c>
      <c r="C1653" s="67">
        <v>0</v>
      </c>
      <c r="D1653" s="67">
        <v>0</v>
      </c>
      <c r="E1653" s="67">
        <v>0</v>
      </c>
      <c r="F1653" s="67">
        <v>0</v>
      </c>
      <c r="G1653" t="str">
        <f t="shared" si="50"/>
        <v>3510</v>
      </c>
      <c r="H1653" t="str">
        <f t="shared" si="51"/>
        <v>General expenses</v>
      </c>
    </row>
    <row r="1654" spans="1:8" x14ac:dyDescent="0.25">
      <c r="A1654" t="s">
        <v>2361</v>
      </c>
      <c r="B1654" t="s">
        <v>85</v>
      </c>
      <c r="C1654" s="67" t="e">
        <v>#N/A</v>
      </c>
      <c r="D1654" s="67">
        <v>0</v>
      </c>
      <c r="E1654" s="67">
        <v>0</v>
      </c>
      <c r="F1654" s="67">
        <v>0</v>
      </c>
      <c r="G1654" t="str">
        <f t="shared" si="50"/>
        <v>3511</v>
      </c>
      <c r="H1654" t="str">
        <f t="shared" si="51"/>
        <v>Other income</v>
      </c>
    </row>
    <row r="1655" spans="1:8" x14ac:dyDescent="0.25">
      <c r="A1655" t="s">
        <v>2362</v>
      </c>
      <c r="B1655" t="s">
        <v>86</v>
      </c>
      <c r="C1655" s="67" t="e">
        <v>#N/A</v>
      </c>
      <c r="D1655" s="67">
        <v>0</v>
      </c>
      <c r="E1655" s="67">
        <v>0</v>
      </c>
      <c r="F1655" s="67">
        <v>0</v>
      </c>
      <c r="G1655" t="str">
        <f t="shared" si="50"/>
        <v>3511</v>
      </c>
      <c r="H1655" t="str">
        <f t="shared" si="51"/>
        <v>Other income</v>
      </c>
    </row>
    <row r="1656" spans="1:8" x14ac:dyDescent="0.25">
      <c r="A1656" t="s">
        <v>2363</v>
      </c>
      <c r="B1656" t="s">
        <v>87</v>
      </c>
      <c r="C1656" s="67" t="e">
        <v>#N/A</v>
      </c>
      <c r="D1656" s="67">
        <v>0</v>
      </c>
      <c r="E1656" s="67">
        <v>0</v>
      </c>
      <c r="F1656" s="67">
        <v>0</v>
      </c>
      <c r="G1656" t="str">
        <f t="shared" si="50"/>
        <v>3511</v>
      </c>
      <c r="H1656" t="str">
        <f t="shared" si="51"/>
        <v>Other income</v>
      </c>
    </row>
    <row r="1657" spans="1:8" x14ac:dyDescent="0.25">
      <c r="A1657" t="s">
        <v>2364</v>
      </c>
      <c r="B1657" t="s">
        <v>2284</v>
      </c>
      <c r="C1657" s="67">
        <v>0</v>
      </c>
      <c r="D1657" s="67">
        <v>0</v>
      </c>
      <c r="E1657" s="67">
        <v>0</v>
      </c>
      <c r="F1657" s="67">
        <v>0</v>
      </c>
      <c r="G1657" t="str">
        <f t="shared" si="50"/>
        <v>3511</v>
      </c>
      <c r="H1657" t="str">
        <f t="shared" si="51"/>
        <v>Loss on disposal of assets and liabilities</v>
      </c>
    </row>
    <row r="1658" spans="1:8" x14ac:dyDescent="0.25">
      <c r="A1658" t="s">
        <v>2365</v>
      </c>
      <c r="B1658" t="s">
        <v>2286</v>
      </c>
      <c r="C1658" s="67">
        <v>0</v>
      </c>
      <c r="D1658" s="67">
        <v>0</v>
      </c>
      <c r="E1658" s="67">
        <v>0</v>
      </c>
      <c r="F1658" s="67">
        <v>0</v>
      </c>
      <c r="G1658" t="str">
        <f t="shared" si="50"/>
        <v>3511</v>
      </c>
      <c r="H1658" t="str">
        <f t="shared" si="51"/>
        <v>Loss on disposal of assets and liabilities</v>
      </c>
    </row>
    <row r="1659" spans="1:8" x14ac:dyDescent="0.25">
      <c r="A1659" t="s">
        <v>2366</v>
      </c>
      <c r="B1659" t="s">
        <v>2299</v>
      </c>
      <c r="C1659" s="67">
        <v>0</v>
      </c>
      <c r="D1659" s="67">
        <v>0</v>
      </c>
      <c r="E1659" s="67">
        <v>0</v>
      </c>
      <c r="F1659" s="67">
        <v>0</v>
      </c>
      <c r="G1659" t="str">
        <f t="shared" si="50"/>
        <v>3511</v>
      </c>
      <c r="H1659" t="str">
        <f t="shared" si="51"/>
        <v>Non-Current Assets (Cost)</v>
      </c>
    </row>
    <row r="1660" spans="1:8" x14ac:dyDescent="0.25">
      <c r="A1660" t="s">
        <v>2367</v>
      </c>
      <c r="B1660" t="s">
        <v>2301</v>
      </c>
      <c r="C1660" s="67">
        <v>0</v>
      </c>
      <c r="D1660" s="67">
        <v>0</v>
      </c>
      <c r="E1660" s="67">
        <v>0</v>
      </c>
      <c r="F1660" s="67">
        <v>0</v>
      </c>
      <c r="G1660" t="str">
        <f t="shared" si="50"/>
        <v>3511</v>
      </c>
      <c r="H1660" t="str">
        <f t="shared" si="51"/>
        <v>Non-Current Assets (Acc Depreciation)</v>
      </c>
    </row>
    <row r="1661" spans="1:8" x14ac:dyDescent="0.25">
      <c r="A1661" t="s">
        <v>2368</v>
      </c>
      <c r="B1661" t="s">
        <v>2303</v>
      </c>
      <c r="C1661" s="67">
        <v>0</v>
      </c>
      <c r="D1661" s="67">
        <v>0</v>
      </c>
      <c r="E1661" s="67">
        <v>0</v>
      </c>
      <c r="F1661" s="67">
        <v>0</v>
      </c>
      <c r="G1661" t="str">
        <f t="shared" si="50"/>
        <v>3511</v>
      </c>
      <c r="H1661" t="str">
        <f t="shared" si="51"/>
        <v>Non-Current Assets (Cost)</v>
      </c>
    </row>
    <row r="1662" spans="1:8" x14ac:dyDescent="0.25">
      <c r="A1662" t="s">
        <v>2369</v>
      </c>
      <c r="B1662" t="s">
        <v>2305</v>
      </c>
      <c r="C1662" s="67">
        <v>0</v>
      </c>
      <c r="D1662" s="67">
        <v>0</v>
      </c>
      <c r="E1662" s="67">
        <v>0</v>
      </c>
      <c r="F1662" s="67">
        <v>0</v>
      </c>
      <c r="G1662" t="str">
        <f t="shared" si="50"/>
        <v>3511</v>
      </c>
      <c r="H1662" t="str">
        <f t="shared" si="51"/>
        <v>Non-Current Assets (Acc Depreciation)</v>
      </c>
    </row>
    <row r="1663" spans="1:8" x14ac:dyDescent="0.25">
      <c r="A1663" t="s">
        <v>2370</v>
      </c>
      <c r="B1663" t="s">
        <v>152</v>
      </c>
      <c r="C1663" s="67">
        <v>0</v>
      </c>
      <c r="D1663" s="67">
        <v>0</v>
      </c>
      <c r="E1663" s="67">
        <v>0</v>
      </c>
      <c r="F1663" s="67">
        <v>0</v>
      </c>
      <c r="G1663" t="str">
        <f t="shared" si="50"/>
        <v>3512</v>
      </c>
      <c r="H1663" t="str">
        <f t="shared" si="51"/>
        <v>Employee related costs</v>
      </c>
    </row>
    <row r="1664" spans="1:8" x14ac:dyDescent="0.25">
      <c r="A1664" t="s">
        <v>2371</v>
      </c>
      <c r="B1664" t="s">
        <v>265</v>
      </c>
      <c r="C1664" s="67">
        <v>0</v>
      </c>
      <c r="D1664" s="67">
        <v>0</v>
      </c>
      <c r="E1664" s="67">
        <v>0</v>
      </c>
      <c r="F1664" s="67">
        <v>0</v>
      </c>
      <c r="G1664" t="str">
        <f t="shared" si="50"/>
        <v>3512</v>
      </c>
      <c r="H1664" t="str">
        <f t="shared" si="51"/>
        <v>General expenses</v>
      </c>
    </row>
    <row r="1665" spans="1:8" x14ac:dyDescent="0.25">
      <c r="A1665" t="s">
        <v>2372</v>
      </c>
      <c r="B1665" t="s">
        <v>268</v>
      </c>
      <c r="C1665" s="67">
        <v>0</v>
      </c>
      <c r="D1665" s="67">
        <v>0</v>
      </c>
      <c r="E1665" s="67">
        <v>0</v>
      </c>
      <c r="F1665" s="67">
        <v>0</v>
      </c>
      <c r="G1665" t="str">
        <f t="shared" si="50"/>
        <v>3512</v>
      </c>
      <c r="H1665" t="str">
        <f t="shared" si="51"/>
        <v>General expenses</v>
      </c>
    </row>
    <row r="1666" spans="1:8" x14ac:dyDescent="0.25">
      <c r="A1666" t="s">
        <v>2373</v>
      </c>
      <c r="B1666" t="s">
        <v>2374</v>
      </c>
      <c r="C1666" s="67">
        <v>0</v>
      </c>
      <c r="D1666" s="67">
        <v>0</v>
      </c>
      <c r="E1666" s="67">
        <v>0</v>
      </c>
      <c r="F1666" s="67">
        <v>0</v>
      </c>
      <c r="G1666" t="str">
        <f t="shared" ref="G1666:G1729" si="52">VLOOKUP(A1666,s,2,FALSE)</f>
        <v>4005</v>
      </c>
      <c r="H1666" t="str">
        <f t="shared" ref="H1666:H1729" si="53">VLOOKUP(A1666,s,3,FALSE)</f>
        <v>Employee related costs</v>
      </c>
    </row>
    <row r="1667" spans="1:8" x14ac:dyDescent="0.25">
      <c r="A1667" t="s">
        <v>2375</v>
      </c>
      <c r="B1667" t="s">
        <v>157</v>
      </c>
      <c r="C1667" s="67">
        <v>0</v>
      </c>
      <c r="D1667" s="67">
        <v>0</v>
      </c>
      <c r="E1667" s="67">
        <v>0</v>
      </c>
      <c r="F1667" s="67">
        <v>0</v>
      </c>
      <c r="G1667" t="str">
        <f t="shared" si="52"/>
        <v>4005</v>
      </c>
      <c r="H1667" t="str">
        <f t="shared" si="53"/>
        <v>Employee related costs</v>
      </c>
    </row>
    <row r="1668" spans="1:8" x14ac:dyDescent="0.25">
      <c r="A1668" t="s">
        <v>1394</v>
      </c>
      <c r="B1668" t="s">
        <v>297</v>
      </c>
      <c r="C1668" s="67">
        <v>0</v>
      </c>
      <c r="D1668" s="67">
        <v>0</v>
      </c>
      <c r="E1668" s="67">
        <v>0</v>
      </c>
      <c r="F1668" s="67">
        <v>0</v>
      </c>
      <c r="G1668" t="str">
        <f t="shared" si="52"/>
        <v>4005</v>
      </c>
      <c r="H1668" t="str">
        <f t="shared" si="53"/>
        <v>Depreciation and amortisation</v>
      </c>
    </row>
    <row r="1669" spans="1:8" x14ac:dyDescent="0.25">
      <c r="A1669" t="s">
        <v>2376</v>
      </c>
      <c r="B1669" t="s">
        <v>2286</v>
      </c>
      <c r="C1669" s="67">
        <v>0</v>
      </c>
      <c r="D1669" s="67">
        <v>0</v>
      </c>
      <c r="E1669" s="67">
        <v>0</v>
      </c>
      <c r="F1669" s="67">
        <v>0</v>
      </c>
      <c r="G1669" t="str">
        <f t="shared" si="52"/>
        <v>4005</v>
      </c>
      <c r="H1669" t="str">
        <f t="shared" si="53"/>
        <v>Loss on disposal of assets and liabilities</v>
      </c>
    </row>
    <row r="1670" spans="1:8" x14ac:dyDescent="0.25">
      <c r="A1670" t="s">
        <v>2377</v>
      </c>
      <c r="B1670" t="s">
        <v>2378</v>
      </c>
      <c r="C1670" s="67">
        <v>0</v>
      </c>
      <c r="D1670" s="67">
        <v>0</v>
      </c>
      <c r="E1670" s="67">
        <v>0</v>
      </c>
      <c r="F1670" s="67">
        <v>0</v>
      </c>
      <c r="G1670" t="str">
        <f t="shared" si="52"/>
        <v>4005</v>
      </c>
      <c r="H1670" t="str">
        <f t="shared" si="53"/>
        <v>Non-Current Assets (Acc Depreciation)</v>
      </c>
    </row>
    <row r="1671" spans="1:8" x14ac:dyDescent="0.25">
      <c r="A1671" t="s">
        <v>2379</v>
      </c>
      <c r="B1671" t="s">
        <v>1495</v>
      </c>
      <c r="C1671" s="67">
        <v>0</v>
      </c>
      <c r="D1671" s="67">
        <v>0</v>
      </c>
      <c r="E1671" s="67">
        <v>0</v>
      </c>
      <c r="F1671" s="67">
        <v>0</v>
      </c>
      <c r="G1671" t="str">
        <f t="shared" si="52"/>
        <v>4005</v>
      </c>
      <c r="H1671" t="str">
        <f t="shared" si="53"/>
        <v>Non-Current Assets (Depreciation)</v>
      </c>
    </row>
    <row r="1672" spans="1:8" x14ac:dyDescent="0.25">
      <c r="A1672" t="s">
        <v>2380</v>
      </c>
      <c r="B1672" t="s">
        <v>2299</v>
      </c>
      <c r="C1672" s="67">
        <v>0</v>
      </c>
      <c r="D1672" s="67">
        <v>0</v>
      </c>
      <c r="E1672" s="67">
        <v>0</v>
      </c>
      <c r="F1672" s="67">
        <v>0</v>
      </c>
      <c r="G1672" t="str">
        <f t="shared" si="52"/>
        <v>4005</v>
      </c>
      <c r="H1672" t="str">
        <f t="shared" si="53"/>
        <v>Non-Current Assets (Cost)</v>
      </c>
    </row>
    <row r="1673" spans="1:8" x14ac:dyDescent="0.25">
      <c r="A1673" t="s">
        <v>2381</v>
      </c>
      <c r="B1673" t="s">
        <v>2301</v>
      </c>
      <c r="C1673" s="67">
        <v>0</v>
      </c>
      <c r="D1673" s="67">
        <v>0</v>
      </c>
      <c r="E1673" s="67">
        <v>0</v>
      </c>
      <c r="F1673" s="67">
        <v>0</v>
      </c>
      <c r="G1673" t="str">
        <f t="shared" si="52"/>
        <v>4005</v>
      </c>
      <c r="H1673" t="str">
        <f t="shared" si="53"/>
        <v>Non-Current Assets (Acc Depreciation)</v>
      </c>
    </row>
    <row r="1674" spans="1:8" x14ac:dyDescent="0.25">
      <c r="A1674" t="s">
        <v>2382</v>
      </c>
      <c r="B1674" t="s">
        <v>2307</v>
      </c>
      <c r="C1674" s="67">
        <v>0</v>
      </c>
      <c r="D1674" s="67">
        <v>0</v>
      </c>
      <c r="E1674" s="67">
        <v>0</v>
      </c>
      <c r="F1674" s="67">
        <v>0</v>
      </c>
      <c r="G1674" t="str">
        <f t="shared" si="52"/>
        <v>4005</v>
      </c>
      <c r="H1674" t="str">
        <f t="shared" si="53"/>
        <v>Non-Current Assets (Acc Depreciation)</v>
      </c>
    </row>
    <row r="1675" spans="1:8" x14ac:dyDescent="0.25">
      <c r="A1675" t="s">
        <v>2383</v>
      </c>
      <c r="B1675" t="s">
        <v>2384</v>
      </c>
      <c r="C1675" s="67">
        <v>0</v>
      </c>
      <c r="D1675" s="67">
        <v>0</v>
      </c>
      <c r="E1675" s="67">
        <v>0</v>
      </c>
      <c r="F1675" s="67">
        <v>0</v>
      </c>
      <c r="G1675" t="str">
        <f t="shared" si="52"/>
        <v>4005</v>
      </c>
      <c r="H1675" t="str">
        <f t="shared" si="53"/>
        <v>Non-Current Assets (Acc Depreciation)</v>
      </c>
    </row>
    <row r="1676" spans="1:8" x14ac:dyDescent="0.25">
      <c r="A1676" t="s">
        <v>2385</v>
      </c>
      <c r="B1676" t="s">
        <v>2386</v>
      </c>
      <c r="C1676" s="67">
        <v>0</v>
      </c>
      <c r="D1676" s="67">
        <v>0</v>
      </c>
      <c r="E1676" s="67">
        <v>0</v>
      </c>
      <c r="F1676" s="67">
        <v>0</v>
      </c>
      <c r="G1676" t="str">
        <f t="shared" si="52"/>
        <v>4005</v>
      </c>
      <c r="H1676" t="str">
        <f t="shared" si="53"/>
        <v>Current Employee Benefits</v>
      </c>
    </row>
    <row r="1677" spans="1:8" x14ac:dyDescent="0.25">
      <c r="A1677" t="s">
        <v>2387</v>
      </c>
      <c r="B1677" t="s">
        <v>293</v>
      </c>
      <c r="C1677" s="67">
        <v>0</v>
      </c>
      <c r="D1677" s="67">
        <v>0</v>
      </c>
      <c r="E1677" s="67">
        <v>0</v>
      </c>
      <c r="F1677" s="67">
        <v>0</v>
      </c>
      <c r="G1677" t="str">
        <f t="shared" si="52"/>
        <v>4010</v>
      </c>
      <c r="H1677" t="str">
        <f t="shared" si="53"/>
        <v>Depreciation and amortisation</v>
      </c>
    </row>
    <row r="1678" spans="1:8" x14ac:dyDescent="0.25">
      <c r="A1678" t="s">
        <v>1341</v>
      </c>
      <c r="B1678" t="s">
        <v>1342</v>
      </c>
      <c r="C1678" s="67" t="e">
        <v>#N/A</v>
      </c>
      <c r="D1678" s="67">
        <v>0</v>
      </c>
      <c r="E1678" s="67">
        <v>0</v>
      </c>
      <c r="F1678" s="67">
        <v>0</v>
      </c>
      <c r="G1678" t="str">
        <f t="shared" si="52"/>
        <v>4010</v>
      </c>
      <c r="H1678" t="str">
        <f t="shared" si="53"/>
        <v>Non-Current Assets (Acquisitions)</v>
      </c>
    </row>
    <row r="1679" spans="1:8" x14ac:dyDescent="0.25">
      <c r="A1679" t="s">
        <v>2388</v>
      </c>
      <c r="B1679" t="s">
        <v>1432</v>
      </c>
      <c r="C1679" s="67">
        <v>0</v>
      </c>
      <c r="D1679" s="67">
        <v>0</v>
      </c>
      <c r="E1679" s="67">
        <v>0</v>
      </c>
      <c r="F1679" s="67">
        <v>0</v>
      </c>
      <c r="G1679" t="str">
        <f t="shared" si="52"/>
        <v>4010</v>
      </c>
      <c r="H1679" t="str">
        <f t="shared" si="53"/>
        <v>Non-Current Assets (Depreciation)</v>
      </c>
    </row>
    <row r="1680" spans="1:8" x14ac:dyDescent="0.25">
      <c r="A1680" t="s">
        <v>2389</v>
      </c>
      <c r="B1680" t="s">
        <v>221</v>
      </c>
      <c r="C1680" s="67">
        <v>0</v>
      </c>
      <c r="D1680" s="67">
        <v>0</v>
      </c>
      <c r="E1680" s="67">
        <v>0</v>
      </c>
      <c r="F1680" s="67">
        <v>0</v>
      </c>
      <c r="G1680" t="str">
        <f t="shared" si="52"/>
        <v>4015</v>
      </c>
      <c r="H1680" t="str">
        <f t="shared" si="53"/>
        <v>Contracted services</v>
      </c>
    </row>
    <row r="1681" spans="1:8" x14ac:dyDescent="0.25">
      <c r="A1681" t="s">
        <v>1343</v>
      </c>
      <c r="B1681" t="s">
        <v>1344</v>
      </c>
      <c r="C1681" s="67" t="e">
        <v>#N/A</v>
      </c>
      <c r="D1681" s="67">
        <v>0</v>
      </c>
      <c r="E1681" s="67">
        <v>800000</v>
      </c>
      <c r="F1681" s="67">
        <v>1600000</v>
      </c>
      <c r="G1681" t="str">
        <f t="shared" si="52"/>
        <v>4015</v>
      </c>
      <c r="H1681" t="str">
        <f t="shared" si="53"/>
        <v>Non-Current Assets (Acquisitions)</v>
      </c>
    </row>
    <row r="1682" spans="1:8" x14ac:dyDescent="0.25">
      <c r="A1682" t="s">
        <v>2390</v>
      </c>
      <c r="B1682" t="s">
        <v>265</v>
      </c>
      <c r="C1682" s="67">
        <v>0</v>
      </c>
      <c r="D1682" s="67">
        <v>0</v>
      </c>
      <c r="E1682" s="67">
        <v>0</v>
      </c>
      <c r="F1682" s="67">
        <v>0</v>
      </c>
      <c r="G1682" t="str">
        <f t="shared" si="52"/>
        <v>4020</v>
      </c>
      <c r="H1682" t="str">
        <f t="shared" si="53"/>
        <v>General expenses</v>
      </c>
    </row>
    <row r="1683" spans="1:8" x14ac:dyDescent="0.25">
      <c r="A1683" t="s">
        <v>2391</v>
      </c>
      <c r="B1683" t="s">
        <v>214</v>
      </c>
      <c r="C1683" s="67">
        <v>0</v>
      </c>
      <c r="D1683" s="67">
        <v>0</v>
      </c>
      <c r="E1683" s="67">
        <v>0</v>
      </c>
      <c r="F1683" s="67">
        <v>0</v>
      </c>
      <c r="G1683" t="str">
        <f t="shared" si="52"/>
        <v>4505</v>
      </c>
      <c r="H1683" t="str">
        <f t="shared" si="53"/>
        <v>Contracted services</v>
      </c>
    </row>
    <row r="1684" spans="1:8" x14ac:dyDescent="0.25">
      <c r="A1684" t="s">
        <v>2392</v>
      </c>
      <c r="B1684" t="s">
        <v>2393</v>
      </c>
      <c r="C1684" s="67">
        <v>0</v>
      </c>
      <c r="D1684" s="67">
        <v>0</v>
      </c>
      <c r="E1684" s="67">
        <v>0</v>
      </c>
      <c r="F1684" s="67">
        <v>0</v>
      </c>
      <c r="G1684" t="str">
        <f t="shared" si="52"/>
        <v>4505</v>
      </c>
      <c r="H1684" t="str">
        <f t="shared" si="53"/>
        <v>General expenses</v>
      </c>
    </row>
    <row r="1685" spans="1:8" x14ac:dyDescent="0.25">
      <c r="A1685" t="s">
        <v>2394</v>
      </c>
      <c r="B1685" t="s">
        <v>2386</v>
      </c>
      <c r="C1685" s="67">
        <v>0</v>
      </c>
      <c r="D1685" s="67">
        <v>0</v>
      </c>
      <c r="E1685" s="67">
        <v>0</v>
      </c>
      <c r="F1685" s="67">
        <v>0</v>
      </c>
      <c r="G1685" t="str">
        <f t="shared" si="52"/>
        <v>4505</v>
      </c>
      <c r="H1685" t="str">
        <f t="shared" si="53"/>
        <v>Current Employee Benefits</v>
      </c>
    </row>
    <row r="1686" spans="1:8" x14ac:dyDescent="0.25">
      <c r="A1686" t="s">
        <v>2395</v>
      </c>
      <c r="B1686" t="s">
        <v>2386</v>
      </c>
      <c r="C1686" s="67">
        <v>0</v>
      </c>
      <c r="D1686" s="67">
        <v>0</v>
      </c>
      <c r="E1686" s="67">
        <v>0</v>
      </c>
      <c r="F1686" s="67">
        <v>0</v>
      </c>
      <c r="G1686" t="str">
        <f t="shared" si="52"/>
        <v>4510</v>
      </c>
      <c r="H1686" t="str">
        <f t="shared" si="53"/>
        <v>Current Employee Benefits</v>
      </c>
    </row>
    <row r="1687" spans="1:8" x14ac:dyDescent="0.25">
      <c r="A1687" t="s">
        <v>2396</v>
      </c>
      <c r="B1687" t="s">
        <v>155</v>
      </c>
      <c r="C1687" s="67">
        <v>0</v>
      </c>
      <c r="D1687" s="67">
        <v>0</v>
      </c>
      <c r="E1687" s="67">
        <v>0</v>
      </c>
      <c r="F1687" s="67">
        <v>0</v>
      </c>
      <c r="G1687" t="str">
        <f t="shared" si="52"/>
        <v>4525</v>
      </c>
      <c r="H1687" t="str">
        <f t="shared" si="53"/>
        <v>Employee related costs</v>
      </c>
    </row>
    <row r="1688" spans="1:8" x14ac:dyDescent="0.25">
      <c r="A1688" t="s">
        <v>2397</v>
      </c>
      <c r="B1688" t="s">
        <v>2386</v>
      </c>
      <c r="C1688" s="67">
        <v>0</v>
      </c>
      <c r="D1688" s="67">
        <v>0</v>
      </c>
      <c r="E1688" s="67">
        <v>0</v>
      </c>
      <c r="F1688" s="67">
        <v>0</v>
      </c>
      <c r="G1688" t="str">
        <f t="shared" si="52"/>
        <v>4525</v>
      </c>
      <c r="H1688" t="str">
        <f t="shared" si="53"/>
        <v>Current Employee Benefits</v>
      </c>
    </row>
    <row r="1689" spans="1:8" x14ac:dyDescent="0.25">
      <c r="A1689" t="s">
        <v>2398</v>
      </c>
      <c r="B1689" t="s">
        <v>2399</v>
      </c>
      <c r="C1689" s="67" t="e">
        <v>#N/A</v>
      </c>
      <c r="D1689" s="67">
        <v>0</v>
      </c>
      <c r="E1689" s="67">
        <v>0</v>
      </c>
      <c r="F1689" s="67">
        <v>0</v>
      </c>
      <c r="G1689" t="str">
        <f t="shared" si="52"/>
        <v>5005</v>
      </c>
      <c r="H1689" t="str">
        <f t="shared" si="53"/>
        <v>Government grants &amp; subsidies</v>
      </c>
    </row>
    <row r="1690" spans="1:8" x14ac:dyDescent="0.25">
      <c r="A1690" t="s">
        <v>2400</v>
      </c>
      <c r="B1690" t="s">
        <v>2401</v>
      </c>
      <c r="C1690" s="67" t="e">
        <v>#N/A</v>
      </c>
      <c r="D1690" s="67">
        <v>0</v>
      </c>
      <c r="E1690" s="67">
        <v>0</v>
      </c>
      <c r="F1690" s="67">
        <v>0</v>
      </c>
      <c r="G1690" t="str">
        <f t="shared" si="52"/>
        <v>5005</v>
      </c>
      <c r="H1690" t="str">
        <f t="shared" si="53"/>
        <v>Government grants &amp; subsidies</v>
      </c>
    </row>
    <row r="1691" spans="1:8" x14ac:dyDescent="0.25">
      <c r="A1691" t="s">
        <v>2402</v>
      </c>
      <c r="B1691" t="s">
        <v>2403</v>
      </c>
      <c r="C1691" s="67" t="e">
        <v>#N/A</v>
      </c>
      <c r="D1691" s="67">
        <v>0</v>
      </c>
      <c r="E1691" s="67">
        <v>0</v>
      </c>
      <c r="F1691" s="67">
        <v>0</v>
      </c>
      <c r="G1691" t="str">
        <f t="shared" si="52"/>
        <v>5005</v>
      </c>
      <c r="H1691" t="str">
        <f t="shared" si="53"/>
        <v>Government grants &amp; subsidies</v>
      </c>
    </row>
    <row r="1692" spans="1:8" x14ac:dyDescent="0.25">
      <c r="A1692" t="s">
        <v>2404</v>
      </c>
      <c r="B1692" t="s">
        <v>65</v>
      </c>
      <c r="C1692" s="67" t="e">
        <v>#N/A</v>
      </c>
      <c r="D1692" s="67">
        <v>0</v>
      </c>
      <c r="E1692" s="67">
        <v>0</v>
      </c>
      <c r="F1692" s="67">
        <v>0</v>
      </c>
      <c r="G1692" t="str">
        <f t="shared" si="52"/>
        <v>5005</v>
      </c>
      <c r="H1692" t="str">
        <f t="shared" si="53"/>
        <v>Interest received - debtors</v>
      </c>
    </row>
    <row r="1693" spans="1:8" x14ac:dyDescent="0.25">
      <c r="A1693" t="s">
        <v>2405</v>
      </c>
      <c r="B1693" t="s">
        <v>152</v>
      </c>
      <c r="C1693" s="67">
        <v>0</v>
      </c>
      <c r="D1693" s="67">
        <v>0</v>
      </c>
      <c r="E1693" s="67">
        <v>0</v>
      </c>
      <c r="F1693" s="67">
        <v>0</v>
      </c>
      <c r="G1693" t="str">
        <f t="shared" si="52"/>
        <v>5005</v>
      </c>
      <c r="H1693" t="str">
        <f t="shared" si="53"/>
        <v>Employee related costs</v>
      </c>
    </row>
    <row r="1694" spans="1:8" x14ac:dyDescent="0.25">
      <c r="A1694" t="s">
        <v>1393</v>
      </c>
      <c r="B1694" t="s">
        <v>2281</v>
      </c>
      <c r="C1694" s="67">
        <v>0</v>
      </c>
      <c r="D1694" s="67">
        <v>150000</v>
      </c>
      <c r="E1694" s="67">
        <v>150000</v>
      </c>
      <c r="F1694" s="67">
        <v>150000</v>
      </c>
      <c r="G1694" t="str">
        <f t="shared" si="52"/>
        <v>5005</v>
      </c>
      <c r="H1694" t="str">
        <f t="shared" si="53"/>
        <v>Actuarial losses</v>
      </c>
    </row>
    <row r="1695" spans="1:8" x14ac:dyDescent="0.25">
      <c r="A1695" t="s">
        <v>2406</v>
      </c>
      <c r="B1695" t="s">
        <v>2407</v>
      </c>
      <c r="C1695" s="67">
        <v>0</v>
      </c>
      <c r="D1695" s="67">
        <v>0</v>
      </c>
      <c r="E1695" s="67">
        <v>0</v>
      </c>
      <c r="F1695" s="67">
        <v>0</v>
      </c>
      <c r="G1695" t="str">
        <f t="shared" si="52"/>
        <v>5005</v>
      </c>
      <c r="H1695" t="str">
        <f t="shared" si="53"/>
        <v>General expenses</v>
      </c>
    </row>
    <row r="1696" spans="1:8" x14ac:dyDescent="0.25">
      <c r="A1696" t="s">
        <v>2408</v>
      </c>
      <c r="B1696" t="s">
        <v>296</v>
      </c>
      <c r="C1696" s="67">
        <v>0</v>
      </c>
      <c r="D1696" s="67">
        <v>0</v>
      </c>
      <c r="E1696" s="67">
        <v>0</v>
      </c>
      <c r="F1696" s="67">
        <v>0</v>
      </c>
      <c r="G1696" t="str">
        <f t="shared" si="52"/>
        <v>5005</v>
      </c>
      <c r="H1696" t="str">
        <f t="shared" si="53"/>
        <v>Depreciation and amortisation</v>
      </c>
    </row>
    <row r="1697" spans="1:8" x14ac:dyDescent="0.25">
      <c r="A1697" t="s">
        <v>2409</v>
      </c>
      <c r="B1697" t="s">
        <v>2410</v>
      </c>
      <c r="C1697" s="67">
        <v>0</v>
      </c>
      <c r="D1697" s="67">
        <v>0</v>
      </c>
      <c r="E1697" s="67">
        <v>0</v>
      </c>
      <c r="F1697" s="67">
        <v>0</v>
      </c>
      <c r="G1697" t="str">
        <f t="shared" si="52"/>
        <v>5005</v>
      </c>
      <c r="H1697" t="str">
        <f t="shared" si="53"/>
        <v>Cash and cash equivalents</v>
      </c>
    </row>
    <row r="1698" spans="1:8" x14ac:dyDescent="0.25">
      <c r="A1698" t="s">
        <v>2411</v>
      </c>
      <c r="B1698" t="s">
        <v>1637</v>
      </c>
      <c r="C1698" s="67">
        <v>0</v>
      </c>
      <c r="D1698" s="67">
        <v>0</v>
      </c>
      <c r="E1698" s="67">
        <v>0</v>
      </c>
      <c r="F1698" s="67">
        <v>0</v>
      </c>
      <c r="G1698" t="str">
        <f t="shared" si="52"/>
        <v>5005</v>
      </c>
      <c r="H1698" t="str">
        <f t="shared" si="53"/>
        <v>Cash and cash equivalents</v>
      </c>
    </row>
    <row r="1699" spans="1:8" x14ac:dyDescent="0.25">
      <c r="A1699" t="s">
        <v>2412</v>
      </c>
      <c r="B1699" t="s">
        <v>1639</v>
      </c>
      <c r="C1699" s="67">
        <v>0</v>
      </c>
      <c r="D1699" s="67">
        <v>0</v>
      </c>
      <c r="E1699" s="67">
        <v>0</v>
      </c>
      <c r="F1699" s="67">
        <v>0</v>
      </c>
      <c r="G1699" t="str">
        <f t="shared" si="52"/>
        <v>5005</v>
      </c>
      <c r="H1699" t="str">
        <f t="shared" si="53"/>
        <v>Cash and cash equivalents</v>
      </c>
    </row>
    <row r="1700" spans="1:8" x14ac:dyDescent="0.25">
      <c r="A1700" t="s">
        <v>2413</v>
      </c>
      <c r="B1700" t="s">
        <v>2414</v>
      </c>
      <c r="C1700" s="67">
        <v>0</v>
      </c>
      <c r="D1700" s="67">
        <v>0</v>
      </c>
      <c r="E1700" s="67">
        <v>-6000</v>
      </c>
      <c r="F1700" s="67">
        <v>-7000</v>
      </c>
      <c r="G1700" t="str">
        <f t="shared" si="52"/>
        <v>5005</v>
      </c>
      <c r="H1700" t="str">
        <f t="shared" si="53"/>
        <v>Receivables from exchange transactions</v>
      </c>
    </row>
    <row r="1701" spans="1:8" x14ac:dyDescent="0.25">
      <c r="A1701" t="s">
        <v>2415</v>
      </c>
      <c r="B1701" t="s">
        <v>2416</v>
      </c>
      <c r="C1701" s="67">
        <v>0</v>
      </c>
      <c r="D1701" s="67">
        <v>0</v>
      </c>
      <c r="E1701" s="67">
        <v>0</v>
      </c>
      <c r="F1701" s="67">
        <v>0</v>
      </c>
      <c r="G1701" t="str">
        <f t="shared" si="52"/>
        <v>5005</v>
      </c>
      <c r="H1701" t="str">
        <f t="shared" si="53"/>
        <v>Receivables from non-exchange transactions</v>
      </c>
    </row>
    <row r="1702" spans="1:8" x14ac:dyDescent="0.25">
      <c r="A1702" t="s">
        <v>2417</v>
      </c>
      <c r="B1702" t="s">
        <v>2418</v>
      </c>
      <c r="C1702" s="67">
        <v>0</v>
      </c>
      <c r="D1702" s="67">
        <v>0</v>
      </c>
      <c r="E1702" s="67">
        <v>0</v>
      </c>
      <c r="F1702" s="67">
        <v>0</v>
      </c>
      <c r="G1702" t="str">
        <f t="shared" si="52"/>
        <v>5005</v>
      </c>
      <c r="H1702" t="str">
        <f t="shared" si="53"/>
        <v>Receivables from non-exchange transactions</v>
      </c>
    </row>
    <row r="1703" spans="1:8" x14ac:dyDescent="0.25">
      <c r="A1703" t="s">
        <v>2419</v>
      </c>
      <c r="B1703" t="s">
        <v>2420</v>
      </c>
      <c r="C1703" s="67">
        <v>0</v>
      </c>
      <c r="D1703" s="67">
        <v>0</v>
      </c>
      <c r="E1703" s="67">
        <v>0</v>
      </c>
      <c r="F1703" s="67">
        <v>0</v>
      </c>
      <c r="G1703" t="str">
        <f t="shared" si="52"/>
        <v>5005</v>
      </c>
      <c r="H1703" t="str">
        <f t="shared" si="53"/>
        <v>Receivables from non-exchange transactions</v>
      </c>
    </row>
    <row r="1704" spans="1:8" x14ac:dyDescent="0.25">
      <c r="A1704" t="s">
        <v>2421</v>
      </c>
      <c r="B1704" t="s">
        <v>1675</v>
      </c>
      <c r="C1704" s="67">
        <v>0</v>
      </c>
      <c r="D1704" s="67">
        <v>0</v>
      </c>
      <c r="E1704" s="67">
        <v>0</v>
      </c>
      <c r="F1704" s="67">
        <v>0</v>
      </c>
      <c r="G1704" t="str">
        <f t="shared" si="52"/>
        <v>5005</v>
      </c>
      <c r="H1704" t="str">
        <f t="shared" si="53"/>
        <v>Receivables from non-exchange transactions</v>
      </c>
    </row>
    <row r="1705" spans="1:8" x14ac:dyDescent="0.25">
      <c r="A1705" t="s">
        <v>2422</v>
      </c>
      <c r="B1705" t="s">
        <v>2423</v>
      </c>
      <c r="C1705" s="67">
        <v>0</v>
      </c>
      <c r="D1705" s="67">
        <v>0</v>
      </c>
      <c r="E1705" s="67">
        <v>0</v>
      </c>
      <c r="F1705" s="67">
        <v>0</v>
      </c>
      <c r="G1705" t="str">
        <f t="shared" si="52"/>
        <v>5005</v>
      </c>
      <c r="H1705" t="str">
        <f t="shared" si="53"/>
        <v>Receivables from non-exchange transactions</v>
      </c>
    </row>
    <row r="1706" spans="1:8" x14ac:dyDescent="0.25">
      <c r="A1706" t="s">
        <v>2424</v>
      </c>
      <c r="B1706" t="s">
        <v>1721</v>
      </c>
      <c r="C1706" s="67">
        <v>0</v>
      </c>
      <c r="D1706" s="67">
        <v>57910168.759999998</v>
      </c>
      <c r="E1706" s="67">
        <v>66107369.739999995</v>
      </c>
      <c r="F1706" s="67">
        <v>74714430.769000009</v>
      </c>
      <c r="G1706" t="str">
        <f t="shared" si="52"/>
        <v>5005</v>
      </c>
      <c r="H1706" t="str">
        <f t="shared" si="53"/>
        <v>Receivables from non-exchange transactions</v>
      </c>
    </row>
    <row r="1707" spans="1:8" x14ac:dyDescent="0.25">
      <c r="A1707" t="s">
        <v>2425</v>
      </c>
      <c r="B1707" t="s">
        <v>2426</v>
      </c>
      <c r="C1707" s="67">
        <v>0</v>
      </c>
      <c r="D1707" s="67">
        <v>0</v>
      </c>
      <c r="E1707" s="67">
        <v>0</v>
      </c>
      <c r="F1707" s="67">
        <v>0</v>
      </c>
      <c r="G1707" t="str">
        <f t="shared" si="52"/>
        <v>5005</v>
      </c>
      <c r="H1707" t="str">
        <f t="shared" si="53"/>
        <v>Receivables from non-exchange transactions</v>
      </c>
    </row>
    <row r="1708" spans="1:8" x14ac:dyDescent="0.25">
      <c r="A1708" t="s">
        <v>2427</v>
      </c>
      <c r="B1708" t="s">
        <v>2428</v>
      </c>
      <c r="C1708" s="67">
        <v>0</v>
      </c>
      <c r="D1708" s="67">
        <v>0</v>
      </c>
      <c r="E1708" s="67">
        <v>0</v>
      </c>
      <c r="F1708" s="67">
        <v>0</v>
      </c>
      <c r="G1708" t="str">
        <f t="shared" si="52"/>
        <v>5005</v>
      </c>
      <c r="H1708" t="str">
        <f t="shared" si="53"/>
        <v>Receivables from non-exchange transactions</v>
      </c>
    </row>
    <row r="1709" spans="1:8" x14ac:dyDescent="0.25">
      <c r="A1709" t="s">
        <v>2429</v>
      </c>
      <c r="B1709" t="s">
        <v>2430</v>
      </c>
      <c r="C1709" s="67">
        <v>0</v>
      </c>
      <c r="D1709" s="67">
        <v>0</v>
      </c>
      <c r="E1709" s="67">
        <v>0</v>
      </c>
      <c r="F1709" s="67">
        <v>0</v>
      </c>
      <c r="G1709" t="str">
        <f t="shared" si="52"/>
        <v>5005</v>
      </c>
      <c r="H1709" t="str">
        <f t="shared" si="53"/>
        <v>Receivables from non-exchange transactions</v>
      </c>
    </row>
    <row r="1710" spans="1:8" x14ac:dyDescent="0.25">
      <c r="A1710" t="s">
        <v>2431</v>
      </c>
      <c r="B1710" t="s">
        <v>2432</v>
      </c>
      <c r="C1710" s="67">
        <v>0</v>
      </c>
      <c r="D1710" s="67">
        <v>265320</v>
      </c>
      <c r="E1710" s="67">
        <v>0</v>
      </c>
      <c r="F1710" s="67">
        <v>0</v>
      </c>
      <c r="G1710" t="str">
        <f t="shared" si="52"/>
        <v>5005</v>
      </c>
      <c r="H1710" t="str">
        <f t="shared" si="53"/>
        <v>Receivables from non-exchange transactions</v>
      </c>
    </row>
    <row r="1711" spans="1:8" x14ac:dyDescent="0.25">
      <c r="A1711" t="s">
        <v>2433</v>
      </c>
      <c r="B1711" t="s">
        <v>2434</v>
      </c>
      <c r="C1711" s="67">
        <v>0</v>
      </c>
      <c r="D1711" s="67">
        <v>65325</v>
      </c>
      <c r="E1711" s="67">
        <v>0</v>
      </c>
      <c r="F1711" s="67">
        <v>0</v>
      </c>
      <c r="G1711" t="str">
        <f t="shared" si="52"/>
        <v>5005</v>
      </c>
      <c r="H1711" t="str">
        <f t="shared" si="53"/>
        <v>Inventories</v>
      </c>
    </row>
    <row r="1712" spans="1:8" x14ac:dyDescent="0.25">
      <c r="A1712" t="s">
        <v>2435</v>
      </c>
      <c r="B1712" t="s">
        <v>1942</v>
      </c>
      <c r="C1712" s="67">
        <v>0</v>
      </c>
      <c r="D1712" s="67">
        <v>0</v>
      </c>
      <c r="E1712" s="67">
        <v>0</v>
      </c>
      <c r="F1712" s="67">
        <v>0</v>
      </c>
      <c r="G1712" t="str">
        <f t="shared" si="52"/>
        <v>5005</v>
      </c>
      <c r="H1712" t="str">
        <f t="shared" si="53"/>
        <v>Receivables from exchange transactions</v>
      </c>
    </row>
    <row r="1713" spans="1:8" x14ac:dyDescent="0.25">
      <c r="A1713" t="s">
        <v>2436</v>
      </c>
      <c r="B1713" t="s">
        <v>2437</v>
      </c>
      <c r="C1713" s="67">
        <v>0</v>
      </c>
      <c r="D1713" s="67">
        <v>0</v>
      </c>
      <c r="E1713" s="67">
        <v>4317.4649999999992</v>
      </c>
      <c r="F1713" s="67">
        <v>4965.0847499999991</v>
      </c>
      <c r="G1713" t="str">
        <f t="shared" si="52"/>
        <v>5005</v>
      </c>
      <c r="H1713" t="str">
        <f t="shared" si="53"/>
        <v>Receivables from exchange transactions</v>
      </c>
    </row>
    <row r="1714" spans="1:8" x14ac:dyDescent="0.25">
      <c r="A1714" t="s">
        <v>2438</v>
      </c>
      <c r="B1714" t="s">
        <v>2439</v>
      </c>
      <c r="C1714" s="67">
        <v>0</v>
      </c>
      <c r="D1714" s="67">
        <v>0</v>
      </c>
      <c r="E1714" s="67">
        <v>0</v>
      </c>
      <c r="F1714" s="67">
        <v>0</v>
      </c>
      <c r="G1714" t="str">
        <f t="shared" si="52"/>
        <v>5005</v>
      </c>
      <c r="H1714" t="str">
        <f t="shared" si="53"/>
        <v>VAT</v>
      </c>
    </row>
    <row r="1715" spans="1:8" x14ac:dyDescent="0.25">
      <c r="A1715" t="s">
        <v>2440</v>
      </c>
      <c r="B1715" t="s">
        <v>2441</v>
      </c>
      <c r="C1715" s="67">
        <v>0</v>
      </c>
      <c r="D1715" s="67">
        <v>0</v>
      </c>
      <c r="E1715" s="67">
        <v>0</v>
      </c>
      <c r="F1715" s="67">
        <v>0</v>
      </c>
      <c r="G1715" t="str">
        <f t="shared" si="52"/>
        <v>5005</v>
      </c>
      <c r="H1715" t="str">
        <f t="shared" si="53"/>
        <v>VAT</v>
      </c>
    </row>
    <row r="1716" spans="1:8" x14ac:dyDescent="0.25">
      <c r="A1716" t="s">
        <v>2442</v>
      </c>
      <c r="B1716" t="s">
        <v>1426</v>
      </c>
      <c r="C1716" s="67">
        <v>0</v>
      </c>
      <c r="D1716" s="67">
        <v>0</v>
      </c>
      <c r="E1716" s="67">
        <v>0</v>
      </c>
      <c r="F1716" s="67">
        <v>0</v>
      </c>
      <c r="G1716" t="str">
        <f t="shared" si="52"/>
        <v>5005</v>
      </c>
      <c r="H1716" t="str">
        <f t="shared" si="53"/>
        <v>Non-Current Assets (Depreciation)</v>
      </c>
    </row>
    <row r="1717" spans="1:8" x14ac:dyDescent="0.25">
      <c r="A1717" t="s">
        <v>2443</v>
      </c>
      <c r="B1717" t="s">
        <v>2444</v>
      </c>
      <c r="C1717" s="67">
        <v>0</v>
      </c>
      <c r="D1717" s="67">
        <v>0</v>
      </c>
      <c r="E1717" s="67">
        <v>0</v>
      </c>
      <c r="F1717" s="67">
        <v>0</v>
      </c>
      <c r="G1717" t="str">
        <f t="shared" si="52"/>
        <v>5005</v>
      </c>
      <c r="H1717" t="str">
        <f t="shared" si="53"/>
        <v>Finance lease obligation (Non Current)</v>
      </c>
    </row>
    <row r="1718" spans="1:8" x14ac:dyDescent="0.25">
      <c r="A1718" t="s">
        <v>2445</v>
      </c>
      <c r="B1718" t="s">
        <v>2446</v>
      </c>
      <c r="C1718" s="67">
        <v>0</v>
      </c>
      <c r="D1718" s="67">
        <v>196521.93</v>
      </c>
      <c r="E1718" s="67">
        <v>0</v>
      </c>
      <c r="F1718" s="67">
        <v>0</v>
      </c>
      <c r="G1718" t="str">
        <f t="shared" si="52"/>
        <v>5005</v>
      </c>
      <c r="H1718" t="str">
        <f t="shared" si="53"/>
        <v>Finance lease obligation (Current)</v>
      </c>
    </row>
    <row r="1719" spans="1:8" x14ac:dyDescent="0.25">
      <c r="A1719" t="s">
        <v>2447</v>
      </c>
      <c r="B1719" t="s">
        <v>2448</v>
      </c>
      <c r="C1719" s="67">
        <v>0</v>
      </c>
      <c r="D1719" s="67">
        <v>0</v>
      </c>
      <c r="E1719" s="67">
        <v>0</v>
      </c>
      <c r="F1719" s="67">
        <v>0</v>
      </c>
      <c r="G1719" t="str">
        <f t="shared" si="52"/>
        <v>5005</v>
      </c>
      <c r="H1719" t="str">
        <f t="shared" si="53"/>
        <v>Current Employee Benefits</v>
      </c>
    </row>
    <row r="1720" spans="1:8" x14ac:dyDescent="0.25">
      <c r="A1720" t="s">
        <v>2449</v>
      </c>
      <c r="B1720" t="s">
        <v>2450</v>
      </c>
      <c r="C1720" s="67">
        <v>0</v>
      </c>
      <c r="D1720" s="67">
        <v>0</v>
      </c>
      <c r="E1720" s="67">
        <v>0</v>
      </c>
      <c r="F1720" s="67">
        <v>0</v>
      </c>
      <c r="G1720" t="str">
        <f t="shared" si="52"/>
        <v>5005</v>
      </c>
      <c r="H1720" t="str">
        <f t="shared" si="53"/>
        <v>Cash and cash equivalents</v>
      </c>
    </row>
    <row r="1721" spans="1:8" x14ac:dyDescent="0.25">
      <c r="A1721" t="s">
        <v>2451</v>
      </c>
      <c r="B1721" t="s">
        <v>2452</v>
      </c>
      <c r="C1721" s="67">
        <v>0</v>
      </c>
      <c r="D1721" s="67">
        <v>0</v>
      </c>
      <c r="E1721" s="67">
        <v>0</v>
      </c>
      <c r="F1721" s="67">
        <v>0</v>
      </c>
      <c r="G1721" t="str">
        <f t="shared" si="52"/>
        <v>5005</v>
      </c>
      <c r="H1721" t="str">
        <f t="shared" si="53"/>
        <v>Cash and cash equivalents</v>
      </c>
    </row>
    <row r="1722" spans="1:8" x14ac:dyDescent="0.25">
      <c r="A1722" t="s">
        <v>2453</v>
      </c>
      <c r="B1722" t="s">
        <v>2454</v>
      </c>
      <c r="C1722" s="67">
        <v>0</v>
      </c>
      <c r="D1722" s="67">
        <v>0</v>
      </c>
      <c r="E1722" s="67">
        <v>0</v>
      </c>
      <c r="F1722" s="67">
        <v>0</v>
      </c>
      <c r="G1722" t="str">
        <f t="shared" si="52"/>
        <v>5005</v>
      </c>
      <c r="H1722" t="str">
        <f t="shared" si="53"/>
        <v>Cash and cash equivalents</v>
      </c>
    </row>
    <row r="1723" spans="1:8" x14ac:dyDescent="0.25">
      <c r="A1723" t="s">
        <v>2455</v>
      </c>
      <c r="B1723" t="s">
        <v>2456</v>
      </c>
      <c r="C1723" s="67">
        <v>0</v>
      </c>
      <c r="D1723" s="67">
        <v>0</v>
      </c>
      <c r="E1723" s="67">
        <v>0</v>
      </c>
      <c r="F1723" s="67">
        <v>0</v>
      </c>
      <c r="G1723" t="str">
        <f t="shared" si="52"/>
        <v>5005</v>
      </c>
      <c r="H1723" t="str">
        <f t="shared" si="53"/>
        <v>Cash and cash equivalents</v>
      </c>
    </row>
    <row r="1724" spans="1:8" x14ac:dyDescent="0.25">
      <c r="A1724" t="s">
        <v>2457</v>
      </c>
      <c r="B1724" t="s">
        <v>2386</v>
      </c>
      <c r="C1724" s="67">
        <v>0</v>
      </c>
      <c r="D1724" s="67">
        <v>0</v>
      </c>
      <c r="E1724" s="67">
        <v>0</v>
      </c>
      <c r="F1724" s="67">
        <v>0</v>
      </c>
      <c r="G1724" t="str">
        <f t="shared" si="52"/>
        <v>5005</v>
      </c>
      <c r="H1724" t="str">
        <f t="shared" si="53"/>
        <v>Current Employee Benefits</v>
      </c>
    </row>
    <row r="1725" spans="1:8" x14ac:dyDescent="0.25">
      <c r="A1725" t="s">
        <v>2458</v>
      </c>
      <c r="B1725" t="s">
        <v>2459</v>
      </c>
      <c r="C1725" s="67">
        <v>0</v>
      </c>
      <c r="D1725" s="67">
        <v>0</v>
      </c>
      <c r="E1725" s="67">
        <v>0</v>
      </c>
      <c r="F1725" s="67">
        <v>0</v>
      </c>
      <c r="G1725" t="str">
        <f t="shared" si="52"/>
        <v>5005</v>
      </c>
      <c r="H1725" t="str">
        <f t="shared" si="53"/>
        <v>Payables from exchange transactions</v>
      </c>
    </row>
    <row r="1726" spans="1:8" x14ac:dyDescent="0.25">
      <c r="A1726" t="s">
        <v>2460</v>
      </c>
      <c r="B1726" t="s">
        <v>2461</v>
      </c>
      <c r="C1726" s="67">
        <v>0</v>
      </c>
      <c r="D1726" s="67">
        <v>0</v>
      </c>
      <c r="E1726" s="67">
        <v>0</v>
      </c>
      <c r="F1726" s="67">
        <v>0</v>
      </c>
      <c r="G1726" t="str">
        <f t="shared" si="52"/>
        <v>5005</v>
      </c>
      <c r="H1726" t="str">
        <f t="shared" si="53"/>
        <v>Payables from exchange transactions</v>
      </c>
    </row>
    <row r="1727" spans="1:8" x14ac:dyDescent="0.25">
      <c r="A1727" t="s">
        <v>2462</v>
      </c>
      <c r="B1727" t="s">
        <v>2463</v>
      </c>
      <c r="C1727" s="67">
        <v>0</v>
      </c>
      <c r="D1727" s="67">
        <v>0</v>
      </c>
      <c r="E1727" s="67">
        <v>0</v>
      </c>
      <c r="F1727" s="67">
        <v>0</v>
      </c>
      <c r="G1727" t="str">
        <f t="shared" si="52"/>
        <v>5005</v>
      </c>
      <c r="H1727" t="str">
        <f t="shared" si="53"/>
        <v>Payables from exchange transactions</v>
      </c>
    </row>
    <row r="1728" spans="1:8" x14ac:dyDescent="0.25">
      <c r="A1728" t="s">
        <v>2464</v>
      </c>
      <c r="B1728" t="s">
        <v>2465</v>
      </c>
      <c r="C1728" s="67">
        <v>0</v>
      </c>
      <c r="D1728" s="67">
        <v>-1079984.6000000001</v>
      </c>
      <c r="E1728" s="67">
        <v>-1187983.06</v>
      </c>
      <c r="F1728" s="67">
        <v>-1306781.3660000002</v>
      </c>
      <c r="G1728" t="str">
        <f t="shared" si="52"/>
        <v>5005</v>
      </c>
      <c r="H1728" t="str">
        <f t="shared" si="53"/>
        <v>Receivables from exchange transactions</v>
      </c>
    </row>
    <row r="1729" spans="1:8" x14ac:dyDescent="0.25">
      <c r="A1729" t="s">
        <v>2466</v>
      </c>
      <c r="B1729" t="s">
        <v>2467</v>
      </c>
      <c r="C1729" s="67">
        <v>0</v>
      </c>
      <c r="D1729" s="67">
        <v>0</v>
      </c>
      <c r="E1729" s="67">
        <v>0</v>
      </c>
      <c r="F1729" s="67">
        <v>0</v>
      </c>
      <c r="G1729" t="str">
        <f t="shared" si="52"/>
        <v>5005</v>
      </c>
      <c r="H1729" t="str">
        <f t="shared" si="53"/>
        <v>Payables from exchange transactions</v>
      </c>
    </row>
    <row r="1730" spans="1:8" x14ac:dyDescent="0.25">
      <c r="A1730" t="s">
        <v>2468</v>
      </c>
      <c r="B1730" t="s">
        <v>2469</v>
      </c>
      <c r="C1730" s="67">
        <v>0</v>
      </c>
      <c r="D1730" s="67">
        <v>0</v>
      </c>
      <c r="E1730" s="67">
        <v>0</v>
      </c>
      <c r="F1730" s="67">
        <v>0</v>
      </c>
      <c r="G1730" t="str">
        <f t="shared" ref="G1730:G1793" si="54">VLOOKUP(A1730,s,2,FALSE)</f>
        <v>5005</v>
      </c>
      <c r="H1730" t="str">
        <f t="shared" ref="H1730:H1793" si="55">VLOOKUP(A1730,s,3,FALSE)</f>
        <v>Payables from exchange transactions</v>
      </c>
    </row>
    <row r="1731" spans="1:8" x14ac:dyDescent="0.25">
      <c r="A1731" t="s">
        <v>2470</v>
      </c>
      <c r="B1731" t="s">
        <v>2471</v>
      </c>
      <c r="C1731" s="67">
        <v>0</v>
      </c>
      <c r="D1731" s="67">
        <v>0</v>
      </c>
      <c r="E1731" s="67">
        <v>0</v>
      </c>
      <c r="F1731" s="67">
        <v>0</v>
      </c>
      <c r="G1731" t="str">
        <f t="shared" si="54"/>
        <v>5005</v>
      </c>
      <c r="H1731" t="str">
        <f t="shared" si="55"/>
        <v>Payables from exchange transactions</v>
      </c>
    </row>
    <row r="1732" spans="1:8" x14ac:dyDescent="0.25">
      <c r="A1732" t="s">
        <v>2472</v>
      </c>
      <c r="B1732" t="s">
        <v>2465</v>
      </c>
      <c r="C1732" s="67">
        <v>0</v>
      </c>
      <c r="D1732" s="67">
        <v>-797659</v>
      </c>
      <c r="E1732" s="67">
        <v>0</v>
      </c>
      <c r="F1732" s="67">
        <v>0</v>
      </c>
      <c r="G1732" t="str">
        <f t="shared" si="54"/>
        <v>5005</v>
      </c>
      <c r="H1732" t="str">
        <f t="shared" si="55"/>
        <v>Payables from exchange transactions</v>
      </c>
    </row>
    <row r="1733" spans="1:8" x14ac:dyDescent="0.25">
      <c r="A1733" t="s">
        <v>2473</v>
      </c>
      <c r="B1733" t="s">
        <v>2474</v>
      </c>
      <c r="C1733" s="67">
        <v>0</v>
      </c>
      <c r="D1733" s="67">
        <v>0</v>
      </c>
      <c r="E1733" s="67">
        <v>0</v>
      </c>
      <c r="F1733" s="67">
        <v>0</v>
      </c>
      <c r="G1733" t="str">
        <f t="shared" si="54"/>
        <v>5005</v>
      </c>
      <c r="H1733" t="str">
        <f t="shared" si="55"/>
        <v>Payables from exchange transactions</v>
      </c>
    </row>
    <row r="1734" spans="1:8" x14ac:dyDescent="0.25">
      <c r="A1734" t="s">
        <v>2475</v>
      </c>
      <c r="B1734" t="s">
        <v>2476</v>
      </c>
      <c r="C1734" s="67">
        <v>0</v>
      </c>
      <c r="D1734" s="67">
        <v>0</v>
      </c>
      <c r="E1734" s="67">
        <v>0</v>
      </c>
      <c r="F1734" s="67">
        <v>0</v>
      </c>
      <c r="G1734" t="str">
        <f t="shared" si="54"/>
        <v>5005</v>
      </c>
      <c r="H1734" t="str">
        <f t="shared" si="55"/>
        <v>Payables from exchange transactions</v>
      </c>
    </row>
    <row r="1735" spans="1:8" x14ac:dyDescent="0.25">
      <c r="A1735" t="s">
        <v>2477</v>
      </c>
      <c r="B1735" t="s">
        <v>2478</v>
      </c>
      <c r="C1735" s="67">
        <v>0</v>
      </c>
      <c r="D1735" s="67">
        <v>0</v>
      </c>
      <c r="E1735" s="67">
        <v>0</v>
      </c>
      <c r="F1735" s="67">
        <v>0</v>
      </c>
      <c r="G1735" t="str">
        <f t="shared" si="54"/>
        <v>5005</v>
      </c>
      <c r="H1735" t="str">
        <f t="shared" si="55"/>
        <v>Unspent conditional grants and receipts</v>
      </c>
    </row>
    <row r="1736" spans="1:8" x14ac:dyDescent="0.25">
      <c r="A1736" t="s">
        <v>2479</v>
      </c>
      <c r="B1736" t="s">
        <v>2480</v>
      </c>
      <c r="C1736" s="67">
        <v>0</v>
      </c>
      <c r="D1736" s="67">
        <v>0</v>
      </c>
      <c r="E1736" s="67">
        <v>0</v>
      </c>
      <c r="F1736" s="67">
        <v>0</v>
      </c>
      <c r="G1736" t="str">
        <f t="shared" si="54"/>
        <v>5005</v>
      </c>
      <c r="H1736" t="str">
        <f t="shared" si="55"/>
        <v>Unspent conditional grants and receipts</v>
      </c>
    </row>
    <row r="1737" spans="1:8" x14ac:dyDescent="0.25">
      <c r="A1737" t="s">
        <v>2481</v>
      </c>
      <c r="B1737" t="s">
        <v>2482</v>
      </c>
      <c r="C1737" s="67">
        <v>0</v>
      </c>
      <c r="D1737" s="67">
        <v>0</v>
      </c>
      <c r="E1737" s="67">
        <v>0</v>
      </c>
      <c r="F1737" s="67">
        <v>0</v>
      </c>
      <c r="G1737" t="str">
        <f t="shared" si="54"/>
        <v>5005</v>
      </c>
      <c r="H1737" t="str">
        <f t="shared" si="55"/>
        <v>Unspent conditional grants and receipts</v>
      </c>
    </row>
    <row r="1738" spans="1:8" x14ac:dyDescent="0.25">
      <c r="A1738" t="s">
        <v>2483</v>
      </c>
      <c r="B1738" t="s">
        <v>1863</v>
      </c>
      <c r="C1738" s="67">
        <v>0</v>
      </c>
      <c r="D1738" s="67">
        <v>0</v>
      </c>
      <c r="E1738" s="67">
        <v>0</v>
      </c>
      <c r="F1738" s="67">
        <v>0</v>
      </c>
      <c r="G1738" t="str">
        <f t="shared" si="54"/>
        <v>5005</v>
      </c>
      <c r="H1738" t="str">
        <f t="shared" si="55"/>
        <v>Unspent conditional grants and receipts</v>
      </c>
    </row>
    <row r="1739" spans="1:8" x14ac:dyDescent="0.25">
      <c r="A1739" t="s">
        <v>2484</v>
      </c>
      <c r="B1739" t="s">
        <v>2485</v>
      </c>
      <c r="C1739" s="67">
        <v>0</v>
      </c>
      <c r="D1739" s="67">
        <v>0</v>
      </c>
      <c r="E1739" s="67">
        <v>0</v>
      </c>
      <c r="F1739" s="67">
        <v>0</v>
      </c>
      <c r="G1739" t="str">
        <f t="shared" si="54"/>
        <v>5005</v>
      </c>
      <c r="H1739" t="str">
        <f t="shared" si="55"/>
        <v>Unspent conditional grants and receipts</v>
      </c>
    </row>
    <row r="1740" spans="1:8" x14ac:dyDescent="0.25">
      <c r="A1740" t="s">
        <v>2486</v>
      </c>
      <c r="B1740" t="s">
        <v>2487</v>
      </c>
      <c r="C1740" s="67">
        <v>0</v>
      </c>
      <c r="D1740" s="67">
        <v>0</v>
      </c>
      <c r="E1740" s="67">
        <v>0</v>
      </c>
      <c r="F1740" s="67">
        <v>0</v>
      </c>
      <c r="G1740" t="str">
        <f t="shared" si="54"/>
        <v>5005</v>
      </c>
      <c r="H1740" t="str">
        <f t="shared" si="55"/>
        <v>Unspent conditional grants and receipts</v>
      </c>
    </row>
    <row r="1741" spans="1:8" x14ac:dyDescent="0.25">
      <c r="A1741" t="s">
        <v>2488</v>
      </c>
      <c r="B1741" t="s">
        <v>2489</v>
      </c>
      <c r="C1741" s="67">
        <v>0</v>
      </c>
      <c r="D1741" s="67">
        <v>0</v>
      </c>
      <c r="E1741" s="67">
        <v>0</v>
      </c>
      <c r="F1741" s="67">
        <v>0</v>
      </c>
      <c r="G1741" t="str">
        <f t="shared" si="54"/>
        <v>5005</v>
      </c>
      <c r="H1741" t="str">
        <f t="shared" si="55"/>
        <v>VAT</v>
      </c>
    </row>
    <row r="1742" spans="1:8" x14ac:dyDescent="0.25">
      <c r="A1742" t="s">
        <v>2490</v>
      </c>
      <c r="B1742" t="s">
        <v>2491</v>
      </c>
      <c r="C1742" s="67">
        <v>0</v>
      </c>
      <c r="D1742" s="67">
        <v>0</v>
      </c>
      <c r="E1742" s="67">
        <v>0</v>
      </c>
      <c r="F1742" s="67">
        <v>0</v>
      </c>
      <c r="G1742" t="str">
        <f t="shared" si="54"/>
        <v>5005</v>
      </c>
      <c r="H1742" t="str">
        <f t="shared" si="55"/>
        <v>VAT</v>
      </c>
    </row>
    <row r="1743" spans="1:8" x14ac:dyDescent="0.25">
      <c r="A1743" t="s">
        <v>2492</v>
      </c>
      <c r="B1743" t="s">
        <v>2493</v>
      </c>
      <c r="C1743" s="67">
        <v>0</v>
      </c>
      <c r="D1743" s="67">
        <v>0</v>
      </c>
      <c r="E1743" s="67">
        <v>0</v>
      </c>
      <c r="F1743" s="67">
        <v>0</v>
      </c>
      <c r="G1743" t="str">
        <f t="shared" si="54"/>
        <v>5005</v>
      </c>
      <c r="H1743" t="str">
        <f t="shared" si="55"/>
        <v>Provisions</v>
      </c>
    </row>
    <row r="1744" spans="1:8" x14ac:dyDescent="0.25">
      <c r="A1744" t="s">
        <v>2494</v>
      </c>
      <c r="B1744" t="s">
        <v>2495</v>
      </c>
      <c r="C1744" s="67">
        <v>0</v>
      </c>
      <c r="D1744" s="67">
        <v>0</v>
      </c>
      <c r="E1744" s="67">
        <v>-350000</v>
      </c>
      <c r="F1744" s="67">
        <v>-350000</v>
      </c>
      <c r="G1744" t="str">
        <f t="shared" si="54"/>
        <v>5005</v>
      </c>
      <c r="H1744" t="str">
        <f t="shared" si="55"/>
        <v>Non-Current Employee Benefits</v>
      </c>
    </row>
    <row r="1745" spans="1:8" x14ac:dyDescent="0.25">
      <c r="A1745" t="s">
        <v>2496</v>
      </c>
      <c r="B1745" t="s">
        <v>2497</v>
      </c>
      <c r="C1745" s="67">
        <v>0</v>
      </c>
      <c r="D1745" s="67">
        <v>0</v>
      </c>
      <c r="E1745" s="67">
        <v>0</v>
      </c>
      <c r="F1745" s="67">
        <v>0</v>
      </c>
      <c r="G1745" t="str">
        <f t="shared" si="54"/>
        <v>5005</v>
      </c>
      <c r="H1745" t="str">
        <f t="shared" si="55"/>
        <v>Non-Current Employee Benefits</v>
      </c>
    </row>
    <row r="1746" spans="1:8" x14ac:dyDescent="0.25">
      <c r="A1746" t="s">
        <v>2498</v>
      </c>
      <c r="B1746" t="s">
        <v>1885</v>
      </c>
      <c r="C1746" s="67">
        <v>0</v>
      </c>
      <c r="D1746" s="67">
        <v>0</v>
      </c>
      <c r="E1746" s="67">
        <v>0</v>
      </c>
      <c r="F1746" s="67">
        <v>0</v>
      </c>
      <c r="G1746" t="str">
        <f t="shared" si="54"/>
        <v>5005</v>
      </c>
      <c r="H1746" t="str">
        <f t="shared" si="55"/>
        <v>Non-Current Employee Benefits</v>
      </c>
    </row>
    <row r="1747" spans="1:8" x14ac:dyDescent="0.25">
      <c r="A1747" t="s">
        <v>2499</v>
      </c>
      <c r="B1747" t="s">
        <v>2493</v>
      </c>
      <c r="C1747" s="67">
        <v>0</v>
      </c>
      <c r="D1747" s="67">
        <v>0</v>
      </c>
      <c r="E1747" s="67">
        <v>0</v>
      </c>
      <c r="F1747" s="67">
        <v>0</v>
      </c>
      <c r="G1747" t="str">
        <f t="shared" si="54"/>
        <v>5005</v>
      </c>
      <c r="H1747" t="str">
        <f t="shared" si="55"/>
        <v>Non-Current Employee Benefits</v>
      </c>
    </row>
    <row r="1748" spans="1:8" x14ac:dyDescent="0.25">
      <c r="A1748" t="s">
        <v>2500</v>
      </c>
      <c r="B1748" t="s">
        <v>2501</v>
      </c>
      <c r="C1748" s="67">
        <v>0</v>
      </c>
      <c r="D1748" s="67">
        <v>251676</v>
      </c>
      <c r="E1748" s="67">
        <v>0</v>
      </c>
      <c r="F1748" s="67">
        <v>0</v>
      </c>
      <c r="G1748" t="str">
        <f t="shared" si="54"/>
        <v>5005</v>
      </c>
      <c r="H1748" t="str">
        <f t="shared" si="55"/>
        <v>Finance lease obligation (Current)</v>
      </c>
    </row>
    <row r="1749" spans="1:8" x14ac:dyDescent="0.25">
      <c r="A1749" t="s">
        <v>2502</v>
      </c>
      <c r="B1749" t="s">
        <v>2503</v>
      </c>
      <c r="C1749" s="67">
        <v>0</v>
      </c>
      <c r="D1749" s="67">
        <v>0</v>
      </c>
      <c r="E1749" s="67">
        <v>0</v>
      </c>
      <c r="F1749" s="67">
        <v>0</v>
      </c>
      <c r="G1749" t="str">
        <f t="shared" si="54"/>
        <v>5005</v>
      </c>
      <c r="H1749" t="str">
        <f t="shared" si="55"/>
        <v>Provisions</v>
      </c>
    </row>
    <row r="1750" spans="1:8" x14ac:dyDescent="0.25">
      <c r="A1750" t="s">
        <v>2504</v>
      </c>
      <c r="B1750" t="s">
        <v>2505</v>
      </c>
      <c r="C1750" s="67">
        <v>0</v>
      </c>
      <c r="D1750" s="67">
        <v>0</v>
      </c>
      <c r="E1750" s="67">
        <v>0</v>
      </c>
      <c r="F1750" s="67">
        <v>0</v>
      </c>
      <c r="G1750" t="str">
        <f t="shared" si="54"/>
        <v>5005</v>
      </c>
      <c r="H1750" t="str">
        <f t="shared" si="55"/>
        <v>Provisions</v>
      </c>
    </row>
    <row r="1751" spans="1:8" x14ac:dyDescent="0.25">
      <c r="A1751" t="s">
        <v>2506</v>
      </c>
      <c r="B1751" t="s">
        <v>2507</v>
      </c>
      <c r="C1751" s="67">
        <v>0</v>
      </c>
      <c r="D1751" s="67">
        <v>0</v>
      </c>
      <c r="E1751" s="67">
        <v>0</v>
      </c>
      <c r="F1751" s="67">
        <v>0</v>
      </c>
      <c r="G1751" t="str">
        <f t="shared" si="54"/>
        <v>5005</v>
      </c>
      <c r="H1751" t="str">
        <f t="shared" si="55"/>
        <v>Reserves</v>
      </c>
    </row>
    <row r="1752" spans="1:8" x14ac:dyDescent="0.25">
      <c r="A1752" t="s">
        <v>2508</v>
      </c>
      <c r="B1752" t="s">
        <v>2509</v>
      </c>
      <c r="C1752" s="67">
        <v>0</v>
      </c>
      <c r="D1752" s="67">
        <v>0</v>
      </c>
      <c r="E1752" s="67">
        <v>0</v>
      </c>
      <c r="F1752" s="67">
        <v>0</v>
      </c>
      <c r="G1752" t="str">
        <f t="shared" si="54"/>
        <v>5005</v>
      </c>
      <c r="H1752" t="str">
        <f t="shared" si="55"/>
        <v>Reserves</v>
      </c>
    </row>
    <row r="1753" spans="1:8" x14ac:dyDescent="0.25">
      <c r="A1753" t="s">
        <v>2510</v>
      </c>
      <c r="B1753" t="s">
        <v>2284</v>
      </c>
      <c r="C1753" s="67">
        <v>0</v>
      </c>
      <c r="D1753" s="67">
        <v>0</v>
      </c>
      <c r="E1753" s="67">
        <v>0</v>
      </c>
      <c r="F1753" s="67">
        <v>0</v>
      </c>
      <c r="G1753" t="str">
        <f t="shared" si="54"/>
        <v>5010</v>
      </c>
      <c r="H1753" t="str">
        <f t="shared" si="55"/>
        <v>Loss on disposal of assets and liabilities</v>
      </c>
    </row>
    <row r="1754" spans="1:8" x14ac:dyDescent="0.25">
      <c r="A1754" t="s">
        <v>2511</v>
      </c>
      <c r="B1754" t="s">
        <v>2303</v>
      </c>
      <c r="C1754" s="67">
        <v>0</v>
      </c>
      <c r="D1754" s="67">
        <v>0</v>
      </c>
      <c r="E1754" s="67">
        <v>0</v>
      </c>
      <c r="F1754" s="67">
        <v>0</v>
      </c>
      <c r="G1754" t="str">
        <f t="shared" si="54"/>
        <v>5010</v>
      </c>
      <c r="H1754" t="str">
        <f t="shared" si="55"/>
        <v>Non-Current Assets (Cost)</v>
      </c>
    </row>
    <row r="1755" spans="1:8" x14ac:dyDescent="0.25">
      <c r="A1755" t="s">
        <v>2512</v>
      </c>
      <c r="B1755" t="s">
        <v>2305</v>
      </c>
      <c r="C1755" s="67">
        <v>0</v>
      </c>
      <c r="D1755" s="67">
        <v>0</v>
      </c>
      <c r="E1755" s="67">
        <v>0</v>
      </c>
      <c r="F1755" s="67">
        <v>0</v>
      </c>
      <c r="G1755" t="str">
        <f t="shared" si="54"/>
        <v>5010</v>
      </c>
      <c r="H1755" t="str">
        <f t="shared" si="55"/>
        <v>Non-Current Assets (Acc Depreciation)</v>
      </c>
    </row>
    <row r="1756" spans="1:8" x14ac:dyDescent="0.25">
      <c r="A1756" t="s">
        <v>2513</v>
      </c>
      <c r="B1756" t="s">
        <v>2514</v>
      </c>
      <c r="C1756" s="67" t="e">
        <v>#N/A</v>
      </c>
      <c r="D1756" s="67">
        <v>0</v>
      </c>
      <c r="E1756" s="67">
        <v>0</v>
      </c>
      <c r="F1756" s="67">
        <v>0</v>
      </c>
      <c r="G1756" t="str">
        <f t="shared" si="54"/>
        <v>5015</v>
      </c>
      <c r="H1756" t="str">
        <f t="shared" si="55"/>
        <v>Interest received - external investment</v>
      </c>
    </row>
    <row r="1757" spans="1:8" x14ac:dyDescent="0.25">
      <c r="A1757" t="s">
        <v>2515</v>
      </c>
      <c r="B1757" t="s">
        <v>221</v>
      </c>
      <c r="C1757" s="67">
        <v>0</v>
      </c>
      <c r="D1757" s="67">
        <v>0</v>
      </c>
      <c r="E1757" s="67">
        <v>0</v>
      </c>
      <c r="F1757" s="67">
        <v>0</v>
      </c>
      <c r="G1757" t="str">
        <f t="shared" si="54"/>
        <v>5015</v>
      </c>
      <c r="H1757" t="str">
        <f t="shared" si="55"/>
        <v>Contracted services</v>
      </c>
    </row>
    <row r="1758" spans="1:8" x14ac:dyDescent="0.25">
      <c r="A1758" t="s">
        <v>2516</v>
      </c>
      <c r="B1758" t="s">
        <v>2286</v>
      </c>
      <c r="C1758" s="67">
        <v>0</v>
      </c>
      <c r="D1758" s="67">
        <v>0</v>
      </c>
      <c r="E1758" s="67">
        <v>0</v>
      </c>
      <c r="F1758" s="67">
        <v>0</v>
      </c>
      <c r="G1758" t="str">
        <f t="shared" si="54"/>
        <v>5015</v>
      </c>
      <c r="H1758" t="str">
        <f t="shared" si="55"/>
        <v>Loss on disposal of assets and liabilities</v>
      </c>
    </row>
    <row r="1759" spans="1:8" x14ac:dyDescent="0.25">
      <c r="A1759" t="s">
        <v>2517</v>
      </c>
      <c r="B1759" t="s">
        <v>2299</v>
      </c>
      <c r="C1759" s="67">
        <v>0</v>
      </c>
      <c r="D1759" s="67">
        <v>0</v>
      </c>
      <c r="E1759" s="67">
        <v>0</v>
      </c>
      <c r="F1759" s="67">
        <v>0</v>
      </c>
      <c r="G1759" t="str">
        <f t="shared" si="54"/>
        <v>5015</v>
      </c>
      <c r="H1759" t="str">
        <f t="shared" si="55"/>
        <v>Non-Current Assets (Cost)</v>
      </c>
    </row>
    <row r="1760" spans="1:8" x14ac:dyDescent="0.25">
      <c r="A1760" t="s">
        <v>2518</v>
      </c>
      <c r="B1760" t="s">
        <v>2301</v>
      </c>
      <c r="C1760" s="67">
        <v>0</v>
      </c>
      <c r="D1760" s="67">
        <v>0</v>
      </c>
      <c r="E1760" s="67">
        <v>0</v>
      </c>
      <c r="F1760" s="67">
        <v>0</v>
      </c>
      <c r="G1760" t="str">
        <f t="shared" si="54"/>
        <v>5015</v>
      </c>
      <c r="H1760" t="str">
        <f t="shared" si="55"/>
        <v>Non-Current Assets (Acc Depreciation)</v>
      </c>
    </row>
    <row r="1761" spans="1:8" x14ac:dyDescent="0.25">
      <c r="A1761" t="s">
        <v>2519</v>
      </c>
      <c r="B1761" t="s">
        <v>58</v>
      </c>
      <c r="C1761" s="67" t="e">
        <v>#N/A</v>
      </c>
      <c r="D1761" s="67">
        <v>0</v>
      </c>
      <c r="E1761" s="67">
        <v>0</v>
      </c>
      <c r="F1761" s="67">
        <v>0</v>
      </c>
      <c r="G1761" t="str">
        <f t="shared" si="54"/>
        <v>5020</v>
      </c>
      <c r="H1761" t="str">
        <f t="shared" si="55"/>
        <v>Interest received - debtors</v>
      </c>
    </row>
    <row r="1762" spans="1:8" x14ac:dyDescent="0.25">
      <c r="A1762" t="s">
        <v>2520</v>
      </c>
      <c r="B1762" t="s">
        <v>2521</v>
      </c>
      <c r="C1762" s="67">
        <v>0</v>
      </c>
      <c r="D1762" s="67">
        <v>0</v>
      </c>
      <c r="E1762" s="67">
        <v>0</v>
      </c>
      <c r="F1762" s="67">
        <v>0</v>
      </c>
      <c r="G1762" t="str">
        <f t="shared" si="54"/>
        <v>5020</v>
      </c>
      <c r="H1762" t="str">
        <f t="shared" si="55"/>
        <v>Contracted services</v>
      </c>
    </row>
    <row r="1763" spans="1:8" x14ac:dyDescent="0.25">
      <c r="A1763" t="s">
        <v>2522</v>
      </c>
      <c r="B1763" t="s">
        <v>283</v>
      </c>
      <c r="C1763" s="67">
        <v>0</v>
      </c>
      <c r="D1763" s="67">
        <v>0</v>
      </c>
      <c r="E1763" s="67">
        <v>0</v>
      </c>
      <c r="F1763" s="67">
        <v>0</v>
      </c>
      <c r="G1763" t="str">
        <f t="shared" si="54"/>
        <v>5020</v>
      </c>
      <c r="H1763" t="str">
        <f t="shared" si="55"/>
        <v>Finance costs</v>
      </c>
    </row>
    <row r="1764" spans="1:8" x14ac:dyDescent="0.25">
      <c r="A1764" t="s">
        <v>2523</v>
      </c>
      <c r="B1764" t="s">
        <v>288</v>
      </c>
      <c r="C1764" s="67">
        <v>0</v>
      </c>
      <c r="D1764" s="67">
        <v>0</v>
      </c>
      <c r="E1764" s="67">
        <v>0</v>
      </c>
      <c r="F1764" s="67">
        <v>0</v>
      </c>
      <c r="G1764" t="str">
        <f t="shared" si="54"/>
        <v>5020</v>
      </c>
      <c r="H1764" t="str">
        <f t="shared" si="55"/>
        <v>Debt impairment</v>
      </c>
    </row>
    <row r="1765" spans="1:8" x14ac:dyDescent="0.25">
      <c r="A1765" t="s">
        <v>2524</v>
      </c>
      <c r="B1765" t="s">
        <v>2284</v>
      </c>
      <c r="C1765" s="67">
        <v>0</v>
      </c>
      <c r="D1765" s="67">
        <v>0</v>
      </c>
      <c r="E1765" s="67">
        <v>0</v>
      </c>
      <c r="F1765" s="67">
        <v>0</v>
      </c>
      <c r="G1765" t="str">
        <f t="shared" si="54"/>
        <v>5020</v>
      </c>
      <c r="H1765" t="str">
        <f t="shared" si="55"/>
        <v>Loss on disposal of assets and liabilities</v>
      </c>
    </row>
    <row r="1766" spans="1:8" x14ac:dyDescent="0.25">
      <c r="A1766" t="s">
        <v>2525</v>
      </c>
      <c r="B1766" t="s">
        <v>2286</v>
      </c>
      <c r="C1766" s="67">
        <v>0</v>
      </c>
      <c r="D1766" s="67">
        <v>0</v>
      </c>
      <c r="E1766" s="67">
        <v>0</v>
      </c>
      <c r="F1766" s="67">
        <v>0</v>
      </c>
      <c r="G1766" t="str">
        <f t="shared" si="54"/>
        <v>5020</v>
      </c>
      <c r="H1766" t="str">
        <f t="shared" si="55"/>
        <v>Loss on disposal of assets and liabilities</v>
      </c>
    </row>
    <row r="1767" spans="1:8" x14ac:dyDescent="0.25">
      <c r="A1767" t="s">
        <v>2526</v>
      </c>
      <c r="B1767" t="s">
        <v>2527</v>
      </c>
      <c r="C1767" s="67">
        <v>0</v>
      </c>
      <c r="D1767" s="67">
        <v>153383.13</v>
      </c>
      <c r="E1767" s="67">
        <v>168721.443</v>
      </c>
      <c r="F1767" s="67">
        <v>185593.58730000001</v>
      </c>
      <c r="G1767" t="str">
        <f t="shared" si="54"/>
        <v>5020</v>
      </c>
      <c r="H1767" t="str">
        <f t="shared" si="55"/>
        <v>Receivables from exchange transactions</v>
      </c>
    </row>
    <row r="1768" spans="1:8" x14ac:dyDescent="0.25">
      <c r="A1768" t="s">
        <v>2528</v>
      </c>
      <c r="B1768" t="s">
        <v>2529</v>
      </c>
      <c r="C1768" s="67">
        <v>0</v>
      </c>
      <c r="D1768" s="67">
        <v>0</v>
      </c>
      <c r="E1768" s="67">
        <v>0</v>
      </c>
      <c r="F1768" s="67">
        <v>0</v>
      </c>
      <c r="G1768" t="str">
        <f t="shared" si="54"/>
        <v>5020</v>
      </c>
      <c r="H1768" t="str">
        <f t="shared" si="55"/>
        <v>Receivables from exchange transactions</v>
      </c>
    </row>
    <row r="1769" spans="1:8" x14ac:dyDescent="0.25">
      <c r="A1769" t="s">
        <v>2530</v>
      </c>
      <c r="B1769" t="s">
        <v>2531</v>
      </c>
      <c r="C1769" s="67">
        <v>0</v>
      </c>
      <c r="D1769" s="67">
        <v>0</v>
      </c>
      <c r="E1769" s="67">
        <v>0</v>
      </c>
      <c r="F1769" s="67">
        <v>0</v>
      </c>
      <c r="G1769" t="str">
        <f t="shared" si="54"/>
        <v>5020</v>
      </c>
      <c r="H1769" t="str">
        <f t="shared" si="55"/>
        <v>Receivables from exchange transactions</v>
      </c>
    </row>
    <row r="1770" spans="1:8" x14ac:dyDescent="0.25">
      <c r="A1770" t="s">
        <v>2532</v>
      </c>
      <c r="B1770" t="s">
        <v>921</v>
      </c>
      <c r="C1770" s="67" t="e">
        <v>#N/A</v>
      </c>
      <c r="D1770" s="67">
        <v>0</v>
      </c>
      <c r="E1770" s="67">
        <v>0</v>
      </c>
      <c r="F1770" s="67">
        <v>0</v>
      </c>
      <c r="G1770" t="str">
        <f t="shared" si="54"/>
        <v>5020</v>
      </c>
      <c r="H1770" t="str">
        <f t="shared" si="55"/>
        <v>Non-Current Assets (Acquisitions)</v>
      </c>
    </row>
    <row r="1771" spans="1:8" x14ac:dyDescent="0.25">
      <c r="A1771" t="s">
        <v>2533</v>
      </c>
      <c r="B1771" t="s">
        <v>1426</v>
      </c>
      <c r="C1771" s="67">
        <v>0</v>
      </c>
      <c r="D1771" s="67">
        <v>0</v>
      </c>
      <c r="E1771" s="67">
        <v>0</v>
      </c>
      <c r="F1771" s="67">
        <v>0</v>
      </c>
      <c r="G1771" t="str">
        <f t="shared" si="54"/>
        <v>5020</v>
      </c>
      <c r="H1771" t="str">
        <f t="shared" si="55"/>
        <v>Non-Current Assets (Depreciation)</v>
      </c>
    </row>
    <row r="1772" spans="1:8" x14ac:dyDescent="0.25">
      <c r="A1772" t="s">
        <v>2534</v>
      </c>
      <c r="B1772" t="s">
        <v>2299</v>
      </c>
      <c r="C1772" s="67">
        <v>0</v>
      </c>
      <c r="D1772" s="67">
        <v>0</v>
      </c>
      <c r="E1772" s="67">
        <v>0</v>
      </c>
      <c r="F1772" s="67">
        <v>0</v>
      </c>
      <c r="G1772" t="str">
        <f t="shared" si="54"/>
        <v>5020</v>
      </c>
      <c r="H1772" t="str">
        <f t="shared" si="55"/>
        <v>Non-Current Assets (Cost)</v>
      </c>
    </row>
    <row r="1773" spans="1:8" x14ac:dyDescent="0.25">
      <c r="A1773" t="s">
        <v>2535</v>
      </c>
      <c r="B1773" t="s">
        <v>2301</v>
      </c>
      <c r="C1773" s="67">
        <v>0</v>
      </c>
      <c r="D1773" s="67">
        <v>0</v>
      </c>
      <c r="E1773" s="67">
        <v>0</v>
      </c>
      <c r="F1773" s="67">
        <v>0</v>
      </c>
      <c r="G1773" t="str">
        <f t="shared" si="54"/>
        <v>5020</v>
      </c>
      <c r="H1773" t="str">
        <f t="shared" si="55"/>
        <v>Non-Current Assets (Acc Depreciation)</v>
      </c>
    </row>
    <row r="1774" spans="1:8" x14ac:dyDescent="0.25">
      <c r="A1774" t="s">
        <v>2536</v>
      </c>
      <c r="B1774" t="s">
        <v>2303</v>
      </c>
      <c r="C1774" s="67">
        <v>0</v>
      </c>
      <c r="D1774" s="67">
        <v>0</v>
      </c>
      <c r="E1774" s="67">
        <v>0</v>
      </c>
      <c r="F1774" s="67">
        <v>0</v>
      </c>
      <c r="G1774" t="str">
        <f t="shared" si="54"/>
        <v>5020</v>
      </c>
      <c r="H1774" t="str">
        <f t="shared" si="55"/>
        <v>Non-Current Assets (Cost)</v>
      </c>
    </row>
    <row r="1775" spans="1:8" x14ac:dyDescent="0.25">
      <c r="A1775" t="s">
        <v>2537</v>
      </c>
      <c r="B1775" t="s">
        <v>2305</v>
      </c>
      <c r="C1775" s="67">
        <v>0</v>
      </c>
      <c r="D1775" s="67">
        <v>0</v>
      </c>
      <c r="E1775" s="67">
        <v>0</v>
      </c>
      <c r="F1775" s="67">
        <v>0</v>
      </c>
      <c r="G1775" t="str">
        <f t="shared" si="54"/>
        <v>5020</v>
      </c>
      <c r="H1775" t="str">
        <f t="shared" si="55"/>
        <v>Non-Current Assets (Acc Depreciation)</v>
      </c>
    </row>
    <row r="1776" spans="1:8" x14ac:dyDescent="0.25">
      <c r="A1776" t="s">
        <v>2538</v>
      </c>
      <c r="B1776" t="s">
        <v>2539</v>
      </c>
      <c r="C1776" s="67">
        <v>0</v>
      </c>
      <c r="D1776" s="67">
        <v>0</v>
      </c>
      <c r="E1776" s="67">
        <v>0</v>
      </c>
      <c r="F1776" s="67">
        <v>0</v>
      </c>
      <c r="G1776" t="str">
        <f t="shared" si="54"/>
        <v>5020</v>
      </c>
      <c r="H1776" t="str">
        <f t="shared" si="55"/>
        <v>VAT</v>
      </c>
    </row>
    <row r="1777" spans="1:8" x14ac:dyDescent="0.25">
      <c r="A1777" t="s">
        <v>2540</v>
      </c>
      <c r="B1777" t="s">
        <v>2507</v>
      </c>
      <c r="C1777" s="67">
        <v>0</v>
      </c>
      <c r="D1777" s="67">
        <v>0</v>
      </c>
      <c r="E1777" s="67">
        <v>0</v>
      </c>
      <c r="F1777" s="67">
        <v>0</v>
      </c>
      <c r="G1777" t="str">
        <f t="shared" si="54"/>
        <v>5020</v>
      </c>
      <c r="H1777" t="str">
        <f t="shared" si="55"/>
        <v>Reserves</v>
      </c>
    </row>
    <row r="1778" spans="1:8" x14ac:dyDescent="0.25">
      <c r="A1778" t="s">
        <v>2541</v>
      </c>
      <c r="B1778" t="s">
        <v>210</v>
      </c>
      <c r="C1778" s="67" t="e">
        <v>#N/A</v>
      </c>
      <c r="D1778" s="67">
        <v>0</v>
      </c>
      <c r="E1778" s="67">
        <v>0</v>
      </c>
      <c r="F1778" s="67">
        <v>0</v>
      </c>
      <c r="G1778" t="str">
        <f t="shared" si="54"/>
        <v>5025</v>
      </c>
      <c r="H1778" t="str">
        <f t="shared" si="55"/>
        <v>Contracted services</v>
      </c>
    </row>
    <row r="1779" spans="1:8" x14ac:dyDescent="0.25">
      <c r="A1779" t="s">
        <v>2542</v>
      </c>
      <c r="B1779" t="s">
        <v>257</v>
      </c>
      <c r="C1779" s="67">
        <v>0</v>
      </c>
      <c r="D1779" s="67">
        <v>0</v>
      </c>
      <c r="E1779" s="67">
        <v>0</v>
      </c>
      <c r="F1779" s="67">
        <v>0</v>
      </c>
      <c r="G1779" t="str">
        <f t="shared" si="54"/>
        <v>5025</v>
      </c>
      <c r="H1779" t="str">
        <f t="shared" si="55"/>
        <v>General expenses</v>
      </c>
    </row>
    <row r="1780" spans="1:8" x14ac:dyDescent="0.25">
      <c r="A1780" t="s">
        <v>2543</v>
      </c>
      <c r="B1780" t="s">
        <v>283</v>
      </c>
      <c r="C1780" s="67">
        <v>0</v>
      </c>
      <c r="D1780" s="67">
        <v>0</v>
      </c>
      <c r="E1780" s="67">
        <v>0</v>
      </c>
      <c r="F1780" s="67">
        <v>0</v>
      </c>
      <c r="G1780" t="str">
        <f t="shared" si="54"/>
        <v>5025</v>
      </c>
      <c r="H1780" t="str">
        <f t="shared" si="55"/>
        <v>Finance costs</v>
      </c>
    </row>
    <row r="1781" spans="1:8" x14ac:dyDescent="0.25">
      <c r="A1781" t="s">
        <v>2544</v>
      </c>
      <c r="B1781" t="s">
        <v>2284</v>
      </c>
      <c r="C1781" s="67">
        <v>0</v>
      </c>
      <c r="D1781" s="67">
        <v>0</v>
      </c>
      <c r="E1781" s="67">
        <v>0</v>
      </c>
      <c r="F1781" s="67">
        <v>0</v>
      </c>
      <c r="G1781" t="str">
        <f t="shared" si="54"/>
        <v>5025</v>
      </c>
      <c r="H1781" t="str">
        <f t="shared" si="55"/>
        <v>Loss on disposal of assets and liabilities</v>
      </c>
    </row>
    <row r="1782" spans="1:8" x14ac:dyDescent="0.25">
      <c r="A1782" t="s">
        <v>2545</v>
      </c>
      <c r="B1782" t="s">
        <v>2286</v>
      </c>
      <c r="C1782" s="67">
        <v>0</v>
      </c>
      <c r="D1782" s="67">
        <v>0</v>
      </c>
      <c r="E1782" s="67">
        <v>0</v>
      </c>
      <c r="F1782" s="67">
        <v>0</v>
      </c>
      <c r="G1782" t="str">
        <f t="shared" si="54"/>
        <v>5025</v>
      </c>
      <c r="H1782" t="str">
        <f t="shared" si="55"/>
        <v>Loss on disposal of assets and liabilities</v>
      </c>
    </row>
    <row r="1783" spans="1:8" x14ac:dyDescent="0.25">
      <c r="A1783" t="s">
        <v>2546</v>
      </c>
      <c r="B1783" t="s">
        <v>2299</v>
      </c>
      <c r="C1783" s="67">
        <v>0</v>
      </c>
      <c r="D1783" s="67">
        <v>0</v>
      </c>
      <c r="E1783" s="67">
        <v>0</v>
      </c>
      <c r="F1783" s="67">
        <v>0</v>
      </c>
      <c r="G1783" t="str">
        <f t="shared" si="54"/>
        <v>5025</v>
      </c>
      <c r="H1783" t="str">
        <f t="shared" si="55"/>
        <v>Non-Current Assets (Cost)</v>
      </c>
    </row>
    <row r="1784" spans="1:8" x14ac:dyDescent="0.25">
      <c r="A1784" t="s">
        <v>2547</v>
      </c>
      <c r="B1784" t="s">
        <v>2301</v>
      </c>
      <c r="C1784" s="67">
        <v>0</v>
      </c>
      <c r="D1784" s="67">
        <v>0</v>
      </c>
      <c r="E1784" s="67">
        <v>0</v>
      </c>
      <c r="F1784" s="67">
        <v>0</v>
      </c>
      <c r="G1784" t="str">
        <f t="shared" si="54"/>
        <v>5025</v>
      </c>
      <c r="H1784" t="str">
        <f t="shared" si="55"/>
        <v>Non-Current Assets (Acc Depreciation)</v>
      </c>
    </row>
    <row r="1785" spans="1:8" x14ac:dyDescent="0.25">
      <c r="A1785" t="s">
        <v>2548</v>
      </c>
      <c r="B1785" t="s">
        <v>2303</v>
      </c>
      <c r="C1785" s="67">
        <v>0</v>
      </c>
      <c r="D1785" s="67">
        <v>0</v>
      </c>
      <c r="E1785" s="67">
        <v>0</v>
      </c>
      <c r="F1785" s="67">
        <v>0</v>
      </c>
      <c r="G1785" t="str">
        <f t="shared" si="54"/>
        <v>5025</v>
      </c>
      <c r="H1785" t="str">
        <f t="shared" si="55"/>
        <v>Non-Current Assets (Cost)</v>
      </c>
    </row>
    <row r="1786" spans="1:8" x14ac:dyDescent="0.25">
      <c r="A1786" t="s">
        <v>2549</v>
      </c>
      <c r="B1786" t="s">
        <v>2305</v>
      </c>
      <c r="C1786" s="67">
        <v>0</v>
      </c>
      <c r="D1786" s="67">
        <v>0</v>
      </c>
      <c r="E1786" s="67">
        <v>0</v>
      </c>
      <c r="F1786" s="67">
        <v>0</v>
      </c>
      <c r="G1786" t="str">
        <f t="shared" si="54"/>
        <v>5025</v>
      </c>
      <c r="H1786" t="str">
        <f t="shared" si="55"/>
        <v>Non-Current Assets (Acc Depreciation)</v>
      </c>
    </row>
    <row r="1787" spans="1:8" x14ac:dyDescent="0.25">
      <c r="A1787" t="s">
        <v>2550</v>
      </c>
      <c r="B1787" t="s">
        <v>2349</v>
      </c>
      <c r="C1787" s="67">
        <v>0</v>
      </c>
      <c r="D1787" s="67">
        <v>0</v>
      </c>
      <c r="E1787" s="67">
        <v>0</v>
      </c>
      <c r="F1787" s="67">
        <v>0</v>
      </c>
      <c r="G1787" t="str">
        <f t="shared" si="54"/>
        <v>5025</v>
      </c>
      <c r="H1787" t="str">
        <f t="shared" si="55"/>
        <v>Current Employee Benefits</v>
      </c>
    </row>
    <row r="1788" spans="1:8" x14ac:dyDescent="0.25">
      <c r="A1788" t="s">
        <v>2551</v>
      </c>
      <c r="B1788" t="s">
        <v>2284</v>
      </c>
      <c r="C1788" s="67">
        <v>0</v>
      </c>
      <c r="D1788" s="67">
        <v>0</v>
      </c>
      <c r="E1788" s="67">
        <v>0</v>
      </c>
      <c r="F1788" s="67">
        <v>0</v>
      </c>
      <c r="G1788" t="str">
        <f t="shared" si="54"/>
        <v>5030</v>
      </c>
      <c r="H1788" t="str">
        <f t="shared" si="55"/>
        <v>Loss on disposal of assets and liabilities</v>
      </c>
    </row>
    <row r="1789" spans="1:8" x14ac:dyDescent="0.25">
      <c r="A1789" t="s">
        <v>2552</v>
      </c>
      <c r="B1789" t="s">
        <v>2286</v>
      </c>
      <c r="C1789" s="67">
        <v>0</v>
      </c>
      <c r="D1789" s="67">
        <v>0</v>
      </c>
      <c r="E1789" s="67">
        <v>0</v>
      </c>
      <c r="F1789" s="67">
        <v>0</v>
      </c>
      <c r="G1789" t="str">
        <f t="shared" si="54"/>
        <v>5030</v>
      </c>
      <c r="H1789" t="str">
        <f t="shared" si="55"/>
        <v>Loss on disposal of assets and liabilities</v>
      </c>
    </row>
    <row r="1790" spans="1:8" x14ac:dyDescent="0.25">
      <c r="A1790" t="s">
        <v>2553</v>
      </c>
      <c r="B1790" t="s">
        <v>2554</v>
      </c>
      <c r="C1790" s="67">
        <v>0</v>
      </c>
      <c r="D1790" s="67">
        <v>0</v>
      </c>
      <c r="E1790" s="67">
        <v>0</v>
      </c>
      <c r="F1790" s="67">
        <v>0</v>
      </c>
      <c r="G1790" t="str">
        <f t="shared" si="54"/>
        <v>5030</v>
      </c>
      <c r="H1790" t="str">
        <f t="shared" si="55"/>
        <v>VAT</v>
      </c>
    </row>
    <row r="1791" spans="1:8" x14ac:dyDescent="0.25">
      <c r="A1791" t="s">
        <v>2555</v>
      </c>
      <c r="B1791" t="s">
        <v>2556</v>
      </c>
      <c r="C1791" s="67">
        <v>0</v>
      </c>
      <c r="D1791" s="67">
        <v>0</v>
      </c>
      <c r="E1791" s="67">
        <v>0</v>
      </c>
      <c r="F1791" s="67">
        <v>0</v>
      </c>
      <c r="G1791" t="str">
        <f t="shared" si="54"/>
        <v>5030</v>
      </c>
      <c r="H1791" t="str">
        <f t="shared" si="55"/>
        <v>VAT</v>
      </c>
    </row>
    <row r="1792" spans="1:8" x14ac:dyDescent="0.25">
      <c r="A1792" t="s">
        <v>2557</v>
      </c>
      <c r="B1792" t="s">
        <v>2558</v>
      </c>
      <c r="C1792" s="67">
        <v>0</v>
      </c>
      <c r="D1792" s="67">
        <v>0</v>
      </c>
      <c r="E1792" s="67">
        <v>0</v>
      </c>
      <c r="F1792" s="67">
        <v>0</v>
      </c>
      <c r="G1792" t="str">
        <f t="shared" si="54"/>
        <v>5030</v>
      </c>
      <c r="H1792" t="str">
        <f t="shared" si="55"/>
        <v>VAT</v>
      </c>
    </row>
    <row r="1793" spans="1:8" x14ac:dyDescent="0.25">
      <c r="A1793" t="s">
        <v>2559</v>
      </c>
      <c r="B1793" t="s">
        <v>2299</v>
      </c>
      <c r="C1793" s="67">
        <v>0</v>
      </c>
      <c r="D1793" s="67">
        <v>0</v>
      </c>
      <c r="E1793" s="67">
        <v>0</v>
      </c>
      <c r="F1793" s="67">
        <v>0</v>
      </c>
      <c r="G1793" t="str">
        <f t="shared" si="54"/>
        <v>5030</v>
      </c>
      <c r="H1793" t="str">
        <f t="shared" si="55"/>
        <v>Non-Current Assets (Cost)</v>
      </c>
    </row>
    <row r="1794" spans="1:8" x14ac:dyDescent="0.25">
      <c r="A1794" t="s">
        <v>2560</v>
      </c>
      <c r="B1794" t="s">
        <v>2301</v>
      </c>
      <c r="C1794" s="67">
        <v>0</v>
      </c>
      <c r="D1794" s="67">
        <v>0</v>
      </c>
      <c r="E1794" s="67">
        <v>0</v>
      </c>
      <c r="F1794" s="67">
        <v>0</v>
      </c>
      <c r="G1794" t="str">
        <f t="shared" ref="G1794:G1857" si="56">VLOOKUP(A1794,s,2,FALSE)</f>
        <v>5030</v>
      </c>
      <c r="H1794" t="str">
        <f t="shared" ref="H1794:H1857" si="57">VLOOKUP(A1794,s,3,FALSE)</f>
        <v>Non-Current Assets (Acc Depreciation)</v>
      </c>
    </row>
    <row r="1795" spans="1:8" x14ac:dyDescent="0.25">
      <c r="A1795" t="s">
        <v>2561</v>
      </c>
      <c r="B1795" t="s">
        <v>2303</v>
      </c>
      <c r="C1795" s="67">
        <v>0</v>
      </c>
      <c r="D1795" s="67">
        <v>0</v>
      </c>
      <c r="E1795" s="67">
        <v>0</v>
      </c>
      <c r="F1795" s="67">
        <v>0</v>
      </c>
      <c r="G1795" t="str">
        <f t="shared" si="56"/>
        <v>5030</v>
      </c>
      <c r="H1795" t="str">
        <f t="shared" si="57"/>
        <v>Non-Current Assets (Cost)</v>
      </c>
    </row>
    <row r="1796" spans="1:8" x14ac:dyDescent="0.25">
      <c r="A1796" t="s">
        <v>2562</v>
      </c>
      <c r="B1796" t="s">
        <v>2305</v>
      </c>
      <c r="C1796" s="67">
        <v>0</v>
      </c>
      <c r="D1796" s="67">
        <v>0</v>
      </c>
      <c r="E1796" s="67">
        <v>0</v>
      </c>
      <c r="F1796" s="67">
        <v>0</v>
      </c>
      <c r="G1796" t="str">
        <f t="shared" si="56"/>
        <v>5030</v>
      </c>
      <c r="H1796" t="str">
        <f t="shared" si="57"/>
        <v>Non-Current Assets (Acc Depreciation)</v>
      </c>
    </row>
    <row r="1797" spans="1:8" x14ac:dyDescent="0.25">
      <c r="A1797" t="s">
        <v>2563</v>
      </c>
      <c r="B1797" t="s">
        <v>2346</v>
      </c>
      <c r="C1797" s="67" t="e">
        <v>#N/A</v>
      </c>
      <c r="D1797" s="67">
        <v>0</v>
      </c>
      <c r="E1797" s="67">
        <v>0</v>
      </c>
      <c r="F1797" s="67">
        <v>0</v>
      </c>
      <c r="G1797" t="str">
        <f t="shared" si="56"/>
        <v>5505</v>
      </c>
      <c r="H1797" t="str">
        <f t="shared" si="57"/>
        <v>Government grants &amp; subsidies</v>
      </c>
    </row>
    <row r="1798" spans="1:8" x14ac:dyDescent="0.25">
      <c r="A1798" t="s">
        <v>2564</v>
      </c>
      <c r="B1798" t="s">
        <v>2565</v>
      </c>
      <c r="C1798" s="67" t="e">
        <v>#N/A</v>
      </c>
      <c r="D1798" s="67">
        <v>0</v>
      </c>
      <c r="E1798" s="67">
        <v>0</v>
      </c>
      <c r="F1798" s="67">
        <v>0</v>
      </c>
      <c r="G1798" t="str">
        <f t="shared" si="56"/>
        <v>5505</v>
      </c>
      <c r="H1798" t="str">
        <f t="shared" si="57"/>
        <v>Government grants &amp; subsidies</v>
      </c>
    </row>
    <row r="1799" spans="1:8" x14ac:dyDescent="0.25">
      <c r="A1799" t="s">
        <v>2566</v>
      </c>
      <c r="B1799" t="s">
        <v>2567</v>
      </c>
      <c r="C1799" s="67" t="e">
        <v>#N/A</v>
      </c>
      <c r="D1799" s="67">
        <v>0</v>
      </c>
      <c r="E1799" s="67">
        <v>0</v>
      </c>
      <c r="F1799" s="67">
        <v>0</v>
      </c>
      <c r="G1799" t="str">
        <f t="shared" si="56"/>
        <v>5505</v>
      </c>
      <c r="H1799" t="str">
        <f t="shared" si="57"/>
        <v>Government grants &amp; subsidies</v>
      </c>
    </row>
    <row r="1800" spans="1:8" x14ac:dyDescent="0.25">
      <c r="A1800" t="s">
        <v>2568</v>
      </c>
      <c r="B1800" t="s">
        <v>150</v>
      </c>
      <c r="C1800" s="67">
        <v>0</v>
      </c>
      <c r="D1800" s="67">
        <v>0</v>
      </c>
      <c r="E1800" s="67">
        <v>0</v>
      </c>
      <c r="F1800" s="67">
        <v>0</v>
      </c>
      <c r="G1800" t="str">
        <f t="shared" si="56"/>
        <v>5505</v>
      </c>
      <c r="H1800" t="str">
        <f t="shared" si="57"/>
        <v>Employee related costs</v>
      </c>
    </row>
    <row r="1801" spans="1:8" x14ac:dyDescent="0.25">
      <c r="A1801" t="s">
        <v>1369</v>
      </c>
      <c r="B1801" t="s">
        <v>2569</v>
      </c>
      <c r="C1801" s="67">
        <v>0</v>
      </c>
      <c r="D1801" s="67">
        <v>350000</v>
      </c>
      <c r="E1801" s="67">
        <v>350000</v>
      </c>
      <c r="F1801" s="67">
        <v>350000</v>
      </c>
      <c r="G1801" t="str">
        <f t="shared" si="56"/>
        <v>5505</v>
      </c>
      <c r="H1801" t="str">
        <f t="shared" si="57"/>
        <v>General expenses</v>
      </c>
    </row>
    <row r="1802" spans="1:8" x14ac:dyDescent="0.25">
      <c r="A1802" t="s">
        <v>2570</v>
      </c>
      <c r="B1802" t="s">
        <v>2286</v>
      </c>
      <c r="C1802" s="67">
        <v>0</v>
      </c>
      <c r="D1802" s="67">
        <v>0</v>
      </c>
      <c r="E1802" s="67">
        <v>0</v>
      </c>
      <c r="F1802" s="67">
        <v>0</v>
      </c>
      <c r="G1802" t="str">
        <f t="shared" si="56"/>
        <v>5505</v>
      </c>
      <c r="H1802" t="str">
        <f t="shared" si="57"/>
        <v>Loss on disposal of assets and liabilities</v>
      </c>
    </row>
    <row r="1803" spans="1:8" x14ac:dyDescent="0.25">
      <c r="A1803" t="s">
        <v>2571</v>
      </c>
      <c r="B1803" t="s">
        <v>2288</v>
      </c>
      <c r="C1803" s="67">
        <v>0</v>
      </c>
      <c r="D1803" s="67">
        <v>0</v>
      </c>
      <c r="E1803" s="67">
        <v>0</v>
      </c>
      <c r="F1803" s="67">
        <v>0</v>
      </c>
      <c r="G1803" t="str">
        <f t="shared" si="56"/>
        <v>5505</v>
      </c>
      <c r="H1803" t="str">
        <f t="shared" si="57"/>
        <v>Loss on disposal of assets and liabilities</v>
      </c>
    </row>
    <row r="1804" spans="1:8" x14ac:dyDescent="0.25">
      <c r="A1804" t="s">
        <v>2572</v>
      </c>
      <c r="B1804" t="s">
        <v>2336</v>
      </c>
      <c r="C1804" s="67">
        <v>0</v>
      </c>
      <c r="D1804" s="67">
        <v>0</v>
      </c>
      <c r="E1804" s="67">
        <v>0</v>
      </c>
      <c r="F1804" s="67">
        <v>0</v>
      </c>
      <c r="G1804" t="str">
        <f t="shared" si="56"/>
        <v>5505</v>
      </c>
      <c r="H1804" t="str">
        <f t="shared" si="57"/>
        <v>Loss on disposal of assets and liabilities</v>
      </c>
    </row>
    <row r="1805" spans="1:8" x14ac:dyDescent="0.25">
      <c r="A1805" t="s">
        <v>2573</v>
      </c>
      <c r="B1805" t="s">
        <v>2338</v>
      </c>
      <c r="C1805" s="67">
        <v>0</v>
      </c>
      <c r="D1805" s="67">
        <v>0</v>
      </c>
      <c r="E1805" s="67">
        <v>0</v>
      </c>
      <c r="F1805" s="67">
        <v>0</v>
      </c>
      <c r="G1805" t="str">
        <f t="shared" si="56"/>
        <v>5505</v>
      </c>
      <c r="H1805" t="str">
        <f t="shared" si="57"/>
        <v>Non-Current Assets (Cost)</v>
      </c>
    </row>
    <row r="1806" spans="1:8" x14ac:dyDescent="0.25">
      <c r="A1806" t="s">
        <v>2574</v>
      </c>
      <c r="B1806" t="s">
        <v>2340</v>
      </c>
      <c r="C1806" s="67">
        <v>0</v>
      </c>
      <c r="D1806" s="67">
        <v>0</v>
      </c>
      <c r="E1806" s="67">
        <v>0</v>
      </c>
      <c r="F1806" s="67">
        <v>0</v>
      </c>
      <c r="G1806" t="str">
        <f t="shared" si="56"/>
        <v>5505</v>
      </c>
      <c r="H1806" t="str">
        <f t="shared" si="57"/>
        <v>Non-Current Assets (Acc Depreciation)</v>
      </c>
    </row>
    <row r="1807" spans="1:8" x14ac:dyDescent="0.25">
      <c r="A1807" t="s">
        <v>2575</v>
      </c>
      <c r="B1807" t="s">
        <v>2294</v>
      </c>
      <c r="C1807" s="67">
        <v>0</v>
      </c>
      <c r="D1807" s="67">
        <v>0</v>
      </c>
      <c r="E1807" s="67">
        <v>0</v>
      </c>
      <c r="F1807" s="67">
        <v>0</v>
      </c>
      <c r="G1807" t="str">
        <f t="shared" si="56"/>
        <v>5505</v>
      </c>
      <c r="H1807" t="str">
        <f t="shared" si="57"/>
        <v>Non-Current Assets (Cost)</v>
      </c>
    </row>
    <row r="1808" spans="1:8" x14ac:dyDescent="0.25">
      <c r="A1808" t="s">
        <v>2576</v>
      </c>
      <c r="B1808" t="s">
        <v>2296</v>
      </c>
      <c r="C1808" s="67">
        <v>0</v>
      </c>
      <c r="D1808" s="67">
        <v>0</v>
      </c>
      <c r="E1808" s="67">
        <v>0</v>
      </c>
      <c r="F1808" s="67">
        <v>0</v>
      </c>
      <c r="G1808" t="str">
        <f t="shared" si="56"/>
        <v>5505</v>
      </c>
      <c r="H1808" t="str">
        <f t="shared" si="57"/>
        <v>Non-Current Assets (Acc Depreciation)</v>
      </c>
    </row>
    <row r="1809" spans="1:8" x14ac:dyDescent="0.25">
      <c r="A1809" t="s">
        <v>2577</v>
      </c>
      <c r="B1809" t="s">
        <v>2299</v>
      </c>
      <c r="C1809" s="67">
        <v>0</v>
      </c>
      <c r="D1809" s="67">
        <v>0</v>
      </c>
      <c r="E1809" s="67">
        <v>0</v>
      </c>
      <c r="F1809" s="67">
        <v>0</v>
      </c>
      <c r="G1809" t="str">
        <f t="shared" si="56"/>
        <v>5505</v>
      </c>
      <c r="H1809" t="str">
        <f t="shared" si="57"/>
        <v>Non-Current Assets (Cost)</v>
      </c>
    </row>
    <row r="1810" spans="1:8" x14ac:dyDescent="0.25">
      <c r="A1810" t="s">
        <v>2578</v>
      </c>
      <c r="B1810" t="s">
        <v>2301</v>
      </c>
      <c r="C1810" s="67">
        <v>0</v>
      </c>
      <c r="D1810" s="67">
        <v>0</v>
      </c>
      <c r="E1810" s="67">
        <v>0</v>
      </c>
      <c r="F1810" s="67">
        <v>0</v>
      </c>
      <c r="G1810" t="str">
        <f t="shared" si="56"/>
        <v>5505</v>
      </c>
      <c r="H1810" t="str">
        <f t="shared" si="57"/>
        <v>Non-Current Assets (Acc Depreciation)</v>
      </c>
    </row>
    <row r="1811" spans="1:8" x14ac:dyDescent="0.25">
      <c r="A1811" t="s">
        <v>2579</v>
      </c>
      <c r="B1811" t="s">
        <v>2307</v>
      </c>
      <c r="C1811" s="67">
        <v>0</v>
      </c>
      <c r="D1811" s="67">
        <v>0</v>
      </c>
      <c r="E1811" s="67">
        <v>0</v>
      </c>
      <c r="F1811" s="67">
        <v>0</v>
      </c>
      <c r="G1811" t="str">
        <f t="shared" si="56"/>
        <v>5505</v>
      </c>
      <c r="H1811" t="str">
        <f t="shared" si="57"/>
        <v>Non-Current Assets (Acc Depreciation)</v>
      </c>
    </row>
    <row r="1812" spans="1:8" x14ac:dyDescent="0.25">
      <c r="A1812" t="s">
        <v>2580</v>
      </c>
      <c r="B1812" t="s">
        <v>2581</v>
      </c>
      <c r="C1812" s="67" t="e">
        <v>#N/A</v>
      </c>
      <c r="D1812" s="67">
        <v>0</v>
      </c>
      <c r="E1812" s="67">
        <v>0</v>
      </c>
      <c r="F1812" s="67">
        <v>0</v>
      </c>
      <c r="G1812" t="str">
        <f t="shared" si="56"/>
        <v>5505</v>
      </c>
      <c r="H1812" t="str">
        <f t="shared" si="57"/>
        <v>Non-Current Assets (Acquisitions)</v>
      </c>
    </row>
    <row r="1813" spans="1:8" x14ac:dyDescent="0.25">
      <c r="A1813" t="s">
        <v>2582</v>
      </c>
      <c r="B1813" t="s">
        <v>2384</v>
      </c>
      <c r="C1813" s="67">
        <v>0</v>
      </c>
      <c r="D1813" s="67">
        <v>0</v>
      </c>
      <c r="E1813" s="67">
        <v>0</v>
      </c>
      <c r="F1813" s="67">
        <v>0</v>
      </c>
      <c r="G1813" t="str">
        <f t="shared" si="56"/>
        <v>5505</v>
      </c>
      <c r="H1813" t="str">
        <f t="shared" si="57"/>
        <v>Non-Current Assets (Acc Depreciation)</v>
      </c>
    </row>
    <row r="1814" spans="1:8" x14ac:dyDescent="0.25">
      <c r="A1814" t="s">
        <v>2583</v>
      </c>
      <c r="B1814" t="s">
        <v>2386</v>
      </c>
      <c r="C1814" s="67">
        <v>0</v>
      </c>
      <c r="D1814" s="67">
        <v>0</v>
      </c>
      <c r="E1814" s="67">
        <v>0</v>
      </c>
      <c r="F1814" s="67">
        <v>0</v>
      </c>
      <c r="G1814" t="str">
        <f t="shared" si="56"/>
        <v>5505</v>
      </c>
      <c r="H1814" t="str">
        <f t="shared" si="57"/>
        <v>Current Employee Benefits</v>
      </c>
    </row>
    <row r="1815" spans="1:8" x14ac:dyDescent="0.25">
      <c r="A1815" t="s">
        <v>2584</v>
      </c>
      <c r="B1815" t="s">
        <v>2060</v>
      </c>
      <c r="C1815" s="67">
        <v>0</v>
      </c>
      <c r="D1815" s="67">
        <v>0</v>
      </c>
      <c r="E1815" s="67">
        <v>0</v>
      </c>
      <c r="F1815" s="67">
        <v>0</v>
      </c>
      <c r="G1815" t="str">
        <f t="shared" si="56"/>
        <v>5505</v>
      </c>
      <c r="H1815" t="str">
        <f t="shared" si="57"/>
        <v>Unspent conditional grants and receipts</v>
      </c>
    </row>
    <row r="1816" spans="1:8" x14ac:dyDescent="0.25">
      <c r="A1816" t="s">
        <v>2585</v>
      </c>
      <c r="B1816" t="s">
        <v>2352</v>
      </c>
      <c r="C1816" s="67">
        <v>0</v>
      </c>
      <c r="D1816" s="67">
        <v>0</v>
      </c>
      <c r="E1816" s="67">
        <v>0</v>
      </c>
      <c r="F1816" s="67">
        <v>0</v>
      </c>
      <c r="G1816" t="str">
        <f t="shared" si="56"/>
        <v>5505</v>
      </c>
      <c r="H1816" t="str">
        <f t="shared" si="57"/>
        <v>Unspent conditional grants and receipts</v>
      </c>
    </row>
    <row r="1817" spans="1:8" x14ac:dyDescent="0.25">
      <c r="A1817" t="s">
        <v>2586</v>
      </c>
      <c r="B1817" t="s">
        <v>2286</v>
      </c>
      <c r="C1817" s="67">
        <v>0</v>
      </c>
      <c r="D1817" s="67">
        <v>0</v>
      </c>
      <c r="E1817" s="67">
        <v>0</v>
      </c>
      <c r="F1817" s="67">
        <v>0</v>
      </c>
      <c r="G1817" t="str">
        <f t="shared" si="56"/>
        <v>5510</v>
      </c>
      <c r="H1817" t="str">
        <f t="shared" si="57"/>
        <v>Loss on disposal of assets and liabilities</v>
      </c>
    </row>
    <row r="1818" spans="1:8" x14ac:dyDescent="0.25">
      <c r="A1818" t="s">
        <v>2587</v>
      </c>
      <c r="B1818" t="s">
        <v>2299</v>
      </c>
      <c r="C1818" s="67">
        <v>0</v>
      </c>
      <c r="D1818" s="67">
        <v>0</v>
      </c>
      <c r="E1818" s="67">
        <v>0</v>
      </c>
      <c r="F1818" s="67">
        <v>0</v>
      </c>
      <c r="G1818" t="str">
        <f t="shared" si="56"/>
        <v>5510</v>
      </c>
      <c r="H1818" t="str">
        <f t="shared" si="57"/>
        <v>Non-Current Assets (Cost)</v>
      </c>
    </row>
    <row r="1819" spans="1:8" x14ac:dyDescent="0.25">
      <c r="A1819" t="s">
        <v>2588</v>
      </c>
      <c r="B1819" t="s">
        <v>2301</v>
      </c>
      <c r="C1819" s="67">
        <v>0</v>
      </c>
      <c r="D1819" s="67">
        <v>0</v>
      </c>
      <c r="E1819" s="67">
        <v>0</v>
      </c>
      <c r="F1819" s="67">
        <v>0</v>
      </c>
      <c r="G1819" t="str">
        <f t="shared" si="56"/>
        <v>5510</v>
      </c>
      <c r="H1819" t="str">
        <f t="shared" si="57"/>
        <v>Non-Current Assets (Acc Depreciation)</v>
      </c>
    </row>
    <row r="1820" spans="1:8" x14ac:dyDescent="0.25">
      <c r="A1820" t="s">
        <v>2589</v>
      </c>
      <c r="B1820" t="s">
        <v>25</v>
      </c>
      <c r="C1820" s="67" t="e">
        <v>#N/A</v>
      </c>
      <c r="D1820" s="67">
        <v>0</v>
      </c>
      <c r="E1820" s="67">
        <v>0</v>
      </c>
      <c r="F1820" s="67">
        <v>0</v>
      </c>
      <c r="G1820" t="str">
        <f t="shared" si="56"/>
        <v>5515</v>
      </c>
      <c r="H1820" t="str">
        <f t="shared" si="57"/>
        <v>Other income</v>
      </c>
    </row>
    <row r="1821" spans="1:8" x14ac:dyDescent="0.25">
      <c r="A1821" t="s">
        <v>2590</v>
      </c>
      <c r="B1821" t="s">
        <v>79</v>
      </c>
      <c r="C1821" s="67" t="e">
        <v>#N/A</v>
      </c>
      <c r="D1821" s="67">
        <v>0</v>
      </c>
      <c r="E1821" s="67">
        <v>0</v>
      </c>
      <c r="F1821" s="67">
        <v>0</v>
      </c>
      <c r="G1821" t="str">
        <f t="shared" si="56"/>
        <v>5515</v>
      </c>
      <c r="H1821" t="str">
        <f t="shared" si="57"/>
        <v>Rental of facilities and equipment</v>
      </c>
    </row>
    <row r="1822" spans="1:8" x14ac:dyDescent="0.25">
      <c r="A1822" t="s">
        <v>2591</v>
      </c>
      <c r="B1822" t="s">
        <v>84</v>
      </c>
      <c r="C1822" s="67" t="e">
        <v>#N/A</v>
      </c>
      <c r="D1822" s="67">
        <v>0</v>
      </c>
      <c r="E1822" s="67">
        <v>0</v>
      </c>
      <c r="F1822" s="67">
        <v>0</v>
      </c>
      <c r="G1822" t="str">
        <f t="shared" si="56"/>
        <v>5515</v>
      </c>
      <c r="H1822" t="str">
        <f t="shared" si="57"/>
        <v>Other income</v>
      </c>
    </row>
    <row r="1823" spans="1:8" x14ac:dyDescent="0.25">
      <c r="A1823" t="s">
        <v>2592</v>
      </c>
      <c r="B1823" t="s">
        <v>2286</v>
      </c>
      <c r="C1823" s="67">
        <v>0</v>
      </c>
      <c r="D1823" s="67">
        <v>0</v>
      </c>
      <c r="E1823" s="67">
        <v>0</v>
      </c>
      <c r="F1823" s="67">
        <v>0</v>
      </c>
      <c r="G1823" t="str">
        <f t="shared" si="56"/>
        <v>5515</v>
      </c>
      <c r="H1823" t="str">
        <f t="shared" si="57"/>
        <v>Loss on disposal of assets and liabilities</v>
      </c>
    </row>
    <row r="1824" spans="1:8" x14ac:dyDescent="0.25">
      <c r="A1824" t="s">
        <v>2593</v>
      </c>
      <c r="B1824" t="s">
        <v>2594</v>
      </c>
      <c r="C1824" s="67" t="e">
        <v>#N/A</v>
      </c>
      <c r="D1824" s="67">
        <v>0</v>
      </c>
      <c r="E1824" s="67">
        <v>0</v>
      </c>
      <c r="F1824" s="67">
        <v>0</v>
      </c>
      <c r="G1824" t="str">
        <f t="shared" si="56"/>
        <v>5515</v>
      </c>
      <c r="H1824" t="str">
        <f t="shared" si="57"/>
        <v>Non-Current Assets (Acquisitions)</v>
      </c>
    </row>
    <row r="1825" spans="1:8" x14ac:dyDescent="0.25">
      <c r="A1825" t="s">
        <v>2595</v>
      </c>
      <c r="B1825" t="s">
        <v>2596</v>
      </c>
      <c r="C1825" s="67" t="e">
        <v>#N/A</v>
      </c>
      <c r="D1825" s="67">
        <v>0</v>
      </c>
      <c r="E1825" s="67">
        <v>0</v>
      </c>
      <c r="F1825" s="67">
        <v>0</v>
      </c>
      <c r="G1825" t="str">
        <f t="shared" si="56"/>
        <v>5515</v>
      </c>
      <c r="H1825" t="str">
        <f t="shared" si="57"/>
        <v>Non-Current Assets (Acquisitions)</v>
      </c>
    </row>
    <row r="1826" spans="1:8" x14ac:dyDescent="0.25">
      <c r="A1826" t="s">
        <v>2597</v>
      </c>
      <c r="B1826" t="s">
        <v>2299</v>
      </c>
      <c r="C1826" s="67">
        <v>0</v>
      </c>
      <c r="D1826" s="67">
        <v>0</v>
      </c>
      <c r="E1826" s="67">
        <v>0</v>
      </c>
      <c r="F1826" s="67">
        <v>0</v>
      </c>
      <c r="G1826" t="str">
        <f t="shared" si="56"/>
        <v>5515</v>
      </c>
      <c r="H1826" t="str">
        <f t="shared" si="57"/>
        <v>Non-Current Assets (Cost)</v>
      </c>
    </row>
    <row r="1827" spans="1:8" x14ac:dyDescent="0.25">
      <c r="A1827" t="s">
        <v>2598</v>
      </c>
      <c r="B1827" t="s">
        <v>2301</v>
      </c>
      <c r="C1827" s="67">
        <v>0</v>
      </c>
      <c r="D1827" s="67">
        <v>0</v>
      </c>
      <c r="E1827" s="67">
        <v>0</v>
      </c>
      <c r="F1827" s="67">
        <v>0</v>
      </c>
      <c r="G1827" t="str">
        <f t="shared" si="56"/>
        <v>5515</v>
      </c>
      <c r="H1827" t="str">
        <f t="shared" si="57"/>
        <v>Non-Current Assets (Acc Depreciation)</v>
      </c>
    </row>
    <row r="1828" spans="1:8" x14ac:dyDescent="0.25">
      <c r="A1828" t="s">
        <v>2599</v>
      </c>
      <c r="B1828" t="s">
        <v>2600</v>
      </c>
      <c r="C1828" s="67" t="e">
        <v>#N/A</v>
      </c>
      <c r="D1828" s="67">
        <v>0</v>
      </c>
      <c r="E1828" s="67">
        <v>0</v>
      </c>
      <c r="F1828" s="67">
        <v>0</v>
      </c>
      <c r="G1828" t="str">
        <f t="shared" si="56"/>
        <v>5515</v>
      </c>
      <c r="H1828" t="str">
        <f t="shared" si="57"/>
        <v>Non-Current Assets (Acquisitions)</v>
      </c>
    </row>
    <row r="1829" spans="1:8" x14ac:dyDescent="0.25">
      <c r="A1829" t="s">
        <v>2601</v>
      </c>
      <c r="B1829" t="s">
        <v>2602</v>
      </c>
      <c r="C1829" s="67">
        <v>0</v>
      </c>
      <c r="D1829" s="67">
        <v>0</v>
      </c>
      <c r="E1829" s="67">
        <v>0</v>
      </c>
      <c r="F1829" s="67">
        <v>0</v>
      </c>
      <c r="G1829" t="str">
        <f t="shared" si="56"/>
        <v>5515</v>
      </c>
      <c r="H1829" t="str">
        <f t="shared" si="57"/>
        <v>Non-Current Assets (Acquisitions)</v>
      </c>
    </row>
    <row r="1830" spans="1:8" x14ac:dyDescent="0.25">
      <c r="A1830" t="s">
        <v>2603</v>
      </c>
      <c r="B1830" t="s">
        <v>2307</v>
      </c>
      <c r="C1830" s="67">
        <v>0</v>
      </c>
      <c r="D1830" s="67">
        <v>0</v>
      </c>
      <c r="E1830" s="67">
        <v>0</v>
      </c>
      <c r="F1830" s="67">
        <v>0</v>
      </c>
      <c r="G1830" t="str">
        <f t="shared" si="56"/>
        <v>5515</v>
      </c>
      <c r="H1830" t="str">
        <f t="shared" si="57"/>
        <v>Non-Current Assets (Acc Depreciation)</v>
      </c>
    </row>
    <row r="1831" spans="1:8" x14ac:dyDescent="0.25">
      <c r="A1831" t="s">
        <v>2604</v>
      </c>
      <c r="B1831" t="s">
        <v>2311</v>
      </c>
      <c r="C1831" s="67">
        <v>0</v>
      </c>
      <c r="D1831" s="67">
        <v>0</v>
      </c>
      <c r="E1831" s="67">
        <v>0</v>
      </c>
      <c r="F1831" s="67">
        <v>0</v>
      </c>
      <c r="G1831" t="str">
        <f t="shared" si="56"/>
        <v>5515</v>
      </c>
      <c r="H1831" t="str">
        <f t="shared" si="57"/>
        <v>Non-Current Assets (Acc Depreciation)</v>
      </c>
    </row>
    <row r="1832" spans="1:8" x14ac:dyDescent="0.25">
      <c r="A1832" t="s">
        <v>2605</v>
      </c>
      <c r="B1832" t="s">
        <v>26</v>
      </c>
      <c r="C1832" s="67" t="e">
        <v>#N/A</v>
      </c>
      <c r="D1832" s="67">
        <v>0</v>
      </c>
      <c r="E1832" s="67">
        <v>0</v>
      </c>
      <c r="F1832" s="67">
        <v>0</v>
      </c>
      <c r="G1832" t="str">
        <f t="shared" si="56"/>
        <v>5520</v>
      </c>
      <c r="H1832" t="str">
        <f t="shared" si="57"/>
        <v>Licences and permits</v>
      </c>
    </row>
    <row r="1833" spans="1:8" x14ac:dyDescent="0.25">
      <c r="A1833" t="s">
        <v>2606</v>
      </c>
      <c r="B1833" t="s">
        <v>161</v>
      </c>
      <c r="C1833" s="67">
        <v>0</v>
      </c>
      <c r="D1833" s="67">
        <v>0</v>
      </c>
      <c r="E1833" s="67">
        <v>0</v>
      </c>
      <c r="F1833" s="67">
        <v>0</v>
      </c>
      <c r="G1833" t="str">
        <f t="shared" si="56"/>
        <v>5520</v>
      </c>
      <c r="H1833" t="str">
        <f t="shared" si="57"/>
        <v>Employee related costs</v>
      </c>
    </row>
    <row r="1834" spans="1:8" x14ac:dyDescent="0.25">
      <c r="A1834" t="s">
        <v>2607</v>
      </c>
      <c r="B1834" t="s">
        <v>2284</v>
      </c>
      <c r="C1834" s="67">
        <v>0</v>
      </c>
      <c r="D1834" s="67">
        <v>0</v>
      </c>
      <c r="E1834" s="67">
        <v>0</v>
      </c>
      <c r="F1834" s="67">
        <v>0</v>
      </c>
      <c r="G1834" t="str">
        <f t="shared" si="56"/>
        <v>5520</v>
      </c>
      <c r="H1834" t="str">
        <f t="shared" si="57"/>
        <v>Loss on disposal of assets and liabilities</v>
      </c>
    </row>
    <row r="1835" spans="1:8" x14ac:dyDescent="0.25">
      <c r="A1835" t="s">
        <v>2608</v>
      </c>
      <c r="B1835" t="s">
        <v>2286</v>
      </c>
      <c r="C1835" s="67">
        <v>0</v>
      </c>
      <c r="D1835" s="67">
        <v>0</v>
      </c>
      <c r="E1835" s="67">
        <v>0</v>
      </c>
      <c r="F1835" s="67">
        <v>0</v>
      </c>
      <c r="G1835" t="str">
        <f t="shared" si="56"/>
        <v>5520</v>
      </c>
      <c r="H1835" t="str">
        <f t="shared" si="57"/>
        <v>Loss on disposal of assets and liabilities</v>
      </c>
    </row>
    <row r="1836" spans="1:8" x14ac:dyDescent="0.25">
      <c r="A1836" t="s">
        <v>2609</v>
      </c>
      <c r="B1836" t="s">
        <v>1105</v>
      </c>
      <c r="C1836" s="67" t="e">
        <v>#N/A</v>
      </c>
      <c r="D1836" s="67">
        <v>0</v>
      </c>
      <c r="E1836" s="67">
        <v>0</v>
      </c>
      <c r="F1836" s="67">
        <v>0</v>
      </c>
      <c r="G1836" t="str">
        <f t="shared" si="56"/>
        <v>5520</v>
      </c>
      <c r="H1836" t="str">
        <f t="shared" si="57"/>
        <v>Non-Current Assets (Acquisitions)</v>
      </c>
    </row>
    <row r="1837" spans="1:8" x14ac:dyDescent="0.25">
      <c r="A1837" t="s">
        <v>2610</v>
      </c>
      <c r="B1837" t="s">
        <v>2299</v>
      </c>
      <c r="C1837" s="67">
        <v>0</v>
      </c>
      <c r="D1837" s="67">
        <v>0</v>
      </c>
      <c r="E1837" s="67">
        <v>0</v>
      </c>
      <c r="F1837" s="67">
        <v>0</v>
      </c>
      <c r="G1837" t="str">
        <f t="shared" si="56"/>
        <v>5520</v>
      </c>
      <c r="H1837" t="str">
        <f t="shared" si="57"/>
        <v>Non-Current Assets (Cost)</v>
      </c>
    </row>
    <row r="1838" spans="1:8" x14ac:dyDescent="0.25">
      <c r="A1838" t="s">
        <v>2611</v>
      </c>
      <c r="B1838" t="s">
        <v>2301</v>
      </c>
      <c r="C1838" s="67">
        <v>0</v>
      </c>
      <c r="D1838" s="67">
        <v>0</v>
      </c>
      <c r="E1838" s="67">
        <v>0</v>
      </c>
      <c r="F1838" s="67">
        <v>0</v>
      </c>
      <c r="G1838" t="str">
        <f t="shared" si="56"/>
        <v>5520</v>
      </c>
      <c r="H1838" t="str">
        <f t="shared" si="57"/>
        <v>Non-Current Assets (Acc Depreciation)</v>
      </c>
    </row>
    <row r="1839" spans="1:8" x14ac:dyDescent="0.25">
      <c r="A1839" t="s">
        <v>2612</v>
      </c>
      <c r="B1839" t="s">
        <v>2303</v>
      </c>
      <c r="C1839" s="67">
        <v>0</v>
      </c>
      <c r="D1839" s="67">
        <v>0</v>
      </c>
      <c r="E1839" s="67">
        <v>0</v>
      </c>
      <c r="F1839" s="67">
        <v>0</v>
      </c>
      <c r="G1839" t="str">
        <f t="shared" si="56"/>
        <v>5520</v>
      </c>
      <c r="H1839" t="str">
        <f t="shared" si="57"/>
        <v>Non-Current Assets (Cost)</v>
      </c>
    </row>
    <row r="1840" spans="1:8" x14ac:dyDescent="0.25">
      <c r="A1840" t="s">
        <v>2613</v>
      </c>
      <c r="B1840" t="s">
        <v>2305</v>
      </c>
      <c r="C1840" s="67">
        <v>0</v>
      </c>
      <c r="D1840" s="67">
        <v>0</v>
      </c>
      <c r="E1840" s="67">
        <v>0</v>
      </c>
      <c r="F1840" s="67">
        <v>0</v>
      </c>
      <c r="G1840" t="str">
        <f t="shared" si="56"/>
        <v>5520</v>
      </c>
      <c r="H1840" t="str">
        <f t="shared" si="57"/>
        <v>Non-Current Assets (Acc Depreciation)</v>
      </c>
    </row>
    <row r="1841" spans="1:8" x14ac:dyDescent="0.25">
      <c r="A1841" t="s">
        <v>2614</v>
      </c>
      <c r="B1841" t="s">
        <v>2307</v>
      </c>
      <c r="C1841" s="67">
        <v>0</v>
      </c>
      <c r="D1841" s="67">
        <v>0</v>
      </c>
      <c r="E1841" s="67">
        <v>0</v>
      </c>
      <c r="F1841" s="67">
        <v>0</v>
      </c>
      <c r="G1841" t="str">
        <f t="shared" si="56"/>
        <v>5520</v>
      </c>
      <c r="H1841" t="str">
        <f t="shared" si="57"/>
        <v>Non-Current Assets (Acc Depreciation)</v>
      </c>
    </row>
    <row r="1842" spans="1:8" x14ac:dyDescent="0.25">
      <c r="A1842" t="s">
        <v>2615</v>
      </c>
      <c r="B1842" t="s">
        <v>83</v>
      </c>
      <c r="C1842" s="67" t="e">
        <v>#N/A</v>
      </c>
      <c r="D1842" s="67">
        <v>0</v>
      </c>
      <c r="E1842" s="67">
        <v>0</v>
      </c>
      <c r="F1842" s="67">
        <v>0</v>
      </c>
      <c r="G1842" t="str">
        <f t="shared" si="56"/>
        <v>5525</v>
      </c>
      <c r="H1842" t="str">
        <f t="shared" si="57"/>
        <v>Other income</v>
      </c>
    </row>
    <row r="1843" spans="1:8" x14ac:dyDescent="0.25">
      <c r="A1843" t="s">
        <v>2616</v>
      </c>
      <c r="B1843" t="s">
        <v>268</v>
      </c>
      <c r="C1843" s="67">
        <v>0</v>
      </c>
      <c r="D1843" s="67">
        <v>0</v>
      </c>
      <c r="E1843" s="67">
        <v>0</v>
      </c>
      <c r="F1843" s="67">
        <v>0</v>
      </c>
      <c r="G1843" t="str">
        <f t="shared" si="56"/>
        <v>5525</v>
      </c>
      <c r="H1843" t="str">
        <f t="shared" si="57"/>
        <v>General expenses</v>
      </c>
    </row>
    <row r="1844" spans="1:8" x14ac:dyDescent="0.25">
      <c r="A1844" t="s">
        <v>2617</v>
      </c>
      <c r="B1844" t="s">
        <v>2618</v>
      </c>
      <c r="C1844" s="67" t="e">
        <v>#N/A</v>
      </c>
      <c r="D1844" s="67">
        <v>0</v>
      </c>
      <c r="E1844" s="67">
        <v>0</v>
      </c>
      <c r="F1844" s="67">
        <v>0</v>
      </c>
      <c r="G1844" t="str">
        <f t="shared" si="56"/>
        <v>5525</v>
      </c>
      <c r="H1844" t="str">
        <f t="shared" si="57"/>
        <v>Non-Current Assets (Acquisitions)</v>
      </c>
    </row>
    <row r="1845" spans="1:8" x14ac:dyDescent="0.25">
      <c r="A1845" t="s">
        <v>2619</v>
      </c>
      <c r="B1845" t="s">
        <v>2618</v>
      </c>
      <c r="C1845" s="67">
        <v>0</v>
      </c>
      <c r="D1845" s="67">
        <v>0</v>
      </c>
      <c r="E1845" s="67">
        <v>0</v>
      </c>
      <c r="F1845" s="67">
        <v>0</v>
      </c>
      <c r="G1845" t="str">
        <f t="shared" si="56"/>
        <v>5525</v>
      </c>
      <c r="H1845" t="str">
        <f t="shared" si="57"/>
        <v>Non-Current Assets (Acquisitions)</v>
      </c>
    </row>
    <row r="1846" spans="1:8" x14ac:dyDescent="0.25">
      <c r="A1846" t="s">
        <v>2620</v>
      </c>
      <c r="B1846" t="s">
        <v>2618</v>
      </c>
      <c r="C1846" s="67" t="e">
        <v>#N/A</v>
      </c>
      <c r="D1846" s="67">
        <v>0</v>
      </c>
      <c r="E1846" s="67">
        <v>0</v>
      </c>
      <c r="F1846" s="67">
        <v>0</v>
      </c>
      <c r="G1846">
        <f t="shared" si="56"/>
        <v>5525</v>
      </c>
      <c r="H1846" t="str">
        <f t="shared" si="57"/>
        <v>Non-Current Assets (Acquisitions)</v>
      </c>
    </row>
    <row r="1847" spans="1:8" x14ac:dyDescent="0.25">
      <c r="A1847" t="s">
        <v>2621</v>
      </c>
      <c r="B1847" t="s">
        <v>2565</v>
      </c>
      <c r="C1847" s="67" t="e">
        <v>#N/A</v>
      </c>
      <c r="D1847" s="67">
        <v>0</v>
      </c>
      <c r="E1847" s="67">
        <v>0</v>
      </c>
      <c r="F1847" s="67">
        <v>0</v>
      </c>
      <c r="G1847" t="str">
        <f t="shared" si="56"/>
        <v>5530</v>
      </c>
      <c r="H1847" t="str">
        <f t="shared" si="57"/>
        <v>Government grants &amp; subsidies</v>
      </c>
    </row>
    <row r="1848" spans="1:8" x14ac:dyDescent="0.25">
      <c r="A1848" t="s">
        <v>2622</v>
      </c>
      <c r="B1848" t="s">
        <v>59</v>
      </c>
      <c r="C1848" s="67" t="e">
        <v>#N/A</v>
      </c>
      <c r="D1848" s="67">
        <v>0</v>
      </c>
      <c r="E1848" s="67">
        <v>0</v>
      </c>
      <c r="F1848" s="67">
        <v>0</v>
      </c>
      <c r="G1848" t="str">
        <f t="shared" si="56"/>
        <v>5530</v>
      </c>
      <c r="H1848" t="str">
        <f t="shared" si="57"/>
        <v>Interest received - debtors</v>
      </c>
    </row>
    <row r="1849" spans="1:8" x14ac:dyDescent="0.25">
      <c r="A1849" t="s">
        <v>2623</v>
      </c>
      <c r="B1849" t="s">
        <v>2624</v>
      </c>
      <c r="C1849" s="67" t="e">
        <v>#N/A</v>
      </c>
      <c r="D1849" s="67">
        <v>0</v>
      </c>
      <c r="E1849" s="67">
        <v>0</v>
      </c>
      <c r="F1849" s="67">
        <v>0</v>
      </c>
      <c r="G1849" t="str">
        <f t="shared" si="56"/>
        <v>5530</v>
      </c>
      <c r="H1849" t="str">
        <f t="shared" si="57"/>
        <v>Contracted services</v>
      </c>
    </row>
    <row r="1850" spans="1:8" x14ac:dyDescent="0.25">
      <c r="A1850" t="s">
        <v>2625</v>
      </c>
      <c r="B1850" t="s">
        <v>2624</v>
      </c>
      <c r="C1850" s="67">
        <v>0</v>
      </c>
      <c r="D1850" s="67">
        <v>0</v>
      </c>
      <c r="E1850" s="67">
        <v>0</v>
      </c>
      <c r="F1850" s="67">
        <v>0</v>
      </c>
      <c r="G1850" t="str">
        <f t="shared" si="56"/>
        <v>5530</v>
      </c>
      <c r="H1850" t="str">
        <f t="shared" si="57"/>
        <v>Contracted services</v>
      </c>
    </row>
    <row r="1851" spans="1:8" x14ac:dyDescent="0.25">
      <c r="A1851" t="s">
        <v>2626</v>
      </c>
      <c r="B1851" t="s">
        <v>221</v>
      </c>
      <c r="C1851" s="67">
        <v>0</v>
      </c>
      <c r="D1851" s="67">
        <v>0</v>
      </c>
      <c r="E1851" s="67">
        <v>0</v>
      </c>
      <c r="F1851" s="67">
        <v>0</v>
      </c>
      <c r="G1851" t="str">
        <f t="shared" si="56"/>
        <v>5530</v>
      </c>
      <c r="H1851" t="str">
        <f t="shared" si="57"/>
        <v>Contracted services</v>
      </c>
    </row>
    <row r="1852" spans="1:8" x14ac:dyDescent="0.25">
      <c r="A1852" t="s">
        <v>2627</v>
      </c>
      <c r="B1852" t="s">
        <v>288</v>
      </c>
      <c r="C1852" s="67">
        <v>0</v>
      </c>
      <c r="D1852" s="67">
        <v>0</v>
      </c>
      <c r="E1852" s="67">
        <v>0</v>
      </c>
      <c r="F1852" s="67">
        <v>0</v>
      </c>
      <c r="G1852" t="str">
        <f t="shared" si="56"/>
        <v>5530</v>
      </c>
      <c r="H1852" t="str">
        <f t="shared" si="57"/>
        <v>Debt impairment</v>
      </c>
    </row>
    <row r="1853" spans="1:8" x14ac:dyDescent="0.25">
      <c r="A1853" t="s">
        <v>2628</v>
      </c>
      <c r="B1853" t="s">
        <v>2629</v>
      </c>
      <c r="C1853" s="67">
        <v>0</v>
      </c>
      <c r="D1853" s="67">
        <v>0</v>
      </c>
      <c r="E1853" s="67">
        <v>0</v>
      </c>
      <c r="F1853" s="67">
        <v>0</v>
      </c>
      <c r="G1853" t="str">
        <f t="shared" si="56"/>
        <v>5530</v>
      </c>
      <c r="H1853" t="str">
        <f t="shared" si="57"/>
        <v>Receivables from exchange transactions</v>
      </c>
    </row>
    <row r="1854" spans="1:8" x14ac:dyDescent="0.25">
      <c r="A1854" t="s">
        <v>2630</v>
      </c>
      <c r="B1854" t="s">
        <v>2631</v>
      </c>
      <c r="C1854" s="67">
        <v>0</v>
      </c>
      <c r="D1854" s="67">
        <v>0</v>
      </c>
      <c r="E1854" s="67">
        <v>0</v>
      </c>
      <c r="F1854" s="67">
        <v>0</v>
      </c>
      <c r="G1854" t="str">
        <f t="shared" si="56"/>
        <v>5530</v>
      </c>
      <c r="H1854" t="str">
        <f t="shared" si="57"/>
        <v>Receivables from exchange transactions</v>
      </c>
    </row>
    <row r="1855" spans="1:8" x14ac:dyDescent="0.25">
      <c r="A1855" t="s">
        <v>2632</v>
      </c>
      <c r="B1855" t="s">
        <v>2633</v>
      </c>
      <c r="C1855" s="67">
        <v>0</v>
      </c>
      <c r="D1855" s="67">
        <v>0</v>
      </c>
      <c r="E1855" s="67">
        <v>0</v>
      </c>
      <c r="F1855" s="67">
        <v>0</v>
      </c>
      <c r="G1855" t="str">
        <f t="shared" si="56"/>
        <v>5530</v>
      </c>
      <c r="H1855" t="str">
        <f t="shared" si="57"/>
        <v>Receivables from exchange transactions</v>
      </c>
    </row>
    <row r="1856" spans="1:8" x14ac:dyDescent="0.25">
      <c r="A1856" t="s">
        <v>2634</v>
      </c>
      <c r="B1856" t="s">
        <v>2635</v>
      </c>
      <c r="C1856" s="67">
        <v>0</v>
      </c>
      <c r="D1856" s="67">
        <v>0</v>
      </c>
      <c r="E1856" s="67">
        <v>0</v>
      </c>
      <c r="F1856" s="67">
        <v>0</v>
      </c>
      <c r="G1856" t="str">
        <f t="shared" si="56"/>
        <v>5530</v>
      </c>
      <c r="H1856" t="str">
        <f t="shared" si="57"/>
        <v>Receivables from exchange transactions</v>
      </c>
    </row>
    <row r="1857" spans="1:8" x14ac:dyDescent="0.25">
      <c r="A1857" t="s">
        <v>2636</v>
      </c>
      <c r="B1857" t="s">
        <v>2060</v>
      </c>
      <c r="C1857" s="67">
        <v>0</v>
      </c>
      <c r="D1857" s="67">
        <v>0</v>
      </c>
      <c r="E1857" s="67">
        <v>0</v>
      </c>
      <c r="F1857" s="67">
        <v>0</v>
      </c>
      <c r="G1857" t="str">
        <f t="shared" si="56"/>
        <v>5530</v>
      </c>
      <c r="H1857" t="str">
        <f t="shared" si="57"/>
        <v>Unspent conditional grants and receipts</v>
      </c>
    </row>
    <row r="1858" spans="1:8" x14ac:dyDescent="0.25">
      <c r="A1858" t="s">
        <v>2637</v>
      </c>
      <c r="B1858" t="s">
        <v>2352</v>
      </c>
      <c r="C1858" s="67">
        <v>0</v>
      </c>
      <c r="D1858" s="67">
        <v>0</v>
      </c>
      <c r="E1858" s="67">
        <v>0</v>
      </c>
      <c r="F1858" s="67">
        <v>0</v>
      </c>
      <c r="G1858" t="str">
        <f t="shared" ref="G1858:G1921" si="58">VLOOKUP(A1858,s,2,FALSE)</f>
        <v>5530</v>
      </c>
      <c r="H1858" t="str">
        <f t="shared" ref="H1858:H1921" si="59">VLOOKUP(A1858,s,3,FALSE)</f>
        <v>Unspent conditional grants and receipts</v>
      </c>
    </row>
    <row r="1859" spans="1:8" x14ac:dyDescent="0.25">
      <c r="A1859" t="s">
        <v>2638</v>
      </c>
      <c r="B1859" t="s">
        <v>296</v>
      </c>
      <c r="C1859" s="67">
        <v>0</v>
      </c>
      <c r="D1859" s="67">
        <v>0</v>
      </c>
      <c r="E1859" s="67">
        <v>0</v>
      </c>
      <c r="F1859" s="67">
        <v>0</v>
      </c>
      <c r="G1859" t="str">
        <f t="shared" si="58"/>
        <v>6002</v>
      </c>
      <c r="H1859" t="str">
        <f t="shared" si="59"/>
        <v>Depreciation and amortisation</v>
      </c>
    </row>
    <row r="1860" spans="1:8" x14ac:dyDescent="0.25">
      <c r="A1860" t="s">
        <v>2639</v>
      </c>
      <c r="B1860" t="s">
        <v>2286</v>
      </c>
      <c r="C1860" s="67">
        <v>0</v>
      </c>
      <c r="D1860" s="67">
        <v>0</v>
      </c>
      <c r="E1860" s="67">
        <v>0</v>
      </c>
      <c r="F1860" s="67">
        <v>0</v>
      </c>
      <c r="G1860" t="str">
        <f t="shared" si="58"/>
        <v>6002</v>
      </c>
      <c r="H1860" t="str">
        <f t="shared" si="59"/>
        <v>Loss on disposal of assets and liabilities</v>
      </c>
    </row>
    <row r="1861" spans="1:8" x14ac:dyDescent="0.25">
      <c r="A1861" t="s">
        <v>2640</v>
      </c>
      <c r="B1861" t="s">
        <v>1426</v>
      </c>
      <c r="C1861" s="67">
        <v>0</v>
      </c>
      <c r="D1861" s="67">
        <v>0</v>
      </c>
      <c r="E1861" s="67">
        <v>0</v>
      </c>
      <c r="F1861" s="67">
        <v>0</v>
      </c>
      <c r="G1861" t="str">
        <f t="shared" si="58"/>
        <v>6002</v>
      </c>
      <c r="H1861" t="str">
        <f t="shared" si="59"/>
        <v>Non-Current Assets (Depreciation)</v>
      </c>
    </row>
    <row r="1862" spans="1:8" x14ac:dyDescent="0.25">
      <c r="A1862" t="s">
        <v>2641</v>
      </c>
      <c r="B1862" t="s">
        <v>2299</v>
      </c>
      <c r="C1862" s="67">
        <v>0</v>
      </c>
      <c r="D1862" s="67">
        <v>0</v>
      </c>
      <c r="E1862" s="67">
        <v>0</v>
      </c>
      <c r="F1862" s="67">
        <v>0</v>
      </c>
      <c r="G1862" t="str">
        <f t="shared" si="58"/>
        <v>6002</v>
      </c>
      <c r="H1862" t="str">
        <f t="shared" si="59"/>
        <v>Non-Current Assets (Cost)</v>
      </c>
    </row>
    <row r="1863" spans="1:8" x14ac:dyDescent="0.25">
      <c r="A1863" t="s">
        <v>2642</v>
      </c>
      <c r="B1863" t="s">
        <v>2301</v>
      </c>
      <c r="C1863" s="67">
        <v>0</v>
      </c>
      <c r="D1863" s="67">
        <v>0</v>
      </c>
      <c r="E1863" s="67">
        <v>0</v>
      </c>
      <c r="F1863" s="67">
        <v>0</v>
      </c>
      <c r="G1863" t="str">
        <f t="shared" si="58"/>
        <v>6002</v>
      </c>
      <c r="H1863" t="str">
        <f t="shared" si="59"/>
        <v>Non-Current Assets (Acc Depreciation)</v>
      </c>
    </row>
    <row r="1864" spans="1:8" x14ac:dyDescent="0.25">
      <c r="A1864" t="s">
        <v>2643</v>
      </c>
      <c r="B1864" t="s">
        <v>2311</v>
      </c>
      <c r="C1864" s="67">
        <v>0</v>
      </c>
      <c r="D1864" s="67">
        <v>0</v>
      </c>
      <c r="E1864" s="67">
        <v>0</v>
      </c>
      <c r="F1864" s="67">
        <v>0</v>
      </c>
      <c r="G1864" t="str">
        <f t="shared" si="58"/>
        <v>6002</v>
      </c>
      <c r="H1864" t="str">
        <f t="shared" si="59"/>
        <v>Non-Current Assets (Acc Depreciation)</v>
      </c>
    </row>
    <row r="1865" spans="1:8" x14ac:dyDescent="0.25">
      <c r="A1865" t="s">
        <v>2644</v>
      </c>
      <c r="B1865" t="s">
        <v>150</v>
      </c>
      <c r="C1865" s="67">
        <v>0</v>
      </c>
      <c r="D1865" s="67">
        <v>0</v>
      </c>
      <c r="E1865" s="67">
        <v>0</v>
      </c>
      <c r="F1865" s="67">
        <v>0</v>
      </c>
      <c r="G1865" t="str">
        <f t="shared" si="58"/>
        <v>6005</v>
      </c>
      <c r="H1865" t="str">
        <f t="shared" si="59"/>
        <v>Employee related costs</v>
      </c>
    </row>
    <row r="1866" spans="1:8" x14ac:dyDescent="0.25">
      <c r="A1866" t="s">
        <v>2645</v>
      </c>
      <c r="B1866" t="s">
        <v>155</v>
      </c>
      <c r="C1866" s="67">
        <v>0</v>
      </c>
      <c r="D1866" s="67">
        <v>0</v>
      </c>
      <c r="E1866" s="67">
        <v>0</v>
      </c>
      <c r="F1866" s="67">
        <v>0</v>
      </c>
      <c r="G1866" t="str">
        <f t="shared" si="58"/>
        <v>6005</v>
      </c>
      <c r="H1866" t="str">
        <f t="shared" si="59"/>
        <v>Employee related costs</v>
      </c>
    </row>
    <row r="1867" spans="1:8" x14ac:dyDescent="0.25">
      <c r="A1867" t="s">
        <v>2646</v>
      </c>
      <c r="B1867" t="s">
        <v>1626</v>
      </c>
      <c r="C1867" s="67">
        <v>0</v>
      </c>
      <c r="D1867" s="67">
        <v>0</v>
      </c>
      <c r="E1867" s="67">
        <v>0</v>
      </c>
      <c r="F1867" s="67">
        <v>0</v>
      </c>
      <c r="G1867" t="str">
        <f t="shared" si="58"/>
        <v>6005</v>
      </c>
      <c r="H1867" t="str">
        <f t="shared" si="59"/>
        <v>Internal Charges</v>
      </c>
    </row>
    <row r="1868" spans="1:8" x14ac:dyDescent="0.25">
      <c r="A1868" t="s">
        <v>2647</v>
      </c>
      <c r="B1868" t="s">
        <v>1632</v>
      </c>
      <c r="C1868" s="67">
        <v>0</v>
      </c>
      <c r="D1868" s="67">
        <v>0</v>
      </c>
      <c r="E1868" s="67">
        <v>0</v>
      </c>
      <c r="F1868" s="67">
        <v>0</v>
      </c>
      <c r="G1868" t="str">
        <f t="shared" si="58"/>
        <v>6005</v>
      </c>
      <c r="H1868" t="str">
        <f t="shared" si="59"/>
        <v>Internal Charges</v>
      </c>
    </row>
    <row r="1869" spans="1:8" x14ac:dyDescent="0.25">
      <c r="A1869" t="s">
        <v>2648</v>
      </c>
      <c r="B1869" t="s">
        <v>2386</v>
      </c>
      <c r="C1869" s="67">
        <v>0</v>
      </c>
      <c r="D1869" s="67">
        <v>0</v>
      </c>
      <c r="E1869" s="67">
        <v>0</v>
      </c>
      <c r="F1869" s="67">
        <v>0</v>
      </c>
      <c r="G1869" t="str">
        <f t="shared" si="58"/>
        <v>6005</v>
      </c>
      <c r="H1869" t="str">
        <f t="shared" si="59"/>
        <v>Current Employee Benefits</v>
      </c>
    </row>
    <row r="1870" spans="1:8" x14ac:dyDescent="0.25">
      <c r="A1870" t="s">
        <v>2649</v>
      </c>
      <c r="B1870" t="s">
        <v>161</v>
      </c>
      <c r="C1870" s="67">
        <v>0</v>
      </c>
      <c r="D1870" s="67">
        <v>0</v>
      </c>
      <c r="E1870" s="67">
        <v>0</v>
      </c>
      <c r="F1870" s="67">
        <v>0</v>
      </c>
      <c r="G1870" t="str">
        <f t="shared" si="58"/>
        <v>6006</v>
      </c>
      <c r="H1870" t="str">
        <f t="shared" si="59"/>
        <v>Employee related costs</v>
      </c>
    </row>
    <row r="1871" spans="1:8" x14ac:dyDescent="0.25">
      <c r="A1871" t="s">
        <v>2650</v>
      </c>
      <c r="B1871" t="s">
        <v>2651</v>
      </c>
      <c r="C1871" s="67">
        <v>0</v>
      </c>
      <c r="D1871" s="67">
        <v>0</v>
      </c>
      <c r="E1871" s="67">
        <v>0</v>
      </c>
      <c r="F1871" s="67">
        <v>0</v>
      </c>
      <c r="G1871" t="str">
        <f t="shared" si="58"/>
        <v>6006</v>
      </c>
      <c r="H1871" t="str">
        <f t="shared" si="59"/>
        <v>General expenses</v>
      </c>
    </row>
    <row r="1872" spans="1:8" x14ac:dyDescent="0.25">
      <c r="A1872" t="s">
        <v>2652</v>
      </c>
      <c r="B1872" t="s">
        <v>2288</v>
      </c>
      <c r="C1872" s="67">
        <v>0</v>
      </c>
      <c r="D1872" s="67">
        <v>0</v>
      </c>
      <c r="E1872" s="67">
        <v>0</v>
      </c>
      <c r="F1872" s="67">
        <v>0</v>
      </c>
      <c r="G1872" t="str">
        <f t="shared" si="58"/>
        <v>6006</v>
      </c>
      <c r="H1872" t="str">
        <f t="shared" si="59"/>
        <v>Loss on disposal of assets and liabilities</v>
      </c>
    </row>
    <row r="1873" spans="1:8" x14ac:dyDescent="0.25">
      <c r="A1873" t="s">
        <v>2653</v>
      </c>
      <c r="B1873" t="s">
        <v>2210</v>
      </c>
      <c r="C1873" s="67">
        <v>0</v>
      </c>
      <c r="D1873" s="67">
        <v>0</v>
      </c>
      <c r="E1873" s="67">
        <v>0</v>
      </c>
      <c r="F1873" s="67">
        <v>0</v>
      </c>
      <c r="G1873" t="str">
        <f t="shared" si="58"/>
        <v>6006</v>
      </c>
      <c r="H1873" t="str">
        <f t="shared" si="59"/>
        <v>Non-Current Assets (Acc Depreciation)</v>
      </c>
    </row>
    <row r="1874" spans="1:8" x14ac:dyDescent="0.25">
      <c r="A1874" t="s">
        <v>2654</v>
      </c>
      <c r="B1874" t="s">
        <v>2294</v>
      </c>
      <c r="C1874" s="67">
        <v>0</v>
      </c>
      <c r="D1874" s="67">
        <v>0</v>
      </c>
      <c r="E1874" s="67">
        <v>0</v>
      </c>
      <c r="F1874" s="67">
        <v>0</v>
      </c>
      <c r="G1874" t="str">
        <f t="shared" si="58"/>
        <v>6006</v>
      </c>
      <c r="H1874" t="str">
        <f t="shared" si="59"/>
        <v>Non-Current Assets (Cost)</v>
      </c>
    </row>
    <row r="1875" spans="1:8" x14ac:dyDescent="0.25">
      <c r="A1875" t="s">
        <v>2655</v>
      </c>
      <c r="B1875" t="s">
        <v>2296</v>
      </c>
      <c r="C1875" s="67">
        <v>0</v>
      </c>
      <c r="D1875" s="67">
        <v>0</v>
      </c>
      <c r="E1875" s="67">
        <v>0</v>
      </c>
      <c r="F1875" s="67">
        <v>0</v>
      </c>
      <c r="G1875" t="str">
        <f t="shared" si="58"/>
        <v>6006</v>
      </c>
      <c r="H1875" t="str">
        <f t="shared" si="59"/>
        <v>Non-Current Assets (Acc Depreciation)</v>
      </c>
    </row>
    <row r="1876" spans="1:8" x14ac:dyDescent="0.25">
      <c r="A1876" t="s">
        <v>2656</v>
      </c>
      <c r="B1876" t="s">
        <v>1438</v>
      </c>
      <c r="C1876" s="67">
        <v>0</v>
      </c>
      <c r="D1876" s="67">
        <v>0</v>
      </c>
      <c r="E1876" s="67">
        <v>0</v>
      </c>
      <c r="F1876" s="67">
        <v>0</v>
      </c>
      <c r="G1876" t="str">
        <f t="shared" si="58"/>
        <v>6006</v>
      </c>
      <c r="H1876" t="str">
        <f t="shared" si="59"/>
        <v>Non-Current Assets (Depreciation)</v>
      </c>
    </row>
    <row r="1877" spans="1:8" x14ac:dyDescent="0.25">
      <c r="A1877" t="s">
        <v>2657</v>
      </c>
      <c r="B1877" t="s">
        <v>2658</v>
      </c>
      <c r="C1877" s="67">
        <v>0</v>
      </c>
      <c r="D1877" s="67">
        <v>0</v>
      </c>
      <c r="E1877" s="67">
        <v>0</v>
      </c>
      <c r="F1877" s="67">
        <v>0</v>
      </c>
      <c r="G1877" t="str">
        <f t="shared" si="58"/>
        <v>6006</v>
      </c>
      <c r="H1877" t="str">
        <f t="shared" si="59"/>
        <v>Non-Current Assets (Acquisitions)</v>
      </c>
    </row>
    <row r="1878" spans="1:8" x14ac:dyDescent="0.25">
      <c r="A1878" t="s">
        <v>2659</v>
      </c>
      <c r="B1878" t="s">
        <v>2660</v>
      </c>
      <c r="C1878" s="67">
        <v>0</v>
      </c>
      <c r="D1878" s="67">
        <v>0</v>
      </c>
      <c r="E1878" s="67">
        <v>0</v>
      </c>
      <c r="F1878" s="67">
        <v>0</v>
      </c>
      <c r="G1878" t="str">
        <f t="shared" si="58"/>
        <v>6006</v>
      </c>
      <c r="H1878" t="str">
        <f t="shared" si="59"/>
        <v>Non-Current Assets (Acquisitions)</v>
      </c>
    </row>
    <row r="1879" spans="1:8" x14ac:dyDescent="0.25">
      <c r="A1879" t="s">
        <v>1345</v>
      </c>
      <c r="B1879" t="s">
        <v>1346</v>
      </c>
      <c r="C1879" s="67">
        <v>0</v>
      </c>
      <c r="D1879" s="67">
        <v>0</v>
      </c>
      <c r="E1879" s="67">
        <v>7000000</v>
      </c>
      <c r="F1879" s="67">
        <v>7608000</v>
      </c>
      <c r="G1879" t="str">
        <f t="shared" si="58"/>
        <v>6006</v>
      </c>
      <c r="H1879" t="str">
        <f t="shared" si="59"/>
        <v>Non-Current Assets (Acquisitions)</v>
      </c>
    </row>
    <row r="1880" spans="1:8" x14ac:dyDescent="0.25">
      <c r="A1880" t="s">
        <v>2661</v>
      </c>
      <c r="B1880" t="s">
        <v>2662</v>
      </c>
      <c r="C1880" s="67">
        <v>0</v>
      </c>
      <c r="D1880" s="67">
        <v>0</v>
      </c>
      <c r="E1880" s="67">
        <v>0</v>
      </c>
      <c r="F1880" s="67">
        <v>0</v>
      </c>
      <c r="G1880" t="str">
        <f t="shared" si="58"/>
        <v>6006</v>
      </c>
      <c r="H1880" t="str">
        <f t="shared" si="59"/>
        <v>Non-Current Assets (Cost)</v>
      </c>
    </row>
    <row r="1881" spans="1:8" x14ac:dyDescent="0.25">
      <c r="A1881" t="s">
        <v>2663</v>
      </c>
      <c r="B1881" t="s">
        <v>1355</v>
      </c>
      <c r="C1881" s="67" t="e">
        <v>#N/A</v>
      </c>
      <c r="D1881" s="67">
        <v>0</v>
      </c>
      <c r="E1881" s="67">
        <v>0</v>
      </c>
      <c r="F1881" s="67">
        <v>0</v>
      </c>
      <c r="G1881" t="str">
        <f t="shared" si="58"/>
        <v>6006</v>
      </c>
      <c r="H1881" t="str">
        <f t="shared" si="59"/>
        <v>Non-Current Assets (Acquisitions)</v>
      </c>
    </row>
    <row r="1882" spans="1:8" x14ac:dyDescent="0.25">
      <c r="A1882" t="s">
        <v>2664</v>
      </c>
      <c r="B1882" t="s">
        <v>2665</v>
      </c>
      <c r="C1882" s="67">
        <v>0</v>
      </c>
      <c r="D1882" s="67">
        <v>0</v>
      </c>
      <c r="E1882" s="67">
        <v>0</v>
      </c>
      <c r="F1882" s="67">
        <v>0</v>
      </c>
      <c r="G1882" t="str">
        <f t="shared" si="58"/>
        <v>6006</v>
      </c>
      <c r="H1882" t="str">
        <f t="shared" si="59"/>
        <v>Non-Current Assets (Cost)</v>
      </c>
    </row>
    <row r="1883" spans="1:8" x14ac:dyDescent="0.25">
      <c r="A1883" t="s">
        <v>2666</v>
      </c>
      <c r="B1883" t="s">
        <v>2349</v>
      </c>
      <c r="C1883" s="67">
        <v>0</v>
      </c>
      <c r="D1883" s="67">
        <v>0</v>
      </c>
      <c r="E1883" s="67">
        <v>0</v>
      </c>
      <c r="F1883" s="67">
        <v>0</v>
      </c>
      <c r="G1883" t="str">
        <f t="shared" si="58"/>
        <v>6006</v>
      </c>
      <c r="H1883" t="str">
        <f t="shared" si="59"/>
        <v>Current Employee Benefits</v>
      </c>
    </row>
    <row r="1884" spans="1:8" x14ac:dyDescent="0.25">
      <c r="A1884" t="s">
        <v>2667</v>
      </c>
      <c r="B1884" t="s">
        <v>2668</v>
      </c>
      <c r="C1884" s="67" t="e">
        <v>#N/A</v>
      </c>
      <c r="D1884" s="67">
        <v>0</v>
      </c>
      <c r="E1884" s="67">
        <v>0</v>
      </c>
      <c r="F1884" s="67">
        <v>0</v>
      </c>
      <c r="G1884" t="str">
        <f t="shared" si="58"/>
        <v>6007</v>
      </c>
      <c r="H1884" t="str">
        <f t="shared" si="59"/>
        <v>Government grants &amp; subsidies</v>
      </c>
    </row>
    <row r="1885" spans="1:8" x14ac:dyDescent="0.25">
      <c r="A1885" t="s">
        <v>2669</v>
      </c>
      <c r="B1885" t="s">
        <v>2670</v>
      </c>
      <c r="C1885" s="67" t="e">
        <v>#N/A</v>
      </c>
      <c r="D1885" s="67">
        <v>0</v>
      </c>
      <c r="E1885" s="67">
        <v>0</v>
      </c>
      <c r="F1885" s="67">
        <v>0</v>
      </c>
      <c r="G1885" t="str">
        <f t="shared" si="58"/>
        <v>6007</v>
      </c>
      <c r="H1885" t="str">
        <f t="shared" si="59"/>
        <v>Government grants &amp; subsidies</v>
      </c>
    </row>
    <row r="1886" spans="1:8" x14ac:dyDescent="0.25">
      <c r="A1886" t="s">
        <v>2671</v>
      </c>
      <c r="B1886" t="s">
        <v>150</v>
      </c>
      <c r="C1886" s="67">
        <v>0</v>
      </c>
      <c r="D1886" s="67">
        <v>0</v>
      </c>
      <c r="E1886" s="67">
        <v>0</v>
      </c>
      <c r="F1886" s="67">
        <v>0</v>
      </c>
      <c r="G1886" t="str">
        <f t="shared" si="58"/>
        <v>6007</v>
      </c>
      <c r="H1886" t="str">
        <f t="shared" si="59"/>
        <v>Employee related costs</v>
      </c>
    </row>
    <row r="1887" spans="1:8" x14ac:dyDescent="0.25">
      <c r="A1887" t="s">
        <v>2672</v>
      </c>
      <c r="B1887" t="s">
        <v>23</v>
      </c>
      <c r="C1887" s="67" t="e">
        <v>#N/A</v>
      </c>
      <c r="D1887" s="67">
        <v>0</v>
      </c>
      <c r="E1887" s="67">
        <v>0</v>
      </c>
      <c r="F1887" s="67">
        <v>0</v>
      </c>
      <c r="G1887" t="str">
        <f t="shared" si="58"/>
        <v>6008</v>
      </c>
      <c r="H1887" t="str">
        <f t="shared" si="59"/>
        <v>Fines</v>
      </c>
    </row>
    <row r="1888" spans="1:8" x14ac:dyDescent="0.25">
      <c r="A1888" t="s">
        <v>2673</v>
      </c>
      <c r="B1888" t="s">
        <v>43</v>
      </c>
      <c r="C1888" s="67" t="e">
        <v>#N/A</v>
      </c>
      <c r="D1888" s="67">
        <v>0</v>
      </c>
      <c r="E1888" s="67">
        <v>0</v>
      </c>
      <c r="F1888" s="67">
        <v>0</v>
      </c>
      <c r="G1888" t="str">
        <f t="shared" si="58"/>
        <v>6008</v>
      </c>
      <c r="H1888" t="str">
        <f t="shared" si="59"/>
        <v>Other income</v>
      </c>
    </row>
    <row r="1889" spans="1:8" x14ac:dyDescent="0.25">
      <c r="A1889" t="s">
        <v>2674</v>
      </c>
      <c r="B1889" t="s">
        <v>44</v>
      </c>
      <c r="C1889" s="67" t="e">
        <v>#N/A</v>
      </c>
      <c r="D1889" s="67">
        <v>0</v>
      </c>
      <c r="E1889" s="67">
        <v>0</v>
      </c>
      <c r="F1889" s="67">
        <v>0</v>
      </c>
      <c r="G1889" t="str">
        <f t="shared" si="58"/>
        <v>6008</v>
      </c>
      <c r="H1889" t="str">
        <f t="shared" si="59"/>
        <v>Service charges</v>
      </c>
    </row>
    <row r="1890" spans="1:8" x14ac:dyDescent="0.25">
      <c r="A1890" t="s">
        <v>2675</v>
      </c>
      <c r="B1890" t="s">
        <v>57</v>
      </c>
      <c r="C1890" s="67" t="e">
        <v>#N/A</v>
      </c>
      <c r="D1890" s="67">
        <v>0</v>
      </c>
      <c r="E1890" s="67">
        <v>0</v>
      </c>
      <c r="F1890" s="67">
        <v>0</v>
      </c>
      <c r="G1890" t="str">
        <f t="shared" si="58"/>
        <v>6008</v>
      </c>
      <c r="H1890" t="str">
        <f t="shared" si="59"/>
        <v>Interest received - debtors</v>
      </c>
    </row>
    <row r="1891" spans="1:8" x14ac:dyDescent="0.25">
      <c r="A1891" t="s">
        <v>2676</v>
      </c>
      <c r="B1891" t="s">
        <v>161</v>
      </c>
      <c r="C1891" s="67">
        <v>0</v>
      </c>
      <c r="D1891" s="67">
        <v>0</v>
      </c>
      <c r="E1891" s="67">
        <v>0</v>
      </c>
      <c r="F1891" s="67">
        <v>0</v>
      </c>
      <c r="G1891" t="str">
        <f t="shared" si="58"/>
        <v>6008</v>
      </c>
      <c r="H1891" t="str">
        <f t="shared" si="59"/>
        <v>Employee related costs</v>
      </c>
    </row>
    <row r="1892" spans="1:8" x14ac:dyDescent="0.25">
      <c r="A1892" t="s">
        <v>2677</v>
      </c>
      <c r="B1892" t="s">
        <v>288</v>
      </c>
      <c r="C1892" s="67">
        <v>0</v>
      </c>
      <c r="D1892" s="67">
        <v>0</v>
      </c>
      <c r="E1892" s="67">
        <v>0</v>
      </c>
      <c r="F1892" s="67">
        <v>0</v>
      </c>
      <c r="G1892" t="str">
        <f t="shared" si="58"/>
        <v>6008</v>
      </c>
      <c r="H1892" t="str">
        <f t="shared" si="59"/>
        <v>Debt impairment</v>
      </c>
    </row>
    <row r="1893" spans="1:8" x14ac:dyDescent="0.25">
      <c r="A1893" t="s">
        <v>2678</v>
      </c>
      <c r="B1893" t="s">
        <v>2284</v>
      </c>
      <c r="C1893" s="67">
        <v>0</v>
      </c>
      <c r="D1893" s="67">
        <v>0</v>
      </c>
      <c r="E1893" s="67">
        <v>0</v>
      </c>
      <c r="F1893" s="67">
        <v>0</v>
      </c>
      <c r="G1893" t="str">
        <f t="shared" si="58"/>
        <v>6008</v>
      </c>
      <c r="H1893" t="str">
        <f t="shared" si="59"/>
        <v>Loss on disposal of assets and liabilities</v>
      </c>
    </row>
    <row r="1894" spans="1:8" x14ac:dyDescent="0.25">
      <c r="A1894" t="s">
        <v>2679</v>
      </c>
      <c r="B1894" t="s">
        <v>2286</v>
      </c>
      <c r="C1894" s="67">
        <v>0</v>
      </c>
      <c r="D1894" s="67">
        <v>0</v>
      </c>
      <c r="E1894" s="67">
        <v>0</v>
      </c>
      <c r="F1894" s="67">
        <v>0</v>
      </c>
      <c r="G1894" t="str">
        <f t="shared" si="58"/>
        <v>6008</v>
      </c>
      <c r="H1894" t="str">
        <f t="shared" si="59"/>
        <v>Loss on disposal of assets and liabilities</v>
      </c>
    </row>
    <row r="1895" spans="1:8" x14ac:dyDescent="0.25">
      <c r="A1895" t="s">
        <v>2680</v>
      </c>
      <c r="B1895" t="s">
        <v>2681</v>
      </c>
      <c r="C1895" s="67">
        <v>0</v>
      </c>
      <c r="D1895" s="67">
        <v>0</v>
      </c>
      <c r="E1895" s="67">
        <v>0</v>
      </c>
      <c r="F1895" s="67">
        <v>0</v>
      </c>
      <c r="G1895" t="str">
        <f t="shared" si="58"/>
        <v>6008</v>
      </c>
      <c r="H1895" t="str">
        <f t="shared" si="59"/>
        <v>Loss on disposal of assets and liabilities</v>
      </c>
    </row>
    <row r="1896" spans="1:8" x14ac:dyDescent="0.25">
      <c r="A1896" t="s">
        <v>2682</v>
      </c>
      <c r="B1896" t="s">
        <v>2288</v>
      </c>
      <c r="C1896" s="67">
        <v>0</v>
      </c>
      <c r="D1896" s="67">
        <v>0</v>
      </c>
      <c r="E1896" s="67">
        <v>0</v>
      </c>
      <c r="F1896" s="67">
        <v>0</v>
      </c>
      <c r="G1896" t="str">
        <f t="shared" si="58"/>
        <v>6008</v>
      </c>
      <c r="H1896" t="str">
        <f t="shared" si="59"/>
        <v>Loss on disposal of assets and liabilities</v>
      </c>
    </row>
    <row r="1897" spans="1:8" x14ac:dyDescent="0.25">
      <c r="A1897" t="s">
        <v>2683</v>
      </c>
      <c r="B1897" t="s">
        <v>2684</v>
      </c>
      <c r="C1897" s="67">
        <v>0</v>
      </c>
      <c r="D1897" s="67">
        <v>0</v>
      </c>
      <c r="E1897" s="67">
        <v>0</v>
      </c>
      <c r="F1897" s="67">
        <v>0</v>
      </c>
      <c r="G1897" t="str">
        <f t="shared" si="58"/>
        <v>6008</v>
      </c>
      <c r="H1897" t="str">
        <f t="shared" si="59"/>
        <v>Receivables from exchange transactions</v>
      </c>
    </row>
    <row r="1898" spans="1:8" x14ac:dyDescent="0.25">
      <c r="A1898" t="s">
        <v>2685</v>
      </c>
      <c r="B1898" t="s">
        <v>2686</v>
      </c>
      <c r="C1898" s="67">
        <v>0</v>
      </c>
      <c r="D1898" s="67">
        <v>0</v>
      </c>
      <c r="E1898" s="67">
        <v>0</v>
      </c>
      <c r="F1898" s="67">
        <v>0</v>
      </c>
      <c r="G1898" t="str">
        <f t="shared" si="58"/>
        <v>6008</v>
      </c>
      <c r="H1898" t="str">
        <f t="shared" si="59"/>
        <v>Receivables from exchange transactions</v>
      </c>
    </row>
    <row r="1899" spans="1:8" x14ac:dyDescent="0.25">
      <c r="A1899" t="s">
        <v>2687</v>
      </c>
      <c r="B1899" t="s">
        <v>2688</v>
      </c>
      <c r="C1899" s="67">
        <v>0</v>
      </c>
      <c r="D1899" s="67">
        <v>0</v>
      </c>
      <c r="E1899" s="67">
        <v>0</v>
      </c>
      <c r="F1899" s="67">
        <v>0</v>
      </c>
      <c r="G1899" t="str">
        <f t="shared" si="58"/>
        <v>6008</v>
      </c>
      <c r="H1899" t="str">
        <f t="shared" si="59"/>
        <v>Receivables from exchange transactions</v>
      </c>
    </row>
    <row r="1900" spans="1:8" x14ac:dyDescent="0.25">
      <c r="A1900" t="s">
        <v>2689</v>
      </c>
      <c r="B1900" t="s">
        <v>2690</v>
      </c>
      <c r="C1900" s="67">
        <v>0</v>
      </c>
      <c r="D1900" s="67">
        <v>0</v>
      </c>
      <c r="E1900" s="67">
        <v>0</v>
      </c>
      <c r="F1900" s="67">
        <v>0</v>
      </c>
      <c r="G1900" t="str">
        <f t="shared" si="58"/>
        <v>6008</v>
      </c>
      <c r="H1900" t="str">
        <f t="shared" si="59"/>
        <v>Receivables from exchange transactions</v>
      </c>
    </row>
    <row r="1901" spans="1:8" x14ac:dyDescent="0.25">
      <c r="A1901" t="s">
        <v>2691</v>
      </c>
      <c r="B1901" t="s">
        <v>2692</v>
      </c>
      <c r="C1901" s="67">
        <v>0</v>
      </c>
      <c r="D1901" s="67">
        <v>0</v>
      </c>
      <c r="E1901" s="67">
        <v>0</v>
      </c>
      <c r="F1901" s="67">
        <v>0</v>
      </c>
      <c r="G1901" t="str">
        <f t="shared" si="58"/>
        <v>6008</v>
      </c>
      <c r="H1901" t="str">
        <f t="shared" si="59"/>
        <v>Non-Current Assets (Depreciation)</v>
      </c>
    </row>
    <row r="1902" spans="1:8" x14ac:dyDescent="0.25">
      <c r="A1902" t="s">
        <v>2693</v>
      </c>
      <c r="B1902" t="s">
        <v>2694</v>
      </c>
      <c r="C1902" s="67" t="e">
        <v>#N/A</v>
      </c>
      <c r="D1902" s="67">
        <v>0</v>
      </c>
      <c r="E1902" s="67">
        <v>0</v>
      </c>
      <c r="F1902" s="67">
        <v>0</v>
      </c>
      <c r="G1902" t="str">
        <f t="shared" si="58"/>
        <v>6008</v>
      </c>
      <c r="H1902" t="str">
        <f t="shared" si="59"/>
        <v>Non-Current Assets (Acquisitions)</v>
      </c>
    </row>
    <row r="1903" spans="1:8" x14ac:dyDescent="0.25">
      <c r="A1903" t="s">
        <v>2695</v>
      </c>
      <c r="B1903" t="s">
        <v>2696</v>
      </c>
      <c r="C1903" s="67">
        <v>0</v>
      </c>
      <c r="D1903" s="67">
        <v>0</v>
      </c>
      <c r="E1903" s="67">
        <v>0</v>
      </c>
      <c r="F1903" s="67">
        <v>0</v>
      </c>
      <c r="G1903" t="str">
        <f t="shared" si="58"/>
        <v>6008</v>
      </c>
      <c r="H1903" t="str">
        <f t="shared" si="59"/>
        <v>Non-Current Assets (Cost)</v>
      </c>
    </row>
    <row r="1904" spans="1:8" x14ac:dyDescent="0.25">
      <c r="A1904" t="s">
        <v>2697</v>
      </c>
      <c r="B1904" t="s">
        <v>2698</v>
      </c>
      <c r="C1904" s="67">
        <v>0</v>
      </c>
      <c r="D1904" s="67">
        <v>0</v>
      </c>
      <c r="E1904" s="67">
        <v>0</v>
      </c>
      <c r="F1904" s="67">
        <v>0</v>
      </c>
      <c r="G1904" t="str">
        <f t="shared" si="58"/>
        <v>6008</v>
      </c>
      <c r="H1904" t="str">
        <f t="shared" si="59"/>
        <v>Non-Current Assets (Acc Depreciation)</v>
      </c>
    </row>
    <row r="1905" spans="1:8" x14ac:dyDescent="0.25">
      <c r="A1905" t="s">
        <v>2699</v>
      </c>
      <c r="B1905" t="s">
        <v>2294</v>
      </c>
      <c r="C1905" s="67">
        <v>0</v>
      </c>
      <c r="D1905" s="67">
        <v>0</v>
      </c>
      <c r="E1905" s="67">
        <v>0</v>
      </c>
      <c r="F1905" s="67">
        <v>0</v>
      </c>
      <c r="G1905" t="str">
        <f t="shared" si="58"/>
        <v>6008</v>
      </c>
      <c r="H1905" t="str">
        <f t="shared" si="59"/>
        <v>Non-Current Assets (Cost)</v>
      </c>
    </row>
    <row r="1906" spans="1:8" x14ac:dyDescent="0.25">
      <c r="A1906" t="s">
        <v>2700</v>
      </c>
      <c r="B1906" t="s">
        <v>2296</v>
      </c>
      <c r="C1906" s="67">
        <v>0</v>
      </c>
      <c r="D1906" s="67">
        <v>0</v>
      </c>
      <c r="E1906" s="67">
        <v>0</v>
      </c>
      <c r="F1906" s="67">
        <v>0</v>
      </c>
      <c r="G1906" t="str">
        <f t="shared" si="58"/>
        <v>6008</v>
      </c>
      <c r="H1906" t="str">
        <f t="shared" si="59"/>
        <v>Non-Current Assets (Acc Depreciation)</v>
      </c>
    </row>
    <row r="1907" spans="1:8" x14ac:dyDescent="0.25">
      <c r="A1907" t="s">
        <v>2701</v>
      </c>
      <c r="B1907" t="s">
        <v>2299</v>
      </c>
      <c r="C1907" s="67">
        <v>0</v>
      </c>
      <c r="D1907" s="67">
        <v>0</v>
      </c>
      <c r="E1907" s="67">
        <v>0</v>
      </c>
      <c r="F1907" s="67">
        <v>0</v>
      </c>
      <c r="G1907" t="str">
        <f t="shared" si="58"/>
        <v>6008</v>
      </c>
      <c r="H1907" t="str">
        <f t="shared" si="59"/>
        <v>Non-Current Assets (Cost)</v>
      </c>
    </row>
    <row r="1908" spans="1:8" x14ac:dyDescent="0.25">
      <c r="A1908" t="s">
        <v>2702</v>
      </c>
      <c r="B1908" t="s">
        <v>2301</v>
      </c>
      <c r="C1908" s="67">
        <v>0</v>
      </c>
      <c r="D1908" s="67">
        <v>0</v>
      </c>
      <c r="E1908" s="67">
        <v>0</v>
      </c>
      <c r="F1908" s="67">
        <v>0</v>
      </c>
      <c r="G1908" t="str">
        <f t="shared" si="58"/>
        <v>6008</v>
      </c>
      <c r="H1908" t="str">
        <f t="shared" si="59"/>
        <v>Non-Current Assets (Acc Depreciation)</v>
      </c>
    </row>
    <row r="1909" spans="1:8" x14ac:dyDescent="0.25">
      <c r="A1909" t="s">
        <v>2703</v>
      </c>
      <c r="B1909" t="s">
        <v>2303</v>
      </c>
      <c r="C1909" s="67">
        <v>0</v>
      </c>
      <c r="D1909" s="67">
        <v>0</v>
      </c>
      <c r="E1909" s="67">
        <v>0</v>
      </c>
      <c r="F1909" s="67">
        <v>0</v>
      </c>
      <c r="G1909" t="str">
        <f t="shared" si="58"/>
        <v>6008</v>
      </c>
      <c r="H1909" t="str">
        <f t="shared" si="59"/>
        <v>Non-Current Assets (Cost)</v>
      </c>
    </row>
    <row r="1910" spans="1:8" x14ac:dyDescent="0.25">
      <c r="A1910" t="s">
        <v>2704</v>
      </c>
      <c r="B1910" t="s">
        <v>2305</v>
      </c>
      <c r="C1910" s="67">
        <v>0</v>
      </c>
      <c r="D1910" s="67">
        <v>0</v>
      </c>
      <c r="E1910" s="67">
        <v>0</v>
      </c>
      <c r="F1910" s="67">
        <v>0</v>
      </c>
      <c r="G1910" t="str">
        <f t="shared" si="58"/>
        <v>6008</v>
      </c>
      <c r="H1910" t="str">
        <f t="shared" si="59"/>
        <v>Non-Current Assets (Acc Depreciation)</v>
      </c>
    </row>
    <row r="1911" spans="1:8" x14ac:dyDescent="0.25">
      <c r="A1911" t="s">
        <v>2705</v>
      </c>
      <c r="B1911" t="s">
        <v>2386</v>
      </c>
      <c r="C1911" s="67">
        <v>0</v>
      </c>
      <c r="D1911" s="67">
        <v>0</v>
      </c>
      <c r="E1911" s="67">
        <v>0</v>
      </c>
      <c r="F1911" s="67">
        <v>0</v>
      </c>
      <c r="G1911" t="str">
        <f t="shared" si="58"/>
        <v>6008</v>
      </c>
      <c r="H1911" t="str">
        <f t="shared" si="59"/>
        <v>Current Employee Benefits</v>
      </c>
    </row>
    <row r="1912" spans="1:8" x14ac:dyDescent="0.25">
      <c r="A1912" t="s">
        <v>2706</v>
      </c>
      <c r="B1912" t="s">
        <v>2349</v>
      </c>
      <c r="C1912" s="67">
        <v>0</v>
      </c>
      <c r="D1912" s="67">
        <v>0</v>
      </c>
      <c r="E1912" s="67">
        <v>0</v>
      </c>
      <c r="F1912" s="67">
        <v>0</v>
      </c>
      <c r="G1912" t="str">
        <f t="shared" si="58"/>
        <v>6008</v>
      </c>
      <c r="H1912" t="str">
        <f t="shared" si="59"/>
        <v>Current Employee Benefits</v>
      </c>
    </row>
    <row r="1913" spans="1:8" x14ac:dyDescent="0.25">
      <c r="A1913" t="s">
        <v>2707</v>
      </c>
      <c r="B1913" t="s">
        <v>73</v>
      </c>
      <c r="C1913" s="67" t="e">
        <v>#N/A</v>
      </c>
      <c r="D1913" s="67">
        <v>0</v>
      </c>
      <c r="E1913" s="67">
        <v>0</v>
      </c>
      <c r="F1913" s="67">
        <v>0</v>
      </c>
      <c r="G1913" t="str">
        <f t="shared" si="58"/>
        <v>6015</v>
      </c>
      <c r="H1913" t="str">
        <f t="shared" si="59"/>
        <v>Other income</v>
      </c>
    </row>
    <row r="1914" spans="1:8" x14ac:dyDescent="0.25">
      <c r="A1914" t="s">
        <v>2708</v>
      </c>
      <c r="B1914" t="s">
        <v>2284</v>
      </c>
      <c r="C1914" s="67">
        <v>0</v>
      </c>
      <c r="D1914" s="67">
        <v>0</v>
      </c>
      <c r="E1914" s="67">
        <v>0</v>
      </c>
      <c r="F1914" s="67">
        <v>0</v>
      </c>
      <c r="G1914" t="str">
        <f t="shared" si="58"/>
        <v>6015</v>
      </c>
      <c r="H1914" t="str">
        <f t="shared" si="59"/>
        <v>Loss on disposal of assets and liabilities</v>
      </c>
    </row>
    <row r="1915" spans="1:8" x14ac:dyDescent="0.25">
      <c r="A1915" t="s">
        <v>2709</v>
      </c>
      <c r="B1915" t="s">
        <v>2286</v>
      </c>
      <c r="C1915" s="67">
        <v>0</v>
      </c>
      <c r="D1915" s="67">
        <v>0</v>
      </c>
      <c r="E1915" s="67">
        <v>0</v>
      </c>
      <c r="F1915" s="67">
        <v>0</v>
      </c>
      <c r="G1915" t="str">
        <f t="shared" si="58"/>
        <v>6015</v>
      </c>
      <c r="H1915" t="str">
        <f t="shared" si="59"/>
        <v>Loss on disposal of assets and liabilities</v>
      </c>
    </row>
    <row r="1916" spans="1:8" x14ac:dyDescent="0.25">
      <c r="A1916" t="s">
        <v>2710</v>
      </c>
      <c r="B1916" t="s">
        <v>2336</v>
      </c>
      <c r="C1916" s="67">
        <v>0</v>
      </c>
      <c r="D1916" s="67">
        <v>0</v>
      </c>
      <c r="E1916" s="67">
        <v>0</v>
      </c>
      <c r="F1916" s="67">
        <v>0</v>
      </c>
      <c r="G1916" t="str">
        <f t="shared" si="58"/>
        <v>6015</v>
      </c>
      <c r="H1916" t="str">
        <f t="shared" si="59"/>
        <v>Loss on disposal of assets and liabilities</v>
      </c>
    </row>
    <row r="1917" spans="1:8" x14ac:dyDescent="0.25">
      <c r="A1917" t="s">
        <v>2711</v>
      </c>
      <c r="B1917" t="s">
        <v>2712</v>
      </c>
      <c r="C1917" s="67">
        <v>0</v>
      </c>
      <c r="D1917" s="67">
        <v>0</v>
      </c>
      <c r="E1917" s="67">
        <v>0</v>
      </c>
      <c r="F1917" s="67">
        <v>0</v>
      </c>
      <c r="G1917" t="str">
        <f t="shared" si="58"/>
        <v>6015</v>
      </c>
      <c r="H1917" t="str">
        <f t="shared" si="59"/>
        <v>Receivables from exchange transactions</v>
      </c>
    </row>
    <row r="1918" spans="1:8" x14ac:dyDescent="0.25">
      <c r="A1918" t="s">
        <v>2713</v>
      </c>
      <c r="B1918" t="s">
        <v>2714</v>
      </c>
      <c r="C1918" s="67">
        <v>0</v>
      </c>
      <c r="D1918" s="67">
        <v>0</v>
      </c>
      <c r="E1918" s="67">
        <v>0</v>
      </c>
      <c r="F1918" s="67">
        <v>0</v>
      </c>
      <c r="G1918" t="str">
        <f t="shared" si="58"/>
        <v>6015</v>
      </c>
      <c r="H1918" t="str">
        <f t="shared" si="59"/>
        <v>Receivables from exchange transactions</v>
      </c>
    </row>
    <row r="1919" spans="1:8" x14ac:dyDescent="0.25">
      <c r="A1919" t="s">
        <v>2715</v>
      </c>
      <c r="B1919" t="s">
        <v>2716</v>
      </c>
      <c r="C1919" s="67">
        <v>0</v>
      </c>
      <c r="D1919" s="67">
        <v>0</v>
      </c>
      <c r="E1919" s="67">
        <v>0</v>
      </c>
      <c r="F1919" s="67">
        <v>0</v>
      </c>
      <c r="G1919" t="str">
        <f t="shared" si="58"/>
        <v>6015</v>
      </c>
      <c r="H1919" t="str">
        <f t="shared" si="59"/>
        <v>Receivables from exchange transactions</v>
      </c>
    </row>
    <row r="1920" spans="1:8" x14ac:dyDescent="0.25">
      <c r="A1920" t="s">
        <v>2717</v>
      </c>
      <c r="B1920" t="s">
        <v>2338</v>
      </c>
      <c r="C1920" s="67">
        <v>0</v>
      </c>
      <c r="D1920" s="67">
        <v>0</v>
      </c>
      <c r="E1920" s="67">
        <v>0</v>
      </c>
      <c r="F1920" s="67">
        <v>0</v>
      </c>
      <c r="G1920" t="str">
        <f t="shared" si="58"/>
        <v>6015</v>
      </c>
      <c r="H1920" t="str">
        <f t="shared" si="59"/>
        <v>Non-Current Assets (Cost)</v>
      </c>
    </row>
    <row r="1921" spans="1:8" x14ac:dyDescent="0.25">
      <c r="A1921" t="s">
        <v>2718</v>
      </c>
      <c r="B1921" t="s">
        <v>2340</v>
      </c>
      <c r="C1921" s="67">
        <v>0</v>
      </c>
      <c r="D1921" s="67">
        <v>0</v>
      </c>
      <c r="E1921" s="67">
        <v>0</v>
      </c>
      <c r="F1921" s="67">
        <v>0</v>
      </c>
      <c r="G1921" t="str">
        <f t="shared" si="58"/>
        <v>6015</v>
      </c>
      <c r="H1921" t="str">
        <f t="shared" si="59"/>
        <v>Non-Current Assets (Acc Depreciation)</v>
      </c>
    </row>
    <row r="1922" spans="1:8" x14ac:dyDescent="0.25">
      <c r="A1922" t="s">
        <v>2719</v>
      </c>
      <c r="B1922" t="s">
        <v>2299</v>
      </c>
      <c r="C1922" s="67">
        <v>0</v>
      </c>
      <c r="D1922" s="67">
        <v>0</v>
      </c>
      <c r="E1922" s="67">
        <v>0</v>
      </c>
      <c r="F1922" s="67">
        <v>0</v>
      </c>
      <c r="G1922" t="str">
        <f t="shared" ref="G1922:G1945" si="60">VLOOKUP(A1922,s,2,FALSE)</f>
        <v>6015</v>
      </c>
      <c r="H1922" t="str">
        <f t="shared" ref="H1922:H1945" si="61">VLOOKUP(A1922,s,3,FALSE)</f>
        <v>Non-Current Assets (Cost)</v>
      </c>
    </row>
    <row r="1923" spans="1:8" x14ac:dyDescent="0.25">
      <c r="A1923" t="s">
        <v>2720</v>
      </c>
      <c r="B1923" t="s">
        <v>2301</v>
      </c>
      <c r="C1923" s="67">
        <v>0</v>
      </c>
      <c r="D1923" s="67">
        <v>0</v>
      </c>
      <c r="E1923" s="67">
        <v>0</v>
      </c>
      <c r="F1923" s="67">
        <v>0</v>
      </c>
      <c r="G1923" t="str">
        <f t="shared" si="60"/>
        <v>6015</v>
      </c>
      <c r="H1923" t="str">
        <f t="shared" si="61"/>
        <v>Non-Current Assets (Acc Depreciation)</v>
      </c>
    </row>
    <row r="1924" spans="1:8" x14ac:dyDescent="0.25">
      <c r="A1924" t="s">
        <v>2721</v>
      </c>
      <c r="B1924" t="s">
        <v>2303</v>
      </c>
      <c r="C1924" s="67">
        <v>0</v>
      </c>
      <c r="D1924" s="67">
        <v>0</v>
      </c>
      <c r="E1924" s="67">
        <v>0</v>
      </c>
      <c r="F1924" s="67">
        <v>0</v>
      </c>
      <c r="G1924" t="str">
        <f t="shared" si="60"/>
        <v>6015</v>
      </c>
      <c r="H1924" t="str">
        <f t="shared" si="61"/>
        <v>Non-Current Assets (Cost)</v>
      </c>
    </row>
    <row r="1925" spans="1:8" x14ac:dyDescent="0.25">
      <c r="A1925" t="s">
        <v>2722</v>
      </c>
      <c r="B1925" t="s">
        <v>2305</v>
      </c>
      <c r="C1925" s="67">
        <v>0</v>
      </c>
      <c r="D1925" s="67">
        <v>0</v>
      </c>
      <c r="E1925" s="67">
        <v>0</v>
      </c>
      <c r="F1925" s="67">
        <v>0</v>
      </c>
      <c r="G1925" t="str">
        <f t="shared" si="60"/>
        <v>6015</v>
      </c>
      <c r="H1925" t="str">
        <f t="shared" si="61"/>
        <v>Non-Current Assets (Acc Depreciation)</v>
      </c>
    </row>
    <row r="1926" spans="1:8" x14ac:dyDescent="0.25">
      <c r="A1926" t="s">
        <v>2723</v>
      </c>
      <c r="B1926" t="s">
        <v>2386</v>
      </c>
      <c r="C1926" s="67">
        <v>0</v>
      </c>
      <c r="D1926" s="67">
        <v>0</v>
      </c>
      <c r="E1926" s="67">
        <v>0</v>
      </c>
      <c r="F1926" s="67">
        <v>0</v>
      </c>
      <c r="G1926" t="str">
        <f t="shared" si="60"/>
        <v>6015</v>
      </c>
      <c r="H1926" t="str">
        <f t="shared" si="61"/>
        <v>Current Employee Benefits</v>
      </c>
    </row>
    <row r="1927" spans="1:8" x14ac:dyDescent="0.25">
      <c r="A1927" t="s">
        <v>2724</v>
      </c>
      <c r="B1927" t="s">
        <v>2349</v>
      </c>
      <c r="C1927" s="67">
        <v>0</v>
      </c>
      <c r="D1927" s="67">
        <v>0</v>
      </c>
      <c r="E1927" s="67">
        <v>0</v>
      </c>
      <c r="F1927" s="67">
        <v>0</v>
      </c>
      <c r="G1927" t="str">
        <f t="shared" si="60"/>
        <v>6015</v>
      </c>
      <c r="H1927" t="str">
        <f t="shared" si="61"/>
        <v>Current Employee Benefits</v>
      </c>
    </row>
    <row r="1928" spans="1:8" x14ac:dyDescent="0.25">
      <c r="A1928" t="s">
        <v>2725</v>
      </c>
      <c r="B1928" t="s">
        <v>2726</v>
      </c>
      <c r="C1928" s="67">
        <v>0</v>
      </c>
      <c r="D1928" s="67">
        <v>0</v>
      </c>
      <c r="E1928" s="67">
        <v>0</v>
      </c>
      <c r="F1928" s="67">
        <v>0</v>
      </c>
      <c r="G1928" t="str">
        <f t="shared" si="60"/>
        <v>6016</v>
      </c>
      <c r="H1928" t="str">
        <f t="shared" si="61"/>
        <v>Receivables from exchange transactions</v>
      </c>
    </row>
    <row r="1929" spans="1:8" x14ac:dyDescent="0.25">
      <c r="A1929" t="s">
        <v>2727</v>
      </c>
      <c r="B1929" t="s">
        <v>2728</v>
      </c>
      <c r="C1929" s="67">
        <v>0</v>
      </c>
      <c r="D1929" s="67">
        <v>0</v>
      </c>
      <c r="E1929" s="67">
        <v>0</v>
      </c>
      <c r="F1929" s="67">
        <v>0</v>
      </c>
      <c r="G1929" t="str">
        <f t="shared" si="60"/>
        <v>6016</v>
      </c>
      <c r="H1929" t="str">
        <f t="shared" si="61"/>
        <v>Receivables from exchange transactions</v>
      </c>
    </row>
    <row r="1930" spans="1:8" x14ac:dyDescent="0.25">
      <c r="A1930" t="s">
        <v>2729</v>
      </c>
      <c r="B1930" t="s">
        <v>2730</v>
      </c>
      <c r="C1930" s="67">
        <v>0</v>
      </c>
      <c r="D1930" s="67">
        <v>0</v>
      </c>
      <c r="E1930" s="67">
        <v>0</v>
      </c>
      <c r="F1930" s="67">
        <v>0</v>
      </c>
      <c r="G1930" t="str">
        <f t="shared" si="60"/>
        <v>6016</v>
      </c>
      <c r="H1930" t="str">
        <f t="shared" si="61"/>
        <v>Receivables from exchange transactions</v>
      </c>
    </row>
    <row r="1931" spans="1:8" x14ac:dyDescent="0.25">
      <c r="A1931" t="s">
        <v>2731</v>
      </c>
      <c r="B1931" t="s">
        <v>2268</v>
      </c>
      <c r="C1931" s="67">
        <v>0</v>
      </c>
      <c r="D1931" s="67">
        <v>13330540.710000001</v>
      </c>
      <c r="E1931" s="67">
        <v>13330540.710000001</v>
      </c>
      <c r="F1931" s="67">
        <v>13330540.710000001</v>
      </c>
      <c r="G1931" t="str">
        <f t="shared" si="60"/>
        <v>6016</v>
      </c>
      <c r="H1931" t="str">
        <f t="shared" si="61"/>
        <v>Receivables from exchange transactions</v>
      </c>
    </row>
    <row r="1932" spans="1:8" x14ac:dyDescent="0.25">
      <c r="A1932" t="s">
        <v>2732</v>
      </c>
      <c r="B1932" t="s">
        <v>2270</v>
      </c>
      <c r="C1932" s="67">
        <v>0</v>
      </c>
      <c r="D1932" s="67">
        <v>-1927426.58</v>
      </c>
      <c r="E1932" s="67">
        <v>-1927426.58</v>
      </c>
      <c r="F1932" s="67">
        <v>-1927426.58</v>
      </c>
      <c r="G1932" t="str">
        <f t="shared" si="60"/>
        <v>6016</v>
      </c>
      <c r="H1932" t="str">
        <f t="shared" si="61"/>
        <v>Receivables from exchange transactions</v>
      </c>
    </row>
    <row r="1933" spans="1:8" x14ac:dyDescent="0.25">
      <c r="A1933" t="s">
        <v>2733</v>
      </c>
      <c r="B1933" t="s">
        <v>2734</v>
      </c>
      <c r="C1933" s="67">
        <v>0</v>
      </c>
      <c r="D1933" s="67">
        <v>0</v>
      </c>
      <c r="E1933" s="67">
        <v>0</v>
      </c>
      <c r="F1933" s="67">
        <v>0</v>
      </c>
      <c r="G1933" t="str">
        <f t="shared" si="60"/>
        <v>6016</v>
      </c>
      <c r="H1933" t="str">
        <f t="shared" si="61"/>
        <v>Receivables from exchange transactions</v>
      </c>
    </row>
    <row r="1934" spans="1:8" x14ac:dyDescent="0.25">
      <c r="A1934" t="s">
        <v>2735</v>
      </c>
      <c r="B1934" t="s">
        <v>2736</v>
      </c>
      <c r="C1934" s="67">
        <v>0</v>
      </c>
      <c r="D1934" s="67">
        <v>0</v>
      </c>
      <c r="E1934" s="67">
        <v>0</v>
      </c>
      <c r="F1934" s="67">
        <v>0</v>
      </c>
      <c r="G1934" t="str">
        <f t="shared" si="60"/>
        <v>6016</v>
      </c>
      <c r="H1934" t="str">
        <f t="shared" si="61"/>
        <v>Receivables from exchange transactions</v>
      </c>
    </row>
    <row r="1935" spans="1:8" x14ac:dyDescent="0.25">
      <c r="A1935" t="s">
        <v>2737</v>
      </c>
      <c r="B1935" t="s">
        <v>2507</v>
      </c>
      <c r="C1935" s="67">
        <v>0</v>
      </c>
      <c r="D1935" s="67">
        <v>0</v>
      </c>
      <c r="E1935" s="67">
        <v>0</v>
      </c>
      <c r="F1935" s="67">
        <v>0</v>
      </c>
      <c r="G1935" t="str">
        <f t="shared" si="60"/>
        <v>6016</v>
      </c>
      <c r="H1935" t="str">
        <f t="shared" si="61"/>
        <v>Reserves</v>
      </c>
    </row>
    <row r="1936" spans="1:8" x14ac:dyDescent="0.25">
      <c r="A1936" t="s">
        <v>2738</v>
      </c>
      <c r="B1936" t="s">
        <v>2739</v>
      </c>
      <c r="C1936" s="67" t="e">
        <v>#N/A</v>
      </c>
      <c r="D1936" s="67">
        <v>0</v>
      </c>
      <c r="E1936" s="67">
        <v>0</v>
      </c>
      <c r="F1936" s="67">
        <v>0</v>
      </c>
      <c r="G1936" t="str">
        <f t="shared" si="60"/>
        <v>3505</v>
      </c>
      <c r="H1936" t="str">
        <f t="shared" si="61"/>
        <v>Depreciation and amortisation</v>
      </c>
    </row>
    <row r="1937" spans="1:8" x14ac:dyDescent="0.25">
      <c r="A1937" t="s">
        <v>2740</v>
      </c>
      <c r="B1937" t="s">
        <v>2741</v>
      </c>
      <c r="C1937" s="67" t="e">
        <v>#N/A</v>
      </c>
      <c r="D1937" s="67">
        <v>0</v>
      </c>
      <c r="E1937" s="67">
        <v>0</v>
      </c>
      <c r="F1937" s="67">
        <v>0</v>
      </c>
      <c r="G1937" t="str">
        <f t="shared" si="60"/>
        <v>3505</v>
      </c>
      <c r="H1937" t="str">
        <f t="shared" si="61"/>
        <v>Non-Current Assets (Depreciation)</v>
      </c>
    </row>
    <row r="1938" spans="1:8" x14ac:dyDescent="0.25">
      <c r="A1938" t="s">
        <v>2742</v>
      </c>
      <c r="B1938" t="s">
        <v>2743</v>
      </c>
      <c r="C1938" s="67" t="e">
        <v>#N/A</v>
      </c>
      <c r="D1938" s="67">
        <v>0</v>
      </c>
      <c r="E1938" s="67">
        <v>0</v>
      </c>
      <c r="F1938" s="67">
        <v>0</v>
      </c>
      <c r="G1938" t="str">
        <f t="shared" si="60"/>
        <v>3505</v>
      </c>
      <c r="H1938" t="str">
        <f t="shared" si="61"/>
        <v>Non-Current Assets (Cost)</v>
      </c>
    </row>
    <row r="1939" spans="1:8" x14ac:dyDescent="0.25">
      <c r="A1939" t="s">
        <v>3006</v>
      </c>
      <c r="B1939" t="s">
        <v>1347</v>
      </c>
      <c r="C1939" s="67" t="e">
        <v>#N/A</v>
      </c>
      <c r="D1939" s="67">
        <v>0</v>
      </c>
      <c r="E1939" s="67">
        <v>4891285</v>
      </c>
      <c r="F1939" s="67">
        <v>7500000</v>
      </c>
      <c r="G1939" t="e">
        <f t="shared" si="60"/>
        <v>#N/A</v>
      </c>
      <c r="H1939" t="e">
        <f t="shared" si="61"/>
        <v>#N/A</v>
      </c>
    </row>
    <row r="1940" spans="1:8" x14ac:dyDescent="0.25">
      <c r="A1940" t="s">
        <v>3007</v>
      </c>
      <c r="B1940" t="s">
        <v>1348</v>
      </c>
      <c r="C1940" s="67" t="e">
        <v>#N/A</v>
      </c>
      <c r="D1940" s="67">
        <v>0</v>
      </c>
      <c r="E1940" s="67">
        <v>0</v>
      </c>
      <c r="F1940" s="67">
        <v>15000000</v>
      </c>
      <c r="G1940" t="e">
        <f t="shared" si="60"/>
        <v>#N/A</v>
      </c>
      <c r="H1940" t="e">
        <f t="shared" si="61"/>
        <v>#N/A</v>
      </c>
    </row>
    <row r="1941" spans="1:8" x14ac:dyDescent="0.25">
      <c r="A1941" t="s">
        <v>3008</v>
      </c>
      <c r="B1941" t="s">
        <v>1349</v>
      </c>
      <c r="C1941" s="67" t="e">
        <v>#N/A</v>
      </c>
      <c r="D1941" s="67">
        <v>0</v>
      </c>
      <c r="E1941" s="67">
        <v>0</v>
      </c>
      <c r="F1941" s="67">
        <v>15000000</v>
      </c>
      <c r="G1941" t="e">
        <f t="shared" si="60"/>
        <v>#N/A</v>
      </c>
      <c r="H1941" t="e">
        <f t="shared" si="61"/>
        <v>#N/A</v>
      </c>
    </row>
    <row r="1942" spans="1:8" x14ac:dyDescent="0.25">
      <c r="A1942" t="s">
        <v>2746</v>
      </c>
    </row>
    <row r="1943" spans="1:8" x14ac:dyDescent="0.25">
      <c r="A1943" t="s">
        <v>1350</v>
      </c>
      <c r="B1943" t="s">
        <v>1351</v>
      </c>
      <c r="C1943" s="67">
        <v>0</v>
      </c>
      <c r="D1943" s="67">
        <v>0</v>
      </c>
      <c r="E1943" s="67">
        <v>7000000</v>
      </c>
      <c r="F1943" s="67">
        <v>0</v>
      </c>
      <c r="G1943" t="str">
        <f t="shared" si="60"/>
        <v>6006</v>
      </c>
      <c r="H1943" t="str">
        <f t="shared" si="61"/>
        <v>Non-Current Assets (Acquisitions)</v>
      </c>
    </row>
    <row r="1944" spans="1:8" x14ac:dyDescent="0.25">
      <c r="A1944" t="s">
        <v>1352</v>
      </c>
      <c r="B1944" t="s">
        <v>1353</v>
      </c>
      <c r="C1944" s="67">
        <v>0</v>
      </c>
      <c r="D1944" s="67">
        <v>0</v>
      </c>
      <c r="E1944" s="67">
        <v>4826302</v>
      </c>
      <c r="F1944" s="67">
        <v>0</v>
      </c>
      <c r="G1944" t="str">
        <f t="shared" si="60"/>
        <v>6006</v>
      </c>
      <c r="H1944" t="str">
        <f t="shared" si="61"/>
        <v>Non-Current Assets (Acquisitions)</v>
      </c>
    </row>
    <row r="1945" spans="1:8" x14ac:dyDescent="0.25">
      <c r="A1945" t="s">
        <v>2744</v>
      </c>
      <c r="B1945" t="s">
        <v>2745</v>
      </c>
      <c r="C1945" s="67" t="e">
        <v>#N/A</v>
      </c>
      <c r="D1945" s="67">
        <v>0</v>
      </c>
      <c r="E1945" s="67">
        <v>0</v>
      </c>
      <c r="F1945" s="67">
        <v>0</v>
      </c>
      <c r="G1945" t="str">
        <f t="shared" si="60"/>
        <v>3505</v>
      </c>
      <c r="H1945" t="str">
        <f t="shared" si="61"/>
        <v>Non-Current Assets (Depreciation)</v>
      </c>
    </row>
  </sheetData>
  <autoFilter ref="A1:H1945"/>
  <pageMargins left="0.7" right="0.7" top="0.75" bottom="0.75" header="0.3" footer="0.3"/>
  <pageSetup orientation="portrait" horizontalDpi="200" verticalDpi="200" copies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945"/>
  <sheetViews>
    <sheetView workbookViewId="0">
      <selection activeCell="D1" sqref="D1"/>
    </sheetView>
  </sheetViews>
  <sheetFormatPr defaultRowHeight="15" x14ac:dyDescent="0.25"/>
  <cols>
    <col min="1" max="1" width="26.42578125" bestFit="1" customWidth="1"/>
    <col min="2" max="2" width="11" bestFit="1" customWidth="1"/>
    <col min="3" max="3" width="41.42578125" bestFit="1" customWidth="1"/>
    <col min="4" max="4" width="63.5703125" bestFit="1" customWidth="1"/>
  </cols>
  <sheetData>
    <row r="2" spans="1:4" x14ac:dyDescent="0.25">
      <c r="A2" t="s">
        <v>1397</v>
      </c>
      <c r="B2" t="s">
        <v>2747</v>
      </c>
      <c r="C2" t="s">
        <v>2748</v>
      </c>
      <c r="D2" t="s">
        <v>2749</v>
      </c>
    </row>
    <row r="3" spans="1:4" x14ac:dyDescent="0.25">
      <c r="A3" t="s">
        <v>322</v>
      </c>
      <c r="B3" t="s">
        <v>2750</v>
      </c>
      <c r="C3" t="s">
        <v>2751</v>
      </c>
      <c r="D3" t="s">
        <v>2752</v>
      </c>
    </row>
    <row r="4" spans="1:4" x14ac:dyDescent="0.25">
      <c r="A4" t="s">
        <v>323</v>
      </c>
      <c r="B4" t="s">
        <v>2750</v>
      </c>
      <c r="C4" t="s">
        <v>2754</v>
      </c>
      <c r="D4" t="s">
        <v>2753</v>
      </c>
    </row>
    <row r="5" spans="1:4" x14ac:dyDescent="0.25">
      <c r="A5" t="s">
        <v>324</v>
      </c>
      <c r="B5" t="s">
        <v>2750</v>
      </c>
      <c r="C5" t="s">
        <v>2754</v>
      </c>
      <c r="D5" t="s">
        <v>2755</v>
      </c>
    </row>
    <row r="6" spans="1:4" x14ac:dyDescent="0.25">
      <c r="A6" t="s">
        <v>325</v>
      </c>
      <c r="B6" t="s">
        <v>2750</v>
      </c>
      <c r="C6" t="s">
        <v>2754</v>
      </c>
      <c r="D6" t="s">
        <v>2756</v>
      </c>
    </row>
    <row r="7" spans="1:4" x14ac:dyDescent="0.25">
      <c r="A7" t="s">
        <v>326</v>
      </c>
      <c r="B7" t="s">
        <v>2750</v>
      </c>
      <c r="C7" t="s">
        <v>2754</v>
      </c>
      <c r="D7" t="s">
        <v>2757</v>
      </c>
    </row>
    <row r="8" spans="1:4" x14ac:dyDescent="0.25">
      <c r="A8" t="s">
        <v>327</v>
      </c>
      <c r="B8" t="s">
        <v>2750</v>
      </c>
      <c r="C8" t="s">
        <v>2754</v>
      </c>
      <c r="D8" t="s">
        <v>2758</v>
      </c>
    </row>
    <row r="9" spans="1:4" x14ac:dyDescent="0.25">
      <c r="A9" t="s">
        <v>328</v>
      </c>
      <c r="B9" t="s">
        <v>2750</v>
      </c>
      <c r="C9" t="s">
        <v>2754</v>
      </c>
      <c r="D9" t="s">
        <v>2759</v>
      </c>
    </row>
    <row r="10" spans="1:4" x14ac:dyDescent="0.25">
      <c r="A10" t="s">
        <v>329</v>
      </c>
      <c r="B10" t="s">
        <v>2750</v>
      </c>
      <c r="C10" t="s">
        <v>2754</v>
      </c>
      <c r="D10" t="s">
        <v>2753</v>
      </c>
    </row>
    <row r="11" spans="1:4" x14ac:dyDescent="0.25">
      <c r="A11" t="s">
        <v>330</v>
      </c>
      <c r="B11" t="s">
        <v>2750</v>
      </c>
      <c r="C11" t="s">
        <v>2754</v>
      </c>
      <c r="D11" t="s">
        <v>2755</v>
      </c>
    </row>
    <row r="12" spans="1:4" x14ac:dyDescent="0.25">
      <c r="A12" t="s">
        <v>331</v>
      </c>
      <c r="B12" t="s">
        <v>2750</v>
      </c>
      <c r="C12" t="s">
        <v>2754</v>
      </c>
      <c r="D12" t="s">
        <v>2756</v>
      </c>
    </row>
    <row r="13" spans="1:4" x14ac:dyDescent="0.25">
      <c r="A13" t="s">
        <v>332</v>
      </c>
      <c r="B13" t="s">
        <v>2750</v>
      </c>
      <c r="C13" t="s">
        <v>2754</v>
      </c>
      <c r="D13" t="s">
        <v>2760</v>
      </c>
    </row>
    <row r="14" spans="1:4" x14ac:dyDescent="0.25">
      <c r="A14" t="s">
        <v>333</v>
      </c>
      <c r="B14" t="s">
        <v>2750</v>
      </c>
      <c r="C14" t="s">
        <v>2754</v>
      </c>
      <c r="D14" t="s">
        <v>2761</v>
      </c>
    </row>
    <row r="15" spans="1:4" x14ac:dyDescent="0.25">
      <c r="A15" t="s">
        <v>334</v>
      </c>
      <c r="B15" t="s">
        <v>2750</v>
      </c>
      <c r="C15" t="s">
        <v>2754</v>
      </c>
      <c r="D15" t="s">
        <v>2757</v>
      </c>
    </row>
    <row r="16" spans="1:4" x14ac:dyDescent="0.25">
      <c r="A16" t="s">
        <v>335</v>
      </c>
      <c r="B16" t="s">
        <v>2750</v>
      </c>
      <c r="C16" t="s">
        <v>2754</v>
      </c>
      <c r="D16" t="s">
        <v>2762</v>
      </c>
    </row>
    <row r="17" spans="1:4" x14ac:dyDescent="0.25">
      <c r="A17" t="s">
        <v>336</v>
      </c>
      <c r="B17" t="s">
        <v>2750</v>
      </c>
      <c r="C17" t="s">
        <v>2754</v>
      </c>
      <c r="D17" t="s">
        <v>2763</v>
      </c>
    </row>
    <row r="18" spans="1:4" x14ac:dyDescent="0.25">
      <c r="A18" t="s">
        <v>337</v>
      </c>
      <c r="B18" t="s">
        <v>2750</v>
      </c>
      <c r="C18" t="s">
        <v>2754</v>
      </c>
      <c r="D18" t="s">
        <v>2755</v>
      </c>
    </row>
    <row r="19" spans="1:4" x14ac:dyDescent="0.25">
      <c r="A19" t="s">
        <v>338</v>
      </c>
      <c r="B19" t="s">
        <v>2750</v>
      </c>
      <c r="C19" t="s">
        <v>2754</v>
      </c>
      <c r="D19" t="s">
        <v>2764</v>
      </c>
    </row>
    <row r="20" spans="1:4" x14ac:dyDescent="0.25">
      <c r="A20" t="s">
        <v>339</v>
      </c>
      <c r="B20" t="s">
        <v>2750</v>
      </c>
      <c r="C20" t="s">
        <v>2754</v>
      </c>
      <c r="D20" t="s">
        <v>2765</v>
      </c>
    </row>
    <row r="21" spans="1:4" x14ac:dyDescent="0.25">
      <c r="A21" t="s">
        <v>340</v>
      </c>
      <c r="B21" t="s">
        <v>2750</v>
      </c>
      <c r="C21" t="s">
        <v>2754</v>
      </c>
    </row>
    <row r="22" spans="1:4" x14ac:dyDescent="0.25">
      <c r="A22" t="s">
        <v>341</v>
      </c>
      <c r="B22" t="s">
        <v>2750</v>
      </c>
      <c r="C22" t="s">
        <v>2754</v>
      </c>
      <c r="D22" t="s">
        <v>2758</v>
      </c>
    </row>
    <row r="23" spans="1:4" x14ac:dyDescent="0.25">
      <c r="A23" t="s">
        <v>342</v>
      </c>
      <c r="B23" t="s">
        <v>2750</v>
      </c>
      <c r="C23" t="s">
        <v>2754</v>
      </c>
      <c r="D23" t="s">
        <v>2766</v>
      </c>
    </row>
    <row r="24" spans="1:4" x14ac:dyDescent="0.25">
      <c r="A24" t="s">
        <v>343</v>
      </c>
      <c r="B24" t="s">
        <v>2750</v>
      </c>
      <c r="C24" t="s">
        <v>2754</v>
      </c>
      <c r="D24" t="s">
        <v>2767</v>
      </c>
    </row>
    <row r="25" spans="1:4" x14ac:dyDescent="0.25">
      <c r="A25" t="s">
        <v>344</v>
      </c>
      <c r="B25" t="s">
        <v>2750</v>
      </c>
      <c r="C25" t="s">
        <v>2754</v>
      </c>
      <c r="D25" t="s">
        <v>2768</v>
      </c>
    </row>
    <row r="26" spans="1:4" x14ac:dyDescent="0.25">
      <c r="A26" t="s">
        <v>345</v>
      </c>
      <c r="B26" t="s">
        <v>2750</v>
      </c>
      <c r="C26" t="s">
        <v>2754</v>
      </c>
      <c r="D26" t="s">
        <v>2769</v>
      </c>
    </row>
    <row r="27" spans="1:4" x14ac:dyDescent="0.25">
      <c r="A27" t="s">
        <v>346</v>
      </c>
      <c r="B27" t="s">
        <v>2750</v>
      </c>
      <c r="C27" t="s">
        <v>2754</v>
      </c>
      <c r="D27" t="s">
        <v>2770</v>
      </c>
    </row>
    <row r="28" spans="1:4" x14ac:dyDescent="0.25">
      <c r="A28" t="s">
        <v>347</v>
      </c>
      <c r="B28" t="s">
        <v>2750</v>
      </c>
      <c r="C28" t="s">
        <v>2754</v>
      </c>
      <c r="D28" t="s">
        <v>2770</v>
      </c>
    </row>
    <row r="29" spans="1:4" x14ac:dyDescent="0.25">
      <c r="A29" t="s">
        <v>348</v>
      </c>
      <c r="B29" t="s">
        <v>2750</v>
      </c>
      <c r="C29" t="s">
        <v>2754</v>
      </c>
      <c r="D29" t="s">
        <v>2764</v>
      </c>
    </row>
    <row r="30" spans="1:4" x14ac:dyDescent="0.25">
      <c r="A30" t="s">
        <v>349</v>
      </c>
      <c r="B30" t="s">
        <v>2750</v>
      </c>
      <c r="C30" t="s">
        <v>2771</v>
      </c>
      <c r="D30" t="s">
        <v>2772</v>
      </c>
    </row>
    <row r="31" spans="1:4" x14ac:dyDescent="0.25">
      <c r="A31" t="s">
        <v>350</v>
      </c>
      <c r="B31" t="s">
        <v>2750</v>
      </c>
      <c r="C31" t="s">
        <v>2771</v>
      </c>
      <c r="D31" t="s">
        <v>2773</v>
      </c>
    </row>
    <row r="32" spans="1:4" x14ac:dyDescent="0.25">
      <c r="A32" t="s">
        <v>351</v>
      </c>
      <c r="B32" t="s">
        <v>2750</v>
      </c>
      <c r="C32" t="s">
        <v>2771</v>
      </c>
      <c r="D32" t="s">
        <v>2774</v>
      </c>
    </row>
    <row r="33" spans="1:4" x14ac:dyDescent="0.25">
      <c r="A33" t="s">
        <v>352</v>
      </c>
      <c r="B33" t="s">
        <v>2750</v>
      </c>
      <c r="C33" t="s">
        <v>2771</v>
      </c>
      <c r="D33" t="s">
        <v>2773</v>
      </c>
    </row>
    <row r="34" spans="1:4" x14ac:dyDescent="0.25">
      <c r="A34" t="s">
        <v>353</v>
      </c>
      <c r="B34" t="s">
        <v>2750</v>
      </c>
      <c r="C34" t="s">
        <v>2775</v>
      </c>
      <c r="D34" t="s">
        <v>2776</v>
      </c>
    </row>
    <row r="35" spans="1:4" x14ac:dyDescent="0.25">
      <c r="A35" t="s">
        <v>354</v>
      </c>
      <c r="B35" t="s">
        <v>2750</v>
      </c>
      <c r="C35" t="s">
        <v>2775</v>
      </c>
      <c r="D35" t="s">
        <v>2777</v>
      </c>
    </row>
    <row r="36" spans="1:4" x14ac:dyDescent="0.25">
      <c r="A36" t="s">
        <v>355</v>
      </c>
      <c r="B36" t="s">
        <v>2750</v>
      </c>
      <c r="C36" t="s">
        <v>2775</v>
      </c>
      <c r="D36" t="s">
        <v>2778</v>
      </c>
    </row>
    <row r="37" spans="1:4" x14ac:dyDescent="0.25">
      <c r="A37" t="s">
        <v>356</v>
      </c>
      <c r="B37" t="s">
        <v>2750</v>
      </c>
      <c r="C37" t="s">
        <v>2775</v>
      </c>
      <c r="D37" t="s">
        <v>2779</v>
      </c>
    </row>
    <row r="38" spans="1:4" x14ac:dyDescent="0.25">
      <c r="A38" t="s">
        <v>357</v>
      </c>
      <c r="B38" t="s">
        <v>2750</v>
      </c>
      <c r="C38" t="s">
        <v>2775</v>
      </c>
      <c r="D38" t="s">
        <v>2780</v>
      </c>
    </row>
    <row r="39" spans="1:4" x14ac:dyDescent="0.25">
      <c r="A39" t="s">
        <v>358</v>
      </c>
      <c r="B39" t="s">
        <v>2750</v>
      </c>
      <c r="C39" t="s">
        <v>2775</v>
      </c>
      <c r="D39" t="s">
        <v>2781</v>
      </c>
    </row>
    <row r="40" spans="1:4" x14ac:dyDescent="0.25">
      <c r="A40" t="s">
        <v>359</v>
      </c>
      <c r="B40" t="s">
        <v>2750</v>
      </c>
      <c r="C40" t="s">
        <v>2775</v>
      </c>
      <c r="D40" t="s">
        <v>2781</v>
      </c>
    </row>
    <row r="41" spans="1:4" x14ac:dyDescent="0.25">
      <c r="A41" t="s">
        <v>360</v>
      </c>
      <c r="B41" t="s">
        <v>2750</v>
      </c>
      <c r="C41" t="s">
        <v>2775</v>
      </c>
      <c r="D41" t="s">
        <v>2782</v>
      </c>
    </row>
    <row r="42" spans="1:4" x14ac:dyDescent="0.25">
      <c r="A42" t="s">
        <v>361</v>
      </c>
      <c r="B42" t="s">
        <v>2750</v>
      </c>
      <c r="C42" t="s">
        <v>2775</v>
      </c>
      <c r="D42" t="s">
        <v>2783</v>
      </c>
    </row>
    <row r="43" spans="1:4" x14ac:dyDescent="0.25">
      <c r="A43" t="s">
        <v>362</v>
      </c>
      <c r="B43" t="s">
        <v>2750</v>
      </c>
      <c r="C43" t="s">
        <v>2775</v>
      </c>
      <c r="D43" t="s">
        <v>2784</v>
      </c>
    </row>
    <row r="44" spans="1:4" x14ac:dyDescent="0.25">
      <c r="A44" t="s">
        <v>363</v>
      </c>
      <c r="B44" t="s">
        <v>2750</v>
      </c>
      <c r="C44" t="s">
        <v>2775</v>
      </c>
      <c r="D44" t="s">
        <v>2785</v>
      </c>
    </row>
    <row r="45" spans="1:4" x14ac:dyDescent="0.25">
      <c r="A45" t="s">
        <v>364</v>
      </c>
      <c r="B45" t="s">
        <v>2750</v>
      </c>
      <c r="C45" t="s">
        <v>2775</v>
      </c>
      <c r="D45" t="s">
        <v>2784</v>
      </c>
    </row>
    <row r="46" spans="1:4" x14ac:dyDescent="0.25">
      <c r="A46" t="s">
        <v>365</v>
      </c>
      <c r="B46" t="s">
        <v>2750</v>
      </c>
      <c r="C46" t="s">
        <v>2775</v>
      </c>
      <c r="D46" t="s">
        <v>2786</v>
      </c>
    </row>
    <row r="47" spans="1:4" x14ac:dyDescent="0.25">
      <c r="A47" t="s">
        <v>366</v>
      </c>
      <c r="B47" t="s">
        <v>2750</v>
      </c>
      <c r="C47" t="s">
        <v>2775</v>
      </c>
      <c r="D47" t="s">
        <v>2786</v>
      </c>
    </row>
    <row r="48" spans="1:4" x14ac:dyDescent="0.25">
      <c r="A48" t="s">
        <v>367</v>
      </c>
      <c r="B48" t="s">
        <v>2750</v>
      </c>
      <c r="C48" t="s">
        <v>2787</v>
      </c>
      <c r="D48" t="s">
        <v>2788</v>
      </c>
    </row>
    <row r="49" spans="1:4" x14ac:dyDescent="0.25">
      <c r="A49" t="s">
        <v>368</v>
      </c>
      <c r="B49" t="s">
        <v>2750</v>
      </c>
      <c r="C49" t="s">
        <v>2787</v>
      </c>
      <c r="D49" t="s">
        <v>2789</v>
      </c>
    </row>
    <row r="50" spans="1:4" x14ac:dyDescent="0.25">
      <c r="A50" t="s">
        <v>369</v>
      </c>
      <c r="B50" t="s">
        <v>2750</v>
      </c>
      <c r="C50" t="s">
        <v>2787</v>
      </c>
      <c r="D50" t="s">
        <v>2789</v>
      </c>
    </row>
    <row r="51" spans="1:4" x14ac:dyDescent="0.25">
      <c r="A51" t="s">
        <v>370</v>
      </c>
      <c r="B51" t="s">
        <v>2750</v>
      </c>
      <c r="C51" t="s">
        <v>2787</v>
      </c>
      <c r="D51" t="s">
        <v>2789</v>
      </c>
    </row>
    <row r="52" spans="1:4" x14ac:dyDescent="0.25">
      <c r="A52" t="s">
        <v>371</v>
      </c>
      <c r="B52" t="s">
        <v>2750</v>
      </c>
      <c r="C52" t="s">
        <v>2787</v>
      </c>
      <c r="D52" t="s">
        <v>2789</v>
      </c>
    </row>
    <row r="53" spans="1:4" x14ac:dyDescent="0.25">
      <c r="A53" t="s">
        <v>372</v>
      </c>
      <c r="B53" t="s">
        <v>2750</v>
      </c>
      <c r="C53" t="s">
        <v>2787</v>
      </c>
      <c r="D53" t="s">
        <v>2790</v>
      </c>
    </row>
    <row r="54" spans="1:4" x14ac:dyDescent="0.25">
      <c r="A54" t="s">
        <v>373</v>
      </c>
      <c r="B54" t="s">
        <v>2750</v>
      </c>
      <c r="C54" t="s">
        <v>2787</v>
      </c>
      <c r="D54" t="s">
        <v>2791</v>
      </c>
    </row>
    <row r="55" spans="1:4" x14ac:dyDescent="0.25">
      <c r="A55" t="s">
        <v>374</v>
      </c>
      <c r="B55" t="s">
        <v>2750</v>
      </c>
      <c r="C55" t="s">
        <v>2787</v>
      </c>
      <c r="D55" t="s">
        <v>2792</v>
      </c>
    </row>
    <row r="56" spans="1:4" x14ac:dyDescent="0.25">
      <c r="A56" t="s">
        <v>375</v>
      </c>
      <c r="B56" t="s">
        <v>2750</v>
      </c>
      <c r="C56" t="s">
        <v>2787</v>
      </c>
      <c r="D56" t="s">
        <v>2793</v>
      </c>
    </row>
    <row r="57" spans="1:4" x14ac:dyDescent="0.25">
      <c r="A57" t="s">
        <v>1403</v>
      </c>
      <c r="B57" t="s">
        <v>2750</v>
      </c>
      <c r="C57" t="s">
        <v>2794</v>
      </c>
      <c r="D57" t="s">
        <v>2795</v>
      </c>
    </row>
    <row r="58" spans="1:4" x14ac:dyDescent="0.25">
      <c r="A58" t="s">
        <v>1405</v>
      </c>
      <c r="B58" t="s">
        <v>2750</v>
      </c>
      <c r="C58" t="s">
        <v>2796</v>
      </c>
      <c r="D58" t="s">
        <v>2788</v>
      </c>
    </row>
    <row r="59" spans="1:4" x14ac:dyDescent="0.25">
      <c r="A59" t="s">
        <v>1407</v>
      </c>
      <c r="B59" t="s">
        <v>2750</v>
      </c>
      <c r="C59" t="s">
        <v>2797</v>
      </c>
      <c r="D59" t="s">
        <v>2788</v>
      </c>
    </row>
    <row r="60" spans="1:4" x14ac:dyDescent="0.25">
      <c r="A60" t="s">
        <v>1409</v>
      </c>
      <c r="B60" t="s">
        <v>2750</v>
      </c>
      <c r="C60" t="s">
        <v>2798</v>
      </c>
      <c r="D60" t="s">
        <v>2788</v>
      </c>
    </row>
    <row r="61" spans="1:4" x14ac:dyDescent="0.25">
      <c r="A61" t="s">
        <v>1411</v>
      </c>
      <c r="B61" t="s">
        <v>2750</v>
      </c>
      <c r="C61" t="s">
        <v>2796</v>
      </c>
      <c r="D61" t="s">
        <v>2799</v>
      </c>
    </row>
    <row r="62" spans="1:4" x14ac:dyDescent="0.25">
      <c r="A62" t="s">
        <v>1413</v>
      </c>
      <c r="B62" t="s">
        <v>2750</v>
      </c>
      <c r="C62" t="s">
        <v>2797</v>
      </c>
      <c r="D62" t="s">
        <v>2799</v>
      </c>
    </row>
    <row r="63" spans="1:4" x14ac:dyDescent="0.25">
      <c r="A63" t="s">
        <v>1415</v>
      </c>
      <c r="B63" t="s">
        <v>2750</v>
      </c>
      <c r="C63" t="s">
        <v>2797</v>
      </c>
      <c r="D63" t="s">
        <v>2799</v>
      </c>
    </row>
    <row r="64" spans="1:4" x14ac:dyDescent="0.25">
      <c r="A64" t="s">
        <v>1417</v>
      </c>
      <c r="B64" t="s">
        <v>2750</v>
      </c>
      <c r="C64" t="s">
        <v>2797</v>
      </c>
      <c r="D64" t="s">
        <v>2799</v>
      </c>
    </row>
    <row r="65" spans="1:4" x14ac:dyDescent="0.25">
      <c r="A65" t="s">
        <v>1419</v>
      </c>
      <c r="B65" t="s">
        <v>2750</v>
      </c>
      <c r="C65" t="s">
        <v>2798</v>
      </c>
      <c r="D65" t="s">
        <v>2799</v>
      </c>
    </row>
    <row r="66" spans="1:4" x14ac:dyDescent="0.25">
      <c r="A66" t="s">
        <v>1421</v>
      </c>
      <c r="B66" t="s">
        <v>2750</v>
      </c>
      <c r="C66" t="s">
        <v>2796</v>
      </c>
      <c r="D66" t="s">
        <v>2799</v>
      </c>
    </row>
    <row r="67" spans="1:4" x14ac:dyDescent="0.25">
      <c r="A67" t="s">
        <v>1423</v>
      </c>
      <c r="B67" t="s">
        <v>2750</v>
      </c>
      <c r="C67" t="s">
        <v>2797</v>
      </c>
      <c r="D67" t="s">
        <v>2799</v>
      </c>
    </row>
    <row r="68" spans="1:4" x14ac:dyDescent="0.25">
      <c r="A68" t="s">
        <v>1425</v>
      </c>
      <c r="B68" t="s">
        <v>2750</v>
      </c>
      <c r="C68" t="s">
        <v>2798</v>
      </c>
      <c r="D68" t="s">
        <v>2799</v>
      </c>
    </row>
    <row r="69" spans="1:4" x14ac:dyDescent="0.25">
      <c r="A69" t="s">
        <v>1427</v>
      </c>
      <c r="B69" t="s">
        <v>2750</v>
      </c>
      <c r="C69" t="s">
        <v>2796</v>
      </c>
      <c r="D69" t="s">
        <v>2799</v>
      </c>
    </row>
    <row r="70" spans="1:4" x14ac:dyDescent="0.25">
      <c r="A70" t="s">
        <v>1429</v>
      </c>
      <c r="B70" t="s">
        <v>2750</v>
      </c>
      <c r="C70" t="s">
        <v>2797</v>
      </c>
      <c r="D70" t="s">
        <v>2799</v>
      </c>
    </row>
    <row r="71" spans="1:4" x14ac:dyDescent="0.25">
      <c r="A71" t="s">
        <v>1431</v>
      </c>
      <c r="B71" t="s">
        <v>2750</v>
      </c>
      <c r="C71" t="s">
        <v>2798</v>
      </c>
      <c r="D71" t="s">
        <v>2799</v>
      </c>
    </row>
    <row r="72" spans="1:4" x14ac:dyDescent="0.25">
      <c r="A72" t="s">
        <v>1433</v>
      </c>
      <c r="B72" t="s">
        <v>2750</v>
      </c>
      <c r="C72" t="s">
        <v>2796</v>
      </c>
      <c r="D72" t="s">
        <v>2799</v>
      </c>
    </row>
    <row r="73" spans="1:4" x14ac:dyDescent="0.25">
      <c r="A73" t="s">
        <v>1435</v>
      </c>
      <c r="B73" t="s">
        <v>2750</v>
      </c>
      <c r="C73" t="s">
        <v>2797</v>
      </c>
      <c r="D73" t="s">
        <v>2799</v>
      </c>
    </row>
    <row r="74" spans="1:4" x14ac:dyDescent="0.25">
      <c r="A74" t="s">
        <v>1437</v>
      </c>
      <c r="B74" t="s">
        <v>2750</v>
      </c>
      <c r="C74" t="s">
        <v>2798</v>
      </c>
      <c r="D74" t="s">
        <v>2799</v>
      </c>
    </row>
    <row r="75" spans="1:4" x14ac:dyDescent="0.25">
      <c r="A75" t="s">
        <v>1439</v>
      </c>
      <c r="B75" t="s">
        <v>2750</v>
      </c>
      <c r="C75" t="s">
        <v>2796</v>
      </c>
      <c r="D75" t="s">
        <v>2799</v>
      </c>
    </row>
    <row r="76" spans="1:4" x14ac:dyDescent="0.25">
      <c r="A76" t="s">
        <v>1441</v>
      </c>
      <c r="B76" t="s">
        <v>2750</v>
      </c>
      <c r="C76" t="s">
        <v>2797</v>
      </c>
      <c r="D76" t="s">
        <v>2799</v>
      </c>
    </row>
    <row r="77" spans="1:4" x14ac:dyDescent="0.25">
      <c r="A77" t="s">
        <v>1443</v>
      </c>
      <c r="B77" t="s">
        <v>2750</v>
      </c>
      <c r="C77" t="s">
        <v>2798</v>
      </c>
      <c r="D77" t="s">
        <v>2799</v>
      </c>
    </row>
    <row r="78" spans="1:4" x14ac:dyDescent="0.25">
      <c r="A78" t="s">
        <v>1445</v>
      </c>
      <c r="B78" t="s">
        <v>2750</v>
      </c>
      <c r="C78" t="s">
        <v>2796</v>
      </c>
      <c r="D78" t="s">
        <v>2799</v>
      </c>
    </row>
    <row r="79" spans="1:4" x14ac:dyDescent="0.25">
      <c r="A79" t="s">
        <v>1447</v>
      </c>
      <c r="B79" t="s">
        <v>2750</v>
      </c>
      <c r="C79" t="s">
        <v>2797</v>
      </c>
      <c r="D79" t="s">
        <v>2799</v>
      </c>
    </row>
    <row r="80" spans="1:4" x14ac:dyDescent="0.25">
      <c r="A80" t="s">
        <v>1449</v>
      </c>
      <c r="B80" t="s">
        <v>2750</v>
      </c>
      <c r="C80" t="s">
        <v>2798</v>
      </c>
      <c r="D80" t="s">
        <v>2799</v>
      </c>
    </row>
    <row r="81" spans="1:4" x14ac:dyDescent="0.25">
      <c r="A81" t="s">
        <v>1451</v>
      </c>
      <c r="B81" t="s">
        <v>2750</v>
      </c>
      <c r="C81" t="s">
        <v>2796</v>
      </c>
      <c r="D81" t="s">
        <v>2799</v>
      </c>
    </row>
    <row r="82" spans="1:4" x14ac:dyDescent="0.25">
      <c r="A82" t="s">
        <v>1453</v>
      </c>
      <c r="B82" t="s">
        <v>2750</v>
      </c>
      <c r="C82" t="s">
        <v>2797</v>
      </c>
      <c r="D82" t="s">
        <v>2799</v>
      </c>
    </row>
    <row r="83" spans="1:4" x14ac:dyDescent="0.25">
      <c r="A83" t="s">
        <v>1455</v>
      </c>
      <c r="B83" t="s">
        <v>2750</v>
      </c>
      <c r="C83" t="s">
        <v>2798</v>
      </c>
      <c r="D83" t="s">
        <v>2799</v>
      </c>
    </row>
    <row r="84" spans="1:4" x14ac:dyDescent="0.25">
      <c r="A84" t="s">
        <v>1457</v>
      </c>
      <c r="B84" t="s">
        <v>2750</v>
      </c>
      <c r="C84" t="s">
        <v>2796</v>
      </c>
      <c r="D84" t="s">
        <v>2799</v>
      </c>
    </row>
    <row r="85" spans="1:4" x14ac:dyDescent="0.25">
      <c r="A85" t="s">
        <v>376</v>
      </c>
      <c r="B85" t="s">
        <v>2750</v>
      </c>
      <c r="C85" t="s">
        <v>2800</v>
      </c>
      <c r="D85" t="s">
        <v>2799</v>
      </c>
    </row>
    <row r="86" spans="1:4" x14ac:dyDescent="0.25">
      <c r="A86" t="s">
        <v>1459</v>
      </c>
      <c r="B86" t="s">
        <v>2750</v>
      </c>
      <c r="C86" t="s">
        <v>2801</v>
      </c>
      <c r="D86" t="s">
        <v>2802</v>
      </c>
    </row>
    <row r="87" spans="1:4" x14ac:dyDescent="0.25">
      <c r="A87" t="s">
        <v>1461</v>
      </c>
      <c r="B87" t="s">
        <v>2750</v>
      </c>
      <c r="C87" t="s">
        <v>2803</v>
      </c>
      <c r="D87" t="s">
        <v>2794</v>
      </c>
    </row>
    <row r="88" spans="1:4" x14ac:dyDescent="0.25">
      <c r="A88" t="s">
        <v>1463</v>
      </c>
      <c r="B88" t="s">
        <v>2750</v>
      </c>
      <c r="C88" t="s">
        <v>2803</v>
      </c>
      <c r="D88" t="s">
        <v>2804</v>
      </c>
    </row>
    <row r="89" spans="1:4" x14ac:dyDescent="0.25">
      <c r="A89" t="s">
        <v>379</v>
      </c>
      <c r="B89" t="s">
        <v>2805</v>
      </c>
      <c r="C89" t="s">
        <v>2751</v>
      </c>
      <c r="D89" t="s">
        <v>2806</v>
      </c>
    </row>
    <row r="90" spans="1:4" x14ac:dyDescent="0.25">
      <c r="A90" t="s">
        <v>380</v>
      </c>
      <c r="B90" t="s">
        <v>2805</v>
      </c>
      <c r="C90" t="s">
        <v>2754</v>
      </c>
      <c r="D90" t="s">
        <v>2753</v>
      </c>
    </row>
    <row r="91" spans="1:4" x14ac:dyDescent="0.25">
      <c r="A91" t="s">
        <v>381</v>
      </c>
      <c r="B91" t="s">
        <v>2805</v>
      </c>
      <c r="C91" t="s">
        <v>2754</v>
      </c>
      <c r="D91" t="s">
        <v>2755</v>
      </c>
    </row>
    <row r="92" spans="1:4" x14ac:dyDescent="0.25">
      <c r="A92" t="s">
        <v>382</v>
      </c>
      <c r="B92" t="s">
        <v>2805</v>
      </c>
      <c r="C92" t="s">
        <v>2754</v>
      </c>
      <c r="D92" t="s">
        <v>2756</v>
      </c>
    </row>
    <row r="93" spans="1:4" x14ac:dyDescent="0.25">
      <c r="A93" t="s">
        <v>383</v>
      </c>
      <c r="B93" t="s">
        <v>2805</v>
      </c>
      <c r="C93" t="s">
        <v>2754</v>
      </c>
      <c r="D93" t="s">
        <v>2760</v>
      </c>
    </row>
    <row r="94" spans="1:4" x14ac:dyDescent="0.25">
      <c r="A94" t="s">
        <v>384</v>
      </c>
      <c r="B94" t="s">
        <v>2805</v>
      </c>
      <c r="C94" t="s">
        <v>2754</v>
      </c>
      <c r="D94" t="s">
        <v>2761</v>
      </c>
    </row>
    <row r="95" spans="1:4" x14ac:dyDescent="0.25">
      <c r="A95" t="s">
        <v>385</v>
      </c>
      <c r="B95" t="s">
        <v>2805</v>
      </c>
      <c r="C95" t="s">
        <v>2754</v>
      </c>
      <c r="D95" t="s">
        <v>2757</v>
      </c>
    </row>
    <row r="96" spans="1:4" x14ac:dyDescent="0.25">
      <c r="A96" t="s">
        <v>386</v>
      </c>
      <c r="B96" t="s">
        <v>2805</v>
      </c>
      <c r="C96" t="s">
        <v>2754</v>
      </c>
      <c r="D96" t="s">
        <v>2762</v>
      </c>
    </row>
    <row r="97" spans="1:4" x14ac:dyDescent="0.25">
      <c r="A97" t="s">
        <v>387</v>
      </c>
      <c r="B97" t="s">
        <v>2805</v>
      </c>
      <c r="C97" t="s">
        <v>2754</v>
      </c>
      <c r="D97" t="s">
        <v>2763</v>
      </c>
    </row>
    <row r="98" spans="1:4" x14ac:dyDescent="0.25">
      <c r="A98" t="s">
        <v>388</v>
      </c>
      <c r="B98" t="s">
        <v>2805</v>
      </c>
      <c r="C98" t="s">
        <v>2754</v>
      </c>
      <c r="D98" t="s">
        <v>2755</v>
      </c>
    </row>
    <row r="99" spans="1:4" x14ac:dyDescent="0.25">
      <c r="A99" t="s">
        <v>389</v>
      </c>
      <c r="B99" t="s">
        <v>2805</v>
      </c>
      <c r="C99" t="s">
        <v>2754</v>
      </c>
      <c r="D99" t="s">
        <v>2758</v>
      </c>
    </row>
    <row r="100" spans="1:4" x14ac:dyDescent="0.25">
      <c r="A100" t="s">
        <v>390</v>
      </c>
      <c r="B100" t="s">
        <v>2805</v>
      </c>
      <c r="C100" t="s">
        <v>2754</v>
      </c>
      <c r="D100" t="s">
        <v>2766</v>
      </c>
    </row>
    <row r="101" spans="1:4" x14ac:dyDescent="0.25">
      <c r="A101" t="s">
        <v>391</v>
      </c>
      <c r="B101" t="s">
        <v>2805</v>
      </c>
      <c r="C101" t="s">
        <v>2754</v>
      </c>
      <c r="D101" t="s">
        <v>2767</v>
      </c>
    </row>
    <row r="102" spans="1:4" x14ac:dyDescent="0.25">
      <c r="A102" t="s">
        <v>392</v>
      </c>
      <c r="B102" t="s">
        <v>2805</v>
      </c>
      <c r="C102" t="s">
        <v>2754</v>
      </c>
      <c r="D102" t="s">
        <v>2768</v>
      </c>
    </row>
    <row r="103" spans="1:4" x14ac:dyDescent="0.25">
      <c r="A103" t="s">
        <v>393</v>
      </c>
      <c r="B103" t="s">
        <v>2805</v>
      </c>
      <c r="C103" t="s">
        <v>2754</v>
      </c>
      <c r="D103" t="s">
        <v>2769</v>
      </c>
    </row>
    <row r="104" spans="1:4" x14ac:dyDescent="0.25">
      <c r="A104" t="s">
        <v>394</v>
      </c>
      <c r="B104" t="s">
        <v>2805</v>
      </c>
      <c r="C104" t="s">
        <v>2754</v>
      </c>
      <c r="D104" t="s">
        <v>2770</v>
      </c>
    </row>
    <row r="105" spans="1:4" x14ac:dyDescent="0.25">
      <c r="A105" t="s">
        <v>395</v>
      </c>
      <c r="B105" t="s">
        <v>2805</v>
      </c>
      <c r="C105" t="s">
        <v>2754</v>
      </c>
      <c r="D105" t="s">
        <v>2770</v>
      </c>
    </row>
    <row r="106" spans="1:4" x14ac:dyDescent="0.25">
      <c r="A106" t="s">
        <v>396</v>
      </c>
      <c r="B106" t="s">
        <v>2805</v>
      </c>
      <c r="C106" t="s">
        <v>2754</v>
      </c>
      <c r="D106" t="s">
        <v>2764</v>
      </c>
    </row>
    <row r="107" spans="1:4" x14ac:dyDescent="0.25">
      <c r="A107" t="s">
        <v>397</v>
      </c>
      <c r="B107" t="s">
        <v>2805</v>
      </c>
      <c r="C107" t="s">
        <v>2771</v>
      </c>
      <c r="D107" t="s">
        <v>2772</v>
      </c>
    </row>
    <row r="108" spans="1:4" x14ac:dyDescent="0.25">
      <c r="A108" t="s">
        <v>398</v>
      </c>
      <c r="B108" t="s">
        <v>2805</v>
      </c>
      <c r="C108" t="s">
        <v>2771</v>
      </c>
      <c r="D108" t="s">
        <v>2772</v>
      </c>
    </row>
    <row r="109" spans="1:4" x14ac:dyDescent="0.25">
      <c r="A109" t="s">
        <v>399</v>
      </c>
      <c r="B109" t="s">
        <v>2805</v>
      </c>
      <c r="C109" t="s">
        <v>2771</v>
      </c>
      <c r="D109" t="s">
        <v>2807</v>
      </c>
    </row>
    <row r="110" spans="1:4" x14ac:dyDescent="0.25">
      <c r="A110" t="s">
        <v>400</v>
      </c>
      <c r="B110" t="s">
        <v>2805</v>
      </c>
      <c r="C110" t="s">
        <v>2771</v>
      </c>
      <c r="D110" t="s">
        <v>2808</v>
      </c>
    </row>
    <row r="111" spans="1:4" x14ac:dyDescent="0.25">
      <c r="A111" t="s">
        <v>401</v>
      </c>
      <c r="B111" t="s">
        <v>2805</v>
      </c>
      <c r="C111" t="s">
        <v>2771</v>
      </c>
      <c r="D111" t="s">
        <v>2808</v>
      </c>
    </row>
    <row r="112" spans="1:4" x14ac:dyDescent="0.25">
      <c r="A112" t="s">
        <v>402</v>
      </c>
      <c r="B112" t="s">
        <v>2805</v>
      </c>
      <c r="C112" t="s">
        <v>2775</v>
      </c>
      <c r="D112" t="s">
        <v>2781</v>
      </c>
    </row>
    <row r="113" spans="1:4" x14ac:dyDescent="0.25">
      <c r="A113" t="s">
        <v>403</v>
      </c>
      <c r="B113" t="s">
        <v>2805</v>
      </c>
      <c r="C113" t="s">
        <v>2775</v>
      </c>
      <c r="D113" t="s">
        <v>2809</v>
      </c>
    </row>
    <row r="114" spans="1:4" x14ac:dyDescent="0.25">
      <c r="A114" t="s">
        <v>404</v>
      </c>
      <c r="B114" t="s">
        <v>2805</v>
      </c>
      <c r="C114" t="s">
        <v>2775</v>
      </c>
      <c r="D114" t="s">
        <v>2810</v>
      </c>
    </row>
    <row r="115" spans="1:4" x14ac:dyDescent="0.25">
      <c r="A115" t="s">
        <v>405</v>
      </c>
      <c r="B115" t="s">
        <v>2805</v>
      </c>
      <c r="C115" t="s">
        <v>2775</v>
      </c>
      <c r="D115" t="s">
        <v>2810</v>
      </c>
    </row>
    <row r="116" spans="1:4" x14ac:dyDescent="0.25">
      <c r="A116" t="s">
        <v>406</v>
      </c>
      <c r="B116" t="s">
        <v>2805</v>
      </c>
      <c r="C116" t="s">
        <v>2775</v>
      </c>
      <c r="D116" t="s">
        <v>2811</v>
      </c>
    </row>
    <row r="117" spans="1:4" x14ac:dyDescent="0.25">
      <c r="A117" t="s">
        <v>407</v>
      </c>
      <c r="B117" t="s">
        <v>2805</v>
      </c>
      <c r="C117" t="s">
        <v>2775</v>
      </c>
      <c r="D117" t="s">
        <v>2812</v>
      </c>
    </row>
    <row r="118" spans="1:4" x14ac:dyDescent="0.25">
      <c r="A118" t="s">
        <v>408</v>
      </c>
      <c r="B118" t="s">
        <v>2805</v>
      </c>
      <c r="C118" t="s">
        <v>2775</v>
      </c>
      <c r="D118" t="s">
        <v>2813</v>
      </c>
    </row>
    <row r="119" spans="1:4" x14ac:dyDescent="0.25">
      <c r="A119" t="s">
        <v>409</v>
      </c>
      <c r="B119" t="s">
        <v>2805</v>
      </c>
      <c r="C119" t="s">
        <v>2775</v>
      </c>
      <c r="D119" t="s">
        <v>2780</v>
      </c>
    </row>
    <row r="120" spans="1:4" x14ac:dyDescent="0.25">
      <c r="A120" t="s">
        <v>410</v>
      </c>
      <c r="B120" t="s">
        <v>2805</v>
      </c>
      <c r="C120" t="s">
        <v>2775</v>
      </c>
      <c r="D120" t="s">
        <v>2781</v>
      </c>
    </row>
    <row r="121" spans="1:4" x14ac:dyDescent="0.25">
      <c r="A121" t="s">
        <v>411</v>
      </c>
      <c r="B121" t="s">
        <v>2805</v>
      </c>
      <c r="C121" t="s">
        <v>2775</v>
      </c>
      <c r="D121" t="s">
        <v>2781</v>
      </c>
    </row>
    <row r="122" spans="1:4" x14ac:dyDescent="0.25">
      <c r="A122" t="s">
        <v>412</v>
      </c>
      <c r="B122" t="s">
        <v>2805</v>
      </c>
      <c r="C122" t="s">
        <v>2775</v>
      </c>
      <c r="D122" t="s">
        <v>2781</v>
      </c>
    </row>
    <row r="123" spans="1:4" x14ac:dyDescent="0.25">
      <c r="A123" t="s">
        <v>413</v>
      </c>
      <c r="B123" t="s">
        <v>2805</v>
      </c>
      <c r="C123" t="s">
        <v>2775</v>
      </c>
      <c r="D123" t="s">
        <v>2781</v>
      </c>
    </row>
    <row r="124" spans="1:4" x14ac:dyDescent="0.25">
      <c r="A124" t="s">
        <v>414</v>
      </c>
      <c r="B124" t="s">
        <v>2805</v>
      </c>
      <c r="C124" t="s">
        <v>2787</v>
      </c>
      <c r="D124" t="s">
        <v>2789</v>
      </c>
    </row>
    <row r="125" spans="1:4" x14ac:dyDescent="0.25">
      <c r="A125" t="s">
        <v>415</v>
      </c>
      <c r="B125" t="s">
        <v>2805</v>
      </c>
      <c r="C125" t="s">
        <v>2787</v>
      </c>
      <c r="D125" t="s">
        <v>2789</v>
      </c>
    </row>
    <row r="126" spans="1:4" x14ac:dyDescent="0.25">
      <c r="A126" t="s">
        <v>1465</v>
      </c>
      <c r="B126" t="s">
        <v>2805</v>
      </c>
      <c r="C126" t="s">
        <v>2794</v>
      </c>
      <c r="D126" t="s">
        <v>2795</v>
      </c>
    </row>
    <row r="127" spans="1:4" x14ac:dyDescent="0.25">
      <c r="A127" t="s">
        <v>1466</v>
      </c>
      <c r="B127" t="s">
        <v>2805</v>
      </c>
      <c r="C127" t="s">
        <v>2796</v>
      </c>
      <c r="D127" t="s">
        <v>2799</v>
      </c>
    </row>
    <row r="128" spans="1:4" x14ac:dyDescent="0.25">
      <c r="A128" t="s">
        <v>1467</v>
      </c>
      <c r="B128" t="s">
        <v>2805</v>
      </c>
      <c r="C128" t="s">
        <v>2797</v>
      </c>
      <c r="D128" t="s">
        <v>2799</v>
      </c>
    </row>
    <row r="129" spans="1:4" x14ac:dyDescent="0.25">
      <c r="A129" t="s">
        <v>1468</v>
      </c>
      <c r="B129" t="s">
        <v>2805</v>
      </c>
      <c r="C129" t="s">
        <v>2798</v>
      </c>
      <c r="D129" t="s">
        <v>2799</v>
      </c>
    </row>
    <row r="130" spans="1:4" x14ac:dyDescent="0.25">
      <c r="A130" t="s">
        <v>1469</v>
      </c>
      <c r="B130" t="s">
        <v>2805</v>
      </c>
      <c r="C130" t="s">
        <v>2796</v>
      </c>
      <c r="D130" t="s">
        <v>2799</v>
      </c>
    </row>
    <row r="131" spans="1:4" x14ac:dyDescent="0.25">
      <c r="A131" t="s">
        <v>1470</v>
      </c>
      <c r="B131" t="s">
        <v>2805</v>
      </c>
      <c r="C131" t="s">
        <v>2797</v>
      </c>
      <c r="D131" t="s">
        <v>2799</v>
      </c>
    </row>
    <row r="132" spans="1:4" x14ac:dyDescent="0.25">
      <c r="A132" t="s">
        <v>1471</v>
      </c>
      <c r="B132" t="s">
        <v>2805</v>
      </c>
      <c r="C132" t="s">
        <v>2798</v>
      </c>
      <c r="D132" t="s">
        <v>2799</v>
      </c>
    </row>
    <row r="133" spans="1:4" x14ac:dyDescent="0.25">
      <c r="A133" t="s">
        <v>416</v>
      </c>
      <c r="B133" t="s">
        <v>2805</v>
      </c>
      <c r="C133" t="s">
        <v>2800</v>
      </c>
      <c r="D133" t="s">
        <v>2799</v>
      </c>
    </row>
    <row r="134" spans="1:4" x14ac:dyDescent="0.25">
      <c r="A134" t="s">
        <v>1472</v>
      </c>
      <c r="B134" t="s">
        <v>2805</v>
      </c>
      <c r="C134" t="s">
        <v>2801</v>
      </c>
      <c r="D134" t="s">
        <v>2802</v>
      </c>
    </row>
    <row r="135" spans="1:4" x14ac:dyDescent="0.25">
      <c r="A135" t="s">
        <v>1473</v>
      </c>
      <c r="B135" t="s">
        <v>2805</v>
      </c>
      <c r="C135" t="s">
        <v>2803</v>
      </c>
      <c r="D135" t="s">
        <v>2794</v>
      </c>
    </row>
    <row r="136" spans="1:4" x14ac:dyDescent="0.25">
      <c r="A136" t="s">
        <v>1474</v>
      </c>
      <c r="B136" t="s">
        <v>2805</v>
      </c>
      <c r="C136" t="s">
        <v>2803</v>
      </c>
      <c r="D136" t="s">
        <v>2804</v>
      </c>
    </row>
    <row r="137" spans="1:4" x14ac:dyDescent="0.25">
      <c r="A137" t="s">
        <v>419</v>
      </c>
      <c r="B137" t="s">
        <v>2814</v>
      </c>
      <c r="C137" t="s">
        <v>2754</v>
      </c>
      <c r="D137" t="s">
        <v>2753</v>
      </c>
    </row>
    <row r="138" spans="1:4" x14ac:dyDescent="0.25">
      <c r="A138" t="s">
        <v>420</v>
      </c>
      <c r="B138" t="s">
        <v>2814</v>
      </c>
      <c r="C138" t="s">
        <v>2754</v>
      </c>
      <c r="D138" t="s">
        <v>2755</v>
      </c>
    </row>
    <row r="139" spans="1:4" x14ac:dyDescent="0.25">
      <c r="A139" t="s">
        <v>421</v>
      </c>
      <c r="B139" t="s">
        <v>2814</v>
      </c>
      <c r="C139" t="s">
        <v>2754</v>
      </c>
      <c r="D139" t="s">
        <v>2756</v>
      </c>
    </row>
    <row r="140" spans="1:4" x14ac:dyDescent="0.25">
      <c r="A140" t="s">
        <v>422</v>
      </c>
      <c r="B140" t="s">
        <v>2814</v>
      </c>
      <c r="C140" t="s">
        <v>2754</v>
      </c>
      <c r="D140" t="s">
        <v>2760</v>
      </c>
    </row>
    <row r="141" spans="1:4" x14ac:dyDescent="0.25">
      <c r="A141" t="s">
        <v>423</v>
      </c>
      <c r="B141" t="s">
        <v>2814</v>
      </c>
      <c r="C141" t="s">
        <v>2754</v>
      </c>
      <c r="D141" t="s">
        <v>2761</v>
      </c>
    </row>
    <row r="142" spans="1:4" x14ac:dyDescent="0.25">
      <c r="A142" t="s">
        <v>424</v>
      </c>
      <c r="B142" t="s">
        <v>2814</v>
      </c>
      <c r="C142" t="s">
        <v>2754</v>
      </c>
      <c r="D142" t="s">
        <v>2757</v>
      </c>
    </row>
    <row r="143" spans="1:4" x14ac:dyDescent="0.25">
      <c r="A143" t="s">
        <v>425</v>
      </c>
      <c r="B143" t="s">
        <v>2814</v>
      </c>
      <c r="C143" t="s">
        <v>2754</v>
      </c>
      <c r="D143" t="s">
        <v>2763</v>
      </c>
    </row>
    <row r="144" spans="1:4" x14ac:dyDescent="0.25">
      <c r="A144" t="s">
        <v>426</v>
      </c>
      <c r="B144" t="s">
        <v>2814</v>
      </c>
      <c r="C144" t="s">
        <v>2754</v>
      </c>
      <c r="D144" t="s">
        <v>2755</v>
      </c>
    </row>
    <row r="145" spans="1:4" x14ac:dyDescent="0.25">
      <c r="A145" t="s">
        <v>427</v>
      </c>
      <c r="B145" t="s">
        <v>2814</v>
      </c>
      <c r="C145" t="s">
        <v>2754</v>
      </c>
      <c r="D145" t="s">
        <v>2758</v>
      </c>
    </row>
    <row r="146" spans="1:4" x14ac:dyDescent="0.25">
      <c r="A146" t="s">
        <v>428</v>
      </c>
      <c r="B146" t="s">
        <v>2814</v>
      </c>
      <c r="C146" t="s">
        <v>2754</v>
      </c>
      <c r="D146" t="s">
        <v>2766</v>
      </c>
    </row>
    <row r="147" spans="1:4" x14ac:dyDescent="0.25">
      <c r="A147" t="s">
        <v>429</v>
      </c>
      <c r="B147" t="s">
        <v>2814</v>
      </c>
      <c r="C147" t="s">
        <v>2754</v>
      </c>
      <c r="D147" t="s">
        <v>2767</v>
      </c>
    </row>
    <row r="148" spans="1:4" x14ac:dyDescent="0.25">
      <c r="A148" t="s">
        <v>430</v>
      </c>
      <c r="B148" t="s">
        <v>2814</v>
      </c>
      <c r="C148" t="s">
        <v>2754</v>
      </c>
      <c r="D148" t="s">
        <v>2768</v>
      </c>
    </row>
    <row r="149" spans="1:4" x14ac:dyDescent="0.25">
      <c r="A149" t="s">
        <v>431</v>
      </c>
      <c r="B149" t="s">
        <v>2814</v>
      </c>
      <c r="C149" t="s">
        <v>2754</v>
      </c>
      <c r="D149" t="s">
        <v>2769</v>
      </c>
    </row>
    <row r="150" spans="1:4" x14ac:dyDescent="0.25">
      <c r="A150" t="s">
        <v>432</v>
      </c>
      <c r="B150" t="s">
        <v>2814</v>
      </c>
      <c r="C150" t="s">
        <v>2754</v>
      </c>
      <c r="D150" t="s">
        <v>2770</v>
      </c>
    </row>
    <row r="151" spans="1:4" x14ac:dyDescent="0.25">
      <c r="A151" t="s">
        <v>433</v>
      </c>
      <c r="B151" t="s">
        <v>2814</v>
      </c>
      <c r="C151" t="s">
        <v>2754</v>
      </c>
      <c r="D151" t="s">
        <v>2770</v>
      </c>
    </row>
    <row r="152" spans="1:4" x14ac:dyDescent="0.25">
      <c r="A152" t="s">
        <v>434</v>
      </c>
      <c r="B152" t="s">
        <v>2814</v>
      </c>
      <c r="C152" t="s">
        <v>2754</v>
      </c>
      <c r="D152" t="s">
        <v>2764</v>
      </c>
    </row>
    <row r="153" spans="1:4" x14ac:dyDescent="0.25">
      <c r="A153" t="s">
        <v>435</v>
      </c>
      <c r="B153" t="s">
        <v>2814</v>
      </c>
      <c r="C153" t="s">
        <v>2771</v>
      </c>
      <c r="D153" t="s">
        <v>2808</v>
      </c>
    </row>
    <row r="154" spans="1:4" x14ac:dyDescent="0.25">
      <c r="A154" t="s">
        <v>436</v>
      </c>
      <c r="B154" t="s">
        <v>2814</v>
      </c>
      <c r="C154" t="s">
        <v>2771</v>
      </c>
      <c r="D154" t="s">
        <v>2773</v>
      </c>
    </row>
    <row r="155" spans="1:4" x14ac:dyDescent="0.25">
      <c r="A155" t="s">
        <v>437</v>
      </c>
      <c r="B155" t="s">
        <v>2814</v>
      </c>
      <c r="C155" t="s">
        <v>2771</v>
      </c>
      <c r="D155" t="s">
        <v>2773</v>
      </c>
    </row>
    <row r="156" spans="1:4" x14ac:dyDescent="0.25">
      <c r="A156" t="s">
        <v>438</v>
      </c>
      <c r="B156" t="s">
        <v>2814</v>
      </c>
      <c r="C156" t="s">
        <v>2775</v>
      </c>
      <c r="D156" t="s">
        <v>2815</v>
      </c>
    </row>
    <row r="157" spans="1:4" x14ac:dyDescent="0.25">
      <c r="A157" t="s">
        <v>439</v>
      </c>
      <c r="B157" t="s">
        <v>2814</v>
      </c>
      <c r="C157" t="s">
        <v>2775</v>
      </c>
      <c r="D157" t="s">
        <v>2780</v>
      </c>
    </row>
    <row r="158" spans="1:4" x14ac:dyDescent="0.25">
      <c r="A158" t="s">
        <v>440</v>
      </c>
      <c r="B158" t="s">
        <v>2814</v>
      </c>
      <c r="C158" t="s">
        <v>2775</v>
      </c>
      <c r="D158" t="s">
        <v>2781</v>
      </c>
    </row>
    <row r="159" spans="1:4" x14ac:dyDescent="0.25">
      <c r="A159" t="s">
        <v>441</v>
      </c>
      <c r="B159" t="s">
        <v>2814</v>
      </c>
      <c r="C159" t="s">
        <v>2787</v>
      </c>
      <c r="D159" t="s">
        <v>2788</v>
      </c>
    </row>
    <row r="160" spans="1:4" x14ac:dyDescent="0.25">
      <c r="A160" t="s">
        <v>442</v>
      </c>
      <c r="B160" t="s">
        <v>2814</v>
      </c>
      <c r="C160" t="s">
        <v>2787</v>
      </c>
      <c r="D160" t="s">
        <v>2789</v>
      </c>
    </row>
    <row r="161" spans="1:4" x14ac:dyDescent="0.25">
      <c r="A161" t="s">
        <v>443</v>
      </c>
      <c r="B161" t="s">
        <v>2814</v>
      </c>
      <c r="C161" t="s">
        <v>2787</v>
      </c>
      <c r="D161" t="s">
        <v>2789</v>
      </c>
    </row>
    <row r="162" spans="1:4" x14ac:dyDescent="0.25">
      <c r="A162" t="s">
        <v>1475</v>
      </c>
      <c r="B162" t="s">
        <v>2814</v>
      </c>
      <c r="C162" t="s">
        <v>2794</v>
      </c>
      <c r="D162" t="s">
        <v>2795</v>
      </c>
    </row>
    <row r="163" spans="1:4" x14ac:dyDescent="0.25">
      <c r="A163" t="s">
        <v>1476</v>
      </c>
      <c r="B163" t="s">
        <v>2814</v>
      </c>
      <c r="C163" t="s">
        <v>2796</v>
      </c>
      <c r="D163" t="s">
        <v>2788</v>
      </c>
    </row>
    <row r="164" spans="1:4" x14ac:dyDescent="0.25">
      <c r="A164" t="s">
        <v>444</v>
      </c>
      <c r="B164" t="s">
        <v>2814</v>
      </c>
      <c r="C164" t="s">
        <v>2800</v>
      </c>
      <c r="D164" t="s">
        <v>2788</v>
      </c>
    </row>
    <row r="165" spans="1:4" x14ac:dyDescent="0.25">
      <c r="A165" t="s">
        <v>1477</v>
      </c>
      <c r="B165" t="s">
        <v>2814</v>
      </c>
      <c r="C165" t="s">
        <v>2797</v>
      </c>
      <c r="D165" t="s">
        <v>2788</v>
      </c>
    </row>
    <row r="166" spans="1:4" x14ac:dyDescent="0.25">
      <c r="A166" t="s">
        <v>1478</v>
      </c>
      <c r="B166" t="s">
        <v>2814</v>
      </c>
      <c r="C166" t="s">
        <v>2798</v>
      </c>
      <c r="D166" t="s">
        <v>2788</v>
      </c>
    </row>
    <row r="167" spans="1:4" x14ac:dyDescent="0.25">
      <c r="A167" t="s">
        <v>1479</v>
      </c>
      <c r="B167" t="s">
        <v>2814</v>
      </c>
      <c r="C167" t="s">
        <v>2796</v>
      </c>
      <c r="D167" t="s">
        <v>2799</v>
      </c>
    </row>
    <row r="168" spans="1:4" x14ac:dyDescent="0.25">
      <c r="A168" t="s">
        <v>1480</v>
      </c>
      <c r="B168" t="s">
        <v>2814</v>
      </c>
      <c r="C168" t="s">
        <v>2797</v>
      </c>
      <c r="D168" t="s">
        <v>2799</v>
      </c>
    </row>
    <row r="169" spans="1:4" x14ac:dyDescent="0.25">
      <c r="A169" t="s">
        <v>1481</v>
      </c>
      <c r="B169" t="s">
        <v>2814</v>
      </c>
      <c r="C169" t="s">
        <v>2798</v>
      </c>
      <c r="D169" t="s">
        <v>2799</v>
      </c>
    </row>
    <row r="170" spans="1:4" x14ac:dyDescent="0.25">
      <c r="A170" t="s">
        <v>1482</v>
      </c>
      <c r="B170" t="s">
        <v>2814</v>
      </c>
      <c r="C170" t="s">
        <v>2796</v>
      </c>
      <c r="D170" t="s">
        <v>2799</v>
      </c>
    </row>
    <row r="171" spans="1:4" x14ac:dyDescent="0.25">
      <c r="A171" t="s">
        <v>1483</v>
      </c>
      <c r="B171" t="s">
        <v>2814</v>
      </c>
      <c r="C171" t="s">
        <v>2797</v>
      </c>
      <c r="D171" t="s">
        <v>2799</v>
      </c>
    </row>
    <row r="172" spans="1:4" x14ac:dyDescent="0.25">
      <c r="A172" t="s">
        <v>1484</v>
      </c>
      <c r="B172" t="s">
        <v>2814</v>
      </c>
      <c r="C172" t="s">
        <v>2798</v>
      </c>
      <c r="D172" t="s">
        <v>2799</v>
      </c>
    </row>
    <row r="173" spans="1:4" x14ac:dyDescent="0.25">
      <c r="A173" t="s">
        <v>446</v>
      </c>
      <c r="B173" t="s">
        <v>2814</v>
      </c>
      <c r="C173" t="s">
        <v>2800</v>
      </c>
      <c r="D173" t="s">
        <v>2799</v>
      </c>
    </row>
    <row r="174" spans="1:4" x14ac:dyDescent="0.25">
      <c r="A174" t="s">
        <v>1485</v>
      </c>
      <c r="B174" t="s">
        <v>2814</v>
      </c>
      <c r="C174" t="s">
        <v>2801</v>
      </c>
      <c r="D174" t="s">
        <v>2802</v>
      </c>
    </row>
    <row r="175" spans="1:4" x14ac:dyDescent="0.25">
      <c r="A175" t="s">
        <v>1486</v>
      </c>
      <c r="B175" t="s">
        <v>2814</v>
      </c>
      <c r="C175" t="s">
        <v>2803</v>
      </c>
      <c r="D175" t="s">
        <v>2794</v>
      </c>
    </row>
    <row r="176" spans="1:4" x14ac:dyDescent="0.25">
      <c r="A176" t="s">
        <v>1487</v>
      </c>
      <c r="B176" t="s">
        <v>2814</v>
      </c>
      <c r="C176" t="s">
        <v>2803</v>
      </c>
      <c r="D176" t="s">
        <v>2804</v>
      </c>
    </row>
    <row r="177" spans="1:4" x14ac:dyDescent="0.25">
      <c r="A177" t="s">
        <v>449</v>
      </c>
      <c r="B177" t="s">
        <v>2816</v>
      </c>
      <c r="C177" t="s">
        <v>2754</v>
      </c>
      <c r="D177" t="s">
        <v>2753</v>
      </c>
    </row>
    <row r="178" spans="1:4" x14ac:dyDescent="0.25">
      <c r="A178" t="s">
        <v>450</v>
      </c>
      <c r="B178" t="s">
        <v>2816</v>
      </c>
      <c r="C178" t="s">
        <v>2754</v>
      </c>
      <c r="D178" t="s">
        <v>2755</v>
      </c>
    </row>
    <row r="179" spans="1:4" x14ac:dyDescent="0.25">
      <c r="A179" t="s">
        <v>451</v>
      </c>
      <c r="B179" t="s">
        <v>2816</v>
      </c>
      <c r="C179" t="s">
        <v>2754</v>
      </c>
      <c r="D179" t="s">
        <v>2756</v>
      </c>
    </row>
    <row r="180" spans="1:4" x14ac:dyDescent="0.25">
      <c r="A180" t="s">
        <v>452</v>
      </c>
      <c r="B180" t="s">
        <v>2816</v>
      </c>
      <c r="C180" t="s">
        <v>2754</v>
      </c>
      <c r="D180" t="s">
        <v>2760</v>
      </c>
    </row>
    <row r="181" spans="1:4" x14ac:dyDescent="0.25">
      <c r="A181" t="s">
        <v>453</v>
      </c>
      <c r="B181" t="s">
        <v>2816</v>
      </c>
      <c r="C181" t="s">
        <v>2754</v>
      </c>
      <c r="D181" t="s">
        <v>2761</v>
      </c>
    </row>
    <row r="182" spans="1:4" x14ac:dyDescent="0.25">
      <c r="A182" t="s">
        <v>454</v>
      </c>
      <c r="B182" t="s">
        <v>2816</v>
      </c>
      <c r="C182" t="s">
        <v>2754</v>
      </c>
      <c r="D182" t="s">
        <v>2757</v>
      </c>
    </row>
    <row r="183" spans="1:4" x14ac:dyDescent="0.25">
      <c r="A183" t="s">
        <v>455</v>
      </c>
      <c r="B183" t="s">
        <v>2816</v>
      </c>
      <c r="C183" t="s">
        <v>2754</v>
      </c>
      <c r="D183" t="s">
        <v>2763</v>
      </c>
    </row>
    <row r="184" spans="1:4" x14ac:dyDescent="0.25">
      <c r="A184" t="s">
        <v>456</v>
      </c>
      <c r="B184" t="s">
        <v>2816</v>
      </c>
      <c r="C184" t="s">
        <v>2754</v>
      </c>
      <c r="D184" t="s">
        <v>2755</v>
      </c>
    </row>
    <row r="185" spans="1:4" x14ac:dyDescent="0.25">
      <c r="A185" t="s">
        <v>457</v>
      </c>
      <c r="B185" t="s">
        <v>2816</v>
      </c>
      <c r="C185" t="s">
        <v>2754</v>
      </c>
      <c r="D185" t="s">
        <v>2764</v>
      </c>
    </row>
    <row r="186" spans="1:4" x14ac:dyDescent="0.25">
      <c r="A186" t="s">
        <v>458</v>
      </c>
      <c r="B186" t="s">
        <v>2816</v>
      </c>
      <c r="C186" t="s">
        <v>2754</v>
      </c>
      <c r="D186" t="s">
        <v>2758</v>
      </c>
    </row>
    <row r="187" spans="1:4" x14ac:dyDescent="0.25">
      <c r="A187" t="s">
        <v>459</v>
      </c>
      <c r="B187" t="s">
        <v>2816</v>
      </c>
      <c r="C187" t="s">
        <v>2754</v>
      </c>
      <c r="D187" t="s">
        <v>2766</v>
      </c>
    </row>
    <row r="188" spans="1:4" x14ac:dyDescent="0.25">
      <c r="A188" t="s">
        <v>460</v>
      </c>
      <c r="B188" t="s">
        <v>2816</v>
      </c>
      <c r="C188" t="s">
        <v>2754</v>
      </c>
      <c r="D188" t="s">
        <v>2767</v>
      </c>
    </row>
    <row r="189" spans="1:4" x14ac:dyDescent="0.25">
      <c r="A189" t="s">
        <v>461</v>
      </c>
      <c r="B189" t="s">
        <v>2816</v>
      </c>
      <c r="C189" t="s">
        <v>2754</v>
      </c>
      <c r="D189" t="s">
        <v>2768</v>
      </c>
    </row>
    <row r="190" spans="1:4" x14ac:dyDescent="0.25">
      <c r="A190" t="s">
        <v>462</v>
      </c>
      <c r="B190" t="s">
        <v>2816</v>
      </c>
      <c r="C190" t="s">
        <v>2754</v>
      </c>
      <c r="D190" t="s">
        <v>2769</v>
      </c>
    </row>
    <row r="191" spans="1:4" x14ac:dyDescent="0.25">
      <c r="A191" t="s">
        <v>463</v>
      </c>
      <c r="B191" t="s">
        <v>2816</v>
      </c>
      <c r="C191" t="s">
        <v>2754</v>
      </c>
      <c r="D191" t="s">
        <v>2770</v>
      </c>
    </row>
    <row r="192" spans="1:4" x14ac:dyDescent="0.25">
      <c r="A192" t="s">
        <v>464</v>
      </c>
      <c r="B192" t="s">
        <v>2816</v>
      </c>
      <c r="C192" t="s">
        <v>2754</v>
      </c>
      <c r="D192" t="s">
        <v>2770</v>
      </c>
    </row>
    <row r="193" spans="1:4" x14ac:dyDescent="0.25">
      <c r="A193" t="s">
        <v>465</v>
      </c>
      <c r="B193" t="s">
        <v>2816</v>
      </c>
      <c r="C193" t="s">
        <v>2754</v>
      </c>
      <c r="D193" t="s">
        <v>2764</v>
      </c>
    </row>
    <row r="194" spans="1:4" x14ac:dyDescent="0.25">
      <c r="A194" t="s">
        <v>466</v>
      </c>
      <c r="B194" t="s">
        <v>2816</v>
      </c>
      <c r="C194" t="s">
        <v>2775</v>
      </c>
      <c r="D194" t="s">
        <v>2813</v>
      </c>
    </row>
    <row r="195" spans="1:4" x14ac:dyDescent="0.25">
      <c r="A195" t="s">
        <v>467</v>
      </c>
      <c r="B195" t="s">
        <v>2816</v>
      </c>
      <c r="C195" t="s">
        <v>2775</v>
      </c>
      <c r="D195" t="s">
        <v>2813</v>
      </c>
    </row>
    <row r="196" spans="1:4" x14ac:dyDescent="0.25">
      <c r="A196" t="s">
        <v>468</v>
      </c>
      <c r="B196" t="s">
        <v>2816</v>
      </c>
      <c r="C196" t="s">
        <v>2775</v>
      </c>
      <c r="D196" t="s">
        <v>2817</v>
      </c>
    </row>
    <row r="197" spans="1:4" x14ac:dyDescent="0.25">
      <c r="A197" t="s">
        <v>469</v>
      </c>
      <c r="B197" t="s">
        <v>2816</v>
      </c>
      <c r="C197" t="s">
        <v>2775</v>
      </c>
      <c r="D197" t="s">
        <v>2780</v>
      </c>
    </row>
    <row r="198" spans="1:4" x14ac:dyDescent="0.25">
      <c r="A198" t="s">
        <v>470</v>
      </c>
      <c r="B198" t="s">
        <v>2816</v>
      </c>
      <c r="C198" t="s">
        <v>2775</v>
      </c>
      <c r="D198" t="s">
        <v>2818</v>
      </c>
    </row>
    <row r="199" spans="1:4" x14ac:dyDescent="0.25">
      <c r="A199" t="s">
        <v>471</v>
      </c>
      <c r="B199" t="s">
        <v>2816</v>
      </c>
      <c r="C199" t="s">
        <v>2775</v>
      </c>
      <c r="D199" t="s">
        <v>2781</v>
      </c>
    </row>
    <row r="200" spans="1:4" x14ac:dyDescent="0.25">
      <c r="A200" t="s">
        <v>472</v>
      </c>
      <c r="B200" t="s">
        <v>2816</v>
      </c>
      <c r="C200" t="s">
        <v>2787</v>
      </c>
      <c r="D200" t="s">
        <v>2789</v>
      </c>
    </row>
    <row r="201" spans="1:4" x14ac:dyDescent="0.25">
      <c r="A201" t="s">
        <v>473</v>
      </c>
      <c r="B201" t="s">
        <v>2816</v>
      </c>
      <c r="C201" t="s">
        <v>2787</v>
      </c>
      <c r="D201" t="s">
        <v>2789</v>
      </c>
    </row>
    <row r="202" spans="1:4" x14ac:dyDescent="0.25">
      <c r="A202" t="s">
        <v>474</v>
      </c>
      <c r="B202" t="s">
        <v>2816</v>
      </c>
      <c r="C202" t="s">
        <v>2787</v>
      </c>
      <c r="D202" t="s">
        <v>2789</v>
      </c>
    </row>
    <row r="203" spans="1:4" x14ac:dyDescent="0.25">
      <c r="A203" t="s">
        <v>475</v>
      </c>
      <c r="B203" t="s">
        <v>2816</v>
      </c>
      <c r="C203" t="s">
        <v>2787</v>
      </c>
      <c r="D203" t="s">
        <v>2790</v>
      </c>
    </row>
    <row r="204" spans="1:4" x14ac:dyDescent="0.25">
      <c r="A204" t="s">
        <v>1488</v>
      </c>
      <c r="B204" t="s">
        <v>2816</v>
      </c>
      <c r="C204" t="s">
        <v>2794</v>
      </c>
      <c r="D204" t="s">
        <v>2795</v>
      </c>
    </row>
    <row r="205" spans="1:4" x14ac:dyDescent="0.25">
      <c r="A205" t="s">
        <v>1489</v>
      </c>
      <c r="B205" t="s">
        <v>2816</v>
      </c>
      <c r="C205" t="s">
        <v>2796</v>
      </c>
      <c r="D205" t="s">
        <v>2819</v>
      </c>
    </row>
    <row r="206" spans="1:4" x14ac:dyDescent="0.25">
      <c r="A206" t="s">
        <v>1491</v>
      </c>
      <c r="B206" t="s">
        <v>2816</v>
      </c>
      <c r="C206" t="s">
        <v>2796</v>
      </c>
      <c r="D206" t="s">
        <v>2799</v>
      </c>
    </row>
    <row r="207" spans="1:4" x14ac:dyDescent="0.25">
      <c r="A207" t="s">
        <v>1492</v>
      </c>
      <c r="B207" t="s">
        <v>2816</v>
      </c>
      <c r="C207" t="s">
        <v>2797</v>
      </c>
      <c r="D207" t="s">
        <v>2799</v>
      </c>
    </row>
    <row r="208" spans="1:4" x14ac:dyDescent="0.25">
      <c r="A208" t="s">
        <v>1493</v>
      </c>
      <c r="B208" t="s">
        <v>2816</v>
      </c>
      <c r="C208" t="s">
        <v>2797</v>
      </c>
      <c r="D208" t="s">
        <v>2799</v>
      </c>
    </row>
    <row r="209" spans="1:4" x14ac:dyDescent="0.25">
      <c r="A209" t="s">
        <v>1494</v>
      </c>
      <c r="B209" t="s">
        <v>2816</v>
      </c>
      <c r="C209" t="s">
        <v>2798</v>
      </c>
      <c r="D209" t="s">
        <v>2799</v>
      </c>
    </row>
    <row r="210" spans="1:4" x14ac:dyDescent="0.25">
      <c r="A210" t="s">
        <v>1496</v>
      </c>
      <c r="B210" t="s">
        <v>2816</v>
      </c>
      <c r="C210" t="s">
        <v>2796</v>
      </c>
      <c r="D210" t="s">
        <v>2799</v>
      </c>
    </row>
    <row r="211" spans="1:4" x14ac:dyDescent="0.25">
      <c r="A211" t="s">
        <v>1497</v>
      </c>
      <c r="B211" t="s">
        <v>2816</v>
      </c>
      <c r="C211" t="s">
        <v>2797</v>
      </c>
      <c r="D211" t="s">
        <v>2799</v>
      </c>
    </row>
    <row r="212" spans="1:4" x14ac:dyDescent="0.25">
      <c r="A212" t="s">
        <v>1498</v>
      </c>
      <c r="B212" t="s">
        <v>2816</v>
      </c>
      <c r="C212" t="s">
        <v>2798</v>
      </c>
      <c r="D212" t="s">
        <v>2799</v>
      </c>
    </row>
    <row r="213" spans="1:4" x14ac:dyDescent="0.25">
      <c r="A213" t="s">
        <v>1499</v>
      </c>
      <c r="B213" t="s">
        <v>2816</v>
      </c>
      <c r="C213" t="s">
        <v>2796</v>
      </c>
      <c r="D213" t="s">
        <v>2799</v>
      </c>
    </row>
    <row r="214" spans="1:4" x14ac:dyDescent="0.25">
      <c r="A214" t="s">
        <v>1500</v>
      </c>
      <c r="B214" t="s">
        <v>2816</v>
      </c>
      <c r="C214" t="s">
        <v>2797</v>
      </c>
      <c r="D214" t="s">
        <v>2799</v>
      </c>
    </row>
    <row r="215" spans="1:4" x14ac:dyDescent="0.25">
      <c r="A215" t="s">
        <v>1501</v>
      </c>
      <c r="B215" t="s">
        <v>2816</v>
      </c>
      <c r="C215" t="s">
        <v>2798</v>
      </c>
      <c r="D215" t="s">
        <v>2799</v>
      </c>
    </row>
    <row r="216" spans="1:4" x14ac:dyDescent="0.25">
      <c r="A216" t="s">
        <v>1502</v>
      </c>
      <c r="B216" t="s">
        <v>2816</v>
      </c>
      <c r="C216" t="s">
        <v>2798</v>
      </c>
      <c r="D216" t="s">
        <v>2799</v>
      </c>
    </row>
    <row r="217" spans="1:4" x14ac:dyDescent="0.25">
      <c r="A217" t="s">
        <v>1503</v>
      </c>
      <c r="B217" t="s">
        <v>2816</v>
      </c>
      <c r="C217" t="s">
        <v>2801</v>
      </c>
      <c r="D217" t="s">
        <v>2802</v>
      </c>
    </row>
    <row r="218" spans="1:4" x14ac:dyDescent="0.25">
      <c r="A218" t="s">
        <v>1504</v>
      </c>
      <c r="B218" t="s">
        <v>2816</v>
      </c>
      <c r="C218" t="s">
        <v>2803</v>
      </c>
      <c r="D218" t="s">
        <v>2794</v>
      </c>
    </row>
    <row r="219" spans="1:4" x14ac:dyDescent="0.25">
      <c r="A219" t="s">
        <v>1505</v>
      </c>
      <c r="B219" t="s">
        <v>2816</v>
      </c>
      <c r="C219" t="s">
        <v>2803</v>
      </c>
      <c r="D219" t="s">
        <v>2804</v>
      </c>
    </row>
    <row r="220" spans="1:4" x14ac:dyDescent="0.25">
      <c r="A220" t="s">
        <v>477</v>
      </c>
      <c r="B220" t="s">
        <v>2820</v>
      </c>
      <c r="C220" t="s">
        <v>2754</v>
      </c>
      <c r="D220" t="s">
        <v>2753</v>
      </c>
    </row>
    <row r="221" spans="1:4" x14ac:dyDescent="0.25">
      <c r="A221" t="s">
        <v>478</v>
      </c>
      <c r="B221" t="s">
        <v>2820</v>
      </c>
      <c r="C221" t="s">
        <v>2754</v>
      </c>
      <c r="D221" t="s">
        <v>2755</v>
      </c>
    </row>
    <row r="222" spans="1:4" x14ac:dyDescent="0.25">
      <c r="A222" t="s">
        <v>479</v>
      </c>
      <c r="B222" t="s">
        <v>2820</v>
      </c>
      <c r="C222" t="s">
        <v>2754</v>
      </c>
      <c r="D222" t="s">
        <v>2756</v>
      </c>
    </row>
    <row r="223" spans="1:4" x14ac:dyDescent="0.25">
      <c r="A223" t="s">
        <v>480</v>
      </c>
      <c r="B223" t="s">
        <v>2820</v>
      </c>
      <c r="C223" t="s">
        <v>2754</v>
      </c>
      <c r="D223" t="s">
        <v>2758</v>
      </c>
    </row>
    <row r="224" spans="1:4" x14ac:dyDescent="0.25">
      <c r="A224" t="s">
        <v>481</v>
      </c>
      <c r="B224" t="s">
        <v>2820</v>
      </c>
      <c r="C224" t="s">
        <v>2754</v>
      </c>
      <c r="D224" t="s">
        <v>2759</v>
      </c>
    </row>
    <row r="225" spans="1:4" x14ac:dyDescent="0.25">
      <c r="A225" t="s">
        <v>482</v>
      </c>
      <c r="B225" t="s">
        <v>2820</v>
      </c>
      <c r="C225" t="s">
        <v>2754</v>
      </c>
      <c r="D225" t="s">
        <v>2753</v>
      </c>
    </row>
    <row r="226" spans="1:4" x14ac:dyDescent="0.25">
      <c r="A226" t="s">
        <v>483</v>
      </c>
      <c r="B226" t="s">
        <v>2820</v>
      </c>
      <c r="C226" t="s">
        <v>2754</v>
      </c>
      <c r="D226" t="s">
        <v>2755</v>
      </c>
    </row>
    <row r="227" spans="1:4" x14ac:dyDescent="0.25">
      <c r="A227" t="s">
        <v>484</v>
      </c>
      <c r="B227" t="s">
        <v>2820</v>
      </c>
      <c r="C227" t="s">
        <v>2754</v>
      </c>
      <c r="D227" t="s">
        <v>2756</v>
      </c>
    </row>
    <row r="228" spans="1:4" x14ac:dyDescent="0.25">
      <c r="A228" t="s">
        <v>485</v>
      </c>
      <c r="B228" t="s">
        <v>2820</v>
      </c>
      <c r="C228" t="s">
        <v>2754</v>
      </c>
      <c r="D228" t="s">
        <v>2760</v>
      </c>
    </row>
    <row r="229" spans="1:4" x14ac:dyDescent="0.25">
      <c r="A229" t="s">
        <v>486</v>
      </c>
      <c r="B229" t="s">
        <v>2820</v>
      </c>
      <c r="C229" t="s">
        <v>2754</v>
      </c>
      <c r="D229" t="s">
        <v>2761</v>
      </c>
    </row>
    <row r="230" spans="1:4" x14ac:dyDescent="0.25">
      <c r="A230" t="s">
        <v>487</v>
      </c>
      <c r="B230" t="s">
        <v>2820</v>
      </c>
      <c r="C230" t="s">
        <v>2754</v>
      </c>
      <c r="D230" t="s">
        <v>2757</v>
      </c>
    </row>
    <row r="231" spans="1:4" x14ac:dyDescent="0.25">
      <c r="A231" t="s">
        <v>488</v>
      </c>
      <c r="B231" t="s">
        <v>2820</v>
      </c>
      <c r="C231" t="s">
        <v>2754</v>
      </c>
      <c r="D231" t="s">
        <v>2763</v>
      </c>
    </row>
    <row r="232" spans="1:4" x14ac:dyDescent="0.25">
      <c r="A232" t="s">
        <v>489</v>
      </c>
      <c r="B232" t="s">
        <v>2820</v>
      </c>
      <c r="C232" t="s">
        <v>2754</v>
      </c>
      <c r="D232" t="s">
        <v>2755</v>
      </c>
    </row>
    <row r="233" spans="1:4" x14ac:dyDescent="0.25">
      <c r="A233" t="s">
        <v>490</v>
      </c>
      <c r="B233" t="s">
        <v>2820</v>
      </c>
      <c r="C233" t="s">
        <v>2754</v>
      </c>
    </row>
    <row r="234" spans="1:4" x14ac:dyDescent="0.25">
      <c r="A234" t="s">
        <v>491</v>
      </c>
      <c r="B234" t="s">
        <v>2820</v>
      </c>
      <c r="C234" t="s">
        <v>2754</v>
      </c>
      <c r="D234" t="s">
        <v>2758</v>
      </c>
    </row>
    <row r="235" spans="1:4" x14ac:dyDescent="0.25">
      <c r="A235" t="s">
        <v>492</v>
      </c>
      <c r="B235" t="s">
        <v>2820</v>
      </c>
      <c r="C235" t="s">
        <v>2754</v>
      </c>
      <c r="D235" t="s">
        <v>2766</v>
      </c>
    </row>
    <row r="236" spans="1:4" x14ac:dyDescent="0.25">
      <c r="A236" t="s">
        <v>493</v>
      </c>
      <c r="B236" t="s">
        <v>2820</v>
      </c>
      <c r="C236" t="s">
        <v>2754</v>
      </c>
      <c r="D236" t="s">
        <v>2767</v>
      </c>
    </row>
    <row r="237" spans="1:4" x14ac:dyDescent="0.25">
      <c r="A237" t="s">
        <v>494</v>
      </c>
      <c r="B237" t="s">
        <v>2820</v>
      </c>
      <c r="C237" t="s">
        <v>2754</v>
      </c>
      <c r="D237" t="s">
        <v>2768</v>
      </c>
    </row>
    <row r="238" spans="1:4" x14ac:dyDescent="0.25">
      <c r="A238" t="s">
        <v>495</v>
      </c>
      <c r="B238" t="s">
        <v>2820</v>
      </c>
      <c r="C238" t="s">
        <v>2754</v>
      </c>
      <c r="D238" t="s">
        <v>2769</v>
      </c>
    </row>
    <row r="239" spans="1:4" x14ac:dyDescent="0.25">
      <c r="A239" t="s">
        <v>496</v>
      </c>
      <c r="B239" t="s">
        <v>2820</v>
      </c>
      <c r="C239" t="s">
        <v>2754</v>
      </c>
      <c r="D239" t="s">
        <v>2770</v>
      </c>
    </row>
    <row r="240" spans="1:4" x14ac:dyDescent="0.25">
      <c r="A240" t="s">
        <v>497</v>
      </c>
      <c r="B240" t="s">
        <v>2820</v>
      </c>
      <c r="C240" t="s">
        <v>2754</v>
      </c>
      <c r="D240" t="s">
        <v>2770</v>
      </c>
    </row>
    <row r="241" spans="1:4" x14ac:dyDescent="0.25">
      <c r="A241" t="s">
        <v>498</v>
      </c>
      <c r="B241" t="s">
        <v>2820</v>
      </c>
      <c r="C241" t="s">
        <v>2754</v>
      </c>
      <c r="D241" t="s">
        <v>2764</v>
      </c>
    </row>
    <row r="242" spans="1:4" x14ac:dyDescent="0.25">
      <c r="A242" t="s">
        <v>499</v>
      </c>
      <c r="B242" t="s">
        <v>2820</v>
      </c>
      <c r="C242" t="s">
        <v>2775</v>
      </c>
      <c r="D242" t="s">
        <v>2781</v>
      </c>
    </row>
    <row r="243" spans="1:4" x14ac:dyDescent="0.25">
      <c r="A243" t="s">
        <v>500</v>
      </c>
      <c r="B243" t="s">
        <v>2820</v>
      </c>
      <c r="C243" t="s">
        <v>2775</v>
      </c>
      <c r="D243" t="s">
        <v>2778</v>
      </c>
    </row>
    <row r="244" spans="1:4" x14ac:dyDescent="0.25">
      <c r="A244" t="s">
        <v>501</v>
      </c>
      <c r="B244" t="s">
        <v>2820</v>
      </c>
      <c r="C244" t="s">
        <v>2775</v>
      </c>
      <c r="D244" t="s">
        <v>2821</v>
      </c>
    </row>
    <row r="245" spans="1:4" x14ac:dyDescent="0.25">
      <c r="A245" t="s">
        <v>502</v>
      </c>
      <c r="B245" t="s">
        <v>2820</v>
      </c>
      <c r="C245" t="s">
        <v>2775</v>
      </c>
      <c r="D245" t="s">
        <v>2780</v>
      </c>
    </row>
    <row r="246" spans="1:4" x14ac:dyDescent="0.25">
      <c r="A246" t="s">
        <v>503</v>
      </c>
      <c r="B246" t="s">
        <v>2820</v>
      </c>
      <c r="C246" t="s">
        <v>2775</v>
      </c>
      <c r="D246" t="s">
        <v>2781</v>
      </c>
    </row>
    <row r="247" spans="1:4" x14ac:dyDescent="0.25">
      <c r="A247" t="s">
        <v>504</v>
      </c>
      <c r="B247" t="s">
        <v>2820</v>
      </c>
      <c r="C247" t="s">
        <v>2775</v>
      </c>
      <c r="D247" t="s">
        <v>2781</v>
      </c>
    </row>
    <row r="248" spans="1:4" x14ac:dyDescent="0.25">
      <c r="A248" t="s">
        <v>505</v>
      </c>
      <c r="B248" t="s">
        <v>2820</v>
      </c>
      <c r="C248" t="s">
        <v>2787</v>
      </c>
      <c r="D248" t="s">
        <v>2789</v>
      </c>
    </row>
    <row r="249" spans="1:4" x14ac:dyDescent="0.25">
      <c r="A249" t="s">
        <v>506</v>
      </c>
      <c r="B249" t="s">
        <v>2820</v>
      </c>
      <c r="C249" t="s">
        <v>2787</v>
      </c>
      <c r="D249" t="s">
        <v>2789</v>
      </c>
    </row>
    <row r="250" spans="1:4" x14ac:dyDescent="0.25">
      <c r="A250" t="s">
        <v>507</v>
      </c>
      <c r="B250" t="s">
        <v>2820</v>
      </c>
      <c r="C250" t="s">
        <v>2787</v>
      </c>
      <c r="D250" t="s">
        <v>2792</v>
      </c>
    </row>
    <row r="251" spans="1:4" x14ac:dyDescent="0.25">
      <c r="A251" t="s">
        <v>1506</v>
      </c>
      <c r="B251" t="s">
        <v>2820</v>
      </c>
      <c r="C251" t="s">
        <v>2794</v>
      </c>
      <c r="D251" t="s">
        <v>2795</v>
      </c>
    </row>
    <row r="252" spans="1:4" x14ac:dyDescent="0.25">
      <c r="A252" t="s">
        <v>1507</v>
      </c>
      <c r="B252" t="s">
        <v>2820</v>
      </c>
      <c r="C252" t="s">
        <v>2796</v>
      </c>
      <c r="D252" t="s">
        <v>2799</v>
      </c>
    </row>
    <row r="253" spans="1:4" x14ac:dyDescent="0.25">
      <c r="A253" t="s">
        <v>1508</v>
      </c>
      <c r="B253" t="s">
        <v>2820</v>
      </c>
      <c r="C253" t="s">
        <v>2797</v>
      </c>
      <c r="D253" t="s">
        <v>2799</v>
      </c>
    </row>
    <row r="254" spans="1:4" x14ac:dyDescent="0.25">
      <c r="A254" t="s">
        <v>1509</v>
      </c>
      <c r="B254" t="s">
        <v>2820</v>
      </c>
      <c r="C254" t="s">
        <v>2798</v>
      </c>
      <c r="D254" t="s">
        <v>2799</v>
      </c>
    </row>
    <row r="255" spans="1:4" x14ac:dyDescent="0.25">
      <c r="A255" t="s">
        <v>1510</v>
      </c>
      <c r="B255" t="s">
        <v>2820</v>
      </c>
      <c r="C255" t="s">
        <v>2796</v>
      </c>
      <c r="D255" t="s">
        <v>2799</v>
      </c>
    </row>
    <row r="256" spans="1:4" x14ac:dyDescent="0.25">
      <c r="A256" t="s">
        <v>1511</v>
      </c>
      <c r="B256" t="s">
        <v>2820</v>
      </c>
      <c r="C256" t="s">
        <v>2797</v>
      </c>
      <c r="D256" t="s">
        <v>2799</v>
      </c>
    </row>
    <row r="257" spans="1:4" x14ac:dyDescent="0.25">
      <c r="A257" t="s">
        <v>1512</v>
      </c>
      <c r="B257" t="s">
        <v>2820</v>
      </c>
      <c r="C257" t="s">
        <v>2798</v>
      </c>
      <c r="D257" t="s">
        <v>2799</v>
      </c>
    </row>
    <row r="258" spans="1:4" x14ac:dyDescent="0.25">
      <c r="A258" t="s">
        <v>1513</v>
      </c>
      <c r="B258" t="s">
        <v>2820</v>
      </c>
      <c r="C258" t="s">
        <v>2796</v>
      </c>
      <c r="D258" t="s">
        <v>2799</v>
      </c>
    </row>
    <row r="259" spans="1:4" x14ac:dyDescent="0.25">
      <c r="A259" t="s">
        <v>1514</v>
      </c>
      <c r="B259" t="s">
        <v>2820</v>
      </c>
      <c r="C259" t="s">
        <v>2797</v>
      </c>
      <c r="D259" t="s">
        <v>2799</v>
      </c>
    </row>
    <row r="260" spans="1:4" x14ac:dyDescent="0.25">
      <c r="A260" t="s">
        <v>1515</v>
      </c>
      <c r="B260" t="s">
        <v>2820</v>
      </c>
      <c r="C260" t="s">
        <v>2798</v>
      </c>
      <c r="D260" t="s">
        <v>2799</v>
      </c>
    </row>
    <row r="261" spans="1:4" x14ac:dyDescent="0.25">
      <c r="A261" t="s">
        <v>1516</v>
      </c>
      <c r="B261" t="s">
        <v>2820</v>
      </c>
      <c r="C261" t="s">
        <v>2801</v>
      </c>
      <c r="D261" t="s">
        <v>2802</v>
      </c>
    </row>
    <row r="262" spans="1:4" x14ac:dyDescent="0.25">
      <c r="A262" t="s">
        <v>1517</v>
      </c>
      <c r="B262" t="s">
        <v>2820</v>
      </c>
      <c r="C262" t="s">
        <v>2803</v>
      </c>
      <c r="D262" t="s">
        <v>2794</v>
      </c>
    </row>
    <row r="263" spans="1:4" x14ac:dyDescent="0.25">
      <c r="A263" t="s">
        <v>1518</v>
      </c>
      <c r="B263" t="s">
        <v>2820</v>
      </c>
      <c r="C263" t="s">
        <v>2803</v>
      </c>
      <c r="D263" t="s">
        <v>2804</v>
      </c>
    </row>
    <row r="264" spans="1:4" x14ac:dyDescent="0.25">
      <c r="A264" t="s">
        <v>509</v>
      </c>
      <c r="B264" t="s">
        <v>2822</v>
      </c>
      <c r="C264" t="s">
        <v>2823</v>
      </c>
      <c r="D264" t="s">
        <v>2824</v>
      </c>
    </row>
    <row r="265" spans="1:4" x14ac:dyDescent="0.25">
      <c r="A265" t="s">
        <v>510</v>
      </c>
      <c r="B265" t="s">
        <v>2822</v>
      </c>
      <c r="C265" t="s">
        <v>2751</v>
      </c>
      <c r="D265" t="s">
        <v>2825</v>
      </c>
    </row>
    <row r="266" spans="1:4" x14ac:dyDescent="0.25">
      <c r="A266" t="s">
        <v>511</v>
      </c>
      <c r="B266" t="s">
        <v>2822</v>
      </c>
      <c r="C266" t="s">
        <v>2754</v>
      </c>
      <c r="D266" t="s">
        <v>2753</v>
      </c>
    </row>
    <row r="267" spans="1:4" x14ac:dyDescent="0.25">
      <c r="A267" t="s">
        <v>512</v>
      </c>
      <c r="B267" t="s">
        <v>2822</v>
      </c>
      <c r="C267" t="s">
        <v>2754</v>
      </c>
      <c r="D267" t="s">
        <v>2755</v>
      </c>
    </row>
    <row r="268" spans="1:4" x14ac:dyDescent="0.25">
      <c r="A268" t="s">
        <v>513</v>
      </c>
      <c r="B268" t="s">
        <v>2822</v>
      </c>
      <c r="C268" t="s">
        <v>2754</v>
      </c>
      <c r="D268" t="s">
        <v>2756</v>
      </c>
    </row>
    <row r="269" spans="1:4" x14ac:dyDescent="0.25">
      <c r="A269" t="s">
        <v>514</v>
      </c>
      <c r="B269" t="s">
        <v>2822</v>
      </c>
      <c r="C269" t="s">
        <v>2754</v>
      </c>
      <c r="D269" t="s">
        <v>2760</v>
      </c>
    </row>
    <row r="270" spans="1:4" x14ac:dyDescent="0.25">
      <c r="A270" t="s">
        <v>515</v>
      </c>
      <c r="B270" t="s">
        <v>2822</v>
      </c>
      <c r="C270" t="s">
        <v>2754</v>
      </c>
      <c r="D270" t="s">
        <v>2761</v>
      </c>
    </row>
    <row r="271" spans="1:4" x14ac:dyDescent="0.25">
      <c r="A271" t="s">
        <v>516</v>
      </c>
      <c r="B271" t="s">
        <v>2822</v>
      </c>
      <c r="C271" t="s">
        <v>2754</v>
      </c>
      <c r="D271" t="s">
        <v>2757</v>
      </c>
    </row>
    <row r="272" spans="1:4" x14ac:dyDescent="0.25">
      <c r="A272" t="s">
        <v>517</v>
      </c>
      <c r="B272" t="s">
        <v>2822</v>
      </c>
      <c r="C272" t="s">
        <v>2754</v>
      </c>
      <c r="D272" t="s">
        <v>2763</v>
      </c>
    </row>
    <row r="273" spans="1:4" x14ac:dyDescent="0.25">
      <c r="A273" t="s">
        <v>518</v>
      </c>
      <c r="B273" t="s">
        <v>2822</v>
      </c>
      <c r="C273" t="s">
        <v>2754</v>
      </c>
      <c r="D273" t="s">
        <v>2755</v>
      </c>
    </row>
    <row r="274" spans="1:4" x14ac:dyDescent="0.25">
      <c r="A274" t="s">
        <v>519</v>
      </c>
      <c r="B274" t="s">
        <v>2822</v>
      </c>
      <c r="C274" t="s">
        <v>2754</v>
      </c>
      <c r="D274" t="s">
        <v>2758</v>
      </c>
    </row>
    <row r="275" spans="1:4" x14ac:dyDescent="0.25">
      <c r="A275" t="s">
        <v>520</v>
      </c>
      <c r="B275" t="s">
        <v>2822</v>
      </c>
      <c r="C275" t="s">
        <v>2754</v>
      </c>
      <c r="D275" t="s">
        <v>2766</v>
      </c>
    </row>
    <row r="276" spans="1:4" x14ac:dyDescent="0.25">
      <c r="A276" t="s">
        <v>521</v>
      </c>
      <c r="B276" t="s">
        <v>2822</v>
      </c>
      <c r="C276" t="s">
        <v>2754</v>
      </c>
      <c r="D276" t="s">
        <v>2767</v>
      </c>
    </row>
    <row r="277" spans="1:4" x14ac:dyDescent="0.25">
      <c r="A277" t="s">
        <v>522</v>
      </c>
      <c r="B277" t="s">
        <v>2822</v>
      </c>
      <c r="C277" t="s">
        <v>2754</v>
      </c>
      <c r="D277" t="s">
        <v>2768</v>
      </c>
    </row>
    <row r="278" spans="1:4" x14ac:dyDescent="0.25">
      <c r="A278" t="s">
        <v>523</v>
      </c>
      <c r="B278" t="s">
        <v>2822</v>
      </c>
      <c r="C278" t="s">
        <v>2754</v>
      </c>
      <c r="D278" t="s">
        <v>2769</v>
      </c>
    </row>
    <row r="279" spans="1:4" x14ac:dyDescent="0.25">
      <c r="A279" t="s">
        <v>524</v>
      </c>
      <c r="B279" t="s">
        <v>2822</v>
      </c>
      <c r="C279" t="s">
        <v>2754</v>
      </c>
      <c r="D279" t="s">
        <v>2770</v>
      </c>
    </row>
    <row r="280" spans="1:4" x14ac:dyDescent="0.25">
      <c r="A280" t="s">
        <v>525</v>
      </c>
      <c r="B280" t="s">
        <v>2822</v>
      </c>
      <c r="C280" t="s">
        <v>2754</v>
      </c>
      <c r="D280" t="s">
        <v>2770</v>
      </c>
    </row>
    <row r="281" spans="1:4" x14ac:dyDescent="0.25">
      <c r="A281" t="s">
        <v>526</v>
      </c>
      <c r="B281" t="s">
        <v>2822</v>
      </c>
      <c r="C281" t="s">
        <v>2754</v>
      </c>
      <c r="D281" t="s">
        <v>2764</v>
      </c>
    </row>
    <row r="282" spans="1:4" x14ac:dyDescent="0.25">
      <c r="A282" t="s">
        <v>527</v>
      </c>
      <c r="B282" t="s">
        <v>2822</v>
      </c>
      <c r="C282" t="s">
        <v>2771</v>
      </c>
      <c r="D282" t="s">
        <v>2772</v>
      </c>
    </row>
    <row r="283" spans="1:4" x14ac:dyDescent="0.25">
      <c r="A283" t="s">
        <v>528</v>
      </c>
      <c r="B283" t="s">
        <v>2822</v>
      </c>
      <c r="C283" t="s">
        <v>2771</v>
      </c>
      <c r="D283" t="s">
        <v>2826</v>
      </c>
    </row>
    <row r="284" spans="1:4" x14ac:dyDescent="0.25">
      <c r="A284" t="s">
        <v>529</v>
      </c>
      <c r="B284" t="s">
        <v>2822</v>
      </c>
      <c r="C284" t="s">
        <v>2771</v>
      </c>
      <c r="D284" t="s">
        <v>2826</v>
      </c>
    </row>
    <row r="285" spans="1:4" x14ac:dyDescent="0.25">
      <c r="A285" t="s">
        <v>530</v>
      </c>
      <c r="B285" t="s">
        <v>2822</v>
      </c>
      <c r="C285" t="s">
        <v>2771</v>
      </c>
      <c r="D285" t="s">
        <v>2826</v>
      </c>
    </row>
    <row r="286" spans="1:4" x14ac:dyDescent="0.25">
      <c r="A286" t="s">
        <v>531</v>
      </c>
      <c r="B286" t="s">
        <v>2822</v>
      </c>
      <c r="C286" t="s">
        <v>2771</v>
      </c>
      <c r="D286" t="s">
        <v>2826</v>
      </c>
    </row>
    <row r="287" spans="1:4" x14ac:dyDescent="0.25">
      <c r="A287" t="s">
        <v>532</v>
      </c>
      <c r="B287" t="s">
        <v>2822</v>
      </c>
      <c r="C287" t="s">
        <v>2771</v>
      </c>
      <c r="D287" t="s">
        <v>2826</v>
      </c>
    </row>
    <row r="288" spans="1:4" x14ac:dyDescent="0.25">
      <c r="A288" t="s">
        <v>533</v>
      </c>
      <c r="B288" t="s">
        <v>2822</v>
      </c>
      <c r="C288" t="s">
        <v>2771</v>
      </c>
      <c r="D288" t="s">
        <v>2808</v>
      </c>
    </row>
    <row r="289" spans="1:4" x14ac:dyDescent="0.25">
      <c r="A289" t="s">
        <v>534</v>
      </c>
      <c r="B289" t="s">
        <v>2822</v>
      </c>
      <c r="C289" t="s">
        <v>2775</v>
      </c>
      <c r="D289" t="s">
        <v>2828</v>
      </c>
    </row>
    <row r="290" spans="1:4" x14ac:dyDescent="0.25">
      <c r="A290" t="s">
        <v>535</v>
      </c>
      <c r="B290" t="s">
        <v>2822</v>
      </c>
      <c r="C290" t="s">
        <v>2775</v>
      </c>
      <c r="D290" t="s">
        <v>2780</v>
      </c>
    </row>
    <row r="291" spans="1:4" x14ac:dyDescent="0.25">
      <c r="A291" t="s">
        <v>536</v>
      </c>
      <c r="B291" t="s">
        <v>2822</v>
      </c>
      <c r="C291" t="s">
        <v>2775</v>
      </c>
      <c r="D291" t="s">
        <v>2829</v>
      </c>
    </row>
    <row r="292" spans="1:4" x14ac:dyDescent="0.25">
      <c r="A292" t="s">
        <v>537</v>
      </c>
      <c r="B292" t="s">
        <v>2822</v>
      </c>
      <c r="C292" t="s">
        <v>2775</v>
      </c>
      <c r="D292" t="s">
        <v>2781</v>
      </c>
    </row>
    <row r="293" spans="1:4" x14ac:dyDescent="0.25">
      <c r="A293" t="s">
        <v>538</v>
      </c>
      <c r="B293" t="s">
        <v>2822</v>
      </c>
      <c r="C293" t="s">
        <v>2787</v>
      </c>
      <c r="D293" t="s">
        <v>2789</v>
      </c>
    </row>
    <row r="294" spans="1:4" x14ac:dyDescent="0.25">
      <c r="A294" t="s">
        <v>1519</v>
      </c>
      <c r="B294" t="s">
        <v>2822</v>
      </c>
      <c r="C294" t="s">
        <v>2794</v>
      </c>
      <c r="D294" t="s">
        <v>2795</v>
      </c>
    </row>
    <row r="295" spans="1:4" x14ac:dyDescent="0.25">
      <c r="A295" t="s">
        <v>1520</v>
      </c>
      <c r="B295" t="s">
        <v>2822</v>
      </c>
      <c r="C295" t="s">
        <v>2796</v>
      </c>
      <c r="D295" t="s">
        <v>2799</v>
      </c>
    </row>
    <row r="296" spans="1:4" x14ac:dyDescent="0.25">
      <c r="A296" t="s">
        <v>1521</v>
      </c>
      <c r="B296" t="s">
        <v>2822</v>
      </c>
      <c r="C296" t="s">
        <v>2797</v>
      </c>
      <c r="D296" t="s">
        <v>2799</v>
      </c>
    </row>
    <row r="297" spans="1:4" x14ac:dyDescent="0.25">
      <c r="A297" t="s">
        <v>1522</v>
      </c>
      <c r="B297" t="s">
        <v>2822</v>
      </c>
      <c r="C297" t="s">
        <v>2798</v>
      </c>
      <c r="D297" t="s">
        <v>2799</v>
      </c>
    </row>
    <row r="298" spans="1:4" x14ac:dyDescent="0.25">
      <c r="A298" t="s">
        <v>1523</v>
      </c>
      <c r="B298" t="s">
        <v>2822</v>
      </c>
      <c r="C298" t="s">
        <v>2801</v>
      </c>
      <c r="D298" t="s">
        <v>2802</v>
      </c>
    </row>
    <row r="299" spans="1:4" x14ac:dyDescent="0.25">
      <c r="A299" t="s">
        <v>1524</v>
      </c>
      <c r="B299" t="s">
        <v>2822</v>
      </c>
      <c r="C299" t="s">
        <v>2803</v>
      </c>
      <c r="D299" t="s">
        <v>2794</v>
      </c>
    </row>
    <row r="300" spans="1:4" x14ac:dyDescent="0.25">
      <c r="A300" t="s">
        <v>1525</v>
      </c>
      <c r="B300" t="s">
        <v>2822</v>
      </c>
      <c r="C300" t="s">
        <v>2803</v>
      </c>
      <c r="D300" t="s">
        <v>2804</v>
      </c>
    </row>
    <row r="301" spans="1:4" x14ac:dyDescent="0.25">
      <c r="A301" t="s">
        <v>540</v>
      </c>
      <c r="B301" t="s">
        <v>2830</v>
      </c>
      <c r="C301" t="s">
        <v>2751</v>
      </c>
      <c r="D301" t="s">
        <v>2831</v>
      </c>
    </row>
    <row r="302" spans="1:4" x14ac:dyDescent="0.25">
      <c r="A302" t="s">
        <v>541</v>
      </c>
      <c r="B302" t="s">
        <v>2830</v>
      </c>
      <c r="C302" t="s">
        <v>2751</v>
      </c>
      <c r="D302" t="s">
        <v>2832</v>
      </c>
    </row>
    <row r="303" spans="1:4" x14ac:dyDescent="0.25">
      <c r="A303" t="s">
        <v>542</v>
      </c>
      <c r="B303" t="s">
        <v>2830</v>
      </c>
      <c r="C303" t="s">
        <v>2751</v>
      </c>
      <c r="D303" t="s">
        <v>2833</v>
      </c>
    </row>
    <row r="304" spans="1:4" x14ac:dyDescent="0.25">
      <c r="A304" t="s">
        <v>543</v>
      </c>
      <c r="B304" t="s">
        <v>2830</v>
      </c>
      <c r="C304" t="s">
        <v>2751</v>
      </c>
      <c r="D304" t="s">
        <v>2825</v>
      </c>
    </row>
    <row r="305" spans="1:4" x14ac:dyDescent="0.25">
      <c r="A305" t="s">
        <v>544</v>
      </c>
      <c r="B305" t="s">
        <v>2830</v>
      </c>
      <c r="C305" t="s">
        <v>2751</v>
      </c>
      <c r="D305" t="s">
        <v>2834</v>
      </c>
    </row>
    <row r="306" spans="1:4" x14ac:dyDescent="0.25">
      <c r="A306" t="s">
        <v>545</v>
      </c>
      <c r="B306" t="s">
        <v>2830</v>
      </c>
      <c r="C306" t="s">
        <v>2751</v>
      </c>
      <c r="D306" t="s">
        <v>2835</v>
      </c>
    </row>
    <row r="307" spans="1:4" x14ac:dyDescent="0.25">
      <c r="A307" t="s">
        <v>546</v>
      </c>
      <c r="B307" t="s">
        <v>2830</v>
      </c>
      <c r="C307" t="s">
        <v>2754</v>
      </c>
      <c r="D307" t="s">
        <v>2753</v>
      </c>
    </row>
    <row r="308" spans="1:4" x14ac:dyDescent="0.25">
      <c r="A308" t="s">
        <v>547</v>
      </c>
      <c r="B308" t="s">
        <v>2830</v>
      </c>
      <c r="C308" t="s">
        <v>2754</v>
      </c>
      <c r="D308" t="s">
        <v>2755</v>
      </c>
    </row>
    <row r="309" spans="1:4" x14ac:dyDescent="0.25">
      <c r="A309" t="s">
        <v>548</v>
      </c>
      <c r="B309" t="s">
        <v>2830</v>
      </c>
      <c r="C309" t="s">
        <v>2754</v>
      </c>
      <c r="D309" t="s">
        <v>2756</v>
      </c>
    </row>
    <row r="310" spans="1:4" x14ac:dyDescent="0.25">
      <c r="A310" t="s">
        <v>549</v>
      </c>
      <c r="B310" t="s">
        <v>2830</v>
      </c>
      <c r="C310" t="s">
        <v>2754</v>
      </c>
      <c r="D310" t="s">
        <v>2760</v>
      </c>
    </row>
    <row r="311" spans="1:4" x14ac:dyDescent="0.25">
      <c r="A311" t="s">
        <v>550</v>
      </c>
      <c r="B311" t="s">
        <v>2830</v>
      </c>
      <c r="C311" t="s">
        <v>2754</v>
      </c>
      <c r="D311" t="s">
        <v>2761</v>
      </c>
    </row>
    <row r="312" spans="1:4" x14ac:dyDescent="0.25">
      <c r="A312" t="s">
        <v>551</v>
      </c>
      <c r="B312" t="s">
        <v>2830</v>
      </c>
      <c r="C312" t="s">
        <v>2754</v>
      </c>
      <c r="D312" t="s">
        <v>2757</v>
      </c>
    </row>
    <row r="313" spans="1:4" x14ac:dyDescent="0.25">
      <c r="A313" t="s">
        <v>552</v>
      </c>
      <c r="B313" t="s">
        <v>2830</v>
      </c>
      <c r="C313" t="s">
        <v>2754</v>
      </c>
      <c r="D313" t="s">
        <v>2763</v>
      </c>
    </row>
    <row r="314" spans="1:4" x14ac:dyDescent="0.25">
      <c r="A314" t="s">
        <v>553</v>
      </c>
      <c r="B314" t="s">
        <v>2830</v>
      </c>
      <c r="C314" t="s">
        <v>2754</v>
      </c>
      <c r="D314" t="s">
        <v>2755</v>
      </c>
    </row>
    <row r="315" spans="1:4" x14ac:dyDescent="0.25">
      <c r="A315" t="s">
        <v>554</v>
      </c>
      <c r="B315" t="s">
        <v>2830</v>
      </c>
      <c r="C315" t="s">
        <v>2754</v>
      </c>
      <c r="D315" t="s">
        <v>2758</v>
      </c>
    </row>
    <row r="316" spans="1:4" x14ac:dyDescent="0.25">
      <c r="A316" t="s">
        <v>555</v>
      </c>
      <c r="B316" t="s">
        <v>2830</v>
      </c>
      <c r="C316" t="s">
        <v>2754</v>
      </c>
      <c r="D316" t="s">
        <v>2766</v>
      </c>
    </row>
    <row r="317" spans="1:4" x14ac:dyDescent="0.25">
      <c r="A317" t="s">
        <v>556</v>
      </c>
      <c r="B317" t="s">
        <v>2830</v>
      </c>
      <c r="C317" t="s">
        <v>2754</v>
      </c>
      <c r="D317" t="s">
        <v>2767</v>
      </c>
    </row>
    <row r="318" spans="1:4" x14ac:dyDescent="0.25">
      <c r="A318" t="s">
        <v>557</v>
      </c>
      <c r="B318" t="s">
        <v>2830</v>
      </c>
      <c r="C318" t="s">
        <v>2754</v>
      </c>
      <c r="D318" t="s">
        <v>2768</v>
      </c>
    </row>
    <row r="319" spans="1:4" x14ac:dyDescent="0.25">
      <c r="A319" t="s">
        <v>558</v>
      </c>
      <c r="B319" t="s">
        <v>2830</v>
      </c>
      <c r="C319" t="s">
        <v>2754</v>
      </c>
      <c r="D319" t="s">
        <v>2769</v>
      </c>
    </row>
    <row r="320" spans="1:4" x14ac:dyDescent="0.25">
      <c r="A320" t="s">
        <v>559</v>
      </c>
      <c r="B320" t="s">
        <v>2830</v>
      </c>
      <c r="C320" t="s">
        <v>2754</v>
      </c>
      <c r="D320" t="s">
        <v>2770</v>
      </c>
    </row>
    <row r="321" spans="1:4" x14ac:dyDescent="0.25">
      <c r="A321" t="s">
        <v>560</v>
      </c>
      <c r="B321" t="s">
        <v>2830</v>
      </c>
      <c r="C321" t="s">
        <v>2754</v>
      </c>
      <c r="D321" t="s">
        <v>2770</v>
      </c>
    </row>
    <row r="322" spans="1:4" x14ac:dyDescent="0.25">
      <c r="A322" t="s">
        <v>561</v>
      </c>
      <c r="B322" t="s">
        <v>2830</v>
      </c>
      <c r="C322" t="s">
        <v>2754</v>
      </c>
      <c r="D322" t="s">
        <v>2764</v>
      </c>
    </row>
    <row r="323" spans="1:4" x14ac:dyDescent="0.25">
      <c r="A323" t="s">
        <v>562</v>
      </c>
      <c r="B323" t="s">
        <v>2830</v>
      </c>
      <c r="C323" t="s">
        <v>2775</v>
      </c>
      <c r="D323" t="s">
        <v>2780</v>
      </c>
    </row>
    <row r="324" spans="1:4" x14ac:dyDescent="0.25">
      <c r="A324" t="s">
        <v>563</v>
      </c>
      <c r="B324" t="s">
        <v>2830</v>
      </c>
      <c r="C324" t="s">
        <v>2775</v>
      </c>
      <c r="D324" t="s">
        <v>2781</v>
      </c>
    </row>
    <row r="325" spans="1:4" x14ac:dyDescent="0.25">
      <c r="A325" t="s">
        <v>564</v>
      </c>
      <c r="B325" t="s">
        <v>2830</v>
      </c>
      <c r="C325" t="s">
        <v>2787</v>
      </c>
      <c r="D325" t="s">
        <v>2788</v>
      </c>
    </row>
    <row r="326" spans="1:4" x14ac:dyDescent="0.25">
      <c r="A326" t="s">
        <v>565</v>
      </c>
      <c r="B326" t="s">
        <v>2830</v>
      </c>
      <c r="C326" t="s">
        <v>2787</v>
      </c>
      <c r="D326" t="s">
        <v>2789</v>
      </c>
    </row>
    <row r="327" spans="1:4" x14ac:dyDescent="0.25">
      <c r="A327" t="s">
        <v>566</v>
      </c>
      <c r="B327" t="s">
        <v>2830</v>
      </c>
      <c r="C327" t="s">
        <v>2787</v>
      </c>
      <c r="D327" t="s">
        <v>2789</v>
      </c>
    </row>
    <row r="328" spans="1:4" x14ac:dyDescent="0.25">
      <c r="A328" t="s">
        <v>567</v>
      </c>
      <c r="B328" t="s">
        <v>2830</v>
      </c>
      <c r="C328" t="s">
        <v>2787</v>
      </c>
      <c r="D328" t="s">
        <v>2799</v>
      </c>
    </row>
    <row r="329" spans="1:4" x14ac:dyDescent="0.25">
      <c r="A329" t="s">
        <v>1526</v>
      </c>
      <c r="B329" t="s">
        <v>2830</v>
      </c>
      <c r="C329" t="s">
        <v>2794</v>
      </c>
      <c r="D329" t="s">
        <v>2795</v>
      </c>
    </row>
    <row r="330" spans="1:4" x14ac:dyDescent="0.25">
      <c r="A330" t="s">
        <v>1527</v>
      </c>
      <c r="B330" t="s">
        <v>2830</v>
      </c>
      <c r="C330" t="s">
        <v>2796</v>
      </c>
      <c r="D330" t="s">
        <v>2788</v>
      </c>
    </row>
    <row r="331" spans="1:4" x14ac:dyDescent="0.25">
      <c r="A331" t="s">
        <v>1528</v>
      </c>
      <c r="B331" t="s">
        <v>2830</v>
      </c>
      <c r="C331" t="s">
        <v>2797</v>
      </c>
      <c r="D331" t="s">
        <v>2788</v>
      </c>
    </row>
    <row r="332" spans="1:4" x14ac:dyDescent="0.25">
      <c r="A332" t="s">
        <v>1529</v>
      </c>
      <c r="B332" t="s">
        <v>2830</v>
      </c>
      <c r="C332" t="s">
        <v>2797</v>
      </c>
      <c r="D332" t="s">
        <v>2788</v>
      </c>
    </row>
    <row r="333" spans="1:4" x14ac:dyDescent="0.25">
      <c r="A333" t="s">
        <v>1530</v>
      </c>
      <c r="B333" t="s">
        <v>2830</v>
      </c>
      <c r="C333" t="s">
        <v>2796</v>
      </c>
      <c r="D333" t="s">
        <v>2799</v>
      </c>
    </row>
    <row r="334" spans="1:4" x14ac:dyDescent="0.25">
      <c r="A334" t="s">
        <v>1531</v>
      </c>
      <c r="B334" t="s">
        <v>2830</v>
      </c>
      <c r="C334" t="s">
        <v>2797</v>
      </c>
      <c r="D334" t="s">
        <v>2799</v>
      </c>
    </row>
    <row r="335" spans="1:4" x14ac:dyDescent="0.25">
      <c r="A335" t="s">
        <v>1532</v>
      </c>
      <c r="B335" t="s">
        <v>2830</v>
      </c>
      <c r="C335" t="s">
        <v>2798</v>
      </c>
      <c r="D335" t="s">
        <v>2799</v>
      </c>
    </row>
    <row r="336" spans="1:4" x14ac:dyDescent="0.25">
      <c r="A336" t="s">
        <v>1533</v>
      </c>
      <c r="B336" t="s">
        <v>2830</v>
      </c>
      <c r="C336" t="s">
        <v>2796</v>
      </c>
      <c r="D336" t="s">
        <v>2799</v>
      </c>
    </row>
    <row r="337" spans="1:4" x14ac:dyDescent="0.25">
      <c r="A337" t="s">
        <v>1534</v>
      </c>
      <c r="B337" t="s">
        <v>2830</v>
      </c>
      <c r="C337" t="s">
        <v>2797</v>
      </c>
      <c r="D337" t="s">
        <v>2799</v>
      </c>
    </row>
    <row r="338" spans="1:4" x14ac:dyDescent="0.25">
      <c r="A338" t="s">
        <v>1535</v>
      </c>
      <c r="B338" t="s">
        <v>2830</v>
      </c>
      <c r="C338" t="s">
        <v>2798</v>
      </c>
      <c r="D338" t="s">
        <v>2799</v>
      </c>
    </row>
    <row r="339" spans="1:4" x14ac:dyDescent="0.25">
      <c r="A339" t="s">
        <v>1536</v>
      </c>
      <c r="B339" t="s">
        <v>2830</v>
      </c>
      <c r="C339" t="s">
        <v>2801</v>
      </c>
      <c r="D339" t="s">
        <v>2802</v>
      </c>
    </row>
    <row r="340" spans="1:4" x14ac:dyDescent="0.25">
      <c r="A340" t="s">
        <v>1537</v>
      </c>
      <c r="B340" t="s">
        <v>2830</v>
      </c>
      <c r="C340" t="s">
        <v>2803</v>
      </c>
      <c r="D340" t="s">
        <v>2794</v>
      </c>
    </row>
    <row r="341" spans="1:4" x14ac:dyDescent="0.25">
      <c r="A341" t="s">
        <v>1538</v>
      </c>
      <c r="B341" t="s">
        <v>2830</v>
      </c>
      <c r="C341" t="s">
        <v>2803</v>
      </c>
      <c r="D341" t="s">
        <v>2804</v>
      </c>
    </row>
    <row r="342" spans="1:4" x14ac:dyDescent="0.25">
      <c r="A342" t="s">
        <v>569</v>
      </c>
      <c r="B342" t="s">
        <v>2836</v>
      </c>
      <c r="C342" t="s">
        <v>2754</v>
      </c>
      <c r="D342" t="s">
        <v>2753</v>
      </c>
    </row>
    <row r="343" spans="1:4" x14ac:dyDescent="0.25">
      <c r="A343" t="s">
        <v>570</v>
      </c>
      <c r="B343" t="s">
        <v>2836</v>
      </c>
      <c r="C343" t="s">
        <v>2754</v>
      </c>
      <c r="D343" t="s">
        <v>2755</v>
      </c>
    </row>
    <row r="344" spans="1:4" x14ac:dyDescent="0.25">
      <c r="A344" t="s">
        <v>571</v>
      </c>
      <c r="B344" t="s">
        <v>2836</v>
      </c>
      <c r="C344" t="s">
        <v>2754</v>
      </c>
      <c r="D344" t="s">
        <v>2760</v>
      </c>
    </row>
    <row r="345" spans="1:4" x14ac:dyDescent="0.25">
      <c r="A345" t="s">
        <v>572</v>
      </c>
      <c r="B345" t="s">
        <v>2836</v>
      </c>
      <c r="C345" t="s">
        <v>2754</v>
      </c>
      <c r="D345" t="s">
        <v>2761</v>
      </c>
    </row>
    <row r="346" spans="1:4" x14ac:dyDescent="0.25">
      <c r="A346" t="s">
        <v>573</v>
      </c>
      <c r="B346" t="s">
        <v>2836</v>
      </c>
      <c r="C346" t="s">
        <v>2754</v>
      </c>
      <c r="D346" t="s">
        <v>2762</v>
      </c>
    </row>
    <row r="347" spans="1:4" x14ac:dyDescent="0.25">
      <c r="A347" t="s">
        <v>574</v>
      </c>
      <c r="B347" t="s">
        <v>2836</v>
      </c>
      <c r="C347" t="s">
        <v>2754</v>
      </c>
      <c r="D347" t="s">
        <v>2755</v>
      </c>
    </row>
    <row r="348" spans="1:4" x14ac:dyDescent="0.25">
      <c r="A348" t="s">
        <v>575</v>
      </c>
      <c r="B348" t="s">
        <v>2836</v>
      </c>
      <c r="C348" t="s">
        <v>2754</v>
      </c>
      <c r="D348" t="s">
        <v>2766</v>
      </c>
    </row>
    <row r="349" spans="1:4" x14ac:dyDescent="0.25">
      <c r="A349" t="s">
        <v>576</v>
      </c>
      <c r="B349" t="s">
        <v>2836</v>
      </c>
      <c r="C349" t="s">
        <v>2754</v>
      </c>
      <c r="D349" t="s">
        <v>2767</v>
      </c>
    </row>
    <row r="350" spans="1:4" x14ac:dyDescent="0.25">
      <c r="A350" t="s">
        <v>577</v>
      </c>
      <c r="B350" t="s">
        <v>2836</v>
      </c>
      <c r="C350" t="s">
        <v>2754</v>
      </c>
      <c r="D350" t="s">
        <v>2768</v>
      </c>
    </row>
    <row r="351" spans="1:4" x14ac:dyDescent="0.25">
      <c r="A351" t="s">
        <v>578</v>
      </c>
      <c r="B351" t="s">
        <v>2836</v>
      </c>
      <c r="C351" t="s">
        <v>2754</v>
      </c>
      <c r="D351" t="s">
        <v>2769</v>
      </c>
    </row>
    <row r="352" spans="1:4" x14ac:dyDescent="0.25">
      <c r="A352" t="s">
        <v>579</v>
      </c>
      <c r="B352" t="s">
        <v>2836</v>
      </c>
      <c r="C352" t="s">
        <v>2754</v>
      </c>
      <c r="D352" t="s">
        <v>2770</v>
      </c>
    </row>
    <row r="353" spans="1:4" x14ac:dyDescent="0.25">
      <c r="A353" t="s">
        <v>580</v>
      </c>
      <c r="B353" t="s">
        <v>2836</v>
      </c>
      <c r="C353" t="s">
        <v>2754</v>
      </c>
      <c r="D353" t="s">
        <v>2770</v>
      </c>
    </row>
    <row r="354" spans="1:4" x14ac:dyDescent="0.25">
      <c r="A354" t="s">
        <v>581</v>
      </c>
      <c r="B354" t="s">
        <v>2836</v>
      </c>
      <c r="C354" t="s">
        <v>2754</v>
      </c>
      <c r="D354" t="s">
        <v>2756</v>
      </c>
    </row>
    <row r="355" spans="1:4" x14ac:dyDescent="0.25">
      <c r="A355" t="s">
        <v>1539</v>
      </c>
      <c r="B355" t="s">
        <v>2836</v>
      </c>
      <c r="C355" t="s">
        <v>2794</v>
      </c>
      <c r="D355" t="s">
        <v>2795</v>
      </c>
    </row>
    <row r="356" spans="1:4" x14ac:dyDescent="0.25">
      <c r="A356" t="s">
        <v>1540</v>
      </c>
      <c r="B356" t="s">
        <v>2836</v>
      </c>
      <c r="C356" t="s">
        <v>2803</v>
      </c>
      <c r="D356" t="s">
        <v>2794</v>
      </c>
    </row>
    <row r="357" spans="1:4" x14ac:dyDescent="0.25">
      <c r="A357" t="s">
        <v>1541</v>
      </c>
      <c r="B357" t="s">
        <v>2836</v>
      </c>
      <c r="C357" t="s">
        <v>2803</v>
      </c>
      <c r="D357" t="s">
        <v>2804</v>
      </c>
    </row>
    <row r="358" spans="1:4" x14ac:dyDescent="0.25">
      <c r="A358" t="s">
        <v>583</v>
      </c>
      <c r="B358" t="s">
        <v>2837</v>
      </c>
      <c r="C358" t="s">
        <v>2754</v>
      </c>
      <c r="D358" t="s">
        <v>2753</v>
      </c>
    </row>
    <row r="359" spans="1:4" x14ac:dyDescent="0.25">
      <c r="A359" t="s">
        <v>584</v>
      </c>
      <c r="B359" t="s">
        <v>2837</v>
      </c>
      <c r="C359" t="s">
        <v>2754</v>
      </c>
      <c r="D359" t="s">
        <v>2838</v>
      </c>
    </row>
    <row r="360" spans="1:4" x14ac:dyDescent="0.25">
      <c r="A360" t="s">
        <v>585</v>
      </c>
      <c r="B360" t="s">
        <v>2837</v>
      </c>
      <c r="C360" t="s">
        <v>2754</v>
      </c>
      <c r="D360" t="s">
        <v>2756</v>
      </c>
    </row>
    <row r="361" spans="1:4" x14ac:dyDescent="0.25">
      <c r="A361" t="s">
        <v>586</v>
      </c>
      <c r="B361" t="s">
        <v>2837</v>
      </c>
      <c r="C361" t="s">
        <v>2754</v>
      </c>
      <c r="D361" t="s">
        <v>2757</v>
      </c>
    </row>
    <row r="362" spans="1:4" x14ac:dyDescent="0.25">
      <c r="A362" t="s">
        <v>587</v>
      </c>
      <c r="B362" t="s">
        <v>2837</v>
      </c>
      <c r="C362" t="s">
        <v>2754</v>
      </c>
      <c r="D362" t="s">
        <v>2757</v>
      </c>
    </row>
    <row r="363" spans="1:4" x14ac:dyDescent="0.25">
      <c r="A363" t="s">
        <v>588</v>
      </c>
      <c r="B363" t="s">
        <v>2837</v>
      </c>
      <c r="C363" t="s">
        <v>2754</v>
      </c>
      <c r="D363" t="s">
        <v>2758</v>
      </c>
    </row>
    <row r="364" spans="1:4" x14ac:dyDescent="0.25">
      <c r="A364" t="s">
        <v>589</v>
      </c>
      <c r="B364" t="s">
        <v>2837</v>
      </c>
      <c r="C364" t="s">
        <v>2754</v>
      </c>
      <c r="D364" t="s">
        <v>2753</v>
      </c>
    </row>
    <row r="365" spans="1:4" x14ac:dyDescent="0.25">
      <c r="A365" t="s">
        <v>590</v>
      </c>
      <c r="B365" t="s">
        <v>2837</v>
      </c>
      <c r="C365" t="s">
        <v>2754</v>
      </c>
      <c r="D365" t="s">
        <v>2755</v>
      </c>
    </row>
    <row r="366" spans="1:4" x14ac:dyDescent="0.25">
      <c r="A366" t="s">
        <v>591</v>
      </c>
      <c r="B366" t="s">
        <v>2837</v>
      </c>
      <c r="C366" t="s">
        <v>2754</v>
      </c>
      <c r="D366" t="s">
        <v>2756</v>
      </c>
    </row>
    <row r="367" spans="1:4" x14ac:dyDescent="0.25">
      <c r="A367" t="s">
        <v>592</v>
      </c>
      <c r="B367" t="s">
        <v>2837</v>
      </c>
      <c r="C367" t="s">
        <v>2754</v>
      </c>
      <c r="D367" t="s">
        <v>2760</v>
      </c>
    </row>
    <row r="368" spans="1:4" x14ac:dyDescent="0.25">
      <c r="A368" t="s">
        <v>593</v>
      </c>
      <c r="B368" t="s">
        <v>2837</v>
      </c>
      <c r="C368" t="s">
        <v>2754</v>
      </c>
      <c r="D368" t="s">
        <v>2761</v>
      </c>
    </row>
    <row r="369" spans="1:4" x14ac:dyDescent="0.25">
      <c r="A369" t="s">
        <v>594</v>
      </c>
      <c r="B369" t="s">
        <v>2837</v>
      </c>
      <c r="C369" t="s">
        <v>2754</v>
      </c>
      <c r="D369" t="s">
        <v>2757</v>
      </c>
    </row>
    <row r="370" spans="1:4" x14ac:dyDescent="0.25">
      <c r="A370" t="s">
        <v>595</v>
      </c>
      <c r="B370" t="s">
        <v>2837</v>
      </c>
      <c r="C370" t="s">
        <v>2754</v>
      </c>
      <c r="D370" t="s">
        <v>2763</v>
      </c>
    </row>
    <row r="371" spans="1:4" x14ac:dyDescent="0.25">
      <c r="A371" t="s">
        <v>596</v>
      </c>
      <c r="B371" t="s">
        <v>2837</v>
      </c>
      <c r="C371" t="s">
        <v>2754</v>
      </c>
      <c r="D371" t="s">
        <v>2755</v>
      </c>
    </row>
    <row r="372" spans="1:4" x14ac:dyDescent="0.25">
      <c r="A372" t="s">
        <v>597</v>
      </c>
      <c r="B372" t="s">
        <v>2837</v>
      </c>
      <c r="C372" t="s">
        <v>2754</v>
      </c>
      <c r="D372" t="s">
        <v>2758</v>
      </c>
    </row>
    <row r="373" spans="1:4" x14ac:dyDescent="0.25">
      <c r="A373" t="s">
        <v>598</v>
      </c>
      <c r="B373" t="s">
        <v>2837</v>
      </c>
      <c r="C373" t="s">
        <v>2754</v>
      </c>
      <c r="D373" t="s">
        <v>2766</v>
      </c>
    </row>
    <row r="374" spans="1:4" x14ac:dyDescent="0.25">
      <c r="A374" t="s">
        <v>599</v>
      </c>
      <c r="B374" t="s">
        <v>2837</v>
      </c>
      <c r="C374" t="s">
        <v>2754</v>
      </c>
      <c r="D374" t="s">
        <v>2767</v>
      </c>
    </row>
    <row r="375" spans="1:4" x14ac:dyDescent="0.25">
      <c r="A375" t="s">
        <v>600</v>
      </c>
      <c r="B375" t="s">
        <v>2837</v>
      </c>
      <c r="C375" t="s">
        <v>2754</v>
      </c>
      <c r="D375" t="s">
        <v>2768</v>
      </c>
    </row>
    <row r="376" spans="1:4" x14ac:dyDescent="0.25">
      <c r="A376" t="s">
        <v>601</v>
      </c>
      <c r="B376" t="s">
        <v>2837</v>
      </c>
      <c r="C376" t="s">
        <v>2754</v>
      </c>
      <c r="D376" t="s">
        <v>2769</v>
      </c>
    </row>
    <row r="377" spans="1:4" x14ac:dyDescent="0.25">
      <c r="A377" t="s">
        <v>602</v>
      </c>
      <c r="B377" t="s">
        <v>2837</v>
      </c>
      <c r="C377" t="s">
        <v>2754</v>
      </c>
      <c r="D377" t="s">
        <v>2770</v>
      </c>
    </row>
    <row r="378" spans="1:4" x14ac:dyDescent="0.25">
      <c r="A378" t="s">
        <v>603</v>
      </c>
      <c r="B378" t="s">
        <v>2837</v>
      </c>
      <c r="C378" t="s">
        <v>2754</v>
      </c>
      <c r="D378" t="s">
        <v>2770</v>
      </c>
    </row>
    <row r="379" spans="1:4" x14ac:dyDescent="0.25">
      <c r="A379" t="s">
        <v>604</v>
      </c>
      <c r="B379" t="s">
        <v>2837</v>
      </c>
      <c r="C379" t="s">
        <v>2754</v>
      </c>
      <c r="D379" t="s">
        <v>2764</v>
      </c>
    </row>
    <row r="380" spans="1:4" x14ac:dyDescent="0.25">
      <c r="A380" t="s">
        <v>605</v>
      </c>
      <c r="B380" t="s">
        <v>2837</v>
      </c>
      <c r="C380" t="s">
        <v>2771</v>
      </c>
      <c r="D380" t="s">
        <v>2772</v>
      </c>
    </row>
    <row r="381" spans="1:4" x14ac:dyDescent="0.25">
      <c r="A381" t="s">
        <v>606</v>
      </c>
      <c r="B381" t="s">
        <v>2837</v>
      </c>
      <c r="C381" t="s">
        <v>2775</v>
      </c>
      <c r="D381" t="s">
        <v>2781</v>
      </c>
    </row>
    <row r="382" spans="1:4" x14ac:dyDescent="0.25">
      <c r="A382" t="s">
        <v>607</v>
      </c>
      <c r="B382" t="s">
        <v>2837</v>
      </c>
      <c r="C382" t="s">
        <v>2775</v>
      </c>
      <c r="D382" t="s">
        <v>2839</v>
      </c>
    </row>
    <row r="383" spans="1:4" x14ac:dyDescent="0.25">
      <c r="A383" t="s">
        <v>608</v>
      </c>
      <c r="B383" t="s">
        <v>2837</v>
      </c>
      <c r="C383" t="s">
        <v>2775</v>
      </c>
      <c r="D383" t="s">
        <v>2840</v>
      </c>
    </row>
    <row r="384" spans="1:4" x14ac:dyDescent="0.25">
      <c r="A384" t="s">
        <v>609</v>
      </c>
      <c r="B384" t="s">
        <v>2837</v>
      </c>
      <c r="C384" t="s">
        <v>2775</v>
      </c>
      <c r="D384" t="s">
        <v>2778</v>
      </c>
    </row>
    <row r="385" spans="1:4" x14ac:dyDescent="0.25">
      <c r="A385" t="s">
        <v>610</v>
      </c>
      <c r="B385" t="s">
        <v>2837</v>
      </c>
      <c r="C385" t="s">
        <v>2775</v>
      </c>
      <c r="D385" t="s">
        <v>2778</v>
      </c>
    </row>
    <row r="386" spans="1:4" x14ac:dyDescent="0.25">
      <c r="A386" t="s">
        <v>611</v>
      </c>
      <c r="B386" t="s">
        <v>2837</v>
      </c>
      <c r="C386" t="s">
        <v>2775</v>
      </c>
      <c r="D386" t="s">
        <v>2780</v>
      </c>
    </row>
    <row r="387" spans="1:4" x14ac:dyDescent="0.25">
      <c r="A387" t="s">
        <v>612</v>
      </c>
      <c r="B387" t="s">
        <v>2837</v>
      </c>
      <c r="C387" t="s">
        <v>2775</v>
      </c>
      <c r="D387" t="s">
        <v>2781</v>
      </c>
    </row>
    <row r="388" spans="1:4" x14ac:dyDescent="0.25">
      <c r="A388" t="s">
        <v>613</v>
      </c>
      <c r="B388" t="s">
        <v>2837</v>
      </c>
      <c r="C388" t="s">
        <v>2775</v>
      </c>
      <c r="D388" t="s">
        <v>2781</v>
      </c>
    </row>
    <row r="389" spans="1:4" x14ac:dyDescent="0.25">
      <c r="A389" t="s">
        <v>614</v>
      </c>
      <c r="B389" t="s">
        <v>2837</v>
      </c>
      <c r="C389" t="s">
        <v>2775</v>
      </c>
      <c r="D389" t="s">
        <v>2781</v>
      </c>
    </row>
    <row r="390" spans="1:4" x14ac:dyDescent="0.25">
      <c r="A390" t="s">
        <v>615</v>
      </c>
      <c r="B390" t="s">
        <v>2837</v>
      </c>
      <c r="C390" t="s">
        <v>2787</v>
      </c>
      <c r="D390" t="s">
        <v>2789</v>
      </c>
    </row>
    <row r="391" spans="1:4" x14ac:dyDescent="0.25">
      <c r="A391" t="s">
        <v>616</v>
      </c>
      <c r="B391" t="s">
        <v>2837</v>
      </c>
      <c r="C391" t="s">
        <v>2787</v>
      </c>
      <c r="D391" t="s">
        <v>2789</v>
      </c>
    </row>
    <row r="392" spans="1:4" x14ac:dyDescent="0.25">
      <c r="A392" t="s">
        <v>617</v>
      </c>
      <c r="B392" t="s">
        <v>2837</v>
      </c>
      <c r="C392" t="s">
        <v>2787</v>
      </c>
      <c r="D392" t="s">
        <v>2841</v>
      </c>
    </row>
    <row r="393" spans="1:4" x14ac:dyDescent="0.25">
      <c r="A393" t="s">
        <v>618</v>
      </c>
      <c r="B393" t="s">
        <v>2837</v>
      </c>
      <c r="C393" t="s">
        <v>2787</v>
      </c>
      <c r="D393" t="s">
        <v>2789</v>
      </c>
    </row>
    <row r="394" spans="1:4" x14ac:dyDescent="0.25">
      <c r="A394" t="s">
        <v>619</v>
      </c>
      <c r="B394" t="s">
        <v>2837</v>
      </c>
      <c r="C394" t="s">
        <v>2787</v>
      </c>
      <c r="D394" t="s">
        <v>2790</v>
      </c>
    </row>
    <row r="395" spans="1:4" x14ac:dyDescent="0.25">
      <c r="A395" t="s">
        <v>620</v>
      </c>
      <c r="B395" t="s">
        <v>2837</v>
      </c>
      <c r="C395" t="s">
        <v>2787</v>
      </c>
      <c r="D395" t="s">
        <v>2791</v>
      </c>
    </row>
    <row r="396" spans="1:4" x14ac:dyDescent="0.25">
      <c r="A396" t="s">
        <v>621</v>
      </c>
      <c r="B396" t="s">
        <v>2837</v>
      </c>
      <c r="C396" t="s">
        <v>2787</v>
      </c>
      <c r="D396" t="s">
        <v>2792</v>
      </c>
    </row>
    <row r="397" spans="1:4" x14ac:dyDescent="0.25">
      <c r="A397" t="s">
        <v>622</v>
      </c>
      <c r="B397" t="s">
        <v>2837</v>
      </c>
      <c r="C397" t="s">
        <v>2787</v>
      </c>
      <c r="D397" t="s">
        <v>2793</v>
      </c>
    </row>
    <row r="398" spans="1:4" x14ac:dyDescent="0.25">
      <c r="A398" t="s">
        <v>1542</v>
      </c>
      <c r="B398" t="s">
        <v>2837</v>
      </c>
      <c r="C398" t="s">
        <v>2794</v>
      </c>
      <c r="D398" t="s">
        <v>2795</v>
      </c>
    </row>
    <row r="399" spans="1:4" x14ac:dyDescent="0.25">
      <c r="A399" t="s">
        <v>1543</v>
      </c>
      <c r="B399" t="s">
        <v>2837</v>
      </c>
      <c r="C399" t="s">
        <v>2796</v>
      </c>
      <c r="D399" t="s">
        <v>2841</v>
      </c>
    </row>
    <row r="400" spans="1:4" x14ac:dyDescent="0.25">
      <c r="A400" t="s">
        <v>1545</v>
      </c>
      <c r="B400" t="s">
        <v>2837</v>
      </c>
      <c r="C400" t="s">
        <v>2797</v>
      </c>
      <c r="D400" t="s">
        <v>2841</v>
      </c>
    </row>
    <row r="401" spans="1:4" x14ac:dyDescent="0.25">
      <c r="A401" t="s">
        <v>1547</v>
      </c>
      <c r="B401" t="s">
        <v>2837</v>
      </c>
      <c r="C401" t="s">
        <v>2798</v>
      </c>
      <c r="D401" t="s">
        <v>2841</v>
      </c>
    </row>
    <row r="402" spans="1:4" x14ac:dyDescent="0.25">
      <c r="A402" t="s">
        <v>1549</v>
      </c>
      <c r="B402" t="s">
        <v>2837</v>
      </c>
      <c r="C402" t="s">
        <v>2796</v>
      </c>
      <c r="D402" t="s">
        <v>2799</v>
      </c>
    </row>
    <row r="403" spans="1:4" x14ac:dyDescent="0.25">
      <c r="A403" t="s">
        <v>1551</v>
      </c>
      <c r="B403" t="s">
        <v>2837</v>
      </c>
      <c r="C403" t="s">
        <v>2796</v>
      </c>
      <c r="D403" t="s">
        <v>2799</v>
      </c>
    </row>
    <row r="404" spans="1:4" x14ac:dyDescent="0.25">
      <c r="A404" t="s">
        <v>1552</v>
      </c>
      <c r="B404" t="s">
        <v>2837</v>
      </c>
      <c r="C404" t="s">
        <v>2797</v>
      </c>
      <c r="D404" t="s">
        <v>2799</v>
      </c>
    </row>
    <row r="405" spans="1:4" x14ac:dyDescent="0.25">
      <c r="A405" t="s">
        <v>1553</v>
      </c>
      <c r="B405" t="s">
        <v>2837</v>
      </c>
      <c r="C405" t="s">
        <v>2796</v>
      </c>
      <c r="D405" t="s">
        <v>2799</v>
      </c>
    </row>
    <row r="406" spans="1:4" x14ac:dyDescent="0.25">
      <c r="A406" t="s">
        <v>1554</v>
      </c>
      <c r="B406" t="s">
        <v>2837</v>
      </c>
      <c r="C406" t="s">
        <v>2797</v>
      </c>
      <c r="D406" t="s">
        <v>2799</v>
      </c>
    </row>
    <row r="407" spans="1:4" x14ac:dyDescent="0.25">
      <c r="A407" t="s">
        <v>1555</v>
      </c>
      <c r="B407" t="s">
        <v>2837</v>
      </c>
      <c r="C407" t="s">
        <v>2798</v>
      </c>
      <c r="D407" t="s">
        <v>2799</v>
      </c>
    </row>
    <row r="408" spans="1:4" x14ac:dyDescent="0.25">
      <c r="A408" t="s">
        <v>1556</v>
      </c>
      <c r="B408" t="s">
        <v>2837</v>
      </c>
      <c r="C408" t="s">
        <v>2796</v>
      </c>
      <c r="D408" t="s">
        <v>2799</v>
      </c>
    </row>
    <row r="409" spans="1:4" x14ac:dyDescent="0.25">
      <c r="A409" t="s">
        <v>1557</v>
      </c>
      <c r="B409" t="s">
        <v>2837</v>
      </c>
      <c r="C409" t="s">
        <v>2797</v>
      </c>
      <c r="D409" t="s">
        <v>2799</v>
      </c>
    </row>
    <row r="410" spans="1:4" x14ac:dyDescent="0.25">
      <c r="A410" t="s">
        <v>1558</v>
      </c>
      <c r="B410" t="s">
        <v>2837</v>
      </c>
      <c r="C410" t="s">
        <v>2798</v>
      </c>
      <c r="D410" t="s">
        <v>2799</v>
      </c>
    </row>
    <row r="411" spans="1:4" x14ac:dyDescent="0.25">
      <c r="A411" t="s">
        <v>1559</v>
      </c>
      <c r="B411" t="s">
        <v>2837</v>
      </c>
      <c r="C411" t="s">
        <v>2796</v>
      </c>
      <c r="D411" t="s">
        <v>2799</v>
      </c>
    </row>
    <row r="412" spans="1:4" x14ac:dyDescent="0.25">
      <c r="A412" t="s">
        <v>1560</v>
      </c>
      <c r="B412" t="s">
        <v>2837</v>
      </c>
      <c r="C412" t="s">
        <v>2797</v>
      </c>
      <c r="D412" t="s">
        <v>2799</v>
      </c>
    </row>
    <row r="413" spans="1:4" x14ac:dyDescent="0.25">
      <c r="A413" t="s">
        <v>1561</v>
      </c>
      <c r="B413" t="s">
        <v>2837</v>
      </c>
      <c r="C413" t="s">
        <v>2798</v>
      </c>
      <c r="D413" t="s">
        <v>2799</v>
      </c>
    </row>
    <row r="414" spans="1:4" x14ac:dyDescent="0.25">
      <c r="A414" t="s">
        <v>1562</v>
      </c>
      <c r="B414" t="s">
        <v>2837</v>
      </c>
      <c r="C414" t="s">
        <v>2796</v>
      </c>
      <c r="D414" t="s">
        <v>2799</v>
      </c>
    </row>
    <row r="415" spans="1:4" x14ac:dyDescent="0.25">
      <c r="A415" t="s">
        <v>1563</v>
      </c>
      <c r="B415" t="s">
        <v>2837</v>
      </c>
      <c r="C415" t="s">
        <v>2797</v>
      </c>
      <c r="D415" t="s">
        <v>2799</v>
      </c>
    </row>
    <row r="416" spans="1:4" x14ac:dyDescent="0.25">
      <c r="A416" t="s">
        <v>1564</v>
      </c>
      <c r="B416" t="s">
        <v>2837</v>
      </c>
      <c r="C416" t="s">
        <v>2798</v>
      </c>
      <c r="D416" t="s">
        <v>2799</v>
      </c>
    </row>
    <row r="417" spans="1:4" x14ac:dyDescent="0.25">
      <c r="A417" t="s">
        <v>1565</v>
      </c>
      <c r="B417" t="s">
        <v>2837</v>
      </c>
      <c r="C417" t="s">
        <v>2796</v>
      </c>
      <c r="D417" t="s">
        <v>2799</v>
      </c>
    </row>
    <row r="418" spans="1:4" x14ac:dyDescent="0.25">
      <c r="A418" t="s">
        <v>1566</v>
      </c>
      <c r="B418" t="s">
        <v>2837</v>
      </c>
      <c r="C418" t="s">
        <v>2797</v>
      </c>
      <c r="D418" t="s">
        <v>2799</v>
      </c>
    </row>
    <row r="419" spans="1:4" x14ac:dyDescent="0.25">
      <c r="A419" t="s">
        <v>1567</v>
      </c>
      <c r="B419" t="s">
        <v>2837</v>
      </c>
      <c r="C419" t="s">
        <v>2798</v>
      </c>
      <c r="D419" t="s">
        <v>2799</v>
      </c>
    </row>
    <row r="420" spans="1:4" x14ac:dyDescent="0.25">
      <c r="A420" t="s">
        <v>1568</v>
      </c>
      <c r="B420" t="s">
        <v>2837</v>
      </c>
      <c r="C420" t="s">
        <v>2796</v>
      </c>
      <c r="D420" t="s">
        <v>2799</v>
      </c>
    </row>
    <row r="421" spans="1:4" x14ac:dyDescent="0.25">
      <c r="A421" t="s">
        <v>1569</v>
      </c>
      <c r="B421" t="s">
        <v>2837</v>
      </c>
      <c r="C421" t="s">
        <v>2797</v>
      </c>
      <c r="D421" t="s">
        <v>2799</v>
      </c>
    </row>
    <row r="422" spans="1:4" x14ac:dyDescent="0.25">
      <c r="A422" t="s">
        <v>1570</v>
      </c>
      <c r="B422" t="s">
        <v>2837</v>
      </c>
      <c r="C422" t="s">
        <v>2798</v>
      </c>
      <c r="D422" t="s">
        <v>2799</v>
      </c>
    </row>
    <row r="423" spans="1:4" x14ac:dyDescent="0.25">
      <c r="A423" t="s">
        <v>1571</v>
      </c>
      <c r="B423" t="s">
        <v>2837</v>
      </c>
      <c r="C423" t="s">
        <v>2801</v>
      </c>
      <c r="D423" t="s">
        <v>2802</v>
      </c>
    </row>
    <row r="424" spans="1:4" x14ac:dyDescent="0.25">
      <c r="A424" t="s">
        <v>1572</v>
      </c>
      <c r="B424" t="s">
        <v>2837</v>
      </c>
      <c r="C424" t="s">
        <v>2803</v>
      </c>
      <c r="D424" t="s">
        <v>2794</v>
      </c>
    </row>
    <row r="425" spans="1:4" x14ac:dyDescent="0.25">
      <c r="A425" t="s">
        <v>1573</v>
      </c>
      <c r="B425" t="s">
        <v>2837</v>
      </c>
      <c r="C425" t="s">
        <v>2803</v>
      </c>
      <c r="D425" t="s">
        <v>2804</v>
      </c>
    </row>
    <row r="426" spans="1:4" x14ac:dyDescent="0.25">
      <c r="A426" t="s">
        <v>624</v>
      </c>
      <c r="B426" t="s">
        <v>2842</v>
      </c>
      <c r="C426" t="s">
        <v>2754</v>
      </c>
      <c r="D426" t="s">
        <v>2753</v>
      </c>
    </row>
    <row r="427" spans="1:4" x14ac:dyDescent="0.25">
      <c r="A427" t="s">
        <v>625</v>
      </c>
      <c r="B427" t="s">
        <v>2842</v>
      </c>
      <c r="C427" t="s">
        <v>2754</v>
      </c>
      <c r="D427" t="s">
        <v>2755</v>
      </c>
    </row>
    <row r="428" spans="1:4" x14ac:dyDescent="0.25">
      <c r="A428" t="s">
        <v>626</v>
      </c>
      <c r="B428" t="s">
        <v>2842</v>
      </c>
      <c r="C428" t="s">
        <v>2754</v>
      </c>
      <c r="D428" t="s">
        <v>2756</v>
      </c>
    </row>
    <row r="429" spans="1:4" x14ac:dyDescent="0.25">
      <c r="A429" t="s">
        <v>627</v>
      </c>
      <c r="B429" t="s">
        <v>2842</v>
      </c>
      <c r="C429" t="s">
        <v>2754</v>
      </c>
      <c r="D429" t="s">
        <v>2760</v>
      </c>
    </row>
    <row r="430" spans="1:4" x14ac:dyDescent="0.25">
      <c r="A430" t="s">
        <v>628</v>
      </c>
      <c r="B430" t="s">
        <v>2842</v>
      </c>
      <c r="C430" t="s">
        <v>2754</v>
      </c>
      <c r="D430" t="s">
        <v>2761</v>
      </c>
    </row>
    <row r="431" spans="1:4" x14ac:dyDescent="0.25">
      <c r="A431" t="s">
        <v>629</v>
      </c>
      <c r="B431" t="s">
        <v>2842</v>
      </c>
      <c r="C431" t="s">
        <v>2754</v>
      </c>
      <c r="D431" t="s">
        <v>2757</v>
      </c>
    </row>
    <row r="432" spans="1:4" x14ac:dyDescent="0.25">
      <c r="A432" t="s">
        <v>630</v>
      </c>
      <c r="B432" t="s">
        <v>2842</v>
      </c>
      <c r="C432" t="s">
        <v>2754</v>
      </c>
      <c r="D432" t="s">
        <v>2763</v>
      </c>
    </row>
    <row r="433" spans="1:4" x14ac:dyDescent="0.25">
      <c r="A433" t="s">
        <v>631</v>
      </c>
      <c r="B433" t="s">
        <v>2842</v>
      </c>
      <c r="C433" t="s">
        <v>2754</v>
      </c>
      <c r="D433" t="s">
        <v>2755</v>
      </c>
    </row>
    <row r="434" spans="1:4" x14ac:dyDescent="0.25">
      <c r="A434" t="s">
        <v>632</v>
      </c>
      <c r="B434" t="s">
        <v>2842</v>
      </c>
      <c r="C434" t="s">
        <v>2754</v>
      </c>
      <c r="D434" t="s">
        <v>2758</v>
      </c>
    </row>
    <row r="435" spans="1:4" x14ac:dyDescent="0.25">
      <c r="A435" t="s">
        <v>633</v>
      </c>
      <c r="B435" t="s">
        <v>2842</v>
      </c>
      <c r="C435" t="s">
        <v>2754</v>
      </c>
      <c r="D435" t="s">
        <v>2766</v>
      </c>
    </row>
    <row r="436" spans="1:4" x14ac:dyDescent="0.25">
      <c r="A436" t="s">
        <v>634</v>
      </c>
      <c r="B436" t="s">
        <v>2842</v>
      </c>
      <c r="C436" t="s">
        <v>2754</v>
      </c>
      <c r="D436" t="s">
        <v>2767</v>
      </c>
    </row>
    <row r="437" spans="1:4" x14ac:dyDescent="0.25">
      <c r="A437" t="s">
        <v>635</v>
      </c>
      <c r="B437" t="s">
        <v>2842</v>
      </c>
      <c r="C437" t="s">
        <v>2754</v>
      </c>
      <c r="D437" t="s">
        <v>2768</v>
      </c>
    </row>
    <row r="438" spans="1:4" x14ac:dyDescent="0.25">
      <c r="A438" t="s">
        <v>636</v>
      </c>
      <c r="B438" t="s">
        <v>2842</v>
      </c>
      <c r="C438" t="s">
        <v>2754</v>
      </c>
      <c r="D438" t="s">
        <v>2769</v>
      </c>
    </row>
    <row r="439" spans="1:4" x14ac:dyDescent="0.25">
      <c r="A439" t="s">
        <v>637</v>
      </c>
      <c r="B439" t="s">
        <v>2842</v>
      </c>
      <c r="C439" t="s">
        <v>2754</v>
      </c>
      <c r="D439" t="s">
        <v>2770</v>
      </c>
    </row>
    <row r="440" spans="1:4" x14ac:dyDescent="0.25">
      <c r="A440" t="s">
        <v>638</v>
      </c>
      <c r="B440" t="s">
        <v>2842</v>
      </c>
      <c r="C440" t="s">
        <v>2754</v>
      </c>
      <c r="D440" t="s">
        <v>2770</v>
      </c>
    </row>
    <row r="441" spans="1:4" x14ac:dyDescent="0.25">
      <c r="A441" t="s">
        <v>639</v>
      </c>
      <c r="B441" t="s">
        <v>2842</v>
      </c>
      <c r="C441" t="s">
        <v>2754</v>
      </c>
      <c r="D441" t="s">
        <v>2764</v>
      </c>
    </row>
    <row r="442" spans="1:4" x14ac:dyDescent="0.25">
      <c r="A442" t="s">
        <v>640</v>
      </c>
      <c r="B442" t="s">
        <v>2842</v>
      </c>
      <c r="C442" t="s">
        <v>2771</v>
      </c>
      <c r="D442" t="s">
        <v>2772</v>
      </c>
    </row>
    <row r="443" spans="1:4" x14ac:dyDescent="0.25">
      <c r="A443" t="s">
        <v>641</v>
      </c>
      <c r="B443" t="s">
        <v>2842</v>
      </c>
      <c r="C443" t="s">
        <v>2771</v>
      </c>
      <c r="D443" t="s">
        <v>2826</v>
      </c>
    </row>
    <row r="444" spans="1:4" x14ac:dyDescent="0.25">
      <c r="A444" t="s">
        <v>642</v>
      </c>
      <c r="B444" t="s">
        <v>2842</v>
      </c>
      <c r="C444" t="s">
        <v>2775</v>
      </c>
      <c r="D444" t="s">
        <v>2780</v>
      </c>
    </row>
    <row r="445" spans="1:4" x14ac:dyDescent="0.25">
      <c r="A445" t="s">
        <v>643</v>
      </c>
      <c r="B445" t="s">
        <v>2842</v>
      </c>
      <c r="C445" t="s">
        <v>2775</v>
      </c>
      <c r="D445" t="s">
        <v>2781</v>
      </c>
    </row>
    <row r="446" spans="1:4" x14ac:dyDescent="0.25">
      <c r="A446" t="s">
        <v>1574</v>
      </c>
      <c r="B446" t="s">
        <v>2842</v>
      </c>
      <c r="C446" t="s">
        <v>2794</v>
      </c>
      <c r="D446" t="s">
        <v>2795</v>
      </c>
    </row>
    <row r="447" spans="1:4" x14ac:dyDescent="0.25">
      <c r="A447" t="s">
        <v>1575</v>
      </c>
      <c r="B447" t="s">
        <v>2842</v>
      </c>
      <c r="C447" t="s">
        <v>2803</v>
      </c>
      <c r="D447" t="s">
        <v>2794</v>
      </c>
    </row>
    <row r="448" spans="1:4" x14ac:dyDescent="0.25">
      <c r="A448" t="s">
        <v>1576</v>
      </c>
      <c r="B448" t="s">
        <v>2842</v>
      </c>
      <c r="C448" t="s">
        <v>2803</v>
      </c>
      <c r="D448" t="s">
        <v>2804</v>
      </c>
    </row>
    <row r="449" spans="1:4" x14ac:dyDescent="0.25">
      <c r="A449" t="s">
        <v>644</v>
      </c>
      <c r="B449" t="s">
        <v>2843</v>
      </c>
      <c r="C449" t="s">
        <v>2754</v>
      </c>
      <c r="D449" t="s">
        <v>2753</v>
      </c>
    </row>
    <row r="450" spans="1:4" x14ac:dyDescent="0.25">
      <c r="A450" t="s">
        <v>645</v>
      </c>
      <c r="B450" t="s">
        <v>2843</v>
      </c>
      <c r="C450" t="s">
        <v>2754</v>
      </c>
      <c r="D450" t="s">
        <v>2755</v>
      </c>
    </row>
    <row r="451" spans="1:4" x14ac:dyDescent="0.25">
      <c r="A451" t="s">
        <v>646</v>
      </c>
      <c r="B451" t="s">
        <v>2843</v>
      </c>
      <c r="C451" t="s">
        <v>2754</v>
      </c>
      <c r="D451" t="s">
        <v>2756</v>
      </c>
    </row>
    <row r="452" spans="1:4" x14ac:dyDescent="0.25">
      <c r="A452" t="s">
        <v>647</v>
      </c>
      <c r="B452" t="s">
        <v>2843</v>
      </c>
      <c r="C452" t="s">
        <v>2754</v>
      </c>
      <c r="D452" t="s">
        <v>2761</v>
      </c>
    </row>
    <row r="453" spans="1:4" x14ac:dyDescent="0.25">
      <c r="A453" t="s">
        <v>648</v>
      </c>
      <c r="B453" t="s">
        <v>2843</v>
      </c>
      <c r="C453" t="s">
        <v>2754</v>
      </c>
      <c r="D453" t="s">
        <v>2757</v>
      </c>
    </row>
    <row r="454" spans="1:4" x14ac:dyDescent="0.25">
      <c r="A454" t="s">
        <v>649</v>
      </c>
      <c r="B454" t="s">
        <v>2843</v>
      </c>
      <c r="C454" t="s">
        <v>2754</v>
      </c>
      <c r="D454" t="s">
        <v>2763</v>
      </c>
    </row>
    <row r="455" spans="1:4" x14ac:dyDescent="0.25">
      <c r="A455" t="s">
        <v>650</v>
      </c>
      <c r="B455" t="s">
        <v>2843</v>
      </c>
      <c r="C455" t="s">
        <v>2754</v>
      </c>
      <c r="D455" t="s">
        <v>2755</v>
      </c>
    </row>
    <row r="456" spans="1:4" x14ac:dyDescent="0.25">
      <c r="A456" t="s">
        <v>651</v>
      </c>
      <c r="B456" t="s">
        <v>2843</v>
      </c>
      <c r="C456" t="s">
        <v>2754</v>
      </c>
      <c r="D456" t="s">
        <v>2758</v>
      </c>
    </row>
    <row r="457" spans="1:4" x14ac:dyDescent="0.25">
      <c r="A457" t="s">
        <v>652</v>
      </c>
      <c r="B457" t="s">
        <v>2843</v>
      </c>
      <c r="C457" t="s">
        <v>2754</v>
      </c>
      <c r="D457" t="s">
        <v>2766</v>
      </c>
    </row>
    <row r="458" spans="1:4" x14ac:dyDescent="0.25">
      <c r="A458" t="s">
        <v>653</v>
      </c>
      <c r="B458" t="s">
        <v>2843</v>
      </c>
      <c r="C458" t="s">
        <v>2754</v>
      </c>
      <c r="D458" t="s">
        <v>2767</v>
      </c>
    </row>
    <row r="459" spans="1:4" x14ac:dyDescent="0.25">
      <c r="A459" t="s">
        <v>654</v>
      </c>
      <c r="B459" t="s">
        <v>2843</v>
      </c>
      <c r="C459" t="s">
        <v>2754</v>
      </c>
      <c r="D459" t="s">
        <v>2768</v>
      </c>
    </row>
    <row r="460" spans="1:4" x14ac:dyDescent="0.25">
      <c r="A460" t="s">
        <v>655</v>
      </c>
      <c r="B460" t="s">
        <v>2843</v>
      </c>
      <c r="C460" t="s">
        <v>2754</v>
      </c>
      <c r="D460" t="s">
        <v>2769</v>
      </c>
    </row>
    <row r="461" spans="1:4" x14ac:dyDescent="0.25">
      <c r="A461" t="s">
        <v>656</v>
      </c>
      <c r="B461" t="s">
        <v>2843</v>
      </c>
      <c r="C461" t="s">
        <v>2754</v>
      </c>
      <c r="D461" t="s">
        <v>2770</v>
      </c>
    </row>
    <row r="462" spans="1:4" x14ac:dyDescent="0.25">
      <c r="A462" t="s">
        <v>657</v>
      </c>
      <c r="B462" t="s">
        <v>2843</v>
      </c>
      <c r="C462" t="s">
        <v>2754</v>
      </c>
      <c r="D462" t="s">
        <v>2770</v>
      </c>
    </row>
    <row r="463" spans="1:4" x14ac:dyDescent="0.25">
      <c r="A463" t="s">
        <v>658</v>
      </c>
      <c r="B463" t="s">
        <v>2843</v>
      </c>
      <c r="C463" t="s">
        <v>2754</v>
      </c>
      <c r="D463" t="s">
        <v>2764</v>
      </c>
    </row>
    <row r="464" spans="1:4" x14ac:dyDescent="0.25">
      <c r="A464" t="s">
        <v>659</v>
      </c>
      <c r="B464" t="s">
        <v>2843</v>
      </c>
      <c r="C464" t="s">
        <v>2775</v>
      </c>
      <c r="D464" t="s">
        <v>2840</v>
      </c>
    </row>
    <row r="465" spans="1:4" x14ac:dyDescent="0.25">
      <c r="A465" t="s">
        <v>660</v>
      </c>
      <c r="B465" t="s">
        <v>2843</v>
      </c>
      <c r="C465" t="s">
        <v>2775</v>
      </c>
      <c r="D465" t="s">
        <v>2844</v>
      </c>
    </row>
    <row r="466" spans="1:4" x14ac:dyDescent="0.25">
      <c r="A466" t="s">
        <v>661</v>
      </c>
      <c r="B466" t="s">
        <v>2843</v>
      </c>
      <c r="C466" t="s">
        <v>2775</v>
      </c>
      <c r="D466" t="s">
        <v>2780</v>
      </c>
    </row>
    <row r="467" spans="1:4" x14ac:dyDescent="0.25">
      <c r="A467" t="s">
        <v>662</v>
      </c>
      <c r="B467" t="s">
        <v>2843</v>
      </c>
      <c r="C467" t="s">
        <v>2775</v>
      </c>
      <c r="D467" t="s">
        <v>2781</v>
      </c>
    </row>
    <row r="468" spans="1:4" x14ac:dyDescent="0.25">
      <c r="A468" t="s">
        <v>1577</v>
      </c>
      <c r="B468" t="s">
        <v>2843</v>
      </c>
      <c r="C468" t="s">
        <v>2794</v>
      </c>
      <c r="D468" t="s">
        <v>2795</v>
      </c>
    </row>
    <row r="469" spans="1:4" x14ac:dyDescent="0.25">
      <c r="A469" t="s">
        <v>1578</v>
      </c>
      <c r="B469" t="s">
        <v>2843</v>
      </c>
      <c r="C469" t="s">
        <v>2796</v>
      </c>
      <c r="D469" t="s">
        <v>2799</v>
      </c>
    </row>
    <row r="470" spans="1:4" x14ac:dyDescent="0.25">
      <c r="A470" t="s">
        <v>1579</v>
      </c>
      <c r="B470" t="s">
        <v>2843</v>
      </c>
      <c r="C470" t="s">
        <v>2800</v>
      </c>
      <c r="D470" t="s">
        <v>2799</v>
      </c>
    </row>
    <row r="471" spans="1:4" x14ac:dyDescent="0.25">
      <c r="A471" t="s">
        <v>1580</v>
      </c>
      <c r="B471" t="s">
        <v>2843</v>
      </c>
      <c r="C471" t="s">
        <v>2797</v>
      </c>
      <c r="D471" t="s">
        <v>2799</v>
      </c>
    </row>
    <row r="472" spans="1:4" x14ac:dyDescent="0.25">
      <c r="A472" t="s">
        <v>1581</v>
      </c>
      <c r="B472" t="s">
        <v>2843</v>
      </c>
      <c r="C472" t="s">
        <v>2801</v>
      </c>
      <c r="D472" t="s">
        <v>2802</v>
      </c>
    </row>
    <row r="473" spans="1:4" x14ac:dyDescent="0.25">
      <c r="A473" t="s">
        <v>1582</v>
      </c>
      <c r="B473" t="s">
        <v>2843</v>
      </c>
      <c r="C473" t="s">
        <v>2803</v>
      </c>
      <c r="D473" t="s">
        <v>2794</v>
      </c>
    </row>
    <row r="474" spans="1:4" x14ac:dyDescent="0.25">
      <c r="A474" t="s">
        <v>1583</v>
      </c>
      <c r="B474" t="s">
        <v>2843</v>
      </c>
      <c r="C474" t="s">
        <v>2803</v>
      </c>
      <c r="D474" t="s">
        <v>2804</v>
      </c>
    </row>
    <row r="475" spans="1:4" x14ac:dyDescent="0.25">
      <c r="A475" t="s">
        <v>664</v>
      </c>
      <c r="B475" t="s">
        <v>2845</v>
      </c>
      <c r="C475" t="s">
        <v>2754</v>
      </c>
      <c r="D475" t="s">
        <v>2753</v>
      </c>
    </row>
    <row r="476" spans="1:4" x14ac:dyDescent="0.25">
      <c r="A476" t="s">
        <v>665</v>
      </c>
      <c r="B476" t="s">
        <v>2845</v>
      </c>
      <c r="C476" t="s">
        <v>2754</v>
      </c>
      <c r="D476" t="s">
        <v>2755</v>
      </c>
    </row>
    <row r="477" spans="1:4" x14ac:dyDescent="0.25">
      <c r="A477" t="s">
        <v>666</v>
      </c>
      <c r="B477" t="s">
        <v>2845</v>
      </c>
      <c r="C477" t="s">
        <v>2754</v>
      </c>
      <c r="D477" t="s">
        <v>2756</v>
      </c>
    </row>
    <row r="478" spans="1:4" x14ac:dyDescent="0.25">
      <c r="A478" t="s">
        <v>667</v>
      </c>
      <c r="B478" t="s">
        <v>2845</v>
      </c>
      <c r="C478" t="s">
        <v>2754</v>
      </c>
      <c r="D478" t="s">
        <v>2760</v>
      </c>
    </row>
    <row r="479" spans="1:4" x14ac:dyDescent="0.25">
      <c r="A479" t="s">
        <v>668</v>
      </c>
      <c r="B479" t="s">
        <v>2845</v>
      </c>
      <c r="C479" t="s">
        <v>2754</v>
      </c>
      <c r="D479" t="s">
        <v>2761</v>
      </c>
    </row>
    <row r="480" spans="1:4" x14ac:dyDescent="0.25">
      <c r="A480" t="s">
        <v>669</v>
      </c>
      <c r="B480" t="s">
        <v>2845</v>
      </c>
      <c r="C480" t="s">
        <v>2754</v>
      </c>
      <c r="D480" t="s">
        <v>2757</v>
      </c>
    </row>
    <row r="481" spans="1:4" x14ac:dyDescent="0.25">
      <c r="A481" t="s">
        <v>670</v>
      </c>
      <c r="B481" t="s">
        <v>2845</v>
      </c>
      <c r="C481" t="s">
        <v>2754</v>
      </c>
      <c r="D481" t="s">
        <v>2763</v>
      </c>
    </row>
    <row r="482" spans="1:4" x14ac:dyDescent="0.25">
      <c r="A482" t="s">
        <v>671</v>
      </c>
      <c r="B482" t="s">
        <v>2845</v>
      </c>
      <c r="C482" t="s">
        <v>2754</v>
      </c>
      <c r="D482" t="s">
        <v>2755</v>
      </c>
    </row>
    <row r="483" spans="1:4" x14ac:dyDescent="0.25">
      <c r="A483" t="s">
        <v>672</v>
      </c>
      <c r="B483" t="s">
        <v>2845</v>
      </c>
      <c r="C483" t="s">
        <v>2754</v>
      </c>
      <c r="D483" t="s">
        <v>2758</v>
      </c>
    </row>
    <row r="484" spans="1:4" x14ac:dyDescent="0.25">
      <c r="A484" t="s">
        <v>673</v>
      </c>
      <c r="B484" t="s">
        <v>2845</v>
      </c>
      <c r="C484" t="s">
        <v>2754</v>
      </c>
      <c r="D484" t="s">
        <v>2766</v>
      </c>
    </row>
    <row r="485" spans="1:4" x14ac:dyDescent="0.25">
      <c r="A485" t="s">
        <v>674</v>
      </c>
      <c r="B485" t="s">
        <v>2845</v>
      </c>
      <c r="C485" t="s">
        <v>2754</v>
      </c>
      <c r="D485" t="s">
        <v>2767</v>
      </c>
    </row>
    <row r="486" spans="1:4" x14ac:dyDescent="0.25">
      <c r="A486" t="s">
        <v>675</v>
      </c>
      <c r="B486" t="s">
        <v>2845</v>
      </c>
      <c r="C486" t="s">
        <v>2754</v>
      </c>
      <c r="D486" t="s">
        <v>2768</v>
      </c>
    </row>
    <row r="487" spans="1:4" x14ac:dyDescent="0.25">
      <c r="A487" t="s">
        <v>676</v>
      </c>
      <c r="B487" t="s">
        <v>2845</v>
      </c>
      <c r="C487" t="s">
        <v>2754</v>
      </c>
      <c r="D487" t="s">
        <v>2769</v>
      </c>
    </row>
    <row r="488" spans="1:4" x14ac:dyDescent="0.25">
      <c r="A488" t="s">
        <v>677</v>
      </c>
      <c r="B488" t="s">
        <v>2845</v>
      </c>
      <c r="C488" t="s">
        <v>2754</v>
      </c>
      <c r="D488" t="s">
        <v>2770</v>
      </c>
    </row>
    <row r="489" spans="1:4" x14ac:dyDescent="0.25">
      <c r="A489" t="s">
        <v>678</v>
      </c>
      <c r="B489" t="s">
        <v>2845</v>
      </c>
      <c r="C489" t="s">
        <v>2754</v>
      </c>
      <c r="D489" t="s">
        <v>2770</v>
      </c>
    </row>
    <row r="490" spans="1:4" x14ac:dyDescent="0.25">
      <c r="A490" t="s">
        <v>679</v>
      </c>
      <c r="B490" t="s">
        <v>2845</v>
      </c>
      <c r="C490" t="s">
        <v>2754</v>
      </c>
      <c r="D490" t="s">
        <v>2764</v>
      </c>
    </row>
    <row r="491" spans="1:4" x14ac:dyDescent="0.25">
      <c r="A491" t="s">
        <v>680</v>
      </c>
      <c r="B491" t="s">
        <v>2845</v>
      </c>
      <c r="C491" t="s">
        <v>2771</v>
      </c>
      <c r="D491" t="s">
        <v>2826</v>
      </c>
    </row>
    <row r="492" spans="1:4" x14ac:dyDescent="0.25">
      <c r="A492" t="s">
        <v>681</v>
      </c>
      <c r="B492" t="s">
        <v>2845</v>
      </c>
      <c r="C492" t="s">
        <v>2775</v>
      </c>
      <c r="D492" t="s">
        <v>2780</v>
      </c>
    </row>
    <row r="493" spans="1:4" x14ac:dyDescent="0.25">
      <c r="A493" t="s">
        <v>682</v>
      </c>
      <c r="B493" t="s">
        <v>2845</v>
      </c>
      <c r="C493" t="s">
        <v>2775</v>
      </c>
      <c r="D493" t="s">
        <v>2781</v>
      </c>
    </row>
    <row r="494" spans="1:4" x14ac:dyDescent="0.25">
      <c r="A494" t="s">
        <v>1584</v>
      </c>
      <c r="B494" t="s">
        <v>2845</v>
      </c>
      <c r="C494" t="s">
        <v>2794</v>
      </c>
      <c r="D494" t="s">
        <v>2795</v>
      </c>
    </row>
    <row r="495" spans="1:4" x14ac:dyDescent="0.25">
      <c r="A495" t="s">
        <v>1585</v>
      </c>
      <c r="B495" t="s">
        <v>2845</v>
      </c>
      <c r="C495" t="s">
        <v>2796</v>
      </c>
      <c r="D495" t="s">
        <v>2799</v>
      </c>
    </row>
    <row r="496" spans="1:4" x14ac:dyDescent="0.25">
      <c r="A496" t="s">
        <v>1587</v>
      </c>
      <c r="B496" t="s">
        <v>2845</v>
      </c>
      <c r="C496" t="s">
        <v>2801</v>
      </c>
      <c r="D496" t="s">
        <v>2802</v>
      </c>
    </row>
    <row r="497" spans="1:4" x14ac:dyDescent="0.25">
      <c r="A497" t="s">
        <v>1588</v>
      </c>
      <c r="B497" t="s">
        <v>2845</v>
      </c>
      <c r="C497" t="s">
        <v>2803</v>
      </c>
      <c r="D497" t="s">
        <v>2794</v>
      </c>
    </row>
    <row r="498" spans="1:4" x14ac:dyDescent="0.25">
      <c r="A498" t="s">
        <v>1589</v>
      </c>
      <c r="B498" t="s">
        <v>2845</v>
      </c>
      <c r="C498" t="s">
        <v>2803</v>
      </c>
      <c r="D498" t="s">
        <v>2804</v>
      </c>
    </row>
    <row r="499" spans="1:4" x14ac:dyDescent="0.25">
      <c r="A499" t="s">
        <v>684</v>
      </c>
      <c r="B499" t="s">
        <v>2846</v>
      </c>
      <c r="C499" t="s">
        <v>2754</v>
      </c>
      <c r="D499" t="s">
        <v>2753</v>
      </c>
    </row>
    <row r="500" spans="1:4" x14ac:dyDescent="0.25">
      <c r="A500" t="s">
        <v>685</v>
      </c>
      <c r="B500" t="s">
        <v>2846</v>
      </c>
      <c r="C500" t="s">
        <v>2754</v>
      </c>
      <c r="D500" t="s">
        <v>2753</v>
      </c>
    </row>
    <row r="501" spans="1:4" x14ac:dyDescent="0.25">
      <c r="A501" t="s">
        <v>686</v>
      </c>
      <c r="B501" t="s">
        <v>2846</v>
      </c>
      <c r="C501" t="s">
        <v>2754</v>
      </c>
      <c r="D501" t="s">
        <v>2755</v>
      </c>
    </row>
    <row r="502" spans="1:4" x14ac:dyDescent="0.25">
      <c r="A502" t="s">
        <v>687</v>
      </c>
      <c r="B502" t="s">
        <v>2846</v>
      </c>
      <c r="C502" t="s">
        <v>2754</v>
      </c>
      <c r="D502" t="s">
        <v>2756</v>
      </c>
    </row>
    <row r="503" spans="1:4" x14ac:dyDescent="0.25">
      <c r="A503" t="s">
        <v>688</v>
      </c>
      <c r="B503" t="s">
        <v>2846</v>
      </c>
      <c r="C503" t="s">
        <v>2754</v>
      </c>
      <c r="D503" t="s">
        <v>2760</v>
      </c>
    </row>
    <row r="504" spans="1:4" x14ac:dyDescent="0.25">
      <c r="A504" t="s">
        <v>689</v>
      </c>
      <c r="B504" t="s">
        <v>2846</v>
      </c>
      <c r="C504" t="s">
        <v>2754</v>
      </c>
      <c r="D504" t="s">
        <v>2761</v>
      </c>
    </row>
    <row r="505" spans="1:4" x14ac:dyDescent="0.25">
      <c r="A505" t="s">
        <v>690</v>
      </c>
      <c r="B505" t="s">
        <v>2846</v>
      </c>
      <c r="C505" t="s">
        <v>2754</v>
      </c>
      <c r="D505" t="s">
        <v>2757</v>
      </c>
    </row>
    <row r="506" spans="1:4" x14ac:dyDescent="0.25">
      <c r="A506" t="s">
        <v>691</v>
      </c>
      <c r="B506" t="s">
        <v>2846</v>
      </c>
      <c r="C506" t="s">
        <v>2754</v>
      </c>
      <c r="D506" t="s">
        <v>2763</v>
      </c>
    </row>
    <row r="507" spans="1:4" x14ac:dyDescent="0.25">
      <c r="A507" t="s">
        <v>692</v>
      </c>
      <c r="B507" t="s">
        <v>2846</v>
      </c>
      <c r="C507" t="s">
        <v>2754</v>
      </c>
      <c r="D507" t="s">
        <v>2755</v>
      </c>
    </row>
    <row r="508" spans="1:4" x14ac:dyDescent="0.25">
      <c r="A508" t="s">
        <v>693</v>
      </c>
      <c r="B508" t="s">
        <v>2846</v>
      </c>
      <c r="C508" t="s">
        <v>2754</v>
      </c>
      <c r="D508" t="s">
        <v>2758</v>
      </c>
    </row>
    <row r="509" spans="1:4" x14ac:dyDescent="0.25">
      <c r="A509" t="s">
        <v>694</v>
      </c>
      <c r="B509" t="s">
        <v>2846</v>
      </c>
      <c r="C509" t="s">
        <v>2754</v>
      </c>
      <c r="D509" t="s">
        <v>2766</v>
      </c>
    </row>
    <row r="510" spans="1:4" x14ac:dyDescent="0.25">
      <c r="A510" t="s">
        <v>695</v>
      </c>
      <c r="B510" t="s">
        <v>2846</v>
      </c>
      <c r="C510" t="s">
        <v>2754</v>
      </c>
      <c r="D510" t="s">
        <v>2767</v>
      </c>
    </row>
    <row r="511" spans="1:4" x14ac:dyDescent="0.25">
      <c r="A511" t="s">
        <v>696</v>
      </c>
      <c r="B511" t="s">
        <v>2846</v>
      </c>
      <c r="C511" t="s">
        <v>2754</v>
      </c>
      <c r="D511" t="s">
        <v>2768</v>
      </c>
    </row>
    <row r="512" spans="1:4" x14ac:dyDescent="0.25">
      <c r="A512" t="s">
        <v>697</v>
      </c>
      <c r="B512" t="s">
        <v>2846</v>
      </c>
      <c r="C512" t="s">
        <v>2754</v>
      </c>
      <c r="D512" t="s">
        <v>2769</v>
      </c>
    </row>
    <row r="513" spans="1:4" x14ac:dyDescent="0.25">
      <c r="A513" t="s">
        <v>698</v>
      </c>
      <c r="B513" t="s">
        <v>2846</v>
      </c>
      <c r="C513" t="s">
        <v>2754</v>
      </c>
      <c r="D513" t="s">
        <v>2769</v>
      </c>
    </row>
    <row r="514" spans="1:4" x14ac:dyDescent="0.25">
      <c r="A514" t="s">
        <v>699</v>
      </c>
      <c r="B514" t="s">
        <v>2846</v>
      </c>
      <c r="C514" t="s">
        <v>2754</v>
      </c>
      <c r="D514" t="s">
        <v>2770</v>
      </c>
    </row>
    <row r="515" spans="1:4" x14ac:dyDescent="0.25">
      <c r="A515" t="s">
        <v>700</v>
      </c>
      <c r="B515" t="s">
        <v>2846</v>
      </c>
      <c r="C515" t="s">
        <v>2754</v>
      </c>
      <c r="D515" t="s">
        <v>2770</v>
      </c>
    </row>
    <row r="516" spans="1:4" x14ac:dyDescent="0.25">
      <c r="A516" t="s">
        <v>701</v>
      </c>
      <c r="B516" t="s">
        <v>2846</v>
      </c>
      <c r="C516" t="s">
        <v>2754</v>
      </c>
      <c r="D516" t="s">
        <v>2764</v>
      </c>
    </row>
    <row r="517" spans="1:4" x14ac:dyDescent="0.25">
      <c r="A517" t="s">
        <v>702</v>
      </c>
      <c r="B517" t="s">
        <v>2846</v>
      </c>
      <c r="C517" t="s">
        <v>2771</v>
      </c>
      <c r="D517" t="s">
        <v>2826</v>
      </c>
    </row>
    <row r="518" spans="1:4" x14ac:dyDescent="0.25">
      <c r="A518" t="s">
        <v>703</v>
      </c>
      <c r="B518" t="s">
        <v>2846</v>
      </c>
      <c r="C518" t="s">
        <v>2775</v>
      </c>
      <c r="D518" t="s">
        <v>2847</v>
      </c>
    </row>
    <row r="519" spans="1:4" x14ac:dyDescent="0.25">
      <c r="A519" t="s">
        <v>704</v>
      </c>
      <c r="B519" t="s">
        <v>2846</v>
      </c>
      <c r="C519" t="s">
        <v>2775</v>
      </c>
      <c r="D519" t="s">
        <v>2848</v>
      </c>
    </row>
    <row r="520" spans="1:4" x14ac:dyDescent="0.25">
      <c r="A520" t="s">
        <v>705</v>
      </c>
      <c r="B520" t="s">
        <v>2846</v>
      </c>
      <c r="C520" t="s">
        <v>2775</v>
      </c>
      <c r="D520" t="s">
        <v>2780</v>
      </c>
    </row>
    <row r="521" spans="1:4" x14ac:dyDescent="0.25">
      <c r="A521" t="s">
        <v>706</v>
      </c>
      <c r="B521" t="s">
        <v>2846</v>
      </c>
      <c r="C521" t="s">
        <v>2775</v>
      </c>
      <c r="D521" t="s">
        <v>2781</v>
      </c>
    </row>
    <row r="522" spans="1:4" x14ac:dyDescent="0.25">
      <c r="A522" t="s">
        <v>707</v>
      </c>
      <c r="B522" t="s">
        <v>2846</v>
      </c>
      <c r="C522" t="s">
        <v>2787</v>
      </c>
      <c r="D522" t="s">
        <v>2789</v>
      </c>
    </row>
    <row r="523" spans="1:4" x14ac:dyDescent="0.25">
      <c r="A523" t="s">
        <v>708</v>
      </c>
      <c r="B523" t="s">
        <v>2846</v>
      </c>
      <c r="C523" t="s">
        <v>2787</v>
      </c>
      <c r="D523" t="s">
        <v>2789</v>
      </c>
    </row>
    <row r="524" spans="1:4" x14ac:dyDescent="0.25">
      <c r="A524" t="s">
        <v>1590</v>
      </c>
      <c r="B524" t="s">
        <v>2846</v>
      </c>
      <c r="C524" t="s">
        <v>2794</v>
      </c>
      <c r="D524" t="s">
        <v>2795</v>
      </c>
    </row>
    <row r="525" spans="1:4" x14ac:dyDescent="0.25">
      <c r="A525" t="s">
        <v>1591</v>
      </c>
      <c r="B525" t="s">
        <v>2846</v>
      </c>
      <c r="C525" t="s">
        <v>2796</v>
      </c>
      <c r="D525" t="s">
        <v>2799</v>
      </c>
    </row>
    <row r="526" spans="1:4" x14ac:dyDescent="0.25">
      <c r="A526" t="s">
        <v>1592</v>
      </c>
      <c r="B526" t="s">
        <v>2846</v>
      </c>
      <c r="C526" t="s">
        <v>2797</v>
      </c>
      <c r="D526" t="s">
        <v>2799</v>
      </c>
    </row>
    <row r="527" spans="1:4" x14ac:dyDescent="0.25">
      <c r="A527" t="s">
        <v>1593</v>
      </c>
      <c r="B527" t="s">
        <v>2846</v>
      </c>
      <c r="C527" t="s">
        <v>2798</v>
      </c>
      <c r="D527" t="s">
        <v>2799</v>
      </c>
    </row>
    <row r="528" spans="1:4" x14ac:dyDescent="0.25">
      <c r="A528" t="s">
        <v>1594</v>
      </c>
      <c r="B528" t="s">
        <v>2846</v>
      </c>
      <c r="C528" t="s">
        <v>2796</v>
      </c>
      <c r="D528" t="s">
        <v>2799</v>
      </c>
    </row>
    <row r="529" spans="1:4" x14ac:dyDescent="0.25">
      <c r="A529" t="s">
        <v>1595</v>
      </c>
      <c r="B529" t="s">
        <v>2846</v>
      </c>
      <c r="C529" t="s">
        <v>2797</v>
      </c>
      <c r="D529" t="s">
        <v>2799</v>
      </c>
    </row>
    <row r="530" spans="1:4" x14ac:dyDescent="0.25">
      <c r="A530" t="s">
        <v>1596</v>
      </c>
      <c r="B530" t="s">
        <v>2846</v>
      </c>
      <c r="C530" t="s">
        <v>2798</v>
      </c>
      <c r="D530" t="s">
        <v>2799</v>
      </c>
    </row>
    <row r="531" spans="1:4" x14ac:dyDescent="0.25">
      <c r="A531" t="s">
        <v>1597</v>
      </c>
      <c r="B531" t="s">
        <v>2846</v>
      </c>
      <c r="C531" t="s">
        <v>2801</v>
      </c>
      <c r="D531" t="s">
        <v>2802</v>
      </c>
    </row>
    <row r="532" spans="1:4" x14ac:dyDescent="0.25">
      <c r="A532" t="s">
        <v>1598</v>
      </c>
      <c r="B532" t="s">
        <v>2846</v>
      </c>
      <c r="C532" t="s">
        <v>2803</v>
      </c>
      <c r="D532" t="s">
        <v>2794</v>
      </c>
    </row>
    <row r="533" spans="1:4" x14ac:dyDescent="0.25">
      <c r="A533" t="s">
        <v>1599</v>
      </c>
      <c r="B533" t="s">
        <v>2846</v>
      </c>
      <c r="C533" t="s">
        <v>2803</v>
      </c>
      <c r="D533" t="s">
        <v>2804</v>
      </c>
    </row>
    <row r="534" spans="1:4" x14ac:dyDescent="0.25">
      <c r="A534" t="s">
        <v>710</v>
      </c>
      <c r="B534" t="s">
        <v>2849</v>
      </c>
      <c r="C534" t="s">
        <v>2754</v>
      </c>
      <c r="D534" t="s">
        <v>2753</v>
      </c>
    </row>
    <row r="535" spans="1:4" x14ac:dyDescent="0.25">
      <c r="A535" t="s">
        <v>711</v>
      </c>
      <c r="B535" t="s">
        <v>2849</v>
      </c>
      <c r="C535" t="s">
        <v>2754</v>
      </c>
      <c r="D535" t="s">
        <v>2755</v>
      </c>
    </row>
    <row r="536" spans="1:4" x14ac:dyDescent="0.25">
      <c r="A536" t="s">
        <v>712</v>
      </c>
      <c r="B536" t="s">
        <v>2849</v>
      </c>
      <c r="C536" t="s">
        <v>2754</v>
      </c>
      <c r="D536" t="s">
        <v>2756</v>
      </c>
    </row>
    <row r="537" spans="1:4" x14ac:dyDescent="0.25">
      <c r="A537" t="s">
        <v>713</v>
      </c>
      <c r="B537" t="s">
        <v>2849</v>
      </c>
      <c r="C537" t="s">
        <v>2754</v>
      </c>
      <c r="D537" t="s">
        <v>2760</v>
      </c>
    </row>
    <row r="538" spans="1:4" x14ac:dyDescent="0.25">
      <c r="A538" t="s">
        <v>714</v>
      </c>
      <c r="B538" t="s">
        <v>2849</v>
      </c>
      <c r="C538" t="s">
        <v>2754</v>
      </c>
      <c r="D538" t="s">
        <v>2760</v>
      </c>
    </row>
    <row r="539" spans="1:4" x14ac:dyDescent="0.25">
      <c r="A539" t="s">
        <v>715</v>
      </c>
      <c r="B539" t="s">
        <v>2849</v>
      </c>
      <c r="C539" t="s">
        <v>2754</v>
      </c>
      <c r="D539" t="s">
        <v>2761</v>
      </c>
    </row>
    <row r="540" spans="1:4" x14ac:dyDescent="0.25">
      <c r="A540" t="s">
        <v>716</v>
      </c>
      <c r="B540" t="s">
        <v>2849</v>
      </c>
      <c r="C540" t="s">
        <v>2754</v>
      </c>
      <c r="D540" t="s">
        <v>2757</v>
      </c>
    </row>
    <row r="541" spans="1:4" x14ac:dyDescent="0.25">
      <c r="A541" t="s">
        <v>717</v>
      </c>
      <c r="B541" t="s">
        <v>2849</v>
      </c>
      <c r="C541" t="s">
        <v>2754</v>
      </c>
      <c r="D541" t="s">
        <v>2762</v>
      </c>
    </row>
    <row r="542" spans="1:4" x14ac:dyDescent="0.25">
      <c r="A542" t="s">
        <v>718</v>
      </c>
      <c r="B542" t="s">
        <v>2849</v>
      </c>
      <c r="C542" t="s">
        <v>2754</v>
      </c>
      <c r="D542" t="s">
        <v>2755</v>
      </c>
    </row>
    <row r="543" spans="1:4" x14ac:dyDescent="0.25">
      <c r="A543" t="s">
        <v>719</v>
      </c>
      <c r="B543" t="s">
        <v>2849</v>
      </c>
      <c r="C543" t="s">
        <v>2754</v>
      </c>
      <c r="D543" t="s">
        <v>2765</v>
      </c>
    </row>
    <row r="544" spans="1:4" x14ac:dyDescent="0.25">
      <c r="A544" t="s">
        <v>720</v>
      </c>
      <c r="B544" t="s">
        <v>2849</v>
      </c>
      <c r="C544" t="s">
        <v>2851</v>
      </c>
      <c r="D544" t="s">
        <v>2850</v>
      </c>
    </row>
    <row r="545" spans="1:4" x14ac:dyDescent="0.25">
      <c r="A545" t="s">
        <v>721</v>
      </c>
      <c r="B545" t="s">
        <v>2849</v>
      </c>
      <c r="C545" t="s">
        <v>2754</v>
      </c>
      <c r="D545" t="s">
        <v>2766</v>
      </c>
    </row>
    <row r="546" spans="1:4" x14ac:dyDescent="0.25">
      <c r="A546" t="s">
        <v>722</v>
      </c>
      <c r="B546" t="s">
        <v>2849</v>
      </c>
      <c r="C546" t="s">
        <v>2754</v>
      </c>
      <c r="D546" t="s">
        <v>2767</v>
      </c>
    </row>
    <row r="547" spans="1:4" x14ac:dyDescent="0.25">
      <c r="A547" t="s">
        <v>723</v>
      </c>
      <c r="B547" t="s">
        <v>2849</v>
      </c>
      <c r="C547" t="s">
        <v>2754</v>
      </c>
      <c r="D547" t="s">
        <v>2768</v>
      </c>
    </row>
    <row r="548" spans="1:4" x14ac:dyDescent="0.25">
      <c r="A548" t="s">
        <v>724</v>
      </c>
      <c r="B548" t="s">
        <v>2849</v>
      </c>
      <c r="C548" t="s">
        <v>2754</v>
      </c>
      <c r="D548" t="s">
        <v>2769</v>
      </c>
    </row>
    <row r="549" spans="1:4" x14ac:dyDescent="0.25">
      <c r="A549" t="s">
        <v>725</v>
      </c>
      <c r="B549" t="s">
        <v>2849</v>
      </c>
      <c r="C549" t="s">
        <v>2754</v>
      </c>
      <c r="D549" t="s">
        <v>2770</v>
      </c>
    </row>
    <row r="550" spans="1:4" x14ac:dyDescent="0.25">
      <c r="A550" t="s">
        <v>726</v>
      </c>
      <c r="B550" t="s">
        <v>2849</v>
      </c>
      <c r="C550" t="s">
        <v>2754</v>
      </c>
      <c r="D550" t="s">
        <v>2770</v>
      </c>
    </row>
    <row r="551" spans="1:4" x14ac:dyDescent="0.25">
      <c r="A551" t="s">
        <v>727</v>
      </c>
      <c r="B551" t="s">
        <v>2849</v>
      </c>
      <c r="C551" t="s">
        <v>2754</v>
      </c>
      <c r="D551" t="s">
        <v>2764</v>
      </c>
    </row>
    <row r="552" spans="1:4" x14ac:dyDescent="0.25">
      <c r="A552" t="s">
        <v>728</v>
      </c>
      <c r="B552" t="s">
        <v>2849</v>
      </c>
      <c r="C552" t="s">
        <v>2851</v>
      </c>
      <c r="D552" t="s">
        <v>2852</v>
      </c>
    </row>
    <row r="553" spans="1:4" x14ac:dyDescent="0.25">
      <c r="A553" t="s">
        <v>729</v>
      </c>
      <c r="B553" t="s">
        <v>2849</v>
      </c>
      <c r="C553" t="s">
        <v>2851</v>
      </c>
      <c r="D553" t="s">
        <v>2853</v>
      </c>
    </row>
    <row r="554" spans="1:4" x14ac:dyDescent="0.25">
      <c r="A554" t="s">
        <v>730</v>
      </c>
      <c r="B554" t="s">
        <v>2849</v>
      </c>
      <c r="C554" t="s">
        <v>2851</v>
      </c>
      <c r="D554" t="s">
        <v>2850</v>
      </c>
    </row>
    <row r="555" spans="1:4" x14ac:dyDescent="0.25">
      <c r="A555" t="s">
        <v>731</v>
      </c>
      <c r="B555" t="s">
        <v>2849</v>
      </c>
      <c r="C555" t="s">
        <v>2851</v>
      </c>
      <c r="D555" t="s">
        <v>2852</v>
      </c>
    </row>
    <row r="556" spans="1:4" x14ac:dyDescent="0.25">
      <c r="A556" t="s">
        <v>732</v>
      </c>
      <c r="B556" t="s">
        <v>2849</v>
      </c>
      <c r="C556" t="s">
        <v>2851</v>
      </c>
      <c r="D556" t="s">
        <v>2854</v>
      </c>
    </row>
    <row r="557" spans="1:4" x14ac:dyDescent="0.25">
      <c r="A557" t="s">
        <v>733</v>
      </c>
      <c r="B557" t="s">
        <v>2849</v>
      </c>
      <c r="C557" t="s">
        <v>2851</v>
      </c>
      <c r="D557" t="s">
        <v>2850</v>
      </c>
    </row>
    <row r="558" spans="1:4" x14ac:dyDescent="0.25">
      <c r="A558" t="s">
        <v>734</v>
      </c>
      <c r="B558" t="s">
        <v>2849</v>
      </c>
      <c r="C558" t="s">
        <v>2771</v>
      </c>
      <c r="D558" t="s">
        <v>2772</v>
      </c>
    </row>
    <row r="559" spans="1:4" x14ac:dyDescent="0.25">
      <c r="A559" t="s">
        <v>735</v>
      </c>
      <c r="B559" t="s">
        <v>2849</v>
      </c>
      <c r="C559" t="s">
        <v>2771</v>
      </c>
      <c r="D559" t="s">
        <v>2772</v>
      </c>
    </row>
    <row r="560" spans="1:4" x14ac:dyDescent="0.25">
      <c r="A560" t="s">
        <v>736</v>
      </c>
      <c r="B560" t="s">
        <v>2849</v>
      </c>
      <c r="C560" t="s">
        <v>2771</v>
      </c>
      <c r="D560" t="s">
        <v>2772</v>
      </c>
    </row>
    <row r="561" spans="1:4" x14ac:dyDescent="0.25">
      <c r="A561" t="s">
        <v>737</v>
      </c>
      <c r="B561" t="s">
        <v>2849</v>
      </c>
      <c r="C561" t="s">
        <v>2771</v>
      </c>
      <c r="D561" t="s">
        <v>2772</v>
      </c>
    </row>
    <row r="562" spans="1:4" x14ac:dyDescent="0.25">
      <c r="A562" t="s">
        <v>738</v>
      </c>
      <c r="B562" t="s">
        <v>2849</v>
      </c>
      <c r="C562" t="s">
        <v>2771</v>
      </c>
      <c r="D562" t="s">
        <v>2772</v>
      </c>
    </row>
    <row r="563" spans="1:4" x14ac:dyDescent="0.25">
      <c r="A563" t="s">
        <v>739</v>
      </c>
      <c r="B563" t="s">
        <v>2849</v>
      </c>
      <c r="C563" t="s">
        <v>2771</v>
      </c>
      <c r="D563" t="s">
        <v>2772</v>
      </c>
    </row>
    <row r="564" spans="1:4" x14ac:dyDescent="0.25">
      <c r="A564" t="s">
        <v>740</v>
      </c>
      <c r="B564" t="s">
        <v>2849</v>
      </c>
      <c r="C564" t="s">
        <v>2771</v>
      </c>
      <c r="D564" t="s">
        <v>2772</v>
      </c>
    </row>
    <row r="565" spans="1:4" x14ac:dyDescent="0.25">
      <c r="A565" t="s">
        <v>741</v>
      </c>
      <c r="B565" t="s">
        <v>2849</v>
      </c>
      <c r="C565" t="s">
        <v>2775</v>
      </c>
      <c r="D565" t="s">
        <v>2781</v>
      </c>
    </row>
    <row r="566" spans="1:4" x14ac:dyDescent="0.25">
      <c r="A566" t="s">
        <v>742</v>
      </c>
      <c r="B566" t="s">
        <v>2849</v>
      </c>
      <c r="C566" t="s">
        <v>2775</v>
      </c>
      <c r="D566" t="s">
        <v>2778</v>
      </c>
    </row>
    <row r="567" spans="1:4" x14ac:dyDescent="0.25">
      <c r="A567" t="s">
        <v>743</v>
      </c>
      <c r="B567" t="s">
        <v>2849</v>
      </c>
      <c r="C567" t="s">
        <v>2775</v>
      </c>
      <c r="D567" t="s">
        <v>2780</v>
      </c>
    </row>
    <row r="568" spans="1:4" x14ac:dyDescent="0.25">
      <c r="A568" t="s">
        <v>744</v>
      </c>
      <c r="B568" t="s">
        <v>2849</v>
      </c>
      <c r="C568" t="s">
        <v>2775</v>
      </c>
      <c r="D568" t="s">
        <v>2780</v>
      </c>
    </row>
    <row r="569" spans="1:4" x14ac:dyDescent="0.25">
      <c r="A569" t="s">
        <v>745</v>
      </c>
      <c r="B569" t="s">
        <v>2849</v>
      </c>
      <c r="C569" t="s">
        <v>2775</v>
      </c>
      <c r="D569" t="s">
        <v>2781</v>
      </c>
    </row>
    <row r="570" spans="1:4" x14ac:dyDescent="0.25">
      <c r="A570" t="s">
        <v>746</v>
      </c>
      <c r="B570" t="s">
        <v>2849</v>
      </c>
      <c r="C570" t="s">
        <v>2775</v>
      </c>
      <c r="D570" t="s">
        <v>2781</v>
      </c>
    </row>
    <row r="571" spans="1:4" x14ac:dyDescent="0.25">
      <c r="A571" t="s">
        <v>747</v>
      </c>
      <c r="B571" t="s">
        <v>2849</v>
      </c>
      <c r="C571" t="s">
        <v>2775</v>
      </c>
      <c r="D571" t="s">
        <v>2781</v>
      </c>
    </row>
    <row r="572" spans="1:4" x14ac:dyDescent="0.25">
      <c r="A572" t="s">
        <v>1600</v>
      </c>
      <c r="B572" t="s">
        <v>2849</v>
      </c>
      <c r="C572" t="s">
        <v>2794</v>
      </c>
      <c r="D572" t="s">
        <v>2795</v>
      </c>
    </row>
    <row r="573" spans="1:4" x14ac:dyDescent="0.25">
      <c r="A573" t="s">
        <v>1601</v>
      </c>
      <c r="B573" t="s">
        <v>2849</v>
      </c>
      <c r="C573" t="s">
        <v>2801</v>
      </c>
      <c r="D573" t="s">
        <v>2802</v>
      </c>
    </row>
    <row r="574" spans="1:4" x14ac:dyDescent="0.25">
      <c r="A574" t="s">
        <v>1602</v>
      </c>
      <c r="B574" t="s">
        <v>2849</v>
      </c>
      <c r="C574" t="s">
        <v>2803</v>
      </c>
      <c r="D574" t="s">
        <v>2794</v>
      </c>
    </row>
    <row r="575" spans="1:4" x14ac:dyDescent="0.25">
      <c r="A575" t="s">
        <v>1603</v>
      </c>
      <c r="B575" t="s">
        <v>2849</v>
      </c>
      <c r="C575" t="s">
        <v>2803</v>
      </c>
      <c r="D575" t="s">
        <v>2804</v>
      </c>
    </row>
    <row r="576" spans="1:4" x14ac:dyDescent="0.25">
      <c r="A576" t="s">
        <v>749</v>
      </c>
      <c r="B576" t="s">
        <v>2855</v>
      </c>
      <c r="C576" t="s">
        <v>2851</v>
      </c>
      <c r="D576" t="s">
        <v>2852</v>
      </c>
    </row>
    <row r="577" spans="1:4" x14ac:dyDescent="0.25">
      <c r="A577" t="s">
        <v>750</v>
      </c>
      <c r="B577" t="s">
        <v>2855</v>
      </c>
      <c r="C577" t="s">
        <v>2851</v>
      </c>
      <c r="D577" t="s">
        <v>2854</v>
      </c>
    </row>
    <row r="578" spans="1:4" x14ac:dyDescent="0.25">
      <c r="A578" t="s">
        <v>751</v>
      </c>
      <c r="B578" t="s">
        <v>2855</v>
      </c>
      <c r="C578" t="s">
        <v>2851</v>
      </c>
      <c r="D578" t="s">
        <v>2852</v>
      </c>
    </row>
    <row r="579" spans="1:4" x14ac:dyDescent="0.25">
      <c r="A579" t="s">
        <v>752</v>
      </c>
      <c r="B579" t="s">
        <v>2855</v>
      </c>
      <c r="C579" t="s">
        <v>2775</v>
      </c>
      <c r="D579" t="s">
        <v>2781</v>
      </c>
    </row>
    <row r="580" spans="1:4" x14ac:dyDescent="0.25">
      <c r="A580" t="s">
        <v>1604</v>
      </c>
      <c r="B580" t="s">
        <v>2855</v>
      </c>
      <c r="C580" t="s">
        <v>2794</v>
      </c>
      <c r="D580" t="s">
        <v>2795</v>
      </c>
    </row>
    <row r="581" spans="1:4" x14ac:dyDescent="0.25">
      <c r="A581" t="s">
        <v>1605</v>
      </c>
      <c r="B581" t="s">
        <v>2855</v>
      </c>
      <c r="C581" t="s">
        <v>2803</v>
      </c>
      <c r="D581" t="s">
        <v>2804</v>
      </c>
    </row>
    <row r="582" spans="1:4" x14ac:dyDescent="0.25">
      <c r="A582" t="s">
        <v>754</v>
      </c>
      <c r="B582" t="s">
        <v>2856</v>
      </c>
      <c r="C582" t="s">
        <v>2754</v>
      </c>
      <c r="D582" t="s">
        <v>2753</v>
      </c>
    </row>
    <row r="583" spans="1:4" x14ac:dyDescent="0.25">
      <c r="A583" t="s">
        <v>755</v>
      </c>
      <c r="B583" t="s">
        <v>2856</v>
      </c>
      <c r="C583" t="s">
        <v>2754</v>
      </c>
      <c r="D583" t="s">
        <v>2755</v>
      </c>
    </row>
    <row r="584" spans="1:4" x14ac:dyDescent="0.25">
      <c r="A584" t="s">
        <v>756</v>
      </c>
      <c r="B584" t="s">
        <v>2856</v>
      </c>
      <c r="C584" t="s">
        <v>2754</v>
      </c>
      <c r="D584" t="s">
        <v>2761</v>
      </c>
    </row>
    <row r="585" spans="1:4" x14ac:dyDescent="0.25">
      <c r="A585" t="s">
        <v>757</v>
      </c>
      <c r="B585" t="s">
        <v>2856</v>
      </c>
      <c r="C585" t="s">
        <v>2754</v>
      </c>
      <c r="D585" t="s">
        <v>2762</v>
      </c>
    </row>
    <row r="586" spans="1:4" x14ac:dyDescent="0.25">
      <c r="A586" t="s">
        <v>758</v>
      </c>
      <c r="B586" t="s">
        <v>2856</v>
      </c>
      <c r="C586" t="s">
        <v>2754</v>
      </c>
      <c r="D586" t="s">
        <v>2755</v>
      </c>
    </row>
    <row r="587" spans="1:4" x14ac:dyDescent="0.25">
      <c r="A587" t="s">
        <v>759</v>
      </c>
      <c r="B587" t="s">
        <v>2856</v>
      </c>
      <c r="C587" t="s">
        <v>2851</v>
      </c>
      <c r="D587" t="s">
        <v>2850</v>
      </c>
    </row>
    <row r="588" spans="1:4" x14ac:dyDescent="0.25">
      <c r="A588" t="s">
        <v>760</v>
      </c>
      <c r="B588" t="s">
        <v>2856</v>
      </c>
      <c r="C588" t="s">
        <v>2754</v>
      </c>
      <c r="D588" t="s">
        <v>2766</v>
      </c>
    </row>
    <row r="589" spans="1:4" x14ac:dyDescent="0.25">
      <c r="A589" t="s">
        <v>761</v>
      </c>
      <c r="B589" t="s">
        <v>2856</v>
      </c>
      <c r="C589" t="s">
        <v>2754</v>
      </c>
      <c r="D589" t="s">
        <v>2767</v>
      </c>
    </row>
    <row r="590" spans="1:4" x14ac:dyDescent="0.25">
      <c r="A590" t="s">
        <v>762</v>
      </c>
      <c r="B590" t="s">
        <v>2856</v>
      </c>
      <c r="C590" t="s">
        <v>2754</v>
      </c>
      <c r="D590" t="s">
        <v>2768</v>
      </c>
    </row>
    <row r="591" spans="1:4" x14ac:dyDescent="0.25">
      <c r="A591" t="s">
        <v>763</v>
      </c>
      <c r="B591" t="s">
        <v>2856</v>
      </c>
      <c r="C591" t="s">
        <v>2754</v>
      </c>
      <c r="D591" t="s">
        <v>2769</v>
      </c>
    </row>
    <row r="592" spans="1:4" x14ac:dyDescent="0.25">
      <c r="A592" t="s">
        <v>764</v>
      </c>
      <c r="B592" t="s">
        <v>2856</v>
      </c>
      <c r="C592" t="s">
        <v>2851</v>
      </c>
      <c r="D592" t="s">
        <v>2852</v>
      </c>
    </row>
    <row r="593" spans="1:4" x14ac:dyDescent="0.25">
      <c r="A593" t="s">
        <v>765</v>
      </c>
      <c r="B593" t="s">
        <v>2856</v>
      </c>
      <c r="C593" t="s">
        <v>2851</v>
      </c>
      <c r="D593" t="s">
        <v>2857</v>
      </c>
    </row>
    <row r="594" spans="1:4" x14ac:dyDescent="0.25">
      <c r="A594" t="s">
        <v>766</v>
      </c>
      <c r="B594" t="s">
        <v>2856</v>
      </c>
      <c r="C594" t="s">
        <v>2851</v>
      </c>
      <c r="D594" t="s">
        <v>2850</v>
      </c>
    </row>
    <row r="595" spans="1:4" x14ac:dyDescent="0.25">
      <c r="A595" t="s">
        <v>767</v>
      </c>
      <c r="B595" t="s">
        <v>2856</v>
      </c>
      <c r="C595" t="s">
        <v>2851</v>
      </c>
      <c r="D595" t="s">
        <v>2852</v>
      </c>
    </row>
    <row r="596" spans="1:4" x14ac:dyDescent="0.25">
      <c r="A596" t="s">
        <v>768</v>
      </c>
      <c r="B596" t="s">
        <v>2856</v>
      </c>
      <c r="C596" t="s">
        <v>2851</v>
      </c>
      <c r="D596" t="s">
        <v>2854</v>
      </c>
    </row>
    <row r="597" spans="1:4" x14ac:dyDescent="0.25">
      <c r="A597" t="s">
        <v>769</v>
      </c>
      <c r="B597" t="s">
        <v>2856</v>
      </c>
      <c r="C597" t="s">
        <v>2851</v>
      </c>
      <c r="D597" t="s">
        <v>2850</v>
      </c>
    </row>
    <row r="598" spans="1:4" x14ac:dyDescent="0.25">
      <c r="A598" t="s">
        <v>770</v>
      </c>
      <c r="B598" t="s">
        <v>2856</v>
      </c>
      <c r="C598" t="s">
        <v>2775</v>
      </c>
      <c r="D598" t="s">
        <v>2778</v>
      </c>
    </row>
    <row r="599" spans="1:4" x14ac:dyDescent="0.25">
      <c r="A599" t="s">
        <v>771</v>
      </c>
      <c r="B599" t="s">
        <v>2856</v>
      </c>
      <c r="C599" t="s">
        <v>2775</v>
      </c>
      <c r="D599" t="s">
        <v>2780</v>
      </c>
    </row>
    <row r="600" spans="1:4" x14ac:dyDescent="0.25">
      <c r="A600" t="s">
        <v>772</v>
      </c>
      <c r="B600" t="s">
        <v>2856</v>
      </c>
      <c r="C600" t="s">
        <v>2775</v>
      </c>
      <c r="D600" t="s">
        <v>2781</v>
      </c>
    </row>
    <row r="601" spans="1:4" x14ac:dyDescent="0.25">
      <c r="A601" t="s">
        <v>773</v>
      </c>
      <c r="B601" t="s">
        <v>2856</v>
      </c>
      <c r="C601" t="s">
        <v>2775</v>
      </c>
      <c r="D601" t="s">
        <v>2781</v>
      </c>
    </row>
    <row r="602" spans="1:4" x14ac:dyDescent="0.25">
      <c r="A602" t="s">
        <v>1606</v>
      </c>
      <c r="B602" t="s">
        <v>2856</v>
      </c>
      <c r="C602" t="s">
        <v>2794</v>
      </c>
      <c r="D602" t="s">
        <v>2795</v>
      </c>
    </row>
    <row r="603" spans="1:4" x14ac:dyDescent="0.25">
      <c r="A603" t="s">
        <v>1607</v>
      </c>
      <c r="B603" t="s">
        <v>2856</v>
      </c>
      <c r="C603" t="s">
        <v>2801</v>
      </c>
      <c r="D603" t="s">
        <v>2802</v>
      </c>
    </row>
    <row r="604" spans="1:4" x14ac:dyDescent="0.25">
      <c r="A604" t="s">
        <v>1608</v>
      </c>
      <c r="B604" t="s">
        <v>2856</v>
      </c>
      <c r="C604" t="s">
        <v>2803</v>
      </c>
      <c r="D604" t="s">
        <v>2794</v>
      </c>
    </row>
    <row r="605" spans="1:4" x14ac:dyDescent="0.25">
      <c r="A605" t="s">
        <v>1609</v>
      </c>
      <c r="B605" t="s">
        <v>2856</v>
      </c>
      <c r="C605" t="s">
        <v>2803</v>
      </c>
      <c r="D605" t="s">
        <v>2804</v>
      </c>
    </row>
    <row r="606" spans="1:4" x14ac:dyDescent="0.25">
      <c r="A606" t="s">
        <v>775</v>
      </c>
      <c r="B606" t="s">
        <v>2858</v>
      </c>
      <c r="C606" t="s">
        <v>2851</v>
      </c>
      <c r="D606" t="s">
        <v>2850</v>
      </c>
    </row>
    <row r="607" spans="1:4" x14ac:dyDescent="0.25">
      <c r="A607" t="s">
        <v>776</v>
      </c>
      <c r="B607" t="s">
        <v>2858</v>
      </c>
      <c r="C607" t="s">
        <v>2851</v>
      </c>
      <c r="D607" t="s">
        <v>2852</v>
      </c>
    </row>
    <row r="608" spans="1:4" x14ac:dyDescent="0.25">
      <c r="A608" t="s">
        <v>777</v>
      </c>
      <c r="B608" t="s">
        <v>2858</v>
      </c>
      <c r="C608" t="s">
        <v>2851</v>
      </c>
      <c r="D608" t="s">
        <v>2859</v>
      </c>
    </row>
    <row r="609" spans="1:4" x14ac:dyDescent="0.25">
      <c r="A609" t="s">
        <v>778</v>
      </c>
      <c r="B609" t="s">
        <v>2858</v>
      </c>
      <c r="C609" t="s">
        <v>2851</v>
      </c>
      <c r="D609" t="s">
        <v>2850</v>
      </c>
    </row>
    <row r="610" spans="1:4" x14ac:dyDescent="0.25">
      <c r="A610" t="s">
        <v>779</v>
      </c>
      <c r="B610" t="s">
        <v>2858</v>
      </c>
      <c r="C610" t="s">
        <v>2851</v>
      </c>
      <c r="D610" t="s">
        <v>2852</v>
      </c>
    </row>
    <row r="611" spans="1:4" x14ac:dyDescent="0.25">
      <c r="A611" t="s">
        <v>780</v>
      </c>
      <c r="B611" t="s">
        <v>2858</v>
      </c>
      <c r="C611" t="s">
        <v>2851</v>
      </c>
      <c r="D611" t="s">
        <v>2854</v>
      </c>
    </row>
    <row r="612" spans="1:4" x14ac:dyDescent="0.25">
      <c r="A612" t="s">
        <v>781</v>
      </c>
      <c r="B612" t="s">
        <v>2858</v>
      </c>
      <c r="C612" t="s">
        <v>2851</v>
      </c>
      <c r="D612" t="s">
        <v>2850</v>
      </c>
    </row>
    <row r="613" spans="1:4" x14ac:dyDescent="0.25">
      <c r="A613" t="s">
        <v>782</v>
      </c>
      <c r="B613" t="s">
        <v>2858</v>
      </c>
      <c r="C613" t="s">
        <v>2775</v>
      </c>
      <c r="D613" t="s">
        <v>2778</v>
      </c>
    </row>
    <row r="614" spans="1:4" x14ac:dyDescent="0.25">
      <c r="A614" t="s">
        <v>783</v>
      </c>
      <c r="B614" t="s">
        <v>2858</v>
      </c>
      <c r="C614" t="s">
        <v>2775</v>
      </c>
      <c r="D614" t="s">
        <v>2780</v>
      </c>
    </row>
    <row r="615" spans="1:4" x14ac:dyDescent="0.25">
      <c r="A615" t="s">
        <v>784</v>
      </c>
      <c r="B615" t="s">
        <v>2858</v>
      </c>
      <c r="C615" t="s">
        <v>2775</v>
      </c>
      <c r="D615" t="s">
        <v>2781</v>
      </c>
    </row>
    <row r="616" spans="1:4" x14ac:dyDescent="0.25">
      <c r="A616" t="s">
        <v>785</v>
      </c>
      <c r="B616" t="s">
        <v>2858</v>
      </c>
      <c r="C616" t="s">
        <v>2775</v>
      </c>
      <c r="D616" t="s">
        <v>2781</v>
      </c>
    </row>
    <row r="617" spans="1:4" x14ac:dyDescent="0.25">
      <c r="A617" t="s">
        <v>1610</v>
      </c>
      <c r="B617" t="s">
        <v>2858</v>
      </c>
      <c r="C617" t="s">
        <v>2794</v>
      </c>
      <c r="D617" t="s">
        <v>2795</v>
      </c>
    </row>
    <row r="618" spans="1:4" x14ac:dyDescent="0.25">
      <c r="A618" t="s">
        <v>1611</v>
      </c>
      <c r="B618" t="s">
        <v>2858</v>
      </c>
      <c r="C618" t="s">
        <v>2801</v>
      </c>
      <c r="D618" t="s">
        <v>2802</v>
      </c>
    </row>
    <row r="619" spans="1:4" x14ac:dyDescent="0.25">
      <c r="A619" t="s">
        <v>1612</v>
      </c>
      <c r="B619" t="s">
        <v>2858</v>
      </c>
      <c r="C619" t="s">
        <v>2803</v>
      </c>
      <c r="D619" t="s">
        <v>2794</v>
      </c>
    </row>
    <row r="620" spans="1:4" x14ac:dyDescent="0.25">
      <c r="A620" t="s">
        <v>1613</v>
      </c>
      <c r="B620" t="s">
        <v>2858</v>
      </c>
      <c r="C620" t="s">
        <v>2803</v>
      </c>
      <c r="D620" t="s">
        <v>2804</v>
      </c>
    </row>
    <row r="621" spans="1:4" x14ac:dyDescent="0.25">
      <c r="A621" t="s">
        <v>787</v>
      </c>
      <c r="B621" t="s">
        <v>2860</v>
      </c>
      <c r="C621" t="s">
        <v>2754</v>
      </c>
      <c r="D621" t="s">
        <v>2767</v>
      </c>
    </row>
    <row r="622" spans="1:4" x14ac:dyDescent="0.25">
      <c r="A622" t="s">
        <v>788</v>
      </c>
      <c r="B622" t="s">
        <v>2860</v>
      </c>
      <c r="C622" t="s">
        <v>2851</v>
      </c>
      <c r="D622" t="s">
        <v>2852</v>
      </c>
    </row>
    <row r="623" spans="1:4" x14ac:dyDescent="0.25">
      <c r="A623" t="s">
        <v>789</v>
      </c>
      <c r="B623" t="s">
        <v>2860</v>
      </c>
      <c r="C623" t="s">
        <v>2851</v>
      </c>
      <c r="D623" t="s">
        <v>2861</v>
      </c>
    </row>
    <row r="624" spans="1:4" x14ac:dyDescent="0.25">
      <c r="A624" t="s">
        <v>790</v>
      </c>
      <c r="B624" t="s">
        <v>2860</v>
      </c>
      <c r="C624" t="s">
        <v>2851</v>
      </c>
      <c r="D624" t="s">
        <v>2850</v>
      </c>
    </row>
    <row r="625" spans="1:4" x14ac:dyDescent="0.25">
      <c r="A625" t="s">
        <v>791</v>
      </c>
      <c r="B625" t="s">
        <v>2860</v>
      </c>
      <c r="C625" t="s">
        <v>2851</v>
      </c>
      <c r="D625" t="s">
        <v>2852</v>
      </c>
    </row>
    <row r="626" spans="1:4" x14ac:dyDescent="0.25">
      <c r="A626" t="s">
        <v>792</v>
      </c>
      <c r="B626" t="s">
        <v>2860</v>
      </c>
      <c r="C626" t="s">
        <v>2851</v>
      </c>
      <c r="D626" t="s">
        <v>2854</v>
      </c>
    </row>
    <row r="627" spans="1:4" x14ac:dyDescent="0.25">
      <c r="A627" t="s">
        <v>793</v>
      </c>
      <c r="B627" t="s">
        <v>2860</v>
      </c>
      <c r="C627" t="s">
        <v>2851</v>
      </c>
      <c r="D627" t="s">
        <v>2850</v>
      </c>
    </row>
    <row r="628" spans="1:4" x14ac:dyDescent="0.25">
      <c r="A628" t="s">
        <v>794</v>
      </c>
      <c r="B628" t="s">
        <v>2860</v>
      </c>
      <c r="C628" t="s">
        <v>2775</v>
      </c>
      <c r="D628" t="s">
        <v>2780</v>
      </c>
    </row>
    <row r="629" spans="1:4" x14ac:dyDescent="0.25">
      <c r="A629" t="s">
        <v>795</v>
      </c>
      <c r="B629" t="s">
        <v>2860</v>
      </c>
      <c r="C629" t="s">
        <v>2775</v>
      </c>
      <c r="D629" t="s">
        <v>2781</v>
      </c>
    </row>
    <row r="630" spans="1:4" x14ac:dyDescent="0.25">
      <c r="A630" t="s">
        <v>796</v>
      </c>
      <c r="B630" t="s">
        <v>2860</v>
      </c>
      <c r="C630" t="s">
        <v>2775</v>
      </c>
      <c r="D630" t="s">
        <v>2781</v>
      </c>
    </row>
    <row r="631" spans="1:4" x14ac:dyDescent="0.25">
      <c r="A631" t="s">
        <v>1614</v>
      </c>
      <c r="B631" t="s">
        <v>2860</v>
      </c>
      <c r="C631" t="s">
        <v>2794</v>
      </c>
      <c r="D631" t="s">
        <v>2795</v>
      </c>
    </row>
    <row r="632" spans="1:4" x14ac:dyDescent="0.25">
      <c r="A632" t="s">
        <v>1615</v>
      </c>
      <c r="B632" t="s">
        <v>2860</v>
      </c>
      <c r="C632" t="s">
        <v>2803</v>
      </c>
      <c r="D632" t="s">
        <v>2794</v>
      </c>
    </row>
    <row r="633" spans="1:4" x14ac:dyDescent="0.25">
      <c r="A633" t="s">
        <v>1616</v>
      </c>
      <c r="B633" t="s">
        <v>2860</v>
      </c>
      <c r="C633" t="s">
        <v>2803</v>
      </c>
      <c r="D633" t="s">
        <v>2804</v>
      </c>
    </row>
    <row r="634" spans="1:4" x14ac:dyDescent="0.25">
      <c r="A634" t="s">
        <v>798</v>
      </c>
      <c r="B634" t="s">
        <v>2862</v>
      </c>
      <c r="C634" t="s">
        <v>2754</v>
      </c>
      <c r="D634" t="s">
        <v>2753</v>
      </c>
    </row>
    <row r="635" spans="1:4" x14ac:dyDescent="0.25">
      <c r="A635" t="s">
        <v>799</v>
      </c>
      <c r="B635" t="s">
        <v>2862</v>
      </c>
      <c r="C635" t="s">
        <v>2754</v>
      </c>
      <c r="D635" t="s">
        <v>2767</v>
      </c>
    </row>
    <row r="636" spans="1:4" x14ac:dyDescent="0.25">
      <c r="A636" t="s">
        <v>800</v>
      </c>
      <c r="B636" t="s">
        <v>2862</v>
      </c>
      <c r="C636" t="s">
        <v>2851</v>
      </c>
      <c r="D636" t="s">
        <v>2852</v>
      </c>
    </row>
    <row r="637" spans="1:4" x14ac:dyDescent="0.25">
      <c r="A637" t="s">
        <v>801</v>
      </c>
      <c r="B637" t="s">
        <v>2862</v>
      </c>
      <c r="C637" t="s">
        <v>2851</v>
      </c>
      <c r="D637" t="s">
        <v>2854</v>
      </c>
    </row>
    <row r="638" spans="1:4" x14ac:dyDescent="0.25">
      <c r="A638" t="s">
        <v>802</v>
      </c>
      <c r="B638" t="s">
        <v>2862</v>
      </c>
      <c r="C638" t="s">
        <v>2851</v>
      </c>
      <c r="D638" t="s">
        <v>2850</v>
      </c>
    </row>
    <row r="639" spans="1:4" x14ac:dyDescent="0.25">
      <c r="A639" t="s">
        <v>803</v>
      </c>
      <c r="B639" t="s">
        <v>2862</v>
      </c>
      <c r="C639" t="s">
        <v>2775</v>
      </c>
      <c r="D639" t="s">
        <v>2780</v>
      </c>
    </row>
    <row r="640" spans="1:4" x14ac:dyDescent="0.25">
      <c r="A640" t="s">
        <v>804</v>
      </c>
      <c r="B640" t="s">
        <v>2862</v>
      </c>
      <c r="C640" t="s">
        <v>2775</v>
      </c>
      <c r="D640" t="s">
        <v>2781</v>
      </c>
    </row>
    <row r="641" spans="1:4" x14ac:dyDescent="0.25">
      <c r="A641" t="s">
        <v>805</v>
      </c>
      <c r="B641" t="s">
        <v>2862</v>
      </c>
      <c r="C641" t="s">
        <v>2775</v>
      </c>
      <c r="D641" t="s">
        <v>2781</v>
      </c>
    </row>
    <row r="642" spans="1:4" x14ac:dyDescent="0.25">
      <c r="A642" t="s">
        <v>1617</v>
      </c>
      <c r="B642" t="s">
        <v>2862</v>
      </c>
      <c r="C642" t="s">
        <v>2794</v>
      </c>
      <c r="D642" t="s">
        <v>2795</v>
      </c>
    </row>
    <row r="643" spans="1:4" x14ac:dyDescent="0.25">
      <c r="A643" t="s">
        <v>1618</v>
      </c>
      <c r="B643" t="s">
        <v>2862</v>
      </c>
      <c r="C643" t="s">
        <v>2801</v>
      </c>
      <c r="D643" t="s">
        <v>2802</v>
      </c>
    </row>
    <row r="644" spans="1:4" x14ac:dyDescent="0.25">
      <c r="A644" t="s">
        <v>1619</v>
      </c>
      <c r="B644" t="s">
        <v>2862</v>
      </c>
      <c r="C644" t="s">
        <v>2803</v>
      </c>
      <c r="D644" t="s">
        <v>2794</v>
      </c>
    </row>
    <row r="645" spans="1:4" x14ac:dyDescent="0.25">
      <c r="A645" t="s">
        <v>1620</v>
      </c>
      <c r="B645" t="s">
        <v>2862</v>
      </c>
      <c r="C645" t="s">
        <v>2803</v>
      </c>
      <c r="D645" t="s">
        <v>2804</v>
      </c>
    </row>
    <row r="646" spans="1:4" x14ac:dyDescent="0.25">
      <c r="A646" t="s">
        <v>807</v>
      </c>
      <c r="B646" t="s">
        <v>2863</v>
      </c>
      <c r="C646" t="s">
        <v>2865</v>
      </c>
      <c r="D646" t="s">
        <v>2864</v>
      </c>
    </row>
    <row r="647" spans="1:4" x14ac:dyDescent="0.25">
      <c r="A647" t="s">
        <v>808</v>
      </c>
      <c r="B647" t="s">
        <v>2863</v>
      </c>
      <c r="C647" t="s">
        <v>2865</v>
      </c>
      <c r="D647" t="s">
        <v>2866</v>
      </c>
    </row>
    <row r="648" spans="1:4" x14ac:dyDescent="0.25">
      <c r="A648" t="s">
        <v>809</v>
      </c>
      <c r="B648" t="s">
        <v>2863</v>
      </c>
      <c r="C648" t="s">
        <v>2775</v>
      </c>
      <c r="D648" t="s">
        <v>2867</v>
      </c>
    </row>
    <row r="649" spans="1:4" x14ac:dyDescent="0.25">
      <c r="A649" t="s">
        <v>810</v>
      </c>
      <c r="B649" t="s">
        <v>2863</v>
      </c>
      <c r="C649" t="s">
        <v>2865</v>
      </c>
      <c r="D649" t="s">
        <v>2868</v>
      </c>
    </row>
    <row r="650" spans="1:4" x14ac:dyDescent="0.25">
      <c r="A650" t="s">
        <v>811</v>
      </c>
      <c r="B650" t="s">
        <v>2863</v>
      </c>
      <c r="C650" t="s">
        <v>2865</v>
      </c>
      <c r="D650" t="s">
        <v>2869</v>
      </c>
    </row>
    <row r="651" spans="1:4" x14ac:dyDescent="0.25">
      <c r="A651" t="s">
        <v>812</v>
      </c>
      <c r="B651" t="s">
        <v>2863</v>
      </c>
      <c r="C651" t="s">
        <v>2865</v>
      </c>
      <c r="D651" t="s">
        <v>2869</v>
      </c>
    </row>
    <row r="652" spans="1:4" x14ac:dyDescent="0.25">
      <c r="A652" t="s">
        <v>813</v>
      </c>
      <c r="B652" t="s">
        <v>2863</v>
      </c>
      <c r="C652" t="s">
        <v>2865</v>
      </c>
      <c r="D652" t="s">
        <v>2869</v>
      </c>
    </row>
    <row r="653" spans="1:4" x14ac:dyDescent="0.25">
      <c r="A653" t="s">
        <v>814</v>
      </c>
      <c r="B653" t="s">
        <v>2863</v>
      </c>
      <c r="C653" t="s">
        <v>2865</v>
      </c>
      <c r="D653" t="s">
        <v>2866</v>
      </c>
    </row>
    <row r="654" spans="1:4" x14ac:dyDescent="0.25">
      <c r="A654" t="s">
        <v>815</v>
      </c>
      <c r="B654" t="s">
        <v>2863</v>
      </c>
      <c r="C654" t="s">
        <v>2865</v>
      </c>
      <c r="D654" t="s">
        <v>2870</v>
      </c>
    </row>
    <row r="655" spans="1:4" x14ac:dyDescent="0.25">
      <c r="A655" t="s">
        <v>816</v>
      </c>
      <c r="B655" t="s">
        <v>2863</v>
      </c>
      <c r="C655" t="s">
        <v>2865</v>
      </c>
      <c r="D655" t="s">
        <v>2866</v>
      </c>
    </row>
    <row r="656" spans="1:4" x14ac:dyDescent="0.25">
      <c r="A656" t="s">
        <v>817</v>
      </c>
      <c r="B656" t="s">
        <v>2863</v>
      </c>
      <c r="C656" t="s">
        <v>2751</v>
      </c>
      <c r="D656" t="s">
        <v>27</v>
      </c>
    </row>
    <row r="657" spans="1:4" x14ac:dyDescent="0.25">
      <c r="A657" t="s">
        <v>818</v>
      </c>
      <c r="B657" t="s">
        <v>2863</v>
      </c>
      <c r="C657" t="s">
        <v>2871</v>
      </c>
      <c r="D657" t="s">
        <v>2872</v>
      </c>
    </row>
    <row r="658" spans="1:4" x14ac:dyDescent="0.25">
      <c r="A658" t="s">
        <v>819</v>
      </c>
      <c r="B658" t="s">
        <v>2863</v>
      </c>
      <c r="C658" t="s">
        <v>2871</v>
      </c>
      <c r="D658" t="s">
        <v>2873</v>
      </c>
    </row>
    <row r="659" spans="1:4" x14ac:dyDescent="0.25">
      <c r="A659" t="s">
        <v>820</v>
      </c>
      <c r="B659" t="s">
        <v>2863</v>
      </c>
      <c r="C659" t="s">
        <v>2874</v>
      </c>
      <c r="D659" t="s">
        <v>2865</v>
      </c>
    </row>
    <row r="660" spans="1:4" x14ac:dyDescent="0.25">
      <c r="A660" t="s">
        <v>821</v>
      </c>
      <c r="B660" t="s">
        <v>2863</v>
      </c>
      <c r="C660" t="s">
        <v>2751</v>
      </c>
      <c r="D660" t="s">
        <v>2875</v>
      </c>
    </row>
    <row r="661" spans="1:4" x14ac:dyDescent="0.25">
      <c r="A661" t="s">
        <v>822</v>
      </c>
      <c r="B661" t="s">
        <v>2863</v>
      </c>
      <c r="C661" t="s">
        <v>2754</v>
      </c>
      <c r="D661" t="s">
        <v>2753</v>
      </c>
    </row>
    <row r="662" spans="1:4" x14ac:dyDescent="0.25">
      <c r="A662" t="s">
        <v>823</v>
      </c>
      <c r="B662" t="s">
        <v>2863</v>
      </c>
      <c r="C662" t="s">
        <v>2754</v>
      </c>
      <c r="D662" t="s">
        <v>2755</v>
      </c>
    </row>
    <row r="663" spans="1:4" x14ac:dyDescent="0.25">
      <c r="A663" t="s">
        <v>824</v>
      </c>
      <c r="B663" t="s">
        <v>2863</v>
      </c>
      <c r="C663" t="s">
        <v>2754</v>
      </c>
      <c r="D663" t="s">
        <v>2756</v>
      </c>
    </row>
    <row r="664" spans="1:4" x14ac:dyDescent="0.25">
      <c r="A664" t="s">
        <v>825</v>
      </c>
      <c r="B664" t="s">
        <v>2863</v>
      </c>
      <c r="C664" t="s">
        <v>2754</v>
      </c>
      <c r="D664" t="s">
        <v>2757</v>
      </c>
    </row>
    <row r="665" spans="1:4" x14ac:dyDescent="0.25">
      <c r="A665" t="s">
        <v>826</v>
      </c>
      <c r="B665" t="s">
        <v>2863</v>
      </c>
      <c r="C665" t="s">
        <v>2754</v>
      </c>
      <c r="D665" t="s">
        <v>2758</v>
      </c>
    </row>
    <row r="666" spans="1:4" x14ac:dyDescent="0.25">
      <c r="A666" t="s">
        <v>827</v>
      </c>
      <c r="B666" t="s">
        <v>2863</v>
      </c>
      <c r="C666" t="s">
        <v>2754</v>
      </c>
      <c r="D666" t="s">
        <v>2759</v>
      </c>
    </row>
    <row r="667" spans="1:4" x14ac:dyDescent="0.25">
      <c r="A667" t="s">
        <v>828</v>
      </c>
      <c r="B667" t="s">
        <v>2863</v>
      </c>
      <c r="C667" t="s">
        <v>2754</v>
      </c>
      <c r="D667" t="s">
        <v>2753</v>
      </c>
    </row>
    <row r="668" spans="1:4" x14ac:dyDescent="0.25">
      <c r="A668" t="s">
        <v>829</v>
      </c>
      <c r="B668" t="s">
        <v>2863</v>
      </c>
      <c r="C668" t="s">
        <v>2754</v>
      </c>
      <c r="D668" t="s">
        <v>2755</v>
      </c>
    </row>
    <row r="669" spans="1:4" x14ac:dyDescent="0.25">
      <c r="A669" t="s">
        <v>830</v>
      </c>
      <c r="B669" t="s">
        <v>2863</v>
      </c>
      <c r="C669" t="s">
        <v>2754</v>
      </c>
      <c r="D669" t="s">
        <v>2760</v>
      </c>
    </row>
    <row r="670" spans="1:4" x14ac:dyDescent="0.25">
      <c r="A670" t="s">
        <v>831</v>
      </c>
      <c r="B670" t="s">
        <v>2863</v>
      </c>
      <c r="C670" t="s">
        <v>2754</v>
      </c>
      <c r="D670" t="s">
        <v>2761</v>
      </c>
    </row>
    <row r="671" spans="1:4" x14ac:dyDescent="0.25">
      <c r="A671" t="s">
        <v>832</v>
      </c>
      <c r="B671" t="s">
        <v>2863</v>
      </c>
      <c r="C671" t="s">
        <v>2754</v>
      </c>
      <c r="D671" t="s">
        <v>2762</v>
      </c>
    </row>
    <row r="672" spans="1:4" x14ac:dyDescent="0.25">
      <c r="A672" t="s">
        <v>833</v>
      </c>
      <c r="B672" t="s">
        <v>2863</v>
      </c>
      <c r="C672" t="s">
        <v>2754</v>
      </c>
      <c r="D672" t="s">
        <v>2755</v>
      </c>
    </row>
    <row r="673" spans="1:4" x14ac:dyDescent="0.25">
      <c r="A673" t="s">
        <v>834</v>
      </c>
      <c r="B673" t="s">
        <v>2863</v>
      </c>
      <c r="C673" t="s">
        <v>2754</v>
      </c>
      <c r="D673" t="s">
        <v>2758</v>
      </c>
    </row>
    <row r="674" spans="1:4" x14ac:dyDescent="0.25">
      <c r="A674" t="s">
        <v>835</v>
      </c>
      <c r="B674" t="s">
        <v>2863</v>
      </c>
      <c r="C674" t="s">
        <v>2754</v>
      </c>
      <c r="D674" t="s">
        <v>2766</v>
      </c>
    </row>
    <row r="675" spans="1:4" x14ac:dyDescent="0.25">
      <c r="A675" t="s">
        <v>836</v>
      </c>
      <c r="B675" t="s">
        <v>2863</v>
      </c>
      <c r="C675" t="s">
        <v>2754</v>
      </c>
      <c r="D675" t="s">
        <v>2767</v>
      </c>
    </row>
    <row r="676" spans="1:4" x14ac:dyDescent="0.25">
      <c r="A676" t="s">
        <v>837</v>
      </c>
      <c r="B676" t="s">
        <v>2863</v>
      </c>
      <c r="C676" t="s">
        <v>2754</v>
      </c>
      <c r="D676" t="s">
        <v>2768</v>
      </c>
    </row>
    <row r="677" spans="1:4" x14ac:dyDescent="0.25">
      <c r="A677" t="s">
        <v>838</v>
      </c>
      <c r="B677" t="s">
        <v>2863</v>
      </c>
      <c r="C677" t="s">
        <v>2754</v>
      </c>
      <c r="D677" t="s">
        <v>2769</v>
      </c>
    </row>
    <row r="678" spans="1:4" x14ac:dyDescent="0.25">
      <c r="A678" t="s">
        <v>839</v>
      </c>
      <c r="B678" t="s">
        <v>2863</v>
      </c>
      <c r="C678" t="s">
        <v>2754</v>
      </c>
      <c r="D678" t="s">
        <v>2770</v>
      </c>
    </row>
    <row r="679" spans="1:4" x14ac:dyDescent="0.25">
      <c r="A679" t="s">
        <v>840</v>
      </c>
      <c r="B679" t="s">
        <v>2863</v>
      </c>
      <c r="C679" t="s">
        <v>2754</v>
      </c>
      <c r="D679" t="s">
        <v>2770</v>
      </c>
    </row>
    <row r="680" spans="1:4" x14ac:dyDescent="0.25">
      <c r="A680" t="s">
        <v>841</v>
      </c>
      <c r="B680" t="s">
        <v>2863</v>
      </c>
      <c r="C680" t="s">
        <v>2754</v>
      </c>
      <c r="D680" t="s">
        <v>2764</v>
      </c>
    </row>
    <row r="681" spans="1:4" x14ac:dyDescent="0.25">
      <c r="A681" t="s">
        <v>842</v>
      </c>
      <c r="B681" t="s">
        <v>2863</v>
      </c>
      <c r="C681" t="s">
        <v>2771</v>
      </c>
      <c r="D681" t="s">
        <v>2772</v>
      </c>
    </row>
    <row r="682" spans="1:4" x14ac:dyDescent="0.25">
      <c r="A682" t="s">
        <v>843</v>
      </c>
      <c r="B682" t="s">
        <v>2863</v>
      </c>
      <c r="C682" t="s">
        <v>2771</v>
      </c>
      <c r="D682" t="s">
        <v>2826</v>
      </c>
    </row>
    <row r="683" spans="1:4" x14ac:dyDescent="0.25">
      <c r="A683" t="s">
        <v>844</v>
      </c>
      <c r="B683" t="s">
        <v>2863</v>
      </c>
      <c r="C683" t="s">
        <v>2771</v>
      </c>
      <c r="D683" t="s">
        <v>2808</v>
      </c>
    </row>
    <row r="684" spans="1:4" x14ac:dyDescent="0.25">
      <c r="A684" t="s">
        <v>845</v>
      </c>
      <c r="B684" t="s">
        <v>2863</v>
      </c>
      <c r="C684" t="s">
        <v>2775</v>
      </c>
      <c r="D684" t="s">
        <v>2781</v>
      </c>
    </row>
    <row r="685" spans="1:4" x14ac:dyDescent="0.25">
      <c r="A685" t="s">
        <v>846</v>
      </c>
      <c r="B685" t="s">
        <v>2863</v>
      </c>
      <c r="C685" t="s">
        <v>2775</v>
      </c>
      <c r="D685" t="s">
        <v>2778</v>
      </c>
    </row>
    <row r="686" spans="1:4" x14ac:dyDescent="0.25">
      <c r="A686" t="s">
        <v>847</v>
      </c>
      <c r="B686" t="s">
        <v>2863</v>
      </c>
      <c r="C686" t="s">
        <v>2775</v>
      </c>
      <c r="D686" t="s">
        <v>2813</v>
      </c>
    </row>
    <row r="687" spans="1:4" x14ac:dyDescent="0.25">
      <c r="A687" t="s">
        <v>848</v>
      </c>
      <c r="B687" t="s">
        <v>2863</v>
      </c>
      <c r="C687" t="s">
        <v>2775</v>
      </c>
      <c r="D687" t="s">
        <v>2780</v>
      </c>
    </row>
    <row r="688" spans="1:4" x14ac:dyDescent="0.25">
      <c r="A688" t="s">
        <v>849</v>
      </c>
      <c r="B688" t="s">
        <v>2863</v>
      </c>
      <c r="C688" t="s">
        <v>2775</v>
      </c>
      <c r="D688" t="s">
        <v>2781</v>
      </c>
    </row>
    <row r="689" spans="1:4" x14ac:dyDescent="0.25">
      <c r="A689" t="s">
        <v>850</v>
      </c>
      <c r="B689" t="s">
        <v>2863</v>
      </c>
      <c r="C689" t="s">
        <v>2775</v>
      </c>
      <c r="D689" t="s">
        <v>2781</v>
      </c>
    </row>
    <row r="690" spans="1:4" x14ac:dyDescent="0.25">
      <c r="A690" t="s">
        <v>851</v>
      </c>
      <c r="B690" t="s">
        <v>2863</v>
      </c>
      <c r="C690" t="s">
        <v>2775</v>
      </c>
      <c r="D690" t="s">
        <v>2781</v>
      </c>
    </row>
    <row r="691" spans="1:4" x14ac:dyDescent="0.25">
      <c r="A691" t="s">
        <v>1621</v>
      </c>
      <c r="B691" t="s">
        <v>2863</v>
      </c>
      <c r="C691" t="s">
        <v>2775</v>
      </c>
      <c r="D691" t="s">
        <v>2876</v>
      </c>
    </row>
    <row r="692" spans="1:4" x14ac:dyDescent="0.25">
      <c r="A692" t="s">
        <v>1623</v>
      </c>
      <c r="B692" t="s">
        <v>2863</v>
      </c>
      <c r="C692" t="s">
        <v>2877</v>
      </c>
      <c r="D692" t="s">
        <v>2878</v>
      </c>
    </row>
    <row r="693" spans="1:4" x14ac:dyDescent="0.25">
      <c r="A693" t="s">
        <v>1625</v>
      </c>
      <c r="B693" t="s">
        <v>2863</v>
      </c>
      <c r="C693" t="s">
        <v>2877</v>
      </c>
      <c r="D693" t="s">
        <v>2879</v>
      </c>
    </row>
    <row r="694" spans="1:4" x14ac:dyDescent="0.25">
      <c r="A694" t="s">
        <v>1627</v>
      </c>
      <c r="B694" t="s">
        <v>2863</v>
      </c>
      <c r="C694" t="s">
        <v>2877</v>
      </c>
      <c r="D694" t="s">
        <v>2827</v>
      </c>
    </row>
    <row r="695" spans="1:4" x14ac:dyDescent="0.25">
      <c r="A695" t="s">
        <v>1629</v>
      </c>
      <c r="B695" t="s">
        <v>2863</v>
      </c>
      <c r="C695" t="s">
        <v>2877</v>
      </c>
      <c r="D695" t="s">
        <v>2880</v>
      </c>
    </row>
    <row r="696" spans="1:4" x14ac:dyDescent="0.25">
      <c r="A696" t="s">
        <v>1631</v>
      </c>
      <c r="B696" t="s">
        <v>2863</v>
      </c>
      <c r="C696" t="s">
        <v>2877</v>
      </c>
      <c r="D696" t="s">
        <v>2881</v>
      </c>
    </row>
    <row r="697" spans="1:4" x14ac:dyDescent="0.25">
      <c r="A697" t="s">
        <v>1633</v>
      </c>
      <c r="B697" t="s">
        <v>2863</v>
      </c>
      <c r="C697" t="s">
        <v>2794</v>
      </c>
      <c r="D697" t="s">
        <v>2795</v>
      </c>
    </row>
    <row r="698" spans="1:4" x14ac:dyDescent="0.25">
      <c r="A698" t="s">
        <v>1634</v>
      </c>
      <c r="B698" t="s">
        <v>2863</v>
      </c>
      <c r="C698" t="s">
        <v>2882</v>
      </c>
      <c r="D698" t="s">
        <v>2883</v>
      </c>
    </row>
    <row r="699" spans="1:4" x14ac:dyDescent="0.25">
      <c r="A699" t="s">
        <v>1636</v>
      </c>
      <c r="B699" t="s">
        <v>2863</v>
      </c>
      <c r="C699" t="s">
        <v>2882</v>
      </c>
      <c r="D699" t="s">
        <v>2883</v>
      </c>
    </row>
    <row r="700" spans="1:4" x14ac:dyDescent="0.25">
      <c r="A700" t="s">
        <v>1638</v>
      </c>
      <c r="B700" t="s">
        <v>2863</v>
      </c>
      <c r="C700" t="s">
        <v>2882</v>
      </c>
      <c r="D700" t="s">
        <v>2883</v>
      </c>
    </row>
    <row r="701" spans="1:4" x14ac:dyDescent="0.25">
      <c r="A701" t="s">
        <v>1640</v>
      </c>
      <c r="B701" t="s">
        <v>2863</v>
      </c>
      <c r="C701" t="s">
        <v>2882</v>
      </c>
      <c r="D701" t="s">
        <v>2883</v>
      </c>
    </row>
    <row r="702" spans="1:4" x14ac:dyDescent="0.25">
      <c r="A702" t="s">
        <v>1642</v>
      </c>
      <c r="B702" t="s">
        <v>2863</v>
      </c>
      <c r="C702" t="s">
        <v>2882</v>
      </c>
      <c r="D702" t="s">
        <v>2883</v>
      </c>
    </row>
    <row r="703" spans="1:4" x14ac:dyDescent="0.25">
      <c r="A703" t="s">
        <v>1644</v>
      </c>
      <c r="B703" t="s">
        <v>2863</v>
      </c>
      <c r="C703" t="s">
        <v>2882</v>
      </c>
      <c r="D703" t="s">
        <v>2883</v>
      </c>
    </row>
    <row r="704" spans="1:4" x14ac:dyDescent="0.25">
      <c r="A704" t="s">
        <v>1646</v>
      </c>
      <c r="B704" t="s">
        <v>2863</v>
      </c>
      <c r="C704" t="s">
        <v>2882</v>
      </c>
      <c r="D704" t="s">
        <v>2883</v>
      </c>
    </row>
    <row r="705" spans="1:4" x14ac:dyDescent="0.25">
      <c r="A705" t="s">
        <v>1648</v>
      </c>
      <c r="B705" t="s">
        <v>2863</v>
      </c>
      <c r="C705" t="s">
        <v>2882</v>
      </c>
      <c r="D705" t="s">
        <v>2884</v>
      </c>
    </row>
    <row r="706" spans="1:4" x14ac:dyDescent="0.25">
      <c r="A706" t="s">
        <v>1650</v>
      </c>
      <c r="B706" t="s">
        <v>2863</v>
      </c>
      <c r="C706" t="s">
        <v>2882</v>
      </c>
      <c r="D706" t="s">
        <v>2884</v>
      </c>
    </row>
    <row r="707" spans="1:4" x14ac:dyDescent="0.25">
      <c r="A707" t="s">
        <v>1652</v>
      </c>
      <c r="B707" t="s">
        <v>2863</v>
      </c>
      <c r="C707" t="s">
        <v>2882</v>
      </c>
      <c r="D707" t="s">
        <v>2884</v>
      </c>
    </row>
    <row r="708" spans="1:4" x14ac:dyDescent="0.25">
      <c r="A708" t="s">
        <v>1654</v>
      </c>
      <c r="B708" t="s">
        <v>2863</v>
      </c>
      <c r="C708" t="s">
        <v>2882</v>
      </c>
      <c r="D708" t="s">
        <v>2884</v>
      </c>
    </row>
    <row r="709" spans="1:4" x14ac:dyDescent="0.25">
      <c r="A709" t="s">
        <v>1656</v>
      </c>
      <c r="B709" t="s">
        <v>2863</v>
      </c>
      <c r="C709" t="s">
        <v>2885</v>
      </c>
      <c r="D709" t="s">
        <v>2886</v>
      </c>
    </row>
    <row r="710" spans="1:4" x14ac:dyDescent="0.25">
      <c r="A710" t="s">
        <v>1658</v>
      </c>
      <c r="B710" t="s">
        <v>2863</v>
      </c>
      <c r="C710" t="s">
        <v>2888</v>
      </c>
      <c r="D710" t="s">
        <v>2887</v>
      </c>
    </row>
    <row r="711" spans="1:4" x14ac:dyDescent="0.25">
      <c r="A711" t="s">
        <v>1660</v>
      </c>
      <c r="B711" t="s">
        <v>2863</v>
      </c>
      <c r="C711" t="s">
        <v>2888</v>
      </c>
      <c r="D711" t="s">
        <v>2887</v>
      </c>
    </row>
    <row r="712" spans="1:4" x14ac:dyDescent="0.25">
      <c r="A712" t="s">
        <v>1661</v>
      </c>
      <c r="B712" t="s">
        <v>2863</v>
      </c>
      <c r="C712" t="s">
        <v>2888</v>
      </c>
      <c r="D712" t="s">
        <v>2887</v>
      </c>
    </row>
    <row r="713" spans="1:4" x14ac:dyDescent="0.25">
      <c r="A713" t="s">
        <v>1663</v>
      </c>
      <c r="B713" t="s">
        <v>2863</v>
      </c>
      <c r="C713" t="s">
        <v>2888</v>
      </c>
      <c r="D713" t="s">
        <v>2887</v>
      </c>
    </row>
    <row r="714" spans="1:4" x14ac:dyDescent="0.25">
      <c r="A714" t="s">
        <v>1665</v>
      </c>
      <c r="B714" t="s">
        <v>2863</v>
      </c>
      <c r="C714" t="s">
        <v>2888</v>
      </c>
      <c r="D714" t="s">
        <v>2887</v>
      </c>
    </row>
    <row r="715" spans="1:4" x14ac:dyDescent="0.25">
      <c r="A715" t="s">
        <v>1667</v>
      </c>
      <c r="B715" t="s">
        <v>2863</v>
      </c>
      <c r="C715" t="s">
        <v>2888</v>
      </c>
      <c r="D715" t="s">
        <v>2887</v>
      </c>
    </row>
    <row r="716" spans="1:4" x14ac:dyDescent="0.25">
      <c r="A716" t="s">
        <v>1669</v>
      </c>
      <c r="B716" t="s">
        <v>2863</v>
      </c>
      <c r="C716" t="s">
        <v>2888</v>
      </c>
      <c r="D716" t="s">
        <v>2887</v>
      </c>
    </row>
    <row r="717" spans="1:4" x14ac:dyDescent="0.25">
      <c r="A717" t="s">
        <v>1670</v>
      </c>
      <c r="B717" t="s">
        <v>2863</v>
      </c>
      <c r="C717" t="s">
        <v>2888</v>
      </c>
      <c r="D717" t="s">
        <v>2887</v>
      </c>
    </row>
    <row r="718" spans="1:4" x14ac:dyDescent="0.25">
      <c r="A718" t="s">
        <v>1672</v>
      </c>
      <c r="B718" t="s">
        <v>2863</v>
      </c>
      <c r="C718" t="s">
        <v>2888</v>
      </c>
      <c r="D718" t="s">
        <v>2887</v>
      </c>
    </row>
    <row r="719" spans="1:4" x14ac:dyDescent="0.25">
      <c r="A719" t="s">
        <v>1674</v>
      </c>
      <c r="B719" t="s">
        <v>2863</v>
      </c>
      <c r="C719" t="s">
        <v>2888</v>
      </c>
      <c r="D719" t="s">
        <v>2887</v>
      </c>
    </row>
    <row r="720" spans="1:4" x14ac:dyDescent="0.25">
      <c r="A720" t="s">
        <v>1676</v>
      </c>
      <c r="B720" t="s">
        <v>2863</v>
      </c>
      <c r="C720" t="s">
        <v>2888</v>
      </c>
      <c r="D720" t="s">
        <v>2887</v>
      </c>
    </row>
    <row r="721" spans="1:4" x14ac:dyDescent="0.25">
      <c r="A721" t="s">
        <v>1678</v>
      </c>
      <c r="B721" t="s">
        <v>2863</v>
      </c>
      <c r="C721" t="s">
        <v>2888</v>
      </c>
      <c r="D721" t="s">
        <v>2887</v>
      </c>
    </row>
    <row r="722" spans="1:4" x14ac:dyDescent="0.25">
      <c r="A722" t="s">
        <v>1680</v>
      </c>
      <c r="B722" t="s">
        <v>2863</v>
      </c>
      <c r="C722" t="s">
        <v>2888</v>
      </c>
      <c r="D722" t="s">
        <v>2887</v>
      </c>
    </row>
    <row r="723" spans="1:4" x14ac:dyDescent="0.25">
      <c r="A723" t="s">
        <v>1681</v>
      </c>
      <c r="B723" t="s">
        <v>2863</v>
      </c>
      <c r="C723" t="s">
        <v>2888</v>
      </c>
      <c r="D723" t="s">
        <v>2887</v>
      </c>
    </row>
    <row r="724" spans="1:4" x14ac:dyDescent="0.25">
      <c r="A724" t="s">
        <v>1683</v>
      </c>
      <c r="B724" t="s">
        <v>2863</v>
      </c>
      <c r="C724" t="s">
        <v>2888</v>
      </c>
      <c r="D724" t="s">
        <v>2887</v>
      </c>
    </row>
    <row r="725" spans="1:4" x14ac:dyDescent="0.25">
      <c r="A725" t="s">
        <v>1685</v>
      </c>
      <c r="B725" t="s">
        <v>2863</v>
      </c>
      <c r="C725" t="s">
        <v>2888</v>
      </c>
      <c r="D725" t="s">
        <v>2887</v>
      </c>
    </row>
    <row r="726" spans="1:4" x14ac:dyDescent="0.25">
      <c r="A726" t="s">
        <v>1687</v>
      </c>
      <c r="B726" t="s">
        <v>2863</v>
      </c>
      <c r="C726" t="s">
        <v>2888</v>
      </c>
      <c r="D726" t="s">
        <v>2887</v>
      </c>
    </row>
    <row r="727" spans="1:4" x14ac:dyDescent="0.25">
      <c r="A727" t="s">
        <v>1689</v>
      </c>
      <c r="B727" t="s">
        <v>2863</v>
      </c>
      <c r="C727" t="s">
        <v>2888</v>
      </c>
      <c r="D727" t="s">
        <v>2887</v>
      </c>
    </row>
    <row r="728" spans="1:4" x14ac:dyDescent="0.25">
      <c r="A728" t="s">
        <v>1690</v>
      </c>
      <c r="B728" t="s">
        <v>2863</v>
      </c>
      <c r="C728" t="s">
        <v>2888</v>
      </c>
      <c r="D728" t="s">
        <v>2887</v>
      </c>
    </row>
    <row r="729" spans="1:4" x14ac:dyDescent="0.25">
      <c r="A729" t="s">
        <v>1692</v>
      </c>
      <c r="B729" t="s">
        <v>2863</v>
      </c>
      <c r="C729" t="s">
        <v>2888</v>
      </c>
      <c r="D729" t="s">
        <v>2887</v>
      </c>
    </row>
    <row r="730" spans="1:4" x14ac:dyDescent="0.25">
      <c r="A730" t="s">
        <v>1694</v>
      </c>
      <c r="B730" t="s">
        <v>2863</v>
      </c>
      <c r="C730" t="s">
        <v>2888</v>
      </c>
      <c r="D730" t="s">
        <v>2887</v>
      </c>
    </row>
    <row r="731" spans="1:4" x14ac:dyDescent="0.25">
      <c r="A731" t="s">
        <v>1695</v>
      </c>
      <c r="B731" t="s">
        <v>2863</v>
      </c>
      <c r="C731" t="s">
        <v>2888</v>
      </c>
      <c r="D731" t="s">
        <v>2887</v>
      </c>
    </row>
    <row r="732" spans="1:4" x14ac:dyDescent="0.25">
      <c r="A732" t="s">
        <v>1697</v>
      </c>
      <c r="B732" t="s">
        <v>2863</v>
      </c>
      <c r="C732" t="s">
        <v>2888</v>
      </c>
      <c r="D732" t="s">
        <v>2887</v>
      </c>
    </row>
    <row r="733" spans="1:4" x14ac:dyDescent="0.25">
      <c r="A733" t="s">
        <v>1699</v>
      </c>
      <c r="B733" t="s">
        <v>2863</v>
      </c>
      <c r="C733" t="s">
        <v>2888</v>
      </c>
      <c r="D733" t="s">
        <v>2887</v>
      </c>
    </row>
    <row r="734" spans="1:4" x14ac:dyDescent="0.25">
      <c r="A734" t="s">
        <v>1701</v>
      </c>
      <c r="B734" t="s">
        <v>2863</v>
      </c>
      <c r="C734" t="s">
        <v>2888</v>
      </c>
      <c r="D734" t="s">
        <v>2887</v>
      </c>
    </row>
    <row r="735" spans="1:4" x14ac:dyDescent="0.25">
      <c r="A735" t="s">
        <v>1703</v>
      </c>
      <c r="B735" t="s">
        <v>2863</v>
      </c>
      <c r="C735" t="s">
        <v>2888</v>
      </c>
      <c r="D735" t="s">
        <v>2887</v>
      </c>
    </row>
    <row r="736" spans="1:4" x14ac:dyDescent="0.25">
      <c r="A736" t="s">
        <v>1704</v>
      </c>
      <c r="B736" t="s">
        <v>2863</v>
      </c>
      <c r="C736" t="s">
        <v>2888</v>
      </c>
      <c r="D736" t="s">
        <v>2887</v>
      </c>
    </row>
    <row r="737" spans="1:4" x14ac:dyDescent="0.25">
      <c r="A737" t="s">
        <v>1706</v>
      </c>
      <c r="B737" t="s">
        <v>2863</v>
      </c>
      <c r="C737" t="s">
        <v>2888</v>
      </c>
      <c r="D737" t="s">
        <v>2887</v>
      </c>
    </row>
    <row r="738" spans="1:4" x14ac:dyDescent="0.25">
      <c r="A738" t="s">
        <v>1708</v>
      </c>
      <c r="B738" t="s">
        <v>2863</v>
      </c>
      <c r="C738" t="s">
        <v>2888</v>
      </c>
      <c r="D738" t="s">
        <v>2887</v>
      </c>
    </row>
    <row r="739" spans="1:4" x14ac:dyDescent="0.25">
      <c r="A739" t="s">
        <v>1709</v>
      </c>
      <c r="B739" t="s">
        <v>2863</v>
      </c>
      <c r="C739" t="s">
        <v>2888</v>
      </c>
      <c r="D739" t="s">
        <v>2887</v>
      </c>
    </row>
    <row r="740" spans="1:4" x14ac:dyDescent="0.25">
      <c r="A740" t="s">
        <v>1711</v>
      </c>
      <c r="B740" t="s">
        <v>2863</v>
      </c>
      <c r="C740" t="s">
        <v>2888</v>
      </c>
      <c r="D740" t="s">
        <v>2887</v>
      </c>
    </row>
    <row r="741" spans="1:4" x14ac:dyDescent="0.25">
      <c r="A741" t="s">
        <v>1713</v>
      </c>
      <c r="B741" t="s">
        <v>2863</v>
      </c>
      <c r="C741" t="s">
        <v>2888</v>
      </c>
      <c r="D741" t="s">
        <v>2887</v>
      </c>
    </row>
    <row r="742" spans="1:4" x14ac:dyDescent="0.25">
      <c r="A742" t="s">
        <v>1715</v>
      </c>
      <c r="B742" t="s">
        <v>2863</v>
      </c>
      <c r="C742" t="s">
        <v>2888</v>
      </c>
      <c r="D742" t="s">
        <v>2887</v>
      </c>
    </row>
    <row r="743" spans="1:4" x14ac:dyDescent="0.25">
      <c r="A743" t="s">
        <v>1717</v>
      </c>
      <c r="B743" t="s">
        <v>2863</v>
      </c>
      <c r="C743" t="s">
        <v>2888</v>
      </c>
      <c r="D743" t="s">
        <v>2887</v>
      </c>
    </row>
    <row r="744" spans="1:4" x14ac:dyDescent="0.25">
      <c r="A744" t="s">
        <v>1718</v>
      </c>
      <c r="B744" t="s">
        <v>2863</v>
      </c>
      <c r="C744" t="s">
        <v>2888</v>
      </c>
      <c r="D744" t="s">
        <v>2887</v>
      </c>
    </row>
    <row r="745" spans="1:4" x14ac:dyDescent="0.25">
      <c r="A745" t="s">
        <v>1720</v>
      </c>
      <c r="B745" t="s">
        <v>2863</v>
      </c>
      <c r="C745" t="s">
        <v>2888</v>
      </c>
      <c r="D745" t="s">
        <v>2887</v>
      </c>
    </row>
    <row r="746" spans="1:4" x14ac:dyDescent="0.25">
      <c r="A746" t="s">
        <v>1722</v>
      </c>
      <c r="B746" t="s">
        <v>2863</v>
      </c>
      <c r="C746" t="s">
        <v>2888</v>
      </c>
      <c r="D746" t="s">
        <v>2887</v>
      </c>
    </row>
    <row r="747" spans="1:4" x14ac:dyDescent="0.25">
      <c r="A747" t="s">
        <v>1724</v>
      </c>
      <c r="B747" t="s">
        <v>2863</v>
      </c>
      <c r="C747" t="s">
        <v>2888</v>
      </c>
      <c r="D747" t="s">
        <v>2887</v>
      </c>
    </row>
    <row r="748" spans="1:4" x14ac:dyDescent="0.25">
      <c r="A748" t="s">
        <v>1726</v>
      </c>
      <c r="B748" t="s">
        <v>2863</v>
      </c>
      <c r="C748" t="s">
        <v>2888</v>
      </c>
      <c r="D748" t="s">
        <v>2887</v>
      </c>
    </row>
    <row r="749" spans="1:4" x14ac:dyDescent="0.25">
      <c r="A749" t="s">
        <v>1728</v>
      </c>
      <c r="B749" t="s">
        <v>2863</v>
      </c>
      <c r="C749" t="s">
        <v>2888</v>
      </c>
      <c r="D749" t="s">
        <v>2887</v>
      </c>
    </row>
    <row r="750" spans="1:4" x14ac:dyDescent="0.25">
      <c r="A750" t="s">
        <v>1730</v>
      </c>
      <c r="B750" t="s">
        <v>2863</v>
      </c>
      <c r="C750" t="s">
        <v>2888</v>
      </c>
      <c r="D750" t="s">
        <v>2887</v>
      </c>
    </row>
    <row r="751" spans="1:4" x14ac:dyDescent="0.25">
      <c r="A751" t="s">
        <v>1731</v>
      </c>
      <c r="B751" t="s">
        <v>2863</v>
      </c>
      <c r="C751" t="s">
        <v>2888</v>
      </c>
      <c r="D751" t="s">
        <v>2887</v>
      </c>
    </row>
    <row r="752" spans="1:4" x14ac:dyDescent="0.25">
      <c r="A752" t="s">
        <v>1733</v>
      </c>
      <c r="B752" t="s">
        <v>2863</v>
      </c>
      <c r="C752" t="s">
        <v>2888</v>
      </c>
      <c r="D752" t="s">
        <v>2887</v>
      </c>
    </row>
    <row r="753" spans="1:4" x14ac:dyDescent="0.25">
      <c r="A753" t="s">
        <v>1735</v>
      </c>
      <c r="B753" t="s">
        <v>2863</v>
      </c>
      <c r="C753" t="s">
        <v>2888</v>
      </c>
      <c r="D753" t="s">
        <v>2887</v>
      </c>
    </row>
    <row r="754" spans="1:4" x14ac:dyDescent="0.25">
      <c r="A754" t="s">
        <v>1736</v>
      </c>
      <c r="B754" t="s">
        <v>2863</v>
      </c>
      <c r="C754" t="s">
        <v>2888</v>
      </c>
      <c r="D754" t="s">
        <v>2887</v>
      </c>
    </row>
    <row r="755" spans="1:4" x14ac:dyDescent="0.25">
      <c r="A755" t="s">
        <v>1738</v>
      </c>
      <c r="B755" t="s">
        <v>2863</v>
      </c>
      <c r="C755" t="s">
        <v>2888</v>
      </c>
      <c r="D755" t="s">
        <v>2887</v>
      </c>
    </row>
    <row r="756" spans="1:4" x14ac:dyDescent="0.25">
      <c r="A756" t="s">
        <v>1740</v>
      </c>
      <c r="B756" t="s">
        <v>2863</v>
      </c>
      <c r="C756" t="s">
        <v>2888</v>
      </c>
      <c r="D756" t="s">
        <v>2887</v>
      </c>
    </row>
    <row r="757" spans="1:4" x14ac:dyDescent="0.25">
      <c r="A757" t="s">
        <v>1742</v>
      </c>
      <c r="B757" t="s">
        <v>2863</v>
      </c>
      <c r="C757" t="s">
        <v>2888</v>
      </c>
      <c r="D757" t="s">
        <v>2887</v>
      </c>
    </row>
    <row r="758" spans="1:4" x14ac:dyDescent="0.25">
      <c r="A758" t="s">
        <v>1743</v>
      </c>
      <c r="B758" t="s">
        <v>2863</v>
      </c>
      <c r="C758" t="s">
        <v>2888</v>
      </c>
      <c r="D758" t="s">
        <v>2887</v>
      </c>
    </row>
    <row r="759" spans="1:4" x14ac:dyDescent="0.25">
      <c r="A759" t="s">
        <v>1745</v>
      </c>
      <c r="B759" t="s">
        <v>2863</v>
      </c>
      <c r="C759" t="s">
        <v>2888</v>
      </c>
      <c r="D759" t="s">
        <v>2887</v>
      </c>
    </row>
    <row r="760" spans="1:4" x14ac:dyDescent="0.25">
      <c r="A760" t="s">
        <v>1747</v>
      </c>
      <c r="B760" t="s">
        <v>2863</v>
      </c>
      <c r="C760" t="s">
        <v>2888</v>
      </c>
      <c r="D760" t="s">
        <v>2887</v>
      </c>
    </row>
    <row r="761" spans="1:4" x14ac:dyDescent="0.25">
      <c r="A761" t="s">
        <v>1748</v>
      </c>
      <c r="B761" t="s">
        <v>2863</v>
      </c>
      <c r="C761" t="s">
        <v>2888</v>
      </c>
      <c r="D761" t="s">
        <v>2887</v>
      </c>
    </row>
    <row r="762" spans="1:4" x14ac:dyDescent="0.25">
      <c r="A762" t="s">
        <v>1750</v>
      </c>
      <c r="B762" t="s">
        <v>2863</v>
      </c>
      <c r="C762" t="s">
        <v>2888</v>
      </c>
      <c r="D762" t="s">
        <v>2887</v>
      </c>
    </row>
    <row r="763" spans="1:4" x14ac:dyDescent="0.25">
      <c r="A763" t="s">
        <v>1752</v>
      </c>
      <c r="B763" t="s">
        <v>2863</v>
      </c>
      <c r="C763" t="s">
        <v>2888</v>
      </c>
      <c r="D763" t="s">
        <v>2887</v>
      </c>
    </row>
    <row r="764" spans="1:4" x14ac:dyDescent="0.25">
      <c r="A764" t="s">
        <v>1754</v>
      </c>
      <c r="B764" t="s">
        <v>2863</v>
      </c>
      <c r="C764" t="s">
        <v>2888</v>
      </c>
      <c r="D764" t="s">
        <v>2887</v>
      </c>
    </row>
    <row r="765" spans="1:4" x14ac:dyDescent="0.25">
      <c r="A765" t="s">
        <v>1755</v>
      </c>
      <c r="B765" t="s">
        <v>2863</v>
      </c>
      <c r="C765" t="s">
        <v>2888</v>
      </c>
      <c r="D765" t="s">
        <v>2887</v>
      </c>
    </row>
    <row r="766" spans="1:4" x14ac:dyDescent="0.25">
      <c r="A766" t="s">
        <v>1757</v>
      </c>
      <c r="B766" t="s">
        <v>2863</v>
      </c>
      <c r="C766" t="s">
        <v>2888</v>
      </c>
      <c r="D766" t="s">
        <v>2890</v>
      </c>
    </row>
    <row r="767" spans="1:4" x14ac:dyDescent="0.25">
      <c r="A767" t="s">
        <v>1759</v>
      </c>
      <c r="B767" t="s">
        <v>2863</v>
      </c>
      <c r="C767" t="s">
        <v>2888</v>
      </c>
      <c r="D767" t="s">
        <v>2890</v>
      </c>
    </row>
    <row r="768" spans="1:4" x14ac:dyDescent="0.25">
      <c r="A768" t="s">
        <v>1761</v>
      </c>
      <c r="B768" t="s">
        <v>2863</v>
      </c>
      <c r="C768" t="s">
        <v>2888</v>
      </c>
      <c r="D768" t="s">
        <v>2890</v>
      </c>
    </row>
    <row r="769" spans="1:4" x14ac:dyDescent="0.25">
      <c r="A769" t="s">
        <v>1763</v>
      </c>
      <c r="B769" t="s">
        <v>2863</v>
      </c>
      <c r="C769" t="s">
        <v>2885</v>
      </c>
      <c r="D769" t="s">
        <v>2891</v>
      </c>
    </row>
    <row r="770" spans="1:4" x14ac:dyDescent="0.25">
      <c r="A770" t="s">
        <v>1765</v>
      </c>
      <c r="B770" t="s">
        <v>2863</v>
      </c>
      <c r="C770" t="s">
        <v>2885</v>
      </c>
      <c r="D770" t="s">
        <v>2891</v>
      </c>
    </row>
    <row r="771" spans="1:4" x14ac:dyDescent="0.25">
      <c r="A771" t="s">
        <v>1767</v>
      </c>
      <c r="B771" t="s">
        <v>2863</v>
      </c>
      <c r="C771" t="s">
        <v>2885</v>
      </c>
      <c r="D771" t="s">
        <v>2891</v>
      </c>
    </row>
    <row r="772" spans="1:4" x14ac:dyDescent="0.25">
      <c r="A772" t="s">
        <v>1769</v>
      </c>
      <c r="B772" t="s">
        <v>2863</v>
      </c>
      <c r="C772" t="s">
        <v>2893</v>
      </c>
      <c r="D772" t="s">
        <v>2892</v>
      </c>
    </row>
    <row r="773" spans="1:4" x14ac:dyDescent="0.25">
      <c r="A773" t="s">
        <v>1771</v>
      </c>
      <c r="B773" t="s">
        <v>2863</v>
      </c>
      <c r="C773" t="s">
        <v>2885</v>
      </c>
      <c r="D773" t="s">
        <v>2894</v>
      </c>
    </row>
    <row r="774" spans="1:4" x14ac:dyDescent="0.25">
      <c r="A774" t="s">
        <v>1773</v>
      </c>
      <c r="B774" t="s">
        <v>2863</v>
      </c>
      <c r="C774" t="s">
        <v>2885</v>
      </c>
      <c r="D774" t="s">
        <v>2894</v>
      </c>
    </row>
    <row r="775" spans="1:4" x14ac:dyDescent="0.25">
      <c r="A775" t="s">
        <v>1775</v>
      </c>
      <c r="B775" t="s">
        <v>2863</v>
      </c>
      <c r="C775" t="s">
        <v>2885</v>
      </c>
      <c r="D775" t="s">
        <v>2894</v>
      </c>
    </row>
    <row r="776" spans="1:4" x14ac:dyDescent="0.25">
      <c r="A776" t="s">
        <v>1777</v>
      </c>
      <c r="B776" t="s">
        <v>2863</v>
      </c>
      <c r="C776" t="s">
        <v>2895</v>
      </c>
      <c r="D776" t="s">
        <v>2895</v>
      </c>
    </row>
    <row r="777" spans="1:4" x14ac:dyDescent="0.25">
      <c r="A777" t="s">
        <v>1779</v>
      </c>
      <c r="B777" t="s">
        <v>2863</v>
      </c>
      <c r="C777" t="s">
        <v>2895</v>
      </c>
      <c r="D777" t="s">
        <v>2895</v>
      </c>
    </row>
    <row r="778" spans="1:4" x14ac:dyDescent="0.25">
      <c r="A778" t="s">
        <v>1781</v>
      </c>
      <c r="B778" t="s">
        <v>2863</v>
      </c>
      <c r="C778" t="s">
        <v>2895</v>
      </c>
      <c r="D778" t="s">
        <v>2895</v>
      </c>
    </row>
    <row r="779" spans="1:4" x14ac:dyDescent="0.25">
      <c r="A779" t="s">
        <v>1783</v>
      </c>
      <c r="B779" t="s">
        <v>2863</v>
      </c>
      <c r="C779" t="s">
        <v>2895</v>
      </c>
      <c r="D779" t="s">
        <v>2895</v>
      </c>
    </row>
    <row r="780" spans="1:4" x14ac:dyDescent="0.25">
      <c r="A780" t="s">
        <v>1785</v>
      </c>
      <c r="B780" t="s">
        <v>2863</v>
      </c>
      <c r="C780" t="s">
        <v>2895</v>
      </c>
      <c r="D780" t="s">
        <v>2895</v>
      </c>
    </row>
    <row r="781" spans="1:4" x14ac:dyDescent="0.25">
      <c r="A781" t="s">
        <v>1787</v>
      </c>
      <c r="B781" t="s">
        <v>2863</v>
      </c>
      <c r="C781" t="s">
        <v>2895</v>
      </c>
      <c r="D781" t="s">
        <v>2895</v>
      </c>
    </row>
    <row r="782" spans="1:4" x14ac:dyDescent="0.25">
      <c r="A782" t="s">
        <v>1789</v>
      </c>
      <c r="B782" t="s">
        <v>2863</v>
      </c>
      <c r="C782" t="s">
        <v>2796</v>
      </c>
      <c r="D782" t="s">
        <v>2799</v>
      </c>
    </row>
    <row r="783" spans="1:4" x14ac:dyDescent="0.25">
      <c r="A783" t="s">
        <v>1790</v>
      </c>
      <c r="B783" t="s">
        <v>2863</v>
      </c>
      <c r="C783" t="s">
        <v>2797</v>
      </c>
      <c r="D783" t="s">
        <v>2799</v>
      </c>
    </row>
    <row r="784" spans="1:4" x14ac:dyDescent="0.25">
      <c r="A784" t="s">
        <v>1791</v>
      </c>
      <c r="B784" t="s">
        <v>2863</v>
      </c>
      <c r="C784" t="s">
        <v>2896</v>
      </c>
      <c r="D784" t="s">
        <v>2896</v>
      </c>
    </row>
    <row r="785" spans="1:4" x14ac:dyDescent="0.25">
      <c r="A785" t="s">
        <v>1793</v>
      </c>
      <c r="B785" t="s">
        <v>2863</v>
      </c>
      <c r="C785" t="s">
        <v>2898</v>
      </c>
      <c r="D785" t="s">
        <v>2897</v>
      </c>
    </row>
    <row r="786" spans="1:4" x14ac:dyDescent="0.25">
      <c r="A786" t="s">
        <v>1795</v>
      </c>
      <c r="B786" t="s">
        <v>2863</v>
      </c>
      <c r="C786" t="s">
        <v>2801</v>
      </c>
      <c r="D786" t="s">
        <v>2899</v>
      </c>
    </row>
    <row r="787" spans="1:4" x14ac:dyDescent="0.25">
      <c r="A787" t="s">
        <v>1797</v>
      </c>
      <c r="B787" t="s">
        <v>2863</v>
      </c>
      <c r="C787" t="s">
        <v>2900</v>
      </c>
      <c r="D787" t="s">
        <v>2901</v>
      </c>
    </row>
    <row r="788" spans="1:4" x14ac:dyDescent="0.25">
      <c r="A788" t="s">
        <v>1799</v>
      </c>
      <c r="B788" t="s">
        <v>2863</v>
      </c>
      <c r="C788" t="s">
        <v>2902</v>
      </c>
      <c r="D788" t="s">
        <v>2903</v>
      </c>
    </row>
    <row r="789" spans="1:4" x14ac:dyDescent="0.25">
      <c r="A789" t="s">
        <v>1801</v>
      </c>
      <c r="B789" t="s">
        <v>2863</v>
      </c>
      <c r="C789" t="s">
        <v>2902</v>
      </c>
      <c r="D789" t="s">
        <v>2903</v>
      </c>
    </row>
    <row r="790" spans="1:4" x14ac:dyDescent="0.25">
      <c r="A790" t="s">
        <v>1803</v>
      </c>
      <c r="B790" t="s">
        <v>2863</v>
      </c>
      <c r="C790" t="s">
        <v>2902</v>
      </c>
      <c r="D790" t="s">
        <v>2903</v>
      </c>
    </row>
    <row r="791" spans="1:4" x14ac:dyDescent="0.25">
      <c r="A791" t="s">
        <v>1805</v>
      </c>
      <c r="B791" t="s">
        <v>2863</v>
      </c>
      <c r="C791" t="s">
        <v>2902</v>
      </c>
      <c r="D791" t="s">
        <v>2903</v>
      </c>
    </row>
    <row r="792" spans="1:4" x14ac:dyDescent="0.25">
      <c r="A792" t="s">
        <v>1807</v>
      </c>
      <c r="B792" t="s">
        <v>2863</v>
      </c>
      <c r="C792" t="s">
        <v>2902</v>
      </c>
      <c r="D792" t="s">
        <v>2903</v>
      </c>
    </row>
    <row r="793" spans="1:4" x14ac:dyDescent="0.25">
      <c r="A793" t="s">
        <v>1809</v>
      </c>
      <c r="B793" t="s">
        <v>2863</v>
      </c>
      <c r="C793" t="s">
        <v>2902</v>
      </c>
      <c r="D793" t="s">
        <v>2903</v>
      </c>
    </row>
    <row r="794" spans="1:4" x14ac:dyDescent="0.25">
      <c r="A794" t="s">
        <v>1811</v>
      </c>
      <c r="B794" t="s">
        <v>2863</v>
      </c>
      <c r="C794" t="s">
        <v>2900</v>
      </c>
      <c r="D794" t="s">
        <v>2904</v>
      </c>
    </row>
    <row r="795" spans="1:4" x14ac:dyDescent="0.25">
      <c r="A795" t="s">
        <v>1813</v>
      </c>
      <c r="B795" t="s">
        <v>2863</v>
      </c>
      <c r="C795" t="s">
        <v>2882</v>
      </c>
      <c r="D795" t="s">
        <v>2883</v>
      </c>
    </row>
    <row r="796" spans="1:4" x14ac:dyDescent="0.25">
      <c r="A796" t="s">
        <v>1815</v>
      </c>
      <c r="B796" t="s">
        <v>2863</v>
      </c>
      <c r="C796" t="s">
        <v>2882</v>
      </c>
      <c r="D796" t="s">
        <v>2883</v>
      </c>
    </row>
    <row r="797" spans="1:4" x14ac:dyDescent="0.25">
      <c r="A797" t="s">
        <v>1817</v>
      </c>
      <c r="B797" t="s">
        <v>2863</v>
      </c>
      <c r="C797" t="s">
        <v>2882</v>
      </c>
      <c r="D797" t="s">
        <v>2883</v>
      </c>
    </row>
    <row r="798" spans="1:4" x14ac:dyDescent="0.25">
      <c r="A798" t="s">
        <v>1819</v>
      </c>
      <c r="B798" t="s">
        <v>2863</v>
      </c>
      <c r="C798" t="s">
        <v>2895</v>
      </c>
      <c r="D798" t="s">
        <v>2895</v>
      </c>
    </row>
    <row r="799" spans="1:4" x14ac:dyDescent="0.25">
      <c r="A799" t="s">
        <v>1821</v>
      </c>
      <c r="B799" t="s">
        <v>2863</v>
      </c>
      <c r="C799" t="s">
        <v>2895</v>
      </c>
      <c r="D799" t="s">
        <v>2895</v>
      </c>
    </row>
    <row r="800" spans="1:4" x14ac:dyDescent="0.25">
      <c r="A800" t="s">
        <v>1823</v>
      </c>
      <c r="B800" t="s">
        <v>2863</v>
      </c>
      <c r="C800" t="s">
        <v>2801</v>
      </c>
      <c r="D800" t="s">
        <v>2802</v>
      </c>
    </row>
    <row r="801" spans="1:4" x14ac:dyDescent="0.25">
      <c r="A801" t="s">
        <v>1824</v>
      </c>
      <c r="B801" t="s">
        <v>2863</v>
      </c>
      <c r="C801" t="s">
        <v>2900</v>
      </c>
      <c r="D801" t="s">
        <v>2905</v>
      </c>
    </row>
    <row r="802" spans="1:4" x14ac:dyDescent="0.25">
      <c r="A802" t="s">
        <v>1826</v>
      </c>
      <c r="B802" t="s">
        <v>2863</v>
      </c>
      <c r="C802" t="s">
        <v>2900</v>
      </c>
      <c r="D802" t="s">
        <v>2905</v>
      </c>
    </row>
    <row r="803" spans="1:4" x14ac:dyDescent="0.25">
      <c r="A803" t="s">
        <v>1828</v>
      </c>
      <c r="B803" t="s">
        <v>2863</v>
      </c>
      <c r="C803" t="s">
        <v>2900</v>
      </c>
      <c r="D803" t="s">
        <v>2905</v>
      </c>
    </row>
    <row r="804" spans="1:4" x14ac:dyDescent="0.25">
      <c r="A804" t="s">
        <v>1830</v>
      </c>
      <c r="B804" t="s">
        <v>2863</v>
      </c>
      <c r="C804" t="s">
        <v>2900</v>
      </c>
      <c r="D804" t="s">
        <v>2905</v>
      </c>
    </row>
    <row r="805" spans="1:4" x14ac:dyDescent="0.25">
      <c r="A805" t="s">
        <v>1832</v>
      </c>
      <c r="B805" t="s">
        <v>2863</v>
      </c>
      <c r="C805" t="s">
        <v>2895</v>
      </c>
      <c r="D805" t="s">
        <v>2895</v>
      </c>
    </row>
    <row r="806" spans="1:4" x14ac:dyDescent="0.25">
      <c r="A806" t="s">
        <v>1834</v>
      </c>
      <c r="B806" t="s">
        <v>2863</v>
      </c>
      <c r="C806" t="s">
        <v>2895</v>
      </c>
      <c r="D806" t="s">
        <v>2895</v>
      </c>
    </row>
    <row r="807" spans="1:4" x14ac:dyDescent="0.25">
      <c r="A807" t="s">
        <v>1836</v>
      </c>
      <c r="B807" t="s">
        <v>2863</v>
      </c>
      <c r="C807" t="s">
        <v>2902</v>
      </c>
      <c r="D807" t="s">
        <v>2906</v>
      </c>
    </row>
    <row r="808" spans="1:4" x14ac:dyDescent="0.25">
      <c r="A808" t="s">
        <v>1838</v>
      </c>
      <c r="B808" t="s">
        <v>2863</v>
      </c>
      <c r="C808" t="s">
        <v>2902</v>
      </c>
      <c r="D808" t="s">
        <v>2906</v>
      </c>
    </row>
    <row r="809" spans="1:4" x14ac:dyDescent="0.25">
      <c r="A809" t="s">
        <v>1840</v>
      </c>
      <c r="B809" t="s">
        <v>2863</v>
      </c>
      <c r="C809" t="s">
        <v>2900</v>
      </c>
      <c r="D809" t="s">
        <v>2755</v>
      </c>
    </row>
    <row r="810" spans="1:4" x14ac:dyDescent="0.25">
      <c r="A810" t="s">
        <v>1842</v>
      </c>
      <c r="B810" t="s">
        <v>2863</v>
      </c>
      <c r="C810" t="s">
        <v>2885</v>
      </c>
      <c r="D810" t="s">
        <v>2907</v>
      </c>
    </row>
    <row r="811" spans="1:4" x14ac:dyDescent="0.25">
      <c r="A811" t="s">
        <v>1844</v>
      </c>
      <c r="B811" t="s">
        <v>2863</v>
      </c>
      <c r="C811" t="s">
        <v>2900</v>
      </c>
      <c r="D811" t="s">
        <v>2755</v>
      </c>
    </row>
    <row r="812" spans="1:4" x14ac:dyDescent="0.25">
      <c r="A812" t="s">
        <v>1846</v>
      </c>
      <c r="B812" t="s">
        <v>2863</v>
      </c>
      <c r="C812" t="s">
        <v>2900</v>
      </c>
      <c r="D812" t="s">
        <v>2908</v>
      </c>
    </row>
    <row r="813" spans="1:4" x14ac:dyDescent="0.25">
      <c r="A813" t="s">
        <v>1848</v>
      </c>
      <c r="B813" t="s">
        <v>2863</v>
      </c>
      <c r="C813" t="s">
        <v>2900</v>
      </c>
      <c r="D813" t="s">
        <v>2908</v>
      </c>
    </row>
    <row r="814" spans="1:4" x14ac:dyDescent="0.25">
      <c r="A814" t="s">
        <v>1850</v>
      </c>
      <c r="B814" t="s">
        <v>2863</v>
      </c>
      <c r="C814" t="s">
        <v>2900</v>
      </c>
      <c r="D814" t="s">
        <v>2908</v>
      </c>
    </row>
    <row r="815" spans="1:4" x14ac:dyDescent="0.25">
      <c r="A815" t="s">
        <v>1852</v>
      </c>
      <c r="B815" t="s">
        <v>2863</v>
      </c>
      <c r="C815" t="s">
        <v>2900</v>
      </c>
      <c r="D815" t="s">
        <v>2909</v>
      </c>
    </row>
    <row r="816" spans="1:4" x14ac:dyDescent="0.25">
      <c r="A816" t="s">
        <v>1854</v>
      </c>
      <c r="B816" t="s">
        <v>2863</v>
      </c>
      <c r="C816" t="s">
        <v>2900</v>
      </c>
      <c r="D816" t="s">
        <v>2910</v>
      </c>
    </row>
    <row r="817" spans="1:4" x14ac:dyDescent="0.25">
      <c r="A817" t="s">
        <v>1856</v>
      </c>
      <c r="B817" t="s">
        <v>2863</v>
      </c>
      <c r="C817" t="s">
        <v>2900</v>
      </c>
      <c r="D817" t="s">
        <v>2911</v>
      </c>
    </row>
    <row r="818" spans="1:4" x14ac:dyDescent="0.25">
      <c r="A818" t="s">
        <v>1858</v>
      </c>
      <c r="B818" t="s">
        <v>2863</v>
      </c>
      <c r="C818" t="s">
        <v>2900</v>
      </c>
      <c r="D818" t="s">
        <v>2912</v>
      </c>
    </row>
    <row r="819" spans="1:4" x14ac:dyDescent="0.25">
      <c r="A819" t="s">
        <v>1860</v>
      </c>
      <c r="B819" t="s">
        <v>2863</v>
      </c>
      <c r="C819" t="s">
        <v>2913</v>
      </c>
      <c r="D819" t="s">
        <v>2913</v>
      </c>
    </row>
    <row r="820" spans="1:4" x14ac:dyDescent="0.25">
      <c r="A820" t="s">
        <v>1862</v>
      </c>
      <c r="B820" t="s">
        <v>2863</v>
      </c>
      <c r="C820" t="s">
        <v>2913</v>
      </c>
      <c r="D820" t="s">
        <v>2913</v>
      </c>
    </row>
    <row r="821" spans="1:4" x14ac:dyDescent="0.25">
      <c r="A821" t="s">
        <v>1864</v>
      </c>
      <c r="B821" t="s">
        <v>2863</v>
      </c>
      <c r="C821" t="s">
        <v>2913</v>
      </c>
      <c r="D821" t="s">
        <v>2913</v>
      </c>
    </row>
    <row r="822" spans="1:4" x14ac:dyDescent="0.25">
      <c r="A822" t="s">
        <v>1866</v>
      </c>
      <c r="B822" t="s">
        <v>2863</v>
      </c>
      <c r="C822" t="s">
        <v>2913</v>
      </c>
      <c r="D822" t="s">
        <v>2913</v>
      </c>
    </row>
    <row r="823" spans="1:4" x14ac:dyDescent="0.25">
      <c r="A823" t="s">
        <v>1868</v>
      </c>
      <c r="B823" t="s">
        <v>2863</v>
      </c>
      <c r="C823" t="s">
        <v>2913</v>
      </c>
      <c r="D823" t="s">
        <v>2913</v>
      </c>
    </row>
    <row r="824" spans="1:4" x14ac:dyDescent="0.25">
      <c r="A824" t="s">
        <v>1870</v>
      </c>
      <c r="B824" t="s">
        <v>2863</v>
      </c>
      <c r="C824" t="s">
        <v>2913</v>
      </c>
      <c r="D824" t="s">
        <v>2913</v>
      </c>
    </row>
    <row r="825" spans="1:4" x14ac:dyDescent="0.25">
      <c r="A825" t="s">
        <v>1872</v>
      </c>
      <c r="B825" t="s">
        <v>2863</v>
      </c>
      <c r="C825" t="s">
        <v>2913</v>
      </c>
      <c r="D825" t="s">
        <v>2913</v>
      </c>
    </row>
    <row r="826" spans="1:4" x14ac:dyDescent="0.25">
      <c r="A826" t="s">
        <v>1874</v>
      </c>
      <c r="B826" t="s">
        <v>2863</v>
      </c>
      <c r="C826" t="s">
        <v>2913</v>
      </c>
      <c r="D826" t="s">
        <v>2913</v>
      </c>
    </row>
    <row r="827" spans="1:4" x14ac:dyDescent="0.25">
      <c r="A827" t="s">
        <v>1876</v>
      </c>
      <c r="B827" t="s">
        <v>2863</v>
      </c>
      <c r="C827" t="s">
        <v>2913</v>
      </c>
      <c r="D827" t="s">
        <v>2913</v>
      </c>
    </row>
    <row r="828" spans="1:4" x14ac:dyDescent="0.25">
      <c r="A828" t="s">
        <v>1878</v>
      </c>
      <c r="B828" t="s">
        <v>2863</v>
      </c>
      <c r="C828" t="s">
        <v>2913</v>
      </c>
      <c r="D828" t="s">
        <v>2913</v>
      </c>
    </row>
    <row r="829" spans="1:4" x14ac:dyDescent="0.25">
      <c r="A829" t="s">
        <v>1879</v>
      </c>
      <c r="B829" t="s">
        <v>2863</v>
      </c>
      <c r="C829" t="s">
        <v>2913</v>
      </c>
      <c r="D829" t="s">
        <v>2913</v>
      </c>
    </row>
    <row r="830" spans="1:4" x14ac:dyDescent="0.25">
      <c r="A830" t="s">
        <v>1880</v>
      </c>
      <c r="B830" t="s">
        <v>2863</v>
      </c>
      <c r="C830" t="s">
        <v>2913</v>
      </c>
      <c r="D830" t="s">
        <v>2913</v>
      </c>
    </row>
    <row r="831" spans="1:4" x14ac:dyDescent="0.25">
      <c r="A831" t="s">
        <v>1882</v>
      </c>
      <c r="B831" t="s">
        <v>2863</v>
      </c>
      <c r="C831" t="s">
        <v>2801</v>
      </c>
      <c r="D831" t="s">
        <v>2914</v>
      </c>
    </row>
    <row r="832" spans="1:4" x14ac:dyDescent="0.25">
      <c r="A832" t="s">
        <v>1884</v>
      </c>
      <c r="B832" t="s">
        <v>2863</v>
      </c>
      <c r="C832" t="s">
        <v>2801</v>
      </c>
      <c r="D832" t="s">
        <v>2914</v>
      </c>
    </row>
    <row r="833" spans="1:4" x14ac:dyDescent="0.25">
      <c r="A833" t="s">
        <v>1886</v>
      </c>
      <c r="B833" t="s">
        <v>2863</v>
      </c>
      <c r="C833" t="s">
        <v>2915</v>
      </c>
      <c r="D833" t="s">
        <v>2916</v>
      </c>
    </row>
    <row r="834" spans="1:4" x14ac:dyDescent="0.25">
      <c r="A834" t="s">
        <v>1887</v>
      </c>
      <c r="B834" t="s">
        <v>2863</v>
      </c>
      <c r="C834" t="s">
        <v>2898</v>
      </c>
      <c r="D834" t="s">
        <v>2897</v>
      </c>
    </row>
    <row r="835" spans="1:4" x14ac:dyDescent="0.25">
      <c r="A835" t="s">
        <v>1889</v>
      </c>
      <c r="B835" t="s">
        <v>2863</v>
      </c>
      <c r="C835" t="s">
        <v>2917</v>
      </c>
      <c r="D835" t="s">
        <v>2918</v>
      </c>
    </row>
    <row r="836" spans="1:4" x14ac:dyDescent="0.25">
      <c r="A836" t="s">
        <v>1891</v>
      </c>
      <c r="B836" t="s">
        <v>2863</v>
      </c>
      <c r="C836" t="s">
        <v>2917</v>
      </c>
      <c r="D836" t="s">
        <v>2918</v>
      </c>
    </row>
    <row r="837" spans="1:4" x14ac:dyDescent="0.25">
      <c r="A837" t="s">
        <v>1893</v>
      </c>
      <c r="B837" t="s">
        <v>2863</v>
      </c>
      <c r="C837" t="s">
        <v>2803</v>
      </c>
      <c r="D837" t="s">
        <v>2794</v>
      </c>
    </row>
    <row r="838" spans="1:4" x14ac:dyDescent="0.25">
      <c r="A838" t="s">
        <v>1894</v>
      </c>
      <c r="B838" t="s">
        <v>2863</v>
      </c>
      <c r="C838" t="s">
        <v>2803</v>
      </c>
      <c r="D838" t="s">
        <v>2804</v>
      </c>
    </row>
    <row r="839" spans="1:4" x14ac:dyDescent="0.25">
      <c r="A839" t="s">
        <v>1895</v>
      </c>
      <c r="B839" t="s">
        <v>2863</v>
      </c>
      <c r="C839" t="s">
        <v>2803</v>
      </c>
      <c r="D839" t="s">
        <v>2919</v>
      </c>
    </row>
    <row r="840" spans="1:4" x14ac:dyDescent="0.25">
      <c r="A840" t="s">
        <v>853</v>
      </c>
      <c r="B840" t="s">
        <v>2920</v>
      </c>
      <c r="C840" t="s">
        <v>2787</v>
      </c>
      <c r="D840" t="s">
        <v>2788</v>
      </c>
    </row>
    <row r="841" spans="1:4" x14ac:dyDescent="0.25">
      <c r="A841" t="s">
        <v>854</v>
      </c>
      <c r="B841" t="s">
        <v>2920</v>
      </c>
      <c r="C841" t="s">
        <v>2787</v>
      </c>
      <c r="D841" t="s">
        <v>2789</v>
      </c>
    </row>
    <row r="842" spans="1:4" x14ac:dyDescent="0.25">
      <c r="A842" t="s">
        <v>855</v>
      </c>
      <c r="B842" t="s">
        <v>2920</v>
      </c>
      <c r="C842" t="s">
        <v>2787</v>
      </c>
      <c r="D842" t="s">
        <v>2789</v>
      </c>
    </row>
    <row r="843" spans="1:4" x14ac:dyDescent="0.25">
      <c r="A843" t="s">
        <v>1897</v>
      </c>
      <c r="B843" t="s">
        <v>2920</v>
      </c>
      <c r="C843" t="s">
        <v>2794</v>
      </c>
      <c r="D843" t="s">
        <v>2795</v>
      </c>
    </row>
    <row r="844" spans="1:4" x14ac:dyDescent="0.25">
      <c r="A844" t="s">
        <v>1898</v>
      </c>
      <c r="B844" t="s">
        <v>2920</v>
      </c>
      <c r="C844" t="s">
        <v>2882</v>
      </c>
      <c r="D844" t="s">
        <v>2921</v>
      </c>
    </row>
    <row r="845" spans="1:4" x14ac:dyDescent="0.25">
      <c r="A845" t="s">
        <v>1900</v>
      </c>
      <c r="B845" t="s">
        <v>2920</v>
      </c>
      <c r="C845" t="s">
        <v>2882</v>
      </c>
      <c r="D845" t="s">
        <v>2921</v>
      </c>
    </row>
    <row r="846" spans="1:4" x14ac:dyDescent="0.25">
      <c r="A846" t="s">
        <v>1902</v>
      </c>
      <c r="B846" t="s">
        <v>2920</v>
      </c>
      <c r="C846" t="s">
        <v>2796</v>
      </c>
      <c r="D846" t="s">
        <v>2788</v>
      </c>
    </row>
    <row r="847" spans="1:4" x14ac:dyDescent="0.25">
      <c r="A847" t="s">
        <v>1903</v>
      </c>
      <c r="B847" t="s">
        <v>2920</v>
      </c>
      <c r="C847" t="s">
        <v>2797</v>
      </c>
      <c r="D847" t="s">
        <v>2788</v>
      </c>
    </row>
    <row r="848" spans="1:4" x14ac:dyDescent="0.25">
      <c r="A848" t="s">
        <v>1904</v>
      </c>
      <c r="B848" t="s">
        <v>2920</v>
      </c>
      <c r="C848" t="s">
        <v>2797</v>
      </c>
      <c r="D848" t="s">
        <v>2788</v>
      </c>
    </row>
    <row r="849" spans="1:4" x14ac:dyDescent="0.25">
      <c r="A849" t="s">
        <v>1905</v>
      </c>
      <c r="B849" t="s">
        <v>2920</v>
      </c>
      <c r="C849" t="s">
        <v>2796</v>
      </c>
      <c r="D849" t="s">
        <v>2799</v>
      </c>
    </row>
    <row r="850" spans="1:4" x14ac:dyDescent="0.25">
      <c r="A850" t="s">
        <v>1906</v>
      </c>
      <c r="B850" t="s">
        <v>2920</v>
      </c>
      <c r="C850" t="s">
        <v>2797</v>
      </c>
      <c r="D850" t="s">
        <v>2799</v>
      </c>
    </row>
    <row r="851" spans="1:4" x14ac:dyDescent="0.25">
      <c r="A851" t="s">
        <v>1907</v>
      </c>
      <c r="B851" t="s">
        <v>2920</v>
      </c>
      <c r="C851" t="s">
        <v>2798</v>
      </c>
      <c r="D851" t="s">
        <v>2799</v>
      </c>
    </row>
    <row r="852" spans="1:4" x14ac:dyDescent="0.25">
      <c r="A852" t="s">
        <v>1908</v>
      </c>
      <c r="B852" t="s">
        <v>2920</v>
      </c>
      <c r="C852" t="s">
        <v>2796</v>
      </c>
      <c r="D852" t="s">
        <v>2799</v>
      </c>
    </row>
    <row r="853" spans="1:4" x14ac:dyDescent="0.25">
      <c r="A853" t="s">
        <v>1909</v>
      </c>
      <c r="B853" t="s">
        <v>2920</v>
      </c>
      <c r="C853" t="s">
        <v>2797</v>
      </c>
      <c r="D853" t="s">
        <v>2799</v>
      </c>
    </row>
    <row r="854" spans="1:4" x14ac:dyDescent="0.25">
      <c r="A854" t="s">
        <v>1910</v>
      </c>
      <c r="B854" t="s">
        <v>2920</v>
      </c>
      <c r="C854" t="s">
        <v>2798</v>
      </c>
      <c r="D854" t="s">
        <v>2799</v>
      </c>
    </row>
    <row r="855" spans="1:4" x14ac:dyDescent="0.25">
      <c r="A855" t="s">
        <v>1911</v>
      </c>
      <c r="B855" t="s">
        <v>2920</v>
      </c>
      <c r="C855" t="s">
        <v>2801</v>
      </c>
      <c r="D855" t="s">
        <v>2802</v>
      </c>
    </row>
    <row r="856" spans="1:4" x14ac:dyDescent="0.25">
      <c r="A856" t="s">
        <v>1912</v>
      </c>
      <c r="B856" t="s">
        <v>2920</v>
      </c>
      <c r="C856" t="s">
        <v>2803</v>
      </c>
      <c r="D856" t="s">
        <v>2794</v>
      </c>
    </row>
    <row r="857" spans="1:4" x14ac:dyDescent="0.25">
      <c r="A857" t="s">
        <v>1913</v>
      </c>
      <c r="B857" t="s">
        <v>2920</v>
      </c>
      <c r="C857" t="s">
        <v>2803</v>
      </c>
      <c r="D857" t="s">
        <v>2804</v>
      </c>
    </row>
    <row r="858" spans="1:4" x14ac:dyDescent="0.25">
      <c r="A858" t="s">
        <v>857</v>
      </c>
      <c r="B858" t="s">
        <v>2922</v>
      </c>
      <c r="C858" t="s">
        <v>2923</v>
      </c>
      <c r="D858" t="s">
        <v>2923</v>
      </c>
    </row>
    <row r="859" spans="1:4" x14ac:dyDescent="0.25">
      <c r="A859" t="s">
        <v>858</v>
      </c>
      <c r="B859" t="s">
        <v>2922</v>
      </c>
      <c r="C859" t="s">
        <v>2754</v>
      </c>
      <c r="D859" t="s">
        <v>2753</v>
      </c>
    </row>
    <row r="860" spans="1:4" x14ac:dyDescent="0.25">
      <c r="A860" t="s">
        <v>859</v>
      </c>
      <c r="B860" t="s">
        <v>2922</v>
      </c>
      <c r="C860" t="s">
        <v>2754</v>
      </c>
      <c r="D860" t="s">
        <v>2924</v>
      </c>
    </row>
    <row r="861" spans="1:4" x14ac:dyDescent="0.25">
      <c r="A861" t="s">
        <v>860</v>
      </c>
      <c r="B861" t="s">
        <v>2922</v>
      </c>
      <c r="C861" t="s">
        <v>2754</v>
      </c>
      <c r="D861" t="s">
        <v>2755</v>
      </c>
    </row>
    <row r="862" spans="1:4" x14ac:dyDescent="0.25">
      <c r="A862" t="s">
        <v>861</v>
      </c>
      <c r="B862" t="s">
        <v>2922</v>
      </c>
      <c r="C862" t="s">
        <v>2754</v>
      </c>
      <c r="D862" t="s">
        <v>2756</v>
      </c>
    </row>
    <row r="863" spans="1:4" x14ac:dyDescent="0.25">
      <c r="A863" t="s">
        <v>862</v>
      </c>
      <c r="B863" t="s">
        <v>2922</v>
      </c>
      <c r="C863" t="s">
        <v>2754</v>
      </c>
      <c r="D863" t="s">
        <v>2760</v>
      </c>
    </row>
    <row r="864" spans="1:4" x14ac:dyDescent="0.25">
      <c r="A864" t="s">
        <v>863</v>
      </c>
      <c r="B864" t="s">
        <v>2922</v>
      </c>
      <c r="C864" t="s">
        <v>2754</v>
      </c>
      <c r="D864" t="s">
        <v>2761</v>
      </c>
    </row>
    <row r="865" spans="1:4" x14ac:dyDescent="0.25">
      <c r="A865" t="s">
        <v>864</v>
      </c>
      <c r="B865" t="s">
        <v>2922</v>
      </c>
      <c r="C865" t="s">
        <v>2754</v>
      </c>
      <c r="D865" t="s">
        <v>2757</v>
      </c>
    </row>
    <row r="866" spans="1:4" x14ac:dyDescent="0.25">
      <c r="A866" t="s">
        <v>865</v>
      </c>
      <c r="B866" t="s">
        <v>2922</v>
      </c>
      <c r="C866" t="s">
        <v>2754</v>
      </c>
      <c r="D866" t="s">
        <v>2762</v>
      </c>
    </row>
    <row r="867" spans="1:4" x14ac:dyDescent="0.25">
      <c r="A867" t="s">
        <v>866</v>
      </c>
      <c r="B867" t="s">
        <v>2922</v>
      </c>
      <c r="C867" t="s">
        <v>2754</v>
      </c>
      <c r="D867" t="s">
        <v>2763</v>
      </c>
    </row>
    <row r="868" spans="1:4" x14ac:dyDescent="0.25">
      <c r="A868" t="s">
        <v>867</v>
      </c>
      <c r="B868" t="s">
        <v>2922</v>
      </c>
      <c r="C868" t="s">
        <v>2754</v>
      </c>
      <c r="D868" t="s">
        <v>2755</v>
      </c>
    </row>
    <row r="869" spans="1:4" x14ac:dyDescent="0.25">
      <c r="A869" t="s">
        <v>868</v>
      </c>
      <c r="B869" t="s">
        <v>2922</v>
      </c>
      <c r="C869" t="s">
        <v>2754</v>
      </c>
      <c r="D869" t="s">
        <v>2758</v>
      </c>
    </row>
    <row r="870" spans="1:4" x14ac:dyDescent="0.25">
      <c r="A870" t="s">
        <v>869</v>
      </c>
      <c r="B870" t="s">
        <v>2922</v>
      </c>
      <c r="C870" t="s">
        <v>2754</v>
      </c>
      <c r="D870" t="s">
        <v>2766</v>
      </c>
    </row>
    <row r="871" spans="1:4" x14ac:dyDescent="0.25">
      <c r="A871" t="s">
        <v>870</v>
      </c>
      <c r="B871" t="s">
        <v>2922</v>
      </c>
      <c r="C871" t="s">
        <v>2754</v>
      </c>
      <c r="D871" t="s">
        <v>2767</v>
      </c>
    </row>
    <row r="872" spans="1:4" x14ac:dyDescent="0.25">
      <c r="A872" t="s">
        <v>871</v>
      </c>
      <c r="B872" t="s">
        <v>2922</v>
      </c>
      <c r="C872" t="s">
        <v>2754</v>
      </c>
      <c r="D872" t="s">
        <v>2768</v>
      </c>
    </row>
    <row r="873" spans="1:4" x14ac:dyDescent="0.25">
      <c r="A873" t="s">
        <v>872</v>
      </c>
      <c r="B873" t="s">
        <v>2922</v>
      </c>
      <c r="C873" t="s">
        <v>2754</v>
      </c>
      <c r="D873" t="s">
        <v>2769</v>
      </c>
    </row>
    <row r="874" spans="1:4" x14ac:dyDescent="0.25">
      <c r="A874" t="s">
        <v>873</v>
      </c>
      <c r="B874" t="s">
        <v>2922</v>
      </c>
      <c r="C874" t="s">
        <v>2754</v>
      </c>
      <c r="D874" t="s">
        <v>2770</v>
      </c>
    </row>
    <row r="875" spans="1:4" x14ac:dyDescent="0.25">
      <c r="A875" t="s">
        <v>874</v>
      </c>
      <c r="B875" t="s">
        <v>2922</v>
      </c>
      <c r="C875" t="s">
        <v>2754</v>
      </c>
      <c r="D875" t="s">
        <v>2770</v>
      </c>
    </row>
    <row r="876" spans="1:4" x14ac:dyDescent="0.25">
      <c r="A876" t="s">
        <v>875</v>
      </c>
      <c r="B876" t="s">
        <v>2922</v>
      </c>
      <c r="C876" t="s">
        <v>2754</v>
      </c>
      <c r="D876" t="s">
        <v>2764</v>
      </c>
    </row>
    <row r="877" spans="1:4" x14ac:dyDescent="0.25">
      <c r="A877" t="s">
        <v>876</v>
      </c>
      <c r="B877" t="s">
        <v>2922</v>
      </c>
      <c r="C877" t="s">
        <v>2775</v>
      </c>
      <c r="D877" t="s">
        <v>2780</v>
      </c>
    </row>
    <row r="878" spans="1:4" x14ac:dyDescent="0.25">
      <c r="A878" t="s">
        <v>877</v>
      </c>
      <c r="B878" t="s">
        <v>2922</v>
      </c>
      <c r="C878" t="s">
        <v>2775</v>
      </c>
      <c r="D878" t="s">
        <v>2781</v>
      </c>
    </row>
    <row r="879" spans="1:4" x14ac:dyDescent="0.25">
      <c r="A879" t="s">
        <v>878</v>
      </c>
      <c r="B879" t="s">
        <v>2922</v>
      </c>
      <c r="C879" t="s">
        <v>2925</v>
      </c>
      <c r="D879" t="s">
        <v>2926</v>
      </c>
    </row>
    <row r="880" spans="1:4" x14ac:dyDescent="0.25">
      <c r="A880" t="s">
        <v>879</v>
      </c>
      <c r="B880" t="s">
        <v>2922</v>
      </c>
      <c r="C880" t="s">
        <v>2787</v>
      </c>
      <c r="D880" t="s">
        <v>2788</v>
      </c>
    </row>
    <row r="881" spans="1:4" x14ac:dyDescent="0.25">
      <c r="A881" t="s">
        <v>880</v>
      </c>
      <c r="B881" t="s">
        <v>2922</v>
      </c>
      <c r="C881" t="s">
        <v>2787</v>
      </c>
      <c r="D881" t="s">
        <v>2789</v>
      </c>
    </row>
    <row r="882" spans="1:4" x14ac:dyDescent="0.25">
      <c r="A882" t="s">
        <v>881</v>
      </c>
      <c r="B882" t="s">
        <v>2922</v>
      </c>
      <c r="C882" t="s">
        <v>2787</v>
      </c>
      <c r="D882" t="s">
        <v>2789</v>
      </c>
    </row>
    <row r="883" spans="1:4" x14ac:dyDescent="0.25">
      <c r="A883" t="s">
        <v>1914</v>
      </c>
      <c r="B883" t="s">
        <v>2922</v>
      </c>
      <c r="C883" t="s">
        <v>2794</v>
      </c>
      <c r="D883" t="s">
        <v>2795</v>
      </c>
    </row>
    <row r="884" spans="1:4" x14ac:dyDescent="0.25">
      <c r="A884" t="s">
        <v>1915</v>
      </c>
      <c r="B884" t="s">
        <v>2922</v>
      </c>
      <c r="C884" t="s">
        <v>2796</v>
      </c>
      <c r="D884" t="s">
        <v>2788</v>
      </c>
    </row>
    <row r="885" spans="1:4" x14ac:dyDescent="0.25">
      <c r="A885" t="s">
        <v>882</v>
      </c>
      <c r="B885" t="s">
        <v>2922</v>
      </c>
      <c r="C885" t="s">
        <v>2800</v>
      </c>
      <c r="D885" t="s">
        <v>2788</v>
      </c>
    </row>
    <row r="886" spans="1:4" x14ac:dyDescent="0.25">
      <c r="A886" t="s">
        <v>1916</v>
      </c>
      <c r="B886" t="s">
        <v>2922</v>
      </c>
      <c r="C886" t="s">
        <v>2797</v>
      </c>
      <c r="D886" t="s">
        <v>2788</v>
      </c>
    </row>
    <row r="887" spans="1:4" x14ac:dyDescent="0.25">
      <c r="A887" t="s">
        <v>1917</v>
      </c>
      <c r="B887" t="s">
        <v>2922</v>
      </c>
      <c r="C887" t="s">
        <v>2797</v>
      </c>
      <c r="D887" t="s">
        <v>2788</v>
      </c>
    </row>
    <row r="888" spans="1:4" x14ac:dyDescent="0.25">
      <c r="A888" t="s">
        <v>1918</v>
      </c>
      <c r="B888" t="s">
        <v>2922</v>
      </c>
      <c r="C888" t="s">
        <v>2796</v>
      </c>
      <c r="D888" t="s">
        <v>2799</v>
      </c>
    </row>
    <row r="889" spans="1:4" x14ac:dyDescent="0.25">
      <c r="A889" t="s">
        <v>1919</v>
      </c>
      <c r="B889" t="s">
        <v>2922</v>
      </c>
      <c r="C889" t="s">
        <v>2797</v>
      </c>
      <c r="D889" t="s">
        <v>2799</v>
      </c>
    </row>
    <row r="890" spans="1:4" x14ac:dyDescent="0.25">
      <c r="A890" t="s">
        <v>1920</v>
      </c>
      <c r="B890" t="s">
        <v>2922</v>
      </c>
      <c r="C890" t="s">
        <v>2798</v>
      </c>
      <c r="D890" t="s">
        <v>2799</v>
      </c>
    </row>
    <row r="891" spans="1:4" x14ac:dyDescent="0.25">
      <c r="A891" t="s">
        <v>1921</v>
      </c>
      <c r="B891" t="s">
        <v>2922</v>
      </c>
      <c r="C891" t="s">
        <v>2796</v>
      </c>
      <c r="D891" t="s">
        <v>2799</v>
      </c>
    </row>
    <row r="892" spans="1:4" x14ac:dyDescent="0.25">
      <c r="A892" t="s">
        <v>1922</v>
      </c>
      <c r="B892" t="s">
        <v>2922</v>
      </c>
      <c r="C892" t="s">
        <v>2797</v>
      </c>
      <c r="D892" t="s">
        <v>2799</v>
      </c>
    </row>
    <row r="893" spans="1:4" x14ac:dyDescent="0.25">
      <c r="A893" t="s">
        <v>1923</v>
      </c>
      <c r="B893" t="s">
        <v>2922</v>
      </c>
      <c r="C893" t="s">
        <v>2798</v>
      </c>
      <c r="D893" t="s">
        <v>2799</v>
      </c>
    </row>
    <row r="894" spans="1:4" x14ac:dyDescent="0.25">
      <c r="A894" t="s">
        <v>1924</v>
      </c>
      <c r="B894" t="s">
        <v>2922</v>
      </c>
      <c r="C894" t="s">
        <v>2801</v>
      </c>
      <c r="D894" t="s">
        <v>2802</v>
      </c>
    </row>
    <row r="895" spans="1:4" x14ac:dyDescent="0.25">
      <c r="A895" t="s">
        <v>1925</v>
      </c>
      <c r="B895" t="s">
        <v>2922</v>
      </c>
      <c r="C895" t="s">
        <v>2803</v>
      </c>
      <c r="D895" t="s">
        <v>2794</v>
      </c>
    </row>
    <row r="896" spans="1:4" x14ac:dyDescent="0.25">
      <c r="A896" t="s">
        <v>1926</v>
      </c>
      <c r="B896" t="s">
        <v>2922</v>
      </c>
      <c r="C896" t="s">
        <v>2803</v>
      </c>
      <c r="D896" t="s">
        <v>2804</v>
      </c>
    </row>
    <row r="897" spans="1:4" x14ac:dyDescent="0.25">
      <c r="A897" t="s">
        <v>885</v>
      </c>
      <c r="B897" t="s">
        <v>2927</v>
      </c>
      <c r="C897" t="s">
        <v>2874</v>
      </c>
      <c r="D897" t="s">
        <v>2928</v>
      </c>
    </row>
    <row r="898" spans="1:4" x14ac:dyDescent="0.25">
      <c r="A898" t="s">
        <v>886</v>
      </c>
      <c r="B898" t="s">
        <v>2927</v>
      </c>
      <c r="C898" t="s">
        <v>2751</v>
      </c>
      <c r="D898" t="s">
        <v>2929</v>
      </c>
    </row>
    <row r="899" spans="1:4" x14ac:dyDescent="0.25">
      <c r="A899" t="s">
        <v>887</v>
      </c>
      <c r="B899" t="s">
        <v>2927</v>
      </c>
      <c r="C899" t="s">
        <v>2754</v>
      </c>
      <c r="D899" t="s">
        <v>2753</v>
      </c>
    </row>
    <row r="900" spans="1:4" x14ac:dyDescent="0.25">
      <c r="A900" t="s">
        <v>888</v>
      </c>
      <c r="B900" t="s">
        <v>2927</v>
      </c>
      <c r="C900" t="s">
        <v>2754</v>
      </c>
      <c r="D900" t="s">
        <v>2924</v>
      </c>
    </row>
    <row r="901" spans="1:4" x14ac:dyDescent="0.25">
      <c r="A901" t="s">
        <v>889</v>
      </c>
      <c r="B901" t="s">
        <v>2927</v>
      </c>
      <c r="C901" t="s">
        <v>2754</v>
      </c>
      <c r="D901" t="s">
        <v>2755</v>
      </c>
    </row>
    <row r="902" spans="1:4" x14ac:dyDescent="0.25">
      <c r="A902" t="s">
        <v>890</v>
      </c>
      <c r="B902" t="s">
        <v>2927</v>
      </c>
      <c r="C902" t="s">
        <v>2754</v>
      </c>
      <c r="D902" t="s">
        <v>2756</v>
      </c>
    </row>
    <row r="903" spans="1:4" x14ac:dyDescent="0.25">
      <c r="A903" t="s">
        <v>891</v>
      </c>
      <c r="B903" t="s">
        <v>2927</v>
      </c>
      <c r="C903" t="s">
        <v>2754</v>
      </c>
      <c r="D903" t="s">
        <v>2760</v>
      </c>
    </row>
    <row r="904" spans="1:4" x14ac:dyDescent="0.25">
      <c r="A904" t="s">
        <v>892</v>
      </c>
      <c r="B904" t="s">
        <v>2927</v>
      </c>
      <c r="C904" t="s">
        <v>2754</v>
      </c>
      <c r="D904" t="s">
        <v>2761</v>
      </c>
    </row>
    <row r="905" spans="1:4" x14ac:dyDescent="0.25">
      <c r="A905" t="s">
        <v>893</v>
      </c>
      <c r="B905" t="s">
        <v>2927</v>
      </c>
      <c r="C905" t="s">
        <v>2754</v>
      </c>
      <c r="D905" t="s">
        <v>2757</v>
      </c>
    </row>
    <row r="906" spans="1:4" x14ac:dyDescent="0.25">
      <c r="A906" t="s">
        <v>894</v>
      </c>
      <c r="B906" t="s">
        <v>2927</v>
      </c>
      <c r="C906" t="s">
        <v>2754</v>
      </c>
      <c r="D906" t="s">
        <v>2762</v>
      </c>
    </row>
    <row r="907" spans="1:4" x14ac:dyDescent="0.25">
      <c r="A907" t="s">
        <v>895</v>
      </c>
      <c r="B907" t="s">
        <v>2927</v>
      </c>
      <c r="C907" t="s">
        <v>2754</v>
      </c>
      <c r="D907" t="s">
        <v>2763</v>
      </c>
    </row>
    <row r="908" spans="1:4" x14ac:dyDescent="0.25">
      <c r="A908" t="s">
        <v>896</v>
      </c>
      <c r="B908" t="s">
        <v>2927</v>
      </c>
      <c r="C908" t="s">
        <v>2754</v>
      </c>
      <c r="D908" t="s">
        <v>2755</v>
      </c>
    </row>
    <row r="909" spans="1:4" x14ac:dyDescent="0.25">
      <c r="A909" t="s">
        <v>897</v>
      </c>
      <c r="B909" t="s">
        <v>2927</v>
      </c>
      <c r="C909" t="s">
        <v>2754</v>
      </c>
      <c r="D909" t="s">
        <v>2764</v>
      </c>
    </row>
    <row r="910" spans="1:4" x14ac:dyDescent="0.25">
      <c r="A910" t="s">
        <v>898</v>
      </c>
      <c r="B910" t="s">
        <v>2927</v>
      </c>
      <c r="C910" t="s">
        <v>2754</v>
      </c>
      <c r="D910" t="s">
        <v>2758</v>
      </c>
    </row>
    <row r="911" spans="1:4" x14ac:dyDescent="0.25">
      <c r="A911" t="s">
        <v>899</v>
      </c>
      <c r="B911" t="s">
        <v>2927</v>
      </c>
      <c r="C911" t="s">
        <v>2754</v>
      </c>
      <c r="D911" t="s">
        <v>2766</v>
      </c>
    </row>
    <row r="912" spans="1:4" x14ac:dyDescent="0.25">
      <c r="A912" t="s">
        <v>900</v>
      </c>
      <c r="B912" t="s">
        <v>2927</v>
      </c>
      <c r="C912" t="s">
        <v>2754</v>
      </c>
      <c r="D912" t="s">
        <v>2767</v>
      </c>
    </row>
    <row r="913" spans="1:4" x14ac:dyDescent="0.25">
      <c r="A913" t="s">
        <v>901</v>
      </c>
      <c r="B913" t="s">
        <v>2927</v>
      </c>
      <c r="C913" t="s">
        <v>2754</v>
      </c>
      <c r="D913" t="s">
        <v>2768</v>
      </c>
    </row>
    <row r="914" spans="1:4" x14ac:dyDescent="0.25">
      <c r="A914" t="s">
        <v>902</v>
      </c>
      <c r="B914" t="s">
        <v>2927</v>
      </c>
      <c r="C914" t="s">
        <v>2754</v>
      </c>
      <c r="D914" t="s">
        <v>2769</v>
      </c>
    </row>
    <row r="915" spans="1:4" x14ac:dyDescent="0.25">
      <c r="A915" t="s">
        <v>903</v>
      </c>
      <c r="B915" t="s">
        <v>2927</v>
      </c>
      <c r="C915" t="s">
        <v>2754</v>
      </c>
      <c r="D915" t="s">
        <v>2769</v>
      </c>
    </row>
    <row r="916" spans="1:4" x14ac:dyDescent="0.25">
      <c r="A916" t="s">
        <v>904</v>
      </c>
      <c r="B916" t="s">
        <v>2927</v>
      </c>
      <c r="C916" t="s">
        <v>2754</v>
      </c>
      <c r="D916" t="s">
        <v>2770</v>
      </c>
    </row>
    <row r="917" spans="1:4" x14ac:dyDescent="0.25">
      <c r="A917" t="s">
        <v>905</v>
      </c>
      <c r="B917" t="s">
        <v>2927</v>
      </c>
      <c r="C917" t="s">
        <v>2754</v>
      </c>
      <c r="D917" t="s">
        <v>2770</v>
      </c>
    </row>
    <row r="918" spans="1:4" x14ac:dyDescent="0.25">
      <c r="A918" t="s">
        <v>906</v>
      </c>
      <c r="B918" t="s">
        <v>2927</v>
      </c>
      <c r="C918" t="s">
        <v>2754</v>
      </c>
      <c r="D918" t="s">
        <v>2764</v>
      </c>
    </row>
    <row r="919" spans="1:4" x14ac:dyDescent="0.25">
      <c r="A919" t="s">
        <v>907</v>
      </c>
      <c r="B919" t="s">
        <v>2927</v>
      </c>
      <c r="C919" t="s">
        <v>2771</v>
      </c>
      <c r="D919" t="s">
        <v>2772</v>
      </c>
    </row>
    <row r="920" spans="1:4" x14ac:dyDescent="0.25">
      <c r="A920" t="s">
        <v>908</v>
      </c>
      <c r="B920" t="s">
        <v>2927</v>
      </c>
      <c r="C920" t="s">
        <v>2771</v>
      </c>
      <c r="D920" t="s">
        <v>2772</v>
      </c>
    </row>
    <row r="921" spans="1:4" x14ac:dyDescent="0.25">
      <c r="A921" t="s">
        <v>909</v>
      </c>
      <c r="B921" t="s">
        <v>2927</v>
      </c>
      <c r="C921" t="s">
        <v>2771</v>
      </c>
      <c r="D921" t="s">
        <v>2772</v>
      </c>
    </row>
    <row r="922" spans="1:4" x14ac:dyDescent="0.25">
      <c r="A922" t="s">
        <v>910</v>
      </c>
      <c r="B922" t="s">
        <v>2927</v>
      </c>
      <c r="C922" t="s">
        <v>2771</v>
      </c>
      <c r="D922" t="s">
        <v>2826</v>
      </c>
    </row>
    <row r="923" spans="1:4" x14ac:dyDescent="0.25">
      <c r="A923" t="s">
        <v>911</v>
      </c>
      <c r="B923" t="s">
        <v>2927</v>
      </c>
      <c r="C923" t="s">
        <v>2775</v>
      </c>
      <c r="D923" t="s">
        <v>2930</v>
      </c>
    </row>
    <row r="924" spans="1:4" x14ac:dyDescent="0.25">
      <c r="A924" t="s">
        <v>912</v>
      </c>
      <c r="B924" t="s">
        <v>2927</v>
      </c>
      <c r="C924" t="s">
        <v>2775</v>
      </c>
      <c r="D924" t="s">
        <v>2780</v>
      </c>
    </row>
    <row r="925" spans="1:4" x14ac:dyDescent="0.25">
      <c r="A925" t="s">
        <v>913</v>
      </c>
      <c r="B925" t="s">
        <v>2927</v>
      </c>
      <c r="C925" t="s">
        <v>2775</v>
      </c>
      <c r="D925" t="s">
        <v>2780</v>
      </c>
    </row>
    <row r="926" spans="1:4" x14ac:dyDescent="0.25">
      <c r="A926" t="s">
        <v>914</v>
      </c>
      <c r="B926" t="s">
        <v>2927</v>
      </c>
      <c r="C926" t="s">
        <v>2775</v>
      </c>
      <c r="D926" t="s">
        <v>2781</v>
      </c>
    </row>
    <row r="927" spans="1:4" x14ac:dyDescent="0.25">
      <c r="A927" t="s">
        <v>915</v>
      </c>
      <c r="B927" t="s">
        <v>2927</v>
      </c>
      <c r="C927" t="s">
        <v>2931</v>
      </c>
      <c r="D927" t="s">
        <v>2932</v>
      </c>
    </row>
    <row r="928" spans="1:4" x14ac:dyDescent="0.25">
      <c r="A928" t="s">
        <v>916</v>
      </c>
      <c r="B928" t="s">
        <v>2927</v>
      </c>
      <c r="C928" t="s">
        <v>2787</v>
      </c>
      <c r="D928" t="s">
        <v>2788</v>
      </c>
    </row>
    <row r="929" spans="1:4" x14ac:dyDescent="0.25">
      <c r="A929" t="s">
        <v>917</v>
      </c>
      <c r="B929" t="s">
        <v>2927</v>
      </c>
      <c r="C929" t="s">
        <v>2787</v>
      </c>
      <c r="D929" t="s">
        <v>2789</v>
      </c>
    </row>
    <row r="930" spans="1:4" x14ac:dyDescent="0.25">
      <c r="A930" t="s">
        <v>918</v>
      </c>
      <c r="B930" t="s">
        <v>2927</v>
      </c>
      <c r="C930" t="s">
        <v>2787</v>
      </c>
      <c r="D930" t="s">
        <v>2789</v>
      </c>
    </row>
    <row r="931" spans="1:4" x14ac:dyDescent="0.25">
      <c r="A931" t="s">
        <v>919</v>
      </c>
      <c r="B931" t="s">
        <v>2927</v>
      </c>
      <c r="C931" t="s">
        <v>2787</v>
      </c>
      <c r="D931" t="s">
        <v>2789</v>
      </c>
    </row>
    <row r="932" spans="1:4" x14ac:dyDescent="0.25">
      <c r="A932" t="s">
        <v>1927</v>
      </c>
      <c r="B932" t="s">
        <v>2927</v>
      </c>
      <c r="C932" t="s">
        <v>2794</v>
      </c>
      <c r="D932" t="s">
        <v>2795</v>
      </c>
    </row>
    <row r="933" spans="1:4" x14ac:dyDescent="0.25">
      <c r="A933" t="s">
        <v>1928</v>
      </c>
      <c r="B933" t="s">
        <v>2927</v>
      </c>
      <c r="C933" t="s">
        <v>2888</v>
      </c>
      <c r="D933" t="s">
        <v>2890</v>
      </c>
    </row>
    <row r="934" spans="1:4" x14ac:dyDescent="0.25">
      <c r="A934" t="s">
        <v>1929</v>
      </c>
      <c r="B934" t="s">
        <v>2927</v>
      </c>
      <c r="C934" t="s">
        <v>2885</v>
      </c>
      <c r="D934" t="s">
        <v>2933</v>
      </c>
    </row>
    <row r="935" spans="1:4" x14ac:dyDescent="0.25">
      <c r="A935" t="s">
        <v>1931</v>
      </c>
      <c r="B935" t="s">
        <v>2927</v>
      </c>
      <c r="C935" t="s">
        <v>2885</v>
      </c>
      <c r="D935" t="s">
        <v>2934</v>
      </c>
    </row>
    <row r="936" spans="1:4" x14ac:dyDescent="0.25">
      <c r="A936" t="s">
        <v>1933</v>
      </c>
      <c r="B936" t="s">
        <v>2927</v>
      </c>
      <c r="C936" t="s">
        <v>2885</v>
      </c>
      <c r="D936" t="s">
        <v>2894</v>
      </c>
    </row>
    <row r="937" spans="1:4" x14ac:dyDescent="0.25">
      <c r="A937" t="s">
        <v>1934</v>
      </c>
      <c r="B937" t="s">
        <v>2927</v>
      </c>
      <c r="C937" t="s">
        <v>2885</v>
      </c>
      <c r="D937" t="s">
        <v>2894</v>
      </c>
    </row>
    <row r="938" spans="1:4" x14ac:dyDescent="0.25">
      <c r="A938" t="s">
        <v>1936</v>
      </c>
      <c r="B938" t="s">
        <v>2927</v>
      </c>
      <c r="C938" t="s">
        <v>2885</v>
      </c>
      <c r="D938" t="s">
        <v>2894</v>
      </c>
    </row>
    <row r="939" spans="1:4" x14ac:dyDescent="0.25">
      <c r="A939" t="s">
        <v>1938</v>
      </c>
      <c r="B939" t="s">
        <v>2927</v>
      </c>
      <c r="C939" t="s">
        <v>2885</v>
      </c>
      <c r="D939" t="s">
        <v>2894</v>
      </c>
    </row>
    <row r="940" spans="1:4" x14ac:dyDescent="0.25">
      <c r="A940" t="s">
        <v>1940</v>
      </c>
      <c r="B940" t="s">
        <v>2927</v>
      </c>
      <c r="C940" t="s">
        <v>2885</v>
      </c>
      <c r="D940" t="s">
        <v>2894</v>
      </c>
    </row>
    <row r="941" spans="1:4" x14ac:dyDescent="0.25">
      <c r="A941" t="s">
        <v>1941</v>
      </c>
      <c r="B941" t="s">
        <v>2927</v>
      </c>
      <c r="C941" t="s">
        <v>2885</v>
      </c>
      <c r="D941" t="s">
        <v>2894</v>
      </c>
    </row>
    <row r="942" spans="1:4" x14ac:dyDescent="0.25">
      <c r="A942" t="s">
        <v>1943</v>
      </c>
      <c r="B942" t="s">
        <v>2927</v>
      </c>
      <c r="C942" t="s">
        <v>2885</v>
      </c>
      <c r="D942" t="s">
        <v>2894</v>
      </c>
    </row>
    <row r="943" spans="1:4" x14ac:dyDescent="0.25">
      <c r="A943" t="s">
        <v>1944</v>
      </c>
      <c r="B943" t="s">
        <v>2927</v>
      </c>
      <c r="C943" t="s">
        <v>2885</v>
      </c>
      <c r="D943" t="s">
        <v>2894</v>
      </c>
    </row>
    <row r="944" spans="1:4" x14ac:dyDescent="0.25">
      <c r="A944" t="s">
        <v>1946</v>
      </c>
      <c r="B944" t="s">
        <v>2927</v>
      </c>
      <c r="C944" t="s">
        <v>2796</v>
      </c>
      <c r="D944" t="s">
        <v>2788</v>
      </c>
    </row>
    <row r="945" spans="1:4" x14ac:dyDescent="0.25">
      <c r="A945" t="s">
        <v>1947</v>
      </c>
      <c r="B945" t="s">
        <v>2927</v>
      </c>
      <c r="C945" t="s">
        <v>2797</v>
      </c>
      <c r="D945" t="s">
        <v>2788</v>
      </c>
    </row>
    <row r="946" spans="1:4" x14ac:dyDescent="0.25">
      <c r="A946" t="s">
        <v>1948</v>
      </c>
      <c r="B946" t="s">
        <v>2927</v>
      </c>
      <c r="C946" t="s">
        <v>2797</v>
      </c>
      <c r="D946" t="s">
        <v>2788</v>
      </c>
    </row>
    <row r="947" spans="1:4" x14ac:dyDescent="0.25">
      <c r="A947" t="s">
        <v>920</v>
      </c>
      <c r="B947" t="s">
        <v>2927</v>
      </c>
      <c r="C947" t="s">
        <v>2800</v>
      </c>
      <c r="D947" t="s">
        <v>2788</v>
      </c>
    </row>
    <row r="948" spans="1:4" x14ac:dyDescent="0.25">
      <c r="A948" t="s">
        <v>1949</v>
      </c>
      <c r="B948" t="s">
        <v>2927</v>
      </c>
      <c r="C948" t="s">
        <v>2797</v>
      </c>
      <c r="D948" t="s">
        <v>2799</v>
      </c>
    </row>
    <row r="949" spans="1:4" x14ac:dyDescent="0.25">
      <c r="A949" t="s">
        <v>1950</v>
      </c>
      <c r="B949" t="s">
        <v>2927</v>
      </c>
      <c r="C949" t="s">
        <v>2796</v>
      </c>
      <c r="D949" t="s">
        <v>2799</v>
      </c>
    </row>
    <row r="950" spans="1:4" x14ac:dyDescent="0.25">
      <c r="A950" t="s">
        <v>1951</v>
      </c>
      <c r="B950" t="s">
        <v>2927</v>
      </c>
      <c r="C950" t="s">
        <v>2797</v>
      </c>
      <c r="D950" t="s">
        <v>2799</v>
      </c>
    </row>
    <row r="951" spans="1:4" x14ac:dyDescent="0.25">
      <c r="A951" t="s">
        <v>1952</v>
      </c>
      <c r="B951" t="s">
        <v>2927</v>
      </c>
      <c r="C951" t="s">
        <v>2796</v>
      </c>
      <c r="D951" t="s">
        <v>2799</v>
      </c>
    </row>
    <row r="952" spans="1:4" x14ac:dyDescent="0.25">
      <c r="A952" t="s">
        <v>1953</v>
      </c>
      <c r="B952" t="s">
        <v>2927</v>
      </c>
      <c r="C952" t="s">
        <v>2797</v>
      </c>
      <c r="D952" t="s">
        <v>2799</v>
      </c>
    </row>
    <row r="953" spans="1:4" x14ac:dyDescent="0.25">
      <c r="A953" t="s">
        <v>1954</v>
      </c>
      <c r="B953" t="s">
        <v>2927</v>
      </c>
      <c r="C953" t="s">
        <v>2798</v>
      </c>
      <c r="D953" t="s">
        <v>2799</v>
      </c>
    </row>
    <row r="954" spans="1:4" x14ac:dyDescent="0.25">
      <c r="A954" t="s">
        <v>1955</v>
      </c>
      <c r="B954" t="s">
        <v>2927</v>
      </c>
      <c r="C954" t="s">
        <v>2796</v>
      </c>
      <c r="D954" t="s">
        <v>2799</v>
      </c>
    </row>
    <row r="955" spans="1:4" x14ac:dyDescent="0.25">
      <c r="A955" t="s">
        <v>1956</v>
      </c>
      <c r="B955" t="s">
        <v>2927</v>
      </c>
      <c r="C955" t="s">
        <v>2797</v>
      </c>
      <c r="D955" t="s">
        <v>2799</v>
      </c>
    </row>
    <row r="956" spans="1:4" x14ac:dyDescent="0.25">
      <c r="A956" t="s">
        <v>1957</v>
      </c>
      <c r="B956" t="s">
        <v>2927</v>
      </c>
      <c r="C956" t="s">
        <v>2798</v>
      </c>
      <c r="D956" t="s">
        <v>2799</v>
      </c>
    </row>
    <row r="957" spans="1:4" x14ac:dyDescent="0.25">
      <c r="A957" t="s">
        <v>1958</v>
      </c>
      <c r="B957" t="s">
        <v>2927</v>
      </c>
      <c r="C957" t="s">
        <v>2900</v>
      </c>
      <c r="D957" t="s">
        <v>2901</v>
      </c>
    </row>
    <row r="958" spans="1:4" x14ac:dyDescent="0.25">
      <c r="A958" t="s">
        <v>1959</v>
      </c>
      <c r="B958" t="s">
        <v>2927</v>
      </c>
      <c r="C958" t="s">
        <v>2900</v>
      </c>
      <c r="D958" t="s">
        <v>2901</v>
      </c>
    </row>
    <row r="959" spans="1:4" x14ac:dyDescent="0.25">
      <c r="A959" t="s">
        <v>1961</v>
      </c>
      <c r="B959" t="s">
        <v>2927</v>
      </c>
      <c r="C959" t="s">
        <v>2801</v>
      </c>
      <c r="D959" t="s">
        <v>2802</v>
      </c>
    </row>
    <row r="960" spans="1:4" x14ac:dyDescent="0.25">
      <c r="A960" t="s">
        <v>1962</v>
      </c>
      <c r="B960" t="s">
        <v>2927</v>
      </c>
      <c r="C960" t="s">
        <v>2895</v>
      </c>
      <c r="D960" t="s">
        <v>2895</v>
      </c>
    </row>
    <row r="961" spans="1:4" x14ac:dyDescent="0.25">
      <c r="A961" t="s">
        <v>1964</v>
      </c>
      <c r="B961" t="s">
        <v>2927</v>
      </c>
      <c r="C961" t="s">
        <v>2895</v>
      </c>
      <c r="D961" t="s">
        <v>2895</v>
      </c>
    </row>
    <row r="962" spans="1:4" x14ac:dyDescent="0.25">
      <c r="A962" t="s">
        <v>1966</v>
      </c>
      <c r="B962" t="s">
        <v>2927</v>
      </c>
      <c r="C962" t="s">
        <v>2803</v>
      </c>
      <c r="D962" t="s">
        <v>2794</v>
      </c>
    </row>
    <row r="963" spans="1:4" x14ac:dyDescent="0.25">
      <c r="A963" t="s">
        <v>1967</v>
      </c>
      <c r="B963" t="s">
        <v>2927</v>
      </c>
      <c r="C963" t="s">
        <v>2803</v>
      </c>
      <c r="D963" t="s">
        <v>2804</v>
      </c>
    </row>
    <row r="964" spans="1:4" x14ac:dyDescent="0.25">
      <c r="A964" t="s">
        <v>923</v>
      </c>
      <c r="B964" t="s">
        <v>2935</v>
      </c>
      <c r="C964" t="s">
        <v>2754</v>
      </c>
      <c r="D964" t="s">
        <v>2753</v>
      </c>
    </row>
    <row r="965" spans="1:4" x14ac:dyDescent="0.25">
      <c r="A965" t="s">
        <v>924</v>
      </c>
      <c r="B965" t="s">
        <v>2935</v>
      </c>
      <c r="C965" t="s">
        <v>2754</v>
      </c>
      <c r="D965" t="s">
        <v>2924</v>
      </c>
    </row>
    <row r="966" spans="1:4" x14ac:dyDescent="0.25">
      <c r="A966" t="s">
        <v>925</v>
      </c>
      <c r="B966" t="s">
        <v>2935</v>
      </c>
      <c r="C966" t="s">
        <v>2754</v>
      </c>
      <c r="D966" t="s">
        <v>2755</v>
      </c>
    </row>
    <row r="967" spans="1:4" x14ac:dyDescent="0.25">
      <c r="A967" t="s">
        <v>926</v>
      </c>
      <c r="B967" t="s">
        <v>2935</v>
      </c>
      <c r="C967" t="s">
        <v>2754</v>
      </c>
      <c r="D967" t="s">
        <v>2756</v>
      </c>
    </row>
    <row r="968" spans="1:4" x14ac:dyDescent="0.25">
      <c r="A968" t="s">
        <v>927</v>
      </c>
      <c r="B968" t="s">
        <v>2935</v>
      </c>
      <c r="C968" t="s">
        <v>2754</v>
      </c>
      <c r="D968" t="s">
        <v>2760</v>
      </c>
    </row>
    <row r="969" spans="1:4" x14ac:dyDescent="0.25">
      <c r="A969" t="s">
        <v>928</v>
      </c>
      <c r="B969" t="s">
        <v>2935</v>
      </c>
      <c r="C969" t="s">
        <v>2754</v>
      </c>
      <c r="D969" t="s">
        <v>2761</v>
      </c>
    </row>
    <row r="970" spans="1:4" x14ac:dyDescent="0.25">
      <c r="A970" t="s">
        <v>929</v>
      </c>
      <c r="B970" t="s">
        <v>2935</v>
      </c>
      <c r="C970" t="s">
        <v>2754</v>
      </c>
      <c r="D970" t="s">
        <v>2757</v>
      </c>
    </row>
    <row r="971" spans="1:4" x14ac:dyDescent="0.25">
      <c r="A971" t="s">
        <v>930</v>
      </c>
      <c r="B971" t="s">
        <v>2935</v>
      </c>
      <c r="C971" t="s">
        <v>2754</v>
      </c>
      <c r="D971" t="s">
        <v>2762</v>
      </c>
    </row>
    <row r="972" spans="1:4" x14ac:dyDescent="0.25">
      <c r="A972" t="s">
        <v>931</v>
      </c>
      <c r="B972" t="s">
        <v>2935</v>
      </c>
      <c r="C972" t="s">
        <v>2754</v>
      </c>
      <c r="D972" t="s">
        <v>2763</v>
      </c>
    </row>
    <row r="973" spans="1:4" x14ac:dyDescent="0.25">
      <c r="A973" t="s">
        <v>932</v>
      </c>
      <c r="B973" t="s">
        <v>2935</v>
      </c>
      <c r="C973" t="s">
        <v>2754</v>
      </c>
      <c r="D973" t="s">
        <v>2755</v>
      </c>
    </row>
    <row r="974" spans="1:4" x14ac:dyDescent="0.25">
      <c r="A974" t="s">
        <v>933</v>
      </c>
      <c r="B974" t="s">
        <v>2935</v>
      </c>
      <c r="C974" t="s">
        <v>2754</v>
      </c>
      <c r="D974" t="s">
        <v>2764</v>
      </c>
    </row>
    <row r="975" spans="1:4" x14ac:dyDescent="0.25">
      <c r="A975" t="s">
        <v>934</v>
      </c>
      <c r="B975" t="s">
        <v>2935</v>
      </c>
      <c r="C975" t="s">
        <v>2754</v>
      </c>
      <c r="D975" t="s">
        <v>2758</v>
      </c>
    </row>
    <row r="976" spans="1:4" x14ac:dyDescent="0.25">
      <c r="A976" t="s">
        <v>935</v>
      </c>
      <c r="B976" t="s">
        <v>2935</v>
      </c>
      <c r="C976" t="s">
        <v>2754</v>
      </c>
      <c r="D976" t="s">
        <v>2766</v>
      </c>
    </row>
    <row r="977" spans="1:4" x14ac:dyDescent="0.25">
      <c r="A977" t="s">
        <v>936</v>
      </c>
      <c r="B977" t="s">
        <v>2935</v>
      </c>
      <c r="C977" t="s">
        <v>2754</v>
      </c>
      <c r="D977" t="s">
        <v>2767</v>
      </c>
    </row>
    <row r="978" spans="1:4" x14ac:dyDescent="0.25">
      <c r="A978" t="s">
        <v>937</v>
      </c>
      <c r="B978" t="s">
        <v>2935</v>
      </c>
      <c r="C978" t="s">
        <v>2754</v>
      </c>
      <c r="D978" t="s">
        <v>2768</v>
      </c>
    </row>
    <row r="979" spans="1:4" x14ac:dyDescent="0.25">
      <c r="A979" t="s">
        <v>938</v>
      </c>
      <c r="B979" t="s">
        <v>2935</v>
      </c>
      <c r="C979" t="s">
        <v>2754</v>
      </c>
      <c r="D979" t="s">
        <v>2769</v>
      </c>
    </row>
    <row r="980" spans="1:4" x14ac:dyDescent="0.25">
      <c r="A980" t="s">
        <v>939</v>
      </c>
      <c r="B980" t="s">
        <v>2935</v>
      </c>
      <c r="C980" t="s">
        <v>2754</v>
      </c>
      <c r="D980" t="s">
        <v>2769</v>
      </c>
    </row>
    <row r="981" spans="1:4" x14ac:dyDescent="0.25">
      <c r="A981" t="s">
        <v>940</v>
      </c>
      <c r="B981" t="s">
        <v>2935</v>
      </c>
      <c r="C981" t="s">
        <v>2754</v>
      </c>
      <c r="D981" t="s">
        <v>2770</v>
      </c>
    </row>
    <row r="982" spans="1:4" x14ac:dyDescent="0.25">
      <c r="A982" t="s">
        <v>941</v>
      </c>
      <c r="B982" t="s">
        <v>2935</v>
      </c>
      <c r="C982" t="s">
        <v>2754</v>
      </c>
      <c r="D982" t="s">
        <v>2770</v>
      </c>
    </row>
    <row r="983" spans="1:4" x14ac:dyDescent="0.25">
      <c r="A983" t="s">
        <v>942</v>
      </c>
      <c r="B983" t="s">
        <v>2935</v>
      </c>
      <c r="C983" t="s">
        <v>2754</v>
      </c>
      <c r="D983" t="s">
        <v>2764</v>
      </c>
    </row>
    <row r="984" spans="1:4" x14ac:dyDescent="0.25">
      <c r="A984" t="s">
        <v>943</v>
      </c>
      <c r="B984" t="s">
        <v>2935</v>
      </c>
      <c r="C984" t="s">
        <v>2771</v>
      </c>
      <c r="D984" t="s">
        <v>2772</v>
      </c>
    </row>
    <row r="985" spans="1:4" x14ac:dyDescent="0.25">
      <c r="A985" t="s">
        <v>944</v>
      </c>
      <c r="B985" t="s">
        <v>2935</v>
      </c>
      <c r="C985" t="s">
        <v>2775</v>
      </c>
      <c r="D985" t="s">
        <v>2780</v>
      </c>
    </row>
    <row r="986" spans="1:4" x14ac:dyDescent="0.25">
      <c r="A986" t="s">
        <v>945</v>
      </c>
      <c r="B986" t="s">
        <v>2935</v>
      </c>
      <c r="C986" t="s">
        <v>2775</v>
      </c>
      <c r="D986" t="s">
        <v>2780</v>
      </c>
    </row>
    <row r="987" spans="1:4" x14ac:dyDescent="0.25">
      <c r="A987" t="s">
        <v>946</v>
      </c>
      <c r="B987" t="s">
        <v>2935</v>
      </c>
      <c r="C987" t="s">
        <v>2775</v>
      </c>
      <c r="D987" t="s">
        <v>2781</v>
      </c>
    </row>
    <row r="988" spans="1:4" x14ac:dyDescent="0.25">
      <c r="A988" t="s">
        <v>947</v>
      </c>
      <c r="B988" t="s">
        <v>2935</v>
      </c>
      <c r="C988" t="s">
        <v>2775</v>
      </c>
      <c r="D988" t="s">
        <v>2936</v>
      </c>
    </row>
    <row r="989" spans="1:4" x14ac:dyDescent="0.25">
      <c r="A989" t="s">
        <v>948</v>
      </c>
      <c r="B989" t="s">
        <v>2935</v>
      </c>
      <c r="C989" t="s">
        <v>2787</v>
      </c>
      <c r="D989" t="s">
        <v>2789</v>
      </c>
    </row>
    <row r="990" spans="1:4" x14ac:dyDescent="0.25">
      <c r="A990" t="s">
        <v>949</v>
      </c>
      <c r="B990" t="s">
        <v>2935</v>
      </c>
      <c r="C990" t="s">
        <v>2787</v>
      </c>
      <c r="D990" t="s">
        <v>2789</v>
      </c>
    </row>
    <row r="991" spans="1:4" x14ac:dyDescent="0.25">
      <c r="A991" t="s">
        <v>1968</v>
      </c>
      <c r="B991" t="s">
        <v>2935</v>
      </c>
      <c r="C991" t="s">
        <v>2794</v>
      </c>
      <c r="D991" t="s">
        <v>2795</v>
      </c>
    </row>
    <row r="992" spans="1:4" x14ac:dyDescent="0.25">
      <c r="A992" t="s">
        <v>1969</v>
      </c>
      <c r="B992" t="s">
        <v>2935</v>
      </c>
      <c r="C992" t="s">
        <v>2796</v>
      </c>
      <c r="D992" t="s">
        <v>2799</v>
      </c>
    </row>
    <row r="993" spans="1:4" x14ac:dyDescent="0.25">
      <c r="A993" t="s">
        <v>1970</v>
      </c>
      <c r="B993" t="s">
        <v>2935</v>
      </c>
      <c r="C993" t="s">
        <v>2797</v>
      </c>
      <c r="D993" t="s">
        <v>2799</v>
      </c>
    </row>
    <row r="994" spans="1:4" x14ac:dyDescent="0.25">
      <c r="A994" t="s">
        <v>1971</v>
      </c>
      <c r="B994" t="s">
        <v>2935</v>
      </c>
      <c r="C994" t="s">
        <v>2798</v>
      </c>
      <c r="D994" t="s">
        <v>2799</v>
      </c>
    </row>
    <row r="995" spans="1:4" x14ac:dyDescent="0.25">
      <c r="A995" t="s">
        <v>1972</v>
      </c>
      <c r="B995" t="s">
        <v>2935</v>
      </c>
      <c r="C995" t="s">
        <v>2796</v>
      </c>
      <c r="D995" t="s">
        <v>2799</v>
      </c>
    </row>
    <row r="996" spans="1:4" x14ac:dyDescent="0.25">
      <c r="A996" t="s">
        <v>1973</v>
      </c>
      <c r="B996" t="s">
        <v>2935</v>
      </c>
      <c r="C996" t="s">
        <v>2797</v>
      </c>
      <c r="D996" t="s">
        <v>2799</v>
      </c>
    </row>
    <row r="997" spans="1:4" x14ac:dyDescent="0.25">
      <c r="A997" t="s">
        <v>1974</v>
      </c>
      <c r="B997" t="s">
        <v>2935</v>
      </c>
      <c r="C997" t="s">
        <v>2798</v>
      </c>
      <c r="D997" t="s">
        <v>2799</v>
      </c>
    </row>
    <row r="998" spans="1:4" x14ac:dyDescent="0.25">
      <c r="A998" t="s">
        <v>1975</v>
      </c>
      <c r="B998" t="s">
        <v>2935</v>
      </c>
      <c r="C998" t="s">
        <v>2801</v>
      </c>
      <c r="D998" t="s">
        <v>2802</v>
      </c>
    </row>
    <row r="999" spans="1:4" x14ac:dyDescent="0.25">
      <c r="A999" t="s">
        <v>1976</v>
      </c>
      <c r="B999" t="s">
        <v>2935</v>
      </c>
      <c r="C999" t="s">
        <v>2803</v>
      </c>
      <c r="D999" t="s">
        <v>2794</v>
      </c>
    </row>
    <row r="1000" spans="1:4" x14ac:dyDescent="0.25">
      <c r="A1000" t="s">
        <v>1977</v>
      </c>
      <c r="B1000" t="s">
        <v>2935</v>
      </c>
      <c r="C1000" t="s">
        <v>2803</v>
      </c>
      <c r="D1000" t="s">
        <v>2804</v>
      </c>
    </row>
    <row r="1001" spans="1:4" x14ac:dyDescent="0.25">
      <c r="A1001" t="s">
        <v>950</v>
      </c>
      <c r="B1001" t="s">
        <v>2937</v>
      </c>
      <c r="C1001" t="s">
        <v>2754</v>
      </c>
      <c r="D1001" t="s">
        <v>2753</v>
      </c>
    </row>
    <row r="1002" spans="1:4" x14ac:dyDescent="0.25">
      <c r="A1002" t="s">
        <v>951</v>
      </c>
      <c r="B1002" t="s">
        <v>2937</v>
      </c>
      <c r="C1002" t="s">
        <v>2754</v>
      </c>
      <c r="D1002" t="s">
        <v>2924</v>
      </c>
    </row>
    <row r="1003" spans="1:4" x14ac:dyDescent="0.25">
      <c r="A1003" t="s">
        <v>952</v>
      </c>
      <c r="B1003" t="s">
        <v>2937</v>
      </c>
      <c r="C1003" t="s">
        <v>2754</v>
      </c>
      <c r="D1003" t="s">
        <v>2755</v>
      </c>
    </row>
    <row r="1004" spans="1:4" x14ac:dyDescent="0.25">
      <c r="A1004" t="s">
        <v>953</v>
      </c>
      <c r="B1004" t="s">
        <v>2937</v>
      </c>
      <c r="C1004" t="s">
        <v>2754</v>
      </c>
      <c r="D1004" t="s">
        <v>2756</v>
      </c>
    </row>
    <row r="1005" spans="1:4" x14ac:dyDescent="0.25">
      <c r="A1005" t="s">
        <v>954</v>
      </c>
      <c r="B1005" t="s">
        <v>2937</v>
      </c>
      <c r="C1005" t="s">
        <v>2754</v>
      </c>
      <c r="D1005" t="s">
        <v>2760</v>
      </c>
    </row>
    <row r="1006" spans="1:4" x14ac:dyDescent="0.25">
      <c r="A1006" t="s">
        <v>955</v>
      </c>
      <c r="B1006" t="s">
        <v>2937</v>
      </c>
      <c r="C1006" t="s">
        <v>2754</v>
      </c>
      <c r="D1006" t="s">
        <v>2761</v>
      </c>
    </row>
    <row r="1007" spans="1:4" x14ac:dyDescent="0.25">
      <c r="A1007" t="s">
        <v>956</v>
      </c>
      <c r="B1007" t="s">
        <v>2937</v>
      </c>
      <c r="C1007" t="s">
        <v>2754</v>
      </c>
      <c r="D1007" t="s">
        <v>2757</v>
      </c>
    </row>
    <row r="1008" spans="1:4" x14ac:dyDescent="0.25">
      <c r="A1008" t="s">
        <v>957</v>
      </c>
      <c r="B1008" t="s">
        <v>2937</v>
      </c>
      <c r="C1008" t="s">
        <v>2754</v>
      </c>
      <c r="D1008" t="s">
        <v>2762</v>
      </c>
    </row>
    <row r="1009" spans="1:4" x14ac:dyDescent="0.25">
      <c r="A1009" t="s">
        <v>958</v>
      </c>
      <c r="B1009" t="s">
        <v>2937</v>
      </c>
      <c r="C1009" t="s">
        <v>2754</v>
      </c>
      <c r="D1009" t="s">
        <v>2763</v>
      </c>
    </row>
    <row r="1010" spans="1:4" x14ac:dyDescent="0.25">
      <c r="A1010" t="s">
        <v>959</v>
      </c>
      <c r="B1010" t="s">
        <v>2937</v>
      </c>
      <c r="C1010" t="s">
        <v>2754</v>
      </c>
      <c r="D1010" t="s">
        <v>2755</v>
      </c>
    </row>
    <row r="1011" spans="1:4" x14ac:dyDescent="0.25">
      <c r="A1011" t="s">
        <v>960</v>
      </c>
      <c r="B1011" t="s">
        <v>2937</v>
      </c>
      <c r="C1011" t="s">
        <v>2754</v>
      </c>
      <c r="D1011" t="s">
        <v>2764</v>
      </c>
    </row>
    <row r="1012" spans="1:4" x14ac:dyDescent="0.25">
      <c r="A1012" t="s">
        <v>961</v>
      </c>
      <c r="B1012" t="s">
        <v>2937</v>
      </c>
      <c r="C1012" t="s">
        <v>2754</v>
      </c>
      <c r="D1012" t="s">
        <v>2758</v>
      </c>
    </row>
    <row r="1013" spans="1:4" x14ac:dyDescent="0.25">
      <c r="A1013" t="s">
        <v>962</v>
      </c>
      <c r="B1013" t="s">
        <v>2937</v>
      </c>
      <c r="C1013" t="s">
        <v>2754</v>
      </c>
      <c r="D1013" t="s">
        <v>2766</v>
      </c>
    </row>
    <row r="1014" spans="1:4" x14ac:dyDescent="0.25">
      <c r="A1014" t="s">
        <v>963</v>
      </c>
      <c r="B1014" t="s">
        <v>2937</v>
      </c>
      <c r="C1014" t="s">
        <v>2754</v>
      </c>
      <c r="D1014" t="s">
        <v>2767</v>
      </c>
    </row>
    <row r="1015" spans="1:4" x14ac:dyDescent="0.25">
      <c r="A1015" t="s">
        <v>964</v>
      </c>
      <c r="B1015" t="s">
        <v>2937</v>
      </c>
      <c r="C1015" t="s">
        <v>2754</v>
      </c>
      <c r="D1015" t="s">
        <v>2768</v>
      </c>
    </row>
    <row r="1016" spans="1:4" x14ac:dyDescent="0.25">
      <c r="A1016" t="s">
        <v>965</v>
      </c>
      <c r="B1016" t="s">
        <v>2937</v>
      </c>
      <c r="C1016" t="s">
        <v>2754</v>
      </c>
      <c r="D1016" t="s">
        <v>2769</v>
      </c>
    </row>
    <row r="1017" spans="1:4" x14ac:dyDescent="0.25">
      <c r="A1017" t="s">
        <v>966</v>
      </c>
      <c r="B1017" t="s">
        <v>2937</v>
      </c>
      <c r="C1017" t="s">
        <v>2754</v>
      </c>
      <c r="D1017" t="s">
        <v>2770</v>
      </c>
    </row>
    <row r="1018" spans="1:4" x14ac:dyDescent="0.25">
      <c r="A1018" t="s">
        <v>967</v>
      </c>
      <c r="B1018" t="s">
        <v>2937</v>
      </c>
      <c r="C1018" t="s">
        <v>2754</v>
      </c>
      <c r="D1018" t="s">
        <v>2770</v>
      </c>
    </row>
    <row r="1019" spans="1:4" x14ac:dyDescent="0.25">
      <c r="A1019" t="s">
        <v>968</v>
      </c>
      <c r="B1019" t="s">
        <v>2937</v>
      </c>
      <c r="C1019" t="s">
        <v>2754</v>
      </c>
      <c r="D1019" t="s">
        <v>2764</v>
      </c>
    </row>
    <row r="1020" spans="1:4" x14ac:dyDescent="0.25">
      <c r="A1020" t="s">
        <v>969</v>
      </c>
      <c r="B1020" t="s">
        <v>2937</v>
      </c>
      <c r="C1020" t="s">
        <v>2775</v>
      </c>
      <c r="D1020" t="s">
        <v>2938</v>
      </c>
    </row>
    <row r="1021" spans="1:4" x14ac:dyDescent="0.25">
      <c r="A1021" t="s">
        <v>970</v>
      </c>
      <c r="B1021" t="s">
        <v>2937</v>
      </c>
      <c r="C1021" t="s">
        <v>2775</v>
      </c>
      <c r="D1021" t="s">
        <v>2939</v>
      </c>
    </row>
    <row r="1022" spans="1:4" x14ac:dyDescent="0.25">
      <c r="A1022" t="s">
        <v>971</v>
      </c>
      <c r="B1022" t="s">
        <v>2937</v>
      </c>
      <c r="C1022" t="s">
        <v>2775</v>
      </c>
      <c r="D1022" t="s">
        <v>2780</v>
      </c>
    </row>
    <row r="1023" spans="1:4" x14ac:dyDescent="0.25">
      <c r="A1023" t="s">
        <v>972</v>
      </c>
      <c r="B1023" t="s">
        <v>2937</v>
      </c>
      <c r="C1023" t="s">
        <v>2775</v>
      </c>
      <c r="D1023" t="s">
        <v>2781</v>
      </c>
    </row>
    <row r="1024" spans="1:4" x14ac:dyDescent="0.25">
      <c r="A1024" t="s">
        <v>973</v>
      </c>
      <c r="B1024" t="s">
        <v>2937</v>
      </c>
      <c r="C1024" t="s">
        <v>2925</v>
      </c>
      <c r="D1024" t="s">
        <v>2940</v>
      </c>
    </row>
    <row r="1025" spans="1:4" x14ac:dyDescent="0.25">
      <c r="A1025" t="s">
        <v>974</v>
      </c>
      <c r="B1025" t="s">
        <v>2937</v>
      </c>
      <c r="C1025" t="s">
        <v>2787</v>
      </c>
      <c r="D1025" t="s">
        <v>2789</v>
      </c>
    </row>
    <row r="1026" spans="1:4" x14ac:dyDescent="0.25">
      <c r="A1026" t="s">
        <v>975</v>
      </c>
      <c r="B1026" t="s">
        <v>2937</v>
      </c>
      <c r="C1026" t="s">
        <v>2787</v>
      </c>
      <c r="D1026" t="s">
        <v>2789</v>
      </c>
    </row>
    <row r="1027" spans="1:4" x14ac:dyDescent="0.25">
      <c r="A1027" t="s">
        <v>1978</v>
      </c>
      <c r="B1027" t="s">
        <v>2937</v>
      </c>
      <c r="C1027" t="s">
        <v>2794</v>
      </c>
      <c r="D1027" t="s">
        <v>2795</v>
      </c>
    </row>
    <row r="1028" spans="1:4" x14ac:dyDescent="0.25">
      <c r="A1028" t="s">
        <v>1979</v>
      </c>
      <c r="B1028" t="s">
        <v>2937</v>
      </c>
      <c r="C1028" t="s">
        <v>2885</v>
      </c>
      <c r="D1028" t="s">
        <v>2941</v>
      </c>
    </row>
    <row r="1029" spans="1:4" x14ac:dyDescent="0.25">
      <c r="A1029" t="s">
        <v>1980</v>
      </c>
      <c r="B1029" t="s">
        <v>2937</v>
      </c>
      <c r="C1029" t="s">
        <v>2885</v>
      </c>
      <c r="D1029" t="s">
        <v>2941</v>
      </c>
    </row>
    <row r="1030" spans="1:4" x14ac:dyDescent="0.25">
      <c r="A1030" t="s">
        <v>1982</v>
      </c>
      <c r="B1030" t="s">
        <v>2937</v>
      </c>
      <c r="C1030" t="s">
        <v>2885</v>
      </c>
      <c r="D1030" t="s">
        <v>2941</v>
      </c>
    </row>
    <row r="1031" spans="1:4" x14ac:dyDescent="0.25">
      <c r="A1031" t="s">
        <v>1984</v>
      </c>
      <c r="B1031" t="s">
        <v>2937</v>
      </c>
      <c r="C1031" t="s">
        <v>2895</v>
      </c>
      <c r="D1031" t="s">
        <v>2895</v>
      </c>
    </row>
    <row r="1032" spans="1:4" x14ac:dyDescent="0.25">
      <c r="A1032" t="s">
        <v>1986</v>
      </c>
      <c r="B1032" t="s">
        <v>2937</v>
      </c>
      <c r="C1032" t="s">
        <v>2895</v>
      </c>
      <c r="D1032" t="s">
        <v>2895</v>
      </c>
    </row>
    <row r="1033" spans="1:4" x14ac:dyDescent="0.25">
      <c r="A1033" t="s">
        <v>1988</v>
      </c>
      <c r="B1033" t="s">
        <v>2937</v>
      </c>
      <c r="C1033" t="s">
        <v>2895</v>
      </c>
      <c r="D1033" t="s">
        <v>2895</v>
      </c>
    </row>
    <row r="1034" spans="1:4" x14ac:dyDescent="0.25">
      <c r="A1034" t="s">
        <v>1990</v>
      </c>
      <c r="B1034" t="s">
        <v>2937</v>
      </c>
      <c r="C1034" t="s">
        <v>2895</v>
      </c>
      <c r="D1034" t="s">
        <v>2895</v>
      </c>
    </row>
    <row r="1035" spans="1:4" x14ac:dyDescent="0.25">
      <c r="A1035" t="s">
        <v>1992</v>
      </c>
      <c r="B1035" t="s">
        <v>2937</v>
      </c>
      <c r="C1035" t="s">
        <v>2796</v>
      </c>
      <c r="D1035" t="s">
        <v>2799</v>
      </c>
    </row>
    <row r="1036" spans="1:4" x14ac:dyDescent="0.25">
      <c r="A1036" t="s">
        <v>1993</v>
      </c>
      <c r="B1036" t="s">
        <v>2937</v>
      </c>
      <c r="C1036" t="s">
        <v>2797</v>
      </c>
      <c r="D1036" t="s">
        <v>2799</v>
      </c>
    </row>
    <row r="1037" spans="1:4" x14ac:dyDescent="0.25">
      <c r="A1037" t="s">
        <v>1994</v>
      </c>
      <c r="B1037" t="s">
        <v>2937</v>
      </c>
      <c r="C1037" t="s">
        <v>2798</v>
      </c>
      <c r="D1037" t="s">
        <v>2799</v>
      </c>
    </row>
    <row r="1038" spans="1:4" x14ac:dyDescent="0.25">
      <c r="A1038" t="s">
        <v>1995</v>
      </c>
      <c r="B1038" t="s">
        <v>2937</v>
      </c>
      <c r="C1038" t="s">
        <v>2796</v>
      </c>
      <c r="D1038" t="s">
        <v>2799</v>
      </c>
    </row>
    <row r="1039" spans="1:4" x14ac:dyDescent="0.25">
      <c r="A1039" t="s">
        <v>1996</v>
      </c>
      <c r="B1039" t="s">
        <v>2937</v>
      </c>
      <c r="C1039" t="s">
        <v>2797</v>
      </c>
      <c r="D1039" t="s">
        <v>2799</v>
      </c>
    </row>
    <row r="1040" spans="1:4" x14ac:dyDescent="0.25">
      <c r="A1040" t="s">
        <v>1997</v>
      </c>
      <c r="B1040" t="s">
        <v>2937</v>
      </c>
      <c r="C1040" t="s">
        <v>2798</v>
      </c>
      <c r="D1040" t="s">
        <v>2799</v>
      </c>
    </row>
    <row r="1041" spans="1:4" x14ac:dyDescent="0.25">
      <c r="A1041" t="s">
        <v>1998</v>
      </c>
      <c r="B1041" t="s">
        <v>2937</v>
      </c>
      <c r="C1041" t="s">
        <v>2801</v>
      </c>
      <c r="D1041" t="s">
        <v>2802</v>
      </c>
    </row>
    <row r="1042" spans="1:4" x14ac:dyDescent="0.25">
      <c r="A1042" t="s">
        <v>1999</v>
      </c>
      <c r="B1042" t="s">
        <v>2937</v>
      </c>
      <c r="C1042" t="s">
        <v>2803</v>
      </c>
      <c r="D1042" t="s">
        <v>2794</v>
      </c>
    </row>
    <row r="1043" spans="1:4" x14ac:dyDescent="0.25">
      <c r="A1043" t="s">
        <v>2000</v>
      </c>
      <c r="B1043" t="s">
        <v>2937</v>
      </c>
      <c r="C1043" t="s">
        <v>2803</v>
      </c>
      <c r="D1043" t="s">
        <v>2804</v>
      </c>
    </row>
    <row r="1044" spans="1:4" x14ac:dyDescent="0.25">
      <c r="A1044" t="s">
        <v>977</v>
      </c>
      <c r="B1044" t="s">
        <v>2942</v>
      </c>
      <c r="C1044" t="s">
        <v>2871</v>
      </c>
      <c r="D1044" t="s">
        <v>2943</v>
      </c>
    </row>
    <row r="1045" spans="1:4" x14ac:dyDescent="0.25">
      <c r="A1045" t="s">
        <v>978</v>
      </c>
      <c r="B1045" t="s">
        <v>2942</v>
      </c>
      <c r="C1045" t="s">
        <v>2754</v>
      </c>
      <c r="D1045" t="s">
        <v>2753</v>
      </c>
    </row>
    <row r="1046" spans="1:4" x14ac:dyDescent="0.25">
      <c r="A1046" t="s">
        <v>979</v>
      </c>
      <c r="B1046" t="s">
        <v>2942</v>
      </c>
      <c r="C1046" t="s">
        <v>2754</v>
      </c>
      <c r="D1046" t="s">
        <v>2755</v>
      </c>
    </row>
    <row r="1047" spans="1:4" x14ac:dyDescent="0.25">
      <c r="A1047" t="s">
        <v>980</v>
      </c>
      <c r="B1047" t="s">
        <v>2942</v>
      </c>
      <c r="C1047" t="s">
        <v>2754</v>
      </c>
      <c r="D1047" t="s">
        <v>2756</v>
      </c>
    </row>
    <row r="1048" spans="1:4" x14ac:dyDescent="0.25">
      <c r="A1048" t="s">
        <v>981</v>
      </c>
      <c r="B1048" t="s">
        <v>2942</v>
      </c>
      <c r="C1048" t="s">
        <v>2754</v>
      </c>
      <c r="D1048" t="s">
        <v>2757</v>
      </c>
    </row>
    <row r="1049" spans="1:4" x14ac:dyDescent="0.25">
      <c r="A1049" t="s">
        <v>982</v>
      </c>
      <c r="B1049" t="s">
        <v>2942</v>
      </c>
      <c r="C1049" t="s">
        <v>2754</v>
      </c>
      <c r="D1049" t="s">
        <v>2758</v>
      </c>
    </row>
    <row r="1050" spans="1:4" x14ac:dyDescent="0.25">
      <c r="A1050" t="s">
        <v>983</v>
      </c>
      <c r="B1050" t="s">
        <v>2942</v>
      </c>
      <c r="C1050" t="s">
        <v>2754</v>
      </c>
      <c r="D1050" t="s">
        <v>2759</v>
      </c>
    </row>
    <row r="1051" spans="1:4" x14ac:dyDescent="0.25">
      <c r="A1051" t="s">
        <v>984</v>
      </c>
      <c r="B1051" t="s">
        <v>2942</v>
      </c>
      <c r="C1051" t="s">
        <v>2754</v>
      </c>
      <c r="D1051" t="s">
        <v>2753</v>
      </c>
    </row>
    <row r="1052" spans="1:4" x14ac:dyDescent="0.25">
      <c r="A1052" t="s">
        <v>985</v>
      </c>
      <c r="B1052" t="s">
        <v>2942</v>
      </c>
      <c r="C1052" t="s">
        <v>2754</v>
      </c>
      <c r="D1052" t="s">
        <v>2755</v>
      </c>
    </row>
    <row r="1053" spans="1:4" x14ac:dyDescent="0.25">
      <c r="A1053" t="s">
        <v>986</v>
      </c>
      <c r="B1053" t="s">
        <v>2942</v>
      </c>
      <c r="C1053" t="s">
        <v>2754</v>
      </c>
      <c r="D1053" t="s">
        <v>2761</v>
      </c>
    </row>
    <row r="1054" spans="1:4" x14ac:dyDescent="0.25">
      <c r="A1054" t="s">
        <v>987</v>
      </c>
      <c r="B1054" t="s">
        <v>2942</v>
      </c>
      <c r="C1054" t="s">
        <v>2754</v>
      </c>
      <c r="D1054" t="s">
        <v>2762</v>
      </c>
    </row>
    <row r="1055" spans="1:4" x14ac:dyDescent="0.25">
      <c r="A1055" t="s">
        <v>988</v>
      </c>
      <c r="B1055" t="s">
        <v>2942</v>
      </c>
      <c r="C1055" t="s">
        <v>2754</v>
      </c>
      <c r="D1055" t="s">
        <v>2755</v>
      </c>
    </row>
    <row r="1056" spans="1:4" x14ac:dyDescent="0.25">
      <c r="A1056" t="s">
        <v>989</v>
      </c>
      <c r="B1056" t="s">
        <v>2942</v>
      </c>
      <c r="C1056" t="s">
        <v>2754</v>
      </c>
      <c r="D1056" t="s">
        <v>2758</v>
      </c>
    </row>
    <row r="1057" spans="1:4" x14ac:dyDescent="0.25">
      <c r="A1057" t="s">
        <v>990</v>
      </c>
      <c r="B1057" t="s">
        <v>2942</v>
      </c>
      <c r="C1057" t="s">
        <v>2754</v>
      </c>
      <c r="D1057" t="s">
        <v>2766</v>
      </c>
    </row>
    <row r="1058" spans="1:4" x14ac:dyDescent="0.25">
      <c r="A1058" t="s">
        <v>991</v>
      </c>
      <c r="B1058" t="s">
        <v>2942</v>
      </c>
      <c r="C1058" t="s">
        <v>2754</v>
      </c>
      <c r="D1058" t="s">
        <v>2767</v>
      </c>
    </row>
    <row r="1059" spans="1:4" x14ac:dyDescent="0.25">
      <c r="A1059" t="s">
        <v>992</v>
      </c>
      <c r="B1059" t="s">
        <v>2942</v>
      </c>
      <c r="C1059" t="s">
        <v>2754</v>
      </c>
      <c r="D1059" t="s">
        <v>2768</v>
      </c>
    </row>
    <row r="1060" spans="1:4" x14ac:dyDescent="0.25">
      <c r="A1060" t="s">
        <v>993</v>
      </c>
      <c r="B1060" t="s">
        <v>2942</v>
      </c>
      <c r="C1060" t="s">
        <v>2754</v>
      </c>
      <c r="D1060" t="s">
        <v>2769</v>
      </c>
    </row>
    <row r="1061" spans="1:4" x14ac:dyDescent="0.25">
      <c r="A1061" t="s">
        <v>994</v>
      </c>
      <c r="B1061" t="s">
        <v>2942</v>
      </c>
      <c r="C1061" t="s">
        <v>2754</v>
      </c>
      <c r="D1061" t="s">
        <v>2770</v>
      </c>
    </row>
    <row r="1062" spans="1:4" x14ac:dyDescent="0.25">
      <c r="A1062" t="s">
        <v>995</v>
      </c>
      <c r="B1062" t="s">
        <v>2942</v>
      </c>
      <c r="C1062" t="s">
        <v>2754</v>
      </c>
      <c r="D1062" t="s">
        <v>2770</v>
      </c>
    </row>
    <row r="1063" spans="1:4" x14ac:dyDescent="0.25">
      <c r="A1063" t="s">
        <v>996</v>
      </c>
      <c r="B1063" t="s">
        <v>2942</v>
      </c>
      <c r="C1063" t="s">
        <v>2754</v>
      </c>
      <c r="D1063" t="s">
        <v>2764</v>
      </c>
    </row>
    <row r="1064" spans="1:4" x14ac:dyDescent="0.25">
      <c r="A1064" t="s">
        <v>997</v>
      </c>
      <c r="B1064" t="s">
        <v>2942</v>
      </c>
      <c r="C1064" t="s">
        <v>2771</v>
      </c>
      <c r="D1064" t="s">
        <v>2773</v>
      </c>
    </row>
    <row r="1065" spans="1:4" x14ac:dyDescent="0.25">
      <c r="A1065" t="s">
        <v>998</v>
      </c>
      <c r="B1065" t="s">
        <v>2942</v>
      </c>
      <c r="C1065" t="s">
        <v>2775</v>
      </c>
      <c r="D1065" t="s">
        <v>2781</v>
      </c>
    </row>
    <row r="1066" spans="1:4" x14ac:dyDescent="0.25">
      <c r="A1066" t="s">
        <v>999</v>
      </c>
      <c r="B1066" t="s">
        <v>2942</v>
      </c>
      <c r="C1066" t="s">
        <v>2775</v>
      </c>
      <c r="D1066" t="s">
        <v>2778</v>
      </c>
    </row>
    <row r="1067" spans="1:4" x14ac:dyDescent="0.25">
      <c r="A1067" t="s">
        <v>1000</v>
      </c>
      <c r="B1067" t="s">
        <v>2942</v>
      </c>
      <c r="C1067" t="s">
        <v>2775</v>
      </c>
      <c r="D1067" t="s">
        <v>2812</v>
      </c>
    </row>
    <row r="1068" spans="1:4" x14ac:dyDescent="0.25">
      <c r="A1068" t="s">
        <v>1001</v>
      </c>
      <c r="B1068" t="s">
        <v>2942</v>
      </c>
      <c r="C1068" t="s">
        <v>2775</v>
      </c>
      <c r="D1068" t="s">
        <v>2780</v>
      </c>
    </row>
    <row r="1069" spans="1:4" x14ac:dyDescent="0.25">
      <c r="A1069" t="s">
        <v>1002</v>
      </c>
      <c r="B1069" t="s">
        <v>2942</v>
      </c>
      <c r="C1069" t="s">
        <v>2775</v>
      </c>
      <c r="D1069" t="s">
        <v>2781</v>
      </c>
    </row>
    <row r="1070" spans="1:4" x14ac:dyDescent="0.25">
      <c r="A1070" t="s">
        <v>1003</v>
      </c>
      <c r="B1070" t="s">
        <v>2942</v>
      </c>
      <c r="C1070" t="s">
        <v>2775</v>
      </c>
      <c r="D1070" t="s">
        <v>2781</v>
      </c>
    </row>
    <row r="1071" spans="1:4" x14ac:dyDescent="0.25">
      <c r="A1071" t="s">
        <v>1004</v>
      </c>
      <c r="B1071" t="s">
        <v>2942</v>
      </c>
      <c r="C1071" t="s">
        <v>2775</v>
      </c>
      <c r="D1071" t="s">
        <v>2781</v>
      </c>
    </row>
    <row r="1072" spans="1:4" x14ac:dyDescent="0.25">
      <c r="A1072" t="s">
        <v>1005</v>
      </c>
      <c r="B1072" t="s">
        <v>2942</v>
      </c>
      <c r="C1072" t="s">
        <v>2775</v>
      </c>
      <c r="D1072" t="s">
        <v>2944</v>
      </c>
    </row>
    <row r="1073" spans="1:4" x14ac:dyDescent="0.25">
      <c r="A1073" t="s">
        <v>1006</v>
      </c>
      <c r="B1073" t="s">
        <v>2942</v>
      </c>
      <c r="C1073" t="s">
        <v>2775</v>
      </c>
      <c r="D1073" t="s">
        <v>2785</v>
      </c>
    </row>
    <row r="1074" spans="1:4" x14ac:dyDescent="0.25">
      <c r="A1074" t="s">
        <v>1007</v>
      </c>
      <c r="B1074" t="s">
        <v>2942</v>
      </c>
      <c r="C1074" t="s">
        <v>2775</v>
      </c>
      <c r="D1074" t="s">
        <v>2784</v>
      </c>
    </row>
    <row r="1075" spans="1:4" x14ac:dyDescent="0.25">
      <c r="A1075" t="s">
        <v>1008</v>
      </c>
      <c r="B1075" t="s">
        <v>2942</v>
      </c>
      <c r="C1075" t="s">
        <v>2787</v>
      </c>
      <c r="D1075" t="s">
        <v>2789</v>
      </c>
    </row>
    <row r="1076" spans="1:4" x14ac:dyDescent="0.25">
      <c r="A1076" t="s">
        <v>1009</v>
      </c>
      <c r="B1076" t="s">
        <v>2942</v>
      </c>
      <c r="C1076" t="s">
        <v>2787</v>
      </c>
      <c r="D1076" t="s">
        <v>2789</v>
      </c>
    </row>
    <row r="1077" spans="1:4" x14ac:dyDescent="0.25">
      <c r="A1077" t="s">
        <v>1010</v>
      </c>
      <c r="B1077" t="s">
        <v>2942</v>
      </c>
      <c r="C1077" t="s">
        <v>2787</v>
      </c>
      <c r="D1077" t="s">
        <v>2789</v>
      </c>
    </row>
    <row r="1078" spans="1:4" x14ac:dyDescent="0.25">
      <c r="A1078" t="s">
        <v>1011</v>
      </c>
      <c r="B1078" t="s">
        <v>2942</v>
      </c>
      <c r="C1078" t="s">
        <v>2787</v>
      </c>
      <c r="D1078" t="s">
        <v>2789</v>
      </c>
    </row>
    <row r="1079" spans="1:4" x14ac:dyDescent="0.25">
      <c r="A1079" t="s">
        <v>1012</v>
      </c>
      <c r="B1079" t="s">
        <v>2942</v>
      </c>
      <c r="C1079" t="s">
        <v>2787</v>
      </c>
      <c r="D1079" t="s">
        <v>2790</v>
      </c>
    </row>
    <row r="1080" spans="1:4" x14ac:dyDescent="0.25">
      <c r="A1080" t="s">
        <v>1013</v>
      </c>
      <c r="B1080" t="s">
        <v>2942</v>
      </c>
      <c r="C1080" t="s">
        <v>2787</v>
      </c>
      <c r="D1080" t="s">
        <v>2791</v>
      </c>
    </row>
    <row r="1081" spans="1:4" x14ac:dyDescent="0.25">
      <c r="A1081" t="s">
        <v>1014</v>
      </c>
      <c r="B1081" t="s">
        <v>2942</v>
      </c>
      <c r="C1081" t="s">
        <v>2787</v>
      </c>
      <c r="D1081" t="s">
        <v>2792</v>
      </c>
    </row>
    <row r="1082" spans="1:4" x14ac:dyDescent="0.25">
      <c r="A1082" t="s">
        <v>1015</v>
      </c>
      <c r="B1082" t="s">
        <v>2942</v>
      </c>
      <c r="C1082" t="s">
        <v>2787</v>
      </c>
      <c r="D1082" t="s">
        <v>2793</v>
      </c>
    </row>
    <row r="1083" spans="1:4" x14ac:dyDescent="0.25">
      <c r="A1083" t="s">
        <v>2001</v>
      </c>
      <c r="B1083" t="s">
        <v>2942</v>
      </c>
      <c r="C1083" t="s">
        <v>2794</v>
      </c>
      <c r="D1083" t="s">
        <v>2795</v>
      </c>
    </row>
    <row r="1084" spans="1:4" x14ac:dyDescent="0.25">
      <c r="A1084" t="s">
        <v>2002</v>
      </c>
      <c r="B1084" t="s">
        <v>2942</v>
      </c>
      <c r="C1084" t="s">
        <v>2797</v>
      </c>
      <c r="D1084" t="s">
        <v>2788</v>
      </c>
    </row>
    <row r="1085" spans="1:4" x14ac:dyDescent="0.25">
      <c r="A1085" t="s">
        <v>2003</v>
      </c>
      <c r="B1085" t="s">
        <v>2942</v>
      </c>
      <c r="C1085" t="s">
        <v>2796</v>
      </c>
      <c r="D1085" t="s">
        <v>2799</v>
      </c>
    </row>
    <row r="1086" spans="1:4" x14ac:dyDescent="0.25">
      <c r="A1086" t="s">
        <v>2004</v>
      </c>
      <c r="B1086" t="s">
        <v>2942</v>
      </c>
      <c r="C1086" t="s">
        <v>2796</v>
      </c>
      <c r="D1086" t="s">
        <v>2799</v>
      </c>
    </row>
    <row r="1087" spans="1:4" x14ac:dyDescent="0.25">
      <c r="A1087" t="s">
        <v>2005</v>
      </c>
      <c r="B1087" t="s">
        <v>2942</v>
      </c>
      <c r="C1087" t="s">
        <v>2797</v>
      </c>
      <c r="D1087" t="s">
        <v>2799</v>
      </c>
    </row>
    <row r="1088" spans="1:4" x14ac:dyDescent="0.25">
      <c r="A1088" t="s">
        <v>2006</v>
      </c>
      <c r="B1088" t="s">
        <v>2942</v>
      </c>
      <c r="C1088" t="s">
        <v>2797</v>
      </c>
      <c r="D1088" t="s">
        <v>2799</v>
      </c>
    </row>
    <row r="1089" spans="1:4" x14ac:dyDescent="0.25">
      <c r="A1089" t="s">
        <v>2007</v>
      </c>
      <c r="B1089" t="s">
        <v>2942</v>
      </c>
      <c r="C1089" t="s">
        <v>2798</v>
      </c>
      <c r="D1089" t="s">
        <v>2799</v>
      </c>
    </row>
    <row r="1090" spans="1:4" x14ac:dyDescent="0.25">
      <c r="A1090" t="s">
        <v>2008</v>
      </c>
      <c r="B1090" t="s">
        <v>2942</v>
      </c>
      <c r="C1090" t="s">
        <v>2796</v>
      </c>
      <c r="D1090" t="s">
        <v>2799</v>
      </c>
    </row>
    <row r="1091" spans="1:4" x14ac:dyDescent="0.25">
      <c r="A1091" t="s">
        <v>2009</v>
      </c>
      <c r="B1091" t="s">
        <v>2942</v>
      </c>
      <c r="C1091" t="s">
        <v>2797</v>
      </c>
      <c r="D1091" t="s">
        <v>2799</v>
      </c>
    </row>
    <row r="1092" spans="1:4" x14ac:dyDescent="0.25">
      <c r="A1092" t="s">
        <v>2010</v>
      </c>
      <c r="B1092" t="s">
        <v>2942</v>
      </c>
      <c r="C1092" t="s">
        <v>2798</v>
      </c>
      <c r="D1092" t="s">
        <v>2799</v>
      </c>
    </row>
    <row r="1093" spans="1:4" x14ac:dyDescent="0.25">
      <c r="A1093" t="s">
        <v>2011</v>
      </c>
      <c r="B1093" t="s">
        <v>2942</v>
      </c>
      <c r="C1093" t="s">
        <v>2796</v>
      </c>
      <c r="D1093" t="s">
        <v>2799</v>
      </c>
    </row>
    <row r="1094" spans="1:4" x14ac:dyDescent="0.25">
      <c r="A1094" t="s">
        <v>2012</v>
      </c>
      <c r="B1094" t="s">
        <v>2942</v>
      </c>
      <c r="C1094" t="s">
        <v>2797</v>
      </c>
      <c r="D1094" t="s">
        <v>2799</v>
      </c>
    </row>
    <row r="1095" spans="1:4" x14ac:dyDescent="0.25">
      <c r="A1095" t="s">
        <v>2013</v>
      </c>
      <c r="B1095" t="s">
        <v>2942</v>
      </c>
      <c r="C1095" t="s">
        <v>2798</v>
      </c>
      <c r="D1095" t="s">
        <v>2799</v>
      </c>
    </row>
    <row r="1096" spans="1:4" x14ac:dyDescent="0.25">
      <c r="A1096" t="s">
        <v>2014</v>
      </c>
      <c r="B1096" t="s">
        <v>2942</v>
      </c>
      <c r="C1096" t="s">
        <v>2796</v>
      </c>
      <c r="D1096" t="s">
        <v>2799</v>
      </c>
    </row>
    <row r="1097" spans="1:4" x14ac:dyDescent="0.25">
      <c r="A1097" t="s">
        <v>2015</v>
      </c>
      <c r="B1097" t="s">
        <v>2942</v>
      </c>
      <c r="C1097" t="s">
        <v>2797</v>
      </c>
      <c r="D1097" t="s">
        <v>2799</v>
      </c>
    </row>
    <row r="1098" spans="1:4" x14ac:dyDescent="0.25">
      <c r="A1098" t="s">
        <v>2016</v>
      </c>
      <c r="B1098" t="s">
        <v>2942</v>
      </c>
      <c r="C1098" t="s">
        <v>2798</v>
      </c>
      <c r="D1098" t="s">
        <v>2799</v>
      </c>
    </row>
    <row r="1099" spans="1:4" x14ac:dyDescent="0.25">
      <c r="A1099" t="s">
        <v>2017</v>
      </c>
      <c r="B1099" t="s">
        <v>2942</v>
      </c>
      <c r="C1099" t="s">
        <v>2796</v>
      </c>
      <c r="D1099" t="s">
        <v>2799</v>
      </c>
    </row>
    <row r="1100" spans="1:4" x14ac:dyDescent="0.25">
      <c r="A1100" t="s">
        <v>2018</v>
      </c>
      <c r="B1100" t="s">
        <v>2942</v>
      </c>
      <c r="C1100" t="s">
        <v>2797</v>
      </c>
      <c r="D1100" t="s">
        <v>2799</v>
      </c>
    </row>
    <row r="1101" spans="1:4" x14ac:dyDescent="0.25">
      <c r="A1101" t="s">
        <v>2019</v>
      </c>
      <c r="B1101" t="s">
        <v>2942</v>
      </c>
      <c r="C1101" t="s">
        <v>2798</v>
      </c>
      <c r="D1101" t="s">
        <v>2799</v>
      </c>
    </row>
    <row r="1102" spans="1:4" x14ac:dyDescent="0.25">
      <c r="A1102" t="s">
        <v>2020</v>
      </c>
      <c r="B1102" t="s">
        <v>2942</v>
      </c>
      <c r="C1102" t="s">
        <v>2796</v>
      </c>
      <c r="D1102" t="s">
        <v>2799</v>
      </c>
    </row>
    <row r="1103" spans="1:4" x14ac:dyDescent="0.25">
      <c r="A1103" t="s">
        <v>2021</v>
      </c>
      <c r="B1103" t="s">
        <v>2942</v>
      </c>
      <c r="C1103" t="s">
        <v>2797</v>
      </c>
      <c r="D1103" t="s">
        <v>2799</v>
      </c>
    </row>
    <row r="1104" spans="1:4" x14ac:dyDescent="0.25">
      <c r="A1104" t="s">
        <v>2022</v>
      </c>
      <c r="B1104" t="s">
        <v>2942</v>
      </c>
      <c r="C1104" t="s">
        <v>2798</v>
      </c>
      <c r="D1104" t="s">
        <v>2799</v>
      </c>
    </row>
    <row r="1105" spans="1:4" x14ac:dyDescent="0.25">
      <c r="A1105" t="s">
        <v>2023</v>
      </c>
      <c r="B1105" t="s">
        <v>2942</v>
      </c>
      <c r="C1105" t="s">
        <v>2796</v>
      </c>
      <c r="D1105" t="s">
        <v>2799</v>
      </c>
    </row>
    <row r="1106" spans="1:4" x14ac:dyDescent="0.25">
      <c r="A1106" t="s">
        <v>2024</v>
      </c>
      <c r="B1106" t="s">
        <v>2942</v>
      </c>
      <c r="C1106" t="s">
        <v>2797</v>
      </c>
      <c r="D1106" t="s">
        <v>2799</v>
      </c>
    </row>
    <row r="1107" spans="1:4" x14ac:dyDescent="0.25">
      <c r="A1107" t="s">
        <v>2025</v>
      </c>
      <c r="B1107" t="s">
        <v>2942</v>
      </c>
      <c r="C1107" t="s">
        <v>2798</v>
      </c>
      <c r="D1107" t="s">
        <v>2799</v>
      </c>
    </row>
    <row r="1108" spans="1:4" x14ac:dyDescent="0.25">
      <c r="A1108" t="s">
        <v>2026</v>
      </c>
      <c r="B1108" t="s">
        <v>2942</v>
      </c>
      <c r="C1108" t="s">
        <v>2796</v>
      </c>
      <c r="D1108" t="s">
        <v>2799</v>
      </c>
    </row>
    <row r="1109" spans="1:4" x14ac:dyDescent="0.25">
      <c r="A1109" t="s">
        <v>2028</v>
      </c>
      <c r="B1109" t="s">
        <v>2942</v>
      </c>
      <c r="C1109" t="s">
        <v>2801</v>
      </c>
      <c r="D1109" t="s">
        <v>2802</v>
      </c>
    </row>
    <row r="1110" spans="1:4" x14ac:dyDescent="0.25">
      <c r="A1110" t="s">
        <v>2029</v>
      </c>
      <c r="B1110" t="s">
        <v>2942</v>
      </c>
      <c r="C1110" t="s">
        <v>2913</v>
      </c>
      <c r="D1110" t="s">
        <v>2913</v>
      </c>
    </row>
    <row r="1111" spans="1:4" x14ac:dyDescent="0.25">
      <c r="A1111" t="s">
        <v>2030</v>
      </c>
      <c r="B1111" t="s">
        <v>2942</v>
      </c>
      <c r="C1111" t="s">
        <v>2803</v>
      </c>
      <c r="D1111" t="s">
        <v>2794</v>
      </c>
    </row>
    <row r="1112" spans="1:4" x14ac:dyDescent="0.25">
      <c r="A1112" t="s">
        <v>2031</v>
      </c>
      <c r="B1112" t="s">
        <v>2942</v>
      </c>
      <c r="C1112" t="s">
        <v>2803</v>
      </c>
      <c r="D1112" t="s">
        <v>2804</v>
      </c>
    </row>
    <row r="1113" spans="1:4" x14ac:dyDescent="0.25">
      <c r="A1113" t="s">
        <v>1017</v>
      </c>
      <c r="B1113" t="s">
        <v>2945</v>
      </c>
      <c r="C1113" t="s">
        <v>2754</v>
      </c>
      <c r="D1113" t="s">
        <v>2753</v>
      </c>
    </row>
    <row r="1114" spans="1:4" x14ac:dyDescent="0.25">
      <c r="A1114" t="s">
        <v>1018</v>
      </c>
      <c r="B1114" t="s">
        <v>2945</v>
      </c>
      <c r="C1114" t="s">
        <v>2754</v>
      </c>
      <c r="D1114" t="s">
        <v>2755</v>
      </c>
    </row>
    <row r="1115" spans="1:4" x14ac:dyDescent="0.25">
      <c r="A1115" t="s">
        <v>1019</v>
      </c>
      <c r="B1115" t="s">
        <v>2945</v>
      </c>
      <c r="C1115" t="s">
        <v>2754</v>
      </c>
      <c r="D1115" t="s">
        <v>2756</v>
      </c>
    </row>
    <row r="1116" spans="1:4" x14ac:dyDescent="0.25">
      <c r="A1116" t="s">
        <v>1020</v>
      </c>
      <c r="B1116" t="s">
        <v>2945</v>
      </c>
      <c r="C1116" t="s">
        <v>2754</v>
      </c>
      <c r="D1116" t="s">
        <v>2761</v>
      </c>
    </row>
    <row r="1117" spans="1:4" x14ac:dyDescent="0.25">
      <c r="A1117" t="s">
        <v>1021</v>
      </c>
      <c r="B1117" t="s">
        <v>2945</v>
      </c>
      <c r="C1117" t="s">
        <v>2754</v>
      </c>
      <c r="D1117" t="s">
        <v>2757</v>
      </c>
    </row>
    <row r="1118" spans="1:4" x14ac:dyDescent="0.25">
      <c r="A1118" t="s">
        <v>1022</v>
      </c>
      <c r="B1118" t="s">
        <v>2945</v>
      </c>
      <c r="C1118" t="s">
        <v>2754</v>
      </c>
      <c r="D1118" t="s">
        <v>2755</v>
      </c>
    </row>
    <row r="1119" spans="1:4" x14ac:dyDescent="0.25">
      <c r="A1119" t="s">
        <v>1023</v>
      </c>
      <c r="B1119" t="s">
        <v>2945</v>
      </c>
      <c r="C1119" t="s">
        <v>2754</v>
      </c>
      <c r="D1119" t="s">
        <v>2764</v>
      </c>
    </row>
    <row r="1120" spans="1:4" x14ac:dyDescent="0.25">
      <c r="A1120" t="s">
        <v>1024</v>
      </c>
      <c r="B1120" t="s">
        <v>2945</v>
      </c>
      <c r="C1120" t="s">
        <v>2754</v>
      </c>
      <c r="D1120" t="s">
        <v>2766</v>
      </c>
    </row>
    <row r="1121" spans="1:4" x14ac:dyDescent="0.25">
      <c r="A1121" t="s">
        <v>1025</v>
      </c>
      <c r="B1121" t="s">
        <v>2945</v>
      </c>
      <c r="C1121" t="s">
        <v>2754</v>
      </c>
      <c r="D1121" t="s">
        <v>2767</v>
      </c>
    </row>
    <row r="1122" spans="1:4" x14ac:dyDescent="0.25">
      <c r="A1122" t="s">
        <v>1026</v>
      </c>
      <c r="B1122" t="s">
        <v>2945</v>
      </c>
      <c r="C1122" t="s">
        <v>2754</v>
      </c>
      <c r="D1122" t="s">
        <v>2768</v>
      </c>
    </row>
    <row r="1123" spans="1:4" x14ac:dyDescent="0.25">
      <c r="A1123" t="s">
        <v>1027</v>
      </c>
      <c r="B1123" t="s">
        <v>2945</v>
      </c>
      <c r="C1123" t="s">
        <v>2754</v>
      </c>
      <c r="D1123" t="s">
        <v>2769</v>
      </c>
    </row>
    <row r="1124" spans="1:4" x14ac:dyDescent="0.25">
      <c r="A1124" t="s">
        <v>1028</v>
      </c>
      <c r="B1124" t="s">
        <v>2945</v>
      </c>
      <c r="C1124" t="s">
        <v>2754</v>
      </c>
      <c r="D1124" t="s">
        <v>2770</v>
      </c>
    </row>
    <row r="1125" spans="1:4" x14ac:dyDescent="0.25">
      <c r="A1125" t="s">
        <v>1029</v>
      </c>
      <c r="B1125" t="s">
        <v>2945</v>
      </c>
      <c r="C1125" t="s">
        <v>2754</v>
      </c>
      <c r="D1125" t="s">
        <v>2770</v>
      </c>
    </row>
    <row r="1126" spans="1:4" x14ac:dyDescent="0.25">
      <c r="A1126" t="s">
        <v>1030</v>
      </c>
      <c r="B1126" t="s">
        <v>2945</v>
      </c>
      <c r="C1126" t="s">
        <v>2754</v>
      </c>
      <c r="D1126" t="s">
        <v>2764</v>
      </c>
    </row>
    <row r="1127" spans="1:4" x14ac:dyDescent="0.25">
      <c r="A1127" t="s">
        <v>1031</v>
      </c>
      <c r="B1127" t="s">
        <v>2945</v>
      </c>
      <c r="C1127" t="s">
        <v>2775</v>
      </c>
      <c r="D1127" t="s">
        <v>2780</v>
      </c>
    </row>
    <row r="1128" spans="1:4" x14ac:dyDescent="0.25">
      <c r="A1128" t="s">
        <v>1032</v>
      </c>
      <c r="B1128" t="s">
        <v>2945</v>
      </c>
      <c r="C1128" t="s">
        <v>2787</v>
      </c>
      <c r="D1128" t="s">
        <v>2789</v>
      </c>
    </row>
    <row r="1129" spans="1:4" x14ac:dyDescent="0.25">
      <c r="A1129" t="s">
        <v>1033</v>
      </c>
      <c r="B1129" t="s">
        <v>2945</v>
      </c>
      <c r="C1129" t="s">
        <v>2787</v>
      </c>
      <c r="D1129" t="s">
        <v>2789</v>
      </c>
    </row>
    <row r="1130" spans="1:4" x14ac:dyDescent="0.25">
      <c r="A1130" t="s">
        <v>2032</v>
      </c>
      <c r="B1130" t="s">
        <v>2945</v>
      </c>
      <c r="C1130" t="s">
        <v>2794</v>
      </c>
      <c r="D1130" t="s">
        <v>2795</v>
      </c>
    </row>
    <row r="1131" spans="1:4" x14ac:dyDescent="0.25">
      <c r="A1131" t="s">
        <v>2033</v>
      </c>
      <c r="B1131" t="s">
        <v>2945</v>
      </c>
      <c r="C1131" t="s">
        <v>2796</v>
      </c>
      <c r="D1131" t="s">
        <v>2799</v>
      </c>
    </row>
    <row r="1132" spans="1:4" x14ac:dyDescent="0.25">
      <c r="A1132" t="s">
        <v>2034</v>
      </c>
      <c r="B1132" t="s">
        <v>2945</v>
      </c>
      <c r="C1132" t="s">
        <v>2797</v>
      </c>
      <c r="D1132" t="s">
        <v>2799</v>
      </c>
    </row>
    <row r="1133" spans="1:4" x14ac:dyDescent="0.25">
      <c r="A1133" t="s">
        <v>2035</v>
      </c>
      <c r="B1133" t="s">
        <v>2945</v>
      </c>
      <c r="C1133" t="s">
        <v>2798</v>
      </c>
      <c r="D1133" t="s">
        <v>2799</v>
      </c>
    </row>
    <row r="1134" spans="1:4" x14ac:dyDescent="0.25">
      <c r="A1134" t="s">
        <v>2036</v>
      </c>
      <c r="B1134" t="s">
        <v>2945</v>
      </c>
      <c r="C1134" t="s">
        <v>2796</v>
      </c>
      <c r="D1134" t="s">
        <v>2799</v>
      </c>
    </row>
    <row r="1135" spans="1:4" x14ac:dyDescent="0.25">
      <c r="A1135" t="s">
        <v>2037</v>
      </c>
      <c r="B1135" t="s">
        <v>2945</v>
      </c>
      <c r="C1135" t="s">
        <v>2797</v>
      </c>
      <c r="D1135" t="s">
        <v>2799</v>
      </c>
    </row>
    <row r="1136" spans="1:4" x14ac:dyDescent="0.25">
      <c r="A1136" t="s">
        <v>2038</v>
      </c>
      <c r="B1136" t="s">
        <v>2945</v>
      </c>
      <c r="C1136" t="s">
        <v>2798</v>
      </c>
      <c r="D1136" t="s">
        <v>2799</v>
      </c>
    </row>
    <row r="1137" spans="1:4" x14ac:dyDescent="0.25">
      <c r="A1137" t="s">
        <v>2039</v>
      </c>
      <c r="B1137" t="s">
        <v>2945</v>
      </c>
      <c r="C1137" t="s">
        <v>2801</v>
      </c>
      <c r="D1137" t="s">
        <v>2802</v>
      </c>
    </row>
    <row r="1138" spans="1:4" x14ac:dyDescent="0.25">
      <c r="A1138" t="s">
        <v>2040</v>
      </c>
      <c r="B1138" t="s">
        <v>2945</v>
      </c>
      <c r="C1138" t="s">
        <v>2803</v>
      </c>
      <c r="D1138" t="s">
        <v>2794</v>
      </c>
    </row>
    <row r="1139" spans="1:4" x14ac:dyDescent="0.25">
      <c r="A1139" t="s">
        <v>2041</v>
      </c>
      <c r="B1139" t="s">
        <v>2945</v>
      </c>
      <c r="C1139" t="s">
        <v>2803</v>
      </c>
      <c r="D1139" t="s">
        <v>2804</v>
      </c>
    </row>
    <row r="1140" spans="1:4" x14ac:dyDescent="0.25">
      <c r="A1140" t="s">
        <v>1035</v>
      </c>
      <c r="B1140" t="s">
        <v>2946</v>
      </c>
      <c r="C1140" t="s">
        <v>2751</v>
      </c>
      <c r="D1140" t="s">
        <v>2947</v>
      </c>
    </row>
    <row r="1141" spans="1:4" x14ac:dyDescent="0.25">
      <c r="A1141" t="s">
        <v>1036</v>
      </c>
      <c r="B1141" t="s">
        <v>2946</v>
      </c>
      <c r="C1141" t="s">
        <v>2751</v>
      </c>
      <c r="D1141" t="s">
        <v>2832</v>
      </c>
    </row>
    <row r="1142" spans="1:4" x14ac:dyDescent="0.25">
      <c r="A1142" t="s">
        <v>1037</v>
      </c>
      <c r="B1142" t="s">
        <v>2946</v>
      </c>
      <c r="C1142" t="s">
        <v>2823</v>
      </c>
      <c r="D1142" t="s">
        <v>2948</v>
      </c>
    </row>
    <row r="1143" spans="1:4" x14ac:dyDescent="0.25">
      <c r="A1143" t="s">
        <v>1038</v>
      </c>
      <c r="B1143" t="s">
        <v>2946</v>
      </c>
      <c r="C1143" t="s">
        <v>2751</v>
      </c>
      <c r="D1143" t="s">
        <v>2949</v>
      </c>
    </row>
    <row r="1144" spans="1:4" x14ac:dyDescent="0.25">
      <c r="A1144" t="s">
        <v>1039</v>
      </c>
      <c r="B1144" t="s">
        <v>2946</v>
      </c>
      <c r="C1144" t="s">
        <v>2754</v>
      </c>
      <c r="D1144" t="s">
        <v>2753</v>
      </c>
    </row>
    <row r="1145" spans="1:4" x14ac:dyDescent="0.25">
      <c r="A1145" t="s">
        <v>1040</v>
      </c>
      <c r="B1145" t="s">
        <v>2946</v>
      </c>
      <c r="C1145" t="s">
        <v>2754</v>
      </c>
      <c r="D1145" t="s">
        <v>2755</v>
      </c>
    </row>
    <row r="1146" spans="1:4" x14ac:dyDescent="0.25">
      <c r="A1146" t="s">
        <v>1041</v>
      </c>
      <c r="B1146" t="s">
        <v>2946</v>
      </c>
      <c r="C1146" t="s">
        <v>2754</v>
      </c>
      <c r="D1146" t="s">
        <v>2756</v>
      </c>
    </row>
    <row r="1147" spans="1:4" x14ac:dyDescent="0.25">
      <c r="A1147" t="s">
        <v>1042</v>
      </c>
      <c r="B1147" t="s">
        <v>2946</v>
      </c>
      <c r="C1147" t="s">
        <v>2754</v>
      </c>
      <c r="D1147" t="s">
        <v>2760</v>
      </c>
    </row>
    <row r="1148" spans="1:4" x14ac:dyDescent="0.25">
      <c r="A1148" t="s">
        <v>1043</v>
      </c>
      <c r="B1148" t="s">
        <v>2946</v>
      </c>
      <c r="C1148" t="s">
        <v>2754</v>
      </c>
      <c r="D1148" t="s">
        <v>2761</v>
      </c>
    </row>
    <row r="1149" spans="1:4" x14ac:dyDescent="0.25">
      <c r="A1149" t="s">
        <v>1044</v>
      </c>
      <c r="B1149" t="s">
        <v>2946</v>
      </c>
      <c r="C1149" t="s">
        <v>2754</v>
      </c>
      <c r="D1149" t="s">
        <v>2757</v>
      </c>
    </row>
    <row r="1150" spans="1:4" x14ac:dyDescent="0.25">
      <c r="A1150" t="s">
        <v>1045</v>
      </c>
      <c r="B1150" t="s">
        <v>2946</v>
      </c>
      <c r="C1150" t="s">
        <v>2754</v>
      </c>
      <c r="D1150" t="s">
        <v>2763</v>
      </c>
    </row>
    <row r="1151" spans="1:4" x14ac:dyDescent="0.25">
      <c r="A1151" t="s">
        <v>1046</v>
      </c>
      <c r="B1151" t="s">
        <v>2946</v>
      </c>
      <c r="C1151" t="s">
        <v>2754</v>
      </c>
      <c r="D1151" t="s">
        <v>2755</v>
      </c>
    </row>
    <row r="1152" spans="1:4" x14ac:dyDescent="0.25">
      <c r="A1152" t="s">
        <v>1047</v>
      </c>
      <c r="B1152" t="s">
        <v>2946</v>
      </c>
      <c r="C1152" t="s">
        <v>2754</v>
      </c>
      <c r="D1152" t="s">
        <v>2764</v>
      </c>
    </row>
    <row r="1153" spans="1:4" x14ac:dyDescent="0.25">
      <c r="A1153" t="s">
        <v>1048</v>
      </c>
      <c r="B1153" t="s">
        <v>2946</v>
      </c>
      <c r="C1153" t="s">
        <v>2754</v>
      </c>
      <c r="D1153" t="s">
        <v>2758</v>
      </c>
    </row>
    <row r="1154" spans="1:4" x14ac:dyDescent="0.25">
      <c r="A1154" t="s">
        <v>1049</v>
      </c>
      <c r="B1154" t="s">
        <v>2946</v>
      </c>
      <c r="C1154" t="s">
        <v>2754</v>
      </c>
      <c r="D1154" t="s">
        <v>2766</v>
      </c>
    </row>
    <row r="1155" spans="1:4" x14ac:dyDescent="0.25">
      <c r="A1155" t="s">
        <v>1050</v>
      </c>
      <c r="B1155" t="s">
        <v>2946</v>
      </c>
      <c r="C1155" t="s">
        <v>2754</v>
      </c>
      <c r="D1155" t="s">
        <v>2767</v>
      </c>
    </row>
    <row r="1156" spans="1:4" x14ac:dyDescent="0.25">
      <c r="A1156" t="s">
        <v>1051</v>
      </c>
      <c r="B1156" t="s">
        <v>2946</v>
      </c>
      <c r="C1156" t="s">
        <v>2754</v>
      </c>
      <c r="D1156" t="s">
        <v>2768</v>
      </c>
    </row>
    <row r="1157" spans="1:4" x14ac:dyDescent="0.25">
      <c r="A1157" t="s">
        <v>1052</v>
      </c>
      <c r="B1157" t="s">
        <v>2946</v>
      </c>
      <c r="C1157" t="s">
        <v>2754</v>
      </c>
      <c r="D1157" t="s">
        <v>2769</v>
      </c>
    </row>
    <row r="1158" spans="1:4" x14ac:dyDescent="0.25">
      <c r="A1158" t="s">
        <v>1053</v>
      </c>
      <c r="B1158" t="s">
        <v>2946</v>
      </c>
      <c r="C1158" t="s">
        <v>2754</v>
      </c>
      <c r="D1158" t="s">
        <v>2770</v>
      </c>
    </row>
    <row r="1159" spans="1:4" x14ac:dyDescent="0.25">
      <c r="A1159" t="s">
        <v>1054</v>
      </c>
      <c r="B1159" t="s">
        <v>2946</v>
      </c>
      <c r="C1159" t="s">
        <v>2754</v>
      </c>
      <c r="D1159" t="s">
        <v>2770</v>
      </c>
    </row>
    <row r="1160" spans="1:4" x14ac:dyDescent="0.25">
      <c r="A1160" t="s">
        <v>1055</v>
      </c>
      <c r="B1160" t="s">
        <v>2946</v>
      </c>
      <c r="C1160" t="s">
        <v>2754</v>
      </c>
      <c r="D1160" t="s">
        <v>2764</v>
      </c>
    </row>
    <row r="1161" spans="1:4" x14ac:dyDescent="0.25">
      <c r="A1161" t="s">
        <v>1056</v>
      </c>
      <c r="B1161" t="s">
        <v>2946</v>
      </c>
      <c r="C1161" t="s">
        <v>2771</v>
      </c>
      <c r="D1161" t="s">
        <v>2772</v>
      </c>
    </row>
    <row r="1162" spans="1:4" x14ac:dyDescent="0.25">
      <c r="A1162" t="s">
        <v>1057</v>
      </c>
      <c r="B1162" t="s">
        <v>2946</v>
      </c>
      <c r="C1162" t="s">
        <v>2771</v>
      </c>
      <c r="D1162" t="s">
        <v>2826</v>
      </c>
    </row>
    <row r="1163" spans="1:4" x14ac:dyDescent="0.25">
      <c r="A1163" t="s">
        <v>1058</v>
      </c>
      <c r="B1163" t="s">
        <v>2946</v>
      </c>
      <c r="C1163" t="s">
        <v>2771</v>
      </c>
      <c r="D1163" t="s">
        <v>2773</v>
      </c>
    </row>
    <row r="1164" spans="1:4" x14ac:dyDescent="0.25">
      <c r="A1164" t="s">
        <v>1059</v>
      </c>
      <c r="B1164" t="s">
        <v>2946</v>
      </c>
      <c r="C1164" t="s">
        <v>2771</v>
      </c>
      <c r="D1164" t="s">
        <v>2808</v>
      </c>
    </row>
    <row r="1165" spans="1:4" x14ac:dyDescent="0.25">
      <c r="A1165" t="s">
        <v>1060</v>
      </c>
      <c r="B1165" t="s">
        <v>2946</v>
      </c>
      <c r="C1165" t="s">
        <v>2775</v>
      </c>
      <c r="D1165" t="s">
        <v>2840</v>
      </c>
    </row>
    <row r="1166" spans="1:4" x14ac:dyDescent="0.25">
      <c r="A1166" t="s">
        <v>1061</v>
      </c>
      <c r="B1166" t="s">
        <v>2946</v>
      </c>
      <c r="C1166" t="s">
        <v>2775</v>
      </c>
      <c r="D1166" t="s">
        <v>2844</v>
      </c>
    </row>
    <row r="1167" spans="1:4" x14ac:dyDescent="0.25">
      <c r="A1167" t="s">
        <v>1062</v>
      </c>
      <c r="B1167" t="s">
        <v>2946</v>
      </c>
      <c r="C1167" t="s">
        <v>2775</v>
      </c>
      <c r="D1167" t="s">
        <v>2780</v>
      </c>
    </row>
    <row r="1168" spans="1:4" x14ac:dyDescent="0.25">
      <c r="A1168" t="s">
        <v>1063</v>
      </c>
      <c r="B1168" t="s">
        <v>2946</v>
      </c>
      <c r="C1168" t="s">
        <v>2775</v>
      </c>
      <c r="D1168" t="s">
        <v>2781</v>
      </c>
    </row>
    <row r="1169" spans="1:4" x14ac:dyDescent="0.25">
      <c r="A1169" t="s">
        <v>1064</v>
      </c>
      <c r="B1169" t="s">
        <v>2946</v>
      </c>
      <c r="C1169" t="s">
        <v>2787</v>
      </c>
      <c r="D1169" t="s">
        <v>2789</v>
      </c>
    </row>
    <row r="1170" spans="1:4" x14ac:dyDescent="0.25">
      <c r="A1170" t="s">
        <v>1065</v>
      </c>
      <c r="B1170" t="s">
        <v>2946</v>
      </c>
      <c r="C1170" t="s">
        <v>2787</v>
      </c>
      <c r="D1170" t="s">
        <v>2789</v>
      </c>
    </row>
    <row r="1171" spans="1:4" x14ac:dyDescent="0.25">
      <c r="A1171" t="s">
        <v>1066</v>
      </c>
      <c r="B1171" t="s">
        <v>2946</v>
      </c>
      <c r="C1171" t="s">
        <v>2787</v>
      </c>
      <c r="D1171" t="s">
        <v>2792</v>
      </c>
    </row>
    <row r="1172" spans="1:4" x14ac:dyDescent="0.25">
      <c r="A1172" t="s">
        <v>1067</v>
      </c>
      <c r="B1172" t="s">
        <v>2946</v>
      </c>
      <c r="C1172" t="s">
        <v>2787</v>
      </c>
      <c r="D1172" t="s">
        <v>2792</v>
      </c>
    </row>
    <row r="1173" spans="1:4" x14ac:dyDescent="0.25">
      <c r="A1173" t="s">
        <v>1068</v>
      </c>
      <c r="B1173" t="s">
        <v>2946</v>
      </c>
      <c r="C1173" t="s">
        <v>2787</v>
      </c>
      <c r="D1173" t="s">
        <v>2793</v>
      </c>
    </row>
    <row r="1174" spans="1:4" x14ac:dyDescent="0.25">
      <c r="A1174" t="s">
        <v>2042</v>
      </c>
      <c r="B1174" t="s">
        <v>2946</v>
      </c>
      <c r="C1174" t="s">
        <v>2794</v>
      </c>
      <c r="D1174" t="s">
        <v>2795</v>
      </c>
    </row>
    <row r="1175" spans="1:4" x14ac:dyDescent="0.25">
      <c r="A1175" t="s">
        <v>2043</v>
      </c>
      <c r="B1175" t="s">
        <v>2946</v>
      </c>
      <c r="C1175" t="s">
        <v>2796</v>
      </c>
      <c r="D1175" t="s">
        <v>2841</v>
      </c>
    </row>
    <row r="1176" spans="1:4" x14ac:dyDescent="0.25">
      <c r="A1176" t="s">
        <v>2044</v>
      </c>
      <c r="B1176" t="s">
        <v>2946</v>
      </c>
      <c r="C1176" t="s">
        <v>2796</v>
      </c>
      <c r="D1176" t="s">
        <v>2799</v>
      </c>
    </row>
    <row r="1177" spans="1:4" x14ac:dyDescent="0.25">
      <c r="A1177" t="s">
        <v>1069</v>
      </c>
      <c r="B1177" t="s">
        <v>2946</v>
      </c>
      <c r="C1177" t="s">
        <v>2800</v>
      </c>
      <c r="D1177" t="s">
        <v>2799</v>
      </c>
    </row>
    <row r="1178" spans="1:4" x14ac:dyDescent="0.25">
      <c r="A1178" t="s">
        <v>1071</v>
      </c>
      <c r="B1178" t="s">
        <v>2946</v>
      </c>
      <c r="C1178" t="s">
        <v>2800</v>
      </c>
      <c r="D1178" t="s">
        <v>2799</v>
      </c>
    </row>
    <row r="1179" spans="1:4" x14ac:dyDescent="0.25">
      <c r="A1179" t="s">
        <v>2045</v>
      </c>
      <c r="B1179" t="s">
        <v>2946</v>
      </c>
      <c r="C1179" t="s">
        <v>2796</v>
      </c>
      <c r="D1179" t="s">
        <v>2799</v>
      </c>
    </row>
    <row r="1180" spans="1:4" x14ac:dyDescent="0.25">
      <c r="A1180" t="s">
        <v>2046</v>
      </c>
      <c r="B1180" t="s">
        <v>2946</v>
      </c>
      <c r="C1180" t="s">
        <v>2797</v>
      </c>
      <c r="D1180" t="s">
        <v>2799</v>
      </c>
    </row>
    <row r="1181" spans="1:4" x14ac:dyDescent="0.25">
      <c r="A1181" t="s">
        <v>2047</v>
      </c>
      <c r="B1181" t="s">
        <v>2946</v>
      </c>
      <c r="C1181" t="s">
        <v>2798</v>
      </c>
      <c r="D1181" t="s">
        <v>2799</v>
      </c>
    </row>
    <row r="1182" spans="1:4" x14ac:dyDescent="0.25">
      <c r="A1182" t="s">
        <v>2048</v>
      </c>
      <c r="B1182" t="s">
        <v>2946</v>
      </c>
      <c r="C1182" t="s">
        <v>2796</v>
      </c>
      <c r="D1182" t="s">
        <v>2799</v>
      </c>
    </row>
    <row r="1183" spans="1:4" x14ac:dyDescent="0.25">
      <c r="A1183" t="s">
        <v>2049</v>
      </c>
      <c r="B1183" t="s">
        <v>2946</v>
      </c>
      <c r="C1183" t="s">
        <v>2797</v>
      </c>
      <c r="D1183" t="s">
        <v>2799</v>
      </c>
    </row>
    <row r="1184" spans="1:4" x14ac:dyDescent="0.25">
      <c r="A1184" t="s">
        <v>2050</v>
      </c>
      <c r="B1184" t="s">
        <v>2946</v>
      </c>
      <c r="C1184" t="s">
        <v>2798</v>
      </c>
      <c r="D1184" t="s">
        <v>2799</v>
      </c>
    </row>
    <row r="1185" spans="1:4" x14ac:dyDescent="0.25">
      <c r="A1185" t="s">
        <v>2051</v>
      </c>
      <c r="B1185" t="s">
        <v>2946</v>
      </c>
      <c r="C1185" t="s">
        <v>2796</v>
      </c>
      <c r="D1185" t="s">
        <v>2799</v>
      </c>
    </row>
    <row r="1186" spans="1:4" x14ac:dyDescent="0.25">
      <c r="A1186" t="s">
        <v>2052</v>
      </c>
      <c r="B1186" t="s">
        <v>2946</v>
      </c>
      <c r="C1186" t="s">
        <v>2797</v>
      </c>
      <c r="D1186" t="s">
        <v>2799</v>
      </c>
    </row>
    <row r="1187" spans="1:4" x14ac:dyDescent="0.25">
      <c r="A1187" t="s">
        <v>2053</v>
      </c>
      <c r="B1187" t="s">
        <v>2946</v>
      </c>
      <c r="C1187" t="s">
        <v>2798</v>
      </c>
      <c r="D1187" t="s">
        <v>2799</v>
      </c>
    </row>
    <row r="1188" spans="1:4" x14ac:dyDescent="0.25">
      <c r="A1188" t="s">
        <v>2054</v>
      </c>
      <c r="B1188" t="s">
        <v>2946</v>
      </c>
      <c r="C1188" t="s">
        <v>2796</v>
      </c>
      <c r="D1188" t="s">
        <v>2799</v>
      </c>
    </row>
    <row r="1189" spans="1:4" x14ac:dyDescent="0.25">
      <c r="A1189" t="s">
        <v>2055</v>
      </c>
      <c r="B1189" t="s">
        <v>2946</v>
      </c>
      <c r="C1189" t="s">
        <v>2797</v>
      </c>
      <c r="D1189" t="s">
        <v>2799</v>
      </c>
    </row>
    <row r="1190" spans="1:4" x14ac:dyDescent="0.25">
      <c r="A1190" t="s">
        <v>2056</v>
      </c>
      <c r="B1190" t="s">
        <v>2946</v>
      </c>
      <c r="C1190" t="s">
        <v>2798</v>
      </c>
      <c r="D1190" t="s">
        <v>2799</v>
      </c>
    </row>
    <row r="1191" spans="1:4" x14ac:dyDescent="0.25">
      <c r="A1191" t="s">
        <v>2057</v>
      </c>
      <c r="B1191" t="s">
        <v>2946</v>
      </c>
      <c r="C1191" t="s">
        <v>2796</v>
      </c>
      <c r="D1191" t="s">
        <v>2799</v>
      </c>
    </row>
    <row r="1192" spans="1:4" x14ac:dyDescent="0.25">
      <c r="A1192" t="s">
        <v>2058</v>
      </c>
      <c r="B1192" t="s">
        <v>2946</v>
      </c>
      <c r="C1192" t="s">
        <v>2801</v>
      </c>
      <c r="D1192" t="s">
        <v>2802</v>
      </c>
    </row>
    <row r="1193" spans="1:4" x14ac:dyDescent="0.25">
      <c r="A1193" t="s">
        <v>2059</v>
      </c>
      <c r="B1193" t="s">
        <v>2946</v>
      </c>
      <c r="C1193" t="s">
        <v>2913</v>
      </c>
      <c r="D1193" t="s">
        <v>2913</v>
      </c>
    </row>
    <row r="1194" spans="1:4" x14ac:dyDescent="0.25">
      <c r="A1194" t="s">
        <v>2061</v>
      </c>
      <c r="B1194" t="s">
        <v>2946</v>
      </c>
      <c r="C1194" t="s">
        <v>2803</v>
      </c>
      <c r="D1194" t="s">
        <v>2794</v>
      </c>
    </row>
    <row r="1195" spans="1:4" x14ac:dyDescent="0.25">
      <c r="A1195" t="s">
        <v>2062</v>
      </c>
      <c r="B1195" t="s">
        <v>2946</v>
      </c>
      <c r="C1195" t="s">
        <v>2803</v>
      </c>
      <c r="D1195" t="s">
        <v>2804</v>
      </c>
    </row>
    <row r="1196" spans="1:4" x14ac:dyDescent="0.25">
      <c r="A1196" t="s">
        <v>1074</v>
      </c>
      <c r="B1196" t="s">
        <v>2950</v>
      </c>
      <c r="C1196" t="s">
        <v>2889</v>
      </c>
      <c r="D1196" t="s">
        <v>2890</v>
      </c>
    </row>
    <row r="1197" spans="1:4" x14ac:dyDescent="0.25">
      <c r="A1197" t="s">
        <v>1075</v>
      </c>
      <c r="B1197" t="s">
        <v>2950</v>
      </c>
      <c r="C1197" t="s">
        <v>2952</v>
      </c>
      <c r="D1197" t="s">
        <v>2951</v>
      </c>
    </row>
    <row r="1198" spans="1:4" x14ac:dyDescent="0.25">
      <c r="A1198" t="s">
        <v>1076</v>
      </c>
      <c r="B1198" t="s">
        <v>2950</v>
      </c>
      <c r="C1198" t="s">
        <v>2952</v>
      </c>
      <c r="D1198" t="s">
        <v>2952</v>
      </c>
    </row>
    <row r="1199" spans="1:4" x14ac:dyDescent="0.25">
      <c r="A1199" t="s">
        <v>1077</v>
      </c>
      <c r="B1199" t="s">
        <v>2950</v>
      </c>
      <c r="C1199" t="s">
        <v>2754</v>
      </c>
      <c r="D1199" t="s">
        <v>2753</v>
      </c>
    </row>
    <row r="1200" spans="1:4" x14ac:dyDescent="0.25">
      <c r="A1200" t="s">
        <v>1078</v>
      </c>
      <c r="B1200" t="s">
        <v>2950</v>
      </c>
      <c r="C1200" t="s">
        <v>2754</v>
      </c>
      <c r="D1200" t="s">
        <v>2755</v>
      </c>
    </row>
    <row r="1201" spans="1:4" x14ac:dyDescent="0.25">
      <c r="A1201" t="s">
        <v>1079</v>
      </c>
      <c r="B1201" t="s">
        <v>2950</v>
      </c>
      <c r="C1201" t="s">
        <v>2754</v>
      </c>
      <c r="D1201" t="s">
        <v>2756</v>
      </c>
    </row>
    <row r="1202" spans="1:4" x14ac:dyDescent="0.25">
      <c r="A1202" t="s">
        <v>1080</v>
      </c>
      <c r="B1202" t="s">
        <v>2950</v>
      </c>
      <c r="C1202" t="s">
        <v>2754</v>
      </c>
      <c r="D1202" t="s">
        <v>2760</v>
      </c>
    </row>
    <row r="1203" spans="1:4" x14ac:dyDescent="0.25">
      <c r="A1203" t="s">
        <v>1081</v>
      </c>
      <c r="B1203" t="s">
        <v>2950</v>
      </c>
      <c r="C1203" t="s">
        <v>2754</v>
      </c>
      <c r="D1203" t="s">
        <v>2761</v>
      </c>
    </row>
    <row r="1204" spans="1:4" x14ac:dyDescent="0.25">
      <c r="A1204" t="s">
        <v>1082</v>
      </c>
      <c r="B1204" t="s">
        <v>2950</v>
      </c>
      <c r="C1204" t="s">
        <v>2754</v>
      </c>
      <c r="D1204" t="s">
        <v>2757</v>
      </c>
    </row>
    <row r="1205" spans="1:4" x14ac:dyDescent="0.25">
      <c r="A1205" t="s">
        <v>1083</v>
      </c>
      <c r="B1205" t="s">
        <v>2950</v>
      </c>
      <c r="C1205" t="s">
        <v>2754</v>
      </c>
      <c r="D1205" t="s">
        <v>2762</v>
      </c>
    </row>
    <row r="1206" spans="1:4" x14ac:dyDescent="0.25">
      <c r="A1206" t="s">
        <v>1084</v>
      </c>
      <c r="B1206" t="s">
        <v>2950</v>
      </c>
      <c r="C1206" t="s">
        <v>2754</v>
      </c>
      <c r="D1206" t="s">
        <v>2763</v>
      </c>
    </row>
    <row r="1207" spans="1:4" x14ac:dyDescent="0.25">
      <c r="A1207" t="s">
        <v>1085</v>
      </c>
      <c r="B1207" t="s">
        <v>2950</v>
      </c>
      <c r="C1207" t="s">
        <v>2754</v>
      </c>
      <c r="D1207" t="s">
        <v>2755</v>
      </c>
    </row>
    <row r="1208" spans="1:4" x14ac:dyDescent="0.25">
      <c r="A1208" t="s">
        <v>1086</v>
      </c>
      <c r="B1208" t="s">
        <v>2950</v>
      </c>
      <c r="C1208" t="s">
        <v>2754</v>
      </c>
    </row>
    <row r="1209" spans="1:4" x14ac:dyDescent="0.25">
      <c r="A1209" t="s">
        <v>1087</v>
      </c>
      <c r="B1209" t="s">
        <v>2950</v>
      </c>
      <c r="C1209" t="s">
        <v>2754</v>
      </c>
      <c r="D1209" t="s">
        <v>2758</v>
      </c>
    </row>
    <row r="1210" spans="1:4" x14ac:dyDescent="0.25">
      <c r="A1210" t="s">
        <v>1088</v>
      </c>
      <c r="B1210" t="s">
        <v>2950</v>
      </c>
      <c r="C1210" t="s">
        <v>2754</v>
      </c>
      <c r="D1210" t="s">
        <v>2766</v>
      </c>
    </row>
    <row r="1211" spans="1:4" x14ac:dyDescent="0.25">
      <c r="A1211" t="s">
        <v>1089</v>
      </c>
      <c r="B1211" t="s">
        <v>2950</v>
      </c>
      <c r="C1211" t="s">
        <v>2754</v>
      </c>
      <c r="D1211" t="s">
        <v>2767</v>
      </c>
    </row>
    <row r="1212" spans="1:4" x14ac:dyDescent="0.25">
      <c r="A1212" t="s">
        <v>1090</v>
      </c>
      <c r="B1212" t="s">
        <v>2950</v>
      </c>
      <c r="C1212" t="s">
        <v>2754</v>
      </c>
      <c r="D1212" t="s">
        <v>2768</v>
      </c>
    </row>
    <row r="1213" spans="1:4" x14ac:dyDescent="0.25">
      <c r="A1213" t="s">
        <v>1091</v>
      </c>
      <c r="B1213" t="s">
        <v>2950</v>
      </c>
      <c r="C1213" t="s">
        <v>2754</v>
      </c>
      <c r="D1213" t="s">
        <v>2769</v>
      </c>
    </row>
    <row r="1214" spans="1:4" x14ac:dyDescent="0.25">
      <c r="A1214" t="s">
        <v>1092</v>
      </c>
      <c r="B1214" t="s">
        <v>2950</v>
      </c>
      <c r="C1214" t="s">
        <v>2754</v>
      </c>
      <c r="D1214" t="s">
        <v>2770</v>
      </c>
    </row>
    <row r="1215" spans="1:4" x14ac:dyDescent="0.25">
      <c r="A1215" t="s">
        <v>1093</v>
      </c>
      <c r="B1215" t="s">
        <v>2950</v>
      </c>
      <c r="C1215" t="s">
        <v>2754</v>
      </c>
      <c r="D1215" t="s">
        <v>2770</v>
      </c>
    </row>
    <row r="1216" spans="1:4" x14ac:dyDescent="0.25">
      <c r="A1216" t="s">
        <v>1094</v>
      </c>
      <c r="B1216" t="s">
        <v>2950</v>
      </c>
      <c r="C1216" t="s">
        <v>2754</v>
      </c>
      <c r="D1216" t="s">
        <v>2764</v>
      </c>
    </row>
    <row r="1217" spans="1:4" x14ac:dyDescent="0.25">
      <c r="A1217" t="s">
        <v>1095</v>
      </c>
      <c r="B1217" t="s">
        <v>2950</v>
      </c>
      <c r="C1217" t="s">
        <v>2771</v>
      </c>
      <c r="D1217" t="s">
        <v>2773</v>
      </c>
    </row>
    <row r="1218" spans="1:4" x14ac:dyDescent="0.25">
      <c r="A1218" t="s">
        <v>1096</v>
      </c>
      <c r="B1218" t="s">
        <v>2950</v>
      </c>
      <c r="C1218" t="s">
        <v>2775</v>
      </c>
      <c r="D1218" t="s">
        <v>2780</v>
      </c>
    </row>
    <row r="1219" spans="1:4" x14ac:dyDescent="0.25">
      <c r="A1219" t="s">
        <v>1097</v>
      </c>
      <c r="B1219" t="s">
        <v>2950</v>
      </c>
      <c r="C1219" t="s">
        <v>2775</v>
      </c>
      <c r="D1219" t="s">
        <v>2781</v>
      </c>
    </row>
    <row r="1220" spans="1:4" x14ac:dyDescent="0.25">
      <c r="A1220" t="s">
        <v>1098</v>
      </c>
      <c r="B1220" t="s">
        <v>2950</v>
      </c>
      <c r="C1220" t="s">
        <v>2787</v>
      </c>
      <c r="D1220" t="s">
        <v>2788</v>
      </c>
    </row>
    <row r="1221" spans="1:4" x14ac:dyDescent="0.25">
      <c r="A1221" t="s">
        <v>1099</v>
      </c>
      <c r="B1221" t="s">
        <v>2950</v>
      </c>
      <c r="C1221" t="s">
        <v>2787</v>
      </c>
      <c r="D1221" t="s">
        <v>2789</v>
      </c>
    </row>
    <row r="1222" spans="1:4" x14ac:dyDescent="0.25">
      <c r="A1222" t="s">
        <v>1100</v>
      </c>
      <c r="B1222" t="s">
        <v>2950</v>
      </c>
      <c r="C1222" t="s">
        <v>2787</v>
      </c>
      <c r="D1222" t="s">
        <v>2789</v>
      </c>
    </row>
    <row r="1223" spans="1:4" x14ac:dyDescent="0.25">
      <c r="A1223" t="s">
        <v>1101</v>
      </c>
      <c r="B1223" t="s">
        <v>2950</v>
      </c>
      <c r="C1223" t="s">
        <v>2787</v>
      </c>
      <c r="D1223" t="s">
        <v>2789</v>
      </c>
    </row>
    <row r="1224" spans="1:4" x14ac:dyDescent="0.25">
      <c r="A1224" t="s">
        <v>1102</v>
      </c>
      <c r="B1224" t="s">
        <v>2950</v>
      </c>
      <c r="C1224" t="s">
        <v>2787</v>
      </c>
      <c r="D1224" t="s">
        <v>2792</v>
      </c>
    </row>
    <row r="1225" spans="1:4" x14ac:dyDescent="0.25">
      <c r="A1225" t="s">
        <v>1103</v>
      </c>
      <c r="B1225" t="s">
        <v>2950</v>
      </c>
      <c r="C1225" t="s">
        <v>2787</v>
      </c>
      <c r="D1225" t="s">
        <v>2792</v>
      </c>
    </row>
    <row r="1226" spans="1:4" x14ac:dyDescent="0.25">
      <c r="A1226" t="s">
        <v>2063</v>
      </c>
      <c r="B1226" t="s">
        <v>2950</v>
      </c>
      <c r="C1226" t="s">
        <v>2794</v>
      </c>
      <c r="D1226" t="s">
        <v>2795</v>
      </c>
    </row>
    <row r="1227" spans="1:4" x14ac:dyDescent="0.25">
      <c r="A1227" t="s">
        <v>2064</v>
      </c>
      <c r="B1227" t="s">
        <v>2950</v>
      </c>
      <c r="C1227" t="s">
        <v>2796</v>
      </c>
      <c r="D1227" t="s">
        <v>2788</v>
      </c>
    </row>
    <row r="1228" spans="1:4" x14ac:dyDescent="0.25">
      <c r="A1228" t="s">
        <v>2065</v>
      </c>
      <c r="B1228" t="s">
        <v>2950</v>
      </c>
      <c r="C1228" t="s">
        <v>2797</v>
      </c>
      <c r="D1228" t="s">
        <v>2788</v>
      </c>
    </row>
    <row r="1229" spans="1:4" x14ac:dyDescent="0.25">
      <c r="A1229" t="s">
        <v>2066</v>
      </c>
      <c r="B1229" t="s">
        <v>2950</v>
      </c>
      <c r="C1229" t="s">
        <v>2798</v>
      </c>
      <c r="D1229" t="s">
        <v>2788</v>
      </c>
    </row>
    <row r="1230" spans="1:4" x14ac:dyDescent="0.25">
      <c r="A1230" t="s">
        <v>2067</v>
      </c>
      <c r="B1230" t="s">
        <v>2950</v>
      </c>
      <c r="C1230" t="s">
        <v>2796</v>
      </c>
      <c r="D1230" t="s">
        <v>2799</v>
      </c>
    </row>
    <row r="1231" spans="1:4" x14ac:dyDescent="0.25">
      <c r="A1231" t="s">
        <v>2068</v>
      </c>
      <c r="B1231" t="s">
        <v>2950</v>
      </c>
      <c r="C1231" t="s">
        <v>2797</v>
      </c>
      <c r="D1231" t="s">
        <v>2799</v>
      </c>
    </row>
    <row r="1232" spans="1:4" x14ac:dyDescent="0.25">
      <c r="A1232" t="s">
        <v>2069</v>
      </c>
      <c r="B1232" t="s">
        <v>2950</v>
      </c>
      <c r="C1232" t="s">
        <v>2798</v>
      </c>
      <c r="D1232" t="s">
        <v>2799</v>
      </c>
    </row>
    <row r="1233" spans="1:4" x14ac:dyDescent="0.25">
      <c r="A1233" t="s">
        <v>1104</v>
      </c>
      <c r="B1233" t="s">
        <v>2950</v>
      </c>
      <c r="C1233" t="s">
        <v>2800</v>
      </c>
      <c r="D1233" t="s">
        <v>2799</v>
      </c>
    </row>
    <row r="1234" spans="1:4" x14ac:dyDescent="0.25">
      <c r="A1234" t="s">
        <v>2070</v>
      </c>
      <c r="B1234" t="s">
        <v>2950</v>
      </c>
      <c r="C1234" t="s">
        <v>2796</v>
      </c>
      <c r="D1234" t="s">
        <v>2799</v>
      </c>
    </row>
    <row r="1235" spans="1:4" x14ac:dyDescent="0.25">
      <c r="A1235" t="s">
        <v>2071</v>
      </c>
      <c r="B1235" t="s">
        <v>2950</v>
      </c>
      <c r="C1235" t="s">
        <v>2797</v>
      </c>
      <c r="D1235" t="s">
        <v>2799</v>
      </c>
    </row>
    <row r="1236" spans="1:4" x14ac:dyDescent="0.25">
      <c r="A1236" t="s">
        <v>2072</v>
      </c>
      <c r="B1236" t="s">
        <v>2950</v>
      </c>
      <c r="C1236" t="s">
        <v>2798</v>
      </c>
      <c r="D1236" t="s">
        <v>2799</v>
      </c>
    </row>
    <row r="1237" spans="1:4" x14ac:dyDescent="0.25">
      <c r="A1237" t="s">
        <v>2073</v>
      </c>
      <c r="B1237" t="s">
        <v>2950</v>
      </c>
      <c r="C1237" t="s">
        <v>2796</v>
      </c>
      <c r="D1237" t="s">
        <v>2799</v>
      </c>
    </row>
    <row r="1238" spans="1:4" x14ac:dyDescent="0.25">
      <c r="A1238" t="s">
        <v>2074</v>
      </c>
      <c r="B1238" t="s">
        <v>2950</v>
      </c>
      <c r="C1238" t="s">
        <v>2797</v>
      </c>
      <c r="D1238" t="s">
        <v>2799</v>
      </c>
    </row>
    <row r="1239" spans="1:4" x14ac:dyDescent="0.25">
      <c r="A1239" t="s">
        <v>2075</v>
      </c>
      <c r="B1239" t="s">
        <v>2950</v>
      </c>
      <c r="C1239" t="s">
        <v>2798</v>
      </c>
      <c r="D1239" t="s">
        <v>2799</v>
      </c>
    </row>
    <row r="1240" spans="1:4" x14ac:dyDescent="0.25">
      <c r="A1240" t="s">
        <v>2076</v>
      </c>
      <c r="B1240" t="s">
        <v>2950</v>
      </c>
      <c r="C1240" t="s">
        <v>2796</v>
      </c>
      <c r="D1240" t="s">
        <v>2799</v>
      </c>
    </row>
    <row r="1241" spans="1:4" x14ac:dyDescent="0.25">
      <c r="A1241" t="s">
        <v>2077</v>
      </c>
      <c r="B1241" t="s">
        <v>2950</v>
      </c>
      <c r="C1241" t="s">
        <v>2797</v>
      </c>
      <c r="D1241" t="s">
        <v>2799</v>
      </c>
    </row>
    <row r="1242" spans="1:4" x14ac:dyDescent="0.25">
      <c r="A1242" t="s">
        <v>2078</v>
      </c>
      <c r="B1242" t="s">
        <v>2950</v>
      </c>
      <c r="C1242" t="s">
        <v>2798</v>
      </c>
      <c r="D1242" t="s">
        <v>2799</v>
      </c>
    </row>
    <row r="1243" spans="1:4" x14ac:dyDescent="0.25">
      <c r="A1243" t="s">
        <v>2079</v>
      </c>
      <c r="B1243" t="s">
        <v>2950</v>
      </c>
      <c r="C1243" t="s">
        <v>2801</v>
      </c>
      <c r="D1243" t="s">
        <v>2802</v>
      </c>
    </row>
    <row r="1244" spans="1:4" x14ac:dyDescent="0.25">
      <c r="A1244" t="s">
        <v>2080</v>
      </c>
      <c r="B1244" t="s">
        <v>2950</v>
      </c>
      <c r="C1244" t="s">
        <v>2803</v>
      </c>
      <c r="D1244" t="s">
        <v>2794</v>
      </c>
    </row>
    <row r="1245" spans="1:4" x14ac:dyDescent="0.25">
      <c r="A1245" t="s">
        <v>2081</v>
      </c>
      <c r="B1245" t="s">
        <v>2950</v>
      </c>
      <c r="C1245" t="s">
        <v>2803</v>
      </c>
      <c r="D1245" t="s">
        <v>2804</v>
      </c>
    </row>
    <row r="1246" spans="1:4" x14ac:dyDescent="0.25">
      <c r="A1246" t="s">
        <v>1107</v>
      </c>
      <c r="B1246" t="s">
        <v>2953</v>
      </c>
      <c r="C1246" t="s">
        <v>2751</v>
      </c>
      <c r="D1246" t="s">
        <v>2954</v>
      </c>
    </row>
    <row r="1247" spans="1:4" x14ac:dyDescent="0.25">
      <c r="A1247" t="s">
        <v>1108</v>
      </c>
      <c r="B1247" t="s">
        <v>2953</v>
      </c>
      <c r="C1247" t="s">
        <v>2754</v>
      </c>
      <c r="D1247" t="s">
        <v>2753</v>
      </c>
    </row>
    <row r="1248" spans="1:4" x14ac:dyDescent="0.25">
      <c r="A1248" t="s">
        <v>1109</v>
      </c>
      <c r="B1248" t="s">
        <v>2953</v>
      </c>
      <c r="C1248" t="s">
        <v>2754</v>
      </c>
      <c r="D1248" t="s">
        <v>2755</v>
      </c>
    </row>
    <row r="1249" spans="1:4" x14ac:dyDescent="0.25">
      <c r="A1249" t="s">
        <v>1110</v>
      </c>
      <c r="B1249" t="s">
        <v>2953</v>
      </c>
      <c r="C1249" t="s">
        <v>2754</v>
      </c>
      <c r="D1249" t="s">
        <v>2761</v>
      </c>
    </row>
    <row r="1250" spans="1:4" x14ac:dyDescent="0.25">
      <c r="A1250" t="s">
        <v>1111</v>
      </c>
      <c r="B1250" t="s">
        <v>2953</v>
      </c>
      <c r="C1250" t="s">
        <v>2754</v>
      </c>
      <c r="D1250" t="s">
        <v>2762</v>
      </c>
    </row>
    <row r="1251" spans="1:4" x14ac:dyDescent="0.25">
      <c r="A1251" t="s">
        <v>1112</v>
      </c>
      <c r="B1251" t="s">
        <v>2953</v>
      </c>
      <c r="C1251" t="s">
        <v>2754</v>
      </c>
      <c r="D1251" t="s">
        <v>2755</v>
      </c>
    </row>
    <row r="1252" spans="1:4" x14ac:dyDescent="0.25">
      <c r="A1252" t="s">
        <v>1113</v>
      </c>
      <c r="B1252" t="s">
        <v>2953</v>
      </c>
      <c r="C1252" t="s">
        <v>2754</v>
      </c>
      <c r="D1252" t="s">
        <v>2764</v>
      </c>
    </row>
    <row r="1253" spans="1:4" x14ac:dyDescent="0.25">
      <c r="A1253" t="s">
        <v>1114</v>
      </c>
      <c r="B1253" t="s">
        <v>2953</v>
      </c>
      <c r="C1253" t="s">
        <v>2754</v>
      </c>
      <c r="D1253" t="s">
        <v>2765</v>
      </c>
    </row>
    <row r="1254" spans="1:4" x14ac:dyDescent="0.25">
      <c r="A1254" t="s">
        <v>1115</v>
      </c>
      <c r="B1254" t="s">
        <v>2953</v>
      </c>
      <c r="C1254" t="s">
        <v>2754</v>
      </c>
      <c r="D1254" t="s">
        <v>2766</v>
      </c>
    </row>
    <row r="1255" spans="1:4" x14ac:dyDescent="0.25">
      <c r="A1255" t="s">
        <v>1116</v>
      </c>
      <c r="B1255" t="s">
        <v>2953</v>
      </c>
      <c r="C1255" t="s">
        <v>2754</v>
      </c>
      <c r="D1255" t="s">
        <v>2767</v>
      </c>
    </row>
    <row r="1256" spans="1:4" x14ac:dyDescent="0.25">
      <c r="A1256" t="s">
        <v>1117</v>
      </c>
      <c r="B1256" t="s">
        <v>2953</v>
      </c>
      <c r="C1256" t="s">
        <v>2754</v>
      </c>
      <c r="D1256" t="s">
        <v>2768</v>
      </c>
    </row>
    <row r="1257" spans="1:4" x14ac:dyDescent="0.25">
      <c r="A1257" t="s">
        <v>1118</v>
      </c>
      <c r="B1257" t="s">
        <v>2953</v>
      </c>
      <c r="C1257" t="s">
        <v>2754</v>
      </c>
      <c r="D1257" t="s">
        <v>2769</v>
      </c>
    </row>
    <row r="1258" spans="1:4" x14ac:dyDescent="0.25">
      <c r="A1258" t="s">
        <v>1119</v>
      </c>
      <c r="B1258" t="s">
        <v>2953</v>
      </c>
      <c r="C1258" t="s">
        <v>2754</v>
      </c>
      <c r="D1258" t="s">
        <v>2770</v>
      </c>
    </row>
    <row r="1259" spans="1:4" x14ac:dyDescent="0.25">
      <c r="A1259" t="s">
        <v>1120</v>
      </c>
      <c r="B1259" t="s">
        <v>2953</v>
      </c>
      <c r="C1259" t="s">
        <v>2754</v>
      </c>
      <c r="D1259" t="s">
        <v>2770</v>
      </c>
    </row>
    <row r="1260" spans="1:4" x14ac:dyDescent="0.25">
      <c r="A1260" t="s">
        <v>1121</v>
      </c>
      <c r="B1260" t="s">
        <v>2953</v>
      </c>
      <c r="C1260" t="s">
        <v>2754</v>
      </c>
      <c r="D1260" t="s">
        <v>2764</v>
      </c>
    </row>
    <row r="1261" spans="1:4" x14ac:dyDescent="0.25">
      <c r="A1261" t="s">
        <v>1122</v>
      </c>
      <c r="B1261" t="s">
        <v>2953</v>
      </c>
      <c r="C1261" t="s">
        <v>2771</v>
      </c>
      <c r="D1261" t="s">
        <v>2773</v>
      </c>
    </row>
    <row r="1262" spans="1:4" x14ac:dyDescent="0.25">
      <c r="A1262" t="s">
        <v>1123</v>
      </c>
      <c r="B1262" t="s">
        <v>2953</v>
      </c>
      <c r="C1262" t="s">
        <v>2775</v>
      </c>
      <c r="D1262" t="s">
        <v>2780</v>
      </c>
    </row>
    <row r="1263" spans="1:4" x14ac:dyDescent="0.25">
      <c r="A1263" t="s">
        <v>1124</v>
      </c>
      <c r="B1263" t="s">
        <v>2953</v>
      </c>
      <c r="C1263" t="s">
        <v>2787</v>
      </c>
      <c r="D1263" t="s">
        <v>2955</v>
      </c>
    </row>
    <row r="1264" spans="1:4" x14ac:dyDescent="0.25">
      <c r="A1264" t="s">
        <v>2082</v>
      </c>
      <c r="B1264" t="s">
        <v>2953</v>
      </c>
      <c r="C1264" t="s">
        <v>2794</v>
      </c>
      <c r="D1264" t="s">
        <v>2795</v>
      </c>
    </row>
    <row r="1265" spans="1:4" x14ac:dyDescent="0.25">
      <c r="A1265" t="s">
        <v>2083</v>
      </c>
      <c r="B1265" t="s">
        <v>2953</v>
      </c>
      <c r="C1265" t="s">
        <v>2796</v>
      </c>
      <c r="D1265" t="s">
        <v>2799</v>
      </c>
    </row>
    <row r="1266" spans="1:4" x14ac:dyDescent="0.25">
      <c r="A1266" t="s">
        <v>2084</v>
      </c>
      <c r="B1266" t="s">
        <v>2953</v>
      </c>
      <c r="C1266" t="s">
        <v>2797</v>
      </c>
      <c r="D1266" t="s">
        <v>2799</v>
      </c>
    </row>
    <row r="1267" spans="1:4" x14ac:dyDescent="0.25">
      <c r="A1267" t="s">
        <v>2085</v>
      </c>
      <c r="B1267" t="s">
        <v>2953</v>
      </c>
      <c r="C1267" t="s">
        <v>2798</v>
      </c>
      <c r="D1267" t="s">
        <v>2799</v>
      </c>
    </row>
    <row r="1268" spans="1:4" x14ac:dyDescent="0.25">
      <c r="A1268" t="s">
        <v>2086</v>
      </c>
      <c r="B1268" t="s">
        <v>2953</v>
      </c>
      <c r="C1268" t="s">
        <v>2796</v>
      </c>
      <c r="D1268" t="s">
        <v>2799</v>
      </c>
    </row>
    <row r="1269" spans="1:4" x14ac:dyDescent="0.25">
      <c r="A1269" t="s">
        <v>2088</v>
      </c>
      <c r="B1269" t="s">
        <v>2953</v>
      </c>
      <c r="C1269" t="s">
        <v>2801</v>
      </c>
      <c r="D1269" t="s">
        <v>2802</v>
      </c>
    </row>
    <row r="1270" spans="1:4" x14ac:dyDescent="0.25">
      <c r="A1270" t="s">
        <v>2089</v>
      </c>
      <c r="B1270" t="s">
        <v>2953</v>
      </c>
      <c r="C1270" t="s">
        <v>2803</v>
      </c>
      <c r="D1270" t="s">
        <v>2794</v>
      </c>
    </row>
    <row r="1271" spans="1:4" x14ac:dyDescent="0.25">
      <c r="A1271" t="s">
        <v>2090</v>
      </c>
      <c r="B1271" t="s">
        <v>2953</v>
      </c>
      <c r="C1271" t="s">
        <v>2803</v>
      </c>
      <c r="D1271" t="s">
        <v>2804</v>
      </c>
    </row>
    <row r="1272" spans="1:4" x14ac:dyDescent="0.25">
      <c r="A1272" t="s">
        <v>1126</v>
      </c>
      <c r="B1272" t="s">
        <v>2956</v>
      </c>
      <c r="C1272" t="s">
        <v>2957</v>
      </c>
      <c r="D1272" t="s">
        <v>2827</v>
      </c>
    </row>
    <row r="1273" spans="1:4" x14ac:dyDescent="0.25">
      <c r="A1273" t="s">
        <v>1127</v>
      </c>
      <c r="B1273" t="s">
        <v>2956</v>
      </c>
      <c r="C1273" t="s">
        <v>2957</v>
      </c>
      <c r="D1273" t="s">
        <v>2827</v>
      </c>
    </row>
    <row r="1274" spans="1:4" x14ac:dyDescent="0.25">
      <c r="A1274" t="s">
        <v>1128</v>
      </c>
      <c r="B1274" t="s">
        <v>2956</v>
      </c>
      <c r="C1274" t="s">
        <v>2957</v>
      </c>
      <c r="D1274" t="s">
        <v>2827</v>
      </c>
    </row>
    <row r="1275" spans="1:4" x14ac:dyDescent="0.25">
      <c r="A1275" t="s">
        <v>1129</v>
      </c>
      <c r="B1275" t="s">
        <v>2956</v>
      </c>
      <c r="C1275" t="s">
        <v>2874</v>
      </c>
      <c r="D1275" t="s">
        <v>2827</v>
      </c>
    </row>
    <row r="1276" spans="1:4" x14ac:dyDescent="0.25">
      <c r="A1276" t="s">
        <v>1130</v>
      </c>
      <c r="B1276" t="s">
        <v>2956</v>
      </c>
      <c r="C1276" t="s">
        <v>2754</v>
      </c>
      <c r="D1276" t="s">
        <v>2753</v>
      </c>
    </row>
    <row r="1277" spans="1:4" x14ac:dyDescent="0.25">
      <c r="A1277" t="s">
        <v>1131</v>
      </c>
      <c r="B1277" t="s">
        <v>2956</v>
      </c>
      <c r="C1277" t="s">
        <v>2754</v>
      </c>
      <c r="D1277" t="s">
        <v>2755</v>
      </c>
    </row>
    <row r="1278" spans="1:4" x14ac:dyDescent="0.25">
      <c r="A1278" t="s">
        <v>1132</v>
      </c>
      <c r="B1278" t="s">
        <v>2956</v>
      </c>
      <c r="C1278" t="s">
        <v>2754</v>
      </c>
      <c r="D1278" t="s">
        <v>2756</v>
      </c>
    </row>
    <row r="1279" spans="1:4" x14ac:dyDescent="0.25">
      <c r="A1279" t="s">
        <v>1133</v>
      </c>
      <c r="B1279" t="s">
        <v>2956</v>
      </c>
      <c r="C1279" t="s">
        <v>2754</v>
      </c>
      <c r="D1279" t="s">
        <v>2761</v>
      </c>
    </row>
    <row r="1280" spans="1:4" x14ac:dyDescent="0.25">
      <c r="A1280" t="s">
        <v>1134</v>
      </c>
      <c r="B1280" t="s">
        <v>2956</v>
      </c>
      <c r="C1280" t="s">
        <v>2754</v>
      </c>
      <c r="D1280" t="s">
        <v>2757</v>
      </c>
    </row>
    <row r="1281" spans="1:4" x14ac:dyDescent="0.25">
      <c r="A1281" t="s">
        <v>1135</v>
      </c>
      <c r="B1281" t="s">
        <v>2956</v>
      </c>
      <c r="C1281" t="s">
        <v>2754</v>
      </c>
      <c r="D1281" t="s">
        <v>2762</v>
      </c>
    </row>
    <row r="1282" spans="1:4" x14ac:dyDescent="0.25">
      <c r="A1282" t="s">
        <v>1136</v>
      </c>
      <c r="B1282" t="s">
        <v>2956</v>
      </c>
      <c r="C1282" t="s">
        <v>2754</v>
      </c>
      <c r="D1282" t="s">
        <v>2755</v>
      </c>
    </row>
    <row r="1283" spans="1:4" x14ac:dyDescent="0.25">
      <c r="A1283" t="s">
        <v>1137</v>
      </c>
      <c r="B1283" t="s">
        <v>2956</v>
      </c>
      <c r="C1283" t="s">
        <v>2754</v>
      </c>
      <c r="D1283" t="s">
        <v>2764</v>
      </c>
    </row>
    <row r="1284" spans="1:4" x14ac:dyDescent="0.25">
      <c r="A1284" t="s">
        <v>1138</v>
      </c>
      <c r="B1284" t="s">
        <v>2956</v>
      </c>
      <c r="C1284" t="s">
        <v>2754</v>
      </c>
      <c r="D1284" t="s">
        <v>2765</v>
      </c>
    </row>
    <row r="1285" spans="1:4" x14ac:dyDescent="0.25">
      <c r="A1285" t="s">
        <v>1139</v>
      </c>
      <c r="B1285" t="s">
        <v>2956</v>
      </c>
      <c r="C1285" t="s">
        <v>2754</v>
      </c>
      <c r="D1285" t="s">
        <v>2766</v>
      </c>
    </row>
    <row r="1286" spans="1:4" x14ac:dyDescent="0.25">
      <c r="A1286" t="s">
        <v>1140</v>
      </c>
      <c r="B1286" t="s">
        <v>2956</v>
      </c>
      <c r="C1286" t="s">
        <v>2754</v>
      </c>
      <c r="D1286" t="s">
        <v>2767</v>
      </c>
    </row>
    <row r="1287" spans="1:4" x14ac:dyDescent="0.25">
      <c r="A1287" t="s">
        <v>1141</v>
      </c>
      <c r="B1287" t="s">
        <v>2956</v>
      </c>
      <c r="C1287" t="s">
        <v>2754</v>
      </c>
      <c r="D1287" t="s">
        <v>2768</v>
      </c>
    </row>
    <row r="1288" spans="1:4" x14ac:dyDescent="0.25">
      <c r="A1288" t="s">
        <v>1142</v>
      </c>
      <c r="B1288" t="s">
        <v>2956</v>
      </c>
      <c r="C1288" t="s">
        <v>2754</v>
      </c>
      <c r="D1288" t="s">
        <v>2769</v>
      </c>
    </row>
    <row r="1289" spans="1:4" x14ac:dyDescent="0.25">
      <c r="A1289" t="s">
        <v>1143</v>
      </c>
      <c r="B1289" t="s">
        <v>2956</v>
      </c>
      <c r="C1289" t="s">
        <v>2754</v>
      </c>
      <c r="D1289" t="s">
        <v>2770</v>
      </c>
    </row>
    <row r="1290" spans="1:4" x14ac:dyDescent="0.25">
      <c r="A1290" t="s">
        <v>1144</v>
      </c>
      <c r="B1290" t="s">
        <v>2956</v>
      </c>
      <c r="C1290" t="s">
        <v>2754</v>
      </c>
      <c r="D1290" t="s">
        <v>2770</v>
      </c>
    </row>
    <row r="1291" spans="1:4" x14ac:dyDescent="0.25">
      <c r="A1291" t="s">
        <v>1145</v>
      </c>
      <c r="B1291" t="s">
        <v>2956</v>
      </c>
      <c r="C1291" t="s">
        <v>2754</v>
      </c>
      <c r="D1291" t="s">
        <v>2764</v>
      </c>
    </row>
    <row r="1292" spans="1:4" x14ac:dyDescent="0.25">
      <c r="A1292" t="s">
        <v>1146</v>
      </c>
      <c r="B1292" t="s">
        <v>2956</v>
      </c>
      <c r="C1292" t="s">
        <v>2775</v>
      </c>
      <c r="D1292" t="s">
        <v>2958</v>
      </c>
    </row>
    <row r="1293" spans="1:4" x14ac:dyDescent="0.25">
      <c r="A1293" t="s">
        <v>1147</v>
      </c>
      <c r="B1293" t="s">
        <v>2956</v>
      </c>
      <c r="C1293" t="s">
        <v>2775</v>
      </c>
      <c r="D1293" t="s">
        <v>2958</v>
      </c>
    </row>
    <row r="1294" spans="1:4" x14ac:dyDescent="0.25">
      <c r="A1294" t="s">
        <v>1148</v>
      </c>
      <c r="B1294" t="s">
        <v>2956</v>
      </c>
      <c r="C1294" t="s">
        <v>2775</v>
      </c>
      <c r="D1294" t="s">
        <v>2958</v>
      </c>
    </row>
    <row r="1295" spans="1:4" x14ac:dyDescent="0.25">
      <c r="A1295" t="s">
        <v>1149</v>
      </c>
      <c r="B1295" t="s">
        <v>2956</v>
      </c>
      <c r="C1295" t="s">
        <v>2775</v>
      </c>
      <c r="D1295" t="s">
        <v>2780</v>
      </c>
    </row>
    <row r="1296" spans="1:4" x14ac:dyDescent="0.25">
      <c r="A1296" t="s">
        <v>1150</v>
      </c>
      <c r="B1296" t="s">
        <v>2956</v>
      </c>
      <c r="C1296" t="s">
        <v>2775</v>
      </c>
      <c r="D1296" t="s">
        <v>2781</v>
      </c>
    </row>
    <row r="1297" spans="1:4" x14ac:dyDescent="0.25">
      <c r="A1297" t="s">
        <v>2091</v>
      </c>
      <c r="B1297" t="s">
        <v>2956</v>
      </c>
      <c r="C1297" t="s">
        <v>2877</v>
      </c>
      <c r="D1297" t="s">
        <v>2827</v>
      </c>
    </row>
    <row r="1298" spans="1:4" x14ac:dyDescent="0.25">
      <c r="A1298" t="s">
        <v>2093</v>
      </c>
      <c r="B1298" t="s">
        <v>2956</v>
      </c>
      <c r="C1298" t="s">
        <v>2794</v>
      </c>
      <c r="D1298" t="s">
        <v>2795</v>
      </c>
    </row>
    <row r="1299" spans="1:4" x14ac:dyDescent="0.25">
      <c r="A1299" t="s">
        <v>2094</v>
      </c>
      <c r="B1299" t="s">
        <v>2956</v>
      </c>
      <c r="C1299" t="s">
        <v>2885</v>
      </c>
      <c r="D1299" t="s">
        <v>2959</v>
      </c>
    </row>
    <row r="1300" spans="1:4" x14ac:dyDescent="0.25">
      <c r="A1300" t="s">
        <v>2096</v>
      </c>
      <c r="B1300" t="s">
        <v>2956</v>
      </c>
      <c r="C1300" t="s">
        <v>2885</v>
      </c>
      <c r="D1300" t="s">
        <v>2959</v>
      </c>
    </row>
    <row r="1301" spans="1:4" x14ac:dyDescent="0.25">
      <c r="A1301" t="s">
        <v>2098</v>
      </c>
      <c r="B1301" t="s">
        <v>2956</v>
      </c>
      <c r="C1301" t="s">
        <v>2885</v>
      </c>
      <c r="D1301" t="s">
        <v>2959</v>
      </c>
    </row>
    <row r="1302" spans="1:4" x14ac:dyDescent="0.25">
      <c r="A1302" t="s">
        <v>2100</v>
      </c>
      <c r="B1302" t="s">
        <v>2956</v>
      </c>
      <c r="C1302" t="s">
        <v>2885</v>
      </c>
      <c r="D1302" t="s">
        <v>2959</v>
      </c>
    </row>
    <row r="1303" spans="1:4" x14ac:dyDescent="0.25">
      <c r="A1303" t="s">
        <v>2102</v>
      </c>
      <c r="B1303" t="s">
        <v>2956</v>
      </c>
      <c r="C1303" t="s">
        <v>2885</v>
      </c>
      <c r="D1303" t="s">
        <v>2959</v>
      </c>
    </row>
    <row r="1304" spans="1:4" x14ac:dyDescent="0.25">
      <c r="A1304" t="s">
        <v>2104</v>
      </c>
      <c r="B1304" t="s">
        <v>2956</v>
      </c>
      <c r="C1304" t="s">
        <v>2885</v>
      </c>
      <c r="D1304" t="s">
        <v>2959</v>
      </c>
    </row>
    <row r="1305" spans="1:4" x14ac:dyDescent="0.25">
      <c r="A1305" t="s">
        <v>2106</v>
      </c>
      <c r="B1305" t="s">
        <v>2956</v>
      </c>
      <c r="C1305" t="s">
        <v>2885</v>
      </c>
      <c r="D1305" t="s">
        <v>2959</v>
      </c>
    </row>
    <row r="1306" spans="1:4" x14ac:dyDescent="0.25">
      <c r="A1306" t="s">
        <v>2108</v>
      </c>
      <c r="B1306" t="s">
        <v>2956</v>
      </c>
      <c r="C1306" t="s">
        <v>2885</v>
      </c>
      <c r="D1306" t="s">
        <v>2959</v>
      </c>
    </row>
    <row r="1307" spans="1:4" x14ac:dyDescent="0.25">
      <c r="A1307" t="s">
        <v>2110</v>
      </c>
      <c r="B1307" t="s">
        <v>2956</v>
      </c>
      <c r="C1307" t="s">
        <v>2801</v>
      </c>
      <c r="D1307" t="s">
        <v>2802</v>
      </c>
    </row>
    <row r="1308" spans="1:4" x14ac:dyDescent="0.25">
      <c r="A1308" t="s">
        <v>2111</v>
      </c>
      <c r="B1308" t="s">
        <v>2956</v>
      </c>
      <c r="C1308" t="s">
        <v>2917</v>
      </c>
      <c r="D1308" t="s">
        <v>2960</v>
      </c>
    </row>
    <row r="1309" spans="1:4" x14ac:dyDescent="0.25">
      <c r="A1309" t="s">
        <v>2113</v>
      </c>
      <c r="B1309" t="s">
        <v>2956</v>
      </c>
      <c r="C1309" t="s">
        <v>2917</v>
      </c>
      <c r="D1309" t="s">
        <v>2960</v>
      </c>
    </row>
    <row r="1310" spans="1:4" x14ac:dyDescent="0.25">
      <c r="A1310" t="s">
        <v>2115</v>
      </c>
      <c r="B1310" t="s">
        <v>2956</v>
      </c>
      <c r="C1310" t="s">
        <v>2803</v>
      </c>
      <c r="D1310" t="s">
        <v>2794</v>
      </c>
    </row>
    <row r="1311" spans="1:4" x14ac:dyDescent="0.25">
      <c r="A1311" t="s">
        <v>2116</v>
      </c>
      <c r="B1311" t="s">
        <v>2956</v>
      </c>
      <c r="C1311" t="s">
        <v>2803</v>
      </c>
      <c r="D1311" t="s">
        <v>2804</v>
      </c>
    </row>
    <row r="1312" spans="1:4" x14ac:dyDescent="0.25">
      <c r="A1312" t="s">
        <v>1152</v>
      </c>
      <c r="B1312" t="s">
        <v>2961</v>
      </c>
      <c r="C1312" t="s">
        <v>2775</v>
      </c>
      <c r="D1312" t="s">
        <v>2780</v>
      </c>
    </row>
    <row r="1313" spans="1:4" x14ac:dyDescent="0.25">
      <c r="A1313" t="s">
        <v>1153</v>
      </c>
      <c r="B1313" t="s">
        <v>2961</v>
      </c>
      <c r="C1313" t="s">
        <v>2787</v>
      </c>
      <c r="D1313" t="s">
        <v>2789</v>
      </c>
    </row>
    <row r="1314" spans="1:4" x14ac:dyDescent="0.25">
      <c r="A1314" t="s">
        <v>1154</v>
      </c>
      <c r="B1314" t="s">
        <v>2961</v>
      </c>
      <c r="C1314" t="s">
        <v>2787</v>
      </c>
      <c r="D1314" t="s">
        <v>2793</v>
      </c>
    </row>
    <row r="1315" spans="1:4" x14ac:dyDescent="0.25">
      <c r="A1315" t="s">
        <v>2117</v>
      </c>
      <c r="B1315" t="s">
        <v>2961</v>
      </c>
      <c r="C1315" t="s">
        <v>2794</v>
      </c>
      <c r="D1315" t="s">
        <v>2795</v>
      </c>
    </row>
    <row r="1316" spans="1:4" x14ac:dyDescent="0.25">
      <c r="A1316" t="s">
        <v>2118</v>
      </c>
      <c r="B1316" t="s">
        <v>2961</v>
      </c>
      <c r="C1316" t="s">
        <v>2796</v>
      </c>
      <c r="D1316" t="s">
        <v>2799</v>
      </c>
    </row>
    <row r="1317" spans="1:4" x14ac:dyDescent="0.25">
      <c r="A1317" t="s">
        <v>2119</v>
      </c>
      <c r="B1317" t="s">
        <v>2961</v>
      </c>
      <c r="C1317" t="s">
        <v>2797</v>
      </c>
      <c r="D1317" t="s">
        <v>2799</v>
      </c>
    </row>
    <row r="1318" spans="1:4" x14ac:dyDescent="0.25">
      <c r="A1318" t="s">
        <v>2120</v>
      </c>
      <c r="B1318" t="s">
        <v>2961</v>
      </c>
      <c r="C1318" t="s">
        <v>2796</v>
      </c>
      <c r="D1318" t="s">
        <v>2799</v>
      </c>
    </row>
    <row r="1319" spans="1:4" x14ac:dyDescent="0.25">
      <c r="A1319" t="s">
        <v>2121</v>
      </c>
      <c r="B1319" t="s">
        <v>2961</v>
      </c>
      <c r="C1319" t="s">
        <v>2797</v>
      </c>
      <c r="D1319" t="s">
        <v>2799</v>
      </c>
    </row>
    <row r="1320" spans="1:4" x14ac:dyDescent="0.25">
      <c r="A1320" t="s">
        <v>2122</v>
      </c>
      <c r="B1320" t="s">
        <v>2961</v>
      </c>
      <c r="C1320" t="s">
        <v>2798</v>
      </c>
      <c r="D1320" t="s">
        <v>2799</v>
      </c>
    </row>
    <row r="1321" spans="1:4" x14ac:dyDescent="0.25">
      <c r="A1321" t="s">
        <v>2123</v>
      </c>
      <c r="B1321" t="s">
        <v>2961</v>
      </c>
      <c r="C1321" t="s">
        <v>2796</v>
      </c>
      <c r="D1321" t="s">
        <v>2799</v>
      </c>
    </row>
    <row r="1322" spans="1:4" x14ac:dyDescent="0.25">
      <c r="A1322" t="s">
        <v>2124</v>
      </c>
      <c r="B1322" t="s">
        <v>2961</v>
      </c>
      <c r="C1322" t="s">
        <v>2797</v>
      </c>
      <c r="D1322" t="s">
        <v>2799</v>
      </c>
    </row>
    <row r="1323" spans="1:4" x14ac:dyDescent="0.25">
      <c r="A1323" t="s">
        <v>2125</v>
      </c>
      <c r="B1323" t="s">
        <v>2961</v>
      </c>
      <c r="C1323" t="s">
        <v>2798</v>
      </c>
      <c r="D1323" t="s">
        <v>2799</v>
      </c>
    </row>
    <row r="1324" spans="1:4" x14ac:dyDescent="0.25">
      <c r="A1324" t="s">
        <v>2126</v>
      </c>
      <c r="B1324" t="s">
        <v>2961</v>
      </c>
      <c r="C1324" t="s">
        <v>2796</v>
      </c>
      <c r="D1324" t="s">
        <v>2799</v>
      </c>
    </row>
    <row r="1325" spans="1:4" x14ac:dyDescent="0.25">
      <c r="A1325" t="s">
        <v>2127</v>
      </c>
      <c r="B1325" t="s">
        <v>2961</v>
      </c>
      <c r="C1325" t="s">
        <v>2803</v>
      </c>
      <c r="D1325" t="s">
        <v>2794</v>
      </c>
    </row>
    <row r="1326" spans="1:4" x14ac:dyDescent="0.25">
      <c r="A1326" t="s">
        <v>2128</v>
      </c>
      <c r="B1326" t="s">
        <v>2961</v>
      </c>
      <c r="C1326" t="s">
        <v>2803</v>
      </c>
      <c r="D1326" t="s">
        <v>2804</v>
      </c>
    </row>
    <row r="1327" spans="1:4" x14ac:dyDescent="0.25">
      <c r="A1327" t="s">
        <v>1156</v>
      </c>
      <c r="B1327" t="s">
        <v>2962</v>
      </c>
      <c r="C1327" t="s">
        <v>2754</v>
      </c>
      <c r="D1327" t="s">
        <v>2753</v>
      </c>
    </row>
    <row r="1328" spans="1:4" x14ac:dyDescent="0.25">
      <c r="A1328" t="s">
        <v>1157</v>
      </c>
      <c r="B1328" t="s">
        <v>2962</v>
      </c>
      <c r="C1328" t="s">
        <v>2754</v>
      </c>
      <c r="D1328" t="s">
        <v>2755</v>
      </c>
    </row>
    <row r="1329" spans="1:4" x14ac:dyDescent="0.25">
      <c r="A1329" t="s">
        <v>1158</v>
      </c>
      <c r="B1329" t="s">
        <v>2962</v>
      </c>
      <c r="C1329" t="s">
        <v>2754</v>
      </c>
      <c r="D1329" t="s">
        <v>2756</v>
      </c>
    </row>
    <row r="1330" spans="1:4" x14ac:dyDescent="0.25">
      <c r="A1330" t="s">
        <v>1159</v>
      </c>
      <c r="B1330" t="s">
        <v>2962</v>
      </c>
      <c r="C1330" t="s">
        <v>2754</v>
      </c>
      <c r="D1330" t="s">
        <v>2757</v>
      </c>
    </row>
    <row r="1331" spans="1:4" x14ac:dyDescent="0.25">
      <c r="A1331" t="s">
        <v>1160</v>
      </c>
      <c r="B1331" t="s">
        <v>2962</v>
      </c>
      <c r="C1331" t="s">
        <v>2754</v>
      </c>
      <c r="D1331" t="s">
        <v>2758</v>
      </c>
    </row>
    <row r="1332" spans="1:4" x14ac:dyDescent="0.25">
      <c r="A1332" t="s">
        <v>1161</v>
      </c>
      <c r="B1332" t="s">
        <v>2962</v>
      </c>
      <c r="C1332" t="s">
        <v>2754</v>
      </c>
      <c r="D1332" t="s">
        <v>2759</v>
      </c>
    </row>
    <row r="1333" spans="1:4" x14ac:dyDescent="0.25">
      <c r="A1333" t="s">
        <v>1162</v>
      </c>
      <c r="B1333" t="s">
        <v>2962</v>
      </c>
      <c r="C1333" t="s">
        <v>2754</v>
      </c>
      <c r="D1333" t="s">
        <v>2758</v>
      </c>
    </row>
    <row r="1334" spans="1:4" x14ac:dyDescent="0.25">
      <c r="A1334" t="s">
        <v>1163</v>
      </c>
      <c r="B1334" t="s">
        <v>2962</v>
      </c>
      <c r="C1334" t="s">
        <v>2775</v>
      </c>
      <c r="D1334" t="s">
        <v>2778</v>
      </c>
    </row>
    <row r="1335" spans="1:4" x14ac:dyDescent="0.25">
      <c r="A1335" t="s">
        <v>1164</v>
      </c>
      <c r="B1335" t="s">
        <v>2962</v>
      </c>
      <c r="C1335" t="s">
        <v>2775</v>
      </c>
      <c r="D1335" t="s">
        <v>2780</v>
      </c>
    </row>
    <row r="1336" spans="1:4" x14ac:dyDescent="0.25">
      <c r="A1336" t="s">
        <v>1165</v>
      </c>
      <c r="B1336" t="s">
        <v>2962</v>
      </c>
      <c r="C1336" t="s">
        <v>2775</v>
      </c>
      <c r="D1336" t="s">
        <v>2781</v>
      </c>
    </row>
    <row r="1337" spans="1:4" x14ac:dyDescent="0.25">
      <c r="A1337" t="s">
        <v>1166</v>
      </c>
      <c r="B1337" t="s">
        <v>2962</v>
      </c>
      <c r="C1337" t="s">
        <v>2775</v>
      </c>
      <c r="D1337" t="s">
        <v>2781</v>
      </c>
    </row>
    <row r="1338" spans="1:4" x14ac:dyDescent="0.25">
      <c r="A1338" t="s">
        <v>1167</v>
      </c>
      <c r="B1338" t="s">
        <v>2962</v>
      </c>
      <c r="C1338" t="s">
        <v>2775</v>
      </c>
      <c r="D1338" t="s">
        <v>2781</v>
      </c>
    </row>
    <row r="1339" spans="1:4" x14ac:dyDescent="0.25">
      <c r="A1339" t="s">
        <v>1168</v>
      </c>
      <c r="B1339" t="s">
        <v>2962</v>
      </c>
      <c r="C1339" t="s">
        <v>2775</v>
      </c>
      <c r="D1339" t="s">
        <v>2944</v>
      </c>
    </row>
    <row r="1340" spans="1:4" x14ac:dyDescent="0.25">
      <c r="A1340" t="s">
        <v>1169</v>
      </c>
      <c r="B1340" t="s">
        <v>2962</v>
      </c>
      <c r="C1340" t="s">
        <v>2775</v>
      </c>
      <c r="D1340" t="s">
        <v>2785</v>
      </c>
    </row>
    <row r="1341" spans="1:4" x14ac:dyDescent="0.25">
      <c r="A1341" t="s">
        <v>2129</v>
      </c>
      <c r="B1341" t="s">
        <v>2962</v>
      </c>
      <c r="C1341" t="s">
        <v>2794</v>
      </c>
      <c r="D1341" t="s">
        <v>2795</v>
      </c>
    </row>
    <row r="1342" spans="1:4" x14ac:dyDescent="0.25">
      <c r="A1342" t="s">
        <v>2130</v>
      </c>
      <c r="B1342" t="s">
        <v>2962</v>
      </c>
      <c r="C1342" t="s">
        <v>2801</v>
      </c>
      <c r="D1342" t="s">
        <v>2802</v>
      </c>
    </row>
    <row r="1343" spans="1:4" x14ac:dyDescent="0.25">
      <c r="A1343" t="s">
        <v>2131</v>
      </c>
      <c r="B1343" t="s">
        <v>2962</v>
      </c>
      <c r="C1343" t="s">
        <v>2803</v>
      </c>
      <c r="D1343" t="s">
        <v>2794</v>
      </c>
    </row>
    <row r="1344" spans="1:4" x14ac:dyDescent="0.25">
      <c r="A1344" t="s">
        <v>2132</v>
      </c>
      <c r="B1344" t="s">
        <v>2962</v>
      </c>
      <c r="C1344" t="s">
        <v>2803</v>
      </c>
      <c r="D1344" t="s">
        <v>2804</v>
      </c>
    </row>
    <row r="1345" spans="1:4" x14ac:dyDescent="0.25">
      <c r="A1345" t="s">
        <v>1171</v>
      </c>
      <c r="B1345" t="s">
        <v>2963</v>
      </c>
      <c r="C1345" t="s">
        <v>2754</v>
      </c>
      <c r="D1345" t="s">
        <v>2753</v>
      </c>
    </row>
    <row r="1346" spans="1:4" x14ac:dyDescent="0.25">
      <c r="A1346" t="s">
        <v>1172</v>
      </c>
      <c r="B1346" t="s">
        <v>2963</v>
      </c>
      <c r="C1346" t="s">
        <v>2754</v>
      </c>
      <c r="D1346" t="s">
        <v>2755</v>
      </c>
    </row>
    <row r="1347" spans="1:4" x14ac:dyDescent="0.25">
      <c r="A1347" t="s">
        <v>1173</v>
      </c>
      <c r="B1347" t="s">
        <v>2963</v>
      </c>
      <c r="C1347" t="s">
        <v>2754</v>
      </c>
      <c r="D1347" t="s">
        <v>2756</v>
      </c>
    </row>
    <row r="1348" spans="1:4" x14ac:dyDescent="0.25">
      <c r="A1348" t="s">
        <v>1174</v>
      </c>
      <c r="B1348" t="s">
        <v>2963</v>
      </c>
      <c r="C1348" t="s">
        <v>2754</v>
      </c>
      <c r="D1348" t="s">
        <v>2760</v>
      </c>
    </row>
    <row r="1349" spans="1:4" x14ac:dyDescent="0.25">
      <c r="A1349" t="s">
        <v>1175</v>
      </c>
      <c r="B1349" t="s">
        <v>2963</v>
      </c>
      <c r="C1349" t="s">
        <v>2754</v>
      </c>
      <c r="D1349" t="s">
        <v>2761</v>
      </c>
    </row>
    <row r="1350" spans="1:4" x14ac:dyDescent="0.25">
      <c r="A1350" t="s">
        <v>1176</v>
      </c>
      <c r="B1350" t="s">
        <v>2963</v>
      </c>
      <c r="C1350" t="s">
        <v>2754</v>
      </c>
      <c r="D1350" t="s">
        <v>2757</v>
      </c>
    </row>
    <row r="1351" spans="1:4" x14ac:dyDescent="0.25">
      <c r="A1351" t="s">
        <v>1177</v>
      </c>
      <c r="B1351" t="s">
        <v>2963</v>
      </c>
      <c r="C1351" t="s">
        <v>2754</v>
      </c>
      <c r="D1351" t="s">
        <v>2762</v>
      </c>
    </row>
    <row r="1352" spans="1:4" x14ac:dyDescent="0.25">
      <c r="A1352" t="s">
        <v>1178</v>
      </c>
      <c r="B1352" t="s">
        <v>2963</v>
      </c>
      <c r="C1352" t="s">
        <v>2754</v>
      </c>
      <c r="D1352" t="s">
        <v>2755</v>
      </c>
    </row>
    <row r="1353" spans="1:4" x14ac:dyDescent="0.25">
      <c r="A1353" t="s">
        <v>1179</v>
      </c>
      <c r="B1353" t="s">
        <v>2963</v>
      </c>
      <c r="C1353" t="s">
        <v>2754</v>
      </c>
      <c r="D1353" t="s">
        <v>2765</v>
      </c>
    </row>
    <row r="1354" spans="1:4" x14ac:dyDescent="0.25">
      <c r="A1354" t="s">
        <v>1180</v>
      </c>
      <c r="B1354" t="s">
        <v>2963</v>
      </c>
      <c r="C1354" t="s">
        <v>2754</v>
      </c>
      <c r="D1354" t="s">
        <v>2766</v>
      </c>
    </row>
    <row r="1355" spans="1:4" x14ac:dyDescent="0.25">
      <c r="A1355" t="s">
        <v>1181</v>
      </c>
      <c r="B1355" t="s">
        <v>2963</v>
      </c>
      <c r="C1355" t="s">
        <v>2754</v>
      </c>
      <c r="D1355" t="s">
        <v>2767</v>
      </c>
    </row>
    <row r="1356" spans="1:4" x14ac:dyDescent="0.25">
      <c r="A1356" t="s">
        <v>1182</v>
      </c>
      <c r="B1356" t="s">
        <v>2963</v>
      </c>
      <c r="C1356" t="s">
        <v>2754</v>
      </c>
      <c r="D1356" t="s">
        <v>2768</v>
      </c>
    </row>
    <row r="1357" spans="1:4" x14ac:dyDescent="0.25">
      <c r="A1357" t="s">
        <v>1183</v>
      </c>
      <c r="B1357" t="s">
        <v>2963</v>
      </c>
      <c r="C1357" t="s">
        <v>2754</v>
      </c>
      <c r="D1357" t="s">
        <v>2769</v>
      </c>
    </row>
    <row r="1358" spans="1:4" x14ac:dyDescent="0.25">
      <c r="A1358" t="s">
        <v>1184</v>
      </c>
      <c r="B1358" t="s">
        <v>2963</v>
      </c>
      <c r="C1358" t="s">
        <v>2754</v>
      </c>
      <c r="D1358" t="s">
        <v>2770</v>
      </c>
    </row>
    <row r="1359" spans="1:4" x14ac:dyDescent="0.25">
      <c r="A1359" t="s">
        <v>1185</v>
      </c>
      <c r="B1359" t="s">
        <v>2963</v>
      </c>
      <c r="C1359" t="s">
        <v>2754</v>
      </c>
      <c r="D1359" t="s">
        <v>2770</v>
      </c>
    </row>
    <row r="1360" spans="1:4" x14ac:dyDescent="0.25">
      <c r="A1360" t="s">
        <v>1186</v>
      </c>
      <c r="B1360" t="s">
        <v>2963</v>
      </c>
      <c r="C1360" t="s">
        <v>2754</v>
      </c>
      <c r="D1360" t="s">
        <v>2764</v>
      </c>
    </row>
    <row r="1361" spans="1:4" x14ac:dyDescent="0.25">
      <c r="A1361" t="s">
        <v>1187</v>
      </c>
      <c r="B1361" t="s">
        <v>2963</v>
      </c>
      <c r="C1361" t="s">
        <v>2771</v>
      </c>
      <c r="D1361" t="s">
        <v>2773</v>
      </c>
    </row>
    <row r="1362" spans="1:4" x14ac:dyDescent="0.25">
      <c r="A1362" t="s">
        <v>1188</v>
      </c>
      <c r="B1362" t="s">
        <v>2963</v>
      </c>
      <c r="C1362" t="s">
        <v>2771</v>
      </c>
      <c r="D1362" t="s">
        <v>2773</v>
      </c>
    </row>
    <row r="1363" spans="1:4" x14ac:dyDescent="0.25">
      <c r="A1363" t="s">
        <v>1189</v>
      </c>
      <c r="B1363" t="s">
        <v>2963</v>
      </c>
      <c r="C1363" t="s">
        <v>2771</v>
      </c>
      <c r="D1363" t="s">
        <v>2773</v>
      </c>
    </row>
    <row r="1364" spans="1:4" x14ac:dyDescent="0.25">
      <c r="A1364" t="s">
        <v>1190</v>
      </c>
      <c r="B1364" t="s">
        <v>2963</v>
      </c>
      <c r="C1364" t="s">
        <v>2775</v>
      </c>
      <c r="D1364" t="s">
        <v>2964</v>
      </c>
    </row>
    <row r="1365" spans="1:4" x14ac:dyDescent="0.25">
      <c r="A1365" t="s">
        <v>1191</v>
      </c>
      <c r="B1365" t="s">
        <v>2963</v>
      </c>
      <c r="C1365" t="s">
        <v>2775</v>
      </c>
      <c r="D1365" t="s">
        <v>2780</v>
      </c>
    </row>
    <row r="1366" spans="1:4" x14ac:dyDescent="0.25">
      <c r="A1366" t="s">
        <v>1192</v>
      </c>
      <c r="B1366" t="s">
        <v>2963</v>
      </c>
      <c r="C1366" t="s">
        <v>2775</v>
      </c>
      <c r="D1366" t="s">
        <v>2781</v>
      </c>
    </row>
    <row r="1367" spans="1:4" x14ac:dyDescent="0.25">
      <c r="A1367" t="s">
        <v>1193</v>
      </c>
      <c r="B1367" t="s">
        <v>2963</v>
      </c>
      <c r="C1367" t="s">
        <v>2775</v>
      </c>
      <c r="D1367" t="s">
        <v>2784</v>
      </c>
    </row>
    <row r="1368" spans="1:4" x14ac:dyDescent="0.25">
      <c r="A1368" t="s">
        <v>1194</v>
      </c>
      <c r="B1368" t="s">
        <v>2963</v>
      </c>
      <c r="C1368" t="s">
        <v>2787</v>
      </c>
      <c r="D1368" t="s">
        <v>2788</v>
      </c>
    </row>
    <row r="1369" spans="1:4" x14ac:dyDescent="0.25">
      <c r="A1369" t="s">
        <v>1195</v>
      </c>
      <c r="B1369" t="s">
        <v>2963</v>
      </c>
      <c r="C1369" t="s">
        <v>2787</v>
      </c>
      <c r="D1369" t="s">
        <v>2789</v>
      </c>
    </row>
    <row r="1370" spans="1:4" x14ac:dyDescent="0.25">
      <c r="A1370" t="s">
        <v>1196</v>
      </c>
      <c r="B1370" t="s">
        <v>2963</v>
      </c>
      <c r="C1370" t="s">
        <v>2787</v>
      </c>
      <c r="D1370" t="s">
        <v>2789</v>
      </c>
    </row>
    <row r="1371" spans="1:4" x14ac:dyDescent="0.25">
      <c r="A1371" t="s">
        <v>1197</v>
      </c>
      <c r="B1371" t="s">
        <v>2963</v>
      </c>
      <c r="C1371" t="s">
        <v>2787</v>
      </c>
      <c r="D1371" t="s">
        <v>2790</v>
      </c>
    </row>
    <row r="1372" spans="1:4" x14ac:dyDescent="0.25">
      <c r="A1372" t="s">
        <v>1198</v>
      </c>
      <c r="B1372" t="s">
        <v>2963</v>
      </c>
      <c r="C1372" t="s">
        <v>2787</v>
      </c>
      <c r="D1372" t="s">
        <v>2789</v>
      </c>
    </row>
    <row r="1373" spans="1:4" x14ac:dyDescent="0.25">
      <c r="A1373" t="s">
        <v>1199</v>
      </c>
      <c r="B1373" t="s">
        <v>2963</v>
      </c>
      <c r="C1373" t="s">
        <v>2787</v>
      </c>
      <c r="D1373" t="s">
        <v>2789</v>
      </c>
    </row>
    <row r="1374" spans="1:4" x14ac:dyDescent="0.25">
      <c r="A1374" t="s">
        <v>1200</v>
      </c>
      <c r="B1374" t="s">
        <v>2963</v>
      </c>
      <c r="C1374" t="s">
        <v>2787</v>
      </c>
      <c r="D1374" t="s">
        <v>2790</v>
      </c>
    </row>
    <row r="1375" spans="1:4" x14ac:dyDescent="0.25">
      <c r="A1375" t="s">
        <v>1201</v>
      </c>
      <c r="B1375" t="s">
        <v>2963</v>
      </c>
      <c r="C1375" t="s">
        <v>2787</v>
      </c>
      <c r="D1375" t="s">
        <v>2793</v>
      </c>
    </row>
    <row r="1376" spans="1:4" x14ac:dyDescent="0.25">
      <c r="A1376" t="s">
        <v>2133</v>
      </c>
      <c r="B1376" t="s">
        <v>2963</v>
      </c>
      <c r="C1376" t="s">
        <v>2794</v>
      </c>
      <c r="D1376" t="s">
        <v>2795</v>
      </c>
    </row>
    <row r="1377" spans="1:4" x14ac:dyDescent="0.25">
      <c r="A1377" t="s">
        <v>2134</v>
      </c>
      <c r="B1377" t="s">
        <v>2963</v>
      </c>
      <c r="C1377" t="s">
        <v>2796</v>
      </c>
      <c r="D1377" t="s">
        <v>2788</v>
      </c>
    </row>
    <row r="1378" spans="1:4" x14ac:dyDescent="0.25">
      <c r="A1378" t="s">
        <v>2135</v>
      </c>
      <c r="B1378" t="s">
        <v>2963</v>
      </c>
      <c r="C1378" t="s">
        <v>2797</v>
      </c>
      <c r="D1378" t="s">
        <v>2788</v>
      </c>
    </row>
    <row r="1379" spans="1:4" x14ac:dyDescent="0.25">
      <c r="A1379" t="s">
        <v>2136</v>
      </c>
      <c r="B1379" t="s">
        <v>2963</v>
      </c>
      <c r="C1379" t="s">
        <v>2798</v>
      </c>
      <c r="D1379" t="s">
        <v>2788</v>
      </c>
    </row>
    <row r="1380" spans="1:4" x14ac:dyDescent="0.25">
      <c r="A1380" t="s">
        <v>2137</v>
      </c>
      <c r="B1380" t="s">
        <v>2963</v>
      </c>
      <c r="C1380" t="s">
        <v>2796</v>
      </c>
      <c r="D1380" t="s">
        <v>2799</v>
      </c>
    </row>
    <row r="1381" spans="1:4" x14ac:dyDescent="0.25">
      <c r="A1381" t="s">
        <v>2139</v>
      </c>
      <c r="B1381" t="s">
        <v>2963</v>
      </c>
      <c r="C1381" t="s">
        <v>2796</v>
      </c>
      <c r="D1381" t="s">
        <v>2799</v>
      </c>
    </row>
    <row r="1382" spans="1:4" x14ac:dyDescent="0.25">
      <c r="A1382" t="s">
        <v>1202</v>
      </c>
      <c r="B1382" t="s">
        <v>2963</v>
      </c>
      <c r="C1382" t="s">
        <v>2800</v>
      </c>
      <c r="D1382" t="s">
        <v>2799</v>
      </c>
    </row>
    <row r="1383" spans="1:4" x14ac:dyDescent="0.25">
      <c r="A1383" t="s">
        <v>2140</v>
      </c>
      <c r="B1383" t="s">
        <v>2963</v>
      </c>
      <c r="C1383" t="s">
        <v>2797</v>
      </c>
      <c r="D1383" t="s">
        <v>2799</v>
      </c>
    </row>
    <row r="1384" spans="1:4" x14ac:dyDescent="0.25">
      <c r="A1384" t="s">
        <v>2141</v>
      </c>
      <c r="B1384" t="s">
        <v>2963</v>
      </c>
      <c r="C1384" t="s">
        <v>2797</v>
      </c>
      <c r="D1384" t="s">
        <v>2799</v>
      </c>
    </row>
    <row r="1385" spans="1:4" x14ac:dyDescent="0.25">
      <c r="A1385" t="s">
        <v>2142</v>
      </c>
      <c r="B1385" t="s">
        <v>2963</v>
      </c>
      <c r="C1385" t="s">
        <v>2798</v>
      </c>
      <c r="D1385" t="s">
        <v>2799</v>
      </c>
    </row>
    <row r="1386" spans="1:4" x14ac:dyDescent="0.25">
      <c r="A1386" t="s">
        <v>2143</v>
      </c>
      <c r="B1386" t="s">
        <v>2963</v>
      </c>
      <c r="C1386" t="s">
        <v>2797</v>
      </c>
      <c r="D1386" t="s">
        <v>2799</v>
      </c>
    </row>
    <row r="1387" spans="1:4" x14ac:dyDescent="0.25">
      <c r="A1387" t="s">
        <v>2145</v>
      </c>
      <c r="B1387" t="s">
        <v>2963</v>
      </c>
      <c r="C1387" t="s">
        <v>2796</v>
      </c>
      <c r="D1387" t="s">
        <v>2799</v>
      </c>
    </row>
    <row r="1388" spans="1:4" x14ac:dyDescent="0.25">
      <c r="A1388" t="s">
        <v>1204</v>
      </c>
      <c r="B1388" t="s">
        <v>2963</v>
      </c>
      <c r="C1388" t="s">
        <v>2800</v>
      </c>
      <c r="D1388" t="s">
        <v>2799</v>
      </c>
    </row>
    <row r="1389" spans="1:4" x14ac:dyDescent="0.25">
      <c r="A1389" t="s">
        <v>2146</v>
      </c>
      <c r="B1389" t="s">
        <v>2963</v>
      </c>
      <c r="C1389" t="s">
        <v>2797</v>
      </c>
      <c r="D1389" t="s">
        <v>2799</v>
      </c>
    </row>
    <row r="1390" spans="1:4" x14ac:dyDescent="0.25">
      <c r="A1390" t="s">
        <v>2147</v>
      </c>
      <c r="B1390" t="s">
        <v>2963</v>
      </c>
      <c r="C1390" t="s">
        <v>2798</v>
      </c>
      <c r="D1390" t="s">
        <v>2799</v>
      </c>
    </row>
    <row r="1391" spans="1:4" x14ac:dyDescent="0.25">
      <c r="A1391" t="s">
        <v>2148</v>
      </c>
      <c r="B1391" t="s">
        <v>2963</v>
      </c>
      <c r="C1391" t="s">
        <v>2796</v>
      </c>
      <c r="D1391" t="s">
        <v>2799</v>
      </c>
    </row>
    <row r="1392" spans="1:4" x14ac:dyDescent="0.25">
      <c r="A1392" t="s">
        <v>2149</v>
      </c>
      <c r="B1392" t="s">
        <v>2963</v>
      </c>
      <c r="C1392" t="s">
        <v>2797</v>
      </c>
      <c r="D1392" t="s">
        <v>2799</v>
      </c>
    </row>
    <row r="1393" spans="1:4" x14ac:dyDescent="0.25">
      <c r="A1393" t="s">
        <v>2150</v>
      </c>
      <c r="B1393" t="s">
        <v>2963</v>
      </c>
      <c r="C1393" t="s">
        <v>2798</v>
      </c>
      <c r="D1393" t="s">
        <v>2799</v>
      </c>
    </row>
    <row r="1394" spans="1:4" x14ac:dyDescent="0.25">
      <c r="A1394" t="s">
        <v>2151</v>
      </c>
      <c r="B1394" t="s">
        <v>2963</v>
      </c>
      <c r="C1394" t="s">
        <v>2796</v>
      </c>
      <c r="D1394" t="s">
        <v>2799</v>
      </c>
    </row>
    <row r="1395" spans="1:4" x14ac:dyDescent="0.25">
      <c r="A1395" t="s">
        <v>2152</v>
      </c>
      <c r="B1395" t="s">
        <v>2963</v>
      </c>
      <c r="C1395" t="s">
        <v>2797</v>
      </c>
      <c r="D1395" t="s">
        <v>2799</v>
      </c>
    </row>
    <row r="1396" spans="1:4" x14ac:dyDescent="0.25">
      <c r="A1396" t="s">
        <v>2153</v>
      </c>
      <c r="B1396" t="s">
        <v>2963</v>
      </c>
      <c r="C1396" t="s">
        <v>2796</v>
      </c>
      <c r="D1396" t="s">
        <v>2799</v>
      </c>
    </row>
    <row r="1397" spans="1:4" x14ac:dyDescent="0.25">
      <c r="A1397" t="s">
        <v>1206</v>
      </c>
      <c r="B1397" t="s">
        <v>2963</v>
      </c>
      <c r="C1397" t="s">
        <v>2800</v>
      </c>
      <c r="D1397" t="s">
        <v>2799</v>
      </c>
    </row>
    <row r="1398" spans="1:4" x14ac:dyDescent="0.25">
      <c r="A1398" t="s">
        <v>1208</v>
      </c>
      <c r="B1398" t="s">
        <v>2963</v>
      </c>
      <c r="C1398" t="s">
        <v>2800</v>
      </c>
      <c r="D1398" t="s">
        <v>2965</v>
      </c>
    </row>
    <row r="1399" spans="1:4" x14ac:dyDescent="0.25">
      <c r="A1399" t="s">
        <v>1210</v>
      </c>
      <c r="B1399" t="s">
        <v>2963</v>
      </c>
      <c r="C1399" t="s">
        <v>2800</v>
      </c>
      <c r="D1399" t="s">
        <v>2965</v>
      </c>
    </row>
    <row r="1400" spans="1:4" x14ac:dyDescent="0.25">
      <c r="A1400" t="s">
        <v>2155</v>
      </c>
      <c r="B1400" t="s">
        <v>2963</v>
      </c>
      <c r="C1400" t="s">
        <v>2797</v>
      </c>
      <c r="D1400" t="s">
        <v>2799</v>
      </c>
    </row>
    <row r="1401" spans="1:4" x14ac:dyDescent="0.25">
      <c r="A1401" t="s">
        <v>2156</v>
      </c>
      <c r="B1401" t="s">
        <v>2963</v>
      </c>
      <c r="C1401" t="s">
        <v>2798</v>
      </c>
      <c r="D1401" t="s">
        <v>2799</v>
      </c>
    </row>
    <row r="1402" spans="1:4" x14ac:dyDescent="0.25">
      <c r="A1402" t="s">
        <v>2157</v>
      </c>
      <c r="B1402" t="s">
        <v>2963</v>
      </c>
      <c r="C1402" t="s">
        <v>2796</v>
      </c>
      <c r="D1402" t="s">
        <v>2799</v>
      </c>
    </row>
    <row r="1403" spans="1:4" x14ac:dyDescent="0.25">
      <c r="A1403" t="s">
        <v>1211</v>
      </c>
      <c r="B1403" t="s">
        <v>2963</v>
      </c>
      <c r="C1403" t="s">
        <v>2800</v>
      </c>
      <c r="D1403" t="s">
        <v>2799</v>
      </c>
    </row>
    <row r="1404" spans="1:4" x14ac:dyDescent="0.25">
      <c r="A1404" t="s">
        <v>1213</v>
      </c>
      <c r="B1404" t="s">
        <v>2963</v>
      </c>
      <c r="C1404" t="s">
        <v>2800</v>
      </c>
      <c r="D1404" t="s">
        <v>2799</v>
      </c>
    </row>
    <row r="1405" spans="1:4" x14ac:dyDescent="0.25">
      <c r="A1405" t="s">
        <v>2158</v>
      </c>
      <c r="B1405" t="s">
        <v>2963</v>
      </c>
      <c r="C1405" t="s">
        <v>2798</v>
      </c>
      <c r="D1405" t="s">
        <v>2799</v>
      </c>
    </row>
    <row r="1406" spans="1:4" x14ac:dyDescent="0.25">
      <c r="A1406" t="s">
        <v>2159</v>
      </c>
      <c r="B1406" t="s">
        <v>2963</v>
      </c>
      <c r="C1406" t="s">
        <v>2796</v>
      </c>
      <c r="D1406" t="s">
        <v>2799</v>
      </c>
    </row>
    <row r="1407" spans="1:4" x14ac:dyDescent="0.25">
      <c r="A1407" t="s">
        <v>1215</v>
      </c>
      <c r="B1407" t="s">
        <v>2963</v>
      </c>
      <c r="C1407" t="s">
        <v>2800</v>
      </c>
      <c r="D1407" t="s">
        <v>2799</v>
      </c>
    </row>
    <row r="1408" spans="1:4" x14ac:dyDescent="0.25">
      <c r="A1408" t="s">
        <v>2160</v>
      </c>
      <c r="B1408" t="s">
        <v>2963</v>
      </c>
      <c r="C1408" t="s">
        <v>2797</v>
      </c>
      <c r="D1408" t="s">
        <v>2799</v>
      </c>
    </row>
    <row r="1409" spans="1:4" x14ac:dyDescent="0.25">
      <c r="A1409" t="s">
        <v>2161</v>
      </c>
      <c r="B1409" t="s">
        <v>2963</v>
      </c>
      <c r="C1409" t="s">
        <v>2798</v>
      </c>
      <c r="D1409" t="s">
        <v>2799</v>
      </c>
    </row>
    <row r="1410" spans="1:4" x14ac:dyDescent="0.25">
      <c r="A1410" t="s">
        <v>2162</v>
      </c>
      <c r="B1410" t="s">
        <v>2963</v>
      </c>
      <c r="C1410" t="s">
        <v>2796</v>
      </c>
      <c r="D1410" t="s">
        <v>2799</v>
      </c>
    </row>
    <row r="1411" spans="1:4" x14ac:dyDescent="0.25">
      <c r="A1411" t="s">
        <v>2163</v>
      </c>
      <c r="B1411" t="s">
        <v>2963</v>
      </c>
      <c r="C1411" t="s">
        <v>2801</v>
      </c>
      <c r="D1411" t="s">
        <v>2802</v>
      </c>
    </row>
    <row r="1412" spans="1:4" x14ac:dyDescent="0.25">
      <c r="A1412" t="s">
        <v>2164</v>
      </c>
      <c r="B1412" t="s">
        <v>2963</v>
      </c>
      <c r="C1412" t="s">
        <v>2803</v>
      </c>
      <c r="D1412" t="s">
        <v>2794</v>
      </c>
    </row>
    <row r="1413" spans="1:4" x14ac:dyDescent="0.25">
      <c r="A1413" t="s">
        <v>2165</v>
      </c>
      <c r="B1413" t="s">
        <v>2963</v>
      </c>
      <c r="C1413" t="s">
        <v>2803</v>
      </c>
      <c r="D1413" t="s">
        <v>2804</v>
      </c>
    </row>
    <row r="1414" spans="1:4" x14ac:dyDescent="0.25">
      <c r="A1414" t="s">
        <v>1218</v>
      </c>
      <c r="B1414" t="s">
        <v>2966</v>
      </c>
      <c r="C1414" t="s">
        <v>2871</v>
      </c>
      <c r="D1414" t="s">
        <v>2967</v>
      </c>
    </row>
    <row r="1415" spans="1:4" x14ac:dyDescent="0.25">
      <c r="A1415" t="s">
        <v>1219</v>
      </c>
      <c r="B1415" t="s">
        <v>2966</v>
      </c>
      <c r="C1415" t="s">
        <v>2871</v>
      </c>
      <c r="D1415" t="s">
        <v>2968</v>
      </c>
    </row>
    <row r="1416" spans="1:4" x14ac:dyDescent="0.25">
      <c r="A1416" t="s">
        <v>1220</v>
      </c>
      <c r="B1416" t="s">
        <v>2966</v>
      </c>
      <c r="C1416" t="s">
        <v>2754</v>
      </c>
      <c r="D1416" t="s">
        <v>2969</v>
      </c>
    </row>
    <row r="1417" spans="1:4" x14ac:dyDescent="0.25">
      <c r="A1417" t="s">
        <v>1221</v>
      </c>
      <c r="B1417" t="s">
        <v>2966</v>
      </c>
      <c r="C1417" t="s">
        <v>2754</v>
      </c>
      <c r="D1417" t="s">
        <v>2755</v>
      </c>
    </row>
    <row r="1418" spans="1:4" x14ac:dyDescent="0.25">
      <c r="A1418" t="s">
        <v>1222</v>
      </c>
      <c r="B1418" t="s">
        <v>2966</v>
      </c>
      <c r="C1418" t="s">
        <v>2754</v>
      </c>
      <c r="D1418" t="s">
        <v>2769</v>
      </c>
    </row>
    <row r="1419" spans="1:4" x14ac:dyDescent="0.25">
      <c r="A1419" t="s">
        <v>1223</v>
      </c>
      <c r="B1419" t="s">
        <v>2966</v>
      </c>
      <c r="C1419" t="s">
        <v>2771</v>
      </c>
      <c r="D1419" t="s">
        <v>2826</v>
      </c>
    </row>
    <row r="1420" spans="1:4" x14ac:dyDescent="0.25">
      <c r="A1420" t="s">
        <v>1224</v>
      </c>
      <c r="B1420" t="s">
        <v>2966</v>
      </c>
      <c r="C1420" t="s">
        <v>2771</v>
      </c>
      <c r="D1420" t="s">
        <v>2826</v>
      </c>
    </row>
    <row r="1421" spans="1:4" x14ac:dyDescent="0.25">
      <c r="A1421" t="s">
        <v>1225</v>
      </c>
      <c r="B1421" t="s">
        <v>2966</v>
      </c>
      <c r="C1421" t="s">
        <v>2775</v>
      </c>
      <c r="D1421" t="s">
        <v>2780</v>
      </c>
    </row>
    <row r="1422" spans="1:4" x14ac:dyDescent="0.25">
      <c r="A1422" t="s">
        <v>1226</v>
      </c>
      <c r="B1422" t="s">
        <v>2966</v>
      </c>
      <c r="C1422" t="s">
        <v>2775</v>
      </c>
      <c r="D1422" t="s">
        <v>2781</v>
      </c>
    </row>
    <row r="1423" spans="1:4" x14ac:dyDescent="0.25">
      <c r="A1423" t="s">
        <v>1227</v>
      </c>
      <c r="B1423" t="s">
        <v>2966</v>
      </c>
      <c r="C1423" t="s">
        <v>2787</v>
      </c>
      <c r="D1423" t="s">
        <v>2788</v>
      </c>
    </row>
    <row r="1424" spans="1:4" x14ac:dyDescent="0.25">
      <c r="A1424" t="s">
        <v>1228</v>
      </c>
      <c r="B1424" t="s">
        <v>2966</v>
      </c>
      <c r="C1424" t="s">
        <v>2787</v>
      </c>
      <c r="D1424" t="s">
        <v>2789</v>
      </c>
    </row>
    <row r="1425" spans="1:4" x14ac:dyDescent="0.25">
      <c r="A1425" t="s">
        <v>1229</v>
      </c>
      <c r="B1425" t="s">
        <v>2966</v>
      </c>
      <c r="C1425" t="s">
        <v>2787</v>
      </c>
      <c r="D1425" t="s">
        <v>2789</v>
      </c>
    </row>
    <row r="1426" spans="1:4" x14ac:dyDescent="0.25">
      <c r="A1426" t="s">
        <v>2166</v>
      </c>
      <c r="B1426" t="s">
        <v>2966</v>
      </c>
      <c r="C1426" t="s">
        <v>2794</v>
      </c>
      <c r="D1426" t="s">
        <v>2795</v>
      </c>
    </row>
    <row r="1427" spans="1:4" x14ac:dyDescent="0.25">
      <c r="A1427" t="s">
        <v>2167</v>
      </c>
      <c r="B1427" t="s">
        <v>2966</v>
      </c>
      <c r="C1427" t="s">
        <v>2796</v>
      </c>
      <c r="D1427" t="s">
        <v>2788</v>
      </c>
    </row>
    <row r="1428" spans="1:4" x14ac:dyDescent="0.25">
      <c r="A1428" t="s">
        <v>2168</v>
      </c>
      <c r="B1428" t="s">
        <v>2966</v>
      </c>
      <c r="C1428" t="s">
        <v>2797</v>
      </c>
      <c r="D1428" t="s">
        <v>2788</v>
      </c>
    </row>
    <row r="1429" spans="1:4" x14ac:dyDescent="0.25">
      <c r="A1429" t="s">
        <v>2169</v>
      </c>
      <c r="B1429" t="s">
        <v>2966</v>
      </c>
      <c r="C1429" t="s">
        <v>2798</v>
      </c>
      <c r="D1429" t="s">
        <v>2788</v>
      </c>
    </row>
    <row r="1430" spans="1:4" x14ac:dyDescent="0.25">
      <c r="A1430" t="s">
        <v>2170</v>
      </c>
      <c r="B1430" t="s">
        <v>2966</v>
      </c>
      <c r="C1430" t="s">
        <v>2796</v>
      </c>
      <c r="D1430" t="s">
        <v>2799</v>
      </c>
    </row>
    <row r="1431" spans="1:4" x14ac:dyDescent="0.25">
      <c r="A1431" t="s">
        <v>2171</v>
      </c>
      <c r="B1431" t="s">
        <v>2966</v>
      </c>
      <c r="C1431" t="s">
        <v>2797</v>
      </c>
      <c r="D1431" t="s">
        <v>2799</v>
      </c>
    </row>
    <row r="1432" spans="1:4" x14ac:dyDescent="0.25">
      <c r="A1432" t="s">
        <v>2172</v>
      </c>
      <c r="B1432" t="s">
        <v>2966</v>
      </c>
      <c r="C1432" t="s">
        <v>2798</v>
      </c>
      <c r="D1432" t="s">
        <v>2799</v>
      </c>
    </row>
    <row r="1433" spans="1:4" x14ac:dyDescent="0.25">
      <c r="A1433" t="s">
        <v>2173</v>
      </c>
      <c r="B1433" t="s">
        <v>2966</v>
      </c>
      <c r="C1433" t="s">
        <v>2796</v>
      </c>
      <c r="D1433" t="s">
        <v>2799</v>
      </c>
    </row>
    <row r="1434" spans="1:4" x14ac:dyDescent="0.25">
      <c r="A1434" t="s">
        <v>2174</v>
      </c>
      <c r="B1434" t="s">
        <v>2966</v>
      </c>
      <c r="C1434" t="s">
        <v>2797</v>
      </c>
      <c r="D1434" t="s">
        <v>2799</v>
      </c>
    </row>
    <row r="1435" spans="1:4" x14ac:dyDescent="0.25">
      <c r="A1435" t="s">
        <v>2175</v>
      </c>
      <c r="B1435" t="s">
        <v>2966</v>
      </c>
      <c r="C1435" t="s">
        <v>2798</v>
      </c>
      <c r="D1435" t="s">
        <v>2799</v>
      </c>
    </row>
    <row r="1436" spans="1:4" x14ac:dyDescent="0.25">
      <c r="A1436" t="s">
        <v>2176</v>
      </c>
      <c r="B1436" t="s">
        <v>2966</v>
      </c>
      <c r="C1436" t="s">
        <v>2801</v>
      </c>
      <c r="D1436" t="s">
        <v>2802</v>
      </c>
    </row>
    <row r="1437" spans="1:4" x14ac:dyDescent="0.25">
      <c r="A1437" t="s">
        <v>2177</v>
      </c>
      <c r="B1437" t="s">
        <v>2966</v>
      </c>
      <c r="C1437" t="s">
        <v>2803</v>
      </c>
      <c r="D1437" t="s">
        <v>2794</v>
      </c>
    </row>
    <row r="1438" spans="1:4" x14ac:dyDescent="0.25">
      <c r="A1438" t="s">
        <v>2178</v>
      </c>
      <c r="B1438" t="s">
        <v>2966</v>
      </c>
      <c r="C1438" t="s">
        <v>2803</v>
      </c>
      <c r="D1438" t="s">
        <v>2804</v>
      </c>
    </row>
    <row r="1439" spans="1:4" x14ac:dyDescent="0.25">
      <c r="A1439" t="s">
        <v>1231</v>
      </c>
      <c r="B1439" t="s">
        <v>2970</v>
      </c>
      <c r="C1439" t="s">
        <v>2889</v>
      </c>
      <c r="D1439" t="s">
        <v>2971</v>
      </c>
    </row>
    <row r="1440" spans="1:4" x14ac:dyDescent="0.25">
      <c r="A1440" t="s">
        <v>1232</v>
      </c>
      <c r="B1440" t="s">
        <v>2970</v>
      </c>
      <c r="C1440" t="s">
        <v>2751</v>
      </c>
      <c r="D1440" t="s">
        <v>2972</v>
      </c>
    </row>
    <row r="1441" spans="1:4" x14ac:dyDescent="0.25">
      <c r="A1441" t="s">
        <v>1233</v>
      </c>
      <c r="B1441" t="s">
        <v>2970</v>
      </c>
      <c r="C1441" t="s">
        <v>2957</v>
      </c>
      <c r="D1441" t="s">
        <v>2879</v>
      </c>
    </row>
    <row r="1442" spans="1:4" x14ac:dyDescent="0.25">
      <c r="A1442" t="s">
        <v>1234</v>
      </c>
      <c r="B1442" t="s">
        <v>2970</v>
      </c>
      <c r="C1442" t="s">
        <v>2957</v>
      </c>
      <c r="D1442" t="s">
        <v>2879</v>
      </c>
    </row>
    <row r="1443" spans="1:4" x14ac:dyDescent="0.25">
      <c r="A1443" t="s">
        <v>1235</v>
      </c>
      <c r="B1443" t="s">
        <v>2970</v>
      </c>
      <c r="C1443" t="s">
        <v>2957</v>
      </c>
      <c r="D1443" t="s">
        <v>2879</v>
      </c>
    </row>
    <row r="1444" spans="1:4" x14ac:dyDescent="0.25">
      <c r="A1444" t="s">
        <v>1236</v>
      </c>
      <c r="B1444" t="s">
        <v>2970</v>
      </c>
      <c r="C1444" t="s">
        <v>2957</v>
      </c>
      <c r="D1444" t="s">
        <v>2879</v>
      </c>
    </row>
    <row r="1445" spans="1:4" x14ac:dyDescent="0.25">
      <c r="A1445" t="s">
        <v>1237</v>
      </c>
      <c r="B1445" t="s">
        <v>2970</v>
      </c>
      <c r="C1445" t="s">
        <v>2957</v>
      </c>
      <c r="D1445" t="s">
        <v>2879</v>
      </c>
    </row>
    <row r="1446" spans="1:4" x14ac:dyDescent="0.25">
      <c r="A1446" t="s">
        <v>1238</v>
      </c>
      <c r="B1446" t="s">
        <v>2970</v>
      </c>
      <c r="C1446" t="s">
        <v>2874</v>
      </c>
      <c r="D1446" t="s">
        <v>2879</v>
      </c>
    </row>
    <row r="1447" spans="1:4" x14ac:dyDescent="0.25">
      <c r="A1447" t="s">
        <v>1239</v>
      </c>
      <c r="B1447" t="s">
        <v>2970</v>
      </c>
      <c r="C1447" t="s">
        <v>2754</v>
      </c>
      <c r="D1447" t="s">
        <v>2753</v>
      </c>
    </row>
    <row r="1448" spans="1:4" x14ac:dyDescent="0.25">
      <c r="A1448" t="s">
        <v>1240</v>
      </c>
      <c r="B1448" t="s">
        <v>2970</v>
      </c>
      <c r="C1448" t="s">
        <v>2754</v>
      </c>
      <c r="D1448" t="s">
        <v>2755</v>
      </c>
    </row>
    <row r="1449" spans="1:4" x14ac:dyDescent="0.25">
      <c r="A1449" t="s">
        <v>1241</v>
      </c>
      <c r="B1449" t="s">
        <v>2970</v>
      </c>
      <c r="C1449" t="s">
        <v>2754</v>
      </c>
      <c r="D1449" t="s">
        <v>2756</v>
      </c>
    </row>
    <row r="1450" spans="1:4" x14ac:dyDescent="0.25">
      <c r="A1450" t="s">
        <v>1242</v>
      </c>
      <c r="B1450" t="s">
        <v>2970</v>
      </c>
      <c r="C1450" t="s">
        <v>2754</v>
      </c>
      <c r="D1450" t="s">
        <v>2760</v>
      </c>
    </row>
    <row r="1451" spans="1:4" x14ac:dyDescent="0.25">
      <c r="A1451" t="s">
        <v>1243</v>
      </c>
      <c r="B1451" t="s">
        <v>2970</v>
      </c>
      <c r="C1451" t="s">
        <v>2754</v>
      </c>
      <c r="D1451" t="s">
        <v>2761</v>
      </c>
    </row>
    <row r="1452" spans="1:4" x14ac:dyDescent="0.25">
      <c r="A1452" t="s">
        <v>1244</v>
      </c>
      <c r="B1452" t="s">
        <v>2970</v>
      </c>
      <c r="C1452" t="s">
        <v>2754</v>
      </c>
      <c r="D1452" t="s">
        <v>2757</v>
      </c>
    </row>
    <row r="1453" spans="1:4" x14ac:dyDescent="0.25">
      <c r="A1453" t="s">
        <v>1245</v>
      </c>
      <c r="B1453" t="s">
        <v>2970</v>
      </c>
      <c r="C1453" t="s">
        <v>2754</v>
      </c>
      <c r="D1453" t="s">
        <v>2762</v>
      </c>
    </row>
    <row r="1454" spans="1:4" x14ac:dyDescent="0.25">
      <c r="A1454" t="s">
        <v>1246</v>
      </c>
      <c r="B1454" t="s">
        <v>2970</v>
      </c>
      <c r="C1454" t="s">
        <v>2754</v>
      </c>
      <c r="D1454" t="s">
        <v>2763</v>
      </c>
    </row>
    <row r="1455" spans="1:4" x14ac:dyDescent="0.25">
      <c r="A1455" t="s">
        <v>1247</v>
      </c>
      <c r="B1455" t="s">
        <v>2970</v>
      </c>
      <c r="C1455" t="s">
        <v>2754</v>
      </c>
      <c r="D1455" t="s">
        <v>2755</v>
      </c>
    </row>
    <row r="1456" spans="1:4" x14ac:dyDescent="0.25">
      <c r="A1456" t="s">
        <v>1248</v>
      </c>
      <c r="B1456" t="s">
        <v>2970</v>
      </c>
      <c r="C1456" t="s">
        <v>2754</v>
      </c>
      <c r="D1456" t="s">
        <v>2765</v>
      </c>
    </row>
    <row r="1457" spans="1:4" x14ac:dyDescent="0.25">
      <c r="A1457" t="s">
        <v>1249</v>
      </c>
      <c r="B1457" t="s">
        <v>2970</v>
      </c>
      <c r="C1457" t="s">
        <v>2754</v>
      </c>
      <c r="D1457" t="s">
        <v>2758</v>
      </c>
    </row>
    <row r="1458" spans="1:4" x14ac:dyDescent="0.25">
      <c r="A1458" t="s">
        <v>1250</v>
      </c>
      <c r="B1458" t="s">
        <v>2970</v>
      </c>
      <c r="C1458" t="s">
        <v>2754</v>
      </c>
      <c r="D1458" t="s">
        <v>2766</v>
      </c>
    </row>
    <row r="1459" spans="1:4" x14ac:dyDescent="0.25">
      <c r="A1459" t="s">
        <v>1251</v>
      </c>
      <c r="B1459" t="s">
        <v>2970</v>
      </c>
      <c r="C1459" t="s">
        <v>2754</v>
      </c>
      <c r="D1459" t="s">
        <v>2767</v>
      </c>
    </row>
    <row r="1460" spans="1:4" x14ac:dyDescent="0.25">
      <c r="A1460" t="s">
        <v>1252</v>
      </c>
      <c r="B1460" t="s">
        <v>2970</v>
      </c>
      <c r="C1460" t="s">
        <v>2754</v>
      </c>
      <c r="D1460" t="s">
        <v>2768</v>
      </c>
    </row>
    <row r="1461" spans="1:4" x14ac:dyDescent="0.25">
      <c r="A1461" t="s">
        <v>1253</v>
      </c>
      <c r="B1461" t="s">
        <v>2970</v>
      </c>
      <c r="C1461" t="s">
        <v>2754</v>
      </c>
      <c r="D1461" t="s">
        <v>2769</v>
      </c>
    </row>
    <row r="1462" spans="1:4" x14ac:dyDescent="0.25">
      <c r="A1462" t="s">
        <v>1254</v>
      </c>
      <c r="B1462" t="s">
        <v>2970</v>
      </c>
      <c r="C1462" t="s">
        <v>2754</v>
      </c>
      <c r="D1462" t="s">
        <v>2770</v>
      </c>
    </row>
    <row r="1463" spans="1:4" x14ac:dyDescent="0.25">
      <c r="A1463" t="s">
        <v>1255</v>
      </c>
      <c r="B1463" t="s">
        <v>2970</v>
      </c>
      <c r="C1463" t="s">
        <v>2754</v>
      </c>
      <c r="D1463" t="s">
        <v>2770</v>
      </c>
    </row>
    <row r="1464" spans="1:4" x14ac:dyDescent="0.25">
      <c r="A1464" t="s">
        <v>1256</v>
      </c>
      <c r="B1464" t="s">
        <v>2970</v>
      </c>
      <c r="C1464" t="s">
        <v>2754</v>
      </c>
      <c r="D1464" t="s">
        <v>2764</v>
      </c>
    </row>
    <row r="1465" spans="1:4" x14ac:dyDescent="0.25">
      <c r="A1465" t="s">
        <v>1257</v>
      </c>
      <c r="B1465" t="s">
        <v>2970</v>
      </c>
      <c r="C1465" t="s">
        <v>2771</v>
      </c>
      <c r="D1465" t="s">
        <v>2772</v>
      </c>
    </row>
    <row r="1466" spans="1:4" x14ac:dyDescent="0.25">
      <c r="A1466" t="s">
        <v>1258</v>
      </c>
      <c r="B1466" t="s">
        <v>2970</v>
      </c>
      <c r="C1466" t="s">
        <v>2771</v>
      </c>
      <c r="D1466" t="s">
        <v>2773</v>
      </c>
    </row>
    <row r="1467" spans="1:4" x14ac:dyDescent="0.25">
      <c r="A1467" t="s">
        <v>1259</v>
      </c>
      <c r="B1467" t="s">
        <v>2970</v>
      </c>
      <c r="C1467" t="s">
        <v>2775</v>
      </c>
      <c r="D1467" t="s">
        <v>2780</v>
      </c>
    </row>
    <row r="1468" spans="1:4" x14ac:dyDescent="0.25">
      <c r="A1468" t="s">
        <v>1260</v>
      </c>
      <c r="B1468" t="s">
        <v>2970</v>
      </c>
      <c r="C1468" t="s">
        <v>2775</v>
      </c>
      <c r="D1468" t="s">
        <v>2781</v>
      </c>
    </row>
    <row r="1469" spans="1:4" x14ac:dyDescent="0.25">
      <c r="A1469" t="s">
        <v>1261</v>
      </c>
      <c r="B1469" t="s">
        <v>2970</v>
      </c>
      <c r="C1469" t="s">
        <v>2775</v>
      </c>
      <c r="D1469" t="s">
        <v>2973</v>
      </c>
    </row>
    <row r="1470" spans="1:4" x14ac:dyDescent="0.25">
      <c r="A1470" t="s">
        <v>1262</v>
      </c>
      <c r="B1470" t="s">
        <v>2970</v>
      </c>
      <c r="C1470" t="s">
        <v>2975</v>
      </c>
      <c r="D1470" t="s">
        <v>2974</v>
      </c>
    </row>
    <row r="1471" spans="1:4" x14ac:dyDescent="0.25">
      <c r="A1471" t="s">
        <v>1263</v>
      </c>
      <c r="B1471" t="s">
        <v>2970</v>
      </c>
      <c r="C1471" t="s">
        <v>2787</v>
      </c>
      <c r="D1471" t="s">
        <v>2789</v>
      </c>
    </row>
    <row r="1472" spans="1:4" x14ac:dyDescent="0.25">
      <c r="A1472" t="s">
        <v>1264</v>
      </c>
      <c r="B1472" t="s">
        <v>2970</v>
      </c>
      <c r="C1472" t="s">
        <v>2787</v>
      </c>
      <c r="D1472" t="s">
        <v>2789</v>
      </c>
    </row>
    <row r="1473" spans="1:4" x14ac:dyDescent="0.25">
      <c r="A1473" t="s">
        <v>1265</v>
      </c>
      <c r="B1473" t="s">
        <v>2970</v>
      </c>
      <c r="C1473" t="s">
        <v>2787</v>
      </c>
      <c r="D1473" t="s">
        <v>2790</v>
      </c>
    </row>
    <row r="1474" spans="1:4" x14ac:dyDescent="0.25">
      <c r="A1474" t="s">
        <v>1266</v>
      </c>
      <c r="B1474" t="s">
        <v>2970</v>
      </c>
      <c r="C1474" t="s">
        <v>2787</v>
      </c>
      <c r="D1474" t="s">
        <v>2789</v>
      </c>
    </row>
    <row r="1475" spans="1:4" x14ac:dyDescent="0.25">
      <c r="A1475" t="s">
        <v>1267</v>
      </c>
      <c r="B1475" t="s">
        <v>2970</v>
      </c>
      <c r="C1475" t="s">
        <v>2787</v>
      </c>
      <c r="D1475" t="s">
        <v>2789</v>
      </c>
    </row>
    <row r="1476" spans="1:4" x14ac:dyDescent="0.25">
      <c r="A1476" t="s">
        <v>2179</v>
      </c>
      <c r="B1476" t="s">
        <v>2970</v>
      </c>
      <c r="C1476" t="s">
        <v>2775</v>
      </c>
      <c r="D1476" t="s">
        <v>2876</v>
      </c>
    </row>
    <row r="1477" spans="1:4" x14ac:dyDescent="0.25">
      <c r="A1477" t="s">
        <v>2181</v>
      </c>
      <c r="B1477" t="s">
        <v>2970</v>
      </c>
      <c r="C1477" t="s">
        <v>2794</v>
      </c>
      <c r="D1477" t="s">
        <v>2795</v>
      </c>
    </row>
    <row r="1478" spans="1:4" x14ac:dyDescent="0.25">
      <c r="A1478" t="s">
        <v>2182</v>
      </c>
      <c r="B1478" t="s">
        <v>2970</v>
      </c>
      <c r="C1478" t="s">
        <v>2885</v>
      </c>
      <c r="D1478" t="s">
        <v>2976</v>
      </c>
    </row>
    <row r="1479" spans="1:4" x14ac:dyDescent="0.25">
      <c r="A1479" t="s">
        <v>2184</v>
      </c>
      <c r="B1479" t="s">
        <v>2970</v>
      </c>
      <c r="C1479" t="s">
        <v>2885</v>
      </c>
      <c r="D1479" t="s">
        <v>2976</v>
      </c>
    </row>
    <row r="1480" spans="1:4" x14ac:dyDescent="0.25">
      <c r="A1480" t="s">
        <v>2186</v>
      </c>
      <c r="B1480" t="s">
        <v>2970</v>
      </c>
      <c r="C1480" t="s">
        <v>2885</v>
      </c>
      <c r="D1480" t="s">
        <v>2976</v>
      </c>
    </row>
    <row r="1481" spans="1:4" x14ac:dyDescent="0.25">
      <c r="A1481" t="s">
        <v>2188</v>
      </c>
      <c r="B1481" t="s">
        <v>2970</v>
      </c>
      <c r="C1481" t="s">
        <v>2885</v>
      </c>
      <c r="D1481" t="s">
        <v>2976</v>
      </c>
    </row>
    <row r="1482" spans="1:4" x14ac:dyDescent="0.25">
      <c r="A1482" t="s">
        <v>2190</v>
      </c>
      <c r="B1482" t="s">
        <v>2970</v>
      </c>
      <c r="C1482" t="s">
        <v>2885</v>
      </c>
      <c r="D1482" t="s">
        <v>2976</v>
      </c>
    </row>
    <row r="1483" spans="1:4" x14ac:dyDescent="0.25">
      <c r="A1483" t="s">
        <v>2192</v>
      </c>
      <c r="B1483" t="s">
        <v>2970</v>
      </c>
      <c r="C1483" t="s">
        <v>2885</v>
      </c>
      <c r="D1483" t="s">
        <v>2976</v>
      </c>
    </row>
    <row r="1484" spans="1:4" x14ac:dyDescent="0.25">
      <c r="A1484" t="s">
        <v>2194</v>
      </c>
      <c r="B1484" t="s">
        <v>2970</v>
      </c>
      <c r="C1484" t="s">
        <v>2885</v>
      </c>
      <c r="D1484" t="s">
        <v>2976</v>
      </c>
    </row>
    <row r="1485" spans="1:4" x14ac:dyDescent="0.25">
      <c r="A1485" t="s">
        <v>2196</v>
      </c>
      <c r="B1485" t="s">
        <v>2970</v>
      </c>
      <c r="C1485" t="s">
        <v>2885</v>
      </c>
      <c r="D1485" t="s">
        <v>2976</v>
      </c>
    </row>
    <row r="1486" spans="1:4" x14ac:dyDescent="0.25">
      <c r="A1486" t="s">
        <v>2198</v>
      </c>
      <c r="B1486" t="s">
        <v>2970</v>
      </c>
      <c r="C1486" t="s">
        <v>2796</v>
      </c>
      <c r="D1486" t="s">
        <v>2799</v>
      </c>
    </row>
    <row r="1487" spans="1:4" x14ac:dyDescent="0.25">
      <c r="A1487" t="s">
        <v>2199</v>
      </c>
      <c r="B1487" t="s">
        <v>2970</v>
      </c>
      <c r="C1487" t="s">
        <v>2797</v>
      </c>
      <c r="D1487" t="s">
        <v>2799</v>
      </c>
    </row>
    <row r="1488" spans="1:4" x14ac:dyDescent="0.25">
      <c r="A1488" t="s">
        <v>2200</v>
      </c>
      <c r="B1488" t="s">
        <v>2970</v>
      </c>
      <c r="C1488" t="s">
        <v>2797</v>
      </c>
      <c r="D1488" t="s">
        <v>2799</v>
      </c>
    </row>
    <row r="1489" spans="1:4" x14ac:dyDescent="0.25">
      <c r="A1489" t="s">
        <v>2201</v>
      </c>
      <c r="B1489" t="s">
        <v>2970</v>
      </c>
      <c r="C1489" t="s">
        <v>2798</v>
      </c>
      <c r="D1489" t="s">
        <v>2799</v>
      </c>
    </row>
    <row r="1490" spans="1:4" x14ac:dyDescent="0.25">
      <c r="A1490" t="s">
        <v>2202</v>
      </c>
      <c r="B1490" t="s">
        <v>2970</v>
      </c>
      <c r="C1490" t="s">
        <v>2796</v>
      </c>
      <c r="D1490" t="s">
        <v>2799</v>
      </c>
    </row>
    <row r="1491" spans="1:4" x14ac:dyDescent="0.25">
      <c r="A1491" t="s">
        <v>1268</v>
      </c>
      <c r="B1491" t="s">
        <v>2970</v>
      </c>
      <c r="C1491" t="s">
        <v>2800</v>
      </c>
      <c r="D1491" t="s">
        <v>2799</v>
      </c>
    </row>
    <row r="1492" spans="1:4" x14ac:dyDescent="0.25">
      <c r="A1492" t="s">
        <v>2204</v>
      </c>
      <c r="B1492" t="s">
        <v>2970</v>
      </c>
      <c r="C1492" t="s">
        <v>2797</v>
      </c>
      <c r="D1492" t="s">
        <v>2799</v>
      </c>
    </row>
    <row r="1493" spans="1:4" x14ac:dyDescent="0.25">
      <c r="A1493" t="s">
        <v>2206</v>
      </c>
      <c r="B1493" t="s">
        <v>2970</v>
      </c>
      <c r="C1493" t="s">
        <v>2796</v>
      </c>
      <c r="D1493" t="s">
        <v>2799</v>
      </c>
    </row>
    <row r="1494" spans="1:4" x14ac:dyDescent="0.25">
      <c r="A1494" t="s">
        <v>1270</v>
      </c>
      <c r="B1494" t="s">
        <v>2970</v>
      </c>
      <c r="C1494" t="s">
        <v>2800</v>
      </c>
      <c r="D1494" t="s">
        <v>2799</v>
      </c>
    </row>
    <row r="1495" spans="1:4" x14ac:dyDescent="0.25">
      <c r="A1495" t="s">
        <v>2208</v>
      </c>
      <c r="B1495" t="s">
        <v>2970</v>
      </c>
      <c r="C1495" t="s">
        <v>2797</v>
      </c>
      <c r="D1495" t="s">
        <v>2799</v>
      </c>
    </row>
    <row r="1496" spans="1:4" x14ac:dyDescent="0.25">
      <c r="A1496" t="s">
        <v>2209</v>
      </c>
      <c r="B1496" t="s">
        <v>2970</v>
      </c>
      <c r="C1496" t="s">
        <v>2798</v>
      </c>
      <c r="D1496" t="s">
        <v>2799</v>
      </c>
    </row>
    <row r="1497" spans="1:4" x14ac:dyDescent="0.25">
      <c r="A1497" t="s">
        <v>2211</v>
      </c>
      <c r="B1497" t="s">
        <v>2970</v>
      </c>
      <c r="C1497" t="s">
        <v>2796</v>
      </c>
      <c r="D1497" t="s">
        <v>2799</v>
      </c>
    </row>
    <row r="1498" spans="1:4" x14ac:dyDescent="0.25">
      <c r="A1498" t="s">
        <v>2212</v>
      </c>
      <c r="B1498" t="s">
        <v>2970</v>
      </c>
      <c r="C1498" t="s">
        <v>2797</v>
      </c>
      <c r="D1498" t="s">
        <v>2799</v>
      </c>
    </row>
    <row r="1499" spans="1:4" x14ac:dyDescent="0.25">
      <c r="A1499" t="s">
        <v>2213</v>
      </c>
      <c r="B1499" t="s">
        <v>2970</v>
      </c>
      <c r="C1499" t="s">
        <v>2798</v>
      </c>
      <c r="D1499" t="s">
        <v>2799</v>
      </c>
    </row>
    <row r="1500" spans="1:4" x14ac:dyDescent="0.25">
      <c r="A1500" t="s">
        <v>2214</v>
      </c>
      <c r="B1500" t="s">
        <v>2970</v>
      </c>
      <c r="C1500" t="s">
        <v>2796</v>
      </c>
      <c r="D1500" t="s">
        <v>2799</v>
      </c>
    </row>
    <row r="1501" spans="1:4" x14ac:dyDescent="0.25">
      <c r="A1501" t="s">
        <v>2215</v>
      </c>
      <c r="B1501" t="s">
        <v>2970</v>
      </c>
      <c r="C1501" t="s">
        <v>2797</v>
      </c>
      <c r="D1501" t="s">
        <v>2799</v>
      </c>
    </row>
    <row r="1502" spans="1:4" x14ac:dyDescent="0.25">
      <c r="A1502" t="s">
        <v>2216</v>
      </c>
      <c r="B1502" t="s">
        <v>2970</v>
      </c>
      <c r="C1502" t="s">
        <v>2798</v>
      </c>
      <c r="D1502" t="s">
        <v>2799</v>
      </c>
    </row>
    <row r="1503" spans="1:4" x14ac:dyDescent="0.25">
      <c r="A1503" t="s">
        <v>2217</v>
      </c>
      <c r="B1503" t="s">
        <v>2970</v>
      </c>
      <c r="C1503" t="s">
        <v>2796</v>
      </c>
      <c r="D1503" t="s">
        <v>2799</v>
      </c>
    </row>
    <row r="1504" spans="1:4" x14ac:dyDescent="0.25">
      <c r="A1504" t="s">
        <v>2218</v>
      </c>
      <c r="B1504" t="s">
        <v>2970</v>
      </c>
      <c r="C1504" t="s">
        <v>2797</v>
      </c>
      <c r="D1504" t="s">
        <v>2799</v>
      </c>
    </row>
    <row r="1505" spans="1:4" x14ac:dyDescent="0.25">
      <c r="A1505" t="s">
        <v>2219</v>
      </c>
      <c r="B1505" t="s">
        <v>2970</v>
      </c>
      <c r="C1505" t="s">
        <v>2798</v>
      </c>
      <c r="D1505" t="s">
        <v>2799</v>
      </c>
    </row>
    <row r="1506" spans="1:4" x14ac:dyDescent="0.25">
      <c r="A1506" t="s">
        <v>2220</v>
      </c>
      <c r="B1506" t="s">
        <v>2970</v>
      </c>
      <c r="C1506" t="s">
        <v>2796</v>
      </c>
      <c r="D1506" t="s">
        <v>2799</v>
      </c>
    </row>
    <row r="1507" spans="1:4" x14ac:dyDescent="0.25">
      <c r="A1507" t="s">
        <v>2221</v>
      </c>
      <c r="B1507" t="s">
        <v>2970</v>
      </c>
      <c r="C1507" t="s">
        <v>2896</v>
      </c>
      <c r="D1507" t="s">
        <v>2896</v>
      </c>
    </row>
    <row r="1508" spans="1:4" x14ac:dyDescent="0.25">
      <c r="A1508" t="s">
        <v>2222</v>
      </c>
      <c r="B1508" t="s">
        <v>2970</v>
      </c>
      <c r="C1508" t="s">
        <v>2896</v>
      </c>
      <c r="D1508" t="s">
        <v>2896</v>
      </c>
    </row>
    <row r="1509" spans="1:4" x14ac:dyDescent="0.25">
      <c r="A1509" t="s">
        <v>2224</v>
      </c>
      <c r="B1509" t="s">
        <v>2970</v>
      </c>
      <c r="C1509" t="s">
        <v>2801</v>
      </c>
      <c r="D1509" t="s">
        <v>2802</v>
      </c>
    </row>
    <row r="1510" spans="1:4" x14ac:dyDescent="0.25">
      <c r="A1510" t="s">
        <v>2225</v>
      </c>
      <c r="B1510" t="s">
        <v>2970</v>
      </c>
      <c r="C1510" t="s">
        <v>2803</v>
      </c>
      <c r="D1510" t="s">
        <v>2794</v>
      </c>
    </row>
    <row r="1511" spans="1:4" x14ac:dyDescent="0.25">
      <c r="A1511" t="s">
        <v>2226</v>
      </c>
      <c r="B1511" t="s">
        <v>2970</v>
      </c>
      <c r="C1511" t="s">
        <v>2803</v>
      </c>
      <c r="D1511" t="s">
        <v>2804</v>
      </c>
    </row>
    <row r="1512" spans="1:4" x14ac:dyDescent="0.25">
      <c r="A1512" t="s">
        <v>1273</v>
      </c>
      <c r="B1512" t="s">
        <v>2977</v>
      </c>
      <c r="C1512" t="s">
        <v>2978</v>
      </c>
      <c r="D1512" t="s">
        <v>2979</v>
      </c>
    </row>
    <row r="1513" spans="1:4" x14ac:dyDescent="0.25">
      <c r="A1513" t="s">
        <v>1274</v>
      </c>
      <c r="B1513" t="s">
        <v>2977</v>
      </c>
      <c r="C1513" t="s">
        <v>2978</v>
      </c>
      <c r="D1513" t="s">
        <v>2979</v>
      </c>
    </row>
    <row r="1514" spans="1:4" x14ac:dyDescent="0.25">
      <c r="A1514" t="s">
        <v>1275</v>
      </c>
      <c r="B1514" t="s">
        <v>2977</v>
      </c>
      <c r="C1514" t="s">
        <v>2978</v>
      </c>
      <c r="D1514" t="s">
        <v>2980</v>
      </c>
    </row>
    <row r="1515" spans="1:4" x14ac:dyDescent="0.25">
      <c r="A1515" t="s">
        <v>1276</v>
      </c>
      <c r="B1515" t="s">
        <v>2977</v>
      </c>
      <c r="C1515" t="s">
        <v>2978</v>
      </c>
      <c r="D1515" t="s">
        <v>2981</v>
      </c>
    </row>
    <row r="1516" spans="1:4" x14ac:dyDescent="0.25">
      <c r="A1516" t="s">
        <v>1277</v>
      </c>
      <c r="B1516" t="s">
        <v>2977</v>
      </c>
      <c r="C1516" t="s">
        <v>2978</v>
      </c>
      <c r="D1516" t="s">
        <v>2981</v>
      </c>
    </row>
    <row r="1517" spans="1:4" x14ac:dyDescent="0.25">
      <c r="A1517" t="s">
        <v>1278</v>
      </c>
      <c r="B1517" t="s">
        <v>2977</v>
      </c>
      <c r="C1517" t="s">
        <v>2754</v>
      </c>
      <c r="D1517" t="s">
        <v>2753</v>
      </c>
    </row>
    <row r="1518" spans="1:4" x14ac:dyDescent="0.25">
      <c r="A1518" t="s">
        <v>1279</v>
      </c>
      <c r="B1518" t="s">
        <v>2977</v>
      </c>
      <c r="C1518" t="s">
        <v>2754</v>
      </c>
      <c r="D1518" t="s">
        <v>2755</v>
      </c>
    </row>
    <row r="1519" spans="1:4" x14ac:dyDescent="0.25">
      <c r="A1519" t="s">
        <v>1280</v>
      </c>
      <c r="B1519" t="s">
        <v>2977</v>
      </c>
      <c r="C1519" t="s">
        <v>2754</v>
      </c>
      <c r="D1519" t="s">
        <v>2756</v>
      </c>
    </row>
    <row r="1520" spans="1:4" x14ac:dyDescent="0.25">
      <c r="A1520" t="s">
        <v>1281</v>
      </c>
      <c r="B1520" t="s">
        <v>2977</v>
      </c>
      <c r="C1520" t="s">
        <v>2754</v>
      </c>
      <c r="D1520" t="s">
        <v>2760</v>
      </c>
    </row>
    <row r="1521" spans="1:4" x14ac:dyDescent="0.25">
      <c r="A1521" t="s">
        <v>1282</v>
      </c>
      <c r="B1521" t="s">
        <v>2977</v>
      </c>
      <c r="C1521" t="s">
        <v>2754</v>
      </c>
      <c r="D1521" t="s">
        <v>2760</v>
      </c>
    </row>
    <row r="1522" spans="1:4" x14ac:dyDescent="0.25">
      <c r="A1522" t="s">
        <v>1283</v>
      </c>
      <c r="B1522" t="s">
        <v>2977</v>
      </c>
      <c r="C1522" t="s">
        <v>2754</v>
      </c>
      <c r="D1522" t="s">
        <v>2761</v>
      </c>
    </row>
    <row r="1523" spans="1:4" x14ac:dyDescent="0.25">
      <c r="A1523" t="s">
        <v>1284</v>
      </c>
      <c r="B1523" t="s">
        <v>2977</v>
      </c>
      <c r="C1523" t="s">
        <v>2754</v>
      </c>
      <c r="D1523" t="s">
        <v>2757</v>
      </c>
    </row>
    <row r="1524" spans="1:4" x14ac:dyDescent="0.25">
      <c r="A1524" t="s">
        <v>1285</v>
      </c>
      <c r="B1524" t="s">
        <v>2977</v>
      </c>
      <c r="C1524" t="s">
        <v>2754</v>
      </c>
      <c r="D1524" t="s">
        <v>2762</v>
      </c>
    </row>
    <row r="1525" spans="1:4" x14ac:dyDescent="0.25">
      <c r="A1525" t="s">
        <v>1286</v>
      </c>
      <c r="B1525" t="s">
        <v>2977</v>
      </c>
      <c r="C1525" t="s">
        <v>2754</v>
      </c>
      <c r="D1525" t="s">
        <v>2755</v>
      </c>
    </row>
    <row r="1526" spans="1:4" x14ac:dyDescent="0.25">
      <c r="A1526" t="s">
        <v>1287</v>
      </c>
      <c r="B1526" t="s">
        <v>2977</v>
      </c>
      <c r="C1526" t="s">
        <v>2754</v>
      </c>
      <c r="D1526" t="s">
        <v>2764</v>
      </c>
    </row>
    <row r="1527" spans="1:4" x14ac:dyDescent="0.25">
      <c r="A1527" t="s">
        <v>1288</v>
      </c>
      <c r="B1527" t="s">
        <v>2977</v>
      </c>
      <c r="C1527" t="s">
        <v>2754</v>
      </c>
      <c r="D1527" t="s">
        <v>2765</v>
      </c>
    </row>
    <row r="1528" spans="1:4" x14ac:dyDescent="0.25">
      <c r="A1528" t="s">
        <v>1289</v>
      </c>
      <c r="B1528" t="s">
        <v>2977</v>
      </c>
      <c r="C1528" t="s">
        <v>2754</v>
      </c>
      <c r="D1528" t="s">
        <v>2766</v>
      </c>
    </row>
    <row r="1529" spans="1:4" x14ac:dyDescent="0.25">
      <c r="A1529" t="s">
        <v>1290</v>
      </c>
      <c r="B1529" t="s">
        <v>2977</v>
      </c>
      <c r="C1529" t="s">
        <v>2754</v>
      </c>
      <c r="D1529" t="s">
        <v>2767</v>
      </c>
    </row>
    <row r="1530" spans="1:4" x14ac:dyDescent="0.25">
      <c r="A1530" t="s">
        <v>1291</v>
      </c>
      <c r="B1530" t="s">
        <v>2977</v>
      </c>
      <c r="C1530" t="s">
        <v>2754</v>
      </c>
      <c r="D1530" t="s">
        <v>2768</v>
      </c>
    </row>
    <row r="1531" spans="1:4" x14ac:dyDescent="0.25">
      <c r="A1531" t="s">
        <v>1292</v>
      </c>
      <c r="B1531" t="s">
        <v>2977</v>
      </c>
      <c r="C1531" t="s">
        <v>2754</v>
      </c>
      <c r="D1531" t="s">
        <v>2769</v>
      </c>
    </row>
    <row r="1532" spans="1:4" x14ac:dyDescent="0.25">
      <c r="A1532" t="s">
        <v>1293</v>
      </c>
      <c r="B1532" t="s">
        <v>2977</v>
      </c>
      <c r="C1532" t="s">
        <v>2754</v>
      </c>
      <c r="D1532" t="s">
        <v>2770</v>
      </c>
    </row>
    <row r="1533" spans="1:4" x14ac:dyDescent="0.25">
      <c r="A1533" t="s">
        <v>1294</v>
      </c>
      <c r="B1533" t="s">
        <v>2977</v>
      </c>
      <c r="C1533" t="s">
        <v>2754</v>
      </c>
      <c r="D1533" t="s">
        <v>2770</v>
      </c>
    </row>
    <row r="1534" spans="1:4" x14ac:dyDescent="0.25">
      <c r="A1534" t="s">
        <v>1295</v>
      </c>
      <c r="B1534" t="s">
        <v>2977</v>
      </c>
      <c r="C1534" t="s">
        <v>2754</v>
      </c>
      <c r="D1534" t="s">
        <v>2764</v>
      </c>
    </row>
    <row r="1535" spans="1:4" x14ac:dyDescent="0.25">
      <c r="A1535" t="s">
        <v>1296</v>
      </c>
      <c r="B1535" t="s">
        <v>2977</v>
      </c>
      <c r="C1535" t="s">
        <v>2775</v>
      </c>
      <c r="D1535" t="s">
        <v>2780</v>
      </c>
    </row>
    <row r="1536" spans="1:4" x14ac:dyDescent="0.25">
      <c r="A1536" t="s">
        <v>1297</v>
      </c>
      <c r="B1536" t="s">
        <v>2977</v>
      </c>
      <c r="C1536" t="s">
        <v>2775</v>
      </c>
      <c r="D1536" t="s">
        <v>2781</v>
      </c>
    </row>
    <row r="1537" spans="1:4" x14ac:dyDescent="0.25">
      <c r="A1537" t="s">
        <v>1298</v>
      </c>
      <c r="B1537" t="s">
        <v>2977</v>
      </c>
      <c r="C1537" t="s">
        <v>2931</v>
      </c>
      <c r="D1537" t="s">
        <v>2982</v>
      </c>
    </row>
    <row r="1538" spans="1:4" x14ac:dyDescent="0.25">
      <c r="A1538" t="s">
        <v>1299</v>
      </c>
      <c r="B1538" t="s">
        <v>2977</v>
      </c>
      <c r="C1538" t="s">
        <v>2787</v>
      </c>
      <c r="D1538" t="s">
        <v>2789</v>
      </c>
    </row>
    <row r="1539" spans="1:4" x14ac:dyDescent="0.25">
      <c r="A1539" t="s">
        <v>1300</v>
      </c>
      <c r="B1539" t="s">
        <v>2977</v>
      </c>
      <c r="C1539" t="s">
        <v>2787</v>
      </c>
      <c r="D1539" t="s">
        <v>2789</v>
      </c>
    </row>
    <row r="1540" spans="1:4" x14ac:dyDescent="0.25">
      <c r="A1540" t="s">
        <v>1301</v>
      </c>
      <c r="B1540" t="s">
        <v>2977</v>
      </c>
      <c r="C1540" t="s">
        <v>2787</v>
      </c>
      <c r="D1540" t="s">
        <v>2789</v>
      </c>
    </row>
    <row r="1541" spans="1:4" x14ac:dyDescent="0.25">
      <c r="A1541" t="s">
        <v>2227</v>
      </c>
      <c r="B1541" t="s">
        <v>2977</v>
      </c>
      <c r="C1541" t="s">
        <v>2775</v>
      </c>
      <c r="D1541" t="s">
        <v>2983</v>
      </c>
    </row>
    <row r="1542" spans="1:4" x14ac:dyDescent="0.25">
      <c r="A1542" t="s">
        <v>2229</v>
      </c>
      <c r="B1542" t="s">
        <v>2977</v>
      </c>
      <c r="C1542" t="s">
        <v>2794</v>
      </c>
      <c r="D1542" t="s">
        <v>2795</v>
      </c>
    </row>
    <row r="1543" spans="1:4" x14ac:dyDescent="0.25">
      <c r="A1543" t="s">
        <v>2230</v>
      </c>
      <c r="B1543" t="s">
        <v>2977</v>
      </c>
      <c r="C1543" t="s">
        <v>2885</v>
      </c>
      <c r="D1543" t="s">
        <v>2907</v>
      </c>
    </row>
    <row r="1544" spans="1:4" x14ac:dyDescent="0.25">
      <c r="A1544" t="s">
        <v>2232</v>
      </c>
      <c r="B1544" t="s">
        <v>2977</v>
      </c>
      <c r="C1544" t="s">
        <v>2885</v>
      </c>
      <c r="D1544" t="s">
        <v>2907</v>
      </c>
    </row>
    <row r="1545" spans="1:4" x14ac:dyDescent="0.25">
      <c r="A1545" t="s">
        <v>2234</v>
      </c>
      <c r="B1545" t="s">
        <v>2977</v>
      </c>
      <c r="C1545" t="s">
        <v>2885</v>
      </c>
      <c r="D1545" t="s">
        <v>2907</v>
      </c>
    </row>
    <row r="1546" spans="1:4" x14ac:dyDescent="0.25">
      <c r="A1546" t="s">
        <v>2236</v>
      </c>
      <c r="B1546" t="s">
        <v>2977</v>
      </c>
      <c r="C1546" t="s">
        <v>2885</v>
      </c>
      <c r="D1546" t="s">
        <v>2907</v>
      </c>
    </row>
    <row r="1547" spans="1:4" x14ac:dyDescent="0.25">
      <c r="A1547" t="s">
        <v>2238</v>
      </c>
      <c r="B1547" t="s">
        <v>2977</v>
      </c>
      <c r="C1547" t="s">
        <v>2885</v>
      </c>
      <c r="D1547" t="s">
        <v>2907</v>
      </c>
    </row>
    <row r="1548" spans="1:4" x14ac:dyDescent="0.25">
      <c r="A1548" t="s">
        <v>2240</v>
      </c>
      <c r="B1548" t="s">
        <v>2977</v>
      </c>
      <c r="C1548" t="s">
        <v>2885</v>
      </c>
      <c r="D1548" t="s">
        <v>2907</v>
      </c>
    </row>
    <row r="1549" spans="1:4" x14ac:dyDescent="0.25">
      <c r="A1549" t="s">
        <v>2242</v>
      </c>
      <c r="B1549" t="s">
        <v>2977</v>
      </c>
      <c r="C1549" t="s">
        <v>2796</v>
      </c>
      <c r="D1549" t="s">
        <v>2799</v>
      </c>
    </row>
    <row r="1550" spans="1:4" x14ac:dyDescent="0.25">
      <c r="A1550" t="s">
        <v>2243</v>
      </c>
      <c r="B1550" t="s">
        <v>2977</v>
      </c>
      <c r="C1550" t="s">
        <v>2797</v>
      </c>
      <c r="D1550" t="s">
        <v>2799</v>
      </c>
    </row>
    <row r="1551" spans="1:4" x14ac:dyDescent="0.25">
      <c r="A1551" t="s">
        <v>2244</v>
      </c>
      <c r="B1551" t="s">
        <v>2977</v>
      </c>
      <c r="C1551" t="s">
        <v>2797</v>
      </c>
      <c r="D1551" t="s">
        <v>2799</v>
      </c>
    </row>
    <row r="1552" spans="1:4" x14ac:dyDescent="0.25">
      <c r="A1552" t="s">
        <v>2245</v>
      </c>
      <c r="B1552" t="s">
        <v>2977</v>
      </c>
      <c r="C1552" t="s">
        <v>2798</v>
      </c>
      <c r="D1552" t="s">
        <v>2799</v>
      </c>
    </row>
    <row r="1553" spans="1:4" x14ac:dyDescent="0.25">
      <c r="A1553" t="s">
        <v>2246</v>
      </c>
      <c r="B1553" t="s">
        <v>2977</v>
      </c>
      <c r="C1553" t="s">
        <v>2796</v>
      </c>
      <c r="D1553" t="s">
        <v>2799</v>
      </c>
    </row>
    <row r="1554" spans="1:4" x14ac:dyDescent="0.25">
      <c r="A1554" t="s">
        <v>2247</v>
      </c>
      <c r="B1554" t="s">
        <v>2977</v>
      </c>
      <c r="C1554" t="s">
        <v>2797</v>
      </c>
      <c r="D1554" t="s">
        <v>2799</v>
      </c>
    </row>
    <row r="1555" spans="1:4" x14ac:dyDescent="0.25">
      <c r="A1555" t="s">
        <v>2248</v>
      </c>
      <c r="B1555" t="s">
        <v>2977</v>
      </c>
      <c r="C1555" t="s">
        <v>2798</v>
      </c>
      <c r="D1555" t="s">
        <v>2799</v>
      </c>
    </row>
    <row r="1556" spans="1:4" x14ac:dyDescent="0.25">
      <c r="A1556" t="s">
        <v>2249</v>
      </c>
      <c r="B1556" t="s">
        <v>2977</v>
      </c>
      <c r="C1556" t="s">
        <v>2796</v>
      </c>
      <c r="D1556" t="s">
        <v>2799</v>
      </c>
    </row>
    <row r="1557" spans="1:4" x14ac:dyDescent="0.25">
      <c r="A1557" t="s">
        <v>2250</v>
      </c>
      <c r="B1557" t="s">
        <v>2977</v>
      </c>
      <c r="C1557" t="s">
        <v>2797</v>
      </c>
      <c r="D1557" t="s">
        <v>2799</v>
      </c>
    </row>
    <row r="1558" spans="1:4" x14ac:dyDescent="0.25">
      <c r="A1558" t="s">
        <v>2251</v>
      </c>
      <c r="B1558" t="s">
        <v>2977</v>
      </c>
      <c r="C1558" t="s">
        <v>2798</v>
      </c>
      <c r="D1558" t="s">
        <v>2799</v>
      </c>
    </row>
    <row r="1559" spans="1:4" x14ac:dyDescent="0.25">
      <c r="A1559" t="s">
        <v>2252</v>
      </c>
      <c r="B1559" t="s">
        <v>2977</v>
      </c>
      <c r="C1559" t="s">
        <v>2801</v>
      </c>
      <c r="D1559" t="s">
        <v>2802</v>
      </c>
    </row>
    <row r="1560" spans="1:4" x14ac:dyDescent="0.25">
      <c r="A1560" t="s">
        <v>2253</v>
      </c>
      <c r="B1560" t="s">
        <v>2977</v>
      </c>
      <c r="C1560" t="s">
        <v>2913</v>
      </c>
      <c r="D1560" t="s">
        <v>2913</v>
      </c>
    </row>
    <row r="1561" spans="1:4" x14ac:dyDescent="0.25">
      <c r="A1561" t="s">
        <v>2254</v>
      </c>
      <c r="B1561" t="s">
        <v>2977</v>
      </c>
      <c r="C1561" t="s">
        <v>2803</v>
      </c>
      <c r="D1561" t="s">
        <v>2794</v>
      </c>
    </row>
    <row r="1562" spans="1:4" x14ac:dyDescent="0.25">
      <c r="A1562" t="s">
        <v>2255</v>
      </c>
      <c r="B1562" t="s">
        <v>2977</v>
      </c>
      <c r="C1562" t="s">
        <v>2803</v>
      </c>
      <c r="D1562" t="s">
        <v>2804</v>
      </c>
    </row>
    <row r="1563" spans="1:4" x14ac:dyDescent="0.25">
      <c r="A1563" t="s">
        <v>1303</v>
      </c>
      <c r="B1563" t="s">
        <v>2984</v>
      </c>
      <c r="C1563" t="s">
        <v>2978</v>
      </c>
      <c r="D1563" t="s">
        <v>2985</v>
      </c>
    </row>
    <row r="1564" spans="1:4" x14ac:dyDescent="0.25">
      <c r="A1564" t="s">
        <v>1304</v>
      </c>
      <c r="B1564" t="s">
        <v>2984</v>
      </c>
      <c r="C1564" t="s">
        <v>2978</v>
      </c>
      <c r="D1564" t="s">
        <v>2986</v>
      </c>
    </row>
    <row r="1565" spans="1:4" x14ac:dyDescent="0.25">
      <c r="A1565" t="s">
        <v>1305</v>
      </c>
      <c r="B1565" t="s">
        <v>2984</v>
      </c>
      <c r="C1565" t="s">
        <v>2978</v>
      </c>
      <c r="D1565" t="s">
        <v>2981</v>
      </c>
    </row>
    <row r="1566" spans="1:4" x14ac:dyDescent="0.25">
      <c r="A1566" t="s">
        <v>1306</v>
      </c>
      <c r="B1566" t="s">
        <v>2984</v>
      </c>
      <c r="C1566" t="s">
        <v>2754</v>
      </c>
      <c r="D1566" t="s">
        <v>2753</v>
      </c>
    </row>
    <row r="1567" spans="1:4" x14ac:dyDescent="0.25">
      <c r="A1567" t="s">
        <v>1307</v>
      </c>
      <c r="B1567" t="s">
        <v>2984</v>
      </c>
      <c r="C1567" t="s">
        <v>2754</v>
      </c>
      <c r="D1567" t="s">
        <v>2755</v>
      </c>
    </row>
    <row r="1568" spans="1:4" x14ac:dyDescent="0.25">
      <c r="A1568" t="s">
        <v>1308</v>
      </c>
      <c r="B1568" t="s">
        <v>2984</v>
      </c>
      <c r="C1568" t="s">
        <v>2754</v>
      </c>
      <c r="D1568" t="s">
        <v>2761</v>
      </c>
    </row>
    <row r="1569" spans="1:4" x14ac:dyDescent="0.25">
      <c r="A1569" t="s">
        <v>1309</v>
      </c>
      <c r="B1569" t="s">
        <v>2984</v>
      </c>
      <c r="C1569" t="s">
        <v>2754</v>
      </c>
      <c r="D1569" t="s">
        <v>2762</v>
      </c>
    </row>
    <row r="1570" spans="1:4" x14ac:dyDescent="0.25">
      <c r="A1570" t="s">
        <v>1310</v>
      </c>
      <c r="B1570" t="s">
        <v>2984</v>
      </c>
      <c r="C1570" t="s">
        <v>2754</v>
      </c>
      <c r="D1570" t="s">
        <v>2755</v>
      </c>
    </row>
    <row r="1571" spans="1:4" x14ac:dyDescent="0.25">
      <c r="A1571" t="s">
        <v>1311</v>
      </c>
      <c r="B1571" t="s">
        <v>2984</v>
      </c>
      <c r="C1571" t="s">
        <v>2754</v>
      </c>
      <c r="D1571" t="s">
        <v>2764</v>
      </c>
    </row>
    <row r="1572" spans="1:4" x14ac:dyDescent="0.25">
      <c r="A1572" t="s">
        <v>1312</v>
      </c>
      <c r="B1572" t="s">
        <v>2984</v>
      </c>
      <c r="C1572" t="s">
        <v>2754</v>
      </c>
      <c r="D1572" t="s">
        <v>2765</v>
      </c>
    </row>
    <row r="1573" spans="1:4" x14ac:dyDescent="0.25">
      <c r="A1573" t="s">
        <v>1313</v>
      </c>
      <c r="B1573" t="s">
        <v>2984</v>
      </c>
      <c r="C1573" t="s">
        <v>2754</v>
      </c>
      <c r="D1573" t="s">
        <v>2766</v>
      </c>
    </row>
    <row r="1574" spans="1:4" x14ac:dyDescent="0.25">
      <c r="A1574" t="s">
        <v>1314</v>
      </c>
      <c r="B1574" t="s">
        <v>2984</v>
      </c>
      <c r="C1574" t="s">
        <v>2754</v>
      </c>
      <c r="D1574" t="s">
        <v>2767</v>
      </c>
    </row>
    <row r="1575" spans="1:4" x14ac:dyDescent="0.25">
      <c r="A1575" t="s">
        <v>1315</v>
      </c>
      <c r="B1575" t="s">
        <v>2984</v>
      </c>
      <c r="C1575" t="s">
        <v>2754</v>
      </c>
      <c r="D1575" t="s">
        <v>2768</v>
      </c>
    </row>
    <row r="1576" spans="1:4" x14ac:dyDescent="0.25">
      <c r="A1576" t="s">
        <v>1316</v>
      </c>
      <c r="B1576" t="s">
        <v>2984</v>
      </c>
      <c r="C1576" t="s">
        <v>2754</v>
      </c>
      <c r="D1576" t="s">
        <v>2769</v>
      </c>
    </row>
    <row r="1577" spans="1:4" x14ac:dyDescent="0.25">
      <c r="A1577" t="s">
        <v>1317</v>
      </c>
      <c r="B1577" t="s">
        <v>2984</v>
      </c>
      <c r="C1577" t="s">
        <v>2754</v>
      </c>
      <c r="D1577" t="s">
        <v>2770</v>
      </c>
    </row>
    <row r="1578" spans="1:4" x14ac:dyDescent="0.25">
      <c r="A1578" t="s">
        <v>1318</v>
      </c>
      <c r="B1578" t="s">
        <v>2984</v>
      </c>
      <c r="C1578" t="s">
        <v>2754</v>
      </c>
      <c r="D1578" t="s">
        <v>2770</v>
      </c>
    </row>
    <row r="1579" spans="1:4" x14ac:dyDescent="0.25">
      <c r="A1579" t="s">
        <v>1319</v>
      </c>
      <c r="B1579" t="s">
        <v>2984</v>
      </c>
      <c r="C1579" t="s">
        <v>2754</v>
      </c>
      <c r="D1579" t="s">
        <v>2764</v>
      </c>
    </row>
    <row r="1580" spans="1:4" x14ac:dyDescent="0.25">
      <c r="A1580" t="s">
        <v>1320</v>
      </c>
      <c r="B1580" t="s">
        <v>2984</v>
      </c>
      <c r="C1580" t="s">
        <v>2775</v>
      </c>
      <c r="D1580" t="s">
        <v>2780</v>
      </c>
    </row>
    <row r="1581" spans="1:4" x14ac:dyDescent="0.25">
      <c r="A1581" t="s">
        <v>1321</v>
      </c>
      <c r="B1581" t="s">
        <v>2984</v>
      </c>
      <c r="C1581" t="s">
        <v>2775</v>
      </c>
      <c r="D1581" t="s">
        <v>2781</v>
      </c>
    </row>
    <row r="1582" spans="1:4" x14ac:dyDescent="0.25">
      <c r="A1582" t="s">
        <v>2256</v>
      </c>
      <c r="B1582" t="s">
        <v>2984</v>
      </c>
      <c r="C1582" t="s">
        <v>2794</v>
      </c>
      <c r="D1582" t="s">
        <v>2795</v>
      </c>
    </row>
    <row r="1583" spans="1:4" x14ac:dyDescent="0.25">
      <c r="A1583" t="s">
        <v>2257</v>
      </c>
      <c r="B1583" t="s">
        <v>2984</v>
      </c>
      <c r="C1583" t="s">
        <v>2885</v>
      </c>
      <c r="D1583" t="s">
        <v>2907</v>
      </c>
    </row>
    <row r="1584" spans="1:4" x14ac:dyDescent="0.25">
      <c r="A1584" t="s">
        <v>2259</v>
      </c>
      <c r="B1584" t="s">
        <v>2984</v>
      </c>
      <c r="C1584" t="s">
        <v>2885</v>
      </c>
      <c r="D1584" t="s">
        <v>2907</v>
      </c>
    </row>
    <row r="1585" spans="1:4" x14ac:dyDescent="0.25">
      <c r="A1585" t="s">
        <v>2261</v>
      </c>
      <c r="B1585" t="s">
        <v>2984</v>
      </c>
      <c r="C1585" t="s">
        <v>2885</v>
      </c>
      <c r="D1585" t="s">
        <v>2907</v>
      </c>
    </row>
    <row r="1586" spans="1:4" x14ac:dyDescent="0.25">
      <c r="A1586" t="s">
        <v>2263</v>
      </c>
      <c r="B1586" t="s">
        <v>2984</v>
      </c>
      <c r="C1586" t="s">
        <v>2885</v>
      </c>
      <c r="D1586" t="s">
        <v>2907</v>
      </c>
    </row>
    <row r="1587" spans="1:4" x14ac:dyDescent="0.25">
      <c r="A1587" t="s">
        <v>2265</v>
      </c>
      <c r="B1587" t="s">
        <v>2984</v>
      </c>
      <c r="C1587" t="s">
        <v>2885</v>
      </c>
      <c r="D1587" t="s">
        <v>2907</v>
      </c>
    </row>
    <row r="1588" spans="1:4" x14ac:dyDescent="0.25">
      <c r="A1588" t="s">
        <v>2267</v>
      </c>
      <c r="B1588" t="s">
        <v>2984</v>
      </c>
      <c r="C1588" t="s">
        <v>2885</v>
      </c>
      <c r="D1588" t="s">
        <v>2907</v>
      </c>
    </row>
    <row r="1589" spans="1:4" x14ac:dyDescent="0.25">
      <c r="A1589" t="s">
        <v>2269</v>
      </c>
      <c r="B1589" t="s">
        <v>2984</v>
      </c>
      <c r="C1589" t="s">
        <v>2885</v>
      </c>
      <c r="D1589" t="s">
        <v>2907</v>
      </c>
    </row>
    <row r="1590" spans="1:4" x14ac:dyDescent="0.25">
      <c r="A1590" t="s">
        <v>2271</v>
      </c>
      <c r="B1590" t="s">
        <v>2984</v>
      </c>
      <c r="C1590" t="s">
        <v>2885</v>
      </c>
      <c r="D1590" t="s">
        <v>2907</v>
      </c>
    </row>
    <row r="1591" spans="1:4" x14ac:dyDescent="0.25">
      <c r="A1591" t="s">
        <v>2273</v>
      </c>
      <c r="B1591" t="s">
        <v>2984</v>
      </c>
      <c r="C1591" t="s">
        <v>2885</v>
      </c>
      <c r="D1591" t="s">
        <v>2907</v>
      </c>
    </row>
    <row r="1592" spans="1:4" x14ac:dyDescent="0.25">
      <c r="A1592" t="s">
        <v>2275</v>
      </c>
      <c r="B1592" t="s">
        <v>2984</v>
      </c>
      <c r="C1592" t="s">
        <v>2885</v>
      </c>
      <c r="D1592" t="s">
        <v>2907</v>
      </c>
    </row>
    <row r="1593" spans="1:4" x14ac:dyDescent="0.25">
      <c r="A1593" t="s">
        <v>2277</v>
      </c>
      <c r="B1593" t="s">
        <v>2984</v>
      </c>
      <c r="C1593" t="s">
        <v>2801</v>
      </c>
      <c r="D1593" t="s">
        <v>2802</v>
      </c>
    </row>
    <row r="1594" spans="1:4" x14ac:dyDescent="0.25">
      <c r="A1594" t="s">
        <v>2278</v>
      </c>
      <c r="B1594" t="s">
        <v>2984</v>
      </c>
      <c r="C1594" t="s">
        <v>2803</v>
      </c>
      <c r="D1594" t="s">
        <v>2794</v>
      </c>
    </row>
    <row r="1595" spans="1:4" x14ac:dyDescent="0.25">
      <c r="A1595" t="s">
        <v>2279</v>
      </c>
      <c r="B1595" t="s">
        <v>2984</v>
      </c>
      <c r="C1595" t="s">
        <v>2803</v>
      </c>
      <c r="D1595" t="s">
        <v>2804</v>
      </c>
    </row>
    <row r="1596" spans="1:4" x14ac:dyDescent="0.25">
      <c r="A1596" t="s">
        <v>2280</v>
      </c>
      <c r="B1596" t="s">
        <v>2750</v>
      </c>
      <c r="C1596" t="s">
        <v>2751</v>
      </c>
      <c r="D1596" t="s">
        <v>2832</v>
      </c>
    </row>
    <row r="1597" spans="1:4" x14ac:dyDescent="0.25">
      <c r="A1597" t="s">
        <v>1391</v>
      </c>
      <c r="B1597" t="s">
        <v>2750</v>
      </c>
      <c r="C1597" t="s">
        <v>2987</v>
      </c>
      <c r="D1597" t="s">
        <v>2988</v>
      </c>
    </row>
    <row r="1598" spans="1:4" x14ac:dyDescent="0.25">
      <c r="A1598" t="s">
        <v>2282</v>
      </c>
      <c r="B1598" t="s">
        <v>2750</v>
      </c>
      <c r="C1598" t="s">
        <v>2775</v>
      </c>
      <c r="D1598" t="s">
        <v>2781</v>
      </c>
    </row>
    <row r="1599" spans="1:4" x14ac:dyDescent="0.25">
      <c r="A1599" t="s">
        <v>2283</v>
      </c>
      <c r="B1599" t="s">
        <v>2750</v>
      </c>
      <c r="C1599" t="s">
        <v>2989</v>
      </c>
      <c r="D1599" t="s">
        <v>2799</v>
      </c>
    </row>
    <row r="1600" spans="1:4" x14ac:dyDescent="0.25">
      <c r="A1600" t="s">
        <v>2285</v>
      </c>
      <c r="B1600" t="s">
        <v>2750</v>
      </c>
      <c r="C1600" t="s">
        <v>2989</v>
      </c>
      <c r="D1600" t="s">
        <v>2799</v>
      </c>
    </row>
    <row r="1601" spans="1:4" x14ac:dyDescent="0.25">
      <c r="A1601" t="s">
        <v>2287</v>
      </c>
      <c r="B1601" t="s">
        <v>2750</v>
      </c>
      <c r="C1601" t="s">
        <v>2989</v>
      </c>
      <c r="D1601" t="s">
        <v>2799</v>
      </c>
    </row>
    <row r="1602" spans="1:4" x14ac:dyDescent="0.25">
      <c r="A1602" t="s">
        <v>2289</v>
      </c>
      <c r="B1602" t="s">
        <v>2750</v>
      </c>
      <c r="C1602" t="s">
        <v>2800</v>
      </c>
      <c r="D1602" t="s">
        <v>2799</v>
      </c>
    </row>
    <row r="1603" spans="1:4" x14ac:dyDescent="0.25">
      <c r="A1603" t="s">
        <v>2291</v>
      </c>
      <c r="B1603" t="s">
        <v>2750</v>
      </c>
      <c r="C1603" t="s">
        <v>2800</v>
      </c>
      <c r="D1603" t="s">
        <v>2799</v>
      </c>
    </row>
    <row r="1604" spans="1:4" x14ac:dyDescent="0.25">
      <c r="A1604" t="s">
        <v>2292</v>
      </c>
      <c r="B1604" t="s">
        <v>2750</v>
      </c>
      <c r="C1604" t="s">
        <v>2798</v>
      </c>
      <c r="D1604" t="s">
        <v>2799</v>
      </c>
    </row>
    <row r="1605" spans="1:4" x14ac:dyDescent="0.25">
      <c r="A1605" t="s">
        <v>2293</v>
      </c>
      <c r="B1605" t="s">
        <v>2750</v>
      </c>
      <c r="C1605" t="s">
        <v>2796</v>
      </c>
      <c r="D1605" t="s">
        <v>2799</v>
      </c>
    </row>
    <row r="1606" spans="1:4" x14ac:dyDescent="0.25">
      <c r="A1606" t="s">
        <v>2295</v>
      </c>
      <c r="B1606" t="s">
        <v>2750</v>
      </c>
      <c r="C1606" t="s">
        <v>2797</v>
      </c>
      <c r="D1606" t="s">
        <v>2799</v>
      </c>
    </row>
    <row r="1607" spans="1:4" x14ac:dyDescent="0.25">
      <c r="A1607" t="s">
        <v>2297</v>
      </c>
      <c r="B1607" t="s">
        <v>2750</v>
      </c>
      <c r="C1607" t="s">
        <v>2800</v>
      </c>
      <c r="D1607" t="s">
        <v>2799</v>
      </c>
    </row>
    <row r="1608" spans="1:4" x14ac:dyDescent="0.25">
      <c r="A1608" t="s">
        <v>2298</v>
      </c>
      <c r="B1608" t="s">
        <v>2750</v>
      </c>
      <c r="C1608" t="s">
        <v>2796</v>
      </c>
      <c r="D1608" t="s">
        <v>2799</v>
      </c>
    </row>
    <row r="1609" spans="1:4" x14ac:dyDescent="0.25">
      <c r="A1609" t="s">
        <v>2300</v>
      </c>
      <c r="B1609" t="s">
        <v>2750</v>
      </c>
      <c r="C1609" t="s">
        <v>2797</v>
      </c>
      <c r="D1609" t="s">
        <v>2799</v>
      </c>
    </row>
    <row r="1610" spans="1:4" x14ac:dyDescent="0.25">
      <c r="A1610" t="s">
        <v>2302</v>
      </c>
      <c r="B1610" t="s">
        <v>2750</v>
      </c>
      <c r="C1610" t="s">
        <v>2796</v>
      </c>
      <c r="D1610" t="s">
        <v>2799</v>
      </c>
    </row>
    <row r="1611" spans="1:4" x14ac:dyDescent="0.25">
      <c r="A1611" t="s">
        <v>2304</v>
      </c>
      <c r="B1611" t="s">
        <v>2750</v>
      </c>
      <c r="C1611" t="s">
        <v>2797</v>
      </c>
      <c r="D1611" t="s">
        <v>2799</v>
      </c>
    </row>
    <row r="1612" spans="1:4" x14ac:dyDescent="0.25">
      <c r="A1612" t="s">
        <v>2306</v>
      </c>
      <c r="B1612" t="s">
        <v>2750</v>
      </c>
      <c r="C1612" t="s">
        <v>2797</v>
      </c>
      <c r="D1612" t="s">
        <v>2799</v>
      </c>
    </row>
    <row r="1613" spans="1:4" x14ac:dyDescent="0.25">
      <c r="A1613" t="s">
        <v>2308</v>
      </c>
      <c r="B1613" t="s">
        <v>2750</v>
      </c>
      <c r="C1613" t="s">
        <v>2800</v>
      </c>
      <c r="D1613" t="s">
        <v>2799</v>
      </c>
    </row>
    <row r="1614" spans="1:4" x14ac:dyDescent="0.25">
      <c r="A1614" t="s">
        <v>2310</v>
      </c>
      <c r="B1614" t="s">
        <v>2750</v>
      </c>
      <c r="C1614" t="s">
        <v>2797</v>
      </c>
      <c r="D1614" t="s">
        <v>2799</v>
      </c>
    </row>
    <row r="1615" spans="1:4" x14ac:dyDescent="0.25">
      <c r="A1615" t="s">
        <v>2312</v>
      </c>
      <c r="B1615" t="s">
        <v>2750</v>
      </c>
      <c r="C1615" t="s">
        <v>2800</v>
      </c>
      <c r="D1615" t="s">
        <v>2799</v>
      </c>
    </row>
    <row r="1616" spans="1:4" x14ac:dyDescent="0.25">
      <c r="A1616" t="s">
        <v>2313</v>
      </c>
      <c r="B1616" t="s">
        <v>2805</v>
      </c>
      <c r="C1616" t="s">
        <v>2989</v>
      </c>
      <c r="D1616" t="s">
        <v>2799</v>
      </c>
    </row>
    <row r="1617" spans="1:4" x14ac:dyDescent="0.25">
      <c r="A1617" t="s">
        <v>2314</v>
      </c>
      <c r="B1617" t="s">
        <v>2805</v>
      </c>
      <c r="C1617" t="s">
        <v>2989</v>
      </c>
      <c r="D1617" t="s">
        <v>2799</v>
      </c>
    </row>
    <row r="1618" spans="1:4" x14ac:dyDescent="0.25">
      <c r="A1618" t="s">
        <v>2315</v>
      </c>
      <c r="B1618" t="s">
        <v>2805</v>
      </c>
      <c r="C1618" t="s">
        <v>2800</v>
      </c>
      <c r="D1618" t="s">
        <v>2799</v>
      </c>
    </row>
    <row r="1619" spans="1:4" x14ac:dyDescent="0.25">
      <c r="A1619" t="s">
        <v>2316</v>
      </c>
      <c r="B1619" t="s">
        <v>2805</v>
      </c>
      <c r="C1619" t="s">
        <v>2796</v>
      </c>
      <c r="D1619" t="s">
        <v>2799</v>
      </c>
    </row>
    <row r="1620" spans="1:4" x14ac:dyDescent="0.25">
      <c r="A1620" t="s">
        <v>2317</v>
      </c>
      <c r="B1620" t="s">
        <v>2805</v>
      </c>
      <c r="C1620" t="s">
        <v>2797</v>
      </c>
      <c r="D1620" t="s">
        <v>2799</v>
      </c>
    </row>
    <row r="1621" spans="1:4" x14ac:dyDescent="0.25">
      <c r="A1621" t="s">
        <v>2318</v>
      </c>
      <c r="B1621" t="s">
        <v>2805</v>
      </c>
      <c r="C1621" t="s">
        <v>2796</v>
      </c>
      <c r="D1621" t="s">
        <v>2799</v>
      </c>
    </row>
    <row r="1622" spans="1:4" x14ac:dyDescent="0.25">
      <c r="A1622" t="s">
        <v>2319</v>
      </c>
      <c r="B1622" t="s">
        <v>2805</v>
      </c>
      <c r="C1622" t="s">
        <v>2797</v>
      </c>
      <c r="D1622" t="s">
        <v>2799</v>
      </c>
    </row>
    <row r="1623" spans="1:4" x14ac:dyDescent="0.25">
      <c r="A1623" t="s">
        <v>2320</v>
      </c>
      <c r="B1623" t="s">
        <v>2814</v>
      </c>
      <c r="C1623" t="s">
        <v>2754</v>
      </c>
      <c r="D1623" t="s">
        <v>2762</v>
      </c>
    </row>
    <row r="1624" spans="1:4" x14ac:dyDescent="0.25">
      <c r="A1624" t="s">
        <v>2321</v>
      </c>
      <c r="B1624" t="s">
        <v>2814</v>
      </c>
      <c r="C1624" t="s">
        <v>2775</v>
      </c>
      <c r="D1624" t="s">
        <v>2815</v>
      </c>
    </row>
    <row r="1625" spans="1:4" x14ac:dyDescent="0.25">
      <c r="A1625" t="s">
        <v>2323</v>
      </c>
      <c r="B1625" t="s">
        <v>2814</v>
      </c>
      <c r="C1625" t="s">
        <v>2989</v>
      </c>
      <c r="D1625" t="s">
        <v>2799</v>
      </c>
    </row>
    <row r="1626" spans="1:4" x14ac:dyDescent="0.25">
      <c r="A1626" t="s">
        <v>2324</v>
      </c>
      <c r="B1626" t="s">
        <v>2814</v>
      </c>
      <c r="C1626" t="s">
        <v>2989</v>
      </c>
      <c r="D1626" t="s">
        <v>2799</v>
      </c>
    </row>
    <row r="1627" spans="1:4" x14ac:dyDescent="0.25">
      <c r="A1627" t="s">
        <v>2325</v>
      </c>
      <c r="B1627" t="s">
        <v>2814</v>
      </c>
      <c r="C1627" t="s">
        <v>2800</v>
      </c>
      <c r="D1627" t="s">
        <v>2799</v>
      </c>
    </row>
    <row r="1628" spans="1:4" x14ac:dyDescent="0.25">
      <c r="A1628" t="s">
        <v>2327</v>
      </c>
      <c r="B1628" t="s">
        <v>2814</v>
      </c>
      <c r="C1628" t="s">
        <v>2796</v>
      </c>
      <c r="D1628" t="s">
        <v>2799</v>
      </c>
    </row>
    <row r="1629" spans="1:4" x14ac:dyDescent="0.25">
      <c r="A1629" t="s">
        <v>2328</v>
      </c>
      <c r="B1629" t="s">
        <v>2814</v>
      </c>
      <c r="C1629" t="s">
        <v>2797</v>
      </c>
      <c r="D1629" t="s">
        <v>2799</v>
      </c>
    </row>
    <row r="1630" spans="1:4" x14ac:dyDescent="0.25">
      <c r="A1630" t="s">
        <v>2329</v>
      </c>
      <c r="B1630" t="s">
        <v>2814</v>
      </c>
      <c r="C1630" t="s">
        <v>2800</v>
      </c>
      <c r="D1630" t="s">
        <v>2799</v>
      </c>
    </row>
    <row r="1631" spans="1:4" x14ac:dyDescent="0.25">
      <c r="A1631" t="s">
        <v>2331</v>
      </c>
      <c r="B1631" t="s">
        <v>2814</v>
      </c>
      <c r="C1631" t="s">
        <v>2796</v>
      </c>
      <c r="D1631" t="s">
        <v>2799</v>
      </c>
    </row>
    <row r="1632" spans="1:4" x14ac:dyDescent="0.25">
      <c r="A1632" t="s">
        <v>2332</v>
      </c>
      <c r="B1632" t="s">
        <v>2814</v>
      </c>
      <c r="C1632" t="s">
        <v>2797</v>
      </c>
      <c r="D1632" t="s">
        <v>2799</v>
      </c>
    </row>
    <row r="1633" spans="1:4" x14ac:dyDescent="0.25">
      <c r="A1633" t="s">
        <v>2333</v>
      </c>
      <c r="B1633" t="s">
        <v>2816</v>
      </c>
      <c r="C1633" t="s">
        <v>2989</v>
      </c>
      <c r="D1633" t="s">
        <v>2799</v>
      </c>
    </row>
    <row r="1634" spans="1:4" x14ac:dyDescent="0.25">
      <c r="A1634" t="s">
        <v>2334</v>
      </c>
      <c r="B1634" t="s">
        <v>2816</v>
      </c>
      <c r="C1634" t="s">
        <v>2989</v>
      </c>
      <c r="D1634" t="s">
        <v>2799</v>
      </c>
    </row>
    <row r="1635" spans="1:4" x14ac:dyDescent="0.25">
      <c r="A1635" t="s">
        <v>2335</v>
      </c>
      <c r="B1635" t="s">
        <v>2816</v>
      </c>
      <c r="C1635" t="s">
        <v>2989</v>
      </c>
      <c r="D1635" t="s">
        <v>2799</v>
      </c>
    </row>
    <row r="1636" spans="1:4" x14ac:dyDescent="0.25">
      <c r="A1636" t="s">
        <v>2337</v>
      </c>
      <c r="B1636" t="s">
        <v>2816</v>
      </c>
      <c r="C1636" t="s">
        <v>2796</v>
      </c>
      <c r="D1636" t="s">
        <v>2799</v>
      </c>
    </row>
    <row r="1637" spans="1:4" x14ac:dyDescent="0.25">
      <c r="A1637" t="s">
        <v>2339</v>
      </c>
      <c r="B1637" t="s">
        <v>2816</v>
      </c>
      <c r="C1637" t="s">
        <v>2797</v>
      </c>
      <c r="D1637" t="s">
        <v>2799</v>
      </c>
    </row>
    <row r="1638" spans="1:4" x14ac:dyDescent="0.25">
      <c r="A1638" t="s">
        <v>2341</v>
      </c>
      <c r="B1638" t="s">
        <v>2816</v>
      </c>
      <c r="C1638" t="s">
        <v>2796</v>
      </c>
      <c r="D1638" t="s">
        <v>2799</v>
      </c>
    </row>
    <row r="1639" spans="1:4" x14ac:dyDescent="0.25">
      <c r="A1639" t="s">
        <v>2342</v>
      </c>
      <c r="B1639" t="s">
        <v>2816</v>
      </c>
      <c r="C1639" t="s">
        <v>2797</v>
      </c>
      <c r="D1639" t="s">
        <v>2799</v>
      </c>
    </row>
    <row r="1640" spans="1:4" x14ac:dyDescent="0.25">
      <c r="A1640" t="s">
        <v>2343</v>
      </c>
      <c r="B1640" t="s">
        <v>2816</v>
      </c>
      <c r="C1640" t="s">
        <v>2796</v>
      </c>
      <c r="D1640" t="s">
        <v>2799</v>
      </c>
    </row>
    <row r="1641" spans="1:4" x14ac:dyDescent="0.25">
      <c r="A1641" t="s">
        <v>2344</v>
      </c>
      <c r="B1641" t="s">
        <v>2816</v>
      </c>
      <c r="C1641" t="s">
        <v>2797</v>
      </c>
      <c r="D1641" t="s">
        <v>2799</v>
      </c>
    </row>
    <row r="1642" spans="1:4" x14ac:dyDescent="0.25">
      <c r="A1642" t="s">
        <v>2345</v>
      </c>
      <c r="B1642" t="s">
        <v>2820</v>
      </c>
      <c r="C1642" t="s">
        <v>2871</v>
      </c>
      <c r="D1642" t="s">
        <v>2990</v>
      </c>
    </row>
    <row r="1643" spans="1:4" x14ac:dyDescent="0.25">
      <c r="A1643" t="s">
        <v>2347</v>
      </c>
      <c r="B1643" t="s">
        <v>2820</v>
      </c>
      <c r="C1643" t="s">
        <v>2771</v>
      </c>
      <c r="D1643" t="s">
        <v>2808</v>
      </c>
    </row>
    <row r="1644" spans="1:4" x14ac:dyDescent="0.25">
      <c r="A1644" t="s">
        <v>2348</v>
      </c>
      <c r="B1644" t="s">
        <v>2820</v>
      </c>
      <c r="C1644" t="s">
        <v>2801</v>
      </c>
      <c r="D1644" t="s">
        <v>2802</v>
      </c>
    </row>
    <row r="1645" spans="1:4" x14ac:dyDescent="0.25">
      <c r="A1645" t="s">
        <v>2350</v>
      </c>
      <c r="B1645" t="s">
        <v>2820</v>
      </c>
      <c r="C1645" t="s">
        <v>2913</v>
      </c>
      <c r="D1645" t="s">
        <v>2913</v>
      </c>
    </row>
    <row r="1646" spans="1:4" x14ac:dyDescent="0.25">
      <c r="A1646" t="s">
        <v>2351</v>
      </c>
      <c r="B1646" t="s">
        <v>2820</v>
      </c>
      <c r="C1646" t="s">
        <v>2913</v>
      </c>
      <c r="D1646" t="s">
        <v>2913</v>
      </c>
    </row>
    <row r="1647" spans="1:4" x14ac:dyDescent="0.25">
      <c r="A1647" t="s">
        <v>2353</v>
      </c>
      <c r="B1647" t="s">
        <v>2822</v>
      </c>
      <c r="C1647" t="s">
        <v>2823</v>
      </c>
      <c r="D1647" t="s">
        <v>2824</v>
      </c>
    </row>
    <row r="1648" spans="1:4" x14ac:dyDescent="0.25">
      <c r="A1648" t="s">
        <v>2354</v>
      </c>
      <c r="B1648" t="s">
        <v>2822</v>
      </c>
      <c r="C1648" t="s">
        <v>2751</v>
      </c>
      <c r="D1648" t="s">
        <v>2833</v>
      </c>
    </row>
    <row r="1649" spans="1:4" x14ac:dyDescent="0.25">
      <c r="A1649" t="s">
        <v>2355</v>
      </c>
      <c r="B1649" t="s">
        <v>2822</v>
      </c>
      <c r="C1649" t="s">
        <v>2751</v>
      </c>
      <c r="D1649" t="s">
        <v>2834</v>
      </c>
    </row>
    <row r="1650" spans="1:4" x14ac:dyDescent="0.25">
      <c r="A1650" t="s">
        <v>2356</v>
      </c>
      <c r="B1650" t="s">
        <v>2822</v>
      </c>
      <c r="C1650" t="s">
        <v>2771</v>
      </c>
      <c r="D1650" t="s">
        <v>2826</v>
      </c>
    </row>
    <row r="1651" spans="1:4" x14ac:dyDescent="0.25">
      <c r="A1651" t="s">
        <v>1339</v>
      </c>
      <c r="B1651" t="s">
        <v>2822</v>
      </c>
      <c r="C1651" t="s">
        <v>2771</v>
      </c>
      <c r="D1651" t="s">
        <v>2826</v>
      </c>
    </row>
    <row r="1652" spans="1:4" x14ac:dyDescent="0.25">
      <c r="A1652" t="s">
        <v>2358</v>
      </c>
      <c r="B1652" t="s">
        <v>2822</v>
      </c>
      <c r="C1652" t="s">
        <v>2771</v>
      </c>
      <c r="D1652" t="s">
        <v>2826</v>
      </c>
    </row>
    <row r="1653" spans="1:4" x14ac:dyDescent="0.25">
      <c r="A1653" t="s">
        <v>2359</v>
      </c>
      <c r="B1653" t="s">
        <v>2822</v>
      </c>
      <c r="C1653" t="s">
        <v>2771</v>
      </c>
      <c r="D1653" t="s">
        <v>2808</v>
      </c>
    </row>
    <row r="1654" spans="1:4" x14ac:dyDescent="0.25">
      <c r="A1654" t="s">
        <v>2360</v>
      </c>
      <c r="B1654" t="s">
        <v>2822</v>
      </c>
      <c r="C1654" t="s">
        <v>2775</v>
      </c>
      <c r="D1654" t="s">
        <v>2781</v>
      </c>
    </row>
    <row r="1655" spans="1:4" x14ac:dyDescent="0.25">
      <c r="A1655" t="s">
        <v>2361</v>
      </c>
      <c r="B1655" t="s">
        <v>2830</v>
      </c>
      <c r="C1655" t="s">
        <v>2751</v>
      </c>
      <c r="D1655" t="s">
        <v>2833</v>
      </c>
    </row>
    <row r="1656" spans="1:4" x14ac:dyDescent="0.25">
      <c r="A1656" t="s">
        <v>2362</v>
      </c>
      <c r="B1656" t="s">
        <v>2830</v>
      </c>
      <c r="C1656" t="s">
        <v>2751</v>
      </c>
      <c r="D1656" t="s">
        <v>2825</v>
      </c>
    </row>
    <row r="1657" spans="1:4" x14ac:dyDescent="0.25">
      <c r="A1657" t="s">
        <v>2363</v>
      </c>
      <c r="B1657" t="s">
        <v>2830</v>
      </c>
      <c r="C1657" t="s">
        <v>2751</v>
      </c>
      <c r="D1657" t="s">
        <v>2829</v>
      </c>
    </row>
    <row r="1658" spans="1:4" x14ac:dyDescent="0.25">
      <c r="A1658" t="s">
        <v>2364</v>
      </c>
      <c r="B1658" t="s">
        <v>2830</v>
      </c>
      <c r="C1658" t="s">
        <v>2989</v>
      </c>
      <c r="D1658" t="s">
        <v>2799</v>
      </c>
    </row>
    <row r="1659" spans="1:4" x14ac:dyDescent="0.25">
      <c r="A1659" t="s">
        <v>2365</v>
      </c>
      <c r="B1659" t="s">
        <v>2830</v>
      </c>
      <c r="C1659" t="s">
        <v>2989</v>
      </c>
      <c r="D1659" t="s">
        <v>2799</v>
      </c>
    </row>
    <row r="1660" spans="1:4" x14ac:dyDescent="0.25">
      <c r="A1660" t="s">
        <v>2366</v>
      </c>
      <c r="B1660" t="s">
        <v>2830</v>
      </c>
      <c r="C1660" t="s">
        <v>2796</v>
      </c>
      <c r="D1660" t="s">
        <v>2799</v>
      </c>
    </row>
    <row r="1661" spans="1:4" x14ac:dyDescent="0.25">
      <c r="A1661" t="s">
        <v>2367</v>
      </c>
      <c r="B1661" t="s">
        <v>2830</v>
      </c>
      <c r="C1661" t="s">
        <v>2797</v>
      </c>
      <c r="D1661" t="s">
        <v>2799</v>
      </c>
    </row>
    <row r="1662" spans="1:4" x14ac:dyDescent="0.25">
      <c r="A1662" t="s">
        <v>2368</v>
      </c>
      <c r="B1662" t="s">
        <v>2830</v>
      </c>
      <c r="C1662" t="s">
        <v>2796</v>
      </c>
      <c r="D1662" t="s">
        <v>2799</v>
      </c>
    </row>
    <row r="1663" spans="1:4" x14ac:dyDescent="0.25">
      <c r="A1663" t="s">
        <v>2369</v>
      </c>
      <c r="B1663" t="s">
        <v>2830</v>
      </c>
      <c r="C1663" t="s">
        <v>2797</v>
      </c>
      <c r="D1663" t="s">
        <v>2799</v>
      </c>
    </row>
    <row r="1664" spans="1:4" x14ac:dyDescent="0.25">
      <c r="A1664" t="s">
        <v>2370</v>
      </c>
      <c r="B1664" t="s">
        <v>2836</v>
      </c>
      <c r="C1664" t="s">
        <v>2754</v>
      </c>
      <c r="D1664" t="s">
        <v>2756</v>
      </c>
    </row>
    <row r="1665" spans="1:4" x14ac:dyDescent="0.25">
      <c r="A1665" t="s">
        <v>2371</v>
      </c>
      <c r="B1665" t="s">
        <v>2836</v>
      </c>
      <c r="C1665" t="s">
        <v>2775</v>
      </c>
      <c r="D1665" t="s">
        <v>2780</v>
      </c>
    </row>
    <row r="1666" spans="1:4" x14ac:dyDescent="0.25">
      <c r="A1666" t="s">
        <v>2372</v>
      </c>
      <c r="B1666" t="s">
        <v>2836</v>
      </c>
      <c r="C1666" t="s">
        <v>2775</v>
      </c>
      <c r="D1666" t="s">
        <v>2781</v>
      </c>
    </row>
    <row r="1667" spans="1:4" x14ac:dyDescent="0.25">
      <c r="A1667" t="s">
        <v>2373</v>
      </c>
      <c r="B1667" t="s">
        <v>2837</v>
      </c>
      <c r="C1667" t="s">
        <v>2754</v>
      </c>
      <c r="D1667" t="s">
        <v>2757</v>
      </c>
    </row>
    <row r="1668" spans="1:4" x14ac:dyDescent="0.25">
      <c r="A1668" t="s">
        <v>2375</v>
      </c>
      <c r="B1668" t="s">
        <v>2837</v>
      </c>
      <c r="C1668" t="s">
        <v>2754</v>
      </c>
      <c r="D1668" t="s">
        <v>2762</v>
      </c>
    </row>
    <row r="1669" spans="1:4" x14ac:dyDescent="0.25">
      <c r="A1669" t="s">
        <v>1394</v>
      </c>
      <c r="B1669" t="s">
        <v>2837</v>
      </c>
      <c r="C1669" t="s">
        <v>2787</v>
      </c>
      <c r="D1669" t="s">
        <v>2789</v>
      </c>
    </row>
    <row r="1670" spans="1:4" x14ac:dyDescent="0.25">
      <c r="A1670" t="s">
        <v>2376</v>
      </c>
      <c r="B1670" t="s">
        <v>2837</v>
      </c>
      <c r="C1670" t="s">
        <v>2989</v>
      </c>
      <c r="D1670" t="s">
        <v>2799</v>
      </c>
    </row>
    <row r="1671" spans="1:4" x14ac:dyDescent="0.25">
      <c r="A1671" t="s">
        <v>2377</v>
      </c>
      <c r="B1671" t="s">
        <v>2837</v>
      </c>
      <c r="C1671" t="s">
        <v>2797</v>
      </c>
      <c r="D1671" t="s">
        <v>2841</v>
      </c>
    </row>
    <row r="1672" spans="1:4" x14ac:dyDescent="0.25">
      <c r="A1672" t="s">
        <v>2379</v>
      </c>
      <c r="B1672" t="s">
        <v>2837</v>
      </c>
      <c r="C1672" t="s">
        <v>2798</v>
      </c>
      <c r="D1672" t="s">
        <v>2799</v>
      </c>
    </row>
    <row r="1673" spans="1:4" x14ac:dyDescent="0.25">
      <c r="A1673" t="s">
        <v>2380</v>
      </c>
      <c r="B1673" t="s">
        <v>2837</v>
      </c>
      <c r="C1673" t="s">
        <v>2796</v>
      </c>
      <c r="D1673" t="s">
        <v>2799</v>
      </c>
    </row>
    <row r="1674" spans="1:4" x14ac:dyDescent="0.25">
      <c r="A1674" t="s">
        <v>2381</v>
      </c>
      <c r="B1674" t="s">
        <v>2837</v>
      </c>
      <c r="C1674" t="s">
        <v>2797</v>
      </c>
      <c r="D1674" t="s">
        <v>2799</v>
      </c>
    </row>
    <row r="1675" spans="1:4" x14ac:dyDescent="0.25">
      <c r="A1675" t="s">
        <v>2382</v>
      </c>
      <c r="B1675" t="s">
        <v>2837</v>
      </c>
      <c r="C1675" t="s">
        <v>2797</v>
      </c>
      <c r="D1675" t="s">
        <v>2799</v>
      </c>
    </row>
    <row r="1676" spans="1:4" x14ac:dyDescent="0.25">
      <c r="A1676" t="s">
        <v>2383</v>
      </c>
      <c r="B1676" t="s">
        <v>2837</v>
      </c>
      <c r="C1676" t="s">
        <v>2797</v>
      </c>
      <c r="D1676" t="s">
        <v>2799</v>
      </c>
    </row>
    <row r="1677" spans="1:4" x14ac:dyDescent="0.25">
      <c r="A1677" t="s">
        <v>2385</v>
      </c>
      <c r="B1677" t="s">
        <v>2837</v>
      </c>
      <c r="C1677" t="s">
        <v>2801</v>
      </c>
      <c r="D1677" t="s">
        <v>2802</v>
      </c>
    </row>
    <row r="1678" spans="1:4" x14ac:dyDescent="0.25">
      <c r="A1678" t="s">
        <v>2387</v>
      </c>
      <c r="B1678" t="s">
        <v>2843</v>
      </c>
      <c r="C1678" t="s">
        <v>2787</v>
      </c>
      <c r="D1678" t="s">
        <v>2791</v>
      </c>
    </row>
    <row r="1679" spans="1:4" x14ac:dyDescent="0.25">
      <c r="A1679" t="s">
        <v>1341</v>
      </c>
      <c r="B1679" t="s">
        <v>2843</v>
      </c>
      <c r="C1679" t="s">
        <v>2800</v>
      </c>
      <c r="D1679" t="s">
        <v>2799</v>
      </c>
    </row>
    <row r="1680" spans="1:4" x14ac:dyDescent="0.25">
      <c r="A1680" t="s">
        <v>2388</v>
      </c>
      <c r="B1680" t="s">
        <v>2843</v>
      </c>
      <c r="C1680" t="s">
        <v>2798</v>
      </c>
      <c r="D1680" t="s">
        <v>2799</v>
      </c>
    </row>
    <row r="1681" spans="1:4" x14ac:dyDescent="0.25">
      <c r="A1681" t="s">
        <v>2389</v>
      </c>
      <c r="B1681" t="s">
        <v>2845</v>
      </c>
      <c r="C1681" t="s">
        <v>2771</v>
      </c>
      <c r="D1681" t="s">
        <v>2826</v>
      </c>
    </row>
    <row r="1682" spans="1:4" x14ac:dyDescent="0.25">
      <c r="A1682" t="s">
        <v>1343</v>
      </c>
      <c r="B1682" t="s">
        <v>2845</v>
      </c>
      <c r="C1682" t="s">
        <v>2800</v>
      </c>
      <c r="D1682" t="s">
        <v>2788</v>
      </c>
    </row>
    <row r="1683" spans="1:4" x14ac:dyDescent="0.25">
      <c r="A1683" t="s">
        <v>2390</v>
      </c>
      <c r="B1683" t="s">
        <v>2846</v>
      </c>
      <c r="C1683" t="s">
        <v>2775</v>
      </c>
      <c r="D1683" t="s">
        <v>2780</v>
      </c>
    </row>
    <row r="1684" spans="1:4" x14ac:dyDescent="0.25">
      <c r="A1684" t="s">
        <v>2391</v>
      </c>
      <c r="B1684" t="s">
        <v>2849</v>
      </c>
      <c r="C1684" t="s">
        <v>2771</v>
      </c>
      <c r="D1684" t="s">
        <v>2772</v>
      </c>
    </row>
    <row r="1685" spans="1:4" x14ac:dyDescent="0.25">
      <c r="A1685" t="s">
        <v>2392</v>
      </c>
      <c r="B1685" t="s">
        <v>2849</v>
      </c>
      <c r="C1685" t="s">
        <v>2775</v>
      </c>
      <c r="D1685" t="s">
        <v>2778</v>
      </c>
    </row>
    <row r="1686" spans="1:4" x14ac:dyDescent="0.25">
      <c r="A1686" t="s">
        <v>2394</v>
      </c>
      <c r="B1686" t="s">
        <v>2849</v>
      </c>
      <c r="C1686" t="s">
        <v>2801</v>
      </c>
      <c r="D1686" t="s">
        <v>2802</v>
      </c>
    </row>
    <row r="1687" spans="1:4" x14ac:dyDescent="0.25">
      <c r="A1687" t="s">
        <v>2395</v>
      </c>
      <c r="B1687" t="s">
        <v>2856</v>
      </c>
      <c r="C1687" t="s">
        <v>2801</v>
      </c>
      <c r="D1687" t="s">
        <v>2802</v>
      </c>
    </row>
    <row r="1688" spans="1:4" x14ac:dyDescent="0.25">
      <c r="A1688" t="s">
        <v>2396</v>
      </c>
      <c r="B1688" t="s">
        <v>2862</v>
      </c>
      <c r="C1688" t="s">
        <v>2754</v>
      </c>
      <c r="D1688" t="s">
        <v>2761</v>
      </c>
    </row>
    <row r="1689" spans="1:4" x14ac:dyDescent="0.25">
      <c r="A1689" t="s">
        <v>2397</v>
      </c>
      <c r="B1689" t="s">
        <v>2862</v>
      </c>
      <c r="C1689" t="s">
        <v>2801</v>
      </c>
      <c r="D1689" t="s">
        <v>2802</v>
      </c>
    </row>
    <row r="1690" spans="1:4" x14ac:dyDescent="0.25">
      <c r="A1690" t="s">
        <v>2398</v>
      </c>
      <c r="B1690" t="s">
        <v>2863</v>
      </c>
      <c r="C1690" t="s">
        <v>2871</v>
      </c>
      <c r="D1690" t="s">
        <v>2991</v>
      </c>
    </row>
    <row r="1691" spans="1:4" x14ac:dyDescent="0.25">
      <c r="A1691" t="s">
        <v>2400</v>
      </c>
      <c r="B1691" t="s">
        <v>2863</v>
      </c>
      <c r="C1691" t="s">
        <v>2871</v>
      </c>
      <c r="D1691" t="s">
        <v>2872</v>
      </c>
    </row>
    <row r="1692" spans="1:4" x14ac:dyDescent="0.25">
      <c r="A1692" t="s">
        <v>2402</v>
      </c>
      <c r="B1692" t="s">
        <v>2863</v>
      </c>
      <c r="C1692" t="s">
        <v>2871</v>
      </c>
      <c r="D1692" t="s">
        <v>2873</v>
      </c>
    </row>
    <row r="1693" spans="1:4" x14ac:dyDescent="0.25">
      <c r="A1693" t="s">
        <v>2404</v>
      </c>
      <c r="B1693" t="s">
        <v>2863</v>
      </c>
      <c r="C1693" t="s">
        <v>2874</v>
      </c>
      <c r="D1693" t="s">
        <v>2865</v>
      </c>
    </row>
    <row r="1694" spans="1:4" x14ac:dyDescent="0.25">
      <c r="A1694" t="s">
        <v>2405</v>
      </c>
      <c r="B1694" t="s">
        <v>2863</v>
      </c>
      <c r="C1694" t="s">
        <v>2754</v>
      </c>
      <c r="D1694" t="s">
        <v>2756</v>
      </c>
    </row>
    <row r="1695" spans="1:4" x14ac:dyDescent="0.25">
      <c r="A1695" t="s">
        <v>1393</v>
      </c>
      <c r="B1695" t="s">
        <v>2863</v>
      </c>
      <c r="C1695" t="s">
        <v>2987</v>
      </c>
      <c r="D1695" t="s">
        <v>2992</v>
      </c>
    </row>
    <row r="1696" spans="1:4" x14ac:dyDescent="0.25">
      <c r="A1696" t="s">
        <v>2406</v>
      </c>
      <c r="B1696" t="s">
        <v>2863</v>
      </c>
      <c r="C1696" t="s">
        <v>2775</v>
      </c>
      <c r="D1696" t="s">
        <v>2993</v>
      </c>
    </row>
    <row r="1697" spans="1:4" x14ac:dyDescent="0.25">
      <c r="A1697" t="s">
        <v>2408</v>
      </c>
      <c r="B1697" t="s">
        <v>2863</v>
      </c>
      <c r="C1697" t="s">
        <v>2787</v>
      </c>
      <c r="D1697" t="s">
        <v>2789</v>
      </c>
    </row>
    <row r="1698" spans="1:4" x14ac:dyDescent="0.25">
      <c r="A1698" t="s">
        <v>2409</v>
      </c>
      <c r="B1698" t="s">
        <v>2863</v>
      </c>
      <c r="C1698" t="s">
        <v>2882</v>
      </c>
      <c r="D1698" t="s">
        <v>2883</v>
      </c>
    </row>
    <row r="1699" spans="1:4" x14ac:dyDescent="0.25">
      <c r="A1699" t="s">
        <v>2411</v>
      </c>
      <c r="B1699" t="s">
        <v>2863</v>
      </c>
      <c r="C1699" t="s">
        <v>2882</v>
      </c>
      <c r="D1699" t="s">
        <v>2884</v>
      </c>
    </row>
    <row r="1700" spans="1:4" x14ac:dyDescent="0.25">
      <c r="A1700" t="s">
        <v>2412</v>
      </c>
      <c r="B1700" t="s">
        <v>2863</v>
      </c>
      <c r="C1700" t="s">
        <v>2882</v>
      </c>
      <c r="D1700" t="s">
        <v>2884</v>
      </c>
    </row>
    <row r="1701" spans="1:4" x14ac:dyDescent="0.25">
      <c r="A1701" t="s">
        <v>2413</v>
      </c>
      <c r="B1701" t="s">
        <v>2863</v>
      </c>
      <c r="C1701" t="s">
        <v>2885</v>
      </c>
      <c r="D1701" t="s">
        <v>2886</v>
      </c>
    </row>
    <row r="1702" spans="1:4" x14ac:dyDescent="0.25">
      <c r="A1702" t="s">
        <v>2415</v>
      </c>
      <c r="B1702" t="s">
        <v>2863</v>
      </c>
      <c r="C1702" t="s">
        <v>2888</v>
      </c>
      <c r="D1702" t="s">
        <v>2887</v>
      </c>
    </row>
    <row r="1703" spans="1:4" x14ac:dyDescent="0.25">
      <c r="A1703" t="s">
        <v>2417</v>
      </c>
      <c r="B1703" t="s">
        <v>2863</v>
      </c>
      <c r="C1703" t="s">
        <v>2888</v>
      </c>
      <c r="D1703" t="s">
        <v>2887</v>
      </c>
    </row>
    <row r="1704" spans="1:4" x14ac:dyDescent="0.25">
      <c r="A1704" t="s">
        <v>2419</v>
      </c>
      <c r="B1704" t="s">
        <v>2863</v>
      </c>
      <c r="C1704" t="s">
        <v>2888</v>
      </c>
      <c r="D1704" t="s">
        <v>2887</v>
      </c>
    </row>
    <row r="1705" spans="1:4" x14ac:dyDescent="0.25">
      <c r="A1705" t="s">
        <v>2421</v>
      </c>
      <c r="B1705" t="s">
        <v>2863</v>
      </c>
      <c r="C1705" t="s">
        <v>2888</v>
      </c>
      <c r="D1705" t="s">
        <v>2887</v>
      </c>
    </row>
    <row r="1706" spans="1:4" x14ac:dyDescent="0.25">
      <c r="A1706" t="s">
        <v>2422</v>
      </c>
      <c r="B1706" t="s">
        <v>2863</v>
      </c>
      <c r="C1706" t="s">
        <v>2888</v>
      </c>
      <c r="D1706" t="s">
        <v>2887</v>
      </c>
    </row>
    <row r="1707" spans="1:4" x14ac:dyDescent="0.25">
      <c r="A1707" t="s">
        <v>2424</v>
      </c>
      <c r="B1707" t="s">
        <v>2863</v>
      </c>
      <c r="C1707" t="s">
        <v>2888</v>
      </c>
      <c r="D1707" t="s">
        <v>2887</v>
      </c>
    </row>
    <row r="1708" spans="1:4" x14ac:dyDescent="0.25">
      <c r="A1708" t="s">
        <v>2425</v>
      </c>
      <c r="B1708" t="s">
        <v>2863</v>
      </c>
      <c r="C1708" t="s">
        <v>2888</v>
      </c>
      <c r="D1708" t="s">
        <v>2887</v>
      </c>
    </row>
    <row r="1709" spans="1:4" x14ac:dyDescent="0.25">
      <c r="A1709" t="s">
        <v>2427</v>
      </c>
      <c r="B1709" t="s">
        <v>2863</v>
      </c>
      <c r="C1709" t="s">
        <v>2888</v>
      </c>
      <c r="D1709" t="s">
        <v>2887</v>
      </c>
    </row>
    <row r="1710" spans="1:4" x14ac:dyDescent="0.25">
      <c r="A1710" t="s">
        <v>2429</v>
      </c>
      <c r="B1710" t="s">
        <v>2863</v>
      </c>
      <c r="C1710" t="s">
        <v>2888</v>
      </c>
      <c r="D1710" t="s">
        <v>2887</v>
      </c>
    </row>
    <row r="1711" spans="1:4" x14ac:dyDescent="0.25">
      <c r="A1711" t="s">
        <v>2431</v>
      </c>
      <c r="B1711" t="s">
        <v>2863</v>
      </c>
      <c r="C1711" t="s">
        <v>2888</v>
      </c>
      <c r="D1711" t="s">
        <v>2890</v>
      </c>
    </row>
    <row r="1712" spans="1:4" x14ac:dyDescent="0.25">
      <c r="A1712" t="s">
        <v>2433</v>
      </c>
      <c r="B1712" t="s">
        <v>2863</v>
      </c>
      <c r="C1712" t="s">
        <v>2893</v>
      </c>
      <c r="D1712" t="s">
        <v>2892</v>
      </c>
    </row>
    <row r="1713" spans="1:4" x14ac:dyDescent="0.25">
      <c r="A1713" t="s">
        <v>2435</v>
      </c>
      <c r="B1713" t="s">
        <v>2863</v>
      </c>
      <c r="C1713" t="s">
        <v>2885</v>
      </c>
      <c r="D1713" t="s">
        <v>2894</v>
      </c>
    </row>
    <row r="1714" spans="1:4" x14ac:dyDescent="0.25">
      <c r="A1714" t="s">
        <v>2436</v>
      </c>
      <c r="B1714" t="s">
        <v>2863</v>
      </c>
      <c r="C1714" t="s">
        <v>2885</v>
      </c>
      <c r="D1714" t="s">
        <v>2894</v>
      </c>
    </row>
    <row r="1715" spans="1:4" x14ac:dyDescent="0.25">
      <c r="A1715" t="s">
        <v>2438</v>
      </c>
      <c r="B1715" t="s">
        <v>2863</v>
      </c>
      <c r="C1715" t="s">
        <v>2895</v>
      </c>
      <c r="D1715" t="s">
        <v>2895</v>
      </c>
    </row>
    <row r="1716" spans="1:4" x14ac:dyDescent="0.25">
      <c r="A1716" t="s">
        <v>2440</v>
      </c>
      <c r="B1716" t="s">
        <v>2863</v>
      </c>
      <c r="C1716" t="s">
        <v>2895</v>
      </c>
      <c r="D1716" t="s">
        <v>2895</v>
      </c>
    </row>
    <row r="1717" spans="1:4" x14ac:dyDescent="0.25">
      <c r="A1717" t="s">
        <v>2442</v>
      </c>
      <c r="B1717" t="s">
        <v>2863</v>
      </c>
      <c r="C1717" t="s">
        <v>2798</v>
      </c>
      <c r="D1717" t="s">
        <v>2799</v>
      </c>
    </row>
    <row r="1718" spans="1:4" x14ac:dyDescent="0.25">
      <c r="A1718" t="s">
        <v>2443</v>
      </c>
      <c r="B1718" t="s">
        <v>2863</v>
      </c>
      <c r="C1718" t="s">
        <v>2994</v>
      </c>
      <c r="D1718" t="s">
        <v>2897</v>
      </c>
    </row>
    <row r="1719" spans="1:4" x14ac:dyDescent="0.25">
      <c r="A1719" t="s">
        <v>2445</v>
      </c>
      <c r="B1719" t="s">
        <v>2863</v>
      </c>
      <c r="C1719" t="s">
        <v>2898</v>
      </c>
      <c r="D1719" t="s">
        <v>2897</v>
      </c>
    </row>
    <row r="1720" spans="1:4" x14ac:dyDescent="0.25">
      <c r="A1720" t="s">
        <v>2447</v>
      </c>
      <c r="B1720" t="s">
        <v>2863</v>
      </c>
      <c r="C1720" t="s">
        <v>2801</v>
      </c>
      <c r="D1720" t="s">
        <v>2899</v>
      </c>
    </row>
    <row r="1721" spans="1:4" x14ac:dyDescent="0.25">
      <c r="A1721" t="s">
        <v>2449</v>
      </c>
      <c r="B1721" t="s">
        <v>2863</v>
      </c>
      <c r="C1721" t="s">
        <v>2882</v>
      </c>
      <c r="D1721" t="s">
        <v>2883</v>
      </c>
    </row>
    <row r="1722" spans="1:4" x14ac:dyDescent="0.25">
      <c r="A1722" t="s">
        <v>2451</v>
      </c>
      <c r="B1722" t="s">
        <v>2863</v>
      </c>
      <c r="C1722" t="s">
        <v>2882</v>
      </c>
      <c r="D1722" t="s">
        <v>2883</v>
      </c>
    </row>
    <row r="1723" spans="1:4" x14ac:dyDescent="0.25">
      <c r="A1723" t="s">
        <v>2453</v>
      </c>
      <c r="B1723" t="s">
        <v>2863</v>
      </c>
      <c r="C1723" t="s">
        <v>2882</v>
      </c>
      <c r="D1723" t="s">
        <v>2883</v>
      </c>
    </row>
    <row r="1724" spans="1:4" x14ac:dyDescent="0.25">
      <c r="A1724" t="s">
        <v>2455</v>
      </c>
      <c r="B1724" t="s">
        <v>2863</v>
      </c>
      <c r="C1724" t="s">
        <v>2882</v>
      </c>
      <c r="D1724" t="s">
        <v>2883</v>
      </c>
    </row>
    <row r="1725" spans="1:4" x14ac:dyDescent="0.25">
      <c r="A1725" t="s">
        <v>2457</v>
      </c>
      <c r="B1725" t="s">
        <v>2863</v>
      </c>
      <c r="C1725" t="s">
        <v>2801</v>
      </c>
      <c r="D1725" t="s">
        <v>2802</v>
      </c>
    </row>
    <row r="1726" spans="1:4" x14ac:dyDescent="0.25">
      <c r="A1726" t="s">
        <v>2458</v>
      </c>
      <c r="B1726" t="s">
        <v>2863</v>
      </c>
      <c r="C1726" t="s">
        <v>2900</v>
      </c>
      <c r="D1726" t="s">
        <v>2905</v>
      </c>
    </row>
    <row r="1727" spans="1:4" x14ac:dyDescent="0.25">
      <c r="A1727" t="s">
        <v>2460</v>
      </c>
      <c r="B1727" t="s">
        <v>2863</v>
      </c>
      <c r="C1727" t="s">
        <v>2900</v>
      </c>
      <c r="D1727" t="s">
        <v>2755</v>
      </c>
    </row>
    <row r="1728" spans="1:4" x14ac:dyDescent="0.25">
      <c r="A1728" t="s">
        <v>2462</v>
      </c>
      <c r="B1728" t="s">
        <v>2863</v>
      </c>
      <c r="C1728" t="s">
        <v>2900</v>
      </c>
      <c r="D1728" t="s">
        <v>2755</v>
      </c>
    </row>
    <row r="1729" spans="1:4" x14ac:dyDescent="0.25">
      <c r="A1729" t="s">
        <v>2464</v>
      </c>
      <c r="B1729" t="s">
        <v>2863</v>
      </c>
      <c r="C1729" t="s">
        <v>2885</v>
      </c>
      <c r="D1729" t="s">
        <v>2907</v>
      </c>
    </row>
    <row r="1730" spans="1:4" x14ac:dyDescent="0.25">
      <c r="A1730" t="s">
        <v>2466</v>
      </c>
      <c r="B1730" t="s">
        <v>2863</v>
      </c>
      <c r="C1730" t="s">
        <v>2900</v>
      </c>
      <c r="D1730" t="s">
        <v>2909</v>
      </c>
    </row>
    <row r="1731" spans="1:4" x14ac:dyDescent="0.25">
      <c r="A1731" t="s">
        <v>2468</v>
      </c>
      <c r="B1731" t="s">
        <v>2863</v>
      </c>
      <c r="C1731" t="s">
        <v>2900</v>
      </c>
      <c r="D1731" t="s">
        <v>2910</v>
      </c>
    </row>
    <row r="1732" spans="1:4" x14ac:dyDescent="0.25">
      <c r="A1732" t="s">
        <v>2470</v>
      </c>
      <c r="B1732" t="s">
        <v>2863</v>
      </c>
      <c r="C1732" t="s">
        <v>2900</v>
      </c>
      <c r="D1732" t="s">
        <v>2995</v>
      </c>
    </row>
    <row r="1733" spans="1:4" x14ac:dyDescent="0.25">
      <c r="A1733" t="s">
        <v>2472</v>
      </c>
      <c r="B1733" t="s">
        <v>2863</v>
      </c>
      <c r="C1733" t="s">
        <v>2900</v>
      </c>
      <c r="D1733" t="s">
        <v>2912</v>
      </c>
    </row>
    <row r="1734" spans="1:4" x14ac:dyDescent="0.25">
      <c r="A1734" t="s">
        <v>2473</v>
      </c>
      <c r="B1734" t="s">
        <v>2863</v>
      </c>
      <c r="C1734" t="s">
        <v>2900</v>
      </c>
      <c r="D1734" t="s">
        <v>2995</v>
      </c>
    </row>
    <row r="1735" spans="1:4" x14ac:dyDescent="0.25">
      <c r="A1735" t="s">
        <v>2475</v>
      </c>
      <c r="B1735" t="s">
        <v>2863</v>
      </c>
      <c r="C1735" t="s">
        <v>2900</v>
      </c>
      <c r="D1735" t="s">
        <v>2995</v>
      </c>
    </row>
    <row r="1736" spans="1:4" x14ac:dyDescent="0.25">
      <c r="A1736" t="s">
        <v>2477</v>
      </c>
      <c r="B1736" t="s">
        <v>2863</v>
      </c>
      <c r="C1736" t="s">
        <v>2913</v>
      </c>
      <c r="D1736" t="s">
        <v>2913</v>
      </c>
    </row>
    <row r="1737" spans="1:4" x14ac:dyDescent="0.25">
      <c r="A1737" t="s">
        <v>2479</v>
      </c>
      <c r="B1737" t="s">
        <v>2863</v>
      </c>
      <c r="C1737" t="s">
        <v>2913</v>
      </c>
      <c r="D1737" t="s">
        <v>2913</v>
      </c>
    </row>
    <row r="1738" spans="1:4" x14ac:dyDescent="0.25">
      <c r="A1738" t="s">
        <v>2481</v>
      </c>
      <c r="B1738" t="s">
        <v>2863</v>
      </c>
      <c r="C1738" t="s">
        <v>2913</v>
      </c>
      <c r="D1738" t="s">
        <v>2913</v>
      </c>
    </row>
    <row r="1739" spans="1:4" x14ac:dyDescent="0.25">
      <c r="A1739" t="s">
        <v>2483</v>
      </c>
      <c r="B1739" t="s">
        <v>2863</v>
      </c>
      <c r="C1739" t="s">
        <v>2913</v>
      </c>
      <c r="D1739" t="s">
        <v>2913</v>
      </c>
    </row>
    <row r="1740" spans="1:4" x14ac:dyDescent="0.25">
      <c r="A1740" t="s">
        <v>2484</v>
      </c>
      <c r="B1740" t="s">
        <v>2863</v>
      </c>
      <c r="C1740" t="s">
        <v>2913</v>
      </c>
      <c r="D1740" t="s">
        <v>2913</v>
      </c>
    </row>
    <row r="1741" spans="1:4" x14ac:dyDescent="0.25">
      <c r="A1741" t="s">
        <v>2486</v>
      </c>
      <c r="B1741" t="s">
        <v>2863</v>
      </c>
      <c r="C1741" t="s">
        <v>2913</v>
      </c>
      <c r="D1741" t="s">
        <v>2913</v>
      </c>
    </row>
    <row r="1742" spans="1:4" x14ac:dyDescent="0.25">
      <c r="A1742" t="s">
        <v>2488</v>
      </c>
      <c r="B1742" t="s">
        <v>2863</v>
      </c>
      <c r="C1742" t="s">
        <v>2895</v>
      </c>
      <c r="D1742" t="s">
        <v>2895</v>
      </c>
    </row>
    <row r="1743" spans="1:4" x14ac:dyDescent="0.25">
      <c r="A1743" t="s">
        <v>2490</v>
      </c>
      <c r="B1743" t="s">
        <v>2863</v>
      </c>
      <c r="C1743" t="s">
        <v>2895</v>
      </c>
      <c r="D1743" t="s">
        <v>2895</v>
      </c>
    </row>
    <row r="1744" spans="1:4" x14ac:dyDescent="0.25">
      <c r="A1744" t="s">
        <v>2492</v>
      </c>
      <c r="B1744" t="s">
        <v>2863</v>
      </c>
      <c r="C1744" t="s">
        <v>2917</v>
      </c>
      <c r="D1744" t="s">
        <v>2918</v>
      </c>
    </row>
    <row r="1745" spans="1:4" x14ac:dyDescent="0.25">
      <c r="A1745" t="s">
        <v>2494</v>
      </c>
      <c r="B1745" t="s">
        <v>2863</v>
      </c>
      <c r="C1745" t="s">
        <v>2915</v>
      </c>
      <c r="D1745" t="s">
        <v>2916</v>
      </c>
    </row>
    <row r="1746" spans="1:4" x14ac:dyDescent="0.25">
      <c r="A1746" t="s">
        <v>2496</v>
      </c>
      <c r="B1746" t="s">
        <v>2863</v>
      </c>
      <c r="C1746" t="s">
        <v>2915</v>
      </c>
      <c r="D1746" t="s">
        <v>2916</v>
      </c>
    </row>
    <row r="1747" spans="1:4" x14ac:dyDescent="0.25">
      <c r="A1747" t="s">
        <v>2498</v>
      </c>
      <c r="B1747" t="s">
        <v>2863</v>
      </c>
      <c r="C1747" t="s">
        <v>2915</v>
      </c>
      <c r="D1747" t="s">
        <v>2916</v>
      </c>
    </row>
    <row r="1748" spans="1:4" x14ac:dyDescent="0.25">
      <c r="A1748" t="s">
        <v>2499</v>
      </c>
      <c r="B1748" t="s">
        <v>2863</v>
      </c>
      <c r="C1748" t="s">
        <v>2915</v>
      </c>
      <c r="D1748" t="s">
        <v>2916</v>
      </c>
    </row>
    <row r="1749" spans="1:4" x14ac:dyDescent="0.25">
      <c r="A1749" t="s">
        <v>2500</v>
      </c>
      <c r="B1749" t="s">
        <v>2863</v>
      </c>
      <c r="C1749" t="s">
        <v>2898</v>
      </c>
      <c r="D1749" t="s">
        <v>2897</v>
      </c>
    </row>
    <row r="1750" spans="1:4" x14ac:dyDescent="0.25">
      <c r="A1750" t="s">
        <v>2502</v>
      </c>
      <c r="B1750" t="s">
        <v>2863</v>
      </c>
      <c r="C1750" t="s">
        <v>2917</v>
      </c>
      <c r="D1750" t="s">
        <v>2918</v>
      </c>
    </row>
    <row r="1751" spans="1:4" x14ac:dyDescent="0.25">
      <c r="A1751" t="s">
        <v>2504</v>
      </c>
      <c r="B1751" t="s">
        <v>2863</v>
      </c>
      <c r="C1751" t="s">
        <v>2917</v>
      </c>
      <c r="D1751" t="s">
        <v>2918</v>
      </c>
    </row>
    <row r="1752" spans="1:4" x14ac:dyDescent="0.25">
      <c r="A1752" t="s">
        <v>2506</v>
      </c>
      <c r="B1752" t="s">
        <v>2863</v>
      </c>
      <c r="C1752" t="s">
        <v>2803</v>
      </c>
      <c r="D1752" t="s">
        <v>2794</v>
      </c>
    </row>
    <row r="1753" spans="1:4" x14ac:dyDescent="0.25">
      <c r="A1753" t="s">
        <v>2508</v>
      </c>
      <c r="B1753" t="s">
        <v>2863</v>
      </c>
      <c r="C1753" t="s">
        <v>2803</v>
      </c>
      <c r="D1753" t="s">
        <v>2919</v>
      </c>
    </row>
    <row r="1754" spans="1:4" x14ac:dyDescent="0.25">
      <c r="A1754" t="s">
        <v>2510</v>
      </c>
      <c r="B1754" t="s">
        <v>2920</v>
      </c>
      <c r="C1754" t="s">
        <v>2989</v>
      </c>
      <c r="D1754" t="s">
        <v>2799</v>
      </c>
    </row>
    <row r="1755" spans="1:4" x14ac:dyDescent="0.25">
      <c r="A1755" t="s">
        <v>2511</v>
      </c>
      <c r="B1755" t="s">
        <v>2920</v>
      </c>
      <c r="C1755" t="s">
        <v>2796</v>
      </c>
      <c r="D1755" t="s">
        <v>2799</v>
      </c>
    </row>
    <row r="1756" spans="1:4" x14ac:dyDescent="0.25">
      <c r="A1756" t="s">
        <v>2512</v>
      </c>
      <c r="B1756" t="s">
        <v>2920</v>
      </c>
      <c r="C1756" t="s">
        <v>2797</v>
      </c>
      <c r="D1756" t="s">
        <v>2799</v>
      </c>
    </row>
    <row r="1757" spans="1:4" x14ac:dyDescent="0.25">
      <c r="A1757" t="s">
        <v>2513</v>
      </c>
      <c r="B1757" t="s">
        <v>2922</v>
      </c>
      <c r="C1757" t="s">
        <v>2923</v>
      </c>
      <c r="D1757" t="s">
        <v>2923</v>
      </c>
    </row>
    <row r="1758" spans="1:4" x14ac:dyDescent="0.25">
      <c r="A1758" t="s">
        <v>2515</v>
      </c>
      <c r="B1758" t="s">
        <v>2922</v>
      </c>
      <c r="C1758" t="s">
        <v>2771</v>
      </c>
      <c r="D1758" t="s">
        <v>2826</v>
      </c>
    </row>
    <row r="1759" spans="1:4" x14ac:dyDescent="0.25">
      <c r="A1759" t="s">
        <v>2516</v>
      </c>
      <c r="B1759" t="s">
        <v>2922</v>
      </c>
      <c r="C1759" t="s">
        <v>2989</v>
      </c>
      <c r="D1759" t="s">
        <v>2799</v>
      </c>
    </row>
    <row r="1760" spans="1:4" x14ac:dyDescent="0.25">
      <c r="A1760" t="s">
        <v>2517</v>
      </c>
      <c r="B1760" t="s">
        <v>2922</v>
      </c>
      <c r="C1760" t="s">
        <v>2796</v>
      </c>
      <c r="D1760" t="s">
        <v>2799</v>
      </c>
    </row>
    <row r="1761" spans="1:4" x14ac:dyDescent="0.25">
      <c r="A1761" t="s">
        <v>2518</v>
      </c>
      <c r="B1761" t="s">
        <v>2922</v>
      </c>
      <c r="C1761" t="s">
        <v>2797</v>
      </c>
      <c r="D1761" t="s">
        <v>2799</v>
      </c>
    </row>
    <row r="1762" spans="1:4" x14ac:dyDescent="0.25">
      <c r="A1762" t="s">
        <v>2519</v>
      </c>
      <c r="B1762" t="s">
        <v>2927</v>
      </c>
      <c r="C1762" t="s">
        <v>2874</v>
      </c>
      <c r="D1762" t="s">
        <v>2928</v>
      </c>
    </row>
    <row r="1763" spans="1:4" x14ac:dyDescent="0.25">
      <c r="A1763" t="s">
        <v>2520</v>
      </c>
      <c r="B1763" t="s">
        <v>2927</v>
      </c>
      <c r="C1763" t="s">
        <v>2771</v>
      </c>
      <c r="D1763" t="s">
        <v>2772</v>
      </c>
    </row>
    <row r="1764" spans="1:4" x14ac:dyDescent="0.25">
      <c r="A1764" t="s">
        <v>2522</v>
      </c>
      <c r="B1764" t="s">
        <v>2927</v>
      </c>
      <c r="C1764" t="s">
        <v>2925</v>
      </c>
      <c r="D1764" t="s">
        <v>2996</v>
      </c>
    </row>
    <row r="1765" spans="1:4" x14ac:dyDescent="0.25">
      <c r="A1765" t="s">
        <v>2523</v>
      </c>
      <c r="B1765" t="s">
        <v>2927</v>
      </c>
      <c r="C1765" t="s">
        <v>2931</v>
      </c>
      <c r="D1765" t="s">
        <v>2982</v>
      </c>
    </row>
    <row r="1766" spans="1:4" x14ac:dyDescent="0.25">
      <c r="A1766" t="s">
        <v>2524</v>
      </c>
      <c r="B1766" t="s">
        <v>2927</v>
      </c>
      <c r="C1766" t="s">
        <v>2989</v>
      </c>
      <c r="D1766" t="s">
        <v>2799</v>
      </c>
    </row>
    <row r="1767" spans="1:4" x14ac:dyDescent="0.25">
      <c r="A1767" t="s">
        <v>2525</v>
      </c>
      <c r="B1767" t="s">
        <v>2927</v>
      </c>
      <c r="C1767" t="s">
        <v>2989</v>
      </c>
      <c r="D1767" t="s">
        <v>2799</v>
      </c>
    </row>
    <row r="1768" spans="1:4" x14ac:dyDescent="0.25">
      <c r="A1768" t="s">
        <v>2526</v>
      </c>
      <c r="B1768" t="s">
        <v>2927</v>
      </c>
      <c r="C1768" t="s">
        <v>2885</v>
      </c>
      <c r="D1768" t="s">
        <v>2934</v>
      </c>
    </row>
    <row r="1769" spans="1:4" x14ac:dyDescent="0.25">
      <c r="A1769" t="s">
        <v>2528</v>
      </c>
      <c r="B1769" t="s">
        <v>2927</v>
      </c>
      <c r="C1769" t="s">
        <v>2885</v>
      </c>
      <c r="D1769" t="s">
        <v>2894</v>
      </c>
    </row>
    <row r="1770" spans="1:4" x14ac:dyDescent="0.25">
      <c r="A1770" t="s">
        <v>2530</v>
      </c>
      <c r="B1770" t="s">
        <v>2927</v>
      </c>
      <c r="C1770" t="s">
        <v>2885</v>
      </c>
      <c r="D1770" t="s">
        <v>2894</v>
      </c>
    </row>
    <row r="1771" spans="1:4" x14ac:dyDescent="0.25">
      <c r="A1771" t="s">
        <v>2532</v>
      </c>
      <c r="B1771" t="s">
        <v>2927</v>
      </c>
      <c r="C1771" t="s">
        <v>2800</v>
      </c>
      <c r="D1771" t="s">
        <v>2788</v>
      </c>
    </row>
    <row r="1772" spans="1:4" x14ac:dyDescent="0.25">
      <c r="A1772" t="s">
        <v>2533</v>
      </c>
      <c r="B1772" t="s">
        <v>2927</v>
      </c>
      <c r="C1772" t="s">
        <v>2798</v>
      </c>
      <c r="D1772" t="s">
        <v>2799</v>
      </c>
    </row>
    <row r="1773" spans="1:4" x14ac:dyDescent="0.25">
      <c r="A1773" t="s">
        <v>2534</v>
      </c>
      <c r="B1773" t="s">
        <v>2927</v>
      </c>
      <c r="C1773" t="s">
        <v>2796</v>
      </c>
      <c r="D1773" t="s">
        <v>2799</v>
      </c>
    </row>
    <row r="1774" spans="1:4" x14ac:dyDescent="0.25">
      <c r="A1774" t="s">
        <v>2535</v>
      </c>
      <c r="B1774" t="s">
        <v>2927</v>
      </c>
      <c r="C1774" t="s">
        <v>2797</v>
      </c>
      <c r="D1774" t="s">
        <v>2799</v>
      </c>
    </row>
    <row r="1775" spans="1:4" x14ac:dyDescent="0.25">
      <c r="A1775" t="s">
        <v>2536</v>
      </c>
      <c r="B1775" t="s">
        <v>2927</v>
      </c>
      <c r="C1775" t="s">
        <v>2796</v>
      </c>
      <c r="D1775" t="s">
        <v>2799</v>
      </c>
    </row>
    <row r="1776" spans="1:4" x14ac:dyDescent="0.25">
      <c r="A1776" t="s">
        <v>2537</v>
      </c>
      <c r="B1776" t="s">
        <v>2927</v>
      </c>
      <c r="C1776" t="s">
        <v>2797</v>
      </c>
      <c r="D1776" t="s">
        <v>2799</v>
      </c>
    </row>
    <row r="1777" spans="1:4" x14ac:dyDescent="0.25">
      <c r="A1777" t="s">
        <v>2538</v>
      </c>
      <c r="B1777" t="s">
        <v>2927</v>
      </c>
      <c r="C1777" t="s">
        <v>2895</v>
      </c>
      <c r="D1777" t="s">
        <v>2895</v>
      </c>
    </row>
    <row r="1778" spans="1:4" x14ac:dyDescent="0.25">
      <c r="A1778" t="s">
        <v>2540</v>
      </c>
      <c r="B1778" t="s">
        <v>2927</v>
      </c>
      <c r="C1778" t="s">
        <v>2803</v>
      </c>
      <c r="D1778" t="s">
        <v>2794</v>
      </c>
    </row>
    <row r="1779" spans="1:4" x14ac:dyDescent="0.25">
      <c r="A1779" t="s">
        <v>2541</v>
      </c>
      <c r="B1779" t="s">
        <v>2935</v>
      </c>
      <c r="C1779" t="s">
        <v>2771</v>
      </c>
      <c r="D1779" t="s">
        <v>2772</v>
      </c>
    </row>
    <row r="1780" spans="1:4" x14ac:dyDescent="0.25">
      <c r="A1780" t="s">
        <v>2542</v>
      </c>
      <c r="B1780" t="s">
        <v>2935</v>
      </c>
      <c r="C1780" t="s">
        <v>2775</v>
      </c>
      <c r="D1780" t="s">
        <v>2848</v>
      </c>
    </row>
    <row r="1781" spans="1:4" x14ac:dyDescent="0.25">
      <c r="A1781" t="s">
        <v>2543</v>
      </c>
      <c r="B1781" t="s">
        <v>2935</v>
      </c>
      <c r="C1781" t="s">
        <v>2925</v>
      </c>
      <c r="D1781" t="s">
        <v>2997</v>
      </c>
    </row>
    <row r="1782" spans="1:4" x14ac:dyDescent="0.25">
      <c r="A1782" t="s">
        <v>2544</v>
      </c>
      <c r="B1782" t="s">
        <v>2935</v>
      </c>
      <c r="C1782" t="s">
        <v>2989</v>
      </c>
      <c r="D1782" t="s">
        <v>2799</v>
      </c>
    </row>
    <row r="1783" spans="1:4" x14ac:dyDescent="0.25">
      <c r="A1783" t="s">
        <v>2545</v>
      </c>
      <c r="B1783" t="s">
        <v>2935</v>
      </c>
      <c r="C1783" t="s">
        <v>2989</v>
      </c>
      <c r="D1783" t="s">
        <v>2799</v>
      </c>
    </row>
    <row r="1784" spans="1:4" x14ac:dyDescent="0.25">
      <c r="A1784" t="s">
        <v>2546</v>
      </c>
      <c r="B1784" t="s">
        <v>2935</v>
      </c>
      <c r="C1784" t="s">
        <v>2796</v>
      </c>
      <c r="D1784" t="s">
        <v>2799</v>
      </c>
    </row>
    <row r="1785" spans="1:4" x14ac:dyDescent="0.25">
      <c r="A1785" t="s">
        <v>2547</v>
      </c>
      <c r="B1785" t="s">
        <v>2935</v>
      </c>
      <c r="C1785" t="s">
        <v>2797</v>
      </c>
      <c r="D1785" t="s">
        <v>2799</v>
      </c>
    </row>
    <row r="1786" spans="1:4" x14ac:dyDescent="0.25">
      <c r="A1786" t="s">
        <v>2548</v>
      </c>
      <c r="B1786" t="s">
        <v>2935</v>
      </c>
      <c r="C1786" t="s">
        <v>2796</v>
      </c>
      <c r="D1786" t="s">
        <v>2799</v>
      </c>
    </row>
    <row r="1787" spans="1:4" x14ac:dyDescent="0.25">
      <c r="A1787" t="s">
        <v>2549</v>
      </c>
      <c r="B1787" t="s">
        <v>2935</v>
      </c>
      <c r="C1787" t="s">
        <v>2797</v>
      </c>
      <c r="D1787" t="s">
        <v>2799</v>
      </c>
    </row>
    <row r="1788" spans="1:4" x14ac:dyDescent="0.25">
      <c r="A1788" t="s">
        <v>2550</v>
      </c>
      <c r="B1788" t="s">
        <v>2935</v>
      </c>
      <c r="C1788" t="s">
        <v>2801</v>
      </c>
      <c r="D1788" t="s">
        <v>2802</v>
      </c>
    </row>
    <row r="1789" spans="1:4" x14ac:dyDescent="0.25">
      <c r="A1789" t="s">
        <v>2551</v>
      </c>
      <c r="B1789" t="s">
        <v>2937</v>
      </c>
      <c r="C1789" t="s">
        <v>2989</v>
      </c>
      <c r="D1789" t="s">
        <v>2799</v>
      </c>
    </row>
    <row r="1790" spans="1:4" x14ac:dyDescent="0.25">
      <c r="A1790" t="s">
        <v>2552</v>
      </c>
      <c r="B1790" t="s">
        <v>2937</v>
      </c>
      <c r="C1790" t="s">
        <v>2989</v>
      </c>
      <c r="D1790" t="s">
        <v>2799</v>
      </c>
    </row>
    <row r="1791" spans="1:4" x14ac:dyDescent="0.25">
      <c r="A1791" t="s">
        <v>2553</v>
      </c>
      <c r="B1791" t="s">
        <v>2937</v>
      </c>
      <c r="C1791" t="s">
        <v>2895</v>
      </c>
      <c r="D1791" t="s">
        <v>2895</v>
      </c>
    </row>
    <row r="1792" spans="1:4" x14ac:dyDescent="0.25">
      <c r="A1792" t="s">
        <v>2555</v>
      </c>
      <c r="B1792" t="s">
        <v>2937</v>
      </c>
      <c r="C1792" t="s">
        <v>2895</v>
      </c>
      <c r="D1792" t="s">
        <v>2895</v>
      </c>
    </row>
    <row r="1793" spans="1:4" x14ac:dyDescent="0.25">
      <c r="A1793" t="s">
        <v>2557</v>
      </c>
      <c r="B1793" t="s">
        <v>2937</v>
      </c>
      <c r="C1793" t="s">
        <v>2895</v>
      </c>
      <c r="D1793" t="s">
        <v>2895</v>
      </c>
    </row>
    <row r="1794" spans="1:4" x14ac:dyDescent="0.25">
      <c r="A1794" t="s">
        <v>2559</v>
      </c>
      <c r="B1794" t="s">
        <v>2937</v>
      </c>
      <c r="C1794" t="s">
        <v>2796</v>
      </c>
      <c r="D1794" t="s">
        <v>2799</v>
      </c>
    </row>
    <row r="1795" spans="1:4" x14ac:dyDescent="0.25">
      <c r="A1795" t="s">
        <v>2560</v>
      </c>
      <c r="B1795" t="s">
        <v>2937</v>
      </c>
      <c r="C1795" t="s">
        <v>2797</v>
      </c>
      <c r="D1795" t="s">
        <v>2799</v>
      </c>
    </row>
    <row r="1796" spans="1:4" x14ac:dyDescent="0.25">
      <c r="A1796" t="s">
        <v>2561</v>
      </c>
      <c r="B1796" t="s">
        <v>2937</v>
      </c>
      <c r="C1796" t="s">
        <v>2796</v>
      </c>
      <c r="D1796" t="s">
        <v>2799</v>
      </c>
    </row>
    <row r="1797" spans="1:4" x14ac:dyDescent="0.25">
      <c r="A1797" t="s">
        <v>2562</v>
      </c>
      <c r="B1797" t="s">
        <v>2937</v>
      </c>
      <c r="C1797" t="s">
        <v>2797</v>
      </c>
      <c r="D1797" t="s">
        <v>2799</v>
      </c>
    </row>
    <row r="1798" spans="1:4" x14ac:dyDescent="0.25">
      <c r="A1798" t="s">
        <v>2563</v>
      </c>
      <c r="B1798" t="s">
        <v>2942</v>
      </c>
      <c r="C1798" t="s">
        <v>2871</v>
      </c>
      <c r="D1798" t="s">
        <v>2968</v>
      </c>
    </row>
    <row r="1799" spans="1:4" x14ac:dyDescent="0.25">
      <c r="A1799" t="s">
        <v>2564</v>
      </c>
      <c r="B1799" t="s">
        <v>2942</v>
      </c>
      <c r="C1799" t="s">
        <v>2871</v>
      </c>
      <c r="D1799" t="s">
        <v>2998</v>
      </c>
    </row>
    <row r="1800" spans="1:4" x14ac:dyDescent="0.25">
      <c r="A1800" t="s">
        <v>2566</v>
      </c>
      <c r="B1800" t="s">
        <v>2942</v>
      </c>
      <c r="C1800" t="s">
        <v>2871</v>
      </c>
      <c r="D1800" t="s">
        <v>2943</v>
      </c>
    </row>
    <row r="1801" spans="1:4" x14ac:dyDescent="0.25">
      <c r="A1801" t="s">
        <v>2568</v>
      </c>
      <c r="B1801" t="s">
        <v>2942</v>
      </c>
      <c r="C1801" t="s">
        <v>2754</v>
      </c>
      <c r="D1801" t="s">
        <v>2753</v>
      </c>
    </row>
    <row r="1802" spans="1:4" x14ac:dyDescent="0.25">
      <c r="A1802" t="s">
        <v>1369</v>
      </c>
      <c r="B1802" t="s">
        <v>2942</v>
      </c>
      <c r="C1802" t="s">
        <v>2775</v>
      </c>
      <c r="D1802" t="s">
        <v>2999</v>
      </c>
    </row>
    <row r="1803" spans="1:4" x14ac:dyDescent="0.25">
      <c r="A1803" t="s">
        <v>2570</v>
      </c>
      <c r="B1803" t="s">
        <v>2942</v>
      </c>
      <c r="C1803" t="s">
        <v>2989</v>
      </c>
      <c r="D1803" t="s">
        <v>2799</v>
      </c>
    </row>
    <row r="1804" spans="1:4" x14ac:dyDescent="0.25">
      <c r="A1804" t="s">
        <v>2571</v>
      </c>
      <c r="B1804" t="s">
        <v>2942</v>
      </c>
      <c r="C1804" t="s">
        <v>2989</v>
      </c>
      <c r="D1804" t="s">
        <v>2799</v>
      </c>
    </row>
    <row r="1805" spans="1:4" x14ac:dyDescent="0.25">
      <c r="A1805" t="s">
        <v>2572</v>
      </c>
      <c r="B1805" t="s">
        <v>2942</v>
      </c>
      <c r="C1805" t="s">
        <v>2989</v>
      </c>
      <c r="D1805" t="s">
        <v>2799</v>
      </c>
    </row>
    <row r="1806" spans="1:4" x14ac:dyDescent="0.25">
      <c r="A1806" t="s">
        <v>2573</v>
      </c>
      <c r="B1806" t="s">
        <v>2942</v>
      </c>
      <c r="C1806" t="s">
        <v>2796</v>
      </c>
      <c r="D1806" t="s">
        <v>2799</v>
      </c>
    </row>
    <row r="1807" spans="1:4" x14ac:dyDescent="0.25">
      <c r="A1807" t="s">
        <v>2574</v>
      </c>
      <c r="B1807" t="s">
        <v>2942</v>
      </c>
      <c r="C1807" t="s">
        <v>2797</v>
      </c>
      <c r="D1807" t="s">
        <v>2799</v>
      </c>
    </row>
    <row r="1808" spans="1:4" x14ac:dyDescent="0.25">
      <c r="A1808" t="s">
        <v>2575</v>
      </c>
      <c r="B1808" t="s">
        <v>2942</v>
      </c>
      <c r="C1808" t="s">
        <v>2796</v>
      </c>
      <c r="D1808" t="s">
        <v>2799</v>
      </c>
    </row>
    <row r="1809" spans="1:4" x14ac:dyDescent="0.25">
      <c r="A1809" t="s">
        <v>2576</v>
      </c>
      <c r="B1809" t="s">
        <v>2942</v>
      </c>
      <c r="C1809" t="s">
        <v>2797</v>
      </c>
      <c r="D1809" t="s">
        <v>2799</v>
      </c>
    </row>
    <row r="1810" spans="1:4" x14ac:dyDescent="0.25">
      <c r="A1810" t="s">
        <v>2577</v>
      </c>
      <c r="B1810" t="s">
        <v>2942</v>
      </c>
      <c r="C1810" t="s">
        <v>2796</v>
      </c>
      <c r="D1810" t="s">
        <v>2799</v>
      </c>
    </row>
    <row r="1811" spans="1:4" x14ac:dyDescent="0.25">
      <c r="A1811" t="s">
        <v>2578</v>
      </c>
      <c r="B1811" t="s">
        <v>2942</v>
      </c>
      <c r="C1811" t="s">
        <v>2797</v>
      </c>
      <c r="D1811" t="s">
        <v>2799</v>
      </c>
    </row>
    <row r="1812" spans="1:4" x14ac:dyDescent="0.25">
      <c r="A1812" t="s">
        <v>2579</v>
      </c>
      <c r="B1812" t="s">
        <v>2942</v>
      </c>
      <c r="C1812" t="s">
        <v>2797</v>
      </c>
      <c r="D1812" t="s">
        <v>2799</v>
      </c>
    </row>
    <row r="1813" spans="1:4" x14ac:dyDescent="0.25">
      <c r="A1813" t="s">
        <v>2580</v>
      </c>
      <c r="B1813" t="s">
        <v>2942</v>
      </c>
      <c r="C1813" t="s">
        <v>2800</v>
      </c>
      <c r="D1813" t="s">
        <v>2799</v>
      </c>
    </row>
    <row r="1814" spans="1:4" x14ac:dyDescent="0.25">
      <c r="A1814" t="s">
        <v>2582</v>
      </c>
      <c r="B1814" t="s">
        <v>2942</v>
      </c>
      <c r="C1814" t="s">
        <v>2797</v>
      </c>
      <c r="D1814" t="s">
        <v>2799</v>
      </c>
    </row>
    <row r="1815" spans="1:4" x14ac:dyDescent="0.25">
      <c r="A1815" t="s">
        <v>2583</v>
      </c>
      <c r="B1815" t="s">
        <v>2942</v>
      </c>
      <c r="C1815" t="s">
        <v>2801</v>
      </c>
      <c r="D1815" t="s">
        <v>2802</v>
      </c>
    </row>
    <row r="1816" spans="1:4" x14ac:dyDescent="0.25">
      <c r="A1816" t="s">
        <v>2584</v>
      </c>
      <c r="B1816" t="s">
        <v>2942</v>
      </c>
      <c r="C1816" t="s">
        <v>2913</v>
      </c>
      <c r="D1816" t="s">
        <v>2913</v>
      </c>
    </row>
    <row r="1817" spans="1:4" x14ac:dyDescent="0.25">
      <c r="A1817" t="s">
        <v>2585</v>
      </c>
      <c r="B1817" t="s">
        <v>2942</v>
      </c>
      <c r="C1817" t="s">
        <v>2913</v>
      </c>
      <c r="D1817" t="s">
        <v>2913</v>
      </c>
    </row>
    <row r="1818" spans="1:4" x14ac:dyDescent="0.25">
      <c r="A1818" t="s">
        <v>2586</v>
      </c>
      <c r="B1818" t="s">
        <v>2945</v>
      </c>
      <c r="C1818" t="s">
        <v>2989</v>
      </c>
      <c r="D1818" t="s">
        <v>2799</v>
      </c>
    </row>
    <row r="1819" spans="1:4" x14ac:dyDescent="0.25">
      <c r="A1819" t="s">
        <v>2587</v>
      </c>
      <c r="B1819" t="s">
        <v>2945</v>
      </c>
      <c r="C1819" t="s">
        <v>2796</v>
      </c>
      <c r="D1819" t="s">
        <v>2799</v>
      </c>
    </row>
    <row r="1820" spans="1:4" x14ac:dyDescent="0.25">
      <c r="A1820" t="s">
        <v>2588</v>
      </c>
      <c r="B1820" t="s">
        <v>2945</v>
      </c>
      <c r="C1820" t="s">
        <v>2797</v>
      </c>
      <c r="D1820" t="s">
        <v>2799</v>
      </c>
    </row>
    <row r="1821" spans="1:4" x14ac:dyDescent="0.25">
      <c r="A1821" t="s">
        <v>2589</v>
      </c>
      <c r="B1821" t="s">
        <v>2946</v>
      </c>
      <c r="C1821" t="s">
        <v>2751</v>
      </c>
      <c r="D1821" t="s">
        <v>2947</v>
      </c>
    </row>
    <row r="1822" spans="1:4" x14ac:dyDescent="0.25">
      <c r="A1822" t="s">
        <v>2590</v>
      </c>
      <c r="B1822" t="s">
        <v>2946</v>
      </c>
      <c r="C1822" t="s">
        <v>2823</v>
      </c>
      <c r="D1822" t="s">
        <v>2948</v>
      </c>
    </row>
    <row r="1823" spans="1:4" x14ac:dyDescent="0.25">
      <c r="A1823" t="s">
        <v>2591</v>
      </c>
      <c r="B1823" t="s">
        <v>2946</v>
      </c>
      <c r="C1823" t="s">
        <v>2751</v>
      </c>
      <c r="D1823" t="s">
        <v>2949</v>
      </c>
    </row>
    <row r="1824" spans="1:4" x14ac:dyDescent="0.25">
      <c r="A1824" t="s">
        <v>2592</v>
      </c>
      <c r="B1824" t="s">
        <v>2946</v>
      </c>
      <c r="C1824" t="s">
        <v>2989</v>
      </c>
      <c r="D1824" t="s">
        <v>2799</v>
      </c>
    </row>
    <row r="1825" spans="1:4" x14ac:dyDescent="0.25">
      <c r="A1825" t="s">
        <v>2593</v>
      </c>
      <c r="B1825" t="s">
        <v>2946</v>
      </c>
      <c r="C1825" t="s">
        <v>2800</v>
      </c>
      <c r="D1825" t="s">
        <v>2799</v>
      </c>
    </row>
    <row r="1826" spans="1:4" x14ac:dyDescent="0.25">
      <c r="A1826" t="s">
        <v>2595</v>
      </c>
      <c r="B1826" t="s">
        <v>2946</v>
      </c>
      <c r="C1826" t="s">
        <v>2800</v>
      </c>
      <c r="D1826" t="s">
        <v>2799</v>
      </c>
    </row>
    <row r="1827" spans="1:4" x14ac:dyDescent="0.25">
      <c r="A1827" t="s">
        <v>2597</v>
      </c>
      <c r="B1827" t="s">
        <v>2946</v>
      </c>
      <c r="C1827" t="s">
        <v>2796</v>
      </c>
      <c r="D1827" t="s">
        <v>2799</v>
      </c>
    </row>
    <row r="1828" spans="1:4" x14ac:dyDescent="0.25">
      <c r="A1828" t="s">
        <v>2598</v>
      </c>
      <c r="B1828" t="s">
        <v>2946</v>
      </c>
      <c r="C1828" t="s">
        <v>2797</v>
      </c>
      <c r="D1828" t="s">
        <v>2799</v>
      </c>
    </row>
    <row r="1829" spans="1:4" x14ac:dyDescent="0.25">
      <c r="A1829" t="s">
        <v>2599</v>
      </c>
      <c r="B1829" t="s">
        <v>2946</v>
      </c>
      <c r="C1829" t="s">
        <v>2800</v>
      </c>
      <c r="D1829" t="s">
        <v>2799</v>
      </c>
    </row>
    <row r="1830" spans="1:4" x14ac:dyDescent="0.25">
      <c r="A1830" t="s">
        <v>2601</v>
      </c>
      <c r="B1830" t="s">
        <v>2946</v>
      </c>
      <c r="C1830" t="s">
        <v>2800</v>
      </c>
      <c r="D1830" t="s">
        <v>2799</v>
      </c>
    </row>
    <row r="1831" spans="1:4" x14ac:dyDescent="0.25">
      <c r="A1831" t="s">
        <v>2603</v>
      </c>
      <c r="B1831" t="s">
        <v>2946</v>
      </c>
      <c r="C1831" t="s">
        <v>2797</v>
      </c>
      <c r="D1831" t="s">
        <v>2799</v>
      </c>
    </row>
    <row r="1832" spans="1:4" x14ac:dyDescent="0.25">
      <c r="A1832" t="s">
        <v>2604</v>
      </c>
      <c r="B1832" t="s">
        <v>2946</v>
      </c>
      <c r="C1832" t="s">
        <v>2797</v>
      </c>
      <c r="D1832" t="s">
        <v>2799</v>
      </c>
    </row>
    <row r="1833" spans="1:4" x14ac:dyDescent="0.25">
      <c r="A1833" t="s">
        <v>2605</v>
      </c>
      <c r="B1833" t="s">
        <v>2950</v>
      </c>
      <c r="C1833" t="s">
        <v>2952</v>
      </c>
      <c r="D1833" t="s">
        <v>2951</v>
      </c>
    </row>
    <row r="1834" spans="1:4" x14ac:dyDescent="0.25">
      <c r="A1834" t="s">
        <v>2606</v>
      </c>
      <c r="B1834" t="s">
        <v>2950</v>
      </c>
      <c r="C1834" t="s">
        <v>2754</v>
      </c>
      <c r="D1834" t="s">
        <v>2764</v>
      </c>
    </row>
    <row r="1835" spans="1:4" x14ac:dyDescent="0.25">
      <c r="A1835" t="s">
        <v>2607</v>
      </c>
      <c r="B1835" t="s">
        <v>2950</v>
      </c>
      <c r="C1835" t="s">
        <v>2989</v>
      </c>
      <c r="D1835" t="s">
        <v>2799</v>
      </c>
    </row>
    <row r="1836" spans="1:4" x14ac:dyDescent="0.25">
      <c r="A1836" t="s">
        <v>2608</v>
      </c>
      <c r="B1836" t="s">
        <v>2950</v>
      </c>
      <c r="C1836" t="s">
        <v>2989</v>
      </c>
      <c r="D1836" t="s">
        <v>2799</v>
      </c>
    </row>
    <row r="1837" spans="1:4" x14ac:dyDescent="0.25">
      <c r="A1837" t="s">
        <v>2609</v>
      </c>
      <c r="B1837" t="s">
        <v>2950</v>
      </c>
      <c r="C1837" t="s">
        <v>2800</v>
      </c>
      <c r="D1837" t="s">
        <v>2799</v>
      </c>
    </row>
    <row r="1838" spans="1:4" x14ac:dyDescent="0.25">
      <c r="A1838" t="s">
        <v>2610</v>
      </c>
      <c r="B1838" t="s">
        <v>2950</v>
      </c>
      <c r="C1838" t="s">
        <v>2796</v>
      </c>
      <c r="D1838" t="s">
        <v>2799</v>
      </c>
    </row>
    <row r="1839" spans="1:4" x14ac:dyDescent="0.25">
      <c r="A1839" t="s">
        <v>2611</v>
      </c>
      <c r="B1839" t="s">
        <v>2950</v>
      </c>
      <c r="C1839" t="s">
        <v>2797</v>
      </c>
      <c r="D1839" t="s">
        <v>2799</v>
      </c>
    </row>
    <row r="1840" spans="1:4" x14ac:dyDescent="0.25">
      <c r="A1840" t="s">
        <v>2612</v>
      </c>
      <c r="B1840" t="s">
        <v>2950</v>
      </c>
      <c r="C1840" t="s">
        <v>2796</v>
      </c>
      <c r="D1840" t="s">
        <v>2799</v>
      </c>
    </row>
    <row r="1841" spans="1:4" x14ac:dyDescent="0.25">
      <c r="A1841" t="s">
        <v>2613</v>
      </c>
      <c r="B1841" t="s">
        <v>2950</v>
      </c>
      <c r="C1841" t="s">
        <v>2797</v>
      </c>
      <c r="D1841" t="s">
        <v>2799</v>
      </c>
    </row>
    <row r="1842" spans="1:4" x14ac:dyDescent="0.25">
      <c r="A1842" t="s">
        <v>2614</v>
      </c>
      <c r="B1842" t="s">
        <v>2950</v>
      </c>
      <c r="C1842" t="s">
        <v>2797</v>
      </c>
      <c r="D1842" t="s">
        <v>2799</v>
      </c>
    </row>
    <row r="1843" spans="1:4" x14ac:dyDescent="0.25">
      <c r="A1843" t="s">
        <v>2615</v>
      </c>
      <c r="B1843" t="s">
        <v>2953</v>
      </c>
      <c r="C1843" t="s">
        <v>2751</v>
      </c>
      <c r="D1843" t="s">
        <v>2954</v>
      </c>
    </row>
    <row r="1844" spans="1:4" x14ac:dyDescent="0.25">
      <c r="A1844" t="s">
        <v>2616</v>
      </c>
      <c r="B1844" t="s">
        <v>2953</v>
      </c>
      <c r="C1844" t="s">
        <v>2775</v>
      </c>
      <c r="D1844" t="s">
        <v>2781</v>
      </c>
    </row>
    <row r="1845" spans="1:4" x14ac:dyDescent="0.25">
      <c r="A1845" t="s">
        <v>2617</v>
      </c>
      <c r="B1845" t="s">
        <v>2953</v>
      </c>
      <c r="C1845" t="s">
        <v>2800</v>
      </c>
      <c r="D1845" t="s">
        <v>2799</v>
      </c>
    </row>
    <row r="1846" spans="1:4" x14ac:dyDescent="0.25">
      <c r="A1846" t="s">
        <v>2619</v>
      </c>
      <c r="B1846" t="s">
        <v>2953</v>
      </c>
      <c r="C1846" t="s">
        <v>2800</v>
      </c>
      <c r="D1846" t="s">
        <v>2799</v>
      </c>
    </row>
    <row r="1847" spans="1:4" x14ac:dyDescent="0.25">
      <c r="A1847" t="s">
        <v>2620</v>
      </c>
      <c r="B1847">
        <v>5525</v>
      </c>
      <c r="C1847" t="s">
        <v>2800</v>
      </c>
      <c r="D1847" t="s">
        <v>2799</v>
      </c>
    </row>
    <row r="1848" spans="1:4" x14ac:dyDescent="0.25">
      <c r="A1848" t="s">
        <v>2621</v>
      </c>
      <c r="B1848" t="s">
        <v>2956</v>
      </c>
      <c r="C1848" t="s">
        <v>2871</v>
      </c>
      <c r="D1848" t="s">
        <v>3000</v>
      </c>
    </row>
    <row r="1849" spans="1:4" x14ac:dyDescent="0.25">
      <c r="A1849" t="s">
        <v>2622</v>
      </c>
      <c r="B1849" t="s">
        <v>2956</v>
      </c>
      <c r="C1849" t="s">
        <v>2874</v>
      </c>
      <c r="D1849" t="s">
        <v>2827</v>
      </c>
    </row>
    <row r="1850" spans="1:4" x14ac:dyDescent="0.25">
      <c r="A1850" t="s">
        <v>2623</v>
      </c>
      <c r="B1850" t="s">
        <v>2956</v>
      </c>
      <c r="C1850" t="s">
        <v>2771</v>
      </c>
      <c r="D1850" t="s">
        <v>2772</v>
      </c>
    </row>
    <row r="1851" spans="1:4" x14ac:dyDescent="0.25">
      <c r="A1851" t="s">
        <v>2625</v>
      </c>
      <c r="B1851" t="s">
        <v>2956</v>
      </c>
      <c r="C1851" t="s">
        <v>2771</v>
      </c>
      <c r="D1851" t="s">
        <v>2772</v>
      </c>
    </row>
    <row r="1852" spans="1:4" x14ac:dyDescent="0.25">
      <c r="A1852" t="s">
        <v>2626</v>
      </c>
      <c r="B1852" t="s">
        <v>2956</v>
      </c>
      <c r="C1852" t="s">
        <v>2771</v>
      </c>
      <c r="D1852" t="s">
        <v>2826</v>
      </c>
    </row>
    <row r="1853" spans="1:4" x14ac:dyDescent="0.25">
      <c r="A1853" t="s">
        <v>2627</v>
      </c>
      <c r="B1853" t="s">
        <v>2956</v>
      </c>
      <c r="C1853" t="s">
        <v>2931</v>
      </c>
      <c r="D1853" t="s">
        <v>2982</v>
      </c>
    </row>
    <row r="1854" spans="1:4" x14ac:dyDescent="0.25">
      <c r="A1854" t="s">
        <v>2628</v>
      </c>
      <c r="B1854" t="s">
        <v>2956</v>
      </c>
      <c r="C1854" t="s">
        <v>2885</v>
      </c>
      <c r="D1854" t="s">
        <v>2959</v>
      </c>
    </row>
    <row r="1855" spans="1:4" x14ac:dyDescent="0.25">
      <c r="A1855" t="s">
        <v>2630</v>
      </c>
      <c r="B1855" t="s">
        <v>2956</v>
      </c>
      <c r="C1855" t="s">
        <v>2885</v>
      </c>
      <c r="D1855" t="s">
        <v>2959</v>
      </c>
    </row>
    <row r="1856" spans="1:4" x14ac:dyDescent="0.25">
      <c r="A1856" t="s">
        <v>2632</v>
      </c>
      <c r="B1856" t="s">
        <v>2956</v>
      </c>
      <c r="C1856" t="s">
        <v>2885</v>
      </c>
      <c r="D1856" t="s">
        <v>2959</v>
      </c>
    </row>
    <row r="1857" spans="1:4" x14ac:dyDescent="0.25">
      <c r="A1857" t="s">
        <v>2634</v>
      </c>
      <c r="B1857" t="s">
        <v>2956</v>
      </c>
      <c r="C1857" t="s">
        <v>2885</v>
      </c>
      <c r="D1857" t="s">
        <v>2959</v>
      </c>
    </row>
    <row r="1858" spans="1:4" x14ac:dyDescent="0.25">
      <c r="A1858" t="s">
        <v>2636</v>
      </c>
      <c r="B1858" t="s">
        <v>2956</v>
      </c>
      <c r="C1858" t="s">
        <v>2913</v>
      </c>
      <c r="D1858" t="s">
        <v>2913</v>
      </c>
    </row>
    <row r="1859" spans="1:4" x14ac:dyDescent="0.25">
      <c r="A1859" t="s">
        <v>2637</v>
      </c>
      <c r="B1859" t="s">
        <v>2956</v>
      </c>
      <c r="C1859" t="s">
        <v>2913</v>
      </c>
      <c r="D1859" t="s">
        <v>2913</v>
      </c>
    </row>
    <row r="1860" spans="1:4" x14ac:dyDescent="0.25">
      <c r="A1860" t="s">
        <v>2638</v>
      </c>
      <c r="B1860" t="s">
        <v>2961</v>
      </c>
      <c r="C1860" t="s">
        <v>2787</v>
      </c>
      <c r="D1860" t="s">
        <v>2789</v>
      </c>
    </row>
    <row r="1861" spans="1:4" x14ac:dyDescent="0.25">
      <c r="A1861" t="s">
        <v>2639</v>
      </c>
      <c r="B1861" t="s">
        <v>2961</v>
      </c>
      <c r="C1861" t="s">
        <v>2989</v>
      </c>
      <c r="D1861" t="s">
        <v>2799</v>
      </c>
    </row>
    <row r="1862" spans="1:4" x14ac:dyDescent="0.25">
      <c r="A1862" t="s">
        <v>2640</v>
      </c>
      <c r="B1862" t="s">
        <v>2961</v>
      </c>
      <c r="C1862" t="s">
        <v>2798</v>
      </c>
      <c r="D1862" t="s">
        <v>2799</v>
      </c>
    </row>
    <row r="1863" spans="1:4" x14ac:dyDescent="0.25">
      <c r="A1863" t="s">
        <v>2641</v>
      </c>
      <c r="B1863" t="s">
        <v>2961</v>
      </c>
      <c r="C1863" t="s">
        <v>2796</v>
      </c>
      <c r="D1863" t="s">
        <v>2799</v>
      </c>
    </row>
    <row r="1864" spans="1:4" x14ac:dyDescent="0.25">
      <c r="A1864" t="s">
        <v>2642</v>
      </c>
      <c r="B1864" t="s">
        <v>2961</v>
      </c>
      <c r="C1864" t="s">
        <v>2797</v>
      </c>
      <c r="D1864" t="s">
        <v>2799</v>
      </c>
    </row>
    <row r="1865" spans="1:4" x14ac:dyDescent="0.25">
      <c r="A1865" t="s">
        <v>2643</v>
      </c>
      <c r="B1865" t="s">
        <v>2961</v>
      </c>
      <c r="C1865" t="s">
        <v>2797</v>
      </c>
      <c r="D1865" t="s">
        <v>2799</v>
      </c>
    </row>
    <row r="1866" spans="1:4" x14ac:dyDescent="0.25">
      <c r="A1866" t="s">
        <v>2644</v>
      </c>
      <c r="B1866" t="s">
        <v>2962</v>
      </c>
      <c r="C1866" t="s">
        <v>2754</v>
      </c>
      <c r="D1866" t="s">
        <v>2753</v>
      </c>
    </row>
    <row r="1867" spans="1:4" x14ac:dyDescent="0.25">
      <c r="A1867" t="s">
        <v>2645</v>
      </c>
      <c r="B1867" t="s">
        <v>2962</v>
      </c>
      <c r="C1867" t="s">
        <v>2754</v>
      </c>
      <c r="D1867" t="s">
        <v>2761</v>
      </c>
    </row>
    <row r="1868" spans="1:4" x14ac:dyDescent="0.25">
      <c r="A1868" t="s">
        <v>2646</v>
      </c>
      <c r="B1868" t="s">
        <v>2962</v>
      </c>
      <c r="C1868" t="s">
        <v>2877</v>
      </c>
      <c r="D1868" t="s">
        <v>2879</v>
      </c>
    </row>
    <row r="1869" spans="1:4" x14ac:dyDescent="0.25">
      <c r="A1869" t="s">
        <v>2647</v>
      </c>
      <c r="B1869" t="s">
        <v>2962</v>
      </c>
      <c r="C1869" t="s">
        <v>2877</v>
      </c>
      <c r="D1869" t="s">
        <v>2881</v>
      </c>
    </row>
    <row r="1870" spans="1:4" x14ac:dyDescent="0.25">
      <c r="A1870" t="s">
        <v>2648</v>
      </c>
      <c r="B1870" t="s">
        <v>2962</v>
      </c>
      <c r="C1870" t="s">
        <v>2801</v>
      </c>
      <c r="D1870" t="s">
        <v>2802</v>
      </c>
    </row>
    <row r="1871" spans="1:4" x14ac:dyDescent="0.25">
      <c r="A1871" t="s">
        <v>2649</v>
      </c>
      <c r="B1871" t="s">
        <v>2963</v>
      </c>
      <c r="C1871" t="s">
        <v>2754</v>
      </c>
      <c r="D1871" t="s">
        <v>2764</v>
      </c>
    </row>
    <row r="1872" spans="1:4" x14ac:dyDescent="0.25">
      <c r="A1872" t="s">
        <v>2650</v>
      </c>
      <c r="B1872" t="s">
        <v>2963</v>
      </c>
      <c r="C1872" t="s">
        <v>2775</v>
      </c>
      <c r="D1872" t="s">
        <v>3001</v>
      </c>
    </row>
    <row r="1873" spans="1:4" x14ac:dyDescent="0.25">
      <c r="A1873" t="s">
        <v>2652</v>
      </c>
      <c r="B1873" t="s">
        <v>2963</v>
      </c>
      <c r="C1873" t="s">
        <v>2989</v>
      </c>
      <c r="D1873" t="s">
        <v>2799</v>
      </c>
    </row>
    <row r="1874" spans="1:4" x14ac:dyDescent="0.25">
      <c r="A1874" t="s">
        <v>2653</v>
      </c>
      <c r="B1874" t="s">
        <v>2963</v>
      </c>
      <c r="C1874" t="s">
        <v>2797</v>
      </c>
      <c r="D1874" t="s">
        <v>2799</v>
      </c>
    </row>
    <row r="1875" spans="1:4" x14ac:dyDescent="0.25">
      <c r="A1875" t="s">
        <v>2654</v>
      </c>
      <c r="B1875" t="s">
        <v>2963</v>
      </c>
      <c r="C1875" t="s">
        <v>2796</v>
      </c>
      <c r="D1875" t="s">
        <v>2799</v>
      </c>
    </row>
    <row r="1876" spans="1:4" x14ac:dyDescent="0.25">
      <c r="A1876" t="s">
        <v>2655</v>
      </c>
      <c r="B1876" t="s">
        <v>2963</v>
      </c>
      <c r="C1876" t="s">
        <v>2797</v>
      </c>
      <c r="D1876" t="s">
        <v>2799</v>
      </c>
    </row>
    <row r="1877" spans="1:4" x14ac:dyDescent="0.25">
      <c r="A1877" t="s">
        <v>2656</v>
      </c>
      <c r="B1877" t="s">
        <v>2963</v>
      </c>
      <c r="C1877" t="s">
        <v>2798</v>
      </c>
      <c r="D1877" t="s">
        <v>2799</v>
      </c>
    </row>
    <row r="1878" spans="1:4" x14ac:dyDescent="0.25">
      <c r="A1878" t="s">
        <v>2657</v>
      </c>
      <c r="B1878" t="s">
        <v>2963</v>
      </c>
      <c r="C1878" t="s">
        <v>2800</v>
      </c>
      <c r="D1878" t="s">
        <v>2799</v>
      </c>
    </row>
    <row r="1879" spans="1:4" x14ac:dyDescent="0.25">
      <c r="A1879" t="s">
        <v>2659</v>
      </c>
      <c r="B1879" t="s">
        <v>2963</v>
      </c>
      <c r="C1879" t="s">
        <v>2800</v>
      </c>
      <c r="D1879" t="s">
        <v>2799</v>
      </c>
    </row>
    <row r="1880" spans="1:4" x14ac:dyDescent="0.25">
      <c r="A1880" t="s">
        <v>1345</v>
      </c>
      <c r="B1880" t="s">
        <v>2963</v>
      </c>
      <c r="C1880" t="s">
        <v>2800</v>
      </c>
      <c r="D1880" t="s">
        <v>2799</v>
      </c>
    </row>
    <row r="1881" spans="1:4" x14ac:dyDescent="0.25">
      <c r="A1881" t="s">
        <v>2661</v>
      </c>
      <c r="B1881" t="s">
        <v>2963</v>
      </c>
      <c r="C1881" t="s">
        <v>2796</v>
      </c>
      <c r="D1881" t="s">
        <v>2799</v>
      </c>
    </row>
    <row r="1882" spans="1:4" x14ac:dyDescent="0.25">
      <c r="A1882" t="s">
        <v>2663</v>
      </c>
      <c r="B1882" t="s">
        <v>2963</v>
      </c>
      <c r="C1882" t="s">
        <v>2800</v>
      </c>
      <c r="D1882" t="s">
        <v>2799</v>
      </c>
    </row>
    <row r="1883" spans="1:4" x14ac:dyDescent="0.25">
      <c r="A1883" t="s">
        <v>2664</v>
      </c>
      <c r="B1883" t="s">
        <v>2963</v>
      </c>
      <c r="C1883" t="s">
        <v>2796</v>
      </c>
      <c r="D1883" t="s">
        <v>2799</v>
      </c>
    </row>
    <row r="1884" spans="1:4" x14ac:dyDescent="0.25">
      <c r="A1884" t="s">
        <v>2666</v>
      </c>
      <c r="B1884" t="s">
        <v>2963</v>
      </c>
      <c r="C1884" t="s">
        <v>2801</v>
      </c>
      <c r="D1884" t="s">
        <v>2802</v>
      </c>
    </row>
    <row r="1885" spans="1:4" x14ac:dyDescent="0.25">
      <c r="A1885" t="s">
        <v>2667</v>
      </c>
      <c r="B1885" t="s">
        <v>2966</v>
      </c>
      <c r="C1885" t="s">
        <v>2871</v>
      </c>
      <c r="D1885" t="s">
        <v>2967</v>
      </c>
    </row>
    <row r="1886" spans="1:4" x14ac:dyDescent="0.25">
      <c r="A1886" t="s">
        <v>2669</v>
      </c>
      <c r="B1886" t="s">
        <v>2966</v>
      </c>
      <c r="C1886" t="s">
        <v>2871</v>
      </c>
      <c r="D1886" t="s">
        <v>2968</v>
      </c>
    </row>
    <row r="1887" spans="1:4" x14ac:dyDescent="0.25">
      <c r="A1887" t="s">
        <v>2671</v>
      </c>
      <c r="B1887" t="s">
        <v>2966</v>
      </c>
      <c r="C1887" t="s">
        <v>2754</v>
      </c>
      <c r="D1887" t="s">
        <v>2753</v>
      </c>
    </row>
    <row r="1888" spans="1:4" x14ac:dyDescent="0.25">
      <c r="A1888" t="s">
        <v>2672</v>
      </c>
      <c r="B1888" t="s">
        <v>2970</v>
      </c>
      <c r="C1888" t="s">
        <v>2889</v>
      </c>
      <c r="D1888" t="s">
        <v>2971</v>
      </c>
    </row>
    <row r="1889" spans="1:4" x14ac:dyDescent="0.25">
      <c r="A1889" t="s">
        <v>2673</v>
      </c>
      <c r="B1889" t="s">
        <v>2970</v>
      </c>
      <c r="C1889" t="s">
        <v>2751</v>
      </c>
      <c r="D1889" t="s">
        <v>2972</v>
      </c>
    </row>
    <row r="1890" spans="1:4" x14ac:dyDescent="0.25">
      <c r="A1890" t="s">
        <v>2674</v>
      </c>
      <c r="B1890" t="s">
        <v>2970</v>
      </c>
      <c r="C1890" t="s">
        <v>2957</v>
      </c>
      <c r="D1890" t="s">
        <v>2879</v>
      </c>
    </row>
    <row r="1891" spans="1:4" x14ac:dyDescent="0.25">
      <c r="A1891" t="s">
        <v>2675</v>
      </c>
      <c r="B1891" t="s">
        <v>2970</v>
      </c>
      <c r="C1891" t="s">
        <v>2874</v>
      </c>
      <c r="D1891" t="s">
        <v>2879</v>
      </c>
    </row>
    <row r="1892" spans="1:4" x14ac:dyDescent="0.25">
      <c r="A1892" t="s">
        <v>2676</v>
      </c>
      <c r="B1892" t="s">
        <v>2970</v>
      </c>
      <c r="C1892" t="s">
        <v>2754</v>
      </c>
      <c r="D1892" t="s">
        <v>2764</v>
      </c>
    </row>
    <row r="1893" spans="1:4" x14ac:dyDescent="0.25">
      <c r="A1893" t="s">
        <v>2677</v>
      </c>
      <c r="B1893" t="s">
        <v>2970</v>
      </c>
      <c r="C1893" t="s">
        <v>2931</v>
      </c>
      <c r="D1893" t="s">
        <v>2982</v>
      </c>
    </row>
    <row r="1894" spans="1:4" x14ac:dyDescent="0.25">
      <c r="A1894" t="s">
        <v>2678</v>
      </c>
      <c r="B1894" t="s">
        <v>2970</v>
      </c>
      <c r="C1894" t="s">
        <v>2989</v>
      </c>
      <c r="D1894" t="s">
        <v>2799</v>
      </c>
    </row>
    <row r="1895" spans="1:4" x14ac:dyDescent="0.25">
      <c r="A1895" t="s">
        <v>2679</v>
      </c>
      <c r="B1895" t="s">
        <v>2970</v>
      </c>
      <c r="C1895" t="s">
        <v>2989</v>
      </c>
      <c r="D1895" t="s">
        <v>2799</v>
      </c>
    </row>
    <row r="1896" spans="1:4" x14ac:dyDescent="0.25">
      <c r="A1896" t="s">
        <v>2680</v>
      </c>
      <c r="B1896" t="s">
        <v>2970</v>
      </c>
      <c r="C1896" t="s">
        <v>2989</v>
      </c>
      <c r="D1896" t="s">
        <v>2799</v>
      </c>
    </row>
    <row r="1897" spans="1:4" x14ac:dyDescent="0.25">
      <c r="A1897" t="s">
        <v>2682</v>
      </c>
      <c r="B1897" t="s">
        <v>2970</v>
      </c>
      <c r="C1897" t="s">
        <v>2989</v>
      </c>
      <c r="D1897" t="s">
        <v>2799</v>
      </c>
    </row>
    <row r="1898" spans="1:4" x14ac:dyDescent="0.25">
      <c r="A1898" t="s">
        <v>2683</v>
      </c>
      <c r="B1898" t="s">
        <v>2970</v>
      </c>
      <c r="C1898" t="s">
        <v>2885</v>
      </c>
      <c r="D1898" t="s">
        <v>2976</v>
      </c>
    </row>
    <row r="1899" spans="1:4" x14ac:dyDescent="0.25">
      <c r="A1899" t="s">
        <v>2685</v>
      </c>
      <c r="B1899" t="s">
        <v>2970</v>
      </c>
      <c r="C1899" t="s">
        <v>2885</v>
      </c>
      <c r="D1899" t="s">
        <v>2976</v>
      </c>
    </row>
    <row r="1900" spans="1:4" x14ac:dyDescent="0.25">
      <c r="A1900" t="s">
        <v>2687</v>
      </c>
      <c r="B1900" t="s">
        <v>2970</v>
      </c>
      <c r="C1900" t="s">
        <v>2885</v>
      </c>
      <c r="D1900" t="s">
        <v>2976</v>
      </c>
    </row>
    <row r="1901" spans="1:4" x14ac:dyDescent="0.25">
      <c r="A1901" t="s">
        <v>2689</v>
      </c>
      <c r="B1901" t="s">
        <v>2970</v>
      </c>
      <c r="C1901" t="s">
        <v>2885</v>
      </c>
      <c r="D1901" t="s">
        <v>2976</v>
      </c>
    </row>
    <row r="1902" spans="1:4" x14ac:dyDescent="0.25">
      <c r="A1902" t="s">
        <v>2691</v>
      </c>
      <c r="B1902" t="s">
        <v>2970</v>
      </c>
      <c r="C1902" t="s">
        <v>2798</v>
      </c>
      <c r="D1902" t="s">
        <v>2799</v>
      </c>
    </row>
    <row r="1903" spans="1:4" x14ac:dyDescent="0.25">
      <c r="A1903" t="s">
        <v>2693</v>
      </c>
      <c r="B1903" t="s">
        <v>2970</v>
      </c>
      <c r="C1903" t="s">
        <v>2800</v>
      </c>
      <c r="D1903" t="s">
        <v>2799</v>
      </c>
    </row>
    <row r="1904" spans="1:4" x14ac:dyDescent="0.25">
      <c r="A1904" t="s">
        <v>2695</v>
      </c>
      <c r="B1904" t="s">
        <v>2970</v>
      </c>
      <c r="C1904" t="s">
        <v>2796</v>
      </c>
      <c r="D1904" t="s">
        <v>2799</v>
      </c>
    </row>
    <row r="1905" spans="1:4" x14ac:dyDescent="0.25">
      <c r="A1905" t="s">
        <v>2697</v>
      </c>
      <c r="B1905" t="s">
        <v>2970</v>
      </c>
      <c r="C1905" t="s">
        <v>2797</v>
      </c>
      <c r="D1905" t="s">
        <v>2799</v>
      </c>
    </row>
    <row r="1906" spans="1:4" x14ac:dyDescent="0.25">
      <c r="A1906" t="s">
        <v>2699</v>
      </c>
      <c r="B1906" t="s">
        <v>2970</v>
      </c>
      <c r="C1906" t="s">
        <v>2796</v>
      </c>
      <c r="D1906" t="s">
        <v>2799</v>
      </c>
    </row>
    <row r="1907" spans="1:4" x14ac:dyDescent="0.25">
      <c r="A1907" t="s">
        <v>2700</v>
      </c>
      <c r="B1907" t="s">
        <v>2970</v>
      </c>
      <c r="C1907" t="s">
        <v>2797</v>
      </c>
      <c r="D1907" t="s">
        <v>2799</v>
      </c>
    </row>
    <row r="1908" spans="1:4" x14ac:dyDescent="0.25">
      <c r="A1908" t="s">
        <v>2701</v>
      </c>
      <c r="B1908" t="s">
        <v>2970</v>
      </c>
      <c r="C1908" t="s">
        <v>2796</v>
      </c>
      <c r="D1908" t="s">
        <v>2799</v>
      </c>
    </row>
    <row r="1909" spans="1:4" x14ac:dyDescent="0.25">
      <c r="A1909" t="s">
        <v>2702</v>
      </c>
      <c r="B1909" t="s">
        <v>2970</v>
      </c>
      <c r="C1909" t="s">
        <v>2797</v>
      </c>
      <c r="D1909" t="s">
        <v>2799</v>
      </c>
    </row>
    <row r="1910" spans="1:4" x14ac:dyDescent="0.25">
      <c r="A1910" t="s">
        <v>2703</v>
      </c>
      <c r="B1910" t="s">
        <v>2970</v>
      </c>
      <c r="C1910" t="s">
        <v>2796</v>
      </c>
      <c r="D1910" t="s">
        <v>2799</v>
      </c>
    </row>
    <row r="1911" spans="1:4" x14ac:dyDescent="0.25">
      <c r="A1911" t="s">
        <v>2704</v>
      </c>
      <c r="B1911" t="s">
        <v>2970</v>
      </c>
      <c r="C1911" t="s">
        <v>2797</v>
      </c>
      <c r="D1911" t="s">
        <v>2799</v>
      </c>
    </row>
    <row r="1912" spans="1:4" x14ac:dyDescent="0.25">
      <c r="A1912" t="s">
        <v>2705</v>
      </c>
      <c r="B1912" t="s">
        <v>2970</v>
      </c>
      <c r="C1912" t="s">
        <v>2801</v>
      </c>
      <c r="D1912" t="s">
        <v>2802</v>
      </c>
    </row>
    <row r="1913" spans="1:4" x14ac:dyDescent="0.25">
      <c r="A1913" t="s">
        <v>2706</v>
      </c>
      <c r="B1913" t="s">
        <v>2970</v>
      </c>
      <c r="C1913" t="s">
        <v>2801</v>
      </c>
      <c r="D1913" t="s">
        <v>2802</v>
      </c>
    </row>
    <row r="1914" spans="1:4" x14ac:dyDescent="0.25">
      <c r="A1914" t="s">
        <v>2707</v>
      </c>
      <c r="B1914" t="s">
        <v>2977</v>
      </c>
      <c r="C1914" t="s">
        <v>2751</v>
      </c>
      <c r="D1914" t="s">
        <v>3002</v>
      </c>
    </row>
    <row r="1915" spans="1:4" x14ac:dyDescent="0.25">
      <c r="A1915" t="s">
        <v>2708</v>
      </c>
      <c r="B1915" t="s">
        <v>2977</v>
      </c>
      <c r="C1915" t="s">
        <v>2989</v>
      </c>
      <c r="D1915" t="s">
        <v>2799</v>
      </c>
    </row>
    <row r="1916" spans="1:4" x14ac:dyDescent="0.25">
      <c r="A1916" t="s">
        <v>2709</v>
      </c>
      <c r="B1916" t="s">
        <v>2977</v>
      </c>
      <c r="C1916" t="s">
        <v>2989</v>
      </c>
      <c r="D1916" t="s">
        <v>2799</v>
      </c>
    </row>
    <row r="1917" spans="1:4" x14ac:dyDescent="0.25">
      <c r="A1917" t="s">
        <v>2710</v>
      </c>
      <c r="B1917" t="s">
        <v>2977</v>
      </c>
      <c r="C1917" t="s">
        <v>2989</v>
      </c>
      <c r="D1917" t="s">
        <v>2799</v>
      </c>
    </row>
    <row r="1918" spans="1:4" x14ac:dyDescent="0.25">
      <c r="A1918" t="s">
        <v>2711</v>
      </c>
      <c r="B1918" t="s">
        <v>2977</v>
      </c>
      <c r="C1918" t="s">
        <v>2885</v>
      </c>
      <c r="D1918" t="s">
        <v>2907</v>
      </c>
    </row>
    <row r="1919" spans="1:4" x14ac:dyDescent="0.25">
      <c r="A1919" t="s">
        <v>2713</v>
      </c>
      <c r="B1919" t="s">
        <v>2977</v>
      </c>
      <c r="C1919" t="s">
        <v>2885</v>
      </c>
      <c r="D1919" t="s">
        <v>2907</v>
      </c>
    </row>
    <row r="1920" spans="1:4" x14ac:dyDescent="0.25">
      <c r="A1920" t="s">
        <v>2715</v>
      </c>
      <c r="B1920" t="s">
        <v>2977</v>
      </c>
      <c r="C1920" t="s">
        <v>2885</v>
      </c>
      <c r="D1920" t="s">
        <v>2907</v>
      </c>
    </row>
    <row r="1921" spans="1:4" x14ac:dyDescent="0.25">
      <c r="A1921" t="s">
        <v>2717</v>
      </c>
      <c r="B1921" t="s">
        <v>2977</v>
      </c>
      <c r="C1921" t="s">
        <v>2796</v>
      </c>
      <c r="D1921" t="s">
        <v>2799</v>
      </c>
    </row>
    <row r="1922" spans="1:4" x14ac:dyDescent="0.25">
      <c r="A1922" t="s">
        <v>2718</v>
      </c>
      <c r="B1922" t="s">
        <v>2977</v>
      </c>
      <c r="C1922" t="s">
        <v>2797</v>
      </c>
      <c r="D1922" t="s">
        <v>2799</v>
      </c>
    </row>
    <row r="1923" spans="1:4" x14ac:dyDescent="0.25">
      <c r="A1923" t="s">
        <v>2719</v>
      </c>
      <c r="B1923" t="s">
        <v>2977</v>
      </c>
      <c r="C1923" t="s">
        <v>2796</v>
      </c>
      <c r="D1923" t="s">
        <v>2799</v>
      </c>
    </row>
    <row r="1924" spans="1:4" x14ac:dyDescent="0.25">
      <c r="A1924" t="s">
        <v>2720</v>
      </c>
      <c r="B1924" t="s">
        <v>2977</v>
      </c>
      <c r="C1924" t="s">
        <v>2797</v>
      </c>
      <c r="D1924" t="s">
        <v>2799</v>
      </c>
    </row>
    <row r="1925" spans="1:4" x14ac:dyDescent="0.25">
      <c r="A1925" t="s">
        <v>2721</v>
      </c>
      <c r="B1925" t="s">
        <v>2977</v>
      </c>
      <c r="C1925" t="s">
        <v>2796</v>
      </c>
      <c r="D1925" t="s">
        <v>2799</v>
      </c>
    </row>
    <row r="1926" spans="1:4" x14ac:dyDescent="0.25">
      <c r="A1926" t="s">
        <v>2722</v>
      </c>
      <c r="B1926" t="s">
        <v>2977</v>
      </c>
      <c r="C1926" t="s">
        <v>2797</v>
      </c>
      <c r="D1926" t="s">
        <v>2799</v>
      </c>
    </row>
    <row r="1927" spans="1:4" x14ac:dyDescent="0.25">
      <c r="A1927" t="s">
        <v>2723</v>
      </c>
      <c r="B1927" t="s">
        <v>2977</v>
      </c>
      <c r="C1927" t="s">
        <v>2801</v>
      </c>
      <c r="D1927" t="s">
        <v>2802</v>
      </c>
    </row>
    <row r="1928" spans="1:4" x14ac:dyDescent="0.25">
      <c r="A1928" t="s">
        <v>2724</v>
      </c>
      <c r="B1928" t="s">
        <v>2977</v>
      </c>
      <c r="C1928" t="s">
        <v>2801</v>
      </c>
      <c r="D1928" t="s">
        <v>2802</v>
      </c>
    </row>
    <row r="1929" spans="1:4" x14ac:dyDescent="0.25">
      <c r="A1929" t="s">
        <v>2725</v>
      </c>
      <c r="B1929" t="s">
        <v>2984</v>
      </c>
      <c r="C1929" t="s">
        <v>2885</v>
      </c>
      <c r="D1929" t="s">
        <v>2907</v>
      </c>
    </row>
    <row r="1930" spans="1:4" x14ac:dyDescent="0.25">
      <c r="A1930" t="s">
        <v>2727</v>
      </c>
      <c r="B1930" t="s">
        <v>2984</v>
      </c>
      <c r="C1930" t="s">
        <v>2885</v>
      </c>
      <c r="D1930" t="s">
        <v>2907</v>
      </c>
    </row>
    <row r="1931" spans="1:4" x14ac:dyDescent="0.25">
      <c r="A1931" t="s">
        <v>2729</v>
      </c>
      <c r="B1931" t="s">
        <v>2984</v>
      </c>
      <c r="C1931" t="s">
        <v>2885</v>
      </c>
      <c r="D1931" t="s">
        <v>2907</v>
      </c>
    </row>
    <row r="1932" spans="1:4" x14ac:dyDescent="0.25">
      <c r="A1932" t="s">
        <v>2731</v>
      </c>
      <c r="B1932" t="s">
        <v>2984</v>
      </c>
      <c r="C1932" t="s">
        <v>2885</v>
      </c>
      <c r="D1932" t="s">
        <v>2907</v>
      </c>
    </row>
    <row r="1933" spans="1:4" x14ac:dyDescent="0.25">
      <c r="A1933" t="s">
        <v>2732</v>
      </c>
      <c r="B1933" t="s">
        <v>2984</v>
      </c>
      <c r="C1933" t="s">
        <v>2885</v>
      </c>
      <c r="D1933" t="s">
        <v>2907</v>
      </c>
    </row>
    <row r="1934" spans="1:4" x14ac:dyDescent="0.25">
      <c r="A1934" t="s">
        <v>2733</v>
      </c>
      <c r="B1934" t="s">
        <v>2984</v>
      </c>
      <c r="C1934" t="s">
        <v>2885</v>
      </c>
      <c r="D1934" t="s">
        <v>2907</v>
      </c>
    </row>
    <row r="1935" spans="1:4" x14ac:dyDescent="0.25">
      <c r="A1935" t="s">
        <v>2735</v>
      </c>
      <c r="B1935" t="s">
        <v>2984</v>
      </c>
      <c r="C1935" t="s">
        <v>2885</v>
      </c>
      <c r="D1935" t="s">
        <v>2907</v>
      </c>
    </row>
    <row r="1936" spans="1:4" x14ac:dyDescent="0.25">
      <c r="A1936" t="s">
        <v>2737</v>
      </c>
      <c r="B1936" t="s">
        <v>2984</v>
      </c>
      <c r="C1936" t="s">
        <v>2803</v>
      </c>
      <c r="D1936" t="s">
        <v>2794</v>
      </c>
    </row>
    <row r="1937" spans="1:4" x14ac:dyDescent="0.25">
      <c r="A1937" t="s">
        <v>2738</v>
      </c>
      <c r="B1937" t="s">
        <v>2750</v>
      </c>
      <c r="C1937" t="s">
        <v>2787</v>
      </c>
      <c r="D1937" t="s">
        <v>3003</v>
      </c>
    </row>
    <row r="1938" spans="1:4" x14ac:dyDescent="0.25">
      <c r="A1938" t="s">
        <v>2740</v>
      </c>
      <c r="B1938" t="s">
        <v>2750</v>
      </c>
      <c r="C1938" t="s">
        <v>2798</v>
      </c>
      <c r="D1938" t="s">
        <v>2799</v>
      </c>
    </row>
    <row r="1939" spans="1:4" x14ac:dyDescent="0.25">
      <c r="A1939" t="s">
        <v>2742</v>
      </c>
      <c r="B1939" t="s">
        <v>2750</v>
      </c>
      <c r="C1939" t="s">
        <v>2796</v>
      </c>
      <c r="D1939" t="s">
        <v>2799</v>
      </c>
    </row>
    <row r="1940" spans="1:4" x14ac:dyDescent="0.25">
      <c r="B1940" t="s">
        <v>2963</v>
      </c>
      <c r="C1940" t="s">
        <v>2800</v>
      </c>
      <c r="D1940" t="s">
        <v>2799</v>
      </c>
    </row>
    <row r="1941" spans="1:4" x14ac:dyDescent="0.25">
      <c r="B1941" t="s">
        <v>2963</v>
      </c>
      <c r="C1941" t="s">
        <v>2800</v>
      </c>
      <c r="D1941" t="s">
        <v>2799</v>
      </c>
    </row>
    <row r="1942" spans="1:4" x14ac:dyDescent="0.25">
      <c r="B1942" t="s">
        <v>2963</v>
      </c>
      <c r="C1942" t="s">
        <v>2800</v>
      </c>
      <c r="D1942" t="s">
        <v>2799</v>
      </c>
    </row>
    <row r="1943" spans="1:4" x14ac:dyDescent="0.25">
      <c r="A1943" t="s">
        <v>1350</v>
      </c>
      <c r="B1943" t="s">
        <v>2963</v>
      </c>
      <c r="C1943" t="s">
        <v>2800</v>
      </c>
      <c r="D1943" t="s">
        <v>2799</v>
      </c>
    </row>
    <row r="1944" spans="1:4" x14ac:dyDescent="0.25">
      <c r="A1944" t="s">
        <v>1352</v>
      </c>
      <c r="B1944" t="s">
        <v>2963</v>
      </c>
      <c r="C1944" t="s">
        <v>2800</v>
      </c>
      <c r="D1944" t="s">
        <v>2799</v>
      </c>
    </row>
    <row r="1945" spans="1:4" x14ac:dyDescent="0.25">
      <c r="A1945" t="s">
        <v>2744</v>
      </c>
      <c r="B1945" t="s">
        <v>2750</v>
      </c>
      <c r="C1945" t="s">
        <v>2798</v>
      </c>
      <c r="D1945" t="s">
        <v>2799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95"/>
  <sheetViews>
    <sheetView workbookViewId="0">
      <selection sqref="A1:Q994"/>
    </sheetView>
  </sheetViews>
  <sheetFormatPr defaultRowHeight="15" x14ac:dyDescent="0.25"/>
  <sheetData>
    <row r="1" spans="1:17" x14ac:dyDescent="0.25">
      <c r="A1" t="s">
        <v>0</v>
      </c>
      <c r="B1" t="s">
        <v>1356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1322</v>
      </c>
      <c r="K1" t="s">
        <v>3012</v>
      </c>
      <c r="L1" t="s">
        <v>3013</v>
      </c>
      <c r="M1" t="s">
        <v>3014</v>
      </c>
      <c r="N1" t="s">
        <v>3015</v>
      </c>
      <c r="O1" t="s">
        <v>3097</v>
      </c>
      <c r="P1" t="s">
        <v>3098</v>
      </c>
      <c r="Q1" t="s">
        <v>3099</v>
      </c>
    </row>
    <row r="2" spans="1:17" x14ac:dyDescent="0.25">
      <c r="A2" t="s">
        <v>322</v>
      </c>
      <c r="C2" t="s">
        <v>89</v>
      </c>
      <c r="D2">
        <v>-276424</v>
      </c>
      <c r="E2">
        <v>0</v>
      </c>
      <c r="F2">
        <v>0</v>
      </c>
      <c r="G2">
        <v>-712288.67</v>
      </c>
      <c r="H2">
        <v>435864.67</v>
      </c>
      <c r="I2">
        <v>257.67</v>
      </c>
      <c r="J2">
        <v>276424</v>
      </c>
      <c r="K2">
        <v>0</v>
      </c>
      <c r="L2">
        <v>-1000000</v>
      </c>
      <c r="M2">
        <v>-1046000</v>
      </c>
      <c r="N2">
        <v>-1094116</v>
      </c>
      <c r="O2" t="s">
        <v>3100</v>
      </c>
      <c r="Q2" t="s">
        <v>3101</v>
      </c>
    </row>
    <row r="3" spans="1:17" x14ac:dyDescent="0.25">
      <c r="A3" t="s">
        <v>323</v>
      </c>
      <c r="C3" t="s">
        <v>116</v>
      </c>
      <c r="D3">
        <v>745888</v>
      </c>
      <c r="E3">
        <v>71806.25</v>
      </c>
      <c r="F3">
        <v>0</v>
      </c>
      <c r="G3">
        <v>430837.5</v>
      </c>
      <c r="H3">
        <v>315050.5</v>
      </c>
      <c r="I3">
        <v>57.761688081856796</v>
      </c>
      <c r="J3">
        <v>0</v>
      </c>
      <c r="K3">
        <v>745888</v>
      </c>
      <c r="L3">
        <v>792506</v>
      </c>
      <c r="M3">
        <v>847981.42</v>
      </c>
      <c r="N3">
        <v>907340.11940000008</v>
      </c>
      <c r="O3" t="s">
        <v>3102</v>
      </c>
      <c r="P3" t="s">
        <v>3103</v>
      </c>
      <c r="Q3" t="s">
        <v>3104</v>
      </c>
    </row>
    <row r="4" spans="1:17" x14ac:dyDescent="0.25">
      <c r="A4" t="s">
        <v>324</v>
      </c>
      <c r="C4" t="s">
        <v>117</v>
      </c>
      <c r="D4">
        <v>37294</v>
      </c>
      <c r="E4">
        <v>0</v>
      </c>
      <c r="F4">
        <v>0</v>
      </c>
      <c r="G4">
        <v>0</v>
      </c>
      <c r="H4">
        <v>37294</v>
      </c>
      <c r="I4">
        <v>0</v>
      </c>
      <c r="J4">
        <v>0</v>
      </c>
      <c r="K4">
        <v>37294</v>
      </c>
      <c r="L4">
        <v>39624.875</v>
      </c>
      <c r="M4">
        <v>42398.616249999999</v>
      </c>
      <c r="N4">
        <v>45366.519387499997</v>
      </c>
      <c r="O4" t="s">
        <v>3102</v>
      </c>
      <c r="P4" t="s">
        <v>3103</v>
      </c>
      <c r="Q4" t="s">
        <v>3104</v>
      </c>
    </row>
    <row r="5" spans="1:17" x14ac:dyDescent="0.25">
      <c r="A5" t="s">
        <v>325</v>
      </c>
      <c r="C5" t="s">
        <v>118</v>
      </c>
      <c r="D5">
        <v>40000</v>
      </c>
      <c r="E5">
        <v>3333.33</v>
      </c>
      <c r="F5">
        <v>0</v>
      </c>
      <c r="G5">
        <v>19999.98</v>
      </c>
      <c r="H5">
        <v>20000.02</v>
      </c>
      <c r="I5">
        <v>49.999949999999998</v>
      </c>
      <c r="J5">
        <v>0</v>
      </c>
      <c r="K5">
        <v>40000</v>
      </c>
      <c r="L5">
        <v>42500</v>
      </c>
      <c r="M5">
        <v>45475</v>
      </c>
      <c r="N5">
        <v>48658.25</v>
      </c>
      <c r="O5" t="s">
        <v>3102</v>
      </c>
      <c r="P5" t="s">
        <v>3103</v>
      </c>
      <c r="Q5" t="s">
        <v>3104</v>
      </c>
    </row>
    <row r="6" spans="1:17" x14ac:dyDescent="0.25">
      <c r="A6" t="s">
        <v>326</v>
      </c>
      <c r="C6" t="s">
        <v>119</v>
      </c>
      <c r="D6">
        <v>147584</v>
      </c>
      <c r="E6">
        <v>0</v>
      </c>
      <c r="F6">
        <v>0</v>
      </c>
      <c r="G6">
        <v>0</v>
      </c>
      <c r="H6">
        <v>147584</v>
      </c>
      <c r="I6">
        <v>0</v>
      </c>
      <c r="J6">
        <v>0</v>
      </c>
      <c r="K6">
        <v>147584</v>
      </c>
      <c r="L6">
        <v>156808</v>
      </c>
      <c r="M6">
        <v>167784.56</v>
      </c>
      <c r="N6">
        <v>179529.4792</v>
      </c>
      <c r="O6" t="s">
        <v>3102</v>
      </c>
      <c r="P6" t="s">
        <v>3103</v>
      </c>
      <c r="Q6" t="s">
        <v>3104</v>
      </c>
    </row>
    <row r="7" spans="1:17" x14ac:dyDescent="0.25">
      <c r="A7" t="s">
        <v>327</v>
      </c>
      <c r="C7" t="s">
        <v>120</v>
      </c>
      <c r="D7">
        <v>15692</v>
      </c>
      <c r="E7">
        <v>0</v>
      </c>
      <c r="F7">
        <v>0</v>
      </c>
      <c r="G7">
        <v>0</v>
      </c>
      <c r="H7">
        <v>15692</v>
      </c>
      <c r="I7">
        <v>0</v>
      </c>
      <c r="J7">
        <v>0</v>
      </c>
      <c r="K7">
        <v>15692</v>
      </c>
      <c r="L7">
        <v>16672.75</v>
      </c>
      <c r="M7">
        <v>17839.842499999999</v>
      </c>
      <c r="N7">
        <v>19088.631474999998</v>
      </c>
      <c r="O7" t="s">
        <v>3102</v>
      </c>
      <c r="P7" t="s">
        <v>3103</v>
      </c>
      <c r="Q7" t="s">
        <v>3104</v>
      </c>
    </row>
    <row r="8" spans="1:17" x14ac:dyDescent="0.25">
      <c r="A8" t="s">
        <v>328</v>
      </c>
      <c r="C8" t="s">
        <v>121</v>
      </c>
      <c r="D8">
        <v>20876</v>
      </c>
      <c r="E8">
        <v>0</v>
      </c>
      <c r="F8">
        <v>0</v>
      </c>
      <c r="G8">
        <v>0</v>
      </c>
      <c r="H8">
        <v>20876</v>
      </c>
      <c r="I8">
        <v>0</v>
      </c>
      <c r="J8">
        <v>-20876</v>
      </c>
      <c r="K8">
        <v>0</v>
      </c>
      <c r="L8">
        <v>0</v>
      </c>
      <c r="M8">
        <v>0</v>
      </c>
      <c r="O8" t="s">
        <v>3102</v>
      </c>
      <c r="P8" t="s">
        <v>3103</v>
      </c>
      <c r="Q8" t="s">
        <v>3104</v>
      </c>
    </row>
    <row r="9" spans="1:17" x14ac:dyDescent="0.25">
      <c r="A9" t="s">
        <v>329</v>
      </c>
      <c r="C9" t="s">
        <v>150</v>
      </c>
      <c r="D9">
        <v>5188430</v>
      </c>
      <c r="E9">
        <v>498043.44</v>
      </c>
      <c r="F9">
        <v>0</v>
      </c>
      <c r="G9">
        <v>2905499.61</v>
      </c>
      <c r="H9">
        <v>2282930.39</v>
      </c>
      <c r="I9">
        <v>55.999591591290624</v>
      </c>
      <c r="J9">
        <v>0</v>
      </c>
      <c r="K9">
        <v>5188430</v>
      </c>
      <c r="L9">
        <v>5512706.875</v>
      </c>
      <c r="M9">
        <v>5898596.3562500002</v>
      </c>
      <c r="N9">
        <v>6311498.1011875002</v>
      </c>
      <c r="O9" t="s">
        <v>3102</v>
      </c>
      <c r="P9" t="s">
        <v>3103</v>
      </c>
      <c r="Q9" t="s">
        <v>3104</v>
      </c>
    </row>
    <row r="10" spans="1:17" x14ac:dyDescent="0.25">
      <c r="A10" t="s">
        <v>330</v>
      </c>
      <c r="C10" t="s">
        <v>151</v>
      </c>
      <c r="D10">
        <v>258705</v>
      </c>
      <c r="E10">
        <v>252230.43</v>
      </c>
      <c r="F10">
        <v>0</v>
      </c>
      <c r="G10">
        <v>426408.16</v>
      </c>
      <c r="H10">
        <v>-167703.15999999997</v>
      </c>
      <c r="I10">
        <v>164.82408921358302</v>
      </c>
      <c r="J10">
        <v>-39791.380000000005</v>
      </c>
      <c r="K10">
        <v>218913.62</v>
      </c>
      <c r="L10">
        <v>232595.72125</v>
      </c>
      <c r="M10">
        <v>248877.4217375</v>
      </c>
      <c r="N10">
        <v>266298.84125912498</v>
      </c>
      <c r="O10" t="s">
        <v>3102</v>
      </c>
      <c r="P10" t="s">
        <v>3103</v>
      </c>
      <c r="Q10" t="s">
        <v>3104</v>
      </c>
    </row>
    <row r="11" spans="1:17" x14ac:dyDescent="0.25">
      <c r="A11" t="s">
        <v>331</v>
      </c>
      <c r="C11" t="s">
        <v>152</v>
      </c>
      <c r="D11">
        <v>38100</v>
      </c>
      <c r="E11">
        <v>3172.75</v>
      </c>
      <c r="F11">
        <v>0</v>
      </c>
      <c r="G11">
        <v>19036.5</v>
      </c>
      <c r="H11">
        <v>19063.5</v>
      </c>
      <c r="I11">
        <v>49.964566929133859</v>
      </c>
      <c r="J11">
        <v>0</v>
      </c>
      <c r="K11">
        <v>38100</v>
      </c>
      <c r="L11">
        <v>40481.25</v>
      </c>
      <c r="M11">
        <v>43314.9375</v>
      </c>
      <c r="N11">
        <v>46346.983124999999</v>
      </c>
      <c r="O11" t="s">
        <v>3102</v>
      </c>
      <c r="P11" t="s">
        <v>3103</v>
      </c>
      <c r="Q11" t="s">
        <v>3104</v>
      </c>
    </row>
    <row r="12" spans="1:17" x14ac:dyDescent="0.25">
      <c r="A12" t="s">
        <v>332</v>
      </c>
      <c r="C12" t="s">
        <v>153</v>
      </c>
      <c r="D12">
        <v>10893</v>
      </c>
      <c r="E12">
        <v>0</v>
      </c>
      <c r="F12">
        <v>0</v>
      </c>
      <c r="G12">
        <v>0</v>
      </c>
      <c r="H12">
        <v>10893</v>
      </c>
      <c r="I12">
        <v>0</v>
      </c>
      <c r="J12">
        <v>0</v>
      </c>
      <c r="K12">
        <v>10893</v>
      </c>
      <c r="L12">
        <v>11573.8125</v>
      </c>
      <c r="M12">
        <v>12383.979375000001</v>
      </c>
      <c r="N12">
        <v>13250.857931250001</v>
      </c>
      <c r="O12" t="s">
        <v>3102</v>
      </c>
      <c r="P12" t="s">
        <v>3103</v>
      </c>
      <c r="Q12" t="s">
        <v>3104</v>
      </c>
    </row>
    <row r="13" spans="1:17" x14ac:dyDescent="0.25">
      <c r="A13" t="s">
        <v>333</v>
      </c>
      <c r="C13" t="s">
        <v>155</v>
      </c>
      <c r="D13">
        <v>183716</v>
      </c>
      <c r="E13">
        <v>0</v>
      </c>
      <c r="F13">
        <v>0</v>
      </c>
      <c r="G13">
        <v>0</v>
      </c>
      <c r="H13">
        <v>183716</v>
      </c>
      <c r="I13">
        <v>0</v>
      </c>
      <c r="J13">
        <v>0</v>
      </c>
      <c r="K13">
        <v>183716</v>
      </c>
      <c r="L13">
        <v>195198.25</v>
      </c>
      <c r="M13">
        <v>208862.1275</v>
      </c>
      <c r="N13">
        <v>223482.476425</v>
      </c>
      <c r="O13" t="s">
        <v>3102</v>
      </c>
      <c r="P13" t="s">
        <v>3103</v>
      </c>
      <c r="Q13" t="s">
        <v>3104</v>
      </c>
    </row>
    <row r="14" spans="1:17" x14ac:dyDescent="0.25">
      <c r="A14" t="s">
        <v>334</v>
      </c>
      <c r="C14" t="s">
        <v>156</v>
      </c>
      <c r="D14">
        <v>138573</v>
      </c>
      <c r="E14">
        <v>13313.45</v>
      </c>
      <c r="F14">
        <v>0</v>
      </c>
      <c r="G14">
        <v>79880.7</v>
      </c>
      <c r="H14">
        <v>58692.3</v>
      </c>
      <c r="I14">
        <v>57.645212270788683</v>
      </c>
      <c r="J14">
        <v>0</v>
      </c>
      <c r="K14">
        <v>138573</v>
      </c>
      <c r="L14">
        <v>147233.8125</v>
      </c>
      <c r="M14">
        <v>157540.17937500001</v>
      </c>
      <c r="N14">
        <v>168567.99193125</v>
      </c>
      <c r="O14" t="s">
        <v>3102</v>
      </c>
      <c r="P14" t="s">
        <v>3103</v>
      </c>
      <c r="Q14" t="s">
        <v>3104</v>
      </c>
    </row>
    <row r="15" spans="1:17" x14ac:dyDescent="0.25">
      <c r="A15" t="s">
        <v>335</v>
      </c>
      <c r="C15" t="s">
        <v>157</v>
      </c>
      <c r="D15">
        <v>97631</v>
      </c>
      <c r="E15">
        <v>43288.32</v>
      </c>
      <c r="F15">
        <v>0</v>
      </c>
      <c r="G15">
        <v>120401.67</v>
      </c>
      <c r="H15">
        <v>-22770.67</v>
      </c>
      <c r="I15">
        <v>123.32319652569367</v>
      </c>
      <c r="J15">
        <v>150000</v>
      </c>
      <c r="K15">
        <v>247631</v>
      </c>
      <c r="L15">
        <v>263107.9375</v>
      </c>
      <c r="M15">
        <v>281525.49312499998</v>
      </c>
      <c r="N15">
        <v>301232.27764374996</v>
      </c>
      <c r="O15" t="s">
        <v>3102</v>
      </c>
      <c r="P15" t="s">
        <v>3103</v>
      </c>
      <c r="Q15" t="s">
        <v>3104</v>
      </c>
    </row>
    <row r="16" spans="1:17" x14ac:dyDescent="0.25">
      <c r="A16" t="s">
        <v>336</v>
      </c>
      <c r="C16" t="s">
        <v>158</v>
      </c>
      <c r="D16">
        <v>11138</v>
      </c>
      <c r="E16">
        <v>0</v>
      </c>
      <c r="F16">
        <v>0</v>
      </c>
      <c r="G16">
        <v>56328.93</v>
      </c>
      <c r="H16">
        <v>-45190.93</v>
      </c>
      <c r="I16">
        <v>505.73648769976654</v>
      </c>
      <c r="J16">
        <v>60000</v>
      </c>
      <c r="K16">
        <v>71138</v>
      </c>
      <c r="L16">
        <v>75584.125</v>
      </c>
      <c r="M16">
        <v>80875.013749999998</v>
      </c>
      <c r="N16">
        <v>86536.264712499993</v>
      </c>
      <c r="O16" t="s">
        <v>3102</v>
      </c>
      <c r="P16" t="s">
        <v>3103</v>
      </c>
      <c r="Q16" t="s">
        <v>3104</v>
      </c>
    </row>
    <row r="17" spans="1:17" x14ac:dyDescent="0.25">
      <c r="A17" t="s">
        <v>337</v>
      </c>
      <c r="C17" t="s">
        <v>159</v>
      </c>
      <c r="D17">
        <v>425436</v>
      </c>
      <c r="E17">
        <v>0</v>
      </c>
      <c r="F17">
        <v>0</v>
      </c>
      <c r="G17">
        <v>0</v>
      </c>
      <c r="H17">
        <v>425436</v>
      </c>
      <c r="I17">
        <v>0</v>
      </c>
      <c r="J17">
        <v>0</v>
      </c>
      <c r="K17">
        <v>425436</v>
      </c>
      <c r="L17">
        <v>452025.75</v>
      </c>
      <c r="M17">
        <v>483667.55249999999</v>
      </c>
      <c r="N17">
        <v>517524.28117500001</v>
      </c>
      <c r="O17" t="s">
        <v>3102</v>
      </c>
      <c r="P17" t="s">
        <v>3103</v>
      </c>
      <c r="Q17" t="s">
        <v>3104</v>
      </c>
    </row>
    <row r="18" spans="1:17" x14ac:dyDescent="0.25">
      <c r="A18" t="s">
        <v>338</v>
      </c>
      <c r="C18" t="s">
        <v>161</v>
      </c>
      <c r="D18">
        <v>71952</v>
      </c>
      <c r="E18">
        <v>0</v>
      </c>
      <c r="F18">
        <v>0</v>
      </c>
      <c r="G18">
        <v>64501.53</v>
      </c>
      <c r="H18">
        <v>7450.4700000000012</v>
      </c>
      <c r="I18">
        <v>89.645221814543035</v>
      </c>
      <c r="J18">
        <v>0</v>
      </c>
      <c r="K18">
        <v>71952</v>
      </c>
      <c r="L18">
        <v>76449</v>
      </c>
      <c r="M18">
        <v>81800.429999999993</v>
      </c>
      <c r="N18">
        <v>87526.460099999997</v>
      </c>
      <c r="O18" t="s">
        <v>3102</v>
      </c>
      <c r="P18" t="s">
        <v>3103</v>
      </c>
      <c r="Q18" t="s">
        <v>3104</v>
      </c>
    </row>
    <row r="19" spans="1:17" x14ac:dyDescent="0.25">
      <c r="A19" t="s">
        <v>339</v>
      </c>
      <c r="C19" t="s">
        <v>162</v>
      </c>
      <c r="D19">
        <v>0</v>
      </c>
      <c r="E19">
        <v>956.72</v>
      </c>
      <c r="F19">
        <v>0</v>
      </c>
      <c r="G19">
        <v>1733.61</v>
      </c>
      <c r="H19">
        <v>-1733.61</v>
      </c>
      <c r="I19">
        <v>0</v>
      </c>
      <c r="J19">
        <v>4000</v>
      </c>
      <c r="K19">
        <v>4000</v>
      </c>
      <c r="L19">
        <v>4250</v>
      </c>
      <c r="M19">
        <v>4547.5</v>
      </c>
      <c r="N19">
        <v>4865.8249999999998</v>
      </c>
      <c r="O19" t="s">
        <v>3102</v>
      </c>
      <c r="P19" t="s">
        <v>3103</v>
      </c>
      <c r="Q19" t="s">
        <v>3104</v>
      </c>
    </row>
    <row r="20" spans="1:17" x14ac:dyDescent="0.25">
      <c r="A20" t="s">
        <v>340</v>
      </c>
      <c r="C20" t="s">
        <v>163</v>
      </c>
      <c r="D20">
        <v>17000</v>
      </c>
      <c r="E20">
        <v>0</v>
      </c>
      <c r="F20">
        <v>0</v>
      </c>
      <c r="G20">
        <v>0</v>
      </c>
      <c r="H20">
        <v>17000</v>
      </c>
      <c r="I20">
        <v>0</v>
      </c>
      <c r="J20">
        <v>-10000</v>
      </c>
      <c r="K20">
        <v>7000</v>
      </c>
      <c r="L20">
        <v>7437.5</v>
      </c>
      <c r="M20">
        <v>7958.125</v>
      </c>
      <c r="N20">
        <v>8515.1937500000004</v>
      </c>
      <c r="O20" t="s">
        <v>3102</v>
      </c>
      <c r="P20" t="s">
        <v>3103</v>
      </c>
      <c r="Q20" t="s">
        <v>3104</v>
      </c>
    </row>
    <row r="21" spans="1:17" x14ac:dyDescent="0.25">
      <c r="A21" t="s">
        <v>341</v>
      </c>
      <c r="C21" t="s">
        <v>164</v>
      </c>
      <c r="D21">
        <v>36468</v>
      </c>
      <c r="E21">
        <v>1307.7</v>
      </c>
      <c r="F21">
        <v>0</v>
      </c>
      <c r="G21">
        <v>7846.2</v>
      </c>
      <c r="H21">
        <v>28621.8</v>
      </c>
      <c r="I21">
        <v>21.515301085883515</v>
      </c>
      <c r="J21">
        <v>0</v>
      </c>
      <c r="K21">
        <v>36468</v>
      </c>
      <c r="L21">
        <v>38747.25</v>
      </c>
      <c r="M21">
        <v>41459.557500000003</v>
      </c>
      <c r="N21">
        <v>44361.726525000005</v>
      </c>
      <c r="O21" t="s">
        <v>3102</v>
      </c>
      <c r="P21" t="s">
        <v>3103</v>
      </c>
      <c r="Q21" t="s">
        <v>3104</v>
      </c>
    </row>
    <row r="22" spans="1:17" x14ac:dyDescent="0.25">
      <c r="A22" t="s">
        <v>342</v>
      </c>
      <c r="C22" t="s">
        <v>167</v>
      </c>
      <c r="D22">
        <v>3371</v>
      </c>
      <c r="E22">
        <v>274.94</v>
      </c>
      <c r="F22">
        <v>0</v>
      </c>
      <c r="G22">
        <v>1603.04</v>
      </c>
      <c r="H22">
        <v>1767.96</v>
      </c>
      <c r="I22">
        <v>47.553841590032633</v>
      </c>
      <c r="K22">
        <v>3371</v>
      </c>
      <c r="L22">
        <v>3581.6875</v>
      </c>
      <c r="M22">
        <v>3832.4056249999999</v>
      </c>
      <c r="N22">
        <v>4100.67401875</v>
      </c>
      <c r="O22" t="s">
        <v>3102</v>
      </c>
      <c r="P22" t="s">
        <v>3103</v>
      </c>
      <c r="Q22" t="s">
        <v>3104</v>
      </c>
    </row>
    <row r="23" spans="1:17" x14ac:dyDescent="0.25">
      <c r="A23" t="s">
        <v>343</v>
      </c>
      <c r="C23" t="s">
        <v>168</v>
      </c>
      <c r="D23">
        <v>1293797</v>
      </c>
      <c r="E23">
        <v>50940.15</v>
      </c>
      <c r="F23">
        <v>0</v>
      </c>
      <c r="G23">
        <v>363987.45</v>
      </c>
      <c r="H23">
        <v>929809.55</v>
      </c>
      <c r="I23">
        <v>28.133273612475527</v>
      </c>
      <c r="J23">
        <v>-500000</v>
      </c>
      <c r="K23">
        <v>793797</v>
      </c>
      <c r="L23">
        <v>843409.3125</v>
      </c>
      <c r="M23">
        <v>902447.96437499998</v>
      </c>
      <c r="N23">
        <v>965619.32188125001</v>
      </c>
      <c r="O23" t="s">
        <v>3102</v>
      </c>
      <c r="P23" t="s">
        <v>3103</v>
      </c>
      <c r="Q23" t="s">
        <v>3104</v>
      </c>
    </row>
    <row r="24" spans="1:17" x14ac:dyDescent="0.25">
      <c r="A24" t="s">
        <v>344</v>
      </c>
      <c r="C24" t="s">
        <v>169</v>
      </c>
      <c r="D24">
        <v>1123150</v>
      </c>
      <c r="E24">
        <v>105476.44</v>
      </c>
      <c r="F24">
        <v>0</v>
      </c>
      <c r="G24">
        <v>617398.25</v>
      </c>
      <c r="H24">
        <v>505751.75</v>
      </c>
      <c r="I24">
        <v>54.970239950140233</v>
      </c>
      <c r="K24">
        <v>1123150</v>
      </c>
      <c r="L24">
        <v>1193346.875</v>
      </c>
      <c r="M24">
        <v>1276881.15625</v>
      </c>
      <c r="N24">
        <v>1366262.8371875</v>
      </c>
      <c r="O24" t="s">
        <v>3102</v>
      </c>
      <c r="P24" t="s">
        <v>3103</v>
      </c>
      <c r="Q24" t="s">
        <v>3104</v>
      </c>
    </row>
    <row r="25" spans="1:17" x14ac:dyDescent="0.25">
      <c r="A25" t="s">
        <v>345</v>
      </c>
      <c r="C25" t="s">
        <v>170</v>
      </c>
      <c r="D25">
        <v>49980</v>
      </c>
      <c r="E25">
        <v>4377.84</v>
      </c>
      <c r="F25">
        <v>0</v>
      </c>
      <c r="G25">
        <v>25698.48</v>
      </c>
      <c r="H25">
        <v>24281.52</v>
      </c>
      <c r="I25">
        <v>51.417527010804321</v>
      </c>
      <c r="K25">
        <v>49980</v>
      </c>
      <c r="L25">
        <v>53103.75</v>
      </c>
      <c r="M25">
        <v>56821.012499999997</v>
      </c>
      <c r="N25">
        <v>60798.483374999996</v>
      </c>
      <c r="O25" t="s">
        <v>3102</v>
      </c>
      <c r="P25" t="s">
        <v>3103</v>
      </c>
      <c r="Q25" t="s">
        <v>3104</v>
      </c>
    </row>
    <row r="26" spans="1:17" x14ac:dyDescent="0.25">
      <c r="A26" t="s">
        <v>346</v>
      </c>
      <c r="C26" t="s">
        <v>173</v>
      </c>
      <c r="D26">
        <v>112883</v>
      </c>
      <c r="E26">
        <v>0</v>
      </c>
      <c r="F26">
        <v>0</v>
      </c>
      <c r="G26">
        <v>0</v>
      </c>
      <c r="H26">
        <v>112883</v>
      </c>
      <c r="I26">
        <v>0</v>
      </c>
      <c r="K26">
        <v>112883</v>
      </c>
      <c r="L26">
        <v>119938.1875</v>
      </c>
      <c r="M26">
        <v>128333.860625</v>
      </c>
      <c r="N26">
        <v>137317.23086874999</v>
      </c>
      <c r="O26" t="s">
        <v>3102</v>
      </c>
      <c r="P26" t="s">
        <v>3103</v>
      </c>
      <c r="Q26" t="s">
        <v>3104</v>
      </c>
    </row>
    <row r="27" spans="1:17" x14ac:dyDescent="0.25">
      <c r="A27" t="s">
        <v>347</v>
      </c>
      <c r="C27" t="s">
        <v>174</v>
      </c>
      <c r="D27">
        <v>142433</v>
      </c>
      <c r="E27">
        <v>0</v>
      </c>
      <c r="F27">
        <v>0</v>
      </c>
      <c r="G27">
        <v>0</v>
      </c>
      <c r="H27">
        <v>142433</v>
      </c>
      <c r="I27">
        <v>0</v>
      </c>
      <c r="K27">
        <v>142433</v>
      </c>
      <c r="L27">
        <v>151335.0625</v>
      </c>
      <c r="M27">
        <v>161928.516875</v>
      </c>
      <c r="N27">
        <v>173263.51305625</v>
      </c>
      <c r="O27" t="s">
        <v>3102</v>
      </c>
      <c r="P27" t="s">
        <v>3103</v>
      </c>
      <c r="Q27" t="s">
        <v>3104</v>
      </c>
    </row>
    <row r="28" spans="1:17" x14ac:dyDescent="0.25">
      <c r="A28" t="s">
        <v>1391</v>
      </c>
      <c r="C28" t="s">
        <v>1392</v>
      </c>
      <c r="D28">
        <v>0</v>
      </c>
      <c r="E28">
        <v>0</v>
      </c>
      <c r="F28">
        <v>0</v>
      </c>
      <c r="G28">
        <v>0</v>
      </c>
      <c r="H28">
        <v>0</v>
      </c>
      <c r="J28">
        <v>350000</v>
      </c>
      <c r="K28">
        <v>350000</v>
      </c>
      <c r="L28">
        <v>371875</v>
      </c>
      <c r="M28">
        <v>397906.25</v>
      </c>
      <c r="N28">
        <v>425759.6875</v>
      </c>
      <c r="O28" t="s">
        <v>3102</v>
      </c>
      <c r="P28" t="s">
        <v>3103</v>
      </c>
      <c r="Q28" t="s">
        <v>3104</v>
      </c>
    </row>
    <row r="29" spans="1:17" x14ac:dyDescent="0.25">
      <c r="A29" t="s">
        <v>348</v>
      </c>
      <c r="C29" t="s">
        <v>175</v>
      </c>
      <c r="D29">
        <v>79236</v>
      </c>
      <c r="E29">
        <v>0</v>
      </c>
      <c r="F29">
        <v>0</v>
      </c>
      <c r="G29">
        <v>0</v>
      </c>
      <c r="H29">
        <v>79236</v>
      </c>
      <c r="I29">
        <v>0</v>
      </c>
      <c r="J29">
        <v>0</v>
      </c>
      <c r="K29">
        <v>79236</v>
      </c>
      <c r="L29">
        <v>84188.25</v>
      </c>
      <c r="M29">
        <v>90081.427500000005</v>
      </c>
      <c r="N29">
        <v>96387.127425000013</v>
      </c>
      <c r="O29" t="s">
        <v>3102</v>
      </c>
      <c r="P29" t="s">
        <v>3103</v>
      </c>
      <c r="Q29" t="s">
        <v>3104</v>
      </c>
    </row>
    <row r="30" spans="1:17" x14ac:dyDescent="0.25">
      <c r="A30" t="s">
        <v>349</v>
      </c>
      <c r="C30" t="s">
        <v>216</v>
      </c>
      <c r="D30">
        <v>8639351</v>
      </c>
      <c r="E30">
        <v>650483.55000000005</v>
      </c>
      <c r="F30">
        <v>0</v>
      </c>
      <c r="G30">
        <v>3552775.02</v>
      </c>
      <c r="H30">
        <v>5086575.9800000004</v>
      </c>
      <c r="I30">
        <v>41.123170247394739</v>
      </c>
      <c r="J30">
        <v>0</v>
      </c>
      <c r="K30">
        <v>8639351</v>
      </c>
      <c r="L30">
        <v>9028121.7949999999</v>
      </c>
      <c r="M30">
        <v>9443415.3975699991</v>
      </c>
      <c r="N30">
        <v>9877812.5058582183</v>
      </c>
      <c r="O30" t="s">
        <v>3102</v>
      </c>
      <c r="P30" t="s">
        <v>3105</v>
      </c>
      <c r="Q30" t="s">
        <v>3106</v>
      </c>
    </row>
    <row r="31" spans="1:17" x14ac:dyDescent="0.25">
      <c r="A31" t="s">
        <v>350</v>
      </c>
      <c r="C31" t="s">
        <v>234</v>
      </c>
      <c r="D31">
        <v>400000</v>
      </c>
      <c r="E31">
        <v>42566.65</v>
      </c>
      <c r="F31">
        <v>27772</v>
      </c>
      <c r="G31">
        <v>300133.27</v>
      </c>
      <c r="H31">
        <v>99866.73</v>
      </c>
      <c r="I31">
        <v>75.03</v>
      </c>
      <c r="J31">
        <v>0</v>
      </c>
      <c r="K31">
        <v>400000</v>
      </c>
      <c r="L31">
        <v>400000</v>
      </c>
      <c r="M31">
        <v>418400</v>
      </c>
      <c r="N31">
        <v>437646.4</v>
      </c>
      <c r="O31" t="s">
        <v>3102</v>
      </c>
      <c r="P31" t="s">
        <v>3105</v>
      </c>
      <c r="Q31" t="s">
        <v>3107</v>
      </c>
    </row>
    <row r="32" spans="1:17" x14ac:dyDescent="0.25">
      <c r="A32" t="s">
        <v>351</v>
      </c>
      <c r="C32" t="s">
        <v>234</v>
      </c>
      <c r="D32">
        <v>150000</v>
      </c>
      <c r="E32">
        <v>0</v>
      </c>
      <c r="F32">
        <v>66000</v>
      </c>
      <c r="G32">
        <v>49410</v>
      </c>
      <c r="H32">
        <v>100590</v>
      </c>
      <c r="I32">
        <v>32.94</v>
      </c>
      <c r="J32">
        <v>0</v>
      </c>
      <c r="K32">
        <v>150000</v>
      </c>
      <c r="L32">
        <v>156750</v>
      </c>
      <c r="M32">
        <v>163960.5</v>
      </c>
      <c r="N32">
        <v>171502.68299999999</v>
      </c>
      <c r="O32" t="s">
        <v>3102</v>
      </c>
      <c r="P32" t="s">
        <v>3105</v>
      </c>
      <c r="Q32" t="s">
        <v>3108</v>
      </c>
    </row>
    <row r="33" spans="1:17" x14ac:dyDescent="0.25">
      <c r="A33" t="s">
        <v>352</v>
      </c>
      <c r="C33" t="s">
        <v>235</v>
      </c>
      <c r="D33">
        <v>200000</v>
      </c>
      <c r="E33">
        <v>0</v>
      </c>
      <c r="F33">
        <v>0</v>
      </c>
      <c r="G33">
        <v>70483.69</v>
      </c>
      <c r="H33">
        <v>129516.31</v>
      </c>
      <c r="I33">
        <v>35.24</v>
      </c>
      <c r="J33">
        <v>0</v>
      </c>
      <c r="K33">
        <v>200000</v>
      </c>
      <c r="L33">
        <v>209000</v>
      </c>
      <c r="M33">
        <v>218614</v>
      </c>
      <c r="N33">
        <v>228670.24400000001</v>
      </c>
      <c r="O33" t="s">
        <v>3102</v>
      </c>
      <c r="P33" t="s">
        <v>3105</v>
      </c>
      <c r="Q33" t="s">
        <v>3109</v>
      </c>
    </row>
    <row r="34" spans="1:17" x14ac:dyDescent="0.25">
      <c r="A34" t="s">
        <v>353</v>
      </c>
      <c r="C34" t="s">
        <v>250</v>
      </c>
      <c r="D34">
        <v>689000</v>
      </c>
      <c r="E34">
        <v>0</v>
      </c>
      <c r="F34">
        <v>0</v>
      </c>
      <c r="G34">
        <v>132072.35999999999</v>
      </c>
      <c r="H34">
        <v>556927.64</v>
      </c>
      <c r="I34">
        <v>19.168702467343977</v>
      </c>
      <c r="J34">
        <v>0</v>
      </c>
      <c r="K34">
        <v>689000</v>
      </c>
      <c r="L34">
        <v>720005</v>
      </c>
      <c r="M34">
        <v>753125.23</v>
      </c>
      <c r="N34">
        <v>787768.99057999998</v>
      </c>
      <c r="O34" t="s">
        <v>3102</v>
      </c>
      <c r="P34" t="s">
        <v>3110</v>
      </c>
      <c r="Q34" t="s">
        <v>3106</v>
      </c>
    </row>
    <row r="35" spans="1:17" x14ac:dyDescent="0.25">
      <c r="A35" t="s">
        <v>354</v>
      </c>
      <c r="C35" t="s">
        <v>251</v>
      </c>
      <c r="D35">
        <v>707862</v>
      </c>
      <c r="E35">
        <v>142631.6</v>
      </c>
      <c r="F35">
        <v>0</v>
      </c>
      <c r="G35">
        <v>479164.38</v>
      </c>
      <c r="H35">
        <v>228697.62</v>
      </c>
      <c r="I35">
        <v>67.691778906057962</v>
      </c>
      <c r="J35">
        <v>0</v>
      </c>
      <c r="K35">
        <v>707862</v>
      </c>
      <c r="L35">
        <v>739715.79</v>
      </c>
      <c r="M35">
        <v>773742.71634000004</v>
      </c>
      <c r="N35">
        <v>809334.88129163999</v>
      </c>
      <c r="O35" t="s">
        <v>3102</v>
      </c>
      <c r="P35" t="s">
        <v>3110</v>
      </c>
      <c r="Q35" t="s">
        <v>3104</v>
      </c>
    </row>
    <row r="36" spans="1:17" x14ac:dyDescent="0.25">
      <c r="A36" t="s">
        <v>355</v>
      </c>
      <c r="C36" t="s">
        <v>253</v>
      </c>
      <c r="D36">
        <v>2000</v>
      </c>
      <c r="E36">
        <v>0</v>
      </c>
      <c r="F36">
        <v>0</v>
      </c>
      <c r="G36">
        <v>426.95</v>
      </c>
      <c r="H36">
        <v>1573.05</v>
      </c>
      <c r="I36">
        <v>21.3475</v>
      </c>
      <c r="J36">
        <v>0</v>
      </c>
      <c r="K36">
        <v>2000</v>
      </c>
      <c r="L36">
        <v>2090</v>
      </c>
      <c r="M36">
        <v>2186.14</v>
      </c>
      <c r="N36">
        <v>2286.70244</v>
      </c>
      <c r="O36" t="s">
        <v>3102</v>
      </c>
      <c r="P36" t="s">
        <v>3110</v>
      </c>
      <c r="Q36" t="s">
        <v>3106</v>
      </c>
    </row>
    <row r="37" spans="1:17" x14ac:dyDescent="0.25">
      <c r="A37" t="s">
        <v>356</v>
      </c>
      <c r="C37" t="s">
        <v>259</v>
      </c>
      <c r="D37">
        <v>234398</v>
      </c>
      <c r="E37">
        <v>0</v>
      </c>
      <c r="F37">
        <v>0</v>
      </c>
      <c r="G37">
        <v>124894.9</v>
      </c>
      <c r="H37">
        <v>109503.1</v>
      </c>
      <c r="I37">
        <v>53.283261802575112</v>
      </c>
      <c r="J37">
        <v>-50000</v>
      </c>
      <c r="K37">
        <v>184398</v>
      </c>
      <c r="L37">
        <v>192695.91</v>
      </c>
      <c r="M37">
        <v>201559.92186</v>
      </c>
      <c r="N37">
        <v>210831.67826556001</v>
      </c>
      <c r="O37" t="s">
        <v>3102</v>
      </c>
      <c r="P37" t="s">
        <v>3110</v>
      </c>
      <c r="Q37" t="s">
        <v>3106</v>
      </c>
    </row>
    <row r="38" spans="1:17" x14ac:dyDescent="0.25">
      <c r="A38" t="s">
        <v>357</v>
      </c>
      <c r="C38" t="s">
        <v>265</v>
      </c>
      <c r="D38">
        <v>0</v>
      </c>
      <c r="E38">
        <v>8906.7099999999991</v>
      </c>
      <c r="F38">
        <v>0</v>
      </c>
      <c r="G38">
        <v>41524.839999999997</v>
      </c>
      <c r="H38">
        <v>-41524.839999999997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 t="s">
        <v>3102</v>
      </c>
      <c r="P38" t="s">
        <v>3110</v>
      </c>
      <c r="Q38" t="s">
        <v>3104</v>
      </c>
    </row>
    <row r="39" spans="1:17" x14ac:dyDescent="0.25">
      <c r="A39" t="s">
        <v>3016</v>
      </c>
      <c r="C39" t="s">
        <v>3017</v>
      </c>
      <c r="L39">
        <v>0</v>
      </c>
      <c r="M39">
        <v>0</v>
      </c>
      <c r="N39">
        <v>0</v>
      </c>
      <c r="O39" t="s">
        <v>3102</v>
      </c>
      <c r="P39" t="s">
        <v>3110</v>
      </c>
      <c r="Q39" t="s">
        <v>3111</v>
      </c>
    </row>
    <row r="40" spans="1:17" x14ac:dyDescent="0.25">
      <c r="A40" t="s">
        <v>358</v>
      </c>
      <c r="C40" t="s">
        <v>268</v>
      </c>
      <c r="D40">
        <v>175000</v>
      </c>
      <c r="E40">
        <v>8953.15</v>
      </c>
      <c r="F40">
        <v>0</v>
      </c>
      <c r="G40">
        <v>25501.31</v>
      </c>
      <c r="H40">
        <v>149498.69</v>
      </c>
      <c r="I40">
        <v>14.572177142857143</v>
      </c>
      <c r="J40">
        <v>-49499</v>
      </c>
      <c r="K40">
        <v>125501</v>
      </c>
      <c r="L40">
        <v>131148.54500000001</v>
      </c>
      <c r="M40">
        <v>137181.37807000001</v>
      </c>
      <c r="N40">
        <v>143491.72146122</v>
      </c>
      <c r="O40" t="s">
        <v>3102</v>
      </c>
      <c r="P40" t="s">
        <v>3110</v>
      </c>
      <c r="Q40" t="s">
        <v>3104</v>
      </c>
    </row>
    <row r="41" spans="1:17" x14ac:dyDescent="0.25">
      <c r="A41" t="s">
        <v>359</v>
      </c>
      <c r="C41" t="s">
        <v>268</v>
      </c>
      <c r="D41">
        <v>254263</v>
      </c>
      <c r="E41">
        <v>0</v>
      </c>
      <c r="F41">
        <v>33225.660000000003</v>
      </c>
      <c r="G41">
        <v>138103.96</v>
      </c>
      <c r="H41">
        <v>116159.04000000001</v>
      </c>
      <c r="I41">
        <v>54.315397836098846</v>
      </c>
      <c r="J41">
        <v>0</v>
      </c>
      <c r="K41">
        <v>254263</v>
      </c>
      <c r="L41">
        <v>265704.83500000002</v>
      </c>
      <c r="M41">
        <v>277927.25741000002</v>
      </c>
      <c r="N41">
        <v>290711.91125086002</v>
      </c>
      <c r="O41" t="s">
        <v>3102</v>
      </c>
      <c r="P41" t="s">
        <v>3110</v>
      </c>
      <c r="Q41" t="s">
        <v>3111</v>
      </c>
    </row>
    <row r="42" spans="1:17" x14ac:dyDescent="0.25">
      <c r="A42" t="s">
        <v>3018</v>
      </c>
      <c r="C42" t="s">
        <v>3019</v>
      </c>
      <c r="L42">
        <v>0</v>
      </c>
      <c r="N42">
        <v>0</v>
      </c>
      <c r="O42" t="s">
        <v>3102</v>
      </c>
      <c r="P42" t="s">
        <v>3110</v>
      </c>
      <c r="Q42" t="s">
        <v>3111</v>
      </c>
    </row>
    <row r="43" spans="1:17" x14ac:dyDescent="0.25">
      <c r="A43" t="s">
        <v>3020</v>
      </c>
      <c r="C43" t="s">
        <v>3021</v>
      </c>
      <c r="L43">
        <v>0</v>
      </c>
      <c r="N43">
        <v>0</v>
      </c>
      <c r="O43" t="s">
        <v>3102</v>
      </c>
      <c r="P43" t="s">
        <v>3110</v>
      </c>
      <c r="Q43" t="s">
        <v>3104</v>
      </c>
    </row>
    <row r="44" spans="1:17" x14ac:dyDescent="0.25">
      <c r="A44" t="s">
        <v>3022</v>
      </c>
      <c r="C44" t="s">
        <v>3028</v>
      </c>
      <c r="L44">
        <v>0</v>
      </c>
      <c r="N44">
        <v>0</v>
      </c>
      <c r="O44" t="s">
        <v>3102</v>
      </c>
      <c r="P44" t="s">
        <v>3110</v>
      </c>
      <c r="Q44" t="s">
        <v>3104</v>
      </c>
    </row>
    <row r="45" spans="1:17" x14ac:dyDescent="0.25">
      <c r="A45" t="s">
        <v>3023</v>
      </c>
      <c r="C45" t="s">
        <v>269</v>
      </c>
      <c r="L45">
        <v>0</v>
      </c>
      <c r="N45">
        <v>0</v>
      </c>
      <c r="O45" t="s">
        <v>3102</v>
      </c>
      <c r="P45" t="s">
        <v>3110</v>
      </c>
      <c r="Q45" t="s">
        <v>3106</v>
      </c>
    </row>
    <row r="46" spans="1:17" x14ac:dyDescent="0.25">
      <c r="A46" t="s">
        <v>3024</v>
      </c>
      <c r="C46" t="s">
        <v>3029</v>
      </c>
      <c r="L46">
        <v>0</v>
      </c>
      <c r="N46">
        <v>0</v>
      </c>
      <c r="O46" t="s">
        <v>3102</v>
      </c>
      <c r="P46" t="s">
        <v>3110</v>
      </c>
      <c r="Q46" t="s">
        <v>3104</v>
      </c>
    </row>
    <row r="47" spans="1:17" x14ac:dyDescent="0.25">
      <c r="A47" t="s">
        <v>3025</v>
      </c>
      <c r="C47" t="s">
        <v>3030</v>
      </c>
      <c r="L47">
        <v>0</v>
      </c>
      <c r="N47">
        <v>0</v>
      </c>
      <c r="O47" t="s">
        <v>3102</v>
      </c>
      <c r="P47" t="s">
        <v>3110</v>
      </c>
      <c r="Q47" t="s">
        <v>3104</v>
      </c>
    </row>
    <row r="48" spans="1:17" x14ac:dyDescent="0.25">
      <c r="A48" t="s">
        <v>3026</v>
      </c>
      <c r="C48" t="s">
        <v>3031</v>
      </c>
      <c r="L48">
        <v>0</v>
      </c>
      <c r="N48">
        <v>0</v>
      </c>
      <c r="O48" t="s">
        <v>3102</v>
      </c>
      <c r="P48" t="s">
        <v>3110</v>
      </c>
      <c r="Q48" t="s">
        <v>3104</v>
      </c>
    </row>
    <row r="49" spans="1:17" x14ac:dyDescent="0.25">
      <c r="A49" t="s">
        <v>3027</v>
      </c>
      <c r="C49" t="s">
        <v>3032</v>
      </c>
      <c r="L49">
        <v>0</v>
      </c>
      <c r="N49">
        <v>0</v>
      </c>
      <c r="O49" t="s">
        <v>3102</v>
      </c>
      <c r="P49" t="s">
        <v>3110</v>
      </c>
      <c r="Q49" t="s">
        <v>3104</v>
      </c>
    </row>
    <row r="50" spans="1:17" x14ac:dyDescent="0.25">
      <c r="A50" t="s">
        <v>360</v>
      </c>
      <c r="C50" t="s">
        <v>270</v>
      </c>
      <c r="D50">
        <v>636000</v>
      </c>
      <c r="E50">
        <v>136630</v>
      </c>
      <c r="F50">
        <v>0</v>
      </c>
      <c r="G50">
        <v>609748</v>
      </c>
      <c r="H50">
        <v>26252</v>
      </c>
      <c r="I50">
        <v>95.872327044025155</v>
      </c>
      <c r="J50">
        <v>650000</v>
      </c>
      <c r="K50">
        <v>1286000</v>
      </c>
      <c r="L50">
        <v>650000</v>
      </c>
      <c r="M50">
        <v>679900</v>
      </c>
      <c r="N50">
        <v>711175.4</v>
      </c>
      <c r="O50" t="s">
        <v>3102</v>
      </c>
      <c r="P50" t="s">
        <v>3110</v>
      </c>
      <c r="Q50" t="s">
        <v>3112</v>
      </c>
    </row>
    <row r="51" spans="1:17" x14ac:dyDescent="0.25">
      <c r="A51" t="s">
        <v>361</v>
      </c>
      <c r="C51" t="s">
        <v>271</v>
      </c>
      <c r="D51">
        <v>129035</v>
      </c>
      <c r="E51">
        <v>0</v>
      </c>
      <c r="F51">
        <v>0</v>
      </c>
      <c r="G51">
        <v>44880.94</v>
      </c>
      <c r="H51">
        <v>84154.06</v>
      </c>
      <c r="I51">
        <v>34.781989382725619</v>
      </c>
      <c r="J51">
        <v>0</v>
      </c>
      <c r="K51">
        <v>129035</v>
      </c>
      <c r="L51">
        <v>134841.57500000001</v>
      </c>
      <c r="M51">
        <v>141044.28745</v>
      </c>
      <c r="N51">
        <v>147532.32467269999</v>
      </c>
      <c r="O51" t="s">
        <v>3102</v>
      </c>
      <c r="P51" t="s">
        <v>3110</v>
      </c>
      <c r="Q51" t="s">
        <v>3113</v>
      </c>
    </row>
    <row r="52" spans="1:17" x14ac:dyDescent="0.25">
      <c r="A52" t="s">
        <v>362</v>
      </c>
      <c r="C52" t="s">
        <v>276</v>
      </c>
      <c r="D52">
        <v>659231</v>
      </c>
      <c r="E52">
        <v>0</v>
      </c>
      <c r="F52">
        <v>0</v>
      </c>
      <c r="G52">
        <v>165938.96</v>
      </c>
      <c r="H52">
        <v>493292.04</v>
      </c>
      <c r="I52">
        <v>25.17</v>
      </c>
      <c r="J52">
        <v>0</v>
      </c>
      <c r="K52">
        <v>659231</v>
      </c>
      <c r="L52">
        <v>688896.39500000002</v>
      </c>
      <c r="M52">
        <v>720585.62916999997</v>
      </c>
      <c r="N52">
        <v>753732.56811181991</v>
      </c>
      <c r="O52" t="s">
        <v>3102</v>
      </c>
      <c r="P52" t="s">
        <v>3114</v>
      </c>
      <c r="Q52" t="s">
        <v>3106</v>
      </c>
    </row>
    <row r="53" spans="1:17" x14ac:dyDescent="0.25">
      <c r="A53" t="s">
        <v>363</v>
      </c>
      <c r="C53" t="s">
        <v>277</v>
      </c>
      <c r="D53">
        <v>530000</v>
      </c>
      <c r="E53">
        <v>26608.560000000001</v>
      </c>
      <c r="F53">
        <v>0</v>
      </c>
      <c r="G53">
        <v>239859.36</v>
      </c>
      <c r="H53">
        <v>290140.64</v>
      </c>
      <c r="I53">
        <v>45.25</v>
      </c>
      <c r="J53">
        <v>0</v>
      </c>
      <c r="K53">
        <v>530000</v>
      </c>
      <c r="L53">
        <v>553850</v>
      </c>
      <c r="M53">
        <v>579327.1</v>
      </c>
      <c r="N53">
        <v>605976.14659999998</v>
      </c>
      <c r="O53" t="s">
        <v>3102</v>
      </c>
      <c r="P53" t="s">
        <v>3114</v>
      </c>
      <c r="Q53" t="s">
        <v>3106</v>
      </c>
    </row>
    <row r="54" spans="1:17" x14ac:dyDescent="0.25">
      <c r="A54" t="s">
        <v>364</v>
      </c>
      <c r="C54" t="s">
        <v>278</v>
      </c>
      <c r="D54">
        <v>53000</v>
      </c>
      <c r="E54">
        <v>0</v>
      </c>
      <c r="F54">
        <v>0</v>
      </c>
      <c r="G54">
        <v>769.7</v>
      </c>
      <c r="H54">
        <v>52230.3</v>
      </c>
      <c r="I54">
        <v>1.45</v>
      </c>
      <c r="J54">
        <v>-40000</v>
      </c>
      <c r="K54">
        <v>13000</v>
      </c>
      <c r="L54">
        <v>53000</v>
      </c>
      <c r="M54">
        <v>55438</v>
      </c>
      <c r="N54">
        <v>57988.148000000001</v>
      </c>
      <c r="O54" t="s">
        <v>3102</v>
      </c>
      <c r="P54" t="s">
        <v>3114</v>
      </c>
      <c r="Q54" t="s">
        <v>3106</v>
      </c>
    </row>
    <row r="55" spans="1:17" x14ac:dyDescent="0.25">
      <c r="A55" t="s">
        <v>365</v>
      </c>
      <c r="C55" t="s">
        <v>286</v>
      </c>
      <c r="D55">
        <v>400000</v>
      </c>
      <c r="E55">
        <v>44113.22</v>
      </c>
      <c r="F55">
        <v>0</v>
      </c>
      <c r="G55">
        <v>246703.31</v>
      </c>
      <c r="H55">
        <v>153296.69</v>
      </c>
      <c r="I55">
        <v>61.67</v>
      </c>
      <c r="J55">
        <v>0</v>
      </c>
      <c r="K55">
        <v>400000</v>
      </c>
      <c r="L55">
        <v>418000</v>
      </c>
      <c r="M55">
        <v>437228</v>
      </c>
      <c r="N55">
        <v>457340.48800000001</v>
      </c>
      <c r="O55" t="s">
        <v>3102</v>
      </c>
      <c r="P55" t="s">
        <v>3115</v>
      </c>
      <c r="Q55" t="s">
        <v>3104</v>
      </c>
    </row>
    <row r="56" spans="1:17" x14ac:dyDescent="0.25">
      <c r="A56" t="s">
        <v>366</v>
      </c>
      <c r="C56" t="s">
        <v>286</v>
      </c>
      <c r="D56">
        <v>149705</v>
      </c>
      <c r="E56">
        <v>0</v>
      </c>
      <c r="F56">
        <v>0</v>
      </c>
      <c r="G56">
        <v>0</v>
      </c>
      <c r="H56">
        <v>149705</v>
      </c>
      <c r="I56">
        <v>0</v>
      </c>
      <c r="J56">
        <v>0</v>
      </c>
      <c r="K56">
        <v>149705</v>
      </c>
      <c r="L56">
        <v>156441.72500000001</v>
      </c>
      <c r="M56">
        <v>163638.04435000001</v>
      </c>
      <c r="N56">
        <v>171165.3943901</v>
      </c>
      <c r="O56" t="s">
        <v>3102</v>
      </c>
      <c r="P56" t="s">
        <v>3115</v>
      </c>
      <c r="Q56" t="s">
        <v>3106</v>
      </c>
    </row>
    <row r="57" spans="1:17" x14ac:dyDescent="0.25">
      <c r="A57" t="s">
        <v>3073</v>
      </c>
      <c r="C57" t="s">
        <v>3056</v>
      </c>
      <c r="D57">
        <v>0</v>
      </c>
      <c r="K57">
        <v>0</v>
      </c>
      <c r="L57">
        <v>2400000</v>
      </c>
      <c r="M57">
        <v>2510400</v>
      </c>
      <c r="N57">
        <v>2625878.4</v>
      </c>
      <c r="O57" t="s">
        <v>3102</v>
      </c>
      <c r="P57" t="s">
        <v>3115</v>
      </c>
      <c r="Q57" t="s">
        <v>3116</v>
      </c>
    </row>
    <row r="58" spans="1:17" x14ac:dyDescent="0.25">
      <c r="A58" t="s">
        <v>367</v>
      </c>
      <c r="C58" t="s">
        <v>291</v>
      </c>
      <c r="D58">
        <v>19193</v>
      </c>
      <c r="E58">
        <v>2808.4</v>
      </c>
      <c r="F58">
        <v>0</v>
      </c>
      <c r="G58">
        <v>8600.0499999999993</v>
      </c>
      <c r="H58">
        <v>10592.95</v>
      </c>
      <c r="I58">
        <v>44.8</v>
      </c>
      <c r="J58">
        <v>790000</v>
      </c>
      <c r="K58">
        <v>809193</v>
      </c>
      <c r="L58">
        <v>845606.68500000006</v>
      </c>
      <c r="M58">
        <v>884504.5925100001</v>
      </c>
      <c r="N58">
        <v>925191.80376546015</v>
      </c>
      <c r="O58" t="s">
        <v>3102</v>
      </c>
      <c r="P58" t="s">
        <v>3117</v>
      </c>
      <c r="Q58" t="s">
        <v>3111</v>
      </c>
    </row>
    <row r="59" spans="1:17" x14ac:dyDescent="0.25">
      <c r="A59" t="s">
        <v>368</v>
      </c>
      <c r="C59" t="s">
        <v>292</v>
      </c>
      <c r="D59">
        <v>3371</v>
      </c>
      <c r="E59">
        <v>9921.94</v>
      </c>
      <c r="F59">
        <v>0</v>
      </c>
      <c r="G59">
        <v>32271.75</v>
      </c>
      <c r="H59">
        <v>-28900.75</v>
      </c>
      <c r="I59">
        <v>957.33</v>
      </c>
      <c r="J59">
        <v>0</v>
      </c>
      <c r="K59">
        <v>3371</v>
      </c>
      <c r="L59">
        <v>3522.6950000000002</v>
      </c>
      <c r="M59">
        <v>3684.7389700000003</v>
      </c>
      <c r="N59">
        <v>3854.2369626200002</v>
      </c>
      <c r="O59" t="s">
        <v>3102</v>
      </c>
      <c r="P59" t="s">
        <v>3117</v>
      </c>
      <c r="Q59" t="s">
        <v>3111</v>
      </c>
    </row>
    <row r="60" spans="1:17" x14ac:dyDescent="0.25">
      <c r="A60" t="s">
        <v>369</v>
      </c>
      <c r="C60" t="s">
        <v>293</v>
      </c>
      <c r="D60">
        <v>3371</v>
      </c>
      <c r="E60">
        <v>53495.18</v>
      </c>
      <c r="F60">
        <v>0</v>
      </c>
      <c r="G60">
        <v>126598.65</v>
      </c>
      <c r="H60">
        <v>-123227.65</v>
      </c>
      <c r="I60">
        <v>999.99</v>
      </c>
      <c r="J60">
        <v>0</v>
      </c>
      <c r="K60">
        <v>3371</v>
      </c>
      <c r="L60">
        <v>3522.6950000000002</v>
      </c>
      <c r="M60">
        <v>3684.7389700000003</v>
      </c>
      <c r="N60">
        <v>3854.2369626200002</v>
      </c>
      <c r="O60" t="s">
        <v>3102</v>
      </c>
      <c r="P60" t="s">
        <v>3117</v>
      </c>
      <c r="Q60" t="s">
        <v>3111</v>
      </c>
    </row>
    <row r="61" spans="1:17" x14ac:dyDescent="0.25">
      <c r="A61" t="s">
        <v>370</v>
      </c>
      <c r="C61" t="s">
        <v>296</v>
      </c>
      <c r="D61">
        <v>5618</v>
      </c>
      <c r="E61">
        <v>220.9</v>
      </c>
      <c r="F61">
        <v>0</v>
      </c>
      <c r="G61">
        <v>618.51</v>
      </c>
      <c r="H61">
        <v>4999.49</v>
      </c>
      <c r="I61">
        <v>11</v>
      </c>
      <c r="J61">
        <v>0</v>
      </c>
      <c r="K61">
        <v>5618</v>
      </c>
      <c r="L61">
        <v>5870.81</v>
      </c>
      <c r="M61">
        <v>6140.86726</v>
      </c>
      <c r="N61">
        <v>6423.3471539599996</v>
      </c>
      <c r="O61" t="s">
        <v>3102</v>
      </c>
      <c r="P61" t="s">
        <v>3117</v>
      </c>
      <c r="Q61" t="s">
        <v>3111</v>
      </c>
    </row>
    <row r="62" spans="1:17" x14ac:dyDescent="0.25">
      <c r="A62" t="s">
        <v>371</v>
      </c>
      <c r="C62" t="s">
        <v>297</v>
      </c>
      <c r="D62">
        <v>52313</v>
      </c>
      <c r="E62">
        <v>22667.22</v>
      </c>
      <c r="F62">
        <v>0</v>
      </c>
      <c r="G62">
        <v>55785.81</v>
      </c>
      <c r="H62">
        <v>-3472.81</v>
      </c>
      <c r="I62">
        <v>106.63</v>
      </c>
      <c r="J62">
        <v>0</v>
      </c>
      <c r="K62">
        <v>52313</v>
      </c>
      <c r="L62">
        <v>54667.084999999999</v>
      </c>
      <c r="M62">
        <v>57181.770909999999</v>
      </c>
      <c r="N62">
        <v>59812.132371859996</v>
      </c>
      <c r="O62" t="s">
        <v>3102</v>
      </c>
      <c r="P62" t="s">
        <v>3117</v>
      </c>
      <c r="Q62" t="s">
        <v>3111</v>
      </c>
    </row>
    <row r="63" spans="1:17" x14ac:dyDescent="0.25">
      <c r="A63" t="s">
        <v>372</v>
      </c>
      <c r="C63" t="s">
        <v>298</v>
      </c>
      <c r="D63">
        <v>0</v>
      </c>
      <c r="E63">
        <v>4578.74</v>
      </c>
      <c r="F63">
        <v>0</v>
      </c>
      <c r="G63">
        <v>11446.86</v>
      </c>
      <c r="H63">
        <v>-11446.86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 t="s">
        <v>3102</v>
      </c>
      <c r="P63" t="s">
        <v>3117</v>
      </c>
      <c r="Q63" t="s">
        <v>3111</v>
      </c>
    </row>
    <row r="64" spans="1:17" x14ac:dyDescent="0.25">
      <c r="A64" t="s">
        <v>373</v>
      </c>
      <c r="C64" t="s">
        <v>299</v>
      </c>
      <c r="D64">
        <v>41469</v>
      </c>
      <c r="E64">
        <v>0</v>
      </c>
      <c r="F64">
        <v>0</v>
      </c>
      <c r="G64">
        <v>0</v>
      </c>
      <c r="H64">
        <v>41469</v>
      </c>
      <c r="I64">
        <v>0</v>
      </c>
      <c r="J64">
        <v>0</v>
      </c>
      <c r="K64">
        <v>41469</v>
      </c>
      <c r="L64">
        <v>43335.105000000003</v>
      </c>
      <c r="M64">
        <v>45328.519830000005</v>
      </c>
      <c r="N64">
        <v>47413.631742180005</v>
      </c>
      <c r="O64" t="s">
        <v>3102</v>
      </c>
      <c r="P64" t="s">
        <v>3117</v>
      </c>
      <c r="Q64" t="s">
        <v>3111</v>
      </c>
    </row>
    <row r="65" spans="1:17" x14ac:dyDescent="0.25">
      <c r="A65" t="s">
        <v>374</v>
      </c>
      <c r="C65" t="s">
        <v>300</v>
      </c>
      <c r="D65">
        <v>113175</v>
      </c>
      <c r="E65">
        <v>16557.72</v>
      </c>
      <c r="F65">
        <v>0</v>
      </c>
      <c r="G65">
        <v>33128.800000000003</v>
      </c>
      <c r="H65">
        <v>80046.2</v>
      </c>
      <c r="I65">
        <v>29.27</v>
      </c>
      <c r="J65">
        <v>0</v>
      </c>
      <c r="K65">
        <v>113175</v>
      </c>
      <c r="L65">
        <v>118267.875</v>
      </c>
      <c r="M65">
        <v>123708.19725</v>
      </c>
      <c r="N65">
        <v>129398.77432349999</v>
      </c>
      <c r="O65" t="s">
        <v>3102</v>
      </c>
      <c r="P65" t="s">
        <v>3117</v>
      </c>
      <c r="Q65" t="s">
        <v>3111</v>
      </c>
    </row>
    <row r="66" spans="1:17" x14ac:dyDescent="0.25">
      <c r="A66" t="s">
        <v>375</v>
      </c>
      <c r="C66" t="s">
        <v>303</v>
      </c>
      <c r="D66">
        <v>74216</v>
      </c>
      <c r="E66">
        <v>12908.16</v>
      </c>
      <c r="F66">
        <v>0</v>
      </c>
      <c r="G66">
        <v>30406.99</v>
      </c>
      <c r="H66">
        <v>43809.01</v>
      </c>
      <c r="I66">
        <v>40.97</v>
      </c>
      <c r="J66">
        <v>0</v>
      </c>
      <c r="K66">
        <v>74216</v>
      </c>
      <c r="L66">
        <v>77555.72</v>
      </c>
      <c r="M66">
        <v>81123.283120000007</v>
      </c>
      <c r="N66">
        <v>84854.954143520008</v>
      </c>
      <c r="O66" t="s">
        <v>3102</v>
      </c>
      <c r="P66" t="s">
        <v>3117</v>
      </c>
      <c r="Q66" t="s">
        <v>3111</v>
      </c>
    </row>
    <row r="67" spans="1:17" x14ac:dyDescent="0.25">
      <c r="A67" t="s">
        <v>1337</v>
      </c>
      <c r="C67" t="s">
        <v>1338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2000000</v>
      </c>
      <c r="N67">
        <v>700000</v>
      </c>
      <c r="O67" t="s">
        <v>3118</v>
      </c>
      <c r="Q67" t="s">
        <v>3119</v>
      </c>
    </row>
    <row r="68" spans="1:17" x14ac:dyDescent="0.25">
      <c r="A68" t="s">
        <v>376</v>
      </c>
      <c r="C68" t="s">
        <v>377</v>
      </c>
      <c r="D68">
        <v>250000</v>
      </c>
      <c r="E68">
        <v>0</v>
      </c>
      <c r="F68">
        <v>0</v>
      </c>
      <c r="G68">
        <v>0</v>
      </c>
      <c r="H68">
        <v>250000</v>
      </c>
      <c r="I68">
        <v>0</v>
      </c>
      <c r="J68">
        <v>0</v>
      </c>
      <c r="K68">
        <v>250000</v>
      </c>
      <c r="L68">
        <v>300000</v>
      </c>
      <c r="M68">
        <v>0</v>
      </c>
      <c r="N68">
        <v>315000</v>
      </c>
      <c r="O68" t="s">
        <v>3118</v>
      </c>
      <c r="Q68" t="s">
        <v>3120</v>
      </c>
    </row>
    <row r="69" spans="1:17" x14ac:dyDescent="0.25">
      <c r="A69" t="s">
        <v>379</v>
      </c>
      <c r="C69" t="s">
        <v>76</v>
      </c>
      <c r="D69">
        <v>-204317</v>
      </c>
      <c r="E69">
        <v>0</v>
      </c>
      <c r="F69">
        <v>0</v>
      </c>
      <c r="G69">
        <v>-70522.350000000006</v>
      </c>
      <c r="H69">
        <v>-133794.65</v>
      </c>
      <c r="I69">
        <v>34.51</v>
      </c>
      <c r="J69">
        <v>0</v>
      </c>
      <c r="K69">
        <v>-204317</v>
      </c>
      <c r="L69">
        <v>-213511.26500000001</v>
      </c>
      <c r="M69">
        <v>-223332.78319000002</v>
      </c>
      <c r="N69">
        <v>-233606.09121674002</v>
      </c>
      <c r="O69" t="s">
        <v>3100</v>
      </c>
      <c r="Q69" t="s">
        <v>3121</v>
      </c>
    </row>
    <row r="70" spans="1:17" x14ac:dyDescent="0.25">
      <c r="A70" t="s">
        <v>380</v>
      </c>
      <c r="C70" t="s">
        <v>150</v>
      </c>
      <c r="D70">
        <v>1546512</v>
      </c>
      <c r="E70">
        <v>128292.72</v>
      </c>
      <c r="F70">
        <v>0</v>
      </c>
      <c r="G70">
        <v>762945.09</v>
      </c>
      <c r="H70">
        <v>783566.91</v>
      </c>
      <c r="I70">
        <v>49.33</v>
      </c>
      <c r="J70">
        <v>0</v>
      </c>
      <c r="K70">
        <v>1546512</v>
      </c>
      <c r="L70">
        <v>1643169</v>
      </c>
      <c r="M70">
        <v>1758190.83</v>
      </c>
      <c r="N70">
        <v>1881264.1881000001</v>
      </c>
      <c r="O70" t="s">
        <v>3102</v>
      </c>
      <c r="P70" t="s">
        <v>3103</v>
      </c>
      <c r="Q70" t="s">
        <v>3104</v>
      </c>
    </row>
    <row r="71" spans="1:17" x14ac:dyDescent="0.25">
      <c r="A71" t="s">
        <v>381</v>
      </c>
      <c r="C71" t="s">
        <v>151</v>
      </c>
      <c r="D71">
        <v>70585</v>
      </c>
      <c r="E71">
        <v>33868.36</v>
      </c>
      <c r="F71">
        <v>0</v>
      </c>
      <c r="G71">
        <v>128290.03</v>
      </c>
      <c r="H71">
        <v>-57705.03</v>
      </c>
      <c r="I71">
        <v>181.75</v>
      </c>
      <c r="J71">
        <v>-36716.639999999999</v>
      </c>
      <c r="K71">
        <v>33868.36</v>
      </c>
      <c r="L71">
        <v>35985.1325</v>
      </c>
      <c r="M71">
        <v>38504.091775000001</v>
      </c>
      <c r="N71">
        <v>41199.378199250001</v>
      </c>
      <c r="O71" t="s">
        <v>3102</v>
      </c>
      <c r="P71" t="s">
        <v>3103</v>
      </c>
      <c r="Q71" t="s">
        <v>3104</v>
      </c>
    </row>
    <row r="72" spans="1:17" x14ac:dyDescent="0.25">
      <c r="A72" t="s">
        <v>382</v>
      </c>
      <c r="C72" t="s">
        <v>152</v>
      </c>
      <c r="D72">
        <v>52200</v>
      </c>
      <c r="E72">
        <v>4345.5</v>
      </c>
      <c r="F72">
        <v>0</v>
      </c>
      <c r="G72">
        <v>26073</v>
      </c>
      <c r="H72">
        <v>26127</v>
      </c>
      <c r="I72">
        <v>49.94</v>
      </c>
      <c r="J72">
        <v>0</v>
      </c>
      <c r="K72">
        <v>52200</v>
      </c>
      <c r="L72">
        <v>55462.5</v>
      </c>
      <c r="M72">
        <v>59344.875</v>
      </c>
      <c r="N72">
        <v>63499.016250000001</v>
      </c>
      <c r="O72" t="s">
        <v>3102</v>
      </c>
      <c r="P72" t="s">
        <v>3103</v>
      </c>
      <c r="Q72" t="s">
        <v>3104</v>
      </c>
    </row>
    <row r="73" spans="1:17" x14ac:dyDescent="0.25">
      <c r="A73" t="s">
        <v>383</v>
      </c>
      <c r="C73" t="s">
        <v>153</v>
      </c>
      <c r="D73">
        <v>10893</v>
      </c>
      <c r="E73">
        <v>907.77</v>
      </c>
      <c r="F73">
        <v>0</v>
      </c>
      <c r="G73">
        <v>5446.62</v>
      </c>
      <c r="H73">
        <v>5446.38</v>
      </c>
      <c r="I73">
        <v>50</v>
      </c>
      <c r="J73">
        <v>0</v>
      </c>
      <c r="K73">
        <v>10893</v>
      </c>
      <c r="L73">
        <v>11573.8125</v>
      </c>
      <c r="M73">
        <v>12383.979375000001</v>
      </c>
      <c r="N73">
        <v>13250.857931250001</v>
      </c>
      <c r="O73" t="s">
        <v>3102</v>
      </c>
      <c r="P73" t="s">
        <v>3103</v>
      </c>
      <c r="Q73" t="s">
        <v>3104</v>
      </c>
    </row>
    <row r="74" spans="1:17" x14ac:dyDescent="0.25">
      <c r="A74" t="s">
        <v>384</v>
      </c>
      <c r="C74" t="s">
        <v>155</v>
      </c>
      <c r="D74">
        <v>50125</v>
      </c>
      <c r="E74">
        <v>0</v>
      </c>
      <c r="F74">
        <v>0</v>
      </c>
      <c r="G74">
        <v>0</v>
      </c>
      <c r="H74">
        <v>50125</v>
      </c>
      <c r="I74">
        <v>0</v>
      </c>
      <c r="J74">
        <v>0</v>
      </c>
      <c r="K74">
        <v>50125</v>
      </c>
      <c r="L74">
        <v>53257.8125</v>
      </c>
      <c r="M74">
        <v>56985.859375</v>
      </c>
      <c r="N74">
        <v>60974.869531249999</v>
      </c>
      <c r="O74" t="s">
        <v>3102</v>
      </c>
      <c r="P74" t="s">
        <v>3103</v>
      </c>
      <c r="Q74" t="s">
        <v>3104</v>
      </c>
    </row>
    <row r="75" spans="1:17" x14ac:dyDescent="0.25">
      <c r="A75" t="s">
        <v>385</v>
      </c>
      <c r="C75" t="s">
        <v>156</v>
      </c>
      <c r="D75">
        <v>330862</v>
      </c>
      <c r="E75">
        <v>28101.08</v>
      </c>
      <c r="F75">
        <v>0</v>
      </c>
      <c r="G75">
        <v>166996.79999999999</v>
      </c>
      <c r="H75">
        <v>163865.20000000001</v>
      </c>
      <c r="I75">
        <v>50.47</v>
      </c>
      <c r="J75">
        <v>0</v>
      </c>
      <c r="K75">
        <v>330862</v>
      </c>
      <c r="L75">
        <v>351540.875</v>
      </c>
      <c r="M75">
        <v>376148.73625000002</v>
      </c>
      <c r="N75">
        <v>402479.1477875</v>
      </c>
      <c r="O75" t="s">
        <v>3102</v>
      </c>
      <c r="P75" t="s">
        <v>3103</v>
      </c>
      <c r="Q75" t="s">
        <v>3104</v>
      </c>
    </row>
    <row r="76" spans="1:17" x14ac:dyDescent="0.25">
      <c r="A76" t="s">
        <v>386</v>
      </c>
      <c r="C76" t="s">
        <v>157</v>
      </c>
      <c r="D76">
        <v>5418</v>
      </c>
      <c r="E76">
        <v>0</v>
      </c>
      <c r="F76">
        <v>0</v>
      </c>
      <c r="G76">
        <v>0</v>
      </c>
      <c r="H76">
        <v>5418</v>
      </c>
      <c r="I76">
        <v>0</v>
      </c>
      <c r="J76">
        <v>0</v>
      </c>
      <c r="K76">
        <v>5418</v>
      </c>
      <c r="L76">
        <v>5756.625</v>
      </c>
      <c r="M76">
        <v>6159.5887499999999</v>
      </c>
      <c r="N76">
        <v>6590.7599625000003</v>
      </c>
      <c r="O76" t="s">
        <v>3102</v>
      </c>
      <c r="P76" t="s">
        <v>3103</v>
      </c>
      <c r="Q76" t="s">
        <v>3104</v>
      </c>
    </row>
    <row r="77" spans="1:17" x14ac:dyDescent="0.25">
      <c r="A77" t="s">
        <v>387</v>
      </c>
      <c r="C77" t="s">
        <v>158</v>
      </c>
      <c r="D77">
        <v>11405</v>
      </c>
      <c r="E77">
        <v>-800</v>
      </c>
      <c r="F77">
        <v>0</v>
      </c>
      <c r="G77">
        <v>26999.64</v>
      </c>
      <c r="H77">
        <v>-15594.64</v>
      </c>
      <c r="I77">
        <v>236.73</v>
      </c>
      <c r="J77">
        <v>30000</v>
      </c>
      <c r="K77">
        <v>41405</v>
      </c>
      <c r="L77">
        <v>43992.8125</v>
      </c>
      <c r="M77">
        <v>47072.309374999997</v>
      </c>
      <c r="N77">
        <v>50367.371031249997</v>
      </c>
      <c r="O77" t="s">
        <v>3102</v>
      </c>
      <c r="P77" t="s">
        <v>3103</v>
      </c>
      <c r="Q77" t="s">
        <v>3104</v>
      </c>
    </row>
    <row r="78" spans="1:17" x14ac:dyDescent="0.25">
      <c r="A78" t="s">
        <v>388</v>
      </c>
      <c r="C78" t="s">
        <v>159</v>
      </c>
      <c r="D78">
        <v>125876</v>
      </c>
      <c r="E78">
        <v>0</v>
      </c>
      <c r="F78">
        <v>0</v>
      </c>
      <c r="G78">
        <v>0</v>
      </c>
      <c r="H78">
        <v>125876</v>
      </c>
      <c r="I78">
        <v>0</v>
      </c>
      <c r="J78">
        <v>0</v>
      </c>
      <c r="K78">
        <v>125876</v>
      </c>
      <c r="L78">
        <v>133743.25</v>
      </c>
      <c r="M78">
        <v>143105.2775</v>
      </c>
      <c r="N78">
        <v>153122.64692500001</v>
      </c>
      <c r="O78" t="s">
        <v>3102</v>
      </c>
      <c r="P78" t="s">
        <v>3103</v>
      </c>
      <c r="Q78" t="s">
        <v>3104</v>
      </c>
    </row>
    <row r="79" spans="1:17" x14ac:dyDescent="0.25">
      <c r="A79" t="s">
        <v>389</v>
      </c>
      <c r="C79" t="s">
        <v>164</v>
      </c>
      <c r="D79">
        <v>15692</v>
      </c>
      <c r="E79">
        <v>1307.7</v>
      </c>
      <c r="F79">
        <v>0</v>
      </c>
      <c r="G79">
        <v>7846.2</v>
      </c>
      <c r="H79">
        <v>7845.8</v>
      </c>
      <c r="I79">
        <v>50</v>
      </c>
      <c r="J79">
        <v>0</v>
      </c>
      <c r="K79">
        <v>15692</v>
      </c>
      <c r="L79">
        <v>16672.75</v>
      </c>
      <c r="M79">
        <v>17839.842499999999</v>
      </c>
      <c r="N79">
        <v>19088.631474999998</v>
      </c>
      <c r="O79" t="s">
        <v>3102</v>
      </c>
      <c r="P79" t="s">
        <v>3103</v>
      </c>
      <c r="Q79" t="s">
        <v>3104</v>
      </c>
    </row>
    <row r="80" spans="1:17" x14ac:dyDescent="0.25">
      <c r="A80" t="s">
        <v>390</v>
      </c>
      <c r="C80" t="s">
        <v>167</v>
      </c>
      <c r="D80">
        <v>449</v>
      </c>
      <c r="E80">
        <v>37.28</v>
      </c>
      <c r="F80">
        <v>0</v>
      </c>
      <c r="G80">
        <v>223.68</v>
      </c>
      <c r="H80">
        <v>225.32</v>
      </c>
      <c r="I80">
        <v>49.81</v>
      </c>
      <c r="J80">
        <v>0</v>
      </c>
      <c r="K80">
        <v>449</v>
      </c>
      <c r="L80">
        <v>477.0625</v>
      </c>
      <c r="M80">
        <v>510.45687499999997</v>
      </c>
      <c r="N80">
        <v>546.18885624999996</v>
      </c>
      <c r="O80" t="s">
        <v>3102</v>
      </c>
      <c r="P80" t="s">
        <v>3103</v>
      </c>
      <c r="Q80" t="s">
        <v>3104</v>
      </c>
    </row>
    <row r="81" spans="1:17" x14ac:dyDescent="0.25">
      <c r="A81" t="s">
        <v>391</v>
      </c>
      <c r="C81" t="s">
        <v>168</v>
      </c>
      <c r="D81">
        <v>215633</v>
      </c>
      <c r="E81">
        <v>9751.2000000000007</v>
      </c>
      <c r="F81">
        <v>0</v>
      </c>
      <c r="G81">
        <v>57466.8</v>
      </c>
      <c r="H81">
        <v>158166.20000000001</v>
      </c>
      <c r="I81">
        <v>26.65</v>
      </c>
      <c r="J81">
        <v>0</v>
      </c>
      <c r="K81">
        <v>215633</v>
      </c>
      <c r="L81">
        <v>229110.0625</v>
      </c>
      <c r="M81">
        <v>245147.766875</v>
      </c>
      <c r="N81">
        <v>262308.11055624997</v>
      </c>
      <c r="O81" t="s">
        <v>3102</v>
      </c>
      <c r="P81" t="s">
        <v>3103</v>
      </c>
      <c r="Q81" t="s">
        <v>3104</v>
      </c>
    </row>
    <row r="82" spans="1:17" x14ac:dyDescent="0.25">
      <c r="A82" t="s">
        <v>392</v>
      </c>
      <c r="C82" t="s">
        <v>169</v>
      </c>
      <c r="D82">
        <v>332313</v>
      </c>
      <c r="E82">
        <v>24387.23</v>
      </c>
      <c r="F82">
        <v>0</v>
      </c>
      <c r="G82">
        <v>144975.98000000001</v>
      </c>
      <c r="H82">
        <v>187337.02</v>
      </c>
      <c r="I82">
        <v>43.62</v>
      </c>
      <c r="J82">
        <v>0</v>
      </c>
      <c r="K82">
        <v>332313</v>
      </c>
      <c r="L82">
        <v>353082.5625</v>
      </c>
      <c r="M82">
        <v>377798.34187499998</v>
      </c>
      <c r="N82">
        <v>404244.22580625</v>
      </c>
      <c r="O82" t="s">
        <v>3102</v>
      </c>
      <c r="P82" t="s">
        <v>3103</v>
      </c>
      <c r="Q82" t="s">
        <v>3104</v>
      </c>
    </row>
    <row r="83" spans="1:17" x14ac:dyDescent="0.25">
      <c r="A83" t="s">
        <v>393</v>
      </c>
      <c r="C83" t="s">
        <v>170</v>
      </c>
      <c r="D83">
        <v>7140</v>
      </c>
      <c r="E83">
        <v>594.88</v>
      </c>
      <c r="F83">
        <v>0</v>
      </c>
      <c r="G83">
        <v>3569.28</v>
      </c>
      <c r="H83">
        <v>3570.72</v>
      </c>
      <c r="I83">
        <v>49.98</v>
      </c>
      <c r="J83">
        <v>0</v>
      </c>
      <c r="K83">
        <v>7140</v>
      </c>
      <c r="L83">
        <v>7586.25</v>
      </c>
      <c r="M83">
        <v>8117.2875000000004</v>
      </c>
      <c r="N83">
        <v>8685.497625</v>
      </c>
      <c r="O83" t="s">
        <v>3102</v>
      </c>
      <c r="P83" t="s">
        <v>3103</v>
      </c>
      <c r="Q83" t="s">
        <v>3104</v>
      </c>
    </row>
    <row r="84" spans="1:17" x14ac:dyDescent="0.25">
      <c r="A84" t="s">
        <v>394</v>
      </c>
      <c r="C84" t="s">
        <v>173</v>
      </c>
      <c r="D84">
        <v>8010</v>
      </c>
      <c r="E84">
        <v>0</v>
      </c>
      <c r="F84">
        <v>0</v>
      </c>
      <c r="G84">
        <v>0</v>
      </c>
      <c r="H84">
        <v>8010</v>
      </c>
      <c r="I84">
        <v>0</v>
      </c>
      <c r="J84">
        <v>0</v>
      </c>
      <c r="K84">
        <v>8010</v>
      </c>
      <c r="L84">
        <v>8510.625</v>
      </c>
      <c r="M84">
        <v>9106.3687499999996</v>
      </c>
      <c r="N84">
        <v>9743.8145624999997</v>
      </c>
      <c r="O84" t="s">
        <v>3102</v>
      </c>
      <c r="P84" t="s">
        <v>3103</v>
      </c>
      <c r="Q84" t="s">
        <v>3111</v>
      </c>
    </row>
    <row r="85" spans="1:17" x14ac:dyDescent="0.25">
      <c r="A85" t="s">
        <v>395</v>
      </c>
      <c r="C85" t="s">
        <v>174</v>
      </c>
      <c r="D85">
        <v>9043</v>
      </c>
      <c r="E85">
        <v>0</v>
      </c>
      <c r="F85">
        <v>0</v>
      </c>
      <c r="G85">
        <v>0</v>
      </c>
      <c r="H85">
        <v>9043</v>
      </c>
      <c r="I85">
        <v>0</v>
      </c>
      <c r="J85">
        <v>0</v>
      </c>
      <c r="K85">
        <v>9043</v>
      </c>
      <c r="L85">
        <v>9608.1875</v>
      </c>
      <c r="M85">
        <v>10280.760625000001</v>
      </c>
      <c r="N85">
        <v>11000.413868750002</v>
      </c>
      <c r="O85" t="s">
        <v>3102</v>
      </c>
      <c r="P85" t="s">
        <v>3103</v>
      </c>
      <c r="Q85" t="s">
        <v>3111</v>
      </c>
    </row>
    <row r="86" spans="1:17" x14ac:dyDescent="0.25">
      <c r="A86" t="s">
        <v>396</v>
      </c>
      <c r="C86" t="s">
        <v>175</v>
      </c>
      <c r="D86">
        <v>14441</v>
      </c>
      <c r="E86">
        <v>0</v>
      </c>
      <c r="F86">
        <v>0</v>
      </c>
      <c r="G86">
        <v>0</v>
      </c>
      <c r="H86">
        <v>14441</v>
      </c>
      <c r="I86">
        <v>0</v>
      </c>
      <c r="J86">
        <v>0</v>
      </c>
      <c r="K86">
        <v>14441</v>
      </c>
      <c r="L86">
        <v>15343.5625</v>
      </c>
      <c r="M86">
        <v>16417.611874999999</v>
      </c>
      <c r="N86">
        <v>17566.844706249998</v>
      </c>
      <c r="O86" t="s">
        <v>3102</v>
      </c>
      <c r="P86" t="s">
        <v>3103</v>
      </c>
      <c r="Q86" t="s">
        <v>3111</v>
      </c>
    </row>
    <row r="87" spans="1:17" x14ac:dyDescent="0.25">
      <c r="A87" t="s">
        <v>397</v>
      </c>
      <c r="C87" t="s">
        <v>211</v>
      </c>
      <c r="D87">
        <v>1000000</v>
      </c>
      <c r="E87">
        <v>406934.52</v>
      </c>
      <c r="F87">
        <v>0</v>
      </c>
      <c r="G87">
        <v>1406934.52</v>
      </c>
      <c r="H87">
        <v>-406934.52</v>
      </c>
      <c r="I87">
        <v>140.69</v>
      </c>
      <c r="J87">
        <v>1000000</v>
      </c>
      <c r="K87">
        <v>2000000</v>
      </c>
      <c r="L87">
        <v>400000</v>
      </c>
      <c r="M87">
        <v>418400</v>
      </c>
      <c r="N87">
        <v>437646.4</v>
      </c>
      <c r="O87" t="s">
        <v>3102</v>
      </c>
      <c r="P87" t="s">
        <v>3105</v>
      </c>
      <c r="Q87" t="s">
        <v>3122</v>
      </c>
    </row>
    <row r="88" spans="1:17" x14ac:dyDescent="0.25">
      <c r="A88" t="s">
        <v>398</v>
      </c>
      <c r="C88" t="s">
        <v>211</v>
      </c>
      <c r="D88">
        <v>117299</v>
      </c>
      <c r="E88">
        <v>0</v>
      </c>
      <c r="F88">
        <v>0</v>
      </c>
      <c r="G88">
        <v>0</v>
      </c>
      <c r="H88">
        <v>117299</v>
      </c>
      <c r="I88">
        <v>0</v>
      </c>
      <c r="J88">
        <v>0</v>
      </c>
      <c r="K88">
        <v>117299</v>
      </c>
      <c r="L88">
        <v>122577.455</v>
      </c>
      <c r="M88">
        <v>128216.01793</v>
      </c>
      <c r="N88">
        <v>134113.95475477999</v>
      </c>
      <c r="O88" t="s">
        <v>3102</v>
      </c>
      <c r="P88" t="s">
        <v>3105</v>
      </c>
      <c r="Q88" t="s">
        <v>3106</v>
      </c>
    </row>
    <row r="89" spans="1:17" x14ac:dyDescent="0.25">
      <c r="A89" t="s">
        <v>399</v>
      </c>
      <c r="B89" t="s">
        <v>1371</v>
      </c>
      <c r="C89" t="s">
        <v>230</v>
      </c>
      <c r="D89">
        <v>400000</v>
      </c>
      <c r="E89">
        <v>0</v>
      </c>
      <c r="F89">
        <v>152176</v>
      </c>
      <c r="G89">
        <v>248182.39999999999</v>
      </c>
      <c r="H89">
        <v>151817.60000000001</v>
      </c>
      <c r="I89">
        <v>62.0456</v>
      </c>
      <c r="J89">
        <v>150000</v>
      </c>
      <c r="K89">
        <v>550000</v>
      </c>
      <c r="L89">
        <v>424000</v>
      </c>
      <c r="M89">
        <v>443504</v>
      </c>
      <c r="N89">
        <v>463905.18400000001</v>
      </c>
      <c r="O89" t="s">
        <v>3102</v>
      </c>
      <c r="P89" t="s">
        <v>3105</v>
      </c>
      <c r="Q89" t="s">
        <v>3123</v>
      </c>
    </row>
    <row r="90" spans="1:17" x14ac:dyDescent="0.25">
      <c r="A90" t="s">
        <v>400</v>
      </c>
      <c r="C90" t="s">
        <v>231</v>
      </c>
      <c r="D90">
        <v>150000</v>
      </c>
      <c r="E90">
        <v>0</v>
      </c>
      <c r="F90">
        <v>0</v>
      </c>
      <c r="G90">
        <v>0</v>
      </c>
      <c r="H90">
        <v>150000</v>
      </c>
      <c r="I90">
        <v>0</v>
      </c>
      <c r="J90">
        <v>-100000</v>
      </c>
      <c r="K90">
        <v>50000</v>
      </c>
      <c r="L90">
        <v>52250</v>
      </c>
      <c r="M90">
        <v>54653.5</v>
      </c>
      <c r="N90">
        <v>57167.561000000002</v>
      </c>
      <c r="O90" t="s">
        <v>3102</v>
      </c>
      <c r="P90" t="s">
        <v>3105</v>
      </c>
      <c r="Q90" t="s">
        <v>3124</v>
      </c>
    </row>
    <row r="91" spans="1:17" x14ac:dyDescent="0.25">
      <c r="A91" t="s">
        <v>401</v>
      </c>
      <c r="C91" t="s">
        <v>232</v>
      </c>
      <c r="D91">
        <v>700000</v>
      </c>
      <c r="E91">
        <v>0</v>
      </c>
      <c r="F91">
        <v>0</v>
      </c>
      <c r="G91">
        <v>0</v>
      </c>
      <c r="H91">
        <v>700000</v>
      </c>
      <c r="I91">
        <v>0</v>
      </c>
      <c r="J91">
        <v>-700000</v>
      </c>
      <c r="K91">
        <v>0</v>
      </c>
      <c r="L91">
        <v>0</v>
      </c>
      <c r="M91">
        <v>0</v>
      </c>
      <c r="N91">
        <v>0</v>
      </c>
      <c r="O91" t="s">
        <v>3102</v>
      </c>
      <c r="P91" t="s">
        <v>3105</v>
      </c>
      <c r="Q91" t="s">
        <v>3106</v>
      </c>
    </row>
    <row r="92" spans="1:17" x14ac:dyDescent="0.25">
      <c r="A92" t="s">
        <v>3074</v>
      </c>
      <c r="C92" t="s">
        <v>3039</v>
      </c>
      <c r="L92">
        <v>213511.26500000001</v>
      </c>
      <c r="M92">
        <v>223332.78319000002</v>
      </c>
      <c r="N92">
        <v>233606.09121674002</v>
      </c>
      <c r="O92" t="s">
        <v>3102</v>
      </c>
      <c r="P92" t="s">
        <v>3110</v>
      </c>
      <c r="Q92" t="s">
        <v>3125</v>
      </c>
    </row>
    <row r="93" spans="1:17" x14ac:dyDescent="0.25">
      <c r="A93" t="s">
        <v>402</v>
      </c>
      <c r="C93" t="s">
        <v>242</v>
      </c>
      <c r="D93">
        <v>63600</v>
      </c>
      <c r="E93">
        <v>0</v>
      </c>
      <c r="F93">
        <v>0</v>
      </c>
      <c r="G93">
        <v>0</v>
      </c>
      <c r="H93">
        <v>63600</v>
      </c>
      <c r="I93">
        <v>0</v>
      </c>
      <c r="J93">
        <v>0</v>
      </c>
      <c r="K93">
        <v>63600</v>
      </c>
      <c r="L93">
        <v>66462</v>
      </c>
      <c r="M93">
        <v>69519.251999999993</v>
      </c>
      <c r="N93">
        <v>72717.137591999999</v>
      </c>
      <c r="O93" t="s">
        <v>3102</v>
      </c>
      <c r="P93" t="s">
        <v>3110</v>
      </c>
      <c r="Q93" t="s">
        <v>3126</v>
      </c>
    </row>
    <row r="94" spans="1:17" x14ac:dyDescent="0.25">
      <c r="A94" t="s">
        <v>403</v>
      </c>
      <c r="C94" t="s">
        <v>243</v>
      </c>
      <c r="D94">
        <v>100000</v>
      </c>
      <c r="E94">
        <v>0</v>
      </c>
      <c r="F94">
        <v>23350.09</v>
      </c>
      <c r="G94">
        <v>89474.35</v>
      </c>
      <c r="H94">
        <v>10525.649999999994</v>
      </c>
      <c r="I94">
        <v>89.474350000000001</v>
      </c>
      <c r="J94">
        <v>30000</v>
      </c>
      <c r="K94">
        <v>130000</v>
      </c>
      <c r="L94">
        <v>135850</v>
      </c>
      <c r="M94">
        <v>142099.1</v>
      </c>
      <c r="N94">
        <v>148635.6586</v>
      </c>
      <c r="O94" t="s">
        <v>3102</v>
      </c>
      <c r="P94" t="s">
        <v>3110</v>
      </c>
      <c r="Q94" t="s">
        <v>3111</v>
      </c>
    </row>
    <row r="95" spans="1:17" x14ac:dyDescent="0.25">
      <c r="A95" t="s">
        <v>404</v>
      </c>
      <c r="C95" t="s">
        <v>247</v>
      </c>
      <c r="D95">
        <v>500000</v>
      </c>
      <c r="E95">
        <v>0</v>
      </c>
      <c r="F95">
        <v>0</v>
      </c>
      <c r="G95">
        <v>405182.32</v>
      </c>
      <c r="H95">
        <v>94817.68</v>
      </c>
      <c r="I95">
        <v>81.036463999999995</v>
      </c>
      <c r="J95">
        <v>0</v>
      </c>
      <c r="K95">
        <v>500000</v>
      </c>
      <c r="L95">
        <v>522500</v>
      </c>
      <c r="M95">
        <v>546535</v>
      </c>
      <c r="N95">
        <v>571675.61</v>
      </c>
      <c r="O95" t="s">
        <v>3102</v>
      </c>
      <c r="P95" t="s">
        <v>3110</v>
      </c>
      <c r="Q95" t="s">
        <v>3106</v>
      </c>
    </row>
    <row r="96" spans="1:17" x14ac:dyDescent="0.25">
      <c r="A96" t="s">
        <v>405</v>
      </c>
      <c r="C96" t="s">
        <v>247</v>
      </c>
      <c r="D96">
        <v>53287</v>
      </c>
      <c r="E96">
        <v>0</v>
      </c>
      <c r="F96">
        <v>0</v>
      </c>
      <c r="G96">
        <v>0</v>
      </c>
      <c r="H96">
        <v>53287</v>
      </c>
      <c r="I96">
        <v>0</v>
      </c>
      <c r="J96">
        <v>0</v>
      </c>
      <c r="K96">
        <v>53287</v>
      </c>
      <c r="L96">
        <v>55684.915000000001</v>
      </c>
      <c r="M96">
        <v>58246.421090000003</v>
      </c>
      <c r="N96">
        <v>60925.756460140001</v>
      </c>
      <c r="O96" t="s">
        <v>3102</v>
      </c>
      <c r="P96" t="s">
        <v>3110</v>
      </c>
      <c r="Q96" t="s">
        <v>3127</v>
      </c>
    </row>
    <row r="97" spans="1:17" x14ac:dyDescent="0.25">
      <c r="A97" t="s">
        <v>406</v>
      </c>
      <c r="C97" t="s">
        <v>261</v>
      </c>
      <c r="D97">
        <v>1049400</v>
      </c>
      <c r="E97">
        <v>0</v>
      </c>
      <c r="F97">
        <v>0</v>
      </c>
      <c r="G97">
        <v>914865</v>
      </c>
      <c r="H97">
        <v>134535</v>
      </c>
      <c r="I97">
        <v>87.179817038307604</v>
      </c>
      <c r="J97">
        <v>0</v>
      </c>
      <c r="K97">
        <v>1049400</v>
      </c>
      <c r="L97">
        <v>1096623</v>
      </c>
      <c r="M97">
        <v>1147067.6580000001</v>
      </c>
      <c r="N97">
        <v>1199832.770268</v>
      </c>
      <c r="O97" t="s">
        <v>3102</v>
      </c>
      <c r="P97" t="s">
        <v>3110</v>
      </c>
      <c r="Q97" t="s">
        <v>3104</v>
      </c>
    </row>
    <row r="98" spans="1:17" x14ac:dyDescent="0.25">
      <c r="A98" t="s">
        <v>407</v>
      </c>
      <c r="C98" t="s">
        <v>261</v>
      </c>
      <c r="D98">
        <v>7553</v>
      </c>
      <c r="E98">
        <v>0</v>
      </c>
      <c r="F98">
        <v>0</v>
      </c>
      <c r="G98">
        <v>5868.7</v>
      </c>
      <c r="H98">
        <v>1684.3000000000002</v>
      </c>
      <c r="I98">
        <v>77.700251555673233</v>
      </c>
      <c r="J98">
        <v>0</v>
      </c>
      <c r="K98">
        <v>7553</v>
      </c>
      <c r="L98">
        <v>7892.8850000000002</v>
      </c>
      <c r="M98">
        <v>8255.9577100000006</v>
      </c>
      <c r="N98">
        <v>8635.7317646600004</v>
      </c>
      <c r="O98" t="s">
        <v>3102</v>
      </c>
      <c r="P98" t="s">
        <v>3110</v>
      </c>
      <c r="Q98" t="s">
        <v>3106</v>
      </c>
    </row>
    <row r="99" spans="1:17" x14ac:dyDescent="0.25">
      <c r="A99" t="s">
        <v>408</v>
      </c>
      <c r="B99" t="s">
        <v>1372</v>
      </c>
      <c r="C99" t="s">
        <v>263</v>
      </c>
      <c r="D99">
        <v>689000</v>
      </c>
      <c r="E99">
        <v>0</v>
      </c>
      <c r="F99">
        <v>15033.18</v>
      </c>
      <c r="G99">
        <v>337514.89</v>
      </c>
      <c r="H99">
        <v>351485.11</v>
      </c>
      <c r="I99">
        <v>48.986195936139332</v>
      </c>
      <c r="J99">
        <v>50000</v>
      </c>
      <c r="K99">
        <v>739000</v>
      </c>
      <c r="L99">
        <v>772255</v>
      </c>
      <c r="M99">
        <v>807778.73</v>
      </c>
      <c r="N99">
        <v>844936.55157999997</v>
      </c>
      <c r="O99" t="s">
        <v>3102</v>
      </c>
      <c r="P99" t="s">
        <v>3110</v>
      </c>
      <c r="Q99" t="s">
        <v>3128</v>
      </c>
    </row>
    <row r="100" spans="1:17" x14ac:dyDescent="0.25">
      <c r="A100" t="s">
        <v>409</v>
      </c>
      <c r="C100" t="s">
        <v>265</v>
      </c>
      <c r="D100">
        <v>164046</v>
      </c>
      <c r="E100">
        <v>1910.89</v>
      </c>
      <c r="F100">
        <v>0</v>
      </c>
      <c r="G100">
        <v>11043.15</v>
      </c>
      <c r="H100">
        <v>153002.85</v>
      </c>
      <c r="I100">
        <v>6.731739877839142</v>
      </c>
      <c r="J100">
        <v>-100000</v>
      </c>
      <c r="K100">
        <v>64046</v>
      </c>
      <c r="L100">
        <v>66928.070000000007</v>
      </c>
      <c r="M100">
        <v>70006.76122</v>
      </c>
      <c r="N100">
        <v>73227.072236120002</v>
      </c>
      <c r="O100" t="s">
        <v>3102</v>
      </c>
      <c r="P100" t="s">
        <v>3110</v>
      </c>
      <c r="Q100" t="s">
        <v>3104</v>
      </c>
    </row>
    <row r="101" spans="1:17" x14ac:dyDescent="0.25">
      <c r="A101" t="s">
        <v>410</v>
      </c>
      <c r="C101" t="s">
        <v>268</v>
      </c>
      <c r="D101">
        <v>0</v>
      </c>
      <c r="E101">
        <v>6776.37</v>
      </c>
      <c r="F101">
        <v>0</v>
      </c>
      <c r="G101">
        <v>46729.41</v>
      </c>
      <c r="H101">
        <v>-46729.41</v>
      </c>
      <c r="I101">
        <v>0</v>
      </c>
      <c r="J101">
        <v>100000</v>
      </c>
      <c r="K101">
        <v>100000</v>
      </c>
      <c r="L101">
        <v>104500</v>
      </c>
      <c r="M101">
        <v>109307</v>
      </c>
      <c r="N101">
        <v>114335.122</v>
      </c>
      <c r="O101" t="s">
        <v>3102</v>
      </c>
      <c r="P101" t="s">
        <v>3110</v>
      </c>
      <c r="Q101" t="s">
        <v>3104</v>
      </c>
    </row>
    <row r="102" spans="1:17" x14ac:dyDescent="0.25">
      <c r="A102" t="s">
        <v>411</v>
      </c>
      <c r="C102" t="s">
        <v>268</v>
      </c>
      <c r="D102">
        <v>105300</v>
      </c>
      <c r="E102">
        <v>716.53</v>
      </c>
      <c r="F102">
        <v>0</v>
      </c>
      <c r="G102">
        <v>23427.25</v>
      </c>
      <c r="H102">
        <v>81872.75</v>
      </c>
      <c r="I102">
        <v>22.248100664767332</v>
      </c>
      <c r="J102">
        <v>-30000</v>
      </c>
      <c r="K102">
        <v>75300</v>
      </c>
      <c r="L102">
        <v>78688.5</v>
      </c>
      <c r="M102">
        <v>82308.171000000002</v>
      </c>
      <c r="N102">
        <v>86094.346866000007</v>
      </c>
      <c r="O102" t="s">
        <v>3102</v>
      </c>
      <c r="P102" t="s">
        <v>3110</v>
      </c>
      <c r="Q102" t="s">
        <v>3106</v>
      </c>
    </row>
    <row r="103" spans="1:17" x14ac:dyDescent="0.25">
      <c r="A103" t="s">
        <v>412</v>
      </c>
      <c r="C103" t="s">
        <v>269</v>
      </c>
      <c r="D103">
        <v>80000</v>
      </c>
      <c r="E103">
        <v>6500</v>
      </c>
      <c r="F103">
        <v>0</v>
      </c>
      <c r="G103">
        <v>39650</v>
      </c>
      <c r="H103">
        <v>40350</v>
      </c>
      <c r="I103">
        <v>49.5625</v>
      </c>
      <c r="J103">
        <v>0</v>
      </c>
      <c r="K103">
        <v>80000</v>
      </c>
      <c r="L103">
        <v>83600</v>
      </c>
      <c r="M103">
        <v>87445.6</v>
      </c>
      <c r="N103">
        <v>91468.097600000008</v>
      </c>
      <c r="O103" t="s">
        <v>3102</v>
      </c>
      <c r="P103" t="s">
        <v>3110</v>
      </c>
      <c r="Q103" t="s">
        <v>3104</v>
      </c>
    </row>
    <row r="104" spans="1:17" x14ac:dyDescent="0.25">
      <c r="A104" t="s">
        <v>413</v>
      </c>
      <c r="C104" t="s">
        <v>269</v>
      </c>
      <c r="D104">
        <v>60000</v>
      </c>
      <c r="E104">
        <v>0</v>
      </c>
      <c r="F104">
        <v>6800</v>
      </c>
      <c r="G104">
        <v>40770.68</v>
      </c>
      <c r="H104">
        <v>19229.32</v>
      </c>
      <c r="I104">
        <v>67.951133333333331</v>
      </c>
      <c r="J104">
        <v>0</v>
      </c>
      <c r="K104">
        <v>60000</v>
      </c>
      <c r="L104">
        <v>62700</v>
      </c>
      <c r="M104">
        <v>65584.2</v>
      </c>
      <c r="N104">
        <v>68601.073199999999</v>
      </c>
      <c r="O104" t="s">
        <v>3102</v>
      </c>
      <c r="P104" t="s">
        <v>3110</v>
      </c>
      <c r="Q104" t="s">
        <v>3106</v>
      </c>
    </row>
    <row r="105" spans="1:17" x14ac:dyDescent="0.25">
      <c r="A105" t="s">
        <v>414</v>
      </c>
      <c r="C105" t="s">
        <v>292</v>
      </c>
      <c r="D105">
        <v>3371</v>
      </c>
      <c r="E105">
        <v>1549.14</v>
      </c>
      <c r="F105">
        <v>0</v>
      </c>
      <c r="G105">
        <v>4306.75</v>
      </c>
      <c r="H105">
        <v>-935.75</v>
      </c>
      <c r="I105">
        <v>127.75</v>
      </c>
      <c r="J105">
        <v>0</v>
      </c>
      <c r="K105">
        <v>3371</v>
      </c>
      <c r="L105">
        <v>3522.6950000000002</v>
      </c>
      <c r="M105">
        <v>3684.7389700000003</v>
      </c>
      <c r="N105">
        <v>3854.2369626200002</v>
      </c>
      <c r="O105" t="s">
        <v>3102</v>
      </c>
      <c r="P105" t="s">
        <v>3117</v>
      </c>
      <c r="Q105" t="s">
        <v>3111</v>
      </c>
    </row>
    <row r="106" spans="1:17" x14ac:dyDescent="0.25">
      <c r="A106" t="s">
        <v>415</v>
      </c>
      <c r="C106" t="s">
        <v>293</v>
      </c>
      <c r="D106">
        <v>11148</v>
      </c>
      <c r="E106">
        <v>2594.58</v>
      </c>
      <c r="F106">
        <v>0</v>
      </c>
      <c r="G106">
        <v>5509.33</v>
      </c>
      <c r="H106">
        <v>5638.67</v>
      </c>
      <c r="I106">
        <v>49.41</v>
      </c>
      <c r="J106">
        <v>0</v>
      </c>
      <c r="K106">
        <v>11148</v>
      </c>
      <c r="L106">
        <v>11649.66</v>
      </c>
      <c r="M106">
        <v>12185.54436</v>
      </c>
      <c r="N106">
        <v>12746.07940056</v>
      </c>
      <c r="O106" t="s">
        <v>3102</v>
      </c>
      <c r="P106" t="s">
        <v>3117</v>
      </c>
      <c r="Q106" t="s">
        <v>3111</v>
      </c>
    </row>
    <row r="107" spans="1:17" x14ac:dyDescent="0.25">
      <c r="A107" t="s">
        <v>416</v>
      </c>
      <c r="C107" t="s">
        <v>417</v>
      </c>
      <c r="D107">
        <v>50000</v>
      </c>
      <c r="E107">
        <v>0</v>
      </c>
      <c r="F107">
        <v>0</v>
      </c>
      <c r="G107">
        <v>28720</v>
      </c>
      <c r="H107">
        <v>21280</v>
      </c>
      <c r="I107">
        <v>57.44</v>
      </c>
      <c r="J107">
        <v>-21280</v>
      </c>
      <c r="K107">
        <v>28720</v>
      </c>
      <c r="L107">
        <v>53000</v>
      </c>
      <c r="M107">
        <v>53000</v>
      </c>
      <c r="N107">
        <v>0</v>
      </c>
      <c r="O107" t="s">
        <v>3118</v>
      </c>
      <c r="Q107" t="s">
        <v>3129</v>
      </c>
    </row>
    <row r="108" spans="1:17" x14ac:dyDescent="0.25">
      <c r="A108" t="s">
        <v>419</v>
      </c>
      <c r="C108" t="s">
        <v>150</v>
      </c>
      <c r="D108">
        <v>921699</v>
      </c>
      <c r="E108">
        <v>85296.76</v>
      </c>
      <c r="F108">
        <v>0</v>
      </c>
      <c r="G108">
        <v>503290.41</v>
      </c>
      <c r="H108">
        <v>418408.59</v>
      </c>
      <c r="I108">
        <v>54.6</v>
      </c>
      <c r="J108">
        <v>0</v>
      </c>
      <c r="K108">
        <v>921699</v>
      </c>
      <c r="L108">
        <v>979305.1875</v>
      </c>
      <c r="M108">
        <v>1047856.550625</v>
      </c>
      <c r="N108">
        <v>1121206.5091687501</v>
      </c>
      <c r="O108" t="s">
        <v>3102</v>
      </c>
      <c r="P108" t="s">
        <v>3103</v>
      </c>
      <c r="Q108" t="s">
        <v>3104</v>
      </c>
    </row>
    <row r="109" spans="1:17" x14ac:dyDescent="0.25">
      <c r="A109" t="s">
        <v>420</v>
      </c>
      <c r="C109" t="s">
        <v>151</v>
      </c>
      <c r="D109">
        <v>41388</v>
      </c>
      <c r="E109">
        <v>21167.72</v>
      </c>
      <c r="F109">
        <v>0</v>
      </c>
      <c r="G109">
        <v>103575.6</v>
      </c>
      <c r="H109">
        <v>-62187.6</v>
      </c>
      <c r="I109">
        <v>250.25</v>
      </c>
      <c r="J109">
        <v>-20220.28</v>
      </c>
      <c r="K109">
        <v>21167.72</v>
      </c>
      <c r="L109">
        <v>22490.702499999999</v>
      </c>
      <c r="M109">
        <v>24065.051674999999</v>
      </c>
      <c r="N109">
        <v>25749.605292249998</v>
      </c>
      <c r="O109" t="s">
        <v>3102</v>
      </c>
      <c r="P109" t="s">
        <v>3103</v>
      </c>
      <c r="Q109" t="s">
        <v>3104</v>
      </c>
    </row>
    <row r="110" spans="1:17" x14ac:dyDescent="0.25">
      <c r="A110" t="s">
        <v>421</v>
      </c>
      <c r="C110" t="s">
        <v>152</v>
      </c>
      <c r="D110">
        <v>38100</v>
      </c>
      <c r="E110">
        <v>3172.75</v>
      </c>
      <c r="F110">
        <v>0</v>
      </c>
      <c r="G110">
        <v>19036.5</v>
      </c>
      <c r="H110">
        <v>19063.5</v>
      </c>
      <c r="I110">
        <v>49.96</v>
      </c>
      <c r="J110">
        <v>0</v>
      </c>
      <c r="K110">
        <v>38100</v>
      </c>
      <c r="L110">
        <v>40481.25</v>
      </c>
      <c r="M110">
        <v>43314.9375</v>
      </c>
      <c r="N110">
        <v>46346.983124999999</v>
      </c>
      <c r="O110" t="s">
        <v>3102</v>
      </c>
      <c r="P110" t="s">
        <v>3103</v>
      </c>
      <c r="Q110" t="s">
        <v>3104</v>
      </c>
    </row>
    <row r="111" spans="1:17" x14ac:dyDescent="0.25">
      <c r="A111" t="s">
        <v>422</v>
      </c>
      <c r="C111" t="s">
        <v>153</v>
      </c>
      <c r="D111">
        <v>10893</v>
      </c>
      <c r="E111">
        <v>907.77</v>
      </c>
      <c r="F111">
        <v>0</v>
      </c>
      <c r="G111">
        <v>5446.62</v>
      </c>
      <c r="H111">
        <v>5446.38</v>
      </c>
      <c r="I111">
        <v>50</v>
      </c>
      <c r="J111">
        <v>0</v>
      </c>
      <c r="K111">
        <v>10893</v>
      </c>
      <c r="L111">
        <v>11573.8125</v>
      </c>
      <c r="M111">
        <v>12383.979375000001</v>
      </c>
      <c r="N111">
        <v>13250.857931250001</v>
      </c>
      <c r="O111" t="s">
        <v>3102</v>
      </c>
      <c r="P111" t="s">
        <v>3103</v>
      </c>
      <c r="Q111" t="s">
        <v>3104</v>
      </c>
    </row>
    <row r="112" spans="1:17" x14ac:dyDescent="0.25">
      <c r="A112" t="s">
        <v>423</v>
      </c>
      <c r="C112" t="s">
        <v>155</v>
      </c>
      <c r="D112">
        <v>29391</v>
      </c>
      <c r="E112">
        <v>0</v>
      </c>
      <c r="F112">
        <v>0</v>
      </c>
      <c r="G112">
        <v>0</v>
      </c>
      <c r="H112">
        <v>29391</v>
      </c>
      <c r="I112">
        <v>0</v>
      </c>
      <c r="J112">
        <v>0</v>
      </c>
      <c r="K112">
        <v>29391</v>
      </c>
      <c r="L112">
        <v>31227.9375</v>
      </c>
      <c r="M112">
        <v>33413.893125000002</v>
      </c>
      <c r="N112">
        <v>35752.865643750003</v>
      </c>
      <c r="O112" t="s">
        <v>3102</v>
      </c>
      <c r="P112" t="s">
        <v>3103</v>
      </c>
      <c r="Q112" t="s">
        <v>3104</v>
      </c>
    </row>
    <row r="113" spans="1:17" x14ac:dyDescent="0.25">
      <c r="A113" t="s">
        <v>424</v>
      </c>
      <c r="C113" t="s">
        <v>156</v>
      </c>
      <c r="D113">
        <v>153077</v>
      </c>
      <c r="E113">
        <v>13001.46</v>
      </c>
      <c r="F113">
        <v>0</v>
      </c>
      <c r="G113">
        <v>77094.720000000001</v>
      </c>
      <c r="H113">
        <v>75982.28</v>
      </c>
      <c r="I113">
        <v>50.36</v>
      </c>
      <c r="J113">
        <v>0</v>
      </c>
      <c r="K113">
        <v>153077</v>
      </c>
      <c r="L113">
        <v>162644.3125</v>
      </c>
      <c r="M113">
        <v>174029.41437499999</v>
      </c>
      <c r="N113">
        <v>186211.47338124999</v>
      </c>
      <c r="O113" t="s">
        <v>3102</v>
      </c>
      <c r="P113" t="s">
        <v>3103</v>
      </c>
      <c r="Q113" t="s">
        <v>3104</v>
      </c>
    </row>
    <row r="114" spans="1:17" x14ac:dyDescent="0.25">
      <c r="A114" t="s">
        <v>425</v>
      </c>
      <c r="C114" t="s">
        <v>158</v>
      </c>
      <c r="D114">
        <v>12246</v>
      </c>
      <c r="E114">
        <v>0</v>
      </c>
      <c r="F114">
        <v>0</v>
      </c>
      <c r="G114">
        <v>0</v>
      </c>
      <c r="H114">
        <v>12246</v>
      </c>
      <c r="I114">
        <v>0</v>
      </c>
      <c r="J114">
        <v>-12246</v>
      </c>
      <c r="K114">
        <v>0</v>
      </c>
      <c r="L114">
        <v>0</v>
      </c>
      <c r="M114">
        <v>0</v>
      </c>
      <c r="N114">
        <v>0</v>
      </c>
      <c r="O114" t="s">
        <v>3102</v>
      </c>
      <c r="P114" t="s">
        <v>3103</v>
      </c>
      <c r="Q114" t="s">
        <v>3104</v>
      </c>
    </row>
    <row r="115" spans="1:17" x14ac:dyDescent="0.25">
      <c r="A115" t="s">
        <v>426</v>
      </c>
      <c r="C115" t="s">
        <v>159</v>
      </c>
      <c r="D115">
        <v>73808</v>
      </c>
      <c r="E115">
        <v>0</v>
      </c>
      <c r="F115">
        <v>0</v>
      </c>
      <c r="G115">
        <v>0</v>
      </c>
      <c r="H115">
        <v>73808</v>
      </c>
      <c r="I115">
        <v>0</v>
      </c>
      <c r="J115">
        <v>17447</v>
      </c>
      <c r="K115">
        <v>91255</v>
      </c>
      <c r="L115">
        <v>96958.4375</v>
      </c>
      <c r="M115">
        <v>103745.528125</v>
      </c>
      <c r="N115">
        <v>111007.71509375</v>
      </c>
      <c r="O115" t="s">
        <v>3102</v>
      </c>
      <c r="P115" t="s">
        <v>3103</v>
      </c>
      <c r="Q115" t="s">
        <v>3104</v>
      </c>
    </row>
    <row r="116" spans="1:17" x14ac:dyDescent="0.25">
      <c r="A116" t="s">
        <v>427</v>
      </c>
      <c r="C116" t="s">
        <v>164</v>
      </c>
      <c r="D116">
        <v>15692</v>
      </c>
      <c r="E116">
        <v>1307.7</v>
      </c>
      <c r="F116">
        <v>0</v>
      </c>
      <c r="G116">
        <v>7846.2</v>
      </c>
      <c r="H116">
        <v>7845.8</v>
      </c>
      <c r="I116">
        <v>50</v>
      </c>
      <c r="J116">
        <v>0</v>
      </c>
      <c r="K116">
        <v>15692</v>
      </c>
      <c r="L116">
        <v>16672.75</v>
      </c>
      <c r="M116">
        <v>17839.842499999999</v>
      </c>
      <c r="N116">
        <v>19088.631474999998</v>
      </c>
      <c r="O116" t="s">
        <v>3102</v>
      </c>
      <c r="P116" t="s">
        <v>3103</v>
      </c>
      <c r="Q116" t="s">
        <v>3104</v>
      </c>
    </row>
    <row r="117" spans="1:17" x14ac:dyDescent="0.25">
      <c r="A117" t="s">
        <v>428</v>
      </c>
      <c r="C117" t="s">
        <v>167</v>
      </c>
      <c r="D117">
        <v>225</v>
      </c>
      <c r="E117">
        <v>23.3</v>
      </c>
      <c r="F117">
        <v>0</v>
      </c>
      <c r="G117">
        <v>139.80000000000001</v>
      </c>
      <c r="H117">
        <v>85.2</v>
      </c>
      <c r="I117">
        <v>62.13</v>
      </c>
      <c r="J117">
        <v>0</v>
      </c>
      <c r="K117">
        <v>225</v>
      </c>
      <c r="L117">
        <v>239.0625</v>
      </c>
      <c r="M117">
        <v>255.796875</v>
      </c>
      <c r="N117">
        <v>273.70265625000002</v>
      </c>
      <c r="O117" t="s">
        <v>3102</v>
      </c>
      <c r="P117" t="s">
        <v>3103</v>
      </c>
      <c r="Q117" t="s">
        <v>3104</v>
      </c>
    </row>
    <row r="118" spans="1:17" x14ac:dyDescent="0.25">
      <c r="A118" t="s">
        <v>429</v>
      </c>
      <c r="C118" t="s">
        <v>168</v>
      </c>
      <c r="D118">
        <v>107816</v>
      </c>
      <c r="E118">
        <v>8948.4</v>
      </c>
      <c r="F118">
        <v>0</v>
      </c>
      <c r="G118">
        <v>53690.400000000001</v>
      </c>
      <c r="H118">
        <v>54125.599999999999</v>
      </c>
      <c r="I118">
        <v>49.79</v>
      </c>
      <c r="J118">
        <v>0</v>
      </c>
      <c r="K118">
        <v>107816</v>
      </c>
      <c r="L118">
        <v>114554.5</v>
      </c>
      <c r="M118">
        <v>122573.315</v>
      </c>
      <c r="N118">
        <v>131153.44705000002</v>
      </c>
      <c r="O118" t="s">
        <v>3102</v>
      </c>
      <c r="P118" t="s">
        <v>3103</v>
      </c>
      <c r="Q118" t="s">
        <v>3104</v>
      </c>
    </row>
    <row r="119" spans="1:17" x14ac:dyDescent="0.25">
      <c r="A119" t="s">
        <v>430</v>
      </c>
      <c r="C119" t="s">
        <v>169</v>
      </c>
      <c r="D119">
        <v>194854</v>
      </c>
      <c r="E119">
        <v>16282.23</v>
      </c>
      <c r="F119">
        <v>0</v>
      </c>
      <c r="G119">
        <v>96143.39</v>
      </c>
      <c r="H119">
        <v>98710.61</v>
      </c>
      <c r="I119">
        <v>49.34</v>
      </c>
      <c r="J119">
        <v>0</v>
      </c>
      <c r="K119">
        <v>194854</v>
      </c>
      <c r="L119">
        <v>207032.375</v>
      </c>
      <c r="M119">
        <v>221524.64124999999</v>
      </c>
      <c r="N119">
        <v>237031.36613749998</v>
      </c>
      <c r="O119" t="s">
        <v>3102</v>
      </c>
      <c r="P119" t="s">
        <v>3103</v>
      </c>
      <c r="Q119" t="s">
        <v>3104</v>
      </c>
    </row>
    <row r="120" spans="1:17" x14ac:dyDescent="0.25">
      <c r="A120" t="s">
        <v>431</v>
      </c>
      <c r="C120" t="s">
        <v>170</v>
      </c>
      <c r="D120">
        <v>3570</v>
      </c>
      <c r="E120">
        <v>371.8</v>
      </c>
      <c r="F120">
        <v>0</v>
      </c>
      <c r="G120">
        <v>2230.8000000000002</v>
      </c>
      <c r="H120">
        <v>1339.2</v>
      </c>
      <c r="I120">
        <v>62.48</v>
      </c>
      <c r="J120">
        <v>0</v>
      </c>
      <c r="K120">
        <v>3570</v>
      </c>
      <c r="L120">
        <v>3793.125</v>
      </c>
      <c r="M120">
        <v>4058.6437500000002</v>
      </c>
      <c r="N120">
        <v>4342.7488125</v>
      </c>
      <c r="O120" t="s">
        <v>3102</v>
      </c>
      <c r="P120" t="s">
        <v>3103</v>
      </c>
      <c r="Q120" t="s">
        <v>3104</v>
      </c>
    </row>
    <row r="121" spans="1:17" x14ac:dyDescent="0.25">
      <c r="A121" t="s">
        <v>432</v>
      </c>
      <c r="C121" t="s">
        <v>173</v>
      </c>
      <c r="D121">
        <v>3453</v>
      </c>
      <c r="E121">
        <v>0</v>
      </c>
      <c r="F121">
        <v>0</v>
      </c>
      <c r="G121">
        <v>0</v>
      </c>
      <c r="H121">
        <v>3453</v>
      </c>
      <c r="I121">
        <v>0</v>
      </c>
      <c r="J121">
        <v>0</v>
      </c>
      <c r="K121">
        <v>3453</v>
      </c>
      <c r="L121">
        <v>3668.8125</v>
      </c>
      <c r="M121">
        <v>3925.629375</v>
      </c>
      <c r="N121">
        <v>4200.4234312500002</v>
      </c>
      <c r="O121" t="s">
        <v>3102</v>
      </c>
      <c r="P121" t="s">
        <v>3103</v>
      </c>
      <c r="Q121" t="s">
        <v>3111</v>
      </c>
    </row>
    <row r="122" spans="1:17" x14ac:dyDescent="0.25">
      <c r="A122" t="s">
        <v>433</v>
      </c>
      <c r="C122" t="s">
        <v>174</v>
      </c>
      <c r="D122">
        <v>1415</v>
      </c>
      <c r="E122">
        <v>0</v>
      </c>
      <c r="F122">
        <v>0</v>
      </c>
      <c r="G122">
        <v>0</v>
      </c>
      <c r="H122">
        <v>1415</v>
      </c>
      <c r="I122">
        <v>0</v>
      </c>
      <c r="J122">
        <v>0</v>
      </c>
      <c r="K122">
        <v>1415</v>
      </c>
      <c r="L122">
        <v>1503.4375</v>
      </c>
      <c r="M122">
        <v>1608.6781249999999</v>
      </c>
      <c r="N122">
        <v>1721.2855937499999</v>
      </c>
      <c r="O122" t="s">
        <v>3102</v>
      </c>
      <c r="P122" t="s">
        <v>3103</v>
      </c>
      <c r="Q122" t="s">
        <v>3111</v>
      </c>
    </row>
    <row r="123" spans="1:17" x14ac:dyDescent="0.25">
      <c r="A123" t="s">
        <v>434</v>
      </c>
      <c r="C123" t="s">
        <v>175</v>
      </c>
      <c r="D123">
        <v>9596</v>
      </c>
      <c r="E123">
        <v>0</v>
      </c>
      <c r="F123">
        <v>0</v>
      </c>
      <c r="G123">
        <v>0</v>
      </c>
      <c r="H123">
        <v>9596</v>
      </c>
      <c r="I123">
        <v>0</v>
      </c>
      <c r="J123">
        <v>0</v>
      </c>
      <c r="K123">
        <v>9596</v>
      </c>
      <c r="L123">
        <v>10195.75</v>
      </c>
      <c r="M123">
        <v>10909.452499999999</v>
      </c>
      <c r="N123">
        <v>11673.114174999999</v>
      </c>
      <c r="O123" t="s">
        <v>3102</v>
      </c>
      <c r="P123" t="s">
        <v>3103</v>
      </c>
      <c r="Q123" t="s">
        <v>3106</v>
      </c>
    </row>
    <row r="124" spans="1:17" x14ac:dyDescent="0.25">
      <c r="A124" t="s">
        <v>435</v>
      </c>
      <c r="B124" t="s">
        <v>1364</v>
      </c>
      <c r="C124" t="s">
        <v>233</v>
      </c>
      <c r="D124">
        <v>84047</v>
      </c>
      <c r="E124">
        <v>0</v>
      </c>
      <c r="F124">
        <v>0</v>
      </c>
      <c r="G124">
        <v>28976.22</v>
      </c>
      <c r="H124">
        <v>55070.78</v>
      </c>
      <c r="I124">
        <v>34.47</v>
      </c>
      <c r="J124">
        <v>0</v>
      </c>
      <c r="K124">
        <v>84047</v>
      </c>
      <c r="L124">
        <v>87829.115000000005</v>
      </c>
      <c r="M124">
        <v>91869.254290000012</v>
      </c>
      <c r="N124">
        <v>96095.239987340014</v>
      </c>
      <c r="O124" t="s">
        <v>3102</v>
      </c>
      <c r="P124" t="s">
        <v>3105</v>
      </c>
      <c r="Q124" t="s">
        <v>3130</v>
      </c>
    </row>
    <row r="125" spans="1:17" x14ac:dyDescent="0.25">
      <c r="A125" t="s">
        <v>436</v>
      </c>
      <c r="B125" t="s">
        <v>1365</v>
      </c>
      <c r="C125" t="s">
        <v>235</v>
      </c>
      <c r="D125">
        <v>400000</v>
      </c>
      <c r="E125">
        <v>195500</v>
      </c>
      <c r="F125">
        <v>0</v>
      </c>
      <c r="G125">
        <v>446611.24</v>
      </c>
      <c r="H125">
        <v>13388.76</v>
      </c>
      <c r="I125">
        <v>97.08</v>
      </c>
      <c r="J125">
        <v>60000.000000000116</v>
      </c>
      <c r="K125">
        <v>460000.00000000012</v>
      </c>
      <c r="L125">
        <v>800000</v>
      </c>
      <c r="M125">
        <v>836800</v>
      </c>
      <c r="N125">
        <v>875292.8</v>
      </c>
      <c r="O125" t="s">
        <v>3102</v>
      </c>
      <c r="P125" t="s">
        <v>3105</v>
      </c>
      <c r="Q125" t="s">
        <v>3131</v>
      </c>
    </row>
    <row r="126" spans="1:17" x14ac:dyDescent="0.25">
      <c r="A126" t="s">
        <v>437</v>
      </c>
      <c r="B126" t="s">
        <v>1366</v>
      </c>
      <c r="C126" t="s">
        <v>235</v>
      </c>
      <c r="D126">
        <v>600000</v>
      </c>
      <c r="E126">
        <v>52764</v>
      </c>
      <c r="F126">
        <v>0</v>
      </c>
      <c r="G126">
        <v>347609.27</v>
      </c>
      <c r="H126">
        <v>192390.73</v>
      </c>
      <c r="I126">
        <v>64.37</v>
      </c>
      <c r="J126">
        <v>-60000.000000000116</v>
      </c>
      <c r="K126">
        <v>539999.99999999988</v>
      </c>
      <c r="L126">
        <v>700000</v>
      </c>
      <c r="M126">
        <v>732200</v>
      </c>
      <c r="N126">
        <v>765881.2</v>
      </c>
      <c r="O126" t="s">
        <v>3102</v>
      </c>
      <c r="P126" t="s">
        <v>3105</v>
      </c>
      <c r="Q126" t="s">
        <v>3132</v>
      </c>
    </row>
    <row r="127" spans="1:17" x14ac:dyDescent="0.25">
      <c r="A127" t="s">
        <v>438</v>
      </c>
      <c r="C127" t="s">
        <v>249</v>
      </c>
      <c r="D127">
        <v>1497385</v>
      </c>
      <c r="E127">
        <v>1877.85</v>
      </c>
      <c r="F127">
        <v>0</v>
      </c>
      <c r="G127">
        <v>747953.79</v>
      </c>
      <c r="H127">
        <v>749431.21</v>
      </c>
      <c r="I127">
        <v>49.95</v>
      </c>
      <c r="J127">
        <v>200000</v>
      </c>
      <c r="K127">
        <v>1697385</v>
      </c>
      <c r="L127">
        <v>1700000</v>
      </c>
      <c r="M127">
        <v>1778200</v>
      </c>
      <c r="N127">
        <v>1859997.2</v>
      </c>
      <c r="O127" t="s">
        <v>3102</v>
      </c>
      <c r="P127" t="s">
        <v>3110</v>
      </c>
      <c r="Q127" t="s">
        <v>3104</v>
      </c>
    </row>
    <row r="128" spans="1:17" x14ac:dyDescent="0.25">
      <c r="A128" t="s">
        <v>439</v>
      </c>
      <c r="C128" t="s">
        <v>265</v>
      </c>
      <c r="D128">
        <v>0</v>
      </c>
      <c r="E128">
        <v>1248.05</v>
      </c>
      <c r="F128">
        <v>0</v>
      </c>
      <c r="G128">
        <v>7193.06</v>
      </c>
      <c r="H128">
        <v>-7193.06</v>
      </c>
      <c r="I128">
        <v>0</v>
      </c>
      <c r="J128">
        <v>15000</v>
      </c>
      <c r="K128">
        <v>15000</v>
      </c>
      <c r="L128">
        <v>15675</v>
      </c>
      <c r="M128">
        <v>16396.05</v>
      </c>
      <c r="N128">
        <v>17150.2683</v>
      </c>
      <c r="O128" t="s">
        <v>3102</v>
      </c>
      <c r="P128" t="s">
        <v>3110</v>
      </c>
      <c r="Q128" t="s">
        <v>3104</v>
      </c>
    </row>
    <row r="129" spans="1:17" x14ac:dyDescent="0.25">
      <c r="A129" t="s">
        <v>440</v>
      </c>
      <c r="C129" t="s">
        <v>268</v>
      </c>
      <c r="D129">
        <v>0</v>
      </c>
      <c r="E129">
        <v>0</v>
      </c>
      <c r="F129">
        <v>0</v>
      </c>
      <c r="G129">
        <v>14967.14</v>
      </c>
      <c r="H129">
        <v>-14967.14</v>
      </c>
      <c r="I129">
        <v>0</v>
      </c>
      <c r="J129">
        <v>35000</v>
      </c>
      <c r="K129">
        <v>35000</v>
      </c>
      <c r="L129">
        <v>36575</v>
      </c>
      <c r="M129">
        <v>38257.449999999997</v>
      </c>
      <c r="N129">
        <v>40017.292699999998</v>
      </c>
      <c r="O129" t="s">
        <v>3102</v>
      </c>
      <c r="P129" t="s">
        <v>3110</v>
      </c>
      <c r="Q129" t="s">
        <v>3104</v>
      </c>
    </row>
    <row r="130" spans="1:17" x14ac:dyDescent="0.25">
      <c r="A130" t="s">
        <v>441</v>
      </c>
      <c r="C130" t="s">
        <v>291</v>
      </c>
      <c r="D130">
        <v>3371</v>
      </c>
      <c r="E130">
        <v>9285.52</v>
      </c>
      <c r="F130">
        <v>0</v>
      </c>
      <c r="G130">
        <v>25943.09</v>
      </c>
      <c r="H130">
        <v>-22572.09</v>
      </c>
      <c r="I130">
        <v>769.59</v>
      </c>
      <c r="J130">
        <v>0</v>
      </c>
      <c r="K130">
        <v>3371</v>
      </c>
      <c r="L130">
        <v>3522.6950000000002</v>
      </c>
      <c r="M130">
        <v>3684.7389700000003</v>
      </c>
      <c r="N130">
        <v>3854.2369626200002</v>
      </c>
      <c r="O130" t="s">
        <v>3102</v>
      </c>
      <c r="P130" t="s">
        <v>3117</v>
      </c>
      <c r="Q130" t="s">
        <v>3111</v>
      </c>
    </row>
    <row r="131" spans="1:17" x14ac:dyDescent="0.25">
      <c r="A131" t="s">
        <v>442</v>
      </c>
      <c r="C131" t="s">
        <v>292</v>
      </c>
      <c r="D131">
        <v>92300</v>
      </c>
      <c r="E131">
        <v>50623.56</v>
      </c>
      <c r="F131">
        <v>0</v>
      </c>
      <c r="G131">
        <v>134807.10999999999</v>
      </c>
      <c r="H131">
        <v>-42507.11</v>
      </c>
      <c r="I131">
        <v>146.05000000000001</v>
      </c>
      <c r="J131">
        <v>0</v>
      </c>
      <c r="K131">
        <v>92300</v>
      </c>
      <c r="L131">
        <v>96453.5</v>
      </c>
      <c r="M131">
        <v>100890.361</v>
      </c>
      <c r="N131">
        <v>105531.317606</v>
      </c>
      <c r="O131" t="s">
        <v>3102</v>
      </c>
      <c r="P131" t="s">
        <v>3117</v>
      </c>
      <c r="Q131" t="s">
        <v>3111</v>
      </c>
    </row>
    <row r="132" spans="1:17" x14ac:dyDescent="0.25">
      <c r="A132" t="s">
        <v>443</v>
      </c>
      <c r="C132" t="s">
        <v>293</v>
      </c>
      <c r="D132">
        <v>438975</v>
      </c>
      <c r="E132">
        <v>131600.20000000001</v>
      </c>
      <c r="F132">
        <v>0</v>
      </c>
      <c r="G132">
        <v>263250.40000000002</v>
      </c>
      <c r="H132">
        <v>175724.6</v>
      </c>
      <c r="I132">
        <v>59.96</v>
      </c>
      <c r="J132">
        <v>0</v>
      </c>
      <c r="K132">
        <v>438975</v>
      </c>
      <c r="L132">
        <v>458728.875</v>
      </c>
      <c r="M132">
        <v>479830.40324999997</v>
      </c>
      <c r="N132">
        <v>501902.60179949994</v>
      </c>
      <c r="O132" t="s">
        <v>3102</v>
      </c>
      <c r="P132" t="s">
        <v>3117</v>
      </c>
      <c r="Q132" t="s">
        <v>3111</v>
      </c>
    </row>
    <row r="133" spans="1:17" x14ac:dyDescent="0.25">
      <c r="A133" t="s">
        <v>3075</v>
      </c>
      <c r="C133" t="s">
        <v>1367</v>
      </c>
      <c r="D133">
        <v>0</v>
      </c>
      <c r="E133">
        <v>0</v>
      </c>
      <c r="F133">
        <v>0</v>
      </c>
      <c r="G133">
        <v>0</v>
      </c>
      <c r="H133">
        <v>0</v>
      </c>
      <c r="K133">
        <v>0</v>
      </c>
      <c r="L133">
        <v>2000000</v>
      </c>
      <c r="M133">
        <v>500000</v>
      </c>
      <c r="N133">
        <v>500000</v>
      </c>
      <c r="O133" t="s">
        <v>3118</v>
      </c>
      <c r="Q133" t="s">
        <v>3125</v>
      </c>
    </row>
    <row r="134" spans="1:17" x14ac:dyDescent="0.25">
      <c r="A134" t="s">
        <v>444</v>
      </c>
      <c r="C134" t="s">
        <v>445</v>
      </c>
      <c r="D134">
        <v>600000</v>
      </c>
      <c r="E134">
        <v>0</v>
      </c>
      <c r="F134">
        <v>0</v>
      </c>
      <c r="G134">
        <v>79951.679999999993</v>
      </c>
      <c r="H134">
        <v>520048.32</v>
      </c>
      <c r="I134">
        <v>13.32</v>
      </c>
      <c r="J134">
        <v>0</v>
      </c>
      <c r="K134">
        <v>600000</v>
      </c>
      <c r="L134">
        <v>0</v>
      </c>
      <c r="M134">
        <v>0</v>
      </c>
      <c r="N134">
        <v>0</v>
      </c>
      <c r="O134" t="s">
        <v>3118</v>
      </c>
      <c r="Q134" t="s">
        <v>3133</v>
      </c>
    </row>
    <row r="135" spans="1:17" x14ac:dyDescent="0.25">
      <c r="A135" t="s">
        <v>446</v>
      </c>
      <c r="C135" t="s">
        <v>3033</v>
      </c>
      <c r="D135">
        <v>1100000</v>
      </c>
      <c r="E135">
        <v>196880</v>
      </c>
      <c r="F135">
        <v>0</v>
      </c>
      <c r="G135">
        <v>567480</v>
      </c>
      <c r="H135">
        <v>532520</v>
      </c>
      <c r="I135">
        <v>51.58</v>
      </c>
      <c r="J135">
        <v>0</v>
      </c>
      <c r="K135">
        <v>1100000</v>
      </c>
      <c r="L135">
        <v>600000</v>
      </c>
      <c r="M135">
        <v>636000</v>
      </c>
      <c r="N135">
        <v>674160</v>
      </c>
      <c r="O135" t="s">
        <v>3118</v>
      </c>
      <c r="Q135" t="s">
        <v>3134</v>
      </c>
    </row>
    <row r="136" spans="1:17" x14ac:dyDescent="0.25">
      <c r="A136" t="s">
        <v>449</v>
      </c>
      <c r="C136" t="s">
        <v>150</v>
      </c>
      <c r="D136">
        <v>1238187</v>
      </c>
      <c r="E136">
        <v>102521.85</v>
      </c>
      <c r="F136">
        <v>0</v>
      </c>
      <c r="G136">
        <v>626003.01</v>
      </c>
      <c r="H136">
        <v>612183.99</v>
      </c>
      <c r="I136">
        <v>50.55</v>
      </c>
      <c r="J136">
        <v>0</v>
      </c>
      <c r="K136">
        <v>1238187</v>
      </c>
      <c r="L136">
        <v>1315573.6875</v>
      </c>
      <c r="M136">
        <v>1407663.8456250001</v>
      </c>
      <c r="N136">
        <v>1506200.3148187501</v>
      </c>
      <c r="O136" t="s">
        <v>3102</v>
      </c>
      <c r="P136" t="s">
        <v>3103</v>
      </c>
      <c r="Q136" t="s">
        <v>3104</v>
      </c>
    </row>
    <row r="137" spans="1:17" x14ac:dyDescent="0.25">
      <c r="A137" t="s">
        <v>450</v>
      </c>
      <c r="C137" t="s">
        <v>151</v>
      </c>
      <c r="D137">
        <v>56405</v>
      </c>
      <c r="E137">
        <v>25401.27</v>
      </c>
      <c r="F137">
        <v>0</v>
      </c>
      <c r="G137">
        <v>102844.51</v>
      </c>
      <c r="H137">
        <v>-46439.51</v>
      </c>
      <c r="I137">
        <v>182.33</v>
      </c>
      <c r="J137">
        <v>-31003.73000000001</v>
      </c>
      <c r="K137">
        <v>25401.26999999999</v>
      </c>
      <c r="L137">
        <v>26988.849374999991</v>
      </c>
      <c r="M137">
        <v>28878.068831249991</v>
      </c>
      <c r="N137">
        <v>30899.53364943749</v>
      </c>
      <c r="O137" t="s">
        <v>3102</v>
      </c>
      <c r="P137" t="s">
        <v>3103</v>
      </c>
      <c r="Q137" t="s">
        <v>3104</v>
      </c>
    </row>
    <row r="138" spans="1:17" x14ac:dyDescent="0.25">
      <c r="A138" t="s">
        <v>451</v>
      </c>
      <c r="C138" t="s">
        <v>152</v>
      </c>
      <c r="D138">
        <v>52200</v>
      </c>
      <c r="E138">
        <v>4346.09</v>
      </c>
      <c r="F138">
        <v>0</v>
      </c>
      <c r="G138">
        <v>26076.54</v>
      </c>
      <c r="H138">
        <v>26123.46</v>
      </c>
      <c r="I138">
        <v>49.95</v>
      </c>
      <c r="J138">
        <v>0</v>
      </c>
      <c r="K138">
        <v>52200</v>
      </c>
      <c r="L138">
        <v>55462.5</v>
      </c>
      <c r="M138">
        <v>59344.875</v>
      </c>
      <c r="N138">
        <v>63499.016250000001</v>
      </c>
      <c r="O138" t="s">
        <v>3102</v>
      </c>
      <c r="P138" t="s">
        <v>3103</v>
      </c>
      <c r="Q138" t="s">
        <v>3104</v>
      </c>
    </row>
    <row r="139" spans="1:17" x14ac:dyDescent="0.25">
      <c r="A139" t="s">
        <v>452</v>
      </c>
      <c r="C139" t="s">
        <v>153</v>
      </c>
      <c r="D139">
        <v>10893</v>
      </c>
      <c r="E139">
        <v>0</v>
      </c>
      <c r="F139">
        <v>0</v>
      </c>
      <c r="G139">
        <v>0</v>
      </c>
      <c r="H139">
        <v>10893</v>
      </c>
      <c r="I139">
        <v>0</v>
      </c>
      <c r="J139">
        <v>0</v>
      </c>
      <c r="K139">
        <v>10893</v>
      </c>
      <c r="L139">
        <v>11573.8125</v>
      </c>
      <c r="M139">
        <v>12383.979375000001</v>
      </c>
      <c r="N139">
        <v>13250.857931250001</v>
      </c>
      <c r="O139" t="s">
        <v>3102</v>
      </c>
      <c r="P139" t="s">
        <v>3103</v>
      </c>
      <c r="Q139" t="s">
        <v>3104</v>
      </c>
    </row>
    <row r="140" spans="1:17" x14ac:dyDescent="0.25">
      <c r="A140" t="s">
        <v>453</v>
      </c>
      <c r="C140" t="s">
        <v>155</v>
      </c>
      <c r="D140">
        <v>40056</v>
      </c>
      <c r="E140">
        <v>0</v>
      </c>
      <c r="F140">
        <v>0</v>
      </c>
      <c r="G140">
        <v>0</v>
      </c>
      <c r="H140">
        <v>40056</v>
      </c>
      <c r="I140">
        <v>0</v>
      </c>
      <c r="J140">
        <v>0</v>
      </c>
      <c r="K140">
        <v>40056</v>
      </c>
      <c r="L140">
        <v>42559.5</v>
      </c>
      <c r="M140">
        <v>45538.665000000001</v>
      </c>
      <c r="N140">
        <v>48726.371550000003</v>
      </c>
      <c r="O140" t="s">
        <v>3102</v>
      </c>
      <c r="P140" t="s">
        <v>3103</v>
      </c>
      <c r="Q140" t="s">
        <v>3104</v>
      </c>
    </row>
    <row r="141" spans="1:17" x14ac:dyDescent="0.25">
      <c r="A141" t="s">
        <v>454</v>
      </c>
      <c r="C141" t="s">
        <v>156</v>
      </c>
      <c r="D141">
        <v>300547</v>
      </c>
      <c r="E141">
        <v>25276.16</v>
      </c>
      <c r="F141">
        <v>0</v>
      </c>
      <c r="G141">
        <v>150624.94</v>
      </c>
      <c r="H141">
        <v>149922.06</v>
      </c>
      <c r="I141">
        <v>50.11</v>
      </c>
      <c r="J141">
        <v>0</v>
      </c>
      <c r="K141">
        <v>300547</v>
      </c>
      <c r="L141">
        <v>319331.1875</v>
      </c>
      <c r="M141">
        <v>341684.37062499998</v>
      </c>
      <c r="N141">
        <v>365602.27656874998</v>
      </c>
      <c r="O141" t="s">
        <v>3102</v>
      </c>
      <c r="P141" t="s">
        <v>3103</v>
      </c>
      <c r="Q141" t="s">
        <v>3104</v>
      </c>
    </row>
    <row r="142" spans="1:17" x14ac:dyDescent="0.25">
      <c r="A142" t="s">
        <v>455</v>
      </c>
      <c r="C142" t="s">
        <v>158</v>
      </c>
      <c r="D142">
        <v>11405</v>
      </c>
      <c r="E142">
        <v>0</v>
      </c>
      <c r="F142">
        <v>0</v>
      </c>
      <c r="G142">
        <v>0</v>
      </c>
      <c r="H142">
        <v>11405</v>
      </c>
      <c r="I142">
        <v>0</v>
      </c>
      <c r="J142">
        <v>0</v>
      </c>
      <c r="K142">
        <v>11405</v>
      </c>
      <c r="L142">
        <v>12117.8125</v>
      </c>
      <c r="M142">
        <v>12966.059375000001</v>
      </c>
      <c r="N142">
        <v>13873.683531250001</v>
      </c>
      <c r="O142" t="s">
        <v>3102</v>
      </c>
      <c r="P142" t="s">
        <v>3103</v>
      </c>
      <c r="Q142" t="s">
        <v>3104</v>
      </c>
    </row>
    <row r="143" spans="1:17" x14ac:dyDescent="0.25">
      <c r="A143" t="s">
        <v>456</v>
      </c>
      <c r="C143" t="s">
        <v>159</v>
      </c>
      <c r="D143">
        <v>100182</v>
      </c>
      <c r="E143">
        <v>0</v>
      </c>
      <c r="F143">
        <v>0</v>
      </c>
      <c r="G143">
        <v>0</v>
      </c>
      <c r="H143">
        <v>100182</v>
      </c>
      <c r="I143">
        <v>0</v>
      </c>
      <c r="J143">
        <v>0</v>
      </c>
      <c r="K143">
        <v>100182</v>
      </c>
      <c r="L143">
        <v>106443.375</v>
      </c>
      <c r="M143">
        <v>113894.41125</v>
      </c>
      <c r="N143">
        <v>121867.0200375</v>
      </c>
      <c r="O143" t="s">
        <v>3102</v>
      </c>
      <c r="P143" t="s">
        <v>3103</v>
      </c>
      <c r="Q143" t="s">
        <v>3104</v>
      </c>
    </row>
    <row r="144" spans="1:17" x14ac:dyDescent="0.25">
      <c r="A144" t="s">
        <v>457</v>
      </c>
      <c r="C144" t="s">
        <v>161</v>
      </c>
      <c r="D144">
        <v>24284</v>
      </c>
      <c r="E144">
        <v>0</v>
      </c>
      <c r="F144">
        <v>0</v>
      </c>
      <c r="G144">
        <v>0</v>
      </c>
      <c r="H144">
        <v>24284</v>
      </c>
      <c r="I144">
        <v>0</v>
      </c>
      <c r="J144">
        <v>0</v>
      </c>
      <c r="K144">
        <v>24284</v>
      </c>
      <c r="L144">
        <v>25801.75</v>
      </c>
      <c r="M144">
        <v>27607.872500000001</v>
      </c>
      <c r="N144">
        <v>29540.423575000001</v>
      </c>
      <c r="O144" t="s">
        <v>3102</v>
      </c>
      <c r="P144" t="s">
        <v>3103</v>
      </c>
      <c r="Q144" t="s">
        <v>3104</v>
      </c>
    </row>
    <row r="145" spans="1:17" x14ac:dyDescent="0.25">
      <c r="A145" t="s">
        <v>458</v>
      </c>
      <c r="C145" t="s">
        <v>164</v>
      </c>
      <c r="D145">
        <v>15692</v>
      </c>
      <c r="E145">
        <v>1307.7</v>
      </c>
      <c r="F145">
        <v>0</v>
      </c>
      <c r="G145">
        <v>7846.2</v>
      </c>
      <c r="H145">
        <v>7845.8</v>
      </c>
      <c r="I145">
        <v>50</v>
      </c>
      <c r="J145">
        <v>0</v>
      </c>
      <c r="K145">
        <v>15692</v>
      </c>
      <c r="L145">
        <v>16672.75</v>
      </c>
      <c r="M145">
        <v>17839.842499999999</v>
      </c>
      <c r="N145">
        <v>19088.631474999998</v>
      </c>
      <c r="O145" t="s">
        <v>3102</v>
      </c>
      <c r="P145" t="s">
        <v>3103</v>
      </c>
      <c r="Q145" t="s">
        <v>3104</v>
      </c>
    </row>
    <row r="146" spans="1:17" x14ac:dyDescent="0.25">
      <c r="A146" t="s">
        <v>459</v>
      </c>
      <c r="C146" t="s">
        <v>167</v>
      </c>
      <c r="D146">
        <v>337</v>
      </c>
      <c r="E146">
        <v>27.96</v>
      </c>
      <c r="F146">
        <v>0</v>
      </c>
      <c r="G146">
        <v>167.76</v>
      </c>
      <c r="H146">
        <v>169.24</v>
      </c>
      <c r="I146">
        <v>49.78</v>
      </c>
      <c r="J146">
        <v>0</v>
      </c>
      <c r="K146">
        <v>337</v>
      </c>
      <c r="L146">
        <v>358.0625</v>
      </c>
      <c r="M146">
        <v>383.12687499999998</v>
      </c>
      <c r="N146">
        <v>409.94575624999999</v>
      </c>
      <c r="O146" t="s">
        <v>3102</v>
      </c>
      <c r="P146" t="s">
        <v>3103</v>
      </c>
      <c r="Q146" t="s">
        <v>3104</v>
      </c>
    </row>
    <row r="147" spans="1:17" x14ac:dyDescent="0.25">
      <c r="A147" t="s">
        <v>460</v>
      </c>
      <c r="C147" t="s">
        <v>168</v>
      </c>
      <c r="D147">
        <v>161725</v>
      </c>
      <c r="E147">
        <v>7625.4</v>
      </c>
      <c r="F147">
        <v>0</v>
      </c>
      <c r="G147">
        <v>45752.4</v>
      </c>
      <c r="H147">
        <v>115972.6</v>
      </c>
      <c r="I147">
        <v>28.29</v>
      </c>
      <c r="J147">
        <v>0</v>
      </c>
      <c r="K147">
        <v>161725</v>
      </c>
      <c r="L147">
        <v>171832.8125</v>
      </c>
      <c r="M147">
        <v>183861.109375</v>
      </c>
      <c r="N147">
        <v>196731.38703124999</v>
      </c>
      <c r="O147" t="s">
        <v>3102</v>
      </c>
      <c r="P147" t="s">
        <v>3103</v>
      </c>
      <c r="Q147" t="s">
        <v>3104</v>
      </c>
    </row>
    <row r="148" spans="1:17" x14ac:dyDescent="0.25">
      <c r="A148" t="s">
        <v>461</v>
      </c>
      <c r="C148" t="s">
        <v>169</v>
      </c>
      <c r="D148">
        <v>264481</v>
      </c>
      <c r="E148">
        <v>20617.39</v>
      </c>
      <c r="F148">
        <v>0</v>
      </c>
      <c r="G148">
        <v>122932.35</v>
      </c>
      <c r="H148">
        <v>141548.65</v>
      </c>
      <c r="I148">
        <v>46.48</v>
      </c>
      <c r="J148">
        <v>0</v>
      </c>
      <c r="K148">
        <v>264481</v>
      </c>
      <c r="L148">
        <v>281011.0625</v>
      </c>
      <c r="M148">
        <v>300681.83687499998</v>
      </c>
      <c r="N148">
        <v>321729.56545624998</v>
      </c>
      <c r="O148" t="s">
        <v>3102</v>
      </c>
      <c r="P148" t="s">
        <v>3103</v>
      </c>
      <c r="Q148" t="s">
        <v>3104</v>
      </c>
    </row>
    <row r="149" spans="1:17" x14ac:dyDescent="0.25">
      <c r="A149" t="s">
        <v>462</v>
      </c>
      <c r="C149" t="s">
        <v>170</v>
      </c>
      <c r="D149">
        <v>5355</v>
      </c>
      <c r="E149">
        <v>446.16</v>
      </c>
      <c r="F149">
        <v>0</v>
      </c>
      <c r="G149">
        <v>2826.96</v>
      </c>
      <c r="H149">
        <v>2528.04</v>
      </c>
      <c r="I149">
        <v>52.79</v>
      </c>
      <c r="J149">
        <v>0</v>
      </c>
      <c r="K149">
        <v>5355</v>
      </c>
      <c r="L149">
        <v>5689.6875</v>
      </c>
      <c r="M149">
        <v>6087.9656249999998</v>
      </c>
      <c r="N149">
        <v>6514.12321875</v>
      </c>
      <c r="O149" t="s">
        <v>3102</v>
      </c>
      <c r="P149" t="s">
        <v>3103</v>
      </c>
      <c r="Q149" t="s">
        <v>3104</v>
      </c>
    </row>
    <row r="150" spans="1:17" x14ac:dyDescent="0.25">
      <c r="A150" t="s">
        <v>463</v>
      </c>
      <c r="C150" t="s">
        <v>173</v>
      </c>
      <c r="D150">
        <v>16993</v>
      </c>
      <c r="E150">
        <v>0</v>
      </c>
      <c r="F150">
        <v>0</v>
      </c>
      <c r="G150">
        <v>0</v>
      </c>
      <c r="H150">
        <v>16993</v>
      </c>
      <c r="I150">
        <v>0</v>
      </c>
      <c r="J150">
        <v>0</v>
      </c>
      <c r="K150">
        <v>16993</v>
      </c>
      <c r="L150">
        <v>18055.0625</v>
      </c>
      <c r="M150">
        <v>19318.916874999999</v>
      </c>
      <c r="N150">
        <v>20671.241056250001</v>
      </c>
      <c r="O150" t="s">
        <v>3102</v>
      </c>
      <c r="P150" t="s">
        <v>3103</v>
      </c>
      <c r="Q150" t="s">
        <v>3111</v>
      </c>
    </row>
    <row r="151" spans="1:17" x14ac:dyDescent="0.25">
      <c r="A151" t="s">
        <v>464</v>
      </c>
      <c r="C151" t="s">
        <v>174</v>
      </c>
      <c r="D151">
        <v>17974</v>
      </c>
      <c r="E151">
        <v>0</v>
      </c>
      <c r="F151">
        <v>0</v>
      </c>
      <c r="G151">
        <v>0</v>
      </c>
      <c r="H151">
        <v>17974</v>
      </c>
      <c r="I151">
        <v>0</v>
      </c>
      <c r="J151">
        <v>0</v>
      </c>
      <c r="K151">
        <v>17974</v>
      </c>
      <c r="L151">
        <v>19097.375</v>
      </c>
      <c r="M151">
        <v>20434.19125</v>
      </c>
      <c r="N151">
        <v>21864.5846375</v>
      </c>
      <c r="O151" t="s">
        <v>3102</v>
      </c>
      <c r="P151" t="s">
        <v>3103</v>
      </c>
      <c r="Q151" t="s">
        <v>3111</v>
      </c>
    </row>
    <row r="152" spans="1:17" x14ac:dyDescent="0.25">
      <c r="A152" t="s">
        <v>465</v>
      </c>
      <c r="C152" t="s">
        <v>175</v>
      </c>
      <c r="D152">
        <v>13156</v>
      </c>
      <c r="E152">
        <v>0</v>
      </c>
      <c r="F152">
        <v>0</v>
      </c>
      <c r="G152">
        <v>0</v>
      </c>
      <c r="H152">
        <v>13156</v>
      </c>
      <c r="I152">
        <v>0</v>
      </c>
      <c r="J152">
        <v>0</v>
      </c>
      <c r="K152">
        <v>13156</v>
      </c>
      <c r="L152">
        <v>13978.25</v>
      </c>
      <c r="M152">
        <v>14956.727500000001</v>
      </c>
      <c r="N152">
        <v>16003.698425</v>
      </c>
      <c r="O152" t="s">
        <v>3102</v>
      </c>
      <c r="P152" t="s">
        <v>3103</v>
      </c>
      <c r="Q152" t="s">
        <v>3111</v>
      </c>
    </row>
    <row r="153" spans="1:17" x14ac:dyDescent="0.25">
      <c r="A153" t="s">
        <v>466</v>
      </c>
      <c r="C153" t="s">
        <v>263</v>
      </c>
      <c r="D153">
        <v>424000</v>
      </c>
      <c r="E153">
        <v>0</v>
      </c>
      <c r="F153">
        <v>0</v>
      </c>
      <c r="G153">
        <v>143900</v>
      </c>
      <c r="H153">
        <v>280100</v>
      </c>
      <c r="I153">
        <v>33.938679245283019</v>
      </c>
      <c r="J153">
        <v>200000</v>
      </c>
      <c r="K153">
        <v>624000</v>
      </c>
      <c r="L153">
        <v>652080</v>
      </c>
      <c r="M153">
        <v>682075.68</v>
      </c>
      <c r="N153">
        <v>713451.16128</v>
      </c>
      <c r="O153" t="s">
        <v>3102</v>
      </c>
      <c r="P153" t="s">
        <v>3110</v>
      </c>
      <c r="Q153" t="s">
        <v>3135</v>
      </c>
    </row>
    <row r="154" spans="1:17" x14ac:dyDescent="0.25">
      <c r="A154" t="s">
        <v>467</v>
      </c>
      <c r="C154" t="s">
        <v>263</v>
      </c>
      <c r="D154">
        <v>1219000</v>
      </c>
      <c r="E154">
        <v>93150</v>
      </c>
      <c r="F154">
        <v>45152.17</v>
      </c>
      <c r="G154">
        <v>989056.15</v>
      </c>
      <c r="H154">
        <v>229943.84999999998</v>
      </c>
      <c r="I154">
        <v>81.136681706316665</v>
      </c>
      <c r="J154">
        <v>-200000</v>
      </c>
      <c r="K154">
        <v>1019000</v>
      </c>
      <c r="L154">
        <v>1064855</v>
      </c>
      <c r="M154">
        <v>1113838.33</v>
      </c>
      <c r="N154">
        <v>1165074.8931800001</v>
      </c>
      <c r="O154" t="s">
        <v>3102</v>
      </c>
      <c r="P154" t="s">
        <v>3110</v>
      </c>
      <c r="Q154" t="s">
        <v>3136</v>
      </c>
    </row>
    <row r="155" spans="1:17" x14ac:dyDescent="0.25">
      <c r="A155" t="s">
        <v>468</v>
      </c>
      <c r="C155" t="s">
        <v>264</v>
      </c>
      <c r="D155">
        <v>2304000</v>
      </c>
      <c r="E155">
        <v>0</v>
      </c>
      <c r="F155">
        <v>0</v>
      </c>
      <c r="G155">
        <v>943200</v>
      </c>
      <c r="H155">
        <v>1360800</v>
      </c>
      <c r="I155">
        <v>40.9375</v>
      </c>
      <c r="J155">
        <v>0</v>
      </c>
      <c r="K155">
        <v>2304000</v>
      </c>
      <c r="L155">
        <v>2304000</v>
      </c>
      <c r="M155">
        <v>2409984</v>
      </c>
      <c r="N155">
        <v>2520843.264</v>
      </c>
      <c r="O155" t="s">
        <v>3102</v>
      </c>
      <c r="P155" t="s">
        <v>3110</v>
      </c>
      <c r="Q155" t="s">
        <v>3104</v>
      </c>
    </row>
    <row r="156" spans="1:17" x14ac:dyDescent="0.25">
      <c r="A156" t="s">
        <v>469</v>
      </c>
      <c r="C156" t="s">
        <v>265</v>
      </c>
      <c r="D156">
        <v>0</v>
      </c>
      <c r="E156">
        <v>1596.75</v>
      </c>
      <c r="F156">
        <v>0</v>
      </c>
      <c r="G156">
        <v>9006.24</v>
      </c>
      <c r="H156">
        <v>-9006.24</v>
      </c>
      <c r="I156">
        <v>0</v>
      </c>
      <c r="J156">
        <v>20000</v>
      </c>
      <c r="K156">
        <v>20000</v>
      </c>
      <c r="L156">
        <v>20900</v>
      </c>
      <c r="M156">
        <v>21861.4</v>
      </c>
      <c r="N156">
        <v>22867.024400000002</v>
      </c>
      <c r="O156" t="s">
        <v>3102</v>
      </c>
      <c r="P156" t="s">
        <v>3110</v>
      </c>
      <c r="Q156" t="s">
        <v>3104</v>
      </c>
    </row>
    <row r="157" spans="1:17" x14ac:dyDescent="0.25">
      <c r="A157" t="s">
        <v>470</v>
      </c>
      <c r="C157" t="s">
        <v>267</v>
      </c>
      <c r="D157">
        <v>700000</v>
      </c>
      <c r="E157">
        <v>0</v>
      </c>
      <c r="F157">
        <v>0</v>
      </c>
      <c r="G157">
        <v>220620</v>
      </c>
      <c r="H157">
        <v>479380</v>
      </c>
      <c r="I157">
        <v>31.517142857142854</v>
      </c>
      <c r="J157">
        <v>0</v>
      </c>
      <c r="K157">
        <v>700000</v>
      </c>
      <c r="L157">
        <v>731500</v>
      </c>
      <c r="M157">
        <v>765149</v>
      </c>
      <c r="N157">
        <v>800345.85400000005</v>
      </c>
      <c r="O157" t="s">
        <v>3102</v>
      </c>
      <c r="P157" t="s">
        <v>3110</v>
      </c>
      <c r="Q157" t="s">
        <v>3104</v>
      </c>
    </row>
    <row r="158" spans="1:17" x14ac:dyDescent="0.25">
      <c r="A158" t="s">
        <v>471</v>
      </c>
      <c r="C158" t="s">
        <v>268</v>
      </c>
      <c r="D158">
        <v>0</v>
      </c>
      <c r="E158">
        <v>18839.46</v>
      </c>
      <c r="F158">
        <v>0</v>
      </c>
      <c r="G158">
        <v>70159.350000000006</v>
      </c>
      <c r="H158">
        <v>-70159.350000000006</v>
      </c>
      <c r="I158">
        <v>0</v>
      </c>
      <c r="J158">
        <v>140000</v>
      </c>
      <c r="K158">
        <v>140000</v>
      </c>
      <c r="L158">
        <v>146300</v>
      </c>
      <c r="M158">
        <v>153029.79999999999</v>
      </c>
      <c r="N158">
        <v>160069.17079999999</v>
      </c>
      <c r="O158" t="s">
        <v>3102</v>
      </c>
      <c r="P158" t="s">
        <v>3110</v>
      </c>
      <c r="Q158" t="s">
        <v>3104</v>
      </c>
    </row>
    <row r="159" spans="1:17" x14ac:dyDescent="0.25">
      <c r="A159" t="s">
        <v>472</v>
      </c>
      <c r="C159" t="s">
        <v>292</v>
      </c>
      <c r="D159">
        <v>620</v>
      </c>
      <c r="E159">
        <v>1286.54</v>
      </c>
      <c r="F159">
        <v>0</v>
      </c>
      <c r="G159">
        <v>3404.15</v>
      </c>
      <c r="H159">
        <v>-2784.15</v>
      </c>
      <c r="I159">
        <v>549.04999999999995</v>
      </c>
      <c r="J159">
        <v>0</v>
      </c>
      <c r="K159">
        <v>620</v>
      </c>
      <c r="L159">
        <v>647.9</v>
      </c>
      <c r="M159">
        <v>677.70339999999999</v>
      </c>
      <c r="N159">
        <v>708.87775639999995</v>
      </c>
      <c r="O159" t="s">
        <v>3102</v>
      </c>
      <c r="P159" t="s">
        <v>3117</v>
      </c>
      <c r="Q159" t="s">
        <v>3111</v>
      </c>
    </row>
    <row r="160" spans="1:17" x14ac:dyDescent="0.25">
      <c r="A160" t="s">
        <v>473</v>
      </c>
      <c r="C160" t="s">
        <v>293</v>
      </c>
      <c r="D160">
        <v>39428</v>
      </c>
      <c r="E160">
        <v>6492.48</v>
      </c>
      <c r="F160">
        <v>0</v>
      </c>
      <c r="G160">
        <v>14376.42</v>
      </c>
      <c r="H160">
        <v>25051.58</v>
      </c>
      <c r="I160">
        <v>36.46</v>
      </c>
      <c r="J160">
        <v>0</v>
      </c>
      <c r="K160">
        <v>39428</v>
      </c>
      <c r="L160">
        <v>41202.26</v>
      </c>
      <c r="M160">
        <v>43097.563959999999</v>
      </c>
      <c r="N160">
        <v>45080.051902159998</v>
      </c>
      <c r="O160" t="s">
        <v>3102</v>
      </c>
      <c r="P160" t="s">
        <v>3117</v>
      </c>
      <c r="Q160" t="s">
        <v>3111</v>
      </c>
    </row>
    <row r="161" spans="1:17" x14ac:dyDescent="0.25">
      <c r="A161" t="s">
        <v>474</v>
      </c>
      <c r="C161" t="s">
        <v>297</v>
      </c>
      <c r="D161">
        <v>184915</v>
      </c>
      <c r="E161">
        <v>0</v>
      </c>
      <c r="F161">
        <v>0</v>
      </c>
      <c r="G161">
        <v>16884.22</v>
      </c>
      <c r="H161">
        <v>168030.78</v>
      </c>
      <c r="I161">
        <v>9.1300000000000008</v>
      </c>
      <c r="J161">
        <v>0</v>
      </c>
      <c r="K161">
        <v>184915</v>
      </c>
      <c r="L161">
        <v>193236.17499999999</v>
      </c>
      <c r="M161">
        <v>202125.03904999999</v>
      </c>
      <c r="N161">
        <v>211422.79084629999</v>
      </c>
      <c r="O161" t="s">
        <v>3102</v>
      </c>
      <c r="P161" t="s">
        <v>3117</v>
      </c>
      <c r="Q161" t="s">
        <v>3111</v>
      </c>
    </row>
    <row r="162" spans="1:17" x14ac:dyDescent="0.25">
      <c r="A162" t="s">
        <v>475</v>
      </c>
      <c r="C162" t="s">
        <v>298</v>
      </c>
      <c r="D162">
        <v>0</v>
      </c>
      <c r="E162">
        <v>26288.98</v>
      </c>
      <c r="F162">
        <v>0</v>
      </c>
      <c r="G162">
        <v>52577.96</v>
      </c>
      <c r="H162">
        <v>-52577.96</v>
      </c>
      <c r="I162">
        <v>0</v>
      </c>
      <c r="J162">
        <v>0</v>
      </c>
      <c r="K162">
        <v>0</v>
      </c>
      <c r="L162">
        <v>0</v>
      </c>
      <c r="M162">
        <v>0</v>
      </c>
      <c r="O162" t="s">
        <v>3102</v>
      </c>
      <c r="P162" t="s">
        <v>3117</v>
      </c>
      <c r="Q162" t="s">
        <v>3111</v>
      </c>
    </row>
    <row r="163" spans="1:17" x14ac:dyDescent="0.25">
      <c r="A163" t="s">
        <v>2335</v>
      </c>
      <c r="C163" t="s">
        <v>2336</v>
      </c>
      <c r="D163">
        <v>0</v>
      </c>
      <c r="L163">
        <v>250000</v>
      </c>
      <c r="M163">
        <v>261500</v>
      </c>
      <c r="N163">
        <v>273529</v>
      </c>
      <c r="O163" t="s">
        <v>3137</v>
      </c>
      <c r="P163" t="s">
        <v>3138</v>
      </c>
      <c r="Q163" t="s">
        <v>3111</v>
      </c>
    </row>
    <row r="164" spans="1:17" x14ac:dyDescent="0.25">
      <c r="A164" t="s">
        <v>477</v>
      </c>
      <c r="C164" t="s">
        <v>124</v>
      </c>
      <c r="D164">
        <v>928990</v>
      </c>
      <c r="E164">
        <v>0</v>
      </c>
      <c r="F164">
        <v>0</v>
      </c>
      <c r="G164">
        <v>0</v>
      </c>
      <c r="H164">
        <v>928990</v>
      </c>
      <c r="I164">
        <v>0</v>
      </c>
      <c r="J164">
        <v>-464495</v>
      </c>
      <c r="K164">
        <v>464495</v>
      </c>
      <c r="L164">
        <v>493525.9375</v>
      </c>
      <c r="M164">
        <v>528072.75312500005</v>
      </c>
      <c r="N164">
        <v>565037.84584375005</v>
      </c>
      <c r="O164" t="s">
        <v>3102</v>
      </c>
      <c r="P164" t="s">
        <v>3103</v>
      </c>
      <c r="Q164" t="s">
        <v>3104</v>
      </c>
    </row>
    <row r="165" spans="1:17" x14ac:dyDescent="0.25">
      <c r="A165" t="s">
        <v>478</v>
      </c>
      <c r="C165" t="s">
        <v>125</v>
      </c>
      <c r="D165">
        <v>46450</v>
      </c>
      <c r="E165">
        <v>0</v>
      </c>
      <c r="F165">
        <v>0</v>
      </c>
      <c r="G165">
        <v>0</v>
      </c>
      <c r="H165">
        <v>928990</v>
      </c>
      <c r="I165">
        <v>0</v>
      </c>
      <c r="J165">
        <v>-23225</v>
      </c>
      <c r="K165">
        <v>23225</v>
      </c>
      <c r="L165">
        <v>24676.5625</v>
      </c>
      <c r="M165">
        <v>26403.921875</v>
      </c>
      <c r="N165">
        <v>28252.196406250001</v>
      </c>
      <c r="O165" t="s">
        <v>3102</v>
      </c>
      <c r="P165" t="s">
        <v>3103</v>
      </c>
      <c r="Q165" t="s">
        <v>3104</v>
      </c>
    </row>
    <row r="166" spans="1:17" x14ac:dyDescent="0.25">
      <c r="A166" t="s">
        <v>479</v>
      </c>
      <c r="C166" t="s">
        <v>126</v>
      </c>
      <c r="D166">
        <v>40000</v>
      </c>
      <c r="E166">
        <v>0</v>
      </c>
      <c r="F166">
        <v>0</v>
      </c>
      <c r="G166">
        <v>0</v>
      </c>
      <c r="H166">
        <v>928990</v>
      </c>
      <c r="I166">
        <v>0</v>
      </c>
      <c r="J166">
        <v>-20000</v>
      </c>
      <c r="K166">
        <v>20000</v>
      </c>
      <c r="L166">
        <v>21250</v>
      </c>
      <c r="M166">
        <v>22737.5</v>
      </c>
      <c r="N166">
        <v>24329.125</v>
      </c>
      <c r="O166" t="s">
        <v>3102</v>
      </c>
      <c r="P166" t="s">
        <v>3103</v>
      </c>
      <c r="Q166" t="s">
        <v>3104</v>
      </c>
    </row>
    <row r="167" spans="1:17" x14ac:dyDescent="0.25">
      <c r="A167" t="s">
        <v>480</v>
      </c>
      <c r="C167" t="s">
        <v>127</v>
      </c>
      <c r="D167">
        <v>17000</v>
      </c>
      <c r="E167">
        <v>0</v>
      </c>
      <c r="F167">
        <v>0</v>
      </c>
      <c r="G167">
        <v>0</v>
      </c>
      <c r="H167">
        <v>928990</v>
      </c>
      <c r="I167">
        <v>0</v>
      </c>
      <c r="J167">
        <v>-8500</v>
      </c>
      <c r="K167">
        <v>8500</v>
      </c>
      <c r="L167">
        <v>9031.25</v>
      </c>
      <c r="M167">
        <v>9663.4375</v>
      </c>
      <c r="N167">
        <v>10339.878124999999</v>
      </c>
      <c r="O167" t="s">
        <v>3102</v>
      </c>
      <c r="P167" t="s">
        <v>3103</v>
      </c>
      <c r="Q167" t="s">
        <v>3104</v>
      </c>
    </row>
    <row r="168" spans="1:17" x14ac:dyDescent="0.25">
      <c r="A168" t="s">
        <v>481</v>
      </c>
      <c r="C168" t="s">
        <v>128</v>
      </c>
      <c r="D168">
        <v>18580</v>
      </c>
      <c r="E168">
        <v>0</v>
      </c>
      <c r="F168">
        <v>0</v>
      </c>
      <c r="G168">
        <v>0</v>
      </c>
      <c r="H168">
        <v>928990</v>
      </c>
      <c r="I168">
        <v>0</v>
      </c>
      <c r="J168">
        <v>-18580</v>
      </c>
      <c r="K168">
        <v>0</v>
      </c>
      <c r="L168">
        <v>0</v>
      </c>
      <c r="M168">
        <v>0</v>
      </c>
      <c r="N168">
        <v>0</v>
      </c>
      <c r="O168" t="s">
        <v>3102</v>
      </c>
      <c r="P168" t="s">
        <v>3103</v>
      </c>
      <c r="Q168" t="s">
        <v>3104</v>
      </c>
    </row>
    <row r="169" spans="1:17" x14ac:dyDescent="0.25">
      <c r="A169" t="s">
        <v>482</v>
      </c>
      <c r="C169" t="s">
        <v>150</v>
      </c>
      <c r="D169">
        <v>627000</v>
      </c>
      <c r="E169">
        <v>0</v>
      </c>
      <c r="F169">
        <v>0</v>
      </c>
      <c r="G169">
        <v>0</v>
      </c>
      <c r="H169">
        <v>928990</v>
      </c>
      <c r="I169">
        <v>0</v>
      </c>
      <c r="J169">
        <v>0</v>
      </c>
      <c r="K169">
        <v>627000</v>
      </c>
      <c r="L169">
        <v>666187.5</v>
      </c>
      <c r="M169">
        <v>712820.625</v>
      </c>
      <c r="N169">
        <v>762718.06874999998</v>
      </c>
      <c r="O169" t="s">
        <v>3102</v>
      </c>
      <c r="P169" t="s">
        <v>3103</v>
      </c>
      <c r="Q169" t="s">
        <v>3104</v>
      </c>
    </row>
    <row r="170" spans="1:17" x14ac:dyDescent="0.25">
      <c r="A170" t="s">
        <v>483</v>
      </c>
      <c r="C170" t="s">
        <v>151</v>
      </c>
      <c r="D170">
        <v>29299</v>
      </c>
      <c r="E170">
        <v>0</v>
      </c>
      <c r="F170">
        <v>0</v>
      </c>
      <c r="G170">
        <v>0</v>
      </c>
      <c r="H170">
        <v>928990</v>
      </c>
      <c r="I170">
        <v>0</v>
      </c>
      <c r="J170">
        <v>-12364.82</v>
      </c>
      <c r="K170">
        <v>16934.18</v>
      </c>
      <c r="L170">
        <v>17992.56625</v>
      </c>
      <c r="M170">
        <v>19252.0458875</v>
      </c>
      <c r="N170">
        <v>20599.689099625</v>
      </c>
      <c r="O170" t="s">
        <v>3102</v>
      </c>
      <c r="P170" t="s">
        <v>3103</v>
      </c>
      <c r="Q170" t="s">
        <v>3104</v>
      </c>
    </row>
    <row r="171" spans="1:17" x14ac:dyDescent="0.25">
      <c r="A171" t="s">
        <v>484</v>
      </c>
      <c r="C171" t="s">
        <v>152</v>
      </c>
      <c r="D171">
        <v>24000</v>
      </c>
      <c r="E171">
        <v>0</v>
      </c>
      <c r="F171">
        <v>0</v>
      </c>
      <c r="G171">
        <v>0</v>
      </c>
      <c r="H171">
        <v>928990</v>
      </c>
      <c r="I171">
        <v>0</v>
      </c>
      <c r="J171">
        <v>0</v>
      </c>
      <c r="K171">
        <v>24000</v>
      </c>
      <c r="L171">
        <v>25500</v>
      </c>
      <c r="M171">
        <v>27285</v>
      </c>
      <c r="N171">
        <v>29194.95</v>
      </c>
      <c r="O171" t="s">
        <v>3102</v>
      </c>
      <c r="P171" t="s">
        <v>3103</v>
      </c>
      <c r="Q171" t="s">
        <v>3104</v>
      </c>
    </row>
    <row r="172" spans="1:17" x14ac:dyDescent="0.25">
      <c r="A172" t="s">
        <v>485</v>
      </c>
      <c r="C172" t="s">
        <v>153</v>
      </c>
      <c r="D172">
        <v>10893</v>
      </c>
      <c r="E172">
        <v>0</v>
      </c>
      <c r="F172">
        <v>0</v>
      </c>
      <c r="G172">
        <v>0</v>
      </c>
      <c r="H172">
        <v>928990</v>
      </c>
      <c r="I172">
        <v>0</v>
      </c>
      <c r="J172">
        <v>0</v>
      </c>
      <c r="K172">
        <v>10893</v>
      </c>
      <c r="L172">
        <v>11573.8125</v>
      </c>
      <c r="M172">
        <v>12383.979375000001</v>
      </c>
      <c r="N172">
        <v>13250.857931250001</v>
      </c>
      <c r="O172" t="s">
        <v>3102</v>
      </c>
      <c r="P172" t="s">
        <v>3103</v>
      </c>
      <c r="Q172" t="s">
        <v>3104</v>
      </c>
    </row>
    <row r="173" spans="1:17" x14ac:dyDescent="0.25">
      <c r="A173" t="s">
        <v>486</v>
      </c>
      <c r="C173" t="s">
        <v>155</v>
      </c>
      <c r="D173">
        <v>20806</v>
      </c>
      <c r="E173">
        <v>0</v>
      </c>
      <c r="F173">
        <v>0</v>
      </c>
      <c r="G173">
        <v>0</v>
      </c>
      <c r="H173">
        <v>928990</v>
      </c>
      <c r="I173">
        <v>0</v>
      </c>
      <c r="J173">
        <v>0</v>
      </c>
      <c r="K173">
        <v>20806</v>
      </c>
      <c r="L173">
        <v>22106.375</v>
      </c>
      <c r="M173">
        <v>23653.821250000001</v>
      </c>
      <c r="N173">
        <v>25309.588737500002</v>
      </c>
      <c r="O173" t="s">
        <v>3102</v>
      </c>
      <c r="P173" t="s">
        <v>3103</v>
      </c>
      <c r="Q173" t="s">
        <v>3104</v>
      </c>
    </row>
    <row r="174" spans="1:17" x14ac:dyDescent="0.25">
      <c r="A174" t="s">
        <v>487</v>
      </c>
      <c r="C174" t="s">
        <v>156</v>
      </c>
      <c r="D174">
        <v>156750</v>
      </c>
      <c r="E174">
        <v>0</v>
      </c>
      <c r="F174">
        <v>0</v>
      </c>
      <c r="G174">
        <v>0</v>
      </c>
      <c r="H174">
        <v>928990</v>
      </c>
      <c r="I174">
        <v>0</v>
      </c>
      <c r="J174">
        <v>0</v>
      </c>
      <c r="K174">
        <v>156750</v>
      </c>
      <c r="L174">
        <v>166546.875</v>
      </c>
      <c r="M174">
        <v>178205.15625</v>
      </c>
      <c r="N174">
        <v>190679.51718749999</v>
      </c>
      <c r="O174" t="s">
        <v>3102</v>
      </c>
      <c r="P174" t="s">
        <v>3103</v>
      </c>
      <c r="Q174" t="s">
        <v>3104</v>
      </c>
    </row>
    <row r="175" spans="1:17" x14ac:dyDescent="0.25">
      <c r="A175" t="s">
        <v>488</v>
      </c>
      <c r="C175" t="s">
        <v>158</v>
      </c>
      <c r="D175">
        <v>12657</v>
      </c>
      <c r="E175">
        <v>0</v>
      </c>
      <c r="F175">
        <v>0</v>
      </c>
      <c r="G175">
        <v>0</v>
      </c>
      <c r="H175">
        <v>928990</v>
      </c>
      <c r="I175">
        <v>0</v>
      </c>
      <c r="J175">
        <v>-12657</v>
      </c>
      <c r="K175">
        <v>0</v>
      </c>
      <c r="L175">
        <v>0</v>
      </c>
      <c r="M175">
        <v>0</v>
      </c>
      <c r="N175">
        <v>0</v>
      </c>
      <c r="O175" t="s">
        <v>3102</v>
      </c>
      <c r="P175" t="s">
        <v>3103</v>
      </c>
      <c r="Q175" t="s">
        <v>3104</v>
      </c>
    </row>
    <row r="176" spans="1:17" x14ac:dyDescent="0.25">
      <c r="A176" t="s">
        <v>489</v>
      </c>
      <c r="C176" t="s">
        <v>159</v>
      </c>
      <c r="D176">
        <v>52250</v>
      </c>
      <c r="E176">
        <v>0</v>
      </c>
      <c r="F176">
        <v>0</v>
      </c>
      <c r="G176">
        <v>0</v>
      </c>
      <c r="H176">
        <v>928990</v>
      </c>
      <c r="I176">
        <v>0</v>
      </c>
      <c r="J176">
        <v>0</v>
      </c>
      <c r="K176">
        <v>52250</v>
      </c>
      <c r="L176">
        <v>55515.625</v>
      </c>
      <c r="M176">
        <v>59401.71875</v>
      </c>
      <c r="N176">
        <v>63559.839062500003</v>
      </c>
      <c r="O176" t="s">
        <v>3102</v>
      </c>
      <c r="P176" t="s">
        <v>3103</v>
      </c>
      <c r="Q176" t="s">
        <v>3104</v>
      </c>
    </row>
    <row r="177" spans="1:17" x14ac:dyDescent="0.25">
      <c r="A177" t="s">
        <v>490</v>
      </c>
      <c r="C177" t="s">
        <v>163</v>
      </c>
      <c r="D177">
        <v>15692</v>
      </c>
      <c r="E177">
        <v>0</v>
      </c>
      <c r="F177">
        <v>0</v>
      </c>
      <c r="G177">
        <v>0</v>
      </c>
      <c r="H177">
        <v>928990</v>
      </c>
      <c r="I177">
        <v>0</v>
      </c>
      <c r="J177">
        <v>0</v>
      </c>
      <c r="K177">
        <v>15692</v>
      </c>
      <c r="L177">
        <v>16672.75</v>
      </c>
      <c r="M177">
        <v>17839.842499999999</v>
      </c>
      <c r="N177">
        <v>19088.631474999998</v>
      </c>
      <c r="O177" t="s">
        <v>3102</v>
      </c>
      <c r="P177" t="s">
        <v>3103</v>
      </c>
      <c r="Q177" t="s">
        <v>3104</v>
      </c>
    </row>
    <row r="178" spans="1:17" x14ac:dyDescent="0.25">
      <c r="A178" t="s">
        <v>491</v>
      </c>
      <c r="C178" t="s">
        <v>164</v>
      </c>
      <c r="D178">
        <v>37160</v>
      </c>
      <c r="E178">
        <v>0</v>
      </c>
      <c r="F178">
        <v>0</v>
      </c>
      <c r="G178">
        <v>0</v>
      </c>
      <c r="H178">
        <v>928990</v>
      </c>
      <c r="I178">
        <v>0</v>
      </c>
      <c r="J178">
        <v>0</v>
      </c>
      <c r="K178">
        <v>37160</v>
      </c>
      <c r="L178">
        <v>39482.5</v>
      </c>
      <c r="M178">
        <v>42246.275000000001</v>
      </c>
      <c r="N178">
        <v>45203.51425</v>
      </c>
      <c r="O178" t="s">
        <v>3102</v>
      </c>
      <c r="P178" t="s">
        <v>3103</v>
      </c>
      <c r="Q178" t="s">
        <v>3104</v>
      </c>
    </row>
    <row r="179" spans="1:17" x14ac:dyDescent="0.25">
      <c r="A179" t="s">
        <v>492</v>
      </c>
      <c r="C179" t="s">
        <v>167</v>
      </c>
      <c r="D179">
        <v>112</v>
      </c>
      <c r="E179">
        <v>0</v>
      </c>
      <c r="F179">
        <v>0</v>
      </c>
      <c r="G179">
        <v>0</v>
      </c>
      <c r="H179">
        <v>928990</v>
      </c>
      <c r="I179">
        <v>0</v>
      </c>
      <c r="J179">
        <v>188</v>
      </c>
      <c r="K179">
        <v>300</v>
      </c>
      <c r="L179">
        <v>318.75</v>
      </c>
      <c r="M179">
        <v>341.0625</v>
      </c>
      <c r="N179">
        <v>364.93687499999999</v>
      </c>
      <c r="O179" t="s">
        <v>3102</v>
      </c>
      <c r="P179" t="s">
        <v>3103</v>
      </c>
      <c r="Q179" t="s">
        <v>3104</v>
      </c>
    </row>
    <row r="180" spans="1:17" x14ac:dyDescent="0.25">
      <c r="A180" t="s">
        <v>493</v>
      </c>
      <c r="C180" t="s">
        <v>168</v>
      </c>
      <c r="D180">
        <v>53908</v>
      </c>
      <c r="E180">
        <v>0</v>
      </c>
      <c r="F180">
        <v>0</v>
      </c>
      <c r="G180">
        <v>0</v>
      </c>
      <c r="H180">
        <v>928990</v>
      </c>
      <c r="I180">
        <v>0</v>
      </c>
      <c r="J180">
        <v>0</v>
      </c>
      <c r="K180">
        <v>53908</v>
      </c>
      <c r="L180">
        <v>57277.25</v>
      </c>
      <c r="M180">
        <v>61286.657500000001</v>
      </c>
      <c r="N180">
        <v>65576.723525000009</v>
      </c>
      <c r="O180" t="s">
        <v>3102</v>
      </c>
      <c r="P180" t="s">
        <v>3103</v>
      </c>
      <c r="Q180" t="s">
        <v>3104</v>
      </c>
    </row>
    <row r="181" spans="1:17" x14ac:dyDescent="0.25">
      <c r="A181" t="s">
        <v>494</v>
      </c>
      <c r="C181" t="s">
        <v>169</v>
      </c>
      <c r="D181">
        <v>137940</v>
      </c>
      <c r="E181">
        <v>0</v>
      </c>
      <c r="F181">
        <v>0</v>
      </c>
      <c r="G181">
        <v>0</v>
      </c>
      <c r="H181">
        <v>928990</v>
      </c>
      <c r="I181">
        <v>0</v>
      </c>
      <c r="J181">
        <v>0</v>
      </c>
      <c r="K181">
        <v>137940</v>
      </c>
      <c r="L181">
        <v>146561.25</v>
      </c>
      <c r="M181">
        <v>156820.53750000001</v>
      </c>
      <c r="N181">
        <v>167797.975125</v>
      </c>
      <c r="O181" t="s">
        <v>3102</v>
      </c>
      <c r="P181" t="s">
        <v>3103</v>
      </c>
      <c r="Q181" t="s">
        <v>3104</v>
      </c>
    </row>
    <row r="182" spans="1:17" x14ac:dyDescent="0.25">
      <c r="A182" t="s">
        <v>495</v>
      </c>
      <c r="C182" t="s">
        <v>170</v>
      </c>
      <c r="D182">
        <v>1785</v>
      </c>
      <c r="E182">
        <v>0</v>
      </c>
      <c r="F182">
        <v>0</v>
      </c>
      <c r="G182">
        <v>0</v>
      </c>
      <c r="H182">
        <v>928990</v>
      </c>
      <c r="I182">
        <v>0</v>
      </c>
      <c r="J182">
        <v>1215</v>
      </c>
      <c r="K182">
        <v>3000</v>
      </c>
      <c r="L182">
        <v>3187.5</v>
      </c>
      <c r="M182">
        <v>3410.625</v>
      </c>
      <c r="N182">
        <v>3649.3687500000001</v>
      </c>
      <c r="O182" t="s">
        <v>3102</v>
      </c>
      <c r="P182" t="s">
        <v>3103</v>
      </c>
      <c r="Q182" t="s">
        <v>3104</v>
      </c>
    </row>
    <row r="183" spans="1:17" x14ac:dyDescent="0.25">
      <c r="A183" t="s">
        <v>496</v>
      </c>
      <c r="C183" t="s">
        <v>173</v>
      </c>
      <c r="D183">
        <v>2151</v>
      </c>
      <c r="E183">
        <v>0</v>
      </c>
      <c r="F183">
        <v>0</v>
      </c>
      <c r="G183">
        <v>0</v>
      </c>
      <c r="H183">
        <v>928990</v>
      </c>
      <c r="I183">
        <v>0</v>
      </c>
      <c r="J183">
        <v>0</v>
      </c>
      <c r="K183">
        <v>2151</v>
      </c>
      <c r="L183">
        <v>2285.4375</v>
      </c>
      <c r="M183">
        <v>2445.4181250000001</v>
      </c>
      <c r="N183">
        <v>2616.5973937500003</v>
      </c>
      <c r="O183" t="s">
        <v>3102</v>
      </c>
      <c r="P183" t="s">
        <v>3103</v>
      </c>
      <c r="Q183" t="s">
        <v>3104</v>
      </c>
    </row>
    <row r="184" spans="1:17" x14ac:dyDescent="0.25">
      <c r="A184" t="s">
        <v>497</v>
      </c>
      <c r="C184" t="s">
        <v>174</v>
      </c>
      <c r="D184">
        <v>1460</v>
      </c>
      <c r="E184">
        <v>0</v>
      </c>
      <c r="F184">
        <v>0</v>
      </c>
      <c r="G184">
        <v>0</v>
      </c>
      <c r="H184">
        <v>928990</v>
      </c>
      <c r="I184">
        <v>0</v>
      </c>
      <c r="J184">
        <v>0</v>
      </c>
      <c r="K184">
        <v>1460</v>
      </c>
      <c r="L184">
        <v>1551.25</v>
      </c>
      <c r="M184">
        <v>1659.8375000000001</v>
      </c>
      <c r="N184">
        <v>1776.0261250000001</v>
      </c>
      <c r="O184" t="s">
        <v>3102</v>
      </c>
      <c r="P184" t="s">
        <v>3103</v>
      </c>
      <c r="Q184" t="s">
        <v>3104</v>
      </c>
    </row>
    <row r="185" spans="1:17" x14ac:dyDescent="0.25">
      <c r="A185" t="s">
        <v>498</v>
      </c>
      <c r="C185" t="s">
        <v>175</v>
      </c>
      <c r="D185">
        <v>14285</v>
      </c>
      <c r="E185">
        <v>0</v>
      </c>
      <c r="F185">
        <v>0</v>
      </c>
      <c r="G185">
        <v>0</v>
      </c>
      <c r="H185">
        <v>928990</v>
      </c>
      <c r="I185">
        <v>0</v>
      </c>
      <c r="J185">
        <v>0</v>
      </c>
      <c r="K185">
        <v>14285</v>
      </c>
      <c r="L185">
        <v>15177.8125</v>
      </c>
      <c r="M185">
        <v>16240.259375</v>
      </c>
      <c r="N185">
        <v>17377.077531250001</v>
      </c>
      <c r="O185" t="s">
        <v>3102</v>
      </c>
      <c r="P185" t="s">
        <v>3103</v>
      </c>
      <c r="Q185" t="s">
        <v>3104</v>
      </c>
    </row>
    <row r="186" spans="1:17" x14ac:dyDescent="0.25">
      <c r="A186" t="s">
        <v>499</v>
      </c>
      <c r="C186" t="s">
        <v>242</v>
      </c>
      <c r="D186">
        <v>84029</v>
      </c>
      <c r="E186">
        <v>0</v>
      </c>
      <c r="F186">
        <v>0</v>
      </c>
      <c r="G186">
        <v>0</v>
      </c>
      <c r="H186">
        <v>928990</v>
      </c>
      <c r="I186">
        <v>0</v>
      </c>
      <c r="J186">
        <v>-60000</v>
      </c>
      <c r="K186">
        <v>24029</v>
      </c>
      <c r="L186">
        <v>25110.305</v>
      </c>
      <c r="M186">
        <v>26265.37903</v>
      </c>
      <c r="N186">
        <v>27473.586465380002</v>
      </c>
      <c r="O186" t="s">
        <v>3102</v>
      </c>
      <c r="P186" t="s">
        <v>3110</v>
      </c>
      <c r="Q186" t="s">
        <v>3139</v>
      </c>
    </row>
    <row r="187" spans="1:17" x14ac:dyDescent="0.25">
      <c r="A187" t="s">
        <v>500</v>
      </c>
      <c r="C187" t="s">
        <v>253</v>
      </c>
      <c r="D187">
        <v>2000</v>
      </c>
      <c r="E187">
        <v>0</v>
      </c>
      <c r="F187">
        <v>0</v>
      </c>
      <c r="G187">
        <v>0</v>
      </c>
      <c r="H187">
        <v>928990</v>
      </c>
      <c r="I187">
        <v>0</v>
      </c>
      <c r="J187">
        <v>0</v>
      </c>
      <c r="K187">
        <v>2000</v>
      </c>
      <c r="L187">
        <v>2000</v>
      </c>
      <c r="M187">
        <v>2000</v>
      </c>
      <c r="N187">
        <v>2000</v>
      </c>
      <c r="O187" t="s">
        <v>3102</v>
      </c>
      <c r="P187" t="s">
        <v>3110</v>
      </c>
      <c r="Q187" t="s">
        <v>3106</v>
      </c>
    </row>
    <row r="188" spans="1:17" x14ac:dyDescent="0.25">
      <c r="A188" t="s">
        <v>501</v>
      </c>
      <c r="C188" t="s">
        <v>258</v>
      </c>
      <c r="D188">
        <v>480000</v>
      </c>
      <c r="E188">
        <v>0</v>
      </c>
      <c r="F188">
        <v>0</v>
      </c>
      <c r="G188">
        <v>0</v>
      </c>
      <c r="H188">
        <v>928990</v>
      </c>
      <c r="I188">
        <v>0</v>
      </c>
      <c r="J188">
        <v>0</v>
      </c>
      <c r="K188">
        <v>480000</v>
      </c>
      <c r="L188">
        <v>0</v>
      </c>
      <c r="M188">
        <v>0</v>
      </c>
      <c r="N188">
        <v>0</v>
      </c>
      <c r="O188" t="s">
        <v>3102</v>
      </c>
      <c r="P188" t="s">
        <v>3110</v>
      </c>
      <c r="Q188" t="s">
        <v>3104</v>
      </c>
    </row>
    <row r="189" spans="1:17" x14ac:dyDescent="0.25">
      <c r="A189" t="s">
        <v>502</v>
      </c>
      <c r="C189" t="s">
        <v>265</v>
      </c>
      <c r="D189">
        <v>64698</v>
      </c>
      <c r="E189">
        <v>0</v>
      </c>
      <c r="F189">
        <v>0</v>
      </c>
      <c r="G189">
        <v>0</v>
      </c>
      <c r="H189">
        <v>928990</v>
      </c>
      <c r="I189">
        <v>0</v>
      </c>
      <c r="J189">
        <v>-50000</v>
      </c>
      <c r="K189">
        <v>14698</v>
      </c>
      <c r="L189">
        <v>15359.41</v>
      </c>
      <c r="M189">
        <v>16065.942859999999</v>
      </c>
      <c r="N189">
        <v>16804.976231559998</v>
      </c>
      <c r="O189" t="s">
        <v>3102</v>
      </c>
      <c r="P189" t="s">
        <v>3110</v>
      </c>
      <c r="Q189" t="s">
        <v>3104</v>
      </c>
    </row>
    <row r="190" spans="1:17" x14ac:dyDescent="0.25">
      <c r="A190" t="s">
        <v>503</v>
      </c>
      <c r="C190" t="s">
        <v>268</v>
      </c>
      <c r="D190">
        <v>156818</v>
      </c>
      <c r="E190">
        <v>0</v>
      </c>
      <c r="F190">
        <v>0</v>
      </c>
      <c r="G190">
        <v>0</v>
      </c>
      <c r="H190">
        <v>928990</v>
      </c>
      <c r="I190">
        <v>0</v>
      </c>
      <c r="J190">
        <v>-49000</v>
      </c>
      <c r="K190">
        <v>107818</v>
      </c>
      <c r="L190">
        <v>112669.81</v>
      </c>
      <c r="M190">
        <v>117852.62126</v>
      </c>
      <c r="N190">
        <v>123273.84183796</v>
      </c>
      <c r="O190" t="s">
        <v>3102</v>
      </c>
      <c r="P190" t="s">
        <v>3110</v>
      </c>
      <c r="Q190" t="s">
        <v>3104</v>
      </c>
    </row>
    <row r="191" spans="1:17" x14ac:dyDescent="0.25">
      <c r="A191" t="s">
        <v>504</v>
      </c>
      <c r="C191" t="s">
        <v>269</v>
      </c>
      <c r="D191">
        <v>50000</v>
      </c>
      <c r="E191">
        <v>0</v>
      </c>
      <c r="F191">
        <v>0</v>
      </c>
      <c r="G191">
        <v>0</v>
      </c>
      <c r="H191">
        <v>928990</v>
      </c>
      <c r="I191">
        <v>0</v>
      </c>
      <c r="J191">
        <v>-30000</v>
      </c>
      <c r="K191">
        <v>20000</v>
      </c>
      <c r="L191">
        <v>20900</v>
      </c>
      <c r="M191">
        <v>21861.4</v>
      </c>
      <c r="N191">
        <v>22867.024400000002</v>
      </c>
      <c r="O191" t="s">
        <v>3102</v>
      </c>
      <c r="P191" t="s">
        <v>3110</v>
      </c>
      <c r="Q191" t="s">
        <v>3106</v>
      </c>
    </row>
    <row r="192" spans="1:17" x14ac:dyDescent="0.25">
      <c r="A192" t="s">
        <v>505</v>
      </c>
      <c r="C192" t="s">
        <v>292</v>
      </c>
      <c r="D192">
        <v>549</v>
      </c>
      <c r="E192">
        <v>0</v>
      </c>
      <c r="F192">
        <v>0</v>
      </c>
      <c r="G192">
        <v>0</v>
      </c>
      <c r="H192">
        <v>928990</v>
      </c>
      <c r="I192">
        <v>0</v>
      </c>
      <c r="J192">
        <v>0</v>
      </c>
      <c r="K192">
        <v>549</v>
      </c>
      <c r="L192">
        <v>573.70500000000004</v>
      </c>
      <c r="M192">
        <v>600.09543000000008</v>
      </c>
      <c r="N192">
        <v>627.6998197800001</v>
      </c>
      <c r="O192" t="s">
        <v>3102</v>
      </c>
      <c r="P192" t="s">
        <v>3117</v>
      </c>
      <c r="Q192" t="s">
        <v>3111</v>
      </c>
    </row>
    <row r="193" spans="1:17" x14ac:dyDescent="0.25">
      <c r="A193" t="s">
        <v>506</v>
      </c>
      <c r="C193" t="s">
        <v>293</v>
      </c>
      <c r="D193">
        <v>12600</v>
      </c>
      <c r="E193">
        <v>0</v>
      </c>
      <c r="F193">
        <v>0</v>
      </c>
      <c r="G193">
        <v>0</v>
      </c>
      <c r="H193">
        <v>928990</v>
      </c>
      <c r="I193">
        <v>0</v>
      </c>
      <c r="J193">
        <v>0</v>
      </c>
      <c r="K193">
        <v>12600</v>
      </c>
      <c r="L193">
        <v>13167</v>
      </c>
      <c r="M193">
        <v>13772.682000000001</v>
      </c>
      <c r="N193">
        <v>14406.225372000001</v>
      </c>
      <c r="O193" t="s">
        <v>3102</v>
      </c>
      <c r="P193" t="s">
        <v>3117</v>
      </c>
      <c r="Q193" t="s">
        <v>3111</v>
      </c>
    </row>
    <row r="194" spans="1:17" x14ac:dyDescent="0.25">
      <c r="A194" t="s">
        <v>507</v>
      </c>
      <c r="C194" t="s">
        <v>300</v>
      </c>
      <c r="D194">
        <v>22976</v>
      </c>
      <c r="E194">
        <v>0</v>
      </c>
      <c r="F194">
        <v>0</v>
      </c>
      <c r="G194">
        <v>0</v>
      </c>
      <c r="H194">
        <v>928990</v>
      </c>
      <c r="I194">
        <v>0</v>
      </c>
      <c r="J194">
        <v>0</v>
      </c>
      <c r="K194">
        <v>22976</v>
      </c>
      <c r="L194">
        <v>24009.919999999998</v>
      </c>
      <c r="M194">
        <v>25114.376319999999</v>
      </c>
      <c r="N194">
        <v>26269.637630720001</v>
      </c>
      <c r="O194" t="s">
        <v>3102</v>
      </c>
      <c r="P194" t="s">
        <v>3117</v>
      </c>
      <c r="Q194" t="s">
        <v>3111</v>
      </c>
    </row>
    <row r="195" spans="1:17" x14ac:dyDescent="0.25">
      <c r="A195" t="s">
        <v>509</v>
      </c>
      <c r="C195" t="s">
        <v>63</v>
      </c>
      <c r="D195">
        <v>0</v>
      </c>
      <c r="E195">
        <v>-3359.36</v>
      </c>
      <c r="F195">
        <v>0</v>
      </c>
      <c r="G195">
        <v>-23178.240000000002</v>
      </c>
      <c r="H195">
        <v>23178.240000000002</v>
      </c>
      <c r="I195">
        <v>0</v>
      </c>
      <c r="J195">
        <v>0</v>
      </c>
      <c r="K195">
        <v>-50000</v>
      </c>
      <c r="L195">
        <v>-52450</v>
      </c>
      <c r="M195">
        <v>-54967.6</v>
      </c>
      <c r="N195">
        <v>-57606.044799999996</v>
      </c>
      <c r="O195" t="s">
        <v>3100</v>
      </c>
      <c r="Q195" t="s">
        <v>3140</v>
      </c>
    </row>
    <row r="196" spans="1:17" x14ac:dyDescent="0.25">
      <c r="A196" t="s">
        <v>510</v>
      </c>
      <c r="C196" t="s">
        <v>86</v>
      </c>
      <c r="D196">
        <v>-10462</v>
      </c>
      <c r="E196">
        <v>0</v>
      </c>
      <c r="F196">
        <v>0</v>
      </c>
      <c r="G196">
        <v>-9352.99</v>
      </c>
      <c r="H196">
        <v>-1109.01</v>
      </c>
      <c r="I196">
        <v>89.39</v>
      </c>
      <c r="J196">
        <v>0</v>
      </c>
      <c r="K196">
        <v>-30462</v>
      </c>
      <c r="L196">
        <v>-31832.79</v>
      </c>
      <c r="M196">
        <v>-33297.098340000004</v>
      </c>
      <c r="N196">
        <v>-34828.764863640004</v>
      </c>
      <c r="O196" t="s">
        <v>3100</v>
      </c>
      <c r="Q196" t="s">
        <v>3101</v>
      </c>
    </row>
    <row r="197" spans="1:17" x14ac:dyDescent="0.25">
      <c r="A197" t="s">
        <v>511</v>
      </c>
      <c r="C197" t="s">
        <v>150</v>
      </c>
      <c r="D197">
        <v>663000</v>
      </c>
      <c r="E197">
        <v>0</v>
      </c>
      <c r="F197">
        <v>0</v>
      </c>
      <c r="G197">
        <v>0</v>
      </c>
      <c r="H197">
        <v>928990</v>
      </c>
      <c r="I197">
        <v>0</v>
      </c>
      <c r="J197">
        <v>0</v>
      </c>
      <c r="K197">
        <v>663000</v>
      </c>
      <c r="L197">
        <v>704437.5</v>
      </c>
      <c r="M197">
        <v>753748.125</v>
      </c>
      <c r="N197">
        <v>806510.49375000002</v>
      </c>
      <c r="O197" t="s">
        <v>3102</v>
      </c>
      <c r="P197" t="s">
        <v>3103</v>
      </c>
      <c r="Q197" t="s">
        <v>3104</v>
      </c>
    </row>
    <row r="198" spans="1:17" x14ac:dyDescent="0.25">
      <c r="A198" t="s">
        <v>512</v>
      </c>
      <c r="C198" t="s">
        <v>151</v>
      </c>
      <c r="D198">
        <v>29299</v>
      </c>
      <c r="E198">
        <v>0</v>
      </c>
      <c r="F198">
        <v>0</v>
      </c>
      <c r="G198">
        <v>0</v>
      </c>
      <c r="H198">
        <v>928990</v>
      </c>
      <c r="I198">
        <v>0</v>
      </c>
      <c r="J198">
        <v>-20831.909999999996</v>
      </c>
      <c r="K198">
        <v>8467.0900000000038</v>
      </c>
      <c r="L198">
        <v>8996.2831250000036</v>
      </c>
      <c r="M198">
        <v>9626.0229437500038</v>
      </c>
      <c r="N198">
        <v>10299.844549812504</v>
      </c>
      <c r="O198" t="s">
        <v>3102</v>
      </c>
      <c r="P198" t="s">
        <v>3103</v>
      </c>
      <c r="Q198" t="s">
        <v>3104</v>
      </c>
    </row>
    <row r="199" spans="1:17" x14ac:dyDescent="0.25">
      <c r="A199" t="s">
        <v>513</v>
      </c>
      <c r="C199" t="s">
        <v>152</v>
      </c>
      <c r="D199">
        <v>24000</v>
      </c>
      <c r="E199">
        <v>0</v>
      </c>
      <c r="F199">
        <v>0</v>
      </c>
      <c r="G199">
        <v>0</v>
      </c>
      <c r="H199">
        <v>928990</v>
      </c>
      <c r="I199">
        <v>0</v>
      </c>
      <c r="J199">
        <v>0</v>
      </c>
      <c r="K199">
        <v>24000</v>
      </c>
      <c r="L199">
        <v>25500</v>
      </c>
      <c r="M199">
        <v>27285</v>
      </c>
      <c r="N199">
        <v>29194.95</v>
      </c>
      <c r="O199" t="s">
        <v>3102</v>
      </c>
      <c r="P199" t="s">
        <v>3103</v>
      </c>
      <c r="Q199" t="s">
        <v>3104</v>
      </c>
    </row>
    <row r="200" spans="1:17" x14ac:dyDescent="0.25">
      <c r="A200" t="s">
        <v>514</v>
      </c>
      <c r="C200" t="s">
        <v>153</v>
      </c>
      <c r="D200">
        <v>10893</v>
      </c>
      <c r="E200">
        <v>0</v>
      </c>
      <c r="F200">
        <v>0</v>
      </c>
      <c r="G200">
        <v>0</v>
      </c>
      <c r="H200">
        <v>928990</v>
      </c>
      <c r="I200">
        <v>0</v>
      </c>
      <c r="J200">
        <v>0</v>
      </c>
      <c r="K200">
        <v>10893</v>
      </c>
      <c r="L200">
        <v>11573.8125</v>
      </c>
      <c r="M200">
        <v>12383.979375000001</v>
      </c>
      <c r="N200">
        <v>13250.857931250001</v>
      </c>
      <c r="O200" t="s">
        <v>3102</v>
      </c>
      <c r="P200" t="s">
        <v>3103</v>
      </c>
      <c r="Q200" t="s">
        <v>3104</v>
      </c>
    </row>
    <row r="201" spans="1:17" x14ac:dyDescent="0.25">
      <c r="A201" t="s">
        <v>515</v>
      </c>
      <c r="C201" t="s">
        <v>155</v>
      </c>
      <c r="D201">
        <v>20806</v>
      </c>
      <c r="E201">
        <v>0</v>
      </c>
      <c r="F201">
        <v>0</v>
      </c>
      <c r="G201">
        <v>0</v>
      </c>
      <c r="H201">
        <v>928990</v>
      </c>
      <c r="I201">
        <v>0</v>
      </c>
      <c r="J201">
        <v>101194</v>
      </c>
      <c r="K201">
        <v>122000</v>
      </c>
      <c r="L201">
        <v>129625</v>
      </c>
      <c r="M201">
        <v>138698.75</v>
      </c>
      <c r="N201">
        <v>148407.66250000001</v>
      </c>
      <c r="O201" t="s">
        <v>3102</v>
      </c>
      <c r="P201" t="s">
        <v>3103</v>
      </c>
      <c r="Q201" t="s">
        <v>3104</v>
      </c>
    </row>
    <row r="202" spans="1:17" x14ac:dyDescent="0.25">
      <c r="A202" t="s">
        <v>516</v>
      </c>
      <c r="C202" t="s">
        <v>156</v>
      </c>
      <c r="D202">
        <v>156750</v>
      </c>
      <c r="E202">
        <v>0</v>
      </c>
      <c r="F202">
        <v>0</v>
      </c>
      <c r="G202">
        <v>0</v>
      </c>
      <c r="H202">
        <v>928990</v>
      </c>
      <c r="I202">
        <v>0</v>
      </c>
      <c r="J202">
        <v>0</v>
      </c>
      <c r="K202">
        <v>156750</v>
      </c>
      <c r="L202">
        <v>166546.875</v>
      </c>
      <c r="M202">
        <v>178205.15625</v>
      </c>
      <c r="N202">
        <v>190679.51718749999</v>
      </c>
      <c r="O202" t="s">
        <v>3102</v>
      </c>
      <c r="P202" t="s">
        <v>3103</v>
      </c>
      <c r="Q202" t="s">
        <v>3104</v>
      </c>
    </row>
    <row r="203" spans="1:17" x14ac:dyDescent="0.25">
      <c r="A203" t="s">
        <v>517</v>
      </c>
      <c r="C203" t="s">
        <v>158</v>
      </c>
      <c r="D203">
        <v>12657</v>
      </c>
      <c r="E203">
        <v>0</v>
      </c>
      <c r="F203">
        <v>0</v>
      </c>
      <c r="G203">
        <v>0</v>
      </c>
      <c r="H203">
        <v>928990</v>
      </c>
      <c r="I203">
        <v>0</v>
      </c>
      <c r="J203">
        <v>-12657</v>
      </c>
      <c r="K203">
        <v>0</v>
      </c>
      <c r="L203">
        <v>0</v>
      </c>
      <c r="M203">
        <v>0</v>
      </c>
      <c r="N203">
        <v>0</v>
      </c>
      <c r="O203" t="s">
        <v>3102</v>
      </c>
      <c r="P203" t="s">
        <v>3103</v>
      </c>
      <c r="Q203" t="s">
        <v>3104</v>
      </c>
    </row>
    <row r="204" spans="1:17" x14ac:dyDescent="0.25">
      <c r="A204" t="s">
        <v>518</v>
      </c>
      <c r="C204" t="s">
        <v>159</v>
      </c>
      <c r="D204">
        <v>52250</v>
      </c>
      <c r="E204">
        <v>0</v>
      </c>
      <c r="F204">
        <v>0</v>
      </c>
      <c r="G204">
        <v>0</v>
      </c>
      <c r="H204">
        <v>928990</v>
      </c>
      <c r="I204">
        <v>0</v>
      </c>
      <c r="J204">
        <v>0</v>
      </c>
      <c r="K204">
        <v>52250</v>
      </c>
      <c r="L204">
        <v>55515.625</v>
      </c>
      <c r="M204">
        <v>59401.71875</v>
      </c>
      <c r="N204">
        <v>63559.839062500003</v>
      </c>
      <c r="O204" t="s">
        <v>3102</v>
      </c>
      <c r="P204" t="s">
        <v>3103</v>
      </c>
      <c r="Q204" t="s">
        <v>3104</v>
      </c>
    </row>
    <row r="205" spans="1:17" x14ac:dyDescent="0.25">
      <c r="A205" t="s">
        <v>519</v>
      </c>
      <c r="C205" t="s">
        <v>164</v>
      </c>
      <c r="D205">
        <v>15692</v>
      </c>
      <c r="E205">
        <v>0</v>
      </c>
      <c r="F205">
        <v>0</v>
      </c>
      <c r="G205">
        <v>0</v>
      </c>
      <c r="H205">
        <v>928990</v>
      </c>
      <c r="I205">
        <v>0</v>
      </c>
      <c r="J205">
        <v>0</v>
      </c>
      <c r="K205">
        <v>15692</v>
      </c>
      <c r="L205">
        <v>16672.75</v>
      </c>
      <c r="M205">
        <v>17839.842499999999</v>
      </c>
      <c r="N205">
        <v>19088.631474999998</v>
      </c>
      <c r="O205" t="s">
        <v>3102</v>
      </c>
      <c r="P205" t="s">
        <v>3103</v>
      </c>
      <c r="Q205" t="s">
        <v>3104</v>
      </c>
    </row>
    <row r="206" spans="1:17" x14ac:dyDescent="0.25">
      <c r="A206" t="s">
        <v>520</v>
      </c>
      <c r="C206" t="s">
        <v>167</v>
      </c>
      <c r="D206">
        <v>112</v>
      </c>
      <c r="E206">
        <v>0</v>
      </c>
      <c r="F206">
        <v>0</v>
      </c>
      <c r="G206">
        <v>0</v>
      </c>
      <c r="H206">
        <v>928990</v>
      </c>
      <c r="I206">
        <v>0</v>
      </c>
      <c r="J206">
        <v>0</v>
      </c>
      <c r="K206">
        <v>112</v>
      </c>
      <c r="L206">
        <v>119</v>
      </c>
      <c r="M206">
        <v>127.33</v>
      </c>
      <c r="N206">
        <v>136.2431</v>
      </c>
      <c r="O206" t="s">
        <v>3102</v>
      </c>
      <c r="P206" t="s">
        <v>3103</v>
      </c>
      <c r="Q206" t="s">
        <v>3104</v>
      </c>
    </row>
    <row r="207" spans="1:17" x14ac:dyDescent="0.25">
      <c r="A207" t="s">
        <v>521</v>
      </c>
      <c r="C207" t="s">
        <v>168</v>
      </c>
      <c r="D207">
        <v>53908</v>
      </c>
      <c r="E207">
        <v>0</v>
      </c>
      <c r="F207">
        <v>0</v>
      </c>
      <c r="G207">
        <v>0</v>
      </c>
      <c r="H207">
        <v>928990</v>
      </c>
      <c r="I207">
        <v>0</v>
      </c>
      <c r="J207">
        <v>0</v>
      </c>
      <c r="K207">
        <v>53908</v>
      </c>
      <c r="L207">
        <v>57277.25</v>
      </c>
      <c r="M207">
        <v>61286.657500000001</v>
      </c>
      <c r="N207">
        <v>65576.723525000009</v>
      </c>
      <c r="O207" t="s">
        <v>3102</v>
      </c>
      <c r="P207" t="s">
        <v>3103</v>
      </c>
      <c r="Q207" t="s">
        <v>3104</v>
      </c>
    </row>
    <row r="208" spans="1:17" x14ac:dyDescent="0.25">
      <c r="A208" t="s">
        <v>522</v>
      </c>
      <c r="C208" t="s">
        <v>169</v>
      </c>
      <c r="D208">
        <v>137940</v>
      </c>
      <c r="E208">
        <v>0</v>
      </c>
      <c r="F208">
        <v>0</v>
      </c>
      <c r="G208">
        <v>0</v>
      </c>
      <c r="H208">
        <v>928990</v>
      </c>
      <c r="I208">
        <v>0</v>
      </c>
      <c r="J208">
        <v>0</v>
      </c>
      <c r="K208">
        <v>137940</v>
      </c>
      <c r="L208">
        <v>146561.25</v>
      </c>
      <c r="M208">
        <v>156820.53750000001</v>
      </c>
      <c r="N208">
        <v>167797.975125</v>
      </c>
      <c r="O208" t="s">
        <v>3102</v>
      </c>
      <c r="P208" t="s">
        <v>3103</v>
      </c>
      <c r="Q208" t="s">
        <v>3104</v>
      </c>
    </row>
    <row r="209" spans="1:17" x14ac:dyDescent="0.25">
      <c r="A209" t="s">
        <v>523</v>
      </c>
      <c r="C209" t="s">
        <v>170</v>
      </c>
      <c r="D209">
        <v>3570</v>
      </c>
      <c r="E209">
        <v>0</v>
      </c>
      <c r="F209">
        <v>0</v>
      </c>
      <c r="G209">
        <v>0</v>
      </c>
      <c r="H209">
        <v>928990</v>
      </c>
      <c r="I209">
        <v>0</v>
      </c>
      <c r="J209">
        <v>0</v>
      </c>
      <c r="K209">
        <v>3570</v>
      </c>
      <c r="L209">
        <v>3793.125</v>
      </c>
      <c r="M209">
        <v>4058.6437500000002</v>
      </c>
      <c r="N209">
        <v>4342.7488125</v>
      </c>
      <c r="O209" t="s">
        <v>3102</v>
      </c>
      <c r="P209" t="s">
        <v>3103</v>
      </c>
      <c r="Q209" t="s">
        <v>3104</v>
      </c>
    </row>
    <row r="210" spans="1:17" x14ac:dyDescent="0.25">
      <c r="A210" t="s">
        <v>524</v>
      </c>
      <c r="C210" t="s">
        <v>173</v>
      </c>
      <c r="D210">
        <v>5543</v>
      </c>
      <c r="E210">
        <v>0</v>
      </c>
      <c r="F210">
        <v>0</v>
      </c>
      <c r="G210">
        <v>0</v>
      </c>
      <c r="H210">
        <v>928990</v>
      </c>
      <c r="I210">
        <v>0</v>
      </c>
      <c r="J210">
        <v>0</v>
      </c>
      <c r="K210">
        <v>5543</v>
      </c>
      <c r="L210">
        <v>5889.4375</v>
      </c>
      <c r="M210">
        <v>6301.6981249999999</v>
      </c>
      <c r="N210">
        <v>6742.8169937499997</v>
      </c>
      <c r="O210" t="s">
        <v>3102</v>
      </c>
      <c r="P210" t="s">
        <v>3103</v>
      </c>
      <c r="Q210" t="s">
        <v>3111</v>
      </c>
    </row>
    <row r="211" spans="1:17" x14ac:dyDescent="0.25">
      <c r="A211" t="s">
        <v>525</v>
      </c>
      <c r="C211" t="s">
        <v>174</v>
      </c>
      <c r="D211">
        <v>8283</v>
      </c>
      <c r="E211">
        <v>0</v>
      </c>
      <c r="F211">
        <v>0</v>
      </c>
      <c r="G211">
        <v>0</v>
      </c>
      <c r="H211">
        <v>928990</v>
      </c>
      <c r="I211">
        <v>0</v>
      </c>
      <c r="J211">
        <v>0</v>
      </c>
      <c r="K211">
        <v>8283</v>
      </c>
      <c r="L211">
        <v>8800.6875</v>
      </c>
      <c r="M211">
        <v>9416.7356249999993</v>
      </c>
      <c r="N211">
        <v>10075.907118749999</v>
      </c>
      <c r="O211" t="s">
        <v>3102</v>
      </c>
      <c r="P211" t="s">
        <v>3103</v>
      </c>
      <c r="Q211" t="s">
        <v>3111</v>
      </c>
    </row>
    <row r="212" spans="1:17" x14ac:dyDescent="0.25">
      <c r="A212" t="s">
        <v>526</v>
      </c>
      <c r="C212" t="s">
        <v>175</v>
      </c>
      <c r="D212">
        <v>10931</v>
      </c>
      <c r="E212">
        <v>0</v>
      </c>
      <c r="F212">
        <v>0</v>
      </c>
      <c r="G212">
        <v>0</v>
      </c>
      <c r="H212">
        <v>928990</v>
      </c>
      <c r="I212">
        <v>0</v>
      </c>
      <c r="J212">
        <v>0</v>
      </c>
      <c r="K212">
        <v>10931</v>
      </c>
      <c r="L212">
        <v>11614.1875</v>
      </c>
      <c r="M212">
        <v>12427.180625000001</v>
      </c>
      <c r="N212">
        <v>13297.083268750001</v>
      </c>
      <c r="O212" t="s">
        <v>3102</v>
      </c>
      <c r="P212" t="s">
        <v>3103</v>
      </c>
      <c r="Q212" t="s">
        <v>3111</v>
      </c>
    </row>
    <row r="213" spans="1:17" x14ac:dyDescent="0.25">
      <c r="A213" t="s">
        <v>527</v>
      </c>
      <c r="C213" t="s">
        <v>212</v>
      </c>
      <c r="D213">
        <v>802176</v>
      </c>
      <c r="E213">
        <v>0</v>
      </c>
      <c r="F213">
        <v>0</v>
      </c>
      <c r="G213">
        <v>0</v>
      </c>
      <c r="H213">
        <v>928990</v>
      </c>
      <c r="I213">
        <v>0</v>
      </c>
      <c r="J213">
        <v>-100000</v>
      </c>
      <c r="K213">
        <v>702176</v>
      </c>
      <c r="L213">
        <v>733773.92</v>
      </c>
      <c r="M213">
        <v>767527.52032000001</v>
      </c>
      <c r="N213">
        <v>802833.78625472006</v>
      </c>
      <c r="O213" t="s">
        <v>3102</v>
      </c>
      <c r="P213" t="s">
        <v>3105</v>
      </c>
      <c r="Q213" t="s">
        <v>3141</v>
      </c>
    </row>
    <row r="214" spans="1:17" x14ac:dyDescent="0.25">
      <c r="A214" t="s">
        <v>528</v>
      </c>
      <c r="B214" t="s">
        <v>1396</v>
      </c>
      <c r="C214" t="s">
        <v>224</v>
      </c>
      <c r="D214">
        <v>1200000</v>
      </c>
      <c r="E214">
        <v>0</v>
      </c>
      <c r="F214">
        <v>0</v>
      </c>
      <c r="G214">
        <v>0</v>
      </c>
      <c r="H214">
        <v>928990</v>
      </c>
      <c r="I214">
        <v>0</v>
      </c>
      <c r="J214">
        <v>-200000</v>
      </c>
      <c r="K214">
        <v>1000000</v>
      </c>
      <c r="L214">
        <v>0</v>
      </c>
      <c r="M214">
        <v>0</v>
      </c>
      <c r="N214">
        <v>0</v>
      </c>
      <c r="O214" t="s">
        <v>3102</v>
      </c>
      <c r="P214" t="s">
        <v>3105</v>
      </c>
      <c r="Q214" t="s">
        <v>3142</v>
      </c>
    </row>
    <row r="215" spans="1:17" x14ac:dyDescent="0.25">
      <c r="A215" t="s">
        <v>1339</v>
      </c>
      <c r="C215" t="s">
        <v>225</v>
      </c>
      <c r="D215">
        <v>0</v>
      </c>
      <c r="E215">
        <v>0</v>
      </c>
      <c r="F215">
        <v>0</v>
      </c>
      <c r="G215">
        <v>0</v>
      </c>
      <c r="H215">
        <v>928990</v>
      </c>
      <c r="I215">
        <v>0</v>
      </c>
      <c r="J215">
        <v>0</v>
      </c>
      <c r="K215">
        <v>0</v>
      </c>
      <c r="L215">
        <v>0</v>
      </c>
      <c r="M215">
        <v>200000</v>
      </c>
      <c r="N215">
        <v>200000</v>
      </c>
      <c r="O215" t="s">
        <v>3102</v>
      </c>
      <c r="P215" t="s">
        <v>3105</v>
      </c>
      <c r="Q215" t="s">
        <v>3143</v>
      </c>
    </row>
    <row r="216" spans="1:17" x14ac:dyDescent="0.25">
      <c r="A216" t="s">
        <v>529</v>
      </c>
      <c r="C216" t="s">
        <v>225</v>
      </c>
      <c r="D216">
        <v>600000</v>
      </c>
      <c r="E216">
        <v>0</v>
      </c>
      <c r="F216">
        <v>0</v>
      </c>
      <c r="G216">
        <v>0</v>
      </c>
      <c r="H216">
        <v>928990</v>
      </c>
      <c r="I216">
        <v>0</v>
      </c>
      <c r="J216">
        <v>-100000</v>
      </c>
      <c r="K216">
        <v>500000</v>
      </c>
      <c r="L216">
        <v>0</v>
      </c>
      <c r="M216">
        <v>0</v>
      </c>
      <c r="N216">
        <v>0</v>
      </c>
      <c r="O216" t="s">
        <v>3102</v>
      </c>
      <c r="P216" t="s">
        <v>3105</v>
      </c>
      <c r="Q216" t="s">
        <v>3144</v>
      </c>
    </row>
    <row r="217" spans="1:17" x14ac:dyDescent="0.25">
      <c r="A217" t="s">
        <v>530</v>
      </c>
      <c r="C217" t="s">
        <v>225</v>
      </c>
      <c r="D217">
        <v>500000</v>
      </c>
      <c r="E217">
        <v>0</v>
      </c>
      <c r="F217">
        <v>0</v>
      </c>
      <c r="G217">
        <v>0</v>
      </c>
      <c r="H217">
        <v>928990</v>
      </c>
      <c r="I217">
        <v>0</v>
      </c>
      <c r="J217">
        <v>-15000</v>
      </c>
      <c r="K217">
        <v>485000</v>
      </c>
      <c r="L217">
        <v>500000</v>
      </c>
      <c r="M217">
        <v>0</v>
      </c>
      <c r="N217">
        <v>500000</v>
      </c>
      <c r="O217" t="s">
        <v>3102</v>
      </c>
      <c r="P217" t="s">
        <v>3105</v>
      </c>
      <c r="Q217" t="s">
        <v>3145</v>
      </c>
    </row>
    <row r="218" spans="1:17" x14ac:dyDescent="0.25">
      <c r="A218" t="s">
        <v>531</v>
      </c>
      <c r="C218" t="s">
        <v>225</v>
      </c>
      <c r="D218">
        <v>80000</v>
      </c>
      <c r="E218">
        <v>0</v>
      </c>
      <c r="F218">
        <v>0</v>
      </c>
      <c r="G218">
        <v>0</v>
      </c>
      <c r="H218">
        <v>928990</v>
      </c>
      <c r="I218">
        <v>0</v>
      </c>
      <c r="J218">
        <v>0</v>
      </c>
      <c r="K218">
        <v>80000</v>
      </c>
      <c r="L218">
        <v>100000</v>
      </c>
      <c r="M218">
        <v>0</v>
      </c>
      <c r="N218">
        <v>0</v>
      </c>
      <c r="O218" t="s">
        <v>3102</v>
      </c>
      <c r="P218" t="s">
        <v>3105</v>
      </c>
      <c r="Q218" t="s">
        <v>3146</v>
      </c>
    </row>
    <row r="219" spans="1:17" x14ac:dyDescent="0.25">
      <c r="A219" t="s">
        <v>532</v>
      </c>
      <c r="C219" t="s">
        <v>225</v>
      </c>
      <c r="D219">
        <v>1000000</v>
      </c>
      <c r="E219">
        <v>0</v>
      </c>
      <c r="F219">
        <v>0</v>
      </c>
      <c r="G219">
        <v>0</v>
      </c>
      <c r="H219">
        <v>928990</v>
      </c>
      <c r="I219">
        <v>0</v>
      </c>
      <c r="J219">
        <v>-106650</v>
      </c>
      <c r="K219">
        <v>893350</v>
      </c>
      <c r="L219">
        <v>540000</v>
      </c>
      <c r="M219">
        <v>0</v>
      </c>
      <c r="N219">
        <v>0</v>
      </c>
      <c r="O219" t="s">
        <v>3102</v>
      </c>
      <c r="P219" t="s">
        <v>3105</v>
      </c>
      <c r="Q219" t="s">
        <v>3147</v>
      </c>
    </row>
    <row r="220" spans="1:17" x14ac:dyDescent="0.25">
      <c r="A220" t="s">
        <v>533</v>
      </c>
      <c r="B220" t="s">
        <v>3057</v>
      </c>
      <c r="C220" t="s">
        <v>238</v>
      </c>
      <c r="D220">
        <v>74600</v>
      </c>
      <c r="E220">
        <v>0</v>
      </c>
      <c r="F220">
        <v>0</v>
      </c>
      <c r="G220">
        <v>0</v>
      </c>
      <c r="H220">
        <v>928990</v>
      </c>
      <c r="I220">
        <v>0</v>
      </c>
      <c r="J220">
        <v>0</v>
      </c>
      <c r="K220">
        <v>74600</v>
      </c>
      <c r="L220">
        <v>80000</v>
      </c>
      <c r="M220">
        <v>83680</v>
      </c>
      <c r="N220">
        <v>87529.279999999999</v>
      </c>
      <c r="O220" t="s">
        <v>3102</v>
      </c>
      <c r="P220" t="s">
        <v>3105</v>
      </c>
      <c r="Q220" t="s">
        <v>3148</v>
      </c>
    </row>
    <row r="221" spans="1:17" x14ac:dyDescent="0.25">
      <c r="A221" t="s">
        <v>3076</v>
      </c>
      <c r="C221" t="s">
        <v>3059</v>
      </c>
      <c r="K221">
        <v>0</v>
      </c>
      <c r="L221">
        <v>150000</v>
      </c>
      <c r="M221">
        <v>156900</v>
      </c>
      <c r="N221">
        <v>164117.4</v>
      </c>
      <c r="O221" t="s">
        <v>3102</v>
      </c>
      <c r="P221" t="s">
        <v>3110</v>
      </c>
      <c r="Q221" t="s">
        <v>3149</v>
      </c>
    </row>
    <row r="222" spans="1:17" x14ac:dyDescent="0.25">
      <c r="A222" t="s">
        <v>534</v>
      </c>
      <c r="C222" t="s">
        <v>242</v>
      </c>
      <c r="D222">
        <v>105566</v>
      </c>
      <c r="E222">
        <v>0</v>
      </c>
      <c r="F222">
        <v>0</v>
      </c>
      <c r="G222">
        <v>0</v>
      </c>
      <c r="H222">
        <v>928990</v>
      </c>
      <c r="I222">
        <v>0</v>
      </c>
      <c r="J222">
        <v>0</v>
      </c>
      <c r="K222">
        <v>105566</v>
      </c>
      <c r="L222">
        <v>560000</v>
      </c>
      <c r="M222">
        <v>585760</v>
      </c>
      <c r="N222">
        <v>612704.96</v>
      </c>
      <c r="O222" t="s">
        <v>3102</v>
      </c>
      <c r="P222" t="s">
        <v>3110</v>
      </c>
      <c r="Q222" t="s">
        <v>3150</v>
      </c>
    </row>
    <row r="223" spans="1:17" x14ac:dyDescent="0.25">
      <c r="A223" t="s">
        <v>2746</v>
      </c>
      <c r="C223" t="s">
        <v>1340</v>
      </c>
      <c r="J223">
        <v>0</v>
      </c>
      <c r="K223">
        <v>0</v>
      </c>
      <c r="L223">
        <v>180000</v>
      </c>
      <c r="M223">
        <v>125000</v>
      </c>
      <c r="N223">
        <v>0</v>
      </c>
      <c r="O223" t="s">
        <v>3102</v>
      </c>
      <c r="P223" t="s">
        <v>3105</v>
      </c>
      <c r="Q223" t="s">
        <v>3151</v>
      </c>
    </row>
    <row r="224" spans="1:17" x14ac:dyDescent="0.25">
      <c r="A224" t="s">
        <v>535</v>
      </c>
      <c r="C224" t="s">
        <v>265</v>
      </c>
      <c r="D224">
        <v>0</v>
      </c>
      <c r="E224">
        <v>0</v>
      </c>
      <c r="F224">
        <v>0</v>
      </c>
      <c r="G224">
        <v>0</v>
      </c>
      <c r="H224">
        <v>928990</v>
      </c>
      <c r="I224">
        <v>0</v>
      </c>
      <c r="J224">
        <v>10000</v>
      </c>
      <c r="K224">
        <v>10000</v>
      </c>
      <c r="L224">
        <v>10450</v>
      </c>
      <c r="M224">
        <v>10930.7</v>
      </c>
      <c r="N224">
        <v>11433.512200000001</v>
      </c>
      <c r="O224" t="s">
        <v>3102</v>
      </c>
      <c r="P224" t="s">
        <v>3110</v>
      </c>
      <c r="Q224" t="s">
        <v>3104</v>
      </c>
    </row>
    <row r="225" spans="1:17" x14ac:dyDescent="0.25">
      <c r="A225" t="s">
        <v>536</v>
      </c>
      <c r="B225" t="s">
        <v>3058</v>
      </c>
      <c r="C225" t="s">
        <v>266</v>
      </c>
      <c r="D225">
        <v>500000</v>
      </c>
      <c r="E225">
        <v>0</v>
      </c>
      <c r="F225">
        <v>0</v>
      </c>
      <c r="G225">
        <v>0</v>
      </c>
      <c r="H225">
        <v>928990</v>
      </c>
      <c r="I225">
        <v>0</v>
      </c>
      <c r="J225">
        <v>-80000</v>
      </c>
      <c r="K225">
        <v>420000</v>
      </c>
      <c r="L225">
        <v>700000</v>
      </c>
      <c r="M225">
        <v>700000</v>
      </c>
      <c r="N225">
        <v>700000</v>
      </c>
      <c r="O225" t="s">
        <v>3102</v>
      </c>
      <c r="P225" t="s">
        <v>3110</v>
      </c>
      <c r="Q225" t="s">
        <v>3152</v>
      </c>
    </row>
    <row r="226" spans="1:17" x14ac:dyDescent="0.25">
      <c r="A226" t="s">
        <v>537</v>
      </c>
      <c r="C226" t="s">
        <v>268</v>
      </c>
      <c r="D226">
        <v>78000</v>
      </c>
      <c r="E226">
        <v>0</v>
      </c>
      <c r="F226">
        <v>0</v>
      </c>
      <c r="G226">
        <v>0</v>
      </c>
      <c r="H226">
        <v>928990</v>
      </c>
      <c r="I226">
        <v>0</v>
      </c>
      <c r="J226">
        <v>-50000</v>
      </c>
      <c r="K226">
        <v>28000</v>
      </c>
      <c r="L226">
        <v>29260</v>
      </c>
      <c r="M226">
        <v>30605.96</v>
      </c>
      <c r="N226">
        <v>32013.834159999999</v>
      </c>
      <c r="O226" t="s">
        <v>3102</v>
      </c>
      <c r="P226" t="s">
        <v>3110</v>
      </c>
      <c r="Q226" t="s">
        <v>3111</v>
      </c>
    </row>
    <row r="227" spans="1:17" x14ac:dyDescent="0.25">
      <c r="A227" t="s">
        <v>538</v>
      </c>
      <c r="C227" t="s">
        <v>293</v>
      </c>
      <c r="D227">
        <v>10946</v>
      </c>
      <c r="E227">
        <v>0</v>
      </c>
      <c r="F227">
        <v>0</v>
      </c>
      <c r="G227">
        <v>0</v>
      </c>
      <c r="H227">
        <v>928990</v>
      </c>
      <c r="I227">
        <v>0</v>
      </c>
      <c r="J227">
        <v>0</v>
      </c>
      <c r="K227">
        <v>10946</v>
      </c>
      <c r="L227">
        <v>11438.57</v>
      </c>
      <c r="M227">
        <v>11964.74422</v>
      </c>
      <c r="N227">
        <v>12515.122454120001</v>
      </c>
      <c r="O227" t="s">
        <v>3102</v>
      </c>
      <c r="P227" t="s">
        <v>3117</v>
      </c>
      <c r="Q227" t="s">
        <v>3111</v>
      </c>
    </row>
    <row r="228" spans="1:17" x14ac:dyDescent="0.25">
      <c r="A228" t="s">
        <v>540</v>
      </c>
      <c r="C228" t="s">
        <v>75</v>
      </c>
      <c r="D228">
        <v>-15000000</v>
      </c>
      <c r="E228">
        <v>0</v>
      </c>
      <c r="F228">
        <v>0</v>
      </c>
      <c r="G228">
        <v>0</v>
      </c>
      <c r="H228">
        <v>-15000000</v>
      </c>
      <c r="I228">
        <v>0</v>
      </c>
      <c r="J228">
        <v>0</v>
      </c>
      <c r="K228">
        <v>-7500000</v>
      </c>
      <c r="L228">
        <v>-7500000</v>
      </c>
      <c r="M228">
        <v>-15000000</v>
      </c>
      <c r="N228">
        <v>-15690000</v>
      </c>
      <c r="O228" t="s">
        <v>3100</v>
      </c>
      <c r="Q228" t="s">
        <v>3121</v>
      </c>
    </row>
    <row r="229" spans="1:17" x14ac:dyDescent="0.25">
      <c r="A229" t="s">
        <v>541</v>
      </c>
      <c r="C229" t="s">
        <v>82</v>
      </c>
      <c r="D229">
        <v>-4640</v>
      </c>
      <c r="E229">
        <v>0</v>
      </c>
      <c r="F229">
        <v>0</v>
      </c>
      <c r="G229">
        <v>0</v>
      </c>
      <c r="H229">
        <v>-4640</v>
      </c>
      <c r="I229">
        <v>0</v>
      </c>
      <c r="J229">
        <v>0</v>
      </c>
      <c r="K229">
        <v>-4640</v>
      </c>
      <c r="L229">
        <v>-4848.8</v>
      </c>
      <c r="M229">
        <v>-5071.8447999999999</v>
      </c>
      <c r="N229">
        <v>-5305.1496607999998</v>
      </c>
      <c r="O229" t="s">
        <v>3100</v>
      </c>
      <c r="Q229" t="s">
        <v>3101</v>
      </c>
    </row>
    <row r="230" spans="1:17" x14ac:dyDescent="0.25">
      <c r="A230" t="s">
        <v>542</v>
      </c>
      <c r="C230" t="s">
        <v>85</v>
      </c>
      <c r="D230">
        <v>-41011</v>
      </c>
      <c r="E230">
        <v>0</v>
      </c>
      <c r="F230">
        <v>0</v>
      </c>
      <c r="G230">
        <v>-13216.23</v>
      </c>
      <c r="H230">
        <v>-27794.77</v>
      </c>
      <c r="I230">
        <v>32.22</v>
      </c>
      <c r="J230">
        <v>0</v>
      </c>
      <c r="K230">
        <v>-41011</v>
      </c>
      <c r="L230">
        <v>-42856.495000000003</v>
      </c>
      <c r="M230">
        <v>-44827.893770000002</v>
      </c>
      <c r="N230">
        <v>-46889.97688342</v>
      </c>
      <c r="O230" t="s">
        <v>3100</v>
      </c>
      <c r="Q230" t="s">
        <v>3101</v>
      </c>
    </row>
    <row r="231" spans="1:17" x14ac:dyDescent="0.25">
      <c r="A231" t="s">
        <v>543</v>
      </c>
      <c r="C231" t="s">
        <v>86</v>
      </c>
      <c r="D231">
        <v>0</v>
      </c>
      <c r="E231">
        <v>0</v>
      </c>
      <c r="F231">
        <v>0</v>
      </c>
      <c r="G231">
        <v>0</v>
      </c>
      <c r="H231">
        <v>928990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 t="s">
        <v>3100</v>
      </c>
      <c r="Q231" t="s">
        <v>3101</v>
      </c>
    </row>
    <row r="232" spans="1:17" x14ac:dyDescent="0.25">
      <c r="A232" t="s">
        <v>544</v>
      </c>
      <c r="C232" t="s">
        <v>87</v>
      </c>
      <c r="D232">
        <v>-4715</v>
      </c>
      <c r="E232">
        <v>-1881.4</v>
      </c>
      <c r="F232">
        <v>0</v>
      </c>
      <c r="G232">
        <v>-2020.53</v>
      </c>
      <c r="H232">
        <v>-2694.47</v>
      </c>
      <c r="I232">
        <v>42.85</v>
      </c>
      <c r="J232">
        <v>0</v>
      </c>
      <c r="K232">
        <v>-4715</v>
      </c>
      <c r="L232">
        <v>-4927.1750000000002</v>
      </c>
      <c r="M232">
        <v>-5153.8250500000004</v>
      </c>
      <c r="N232">
        <v>-5390.9010023000001</v>
      </c>
      <c r="O232" t="s">
        <v>3100</v>
      </c>
      <c r="Q232" t="s">
        <v>3101</v>
      </c>
    </row>
    <row r="233" spans="1:17" x14ac:dyDescent="0.25">
      <c r="A233" t="s">
        <v>545</v>
      </c>
      <c r="C233" t="s">
        <v>88</v>
      </c>
      <c r="D233">
        <v>-58934</v>
      </c>
      <c r="E233">
        <v>0</v>
      </c>
      <c r="F233">
        <v>0</v>
      </c>
      <c r="G233">
        <v>0</v>
      </c>
      <c r="H233">
        <v>-58934</v>
      </c>
      <c r="I233">
        <v>0</v>
      </c>
      <c r="J233">
        <v>0</v>
      </c>
      <c r="K233">
        <v>-58934</v>
      </c>
      <c r="L233">
        <v>-61586.03</v>
      </c>
      <c r="M233">
        <v>-64418.987379999999</v>
      </c>
      <c r="N233">
        <v>-67382.260799479991</v>
      </c>
      <c r="O233" t="s">
        <v>3100</v>
      </c>
      <c r="Q233" t="s">
        <v>3101</v>
      </c>
    </row>
    <row r="234" spans="1:17" x14ac:dyDescent="0.25">
      <c r="A234" t="s">
        <v>546</v>
      </c>
      <c r="C234" t="s">
        <v>150</v>
      </c>
      <c r="D234">
        <v>1017319</v>
      </c>
      <c r="E234">
        <v>0</v>
      </c>
      <c r="F234">
        <v>0</v>
      </c>
      <c r="G234">
        <v>0</v>
      </c>
      <c r="H234">
        <v>928990</v>
      </c>
      <c r="I234">
        <v>0</v>
      </c>
      <c r="J234">
        <v>0</v>
      </c>
      <c r="K234">
        <v>1017319</v>
      </c>
      <c r="L234">
        <v>1080901.4375</v>
      </c>
      <c r="M234">
        <v>1156564.538125</v>
      </c>
      <c r="N234">
        <v>1237524.0557937499</v>
      </c>
      <c r="O234" t="s">
        <v>3102</v>
      </c>
      <c r="P234" t="s">
        <v>3103</v>
      </c>
      <c r="Q234" t="s">
        <v>3104</v>
      </c>
    </row>
    <row r="235" spans="1:17" x14ac:dyDescent="0.25">
      <c r="A235" t="s">
        <v>547</v>
      </c>
      <c r="C235" t="s">
        <v>151</v>
      </c>
      <c r="D235">
        <v>45594</v>
      </c>
      <c r="E235">
        <v>0</v>
      </c>
      <c r="F235">
        <v>0</v>
      </c>
      <c r="G235">
        <v>0</v>
      </c>
      <c r="H235">
        <v>928990</v>
      </c>
      <c r="I235">
        <v>0</v>
      </c>
      <c r="J235">
        <v>-28659.82</v>
      </c>
      <c r="K235">
        <v>16934.18</v>
      </c>
      <c r="L235">
        <v>17992.56625</v>
      </c>
      <c r="M235">
        <v>19252.0458875</v>
      </c>
      <c r="N235">
        <v>20599.689099625</v>
      </c>
      <c r="O235" t="s">
        <v>3102</v>
      </c>
      <c r="P235" t="s">
        <v>3103</v>
      </c>
      <c r="Q235" t="s">
        <v>3104</v>
      </c>
    </row>
    <row r="236" spans="1:17" x14ac:dyDescent="0.25">
      <c r="A236" t="s">
        <v>548</v>
      </c>
      <c r="C236" t="s">
        <v>152</v>
      </c>
      <c r="D236">
        <v>38100</v>
      </c>
      <c r="E236">
        <v>0</v>
      </c>
      <c r="F236">
        <v>0</v>
      </c>
      <c r="G236">
        <v>0</v>
      </c>
      <c r="H236">
        <v>928990</v>
      </c>
      <c r="I236">
        <v>0</v>
      </c>
      <c r="J236">
        <v>0</v>
      </c>
      <c r="K236">
        <v>38100</v>
      </c>
      <c r="L236">
        <v>40481.25</v>
      </c>
      <c r="M236">
        <v>43314.9375</v>
      </c>
      <c r="N236">
        <v>46346.983124999999</v>
      </c>
      <c r="O236" t="s">
        <v>3102</v>
      </c>
      <c r="P236" t="s">
        <v>3103</v>
      </c>
      <c r="Q236" t="s">
        <v>3104</v>
      </c>
    </row>
    <row r="237" spans="1:17" x14ac:dyDescent="0.25">
      <c r="A237" t="s">
        <v>549</v>
      </c>
      <c r="C237" t="s">
        <v>153</v>
      </c>
      <c r="D237">
        <v>10893</v>
      </c>
      <c r="E237">
        <v>0</v>
      </c>
      <c r="F237">
        <v>0</v>
      </c>
      <c r="G237">
        <v>0</v>
      </c>
      <c r="H237">
        <v>928990</v>
      </c>
      <c r="I237">
        <v>0</v>
      </c>
      <c r="J237">
        <v>0</v>
      </c>
      <c r="K237">
        <v>10893</v>
      </c>
      <c r="L237">
        <v>11573.8125</v>
      </c>
      <c r="M237">
        <v>12383.979375000001</v>
      </c>
      <c r="N237">
        <v>13250.857931250001</v>
      </c>
      <c r="O237" t="s">
        <v>3102</v>
      </c>
      <c r="P237" t="s">
        <v>3103</v>
      </c>
      <c r="Q237" t="s">
        <v>3104</v>
      </c>
    </row>
    <row r="238" spans="1:17" x14ac:dyDescent="0.25">
      <c r="A238" t="s">
        <v>550</v>
      </c>
      <c r="C238" t="s">
        <v>155</v>
      </c>
      <c r="D238">
        <v>32378</v>
      </c>
      <c r="E238">
        <v>0</v>
      </c>
      <c r="F238">
        <v>0</v>
      </c>
      <c r="G238">
        <v>0</v>
      </c>
      <c r="H238">
        <v>928990</v>
      </c>
      <c r="I238">
        <v>0</v>
      </c>
      <c r="J238">
        <v>0</v>
      </c>
      <c r="K238">
        <v>32378</v>
      </c>
      <c r="L238">
        <v>34401.625</v>
      </c>
      <c r="M238">
        <v>36809.738749999997</v>
      </c>
      <c r="N238">
        <v>39386.420462499998</v>
      </c>
      <c r="O238" t="s">
        <v>3102</v>
      </c>
      <c r="P238" t="s">
        <v>3103</v>
      </c>
      <c r="Q238" t="s">
        <v>3104</v>
      </c>
    </row>
    <row r="239" spans="1:17" x14ac:dyDescent="0.25">
      <c r="A239" t="s">
        <v>551</v>
      </c>
      <c r="C239" t="s">
        <v>156</v>
      </c>
      <c r="D239">
        <v>243929</v>
      </c>
      <c r="E239">
        <v>0</v>
      </c>
      <c r="F239">
        <v>0</v>
      </c>
      <c r="G239">
        <v>0</v>
      </c>
      <c r="H239">
        <v>928990</v>
      </c>
      <c r="I239">
        <v>0</v>
      </c>
      <c r="J239">
        <v>0</v>
      </c>
      <c r="K239">
        <v>243929</v>
      </c>
      <c r="L239">
        <v>259174.5625</v>
      </c>
      <c r="M239">
        <v>277316.78187499999</v>
      </c>
      <c r="N239">
        <v>296728.95660624997</v>
      </c>
      <c r="O239" t="s">
        <v>3102</v>
      </c>
      <c r="P239" t="s">
        <v>3103</v>
      </c>
      <c r="Q239" t="s">
        <v>3104</v>
      </c>
    </row>
    <row r="240" spans="1:17" x14ac:dyDescent="0.25">
      <c r="A240" t="s">
        <v>552</v>
      </c>
      <c r="C240" t="s">
        <v>158</v>
      </c>
      <c r="D240">
        <v>0</v>
      </c>
      <c r="E240">
        <v>0</v>
      </c>
      <c r="F240">
        <v>0</v>
      </c>
      <c r="G240">
        <v>0</v>
      </c>
      <c r="H240">
        <v>928990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 t="s">
        <v>3102</v>
      </c>
      <c r="P240" t="s">
        <v>3103</v>
      </c>
      <c r="Q240" t="s">
        <v>3104</v>
      </c>
    </row>
    <row r="241" spans="1:17" x14ac:dyDescent="0.25">
      <c r="A241" t="s">
        <v>553</v>
      </c>
      <c r="C241" t="s">
        <v>159</v>
      </c>
      <c r="D241">
        <v>81310</v>
      </c>
      <c r="E241">
        <v>0</v>
      </c>
      <c r="F241">
        <v>0</v>
      </c>
      <c r="G241">
        <v>0</v>
      </c>
      <c r="H241">
        <v>928990</v>
      </c>
      <c r="I241">
        <v>0</v>
      </c>
      <c r="J241">
        <v>0</v>
      </c>
      <c r="K241">
        <v>81310</v>
      </c>
      <c r="L241">
        <v>86391.875</v>
      </c>
      <c r="M241">
        <v>92439.306249999994</v>
      </c>
      <c r="N241">
        <v>98910.057687499997</v>
      </c>
      <c r="O241" t="s">
        <v>3102</v>
      </c>
      <c r="P241" t="s">
        <v>3103</v>
      </c>
      <c r="Q241" t="s">
        <v>3104</v>
      </c>
    </row>
    <row r="242" spans="1:17" x14ac:dyDescent="0.25">
      <c r="A242" t="s">
        <v>554</v>
      </c>
      <c r="C242" t="s">
        <v>164</v>
      </c>
      <c r="D242">
        <v>15692</v>
      </c>
      <c r="E242">
        <v>0</v>
      </c>
      <c r="F242">
        <v>0</v>
      </c>
      <c r="G242">
        <v>0</v>
      </c>
      <c r="H242">
        <v>928990</v>
      </c>
      <c r="I242">
        <v>0</v>
      </c>
      <c r="J242">
        <v>0</v>
      </c>
      <c r="K242">
        <v>15692</v>
      </c>
      <c r="L242">
        <v>16672.75</v>
      </c>
      <c r="M242">
        <v>17839.842499999999</v>
      </c>
      <c r="N242">
        <v>19088.631474999998</v>
      </c>
      <c r="O242" t="s">
        <v>3102</v>
      </c>
      <c r="P242" t="s">
        <v>3103</v>
      </c>
      <c r="Q242" t="s">
        <v>3104</v>
      </c>
    </row>
    <row r="243" spans="1:17" x14ac:dyDescent="0.25">
      <c r="A243" t="s">
        <v>555</v>
      </c>
      <c r="C243" t="s">
        <v>167</v>
      </c>
      <c r="D243">
        <v>225</v>
      </c>
      <c r="E243">
        <v>0</v>
      </c>
      <c r="F243">
        <v>0</v>
      </c>
      <c r="G243">
        <v>0</v>
      </c>
      <c r="H243">
        <v>928990</v>
      </c>
      <c r="I243">
        <v>0</v>
      </c>
      <c r="J243">
        <v>0</v>
      </c>
      <c r="K243">
        <v>225</v>
      </c>
      <c r="L243">
        <v>239.0625</v>
      </c>
      <c r="M243">
        <v>255.796875</v>
      </c>
      <c r="N243">
        <v>273.70265625000002</v>
      </c>
      <c r="O243" t="s">
        <v>3102</v>
      </c>
      <c r="P243" t="s">
        <v>3103</v>
      </c>
      <c r="Q243" t="s">
        <v>3104</v>
      </c>
    </row>
    <row r="244" spans="1:17" x14ac:dyDescent="0.25">
      <c r="A244" t="s">
        <v>556</v>
      </c>
      <c r="C244" t="s">
        <v>168</v>
      </c>
      <c r="D244">
        <v>107816</v>
      </c>
      <c r="E244">
        <v>0</v>
      </c>
      <c r="F244">
        <v>0</v>
      </c>
      <c r="G244">
        <v>0</v>
      </c>
      <c r="H244">
        <v>928990</v>
      </c>
      <c r="I244">
        <v>0</v>
      </c>
      <c r="J244">
        <v>0</v>
      </c>
      <c r="K244">
        <v>107816</v>
      </c>
      <c r="L244">
        <v>114554.5</v>
      </c>
      <c r="M244">
        <v>122573.315</v>
      </c>
      <c r="N244">
        <v>131153.44705000002</v>
      </c>
      <c r="O244" t="s">
        <v>3102</v>
      </c>
      <c r="P244" t="s">
        <v>3103</v>
      </c>
      <c r="Q244" t="s">
        <v>3104</v>
      </c>
    </row>
    <row r="245" spans="1:17" x14ac:dyDescent="0.25">
      <c r="A245" t="s">
        <v>557</v>
      </c>
      <c r="C245" t="s">
        <v>169</v>
      </c>
      <c r="D245">
        <v>214658</v>
      </c>
      <c r="E245">
        <v>0</v>
      </c>
      <c r="F245">
        <v>0</v>
      </c>
      <c r="G245">
        <v>0</v>
      </c>
      <c r="H245">
        <v>928990</v>
      </c>
      <c r="I245">
        <v>0</v>
      </c>
      <c r="J245">
        <v>0</v>
      </c>
      <c r="K245">
        <v>214658</v>
      </c>
      <c r="L245">
        <v>228074.125</v>
      </c>
      <c r="M245">
        <v>244039.31375</v>
      </c>
      <c r="N245">
        <v>261122.06571250001</v>
      </c>
      <c r="O245" t="s">
        <v>3102</v>
      </c>
      <c r="P245" t="s">
        <v>3103</v>
      </c>
      <c r="Q245" t="s">
        <v>3104</v>
      </c>
    </row>
    <row r="246" spans="1:17" x14ac:dyDescent="0.25">
      <c r="A246" t="s">
        <v>558</v>
      </c>
      <c r="C246" t="s">
        <v>170</v>
      </c>
      <c r="D246">
        <v>5355</v>
      </c>
      <c r="E246">
        <v>0</v>
      </c>
      <c r="F246">
        <v>0</v>
      </c>
      <c r="G246">
        <v>0</v>
      </c>
      <c r="H246">
        <v>928990</v>
      </c>
      <c r="I246">
        <v>0</v>
      </c>
      <c r="J246">
        <v>0</v>
      </c>
      <c r="K246">
        <v>5355</v>
      </c>
      <c r="L246">
        <v>5689.6875</v>
      </c>
      <c r="M246">
        <v>6087.9656249999998</v>
      </c>
      <c r="N246">
        <v>6514.12321875</v>
      </c>
      <c r="O246" t="s">
        <v>3102</v>
      </c>
      <c r="P246" t="s">
        <v>3103</v>
      </c>
      <c r="Q246" t="s">
        <v>3104</v>
      </c>
    </row>
    <row r="247" spans="1:17" x14ac:dyDescent="0.25">
      <c r="A247" t="s">
        <v>559</v>
      </c>
      <c r="C247" t="s">
        <v>173</v>
      </c>
      <c r="D247">
        <v>881</v>
      </c>
      <c r="E247">
        <v>0</v>
      </c>
      <c r="F247">
        <v>0</v>
      </c>
      <c r="G247">
        <v>0</v>
      </c>
      <c r="H247">
        <v>928990</v>
      </c>
      <c r="I247">
        <v>0</v>
      </c>
      <c r="J247">
        <v>0</v>
      </c>
      <c r="K247">
        <v>881</v>
      </c>
      <c r="L247">
        <v>936.0625</v>
      </c>
      <c r="M247">
        <v>1001.586875</v>
      </c>
      <c r="N247">
        <v>1071.6979562500001</v>
      </c>
      <c r="O247" t="s">
        <v>3102</v>
      </c>
      <c r="P247" t="s">
        <v>3103</v>
      </c>
      <c r="Q247" t="s">
        <v>3111</v>
      </c>
    </row>
    <row r="248" spans="1:17" x14ac:dyDescent="0.25">
      <c r="A248" t="s">
        <v>560</v>
      </c>
      <c r="C248" t="s">
        <v>174</v>
      </c>
      <c r="D248">
        <v>275</v>
      </c>
      <c r="E248">
        <v>0</v>
      </c>
      <c r="F248">
        <v>0</v>
      </c>
      <c r="G248">
        <v>0</v>
      </c>
      <c r="H248">
        <v>928990</v>
      </c>
      <c r="I248">
        <v>0</v>
      </c>
      <c r="J248">
        <v>0</v>
      </c>
      <c r="K248">
        <v>275</v>
      </c>
      <c r="L248">
        <v>292.1875</v>
      </c>
      <c r="M248">
        <v>312.640625</v>
      </c>
      <c r="N248">
        <v>334.52546875000002</v>
      </c>
      <c r="O248" t="s">
        <v>3102</v>
      </c>
      <c r="P248" t="s">
        <v>3103</v>
      </c>
      <c r="Q248" t="s">
        <v>3111</v>
      </c>
    </row>
    <row r="249" spans="1:17" x14ac:dyDescent="0.25">
      <c r="A249" t="s">
        <v>561</v>
      </c>
      <c r="C249" t="s">
        <v>175</v>
      </c>
      <c r="D249">
        <v>10931</v>
      </c>
      <c r="E249">
        <v>0</v>
      </c>
      <c r="F249">
        <v>0</v>
      </c>
      <c r="G249">
        <v>0</v>
      </c>
      <c r="H249">
        <v>928990</v>
      </c>
      <c r="I249">
        <v>0</v>
      </c>
      <c r="J249">
        <v>0</v>
      </c>
      <c r="K249">
        <v>10931</v>
      </c>
      <c r="L249">
        <v>11614.1875</v>
      </c>
      <c r="M249">
        <v>12427.180625000001</v>
      </c>
      <c r="N249">
        <v>13297.083268750001</v>
      </c>
      <c r="O249" t="s">
        <v>3102</v>
      </c>
      <c r="P249" t="s">
        <v>3103</v>
      </c>
      <c r="Q249" t="s">
        <v>3111</v>
      </c>
    </row>
    <row r="250" spans="1:17" x14ac:dyDescent="0.25">
      <c r="A250" t="s">
        <v>562</v>
      </c>
      <c r="C250" t="s">
        <v>265</v>
      </c>
      <c r="D250">
        <v>0</v>
      </c>
      <c r="E250">
        <v>0</v>
      </c>
      <c r="F250">
        <v>0</v>
      </c>
      <c r="G250">
        <v>0</v>
      </c>
      <c r="H250">
        <v>928990</v>
      </c>
      <c r="I250">
        <v>0</v>
      </c>
      <c r="J250">
        <v>20000</v>
      </c>
      <c r="K250">
        <v>20000</v>
      </c>
      <c r="L250">
        <v>20900</v>
      </c>
      <c r="M250">
        <v>21861.4</v>
      </c>
      <c r="N250">
        <v>22867.024400000002</v>
      </c>
      <c r="O250" t="s">
        <v>3102</v>
      </c>
      <c r="P250" t="s">
        <v>3110</v>
      </c>
      <c r="Q250" t="s">
        <v>3104</v>
      </c>
    </row>
    <row r="251" spans="1:17" x14ac:dyDescent="0.25">
      <c r="A251" t="s">
        <v>563</v>
      </c>
      <c r="C251" t="s">
        <v>268</v>
      </c>
      <c r="D251">
        <v>0</v>
      </c>
      <c r="E251">
        <v>0</v>
      </c>
      <c r="F251">
        <v>0</v>
      </c>
      <c r="G251">
        <v>0</v>
      </c>
      <c r="H251">
        <v>928990</v>
      </c>
      <c r="I251">
        <v>0</v>
      </c>
      <c r="J251">
        <v>120000</v>
      </c>
      <c r="K251">
        <v>120000</v>
      </c>
      <c r="L251">
        <v>125400</v>
      </c>
      <c r="M251">
        <v>131168.4</v>
      </c>
      <c r="N251">
        <v>137202.1464</v>
      </c>
      <c r="O251" t="s">
        <v>3102</v>
      </c>
      <c r="P251" t="s">
        <v>3110</v>
      </c>
      <c r="Q251" t="s">
        <v>3104</v>
      </c>
    </row>
    <row r="252" spans="1:17" x14ac:dyDescent="0.25">
      <c r="A252" t="s">
        <v>564</v>
      </c>
      <c r="C252" t="s">
        <v>291</v>
      </c>
      <c r="D252">
        <v>4770</v>
      </c>
      <c r="E252">
        <v>0</v>
      </c>
      <c r="F252">
        <v>0</v>
      </c>
      <c r="G252">
        <v>0</v>
      </c>
      <c r="H252">
        <v>928990</v>
      </c>
      <c r="I252">
        <v>0</v>
      </c>
      <c r="J252">
        <v>-4770</v>
      </c>
      <c r="K252">
        <v>0</v>
      </c>
      <c r="L252">
        <v>0</v>
      </c>
      <c r="M252">
        <v>0</v>
      </c>
      <c r="N252">
        <v>0</v>
      </c>
      <c r="O252" t="s">
        <v>3102</v>
      </c>
      <c r="P252" t="s">
        <v>3117</v>
      </c>
      <c r="Q252" t="s">
        <v>3111</v>
      </c>
    </row>
    <row r="253" spans="1:17" x14ac:dyDescent="0.25">
      <c r="A253" t="s">
        <v>565</v>
      </c>
      <c r="C253" t="s">
        <v>292</v>
      </c>
      <c r="D253">
        <v>4770</v>
      </c>
      <c r="E253">
        <v>0</v>
      </c>
      <c r="F253">
        <v>0</v>
      </c>
      <c r="G253">
        <v>0</v>
      </c>
      <c r="H253">
        <v>928990</v>
      </c>
      <c r="I253">
        <v>0</v>
      </c>
      <c r="J253">
        <v>0</v>
      </c>
      <c r="K253">
        <v>4770</v>
      </c>
      <c r="L253">
        <v>4984.6499999999996</v>
      </c>
      <c r="M253">
        <v>5213.9438999999993</v>
      </c>
      <c r="N253">
        <v>5453.785319399999</v>
      </c>
      <c r="O253" t="s">
        <v>3102</v>
      </c>
      <c r="P253" t="s">
        <v>3117</v>
      </c>
      <c r="Q253" t="s">
        <v>3111</v>
      </c>
    </row>
    <row r="254" spans="1:17" x14ac:dyDescent="0.25">
      <c r="A254" t="s">
        <v>566</v>
      </c>
      <c r="C254" t="s">
        <v>293</v>
      </c>
      <c r="D254">
        <v>19904</v>
      </c>
      <c r="E254">
        <v>0</v>
      </c>
      <c r="F254">
        <v>0</v>
      </c>
      <c r="G254">
        <v>0</v>
      </c>
      <c r="H254">
        <v>928990</v>
      </c>
      <c r="I254">
        <v>0</v>
      </c>
      <c r="J254">
        <v>0</v>
      </c>
      <c r="K254">
        <v>19904</v>
      </c>
      <c r="L254">
        <v>20799.68</v>
      </c>
      <c r="M254">
        <v>21756.46528</v>
      </c>
      <c r="N254">
        <v>22757.262682880002</v>
      </c>
      <c r="O254" t="s">
        <v>3102</v>
      </c>
      <c r="P254" t="s">
        <v>3117</v>
      </c>
      <c r="Q254" t="s">
        <v>3111</v>
      </c>
    </row>
    <row r="255" spans="1:17" x14ac:dyDescent="0.25">
      <c r="A255" t="s">
        <v>567</v>
      </c>
      <c r="C255" t="s">
        <v>297</v>
      </c>
      <c r="D255">
        <v>0</v>
      </c>
      <c r="E255">
        <v>0</v>
      </c>
      <c r="F255">
        <v>0</v>
      </c>
      <c r="G255">
        <v>0</v>
      </c>
      <c r="H255">
        <v>928990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 t="s">
        <v>3102</v>
      </c>
      <c r="P255" t="s">
        <v>3117</v>
      </c>
      <c r="Q255" t="s">
        <v>3111</v>
      </c>
    </row>
    <row r="256" spans="1:17" x14ac:dyDescent="0.25">
      <c r="A256" t="s">
        <v>569</v>
      </c>
      <c r="C256" t="s">
        <v>150</v>
      </c>
      <c r="D256">
        <v>210622</v>
      </c>
      <c r="E256">
        <v>0</v>
      </c>
      <c r="F256">
        <v>0</v>
      </c>
      <c r="G256">
        <v>0</v>
      </c>
      <c r="H256">
        <v>928990</v>
      </c>
      <c r="I256">
        <v>0</v>
      </c>
      <c r="J256">
        <v>0</v>
      </c>
      <c r="K256">
        <v>210622</v>
      </c>
      <c r="L256">
        <v>223785.875</v>
      </c>
      <c r="M256">
        <v>239450.88625000001</v>
      </c>
      <c r="N256">
        <v>256212.44828750001</v>
      </c>
      <c r="O256" t="s">
        <v>3102</v>
      </c>
      <c r="P256" t="s">
        <v>3103</v>
      </c>
      <c r="Q256" t="s">
        <v>3104</v>
      </c>
    </row>
    <row r="257" spans="1:17" x14ac:dyDescent="0.25">
      <c r="A257" t="s">
        <v>570</v>
      </c>
      <c r="C257" t="s">
        <v>151</v>
      </c>
      <c r="D257">
        <v>9842</v>
      </c>
      <c r="E257">
        <v>0</v>
      </c>
      <c r="F257">
        <v>0</v>
      </c>
      <c r="G257">
        <v>0</v>
      </c>
      <c r="H257">
        <v>928990</v>
      </c>
      <c r="I257">
        <v>0</v>
      </c>
      <c r="J257">
        <v>0</v>
      </c>
      <c r="K257">
        <v>9842</v>
      </c>
      <c r="L257">
        <v>10457.125</v>
      </c>
      <c r="M257">
        <v>11189.123750000001</v>
      </c>
      <c r="N257">
        <v>11972.362412500001</v>
      </c>
      <c r="O257" t="s">
        <v>3102</v>
      </c>
      <c r="P257" t="s">
        <v>3103</v>
      </c>
      <c r="Q257" t="s">
        <v>3104</v>
      </c>
    </row>
    <row r="258" spans="1:17" x14ac:dyDescent="0.25">
      <c r="A258" t="s">
        <v>571</v>
      </c>
      <c r="C258" t="s">
        <v>153</v>
      </c>
      <c r="D258">
        <v>10893</v>
      </c>
      <c r="E258">
        <v>0</v>
      </c>
      <c r="F258">
        <v>0</v>
      </c>
      <c r="G258">
        <v>0</v>
      </c>
      <c r="H258">
        <v>928990</v>
      </c>
      <c r="I258">
        <v>0</v>
      </c>
      <c r="J258">
        <v>0</v>
      </c>
      <c r="K258">
        <v>10893</v>
      </c>
      <c r="L258">
        <v>11573.8125</v>
      </c>
      <c r="M258">
        <v>12383.979375000001</v>
      </c>
      <c r="N258">
        <v>13250.857931250001</v>
      </c>
      <c r="O258" t="s">
        <v>3102</v>
      </c>
      <c r="P258" t="s">
        <v>3103</v>
      </c>
      <c r="Q258" t="s">
        <v>3104</v>
      </c>
    </row>
    <row r="259" spans="1:17" x14ac:dyDescent="0.25">
      <c r="A259" t="s">
        <v>572</v>
      </c>
      <c r="C259" t="s">
        <v>155</v>
      </c>
      <c r="D259">
        <v>6989</v>
      </c>
      <c r="E259">
        <v>0</v>
      </c>
      <c r="F259">
        <v>0</v>
      </c>
      <c r="G259">
        <v>0</v>
      </c>
      <c r="H259">
        <v>928990</v>
      </c>
      <c r="I259">
        <v>0</v>
      </c>
      <c r="J259">
        <v>0</v>
      </c>
      <c r="K259">
        <v>6989</v>
      </c>
      <c r="L259">
        <v>7425.8125</v>
      </c>
      <c r="M259">
        <v>7945.6193750000002</v>
      </c>
      <c r="N259">
        <v>8501.8127312500001</v>
      </c>
      <c r="O259" t="s">
        <v>3102</v>
      </c>
      <c r="P259" t="s">
        <v>3103</v>
      </c>
      <c r="Q259" t="s">
        <v>3104</v>
      </c>
    </row>
    <row r="260" spans="1:17" x14ac:dyDescent="0.25">
      <c r="A260" t="s">
        <v>573</v>
      </c>
      <c r="C260" t="s">
        <v>157</v>
      </c>
      <c r="D260">
        <v>7374</v>
      </c>
      <c r="E260">
        <v>0</v>
      </c>
      <c r="F260">
        <v>0</v>
      </c>
      <c r="G260">
        <v>0</v>
      </c>
      <c r="H260">
        <v>928990</v>
      </c>
      <c r="I260">
        <v>0</v>
      </c>
      <c r="J260">
        <v>0</v>
      </c>
      <c r="K260">
        <v>7374</v>
      </c>
      <c r="L260">
        <v>7834.875</v>
      </c>
      <c r="M260">
        <v>8383.3162499999999</v>
      </c>
      <c r="N260">
        <v>8970.1483874999994</v>
      </c>
      <c r="O260" t="s">
        <v>3102</v>
      </c>
      <c r="P260" t="s">
        <v>3103</v>
      </c>
      <c r="Q260" t="s">
        <v>3104</v>
      </c>
    </row>
    <row r="261" spans="1:17" x14ac:dyDescent="0.25">
      <c r="A261" t="s">
        <v>574</v>
      </c>
      <c r="C261" t="s">
        <v>159</v>
      </c>
      <c r="D261">
        <v>17552</v>
      </c>
      <c r="E261">
        <v>0</v>
      </c>
      <c r="F261">
        <v>0</v>
      </c>
      <c r="G261">
        <v>0</v>
      </c>
      <c r="H261">
        <v>928990</v>
      </c>
      <c r="I261">
        <v>0</v>
      </c>
      <c r="J261">
        <v>0</v>
      </c>
      <c r="K261">
        <v>17552</v>
      </c>
      <c r="L261">
        <v>18649</v>
      </c>
      <c r="M261">
        <v>19954.43</v>
      </c>
      <c r="N261">
        <v>21351.240099999999</v>
      </c>
      <c r="O261" t="s">
        <v>3102</v>
      </c>
      <c r="P261" t="s">
        <v>3103</v>
      </c>
      <c r="Q261" t="s">
        <v>3104</v>
      </c>
    </row>
    <row r="262" spans="1:17" x14ac:dyDescent="0.25">
      <c r="A262" t="s">
        <v>575</v>
      </c>
      <c r="C262" t="s">
        <v>167</v>
      </c>
      <c r="D262">
        <v>112</v>
      </c>
      <c r="E262">
        <v>0</v>
      </c>
      <c r="F262">
        <v>0</v>
      </c>
      <c r="G262">
        <v>0</v>
      </c>
      <c r="H262">
        <v>928990</v>
      </c>
      <c r="I262">
        <v>0</v>
      </c>
      <c r="J262">
        <v>0</v>
      </c>
      <c r="K262">
        <v>112</v>
      </c>
      <c r="L262">
        <v>119</v>
      </c>
      <c r="M262">
        <v>127.33</v>
      </c>
      <c r="N262">
        <v>136.2431</v>
      </c>
      <c r="O262" t="s">
        <v>3102</v>
      </c>
      <c r="P262" t="s">
        <v>3103</v>
      </c>
      <c r="Q262" t="s">
        <v>3104</v>
      </c>
    </row>
    <row r="263" spans="1:17" x14ac:dyDescent="0.25">
      <c r="A263" t="s">
        <v>576</v>
      </c>
      <c r="C263" t="s">
        <v>168</v>
      </c>
      <c r="D263">
        <v>53908</v>
      </c>
      <c r="E263">
        <v>0</v>
      </c>
      <c r="F263">
        <v>0</v>
      </c>
      <c r="G263">
        <v>0</v>
      </c>
      <c r="H263">
        <v>928990</v>
      </c>
      <c r="I263">
        <v>0</v>
      </c>
      <c r="J263">
        <v>0</v>
      </c>
      <c r="K263">
        <v>53908</v>
      </c>
      <c r="L263">
        <v>57277.25</v>
      </c>
      <c r="M263">
        <v>61286.657500000001</v>
      </c>
      <c r="N263">
        <v>65576.723525000009</v>
      </c>
      <c r="O263" t="s">
        <v>3102</v>
      </c>
      <c r="P263" t="s">
        <v>3103</v>
      </c>
      <c r="Q263" t="s">
        <v>3104</v>
      </c>
    </row>
    <row r="264" spans="1:17" x14ac:dyDescent="0.25">
      <c r="A264" t="s">
        <v>577</v>
      </c>
      <c r="C264" t="s">
        <v>169</v>
      </c>
      <c r="D264">
        <v>46337</v>
      </c>
      <c r="E264">
        <v>0</v>
      </c>
      <c r="F264">
        <v>0</v>
      </c>
      <c r="G264">
        <v>0</v>
      </c>
      <c r="H264">
        <v>928990</v>
      </c>
      <c r="I264">
        <v>0</v>
      </c>
      <c r="J264">
        <v>0</v>
      </c>
      <c r="K264">
        <v>46337</v>
      </c>
      <c r="L264">
        <v>49233.0625</v>
      </c>
      <c r="M264">
        <v>52679.376875000002</v>
      </c>
      <c r="N264">
        <v>56366.933256249999</v>
      </c>
      <c r="O264" t="s">
        <v>3102</v>
      </c>
      <c r="P264" t="s">
        <v>3103</v>
      </c>
      <c r="Q264" t="s">
        <v>3104</v>
      </c>
    </row>
    <row r="265" spans="1:17" x14ac:dyDescent="0.25">
      <c r="A265" t="s">
        <v>578</v>
      </c>
      <c r="C265" t="s">
        <v>170</v>
      </c>
      <c r="D265">
        <v>1785</v>
      </c>
      <c r="E265">
        <v>0</v>
      </c>
      <c r="F265">
        <v>0</v>
      </c>
      <c r="G265">
        <v>0</v>
      </c>
      <c r="H265">
        <v>928990</v>
      </c>
      <c r="I265">
        <v>0</v>
      </c>
      <c r="J265">
        <v>0</v>
      </c>
      <c r="K265">
        <v>1785</v>
      </c>
      <c r="L265">
        <v>1896.5625</v>
      </c>
      <c r="M265">
        <v>2029.3218750000001</v>
      </c>
      <c r="N265">
        <v>2171.37440625</v>
      </c>
      <c r="O265" t="s">
        <v>3102</v>
      </c>
      <c r="P265" t="s">
        <v>3103</v>
      </c>
      <c r="Q265" t="s">
        <v>3104</v>
      </c>
    </row>
    <row r="266" spans="1:17" x14ac:dyDescent="0.25">
      <c r="A266" t="s">
        <v>579</v>
      </c>
      <c r="C266" t="s">
        <v>173</v>
      </c>
      <c r="D266">
        <v>312</v>
      </c>
      <c r="E266">
        <v>0</v>
      </c>
      <c r="F266">
        <v>0</v>
      </c>
      <c r="G266">
        <v>0</v>
      </c>
      <c r="H266">
        <v>928990</v>
      </c>
      <c r="I266">
        <v>0</v>
      </c>
      <c r="J266">
        <v>0</v>
      </c>
      <c r="K266">
        <v>312</v>
      </c>
      <c r="L266">
        <v>331.5</v>
      </c>
      <c r="M266">
        <v>354.70499999999998</v>
      </c>
      <c r="N266">
        <v>379.53434999999996</v>
      </c>
      <c r="O266" t="s">
        <v>3102</v>
      </c>
      <c r="P266" t="s">
        <v>3103</v>
      </c>
      <c r="Q266" t="s">
        <v>3111</v>
      </c>
    </row>
    <row r="267" spans="1:17" x14ac:dyDescent="0.25">
      <c r="A267" t="s">
        <v>580</v>
      </c>
      <c r="C267" t="s">
        <v>174</v>
      </c>
      <c r="D267">
        <v>113</v>
      </c>
      <c r="E267">
        <v>0</v>
      </c>
      <c r="F267">
        <v>0</v>
      </c>
      <c r="G267">
        <v>0</v>
      </c>
      <c r="H267">
        <v>928990</v>
      </c>
      <c r="I267">
        <v>0</v>
      </c>
      <c r="J267">
        <v>0</v>
      </c>
      <c r="K267">
        <v>113</v>
      </c>
      <c r="L267">
        <v>120.0625</v>
      </c>
      <c r="M267">
        <v>128.46687499999999</v>
      </c>
      <c r="N267">
        <v>137.45955624999999</v>
      </c>
      <c r="O267" t="s">
        <v>3102</v>
      </c>
      <c r="P267" t="s">
        <v>3103</v>
      </c>
      <c r="Q267" t="s">
        <v>3111</v>
      </c>
    </row>
    <row r="268" spans="1:17" x14ac:dyDescent="0.25">
      <c r="A268" t="s">
        <v>581</v>
      </c>
      <c r="C268" t="s">
        <v>175</v>
      </c>
      <c r="D268">
        <v>944</v>
      </c>
      <c r="E268">
        <v>0</v>
      </c>
      <c r="F268">
        <v>0</v>
      </c>
      <c r="G268">
        <v>0</v>
      </c>
      <c r="H268">
        <v>928990</v>
      </c>
      <c r="I268">
        <v>0</v>
      </c>
      <c r="J268">
        <v>0</v>
      </c>
      <c r="K268">
        <v>944</v>
      </c>
      <c r="L268">
        <v>1003</v>
      </c>
      <c r="M268">
        <v>1073.21</v>
      </c>
      <c r="N268">
        <v>1148.3347000000001</v>
      </c>
      <c r="O268" t="s">
        <v>3102</v>
      </c>
      <c r="P268" t="s">
        <v>3103</v>
      </c>
      <c r="Q268" t="s">
        <v>3111</v>
      </c>
    </row>
    <row r="269" spans="1:17" x14ac:dyDescent="0.25">
      <c r="A269" t="s">
        <v>583</v>
      </c>
      <c r="C269" t="s">
        <v>100</v>
      </c>
      <c r="D269">
        <v>891108</v>
      </c>
      <c r="E269">
        <v>91950.73</v>
      </c>
      <c r="F269">
        <v>0</v>
      </c>
      <c r="G269">
        <v>551704.38</v>
      </c>
      <c r="H269">
        <v>339403.62</v>
      </c>
      <c r="I269">
        <v>61.91</v>
      </c>
      <c r="J269">
        <v>0</v>
      </c>
      <c r="K269">
        <v>891108</v>
      </c>
      <c r="L269">
        <v>946802.25</v>
      </c>
      <c r="M269">
        <v>1013078.4075</v>
      </c>
      <c r="N269">
        <v>1083993.8960249999</v>
      </c>
      <c r="O269" t="s">
        <v>3102</v>
      </c>
      <c r="P269" t="s">
        <v>3103</v>
      </c>
      <c r="Q269" t="s">
        <v>3104</v>
      </c>
    </row>
    <row r="270" spans="1:17" x14ac:dyDescent="0.25">
      <c r="A270" t="s">
        <v>584</v>
      </c>
      <c r="C270" t="s">
        <v>101</v>
      </c>
      <c r="D270">
        <v>44555</v>
      </c>
      <c r="E270">
        <v>91950.73</v>
      </c>
      <c r="F270">
        <v>0</v>
      </c>
      <c r="G270">
        <v>551704.38</v>
      </c>
      <c r="H270">
        <v>339403.62</v>
      </c>
      <c r="I270">
        <v>61.91</v>
      </c>
      <c r="J270">
        <v>0</v>
      </c>
      <c r="K270">
        <v>44555</v>
      </c>
      <c r="L270">
        <v>47339.6875</v>
      </c>
      <c r="M270">
        <v>50653.465624999997</v>
      </c>
      <c r="N270">
        <v>54199.208218749998</v>
      </c>
      <c r="O270" t="s">
        <v>3102</v>
      </c>
      <c r="P270" t="s">
        <v>3103</v>
      </c>
      <c r="Q270" t="s">
        <v>3104</v>
      </c>
    </row>
    <row r="271" spans="1:17" x14ac:dyDescent="0.25">
      <c r="A271" t="s">
        <v>585</v>
      </c>
      <c r="C271" t="s">
        <v>102</v>
      </c>
      <c r="D271">
        <v>40000</v>
      </c>
      <c r="E271">
        <v>91950.73</v>
      </c>
      <c r="F271">
        <v>0</v>
      </c>
      <c r="G271">
        <v>551704.38</v>
      </c>
      <c r="H271">
        <v>339403.62</v>
      </c>
      <c r="I271">
        <v>61.91</v>
      </c>
      <c r="J271">
        <v>0</v>
      </c>
      <c r="K271">
        <v>40000</v>
      </c>
      <c r="L271">
        <v>42500</v>
      </c>
      <c r="M271">
        <v>45475</v>
      </c>
      <c r="N271">
        <v>48658.25</v>
      </c>
      <c r="O271" t="s">
        <v>3102</v>
      </c>
      <c r="P271" t="s">
        <v>3103</v>
      </c>
      <c r="Q271" t="s">
        <v>3104</v>
      </c>
    </row>
    <row r="272" spans="1:17" x14ac:dyDescent="0.25">
      <c r="A272" t="s">
        <v>586</v>
      </c>
      <c r="C272" t="s">
        <v>103</v>
      </c>
      <c r="D272">
        <v>253608</v>
      </c>
      <c r="E272">
        <v>91950.73</v>
      </c>
      <c r="F272">
        <v>0</v>
      </c>
      <c r="G272">
        <v>551704.38</v>
      </c>
      <c r="H272">
        <v>339403.62</v>
      </c>
      <c r="I272">
        <v>61.91</v>
      </c>
      <c r="J272">
        <v>0</v>
      </c>
      <c r="K272">
        <v>253608</v>
      </c>
      <c r="L272">
        <v>269458.5</v>
      </c>
      <c r="M272">
        <v>288320.59499999997</v>
      </c>
      <c r="N272">
        <v>308503.03664999997</v>
      </c>
      <c r="O272" t="s">
        <v>3102</v>
      </c>
      <c r="P272" t="s">
        <v>3103</v>
      </c>
      <c r="Q272" t="s">
        <v>3104</v>
      </c>
    </row>
    <row r="273" spans="1:17" x14ac:dyDescent="0.25">
      <c r="A273" t="s">
        <v>587</v>
      </c>
      <c r="C273" t="s">
        <v>104</v>
      </c>
      <c r="D273">
        <v>31385</v>
      </c>
      <c r="E273">
        <v>91950.73</v>
      </c>
      <c r="F273">
        <v>0</v>
      </c>
      <c r="G273">
        <v>551704.38</v>
      </c>
      <c r="H273">
        <v>339403.62</v>
      </c>
      <c r="I273">
        <v>61.91</v>
      </c>
      <c r="J273">
        <v>0</v>
      </c>
      <c r="K273">
        <v>31385</v>
      </c>
      <c r="L273">
        <v>33346.5625</v>
      </c>
      <c r="M273">
        <v>35680.821875000001</v>
      </c>
      <c r="N273">
        <v>38178.47940625</v>
      </c>
      <c r="O273" t="s">
        <v>3102</v>
      </c>
      <c r="P273" t="s">
        <v>3103</v>
      </c>
      <c r="Q273" t="s">
        <v>3104</v>
      </c>
    </row>
    <row r="274" spans="1:17" x14ac:dyDescent="0.25">
      <c r="A274" t="s">
        <v>588</v>
      </c>
      <c r="C274" t="s">
        <v>105</v>
      </c>
      <c r="D274">
        <v>17004</v>
      </c>
      <c r="E274">
        <v>91950.73</v>
      </c>
      <c r="F274">
        <v>0</v>
      </c>
      <c r="G274">
        <v>551704.38</v>
      </c>
      <c r="H274">
        <v>339403.62</v>
      </c>
      <c r="I274">
        <v>61.91</v>
      </c>
      <c r="J274">
        <v>0</v>
      </c>
      <c r="K274">
        <v>17004</v>
      </c>
      <c r="L274">
        <v>18066.75</v>
      </c>
      <c r="M274">
        <v>19331.422500000001</v>
      </c>
      <c r="N274">
        <v>20684.622074999999</v>
      </c>
      <c r="O274" t="s">
        <v>3102</v>
      </c>
      <c r="P274" t="s">
        <v>3103</v>
      </c>
      <c r="Q274" t="s">
        <v>3104</v>
      </c>
    </row>
    <row r="275" spans="1:17" x14ac:dyDescent="0.25">
      <c r="A275" t="s">
        <v>589</v>
      </c>
      <c r="C275" t="s">
        <v>150</v>
      </c>
      <c r="D275">
        <v>1773819</v>
      </c>
      <c r="E275">
        <v>91950.73</v>
      </c>
      <c r="F275">
        <v>0</v>
      </c>
      <c r="G275">
        <v>551704.38</v>
      </c>
      <c r="H275">
        <v>339403.62</v>
      </c>
      <c r="I275">
        <v>61.91</v>
      </c>
      <c r="J275">
        <v>0</v>
      </c>
      <c r="K275">
        <v>1773819</v>
      </c>
      <c r="L275">
        <v>1884682.6875</v>
      </c>
      <c r="M275">
        <v>2016610.475625</v>
      </c>
      <c r="N275">
        <v>2157773.2089187498</v>
      </c>
      <c r="O275" t="s">
        <v>3102</v>
      </c>
      <c r="P275" t="s">
        <v>3103</v>
      </c>
      <c r="Q275" t="s">
        <v>3104</v>
      </c>
    </row>
    <row r="276" spans="1:17" x14ac:dyDescent="0.25">
      <c r="A276" t="s">
        <v>590</v>
      </c>
      <c r="C276" t="s">
        <v>151</v>
      </c>
      <c r="D276">
        <v>88691</v>
      </c>
      <c r="E276">
        <v>91950.73</v>
      </c>
      <c r="F276">
        <v>0</v>
      </c>
      <c r="G276">
        <v>551704.38</v>
      </c>
      <c r="H276">
        <v>339403.62</v>
      </c>
      <c r="I276">
        <v>61.91</v>
      </c>
      <c r="J276">
        <v>-63289.729999999996</v>
      </c>
      <c r="K276">
        <v>25401.270000000004</v>
      </c>
      <c r="L276">
        <v>26988.849375000005</v>
      </c>
      <c r="M276">
        <v>28878.068831250006</v>
      </c>
      <c r="N276">
        <v>30899.533649437508</v>
      </c>
      <c r="O276" t="s">
        <v>3102</v>
      </c>
      <c r="P276" t="s">
        <v>3103</v>
      </c>
      <c r="Q276" t="s">
        <v>3104</v>
      </c>
    </row>
    <row r="277" spans="1:17" x14ac:dyDescent="0.25">
      <c r="A277" t="s">
        <v>591</v>
      </c>
      <c r="C277" t="s">
        <v>152</v>
      </c>
      <c r="D277">
        <v>62100</v>
      </c>
      <c r="E277">
        <v>91950.73</v>
      </c>
      <c r="F277">
        <v>0</v>
      </c>
      <c r="G277">
        <v>551704.38</v>
      </c>
      <c r="H277">
        <v>339403.62</v>
      </c>
      <c r="I277">
        <v>61.91</v>
      </c>
      <c r="J277">
        <v>0</v>
      </c>
      <c r="K277">
        <v>62100</v>
      </c>
      <c r="L277">
        <v>65981.25</v>
      </c>
      <c r="M277">
        <v>70599.9375</v>
      </c>
      <c r="N277">
        <v>75541.933124999996</v>
      </c>
      <c r="O277" t="s">
        <v>3102</v>
      </c>
      <c r="P277" t="s">
        <v>3103</v>
      </c>
      <c r="Q277" t="s">
        <v>3104</v>
      </c>
    </row>
    <row r="278" spans="1:17" x14ac:dyDescent="0.25">
      <c r="A278" t="s">
        <v>592</v>
      </c>
      <c r="C278" t="s">
        <v>153</v>
      </c>
      <c r="D278">
        <v>21786</v>
      </c>
      <c r="E278">
        <v>91950.73</v>
      </c>
      <c r="F278">
        <v>0</v>
      </c>
      <c r="G278">
        <v>551704.38</v>
      </c>
      <c r="H278">
        <v>339403.62</v>
      </c>
      <c r="I278">
        <v>61.91</v>
      </c>
      <c r="J278">
        <v>0</v>
      </c>
      <c r="K278">
        <v>21786</v>
      </c>
      <c r="L278">
        <v>23147.625</v>
      </c>
      <c r="M278">
        <v>24767.958750000002</v>
      </c>
      <c r="N278">
        <v>26501.715862500001</v>
      </c>
      <c r="O278" t="s">
        <v>3102</v>
      </c>
      <c r="P278" t="s">
        <v>3103</v>
      </c>
      <c r="Q278" t="s">
        <v>3104</v>
      </c>
    </row>
    <row r="279" spans="1:17" x14ac:dyDescent="0.25">
      <c r="A279" t="s">
        <v>593</v>
      </c>
      <c r="C279" t="s">
        <v>155</v>
      </c>
      <c r="D279">
        <v>58863</v>
      </c>
      <c r="E279">
        <v>91950.73</v>
      </c>
      <c r="F279">
        <v>0</v>
      </c>
      <c r="G279">
        <v>551704.38</v>
      </c>
      <c r="H279">
        <v>339403.62</v>
      </c>
      <c r="I279">
        <v>61.91</v>
      </c>
      <c r="J279">
        <v>0</v>
      </c>
      <c r="K279">
        <v>58863</v>
      </c>
      <c r="L279">
        <v>62541.9375</v>
      </c>
      <c r="M279">
        <v>66919.873124999998</v>
      </c>
      <c r="N279">
        <v>71604.264243750004</v>
      </c>
      <c r="O279" t="s">
        <v>3102</v>
      </c>
      <c r="P279" t="s">
        <v>3103</v>
      </c>
      <c r="Q279" t="s">
        <v>3104</v>
      </c>
    </row>
    <row r="280" spans="1:17" x14ac:dyDescent="0.25">
      <c r="A280" t="s">
        <v>594</v>
      </c>
      <c r="C280" t="s">
        <v>156</v>
      </c>
      <c r="D280">
        <v>443455</v>
      </c>
      <c r="E280">
        <v>91950.73</v>
      </c>
      <c r="F280">
        <v>0</v>
      </c>
      <c r="G280">
        <v>551704.38</v>
      </c>
      <c r="H280">
        <v>339403.62</v>
      </c>
      <c r="I280">
        <v>61.91</v>
      </c>
      <c r="J280">
        <v>0</v>
      </c>
      <c r="K280">
        <v>443455</v>
      </c>
      <c r="L280">
        <v>471170.9375</v>
      </c>
      <c r="M280">
        <v>504152.90312500001</v>
      </c>
      <c r="N280">
        <v>539443.60634375003</v>
      </c>
      <c r="O280" t="s">
        <v>3102</v>
      </c>
      <c r="P280" t="s">
        <v>3103</v>
      </c>
      <c r="Q280" t="s">
        <v>3104</v>
      </c>
    </row>
    <row r="281" spans="1:17" x14ac:dyDescent="0.25">
      <c r="A281" t="s">
        <v>595</v>
      </c>
      <c r="C281" t="s">
        <v>158</v>
      </c>
      <c r="D281">
        <v>35475</v>
      </c>
      <c r="E281">
        <v>91950.73</v>
      </c>
      <c r="F281">
        <v>0</v>
      </c>
      <c r="G281">
        <v>551704.38</v>
      </c>
      <c r="H281">
        <v>339403.62</v>
      </c>
      <c r="I281">
        <v>61.91</v>
      </c>
      <c r="J281">
        <v>-35475</v>
      </c>
      <c r="K281">
        <v>0</v>
      </c>
      <c r="L281">
        <v>0</v>
      </c>
      <c r="M281">
        <v>0</v>
      </c>
      <c r="N281">
        <v>0</v>
      </c>
      <c r="O281" t="s">
        <v>3102</v>
      </c>
      <c r="P281" t="s">
        <v>3103</v>
      </c>
      <c r="Q281" t="s">
        <v>3104</v>
      </c>
    </row>
    <row r="282" spans="1:17" x14ac:dyDescent="0.25">
      <c r="A282" t="s">
        <v>596</v>
      </c>
      <c r="C282" t="s">
        <v>159</v>
      </c>
      <c r="D282">
        <v>147818</v>
      </c>
      <c r="E282">
        <v>91950.73</v>
      </c>
      <c r="F282">
        <v>0</v>
      </c>
      <c r="G282">
        <v>551704.38</v>
      </c>
      <c r="H282">
        <v>339403.62</v>
      </c>
      <c r="I282">
        <v>61.91</v>
      </c>
      <c r="J282">
        <v>0</v>
      </c>
      <c r="K282">
        <v>147818</v>
      </c>
      <c r="L282">
        <v>157056.625</v>
      </c>
      <c r="M282">
        <v>168050.58875</v>
      </c>
      <c r="N282">
        <v>179814.12996249998</v>
      </c>
      <c r="O282" t="s">
        <v>3102</v>
      </c>
      <c r="P282" t="s">
        <v>3103</v>
      </c>
      <c r="Q282" t="s">
        <v>3104</v>
      </c>
    </row>
    <row r="283" spans="1:17" x14ac:dyDescent="0.25">
      <c r="A283" t="s">
        <v>597</v>
      </c>
      <c r="C283" t="s">
        <v>164</v>
      </c>
      <c r="D283">
        <v>44412</v>
      </c>
      <c r="E283">
        <v>91950.73</v>
      </c>
      <c r="F283">
        <v>0</v>
      </c>
      <c r="G283">
        <v>551704.38</v>
      </c>
      <c r="H283">
        <v>339403.62</v>
      </c>
      <c r="I283">
        <v>61.91</v>
      </c>
      <c r="J283">
        <v>149534.76</v>
      </c>
      <c r="K283">
        <v>193946.76</v>
      </c>
      <c r="L283">
        <v>206068.4325</v>
      </c>
      <c r="M283">
        <v>220493.222775</v>
      </c>
      <c r="N283">
        <v>235927.74836925001</v>
      </c>
      <c r="O283" t="s">
        <v>3102</v>
      </c>
      <c r="P283" t="s">
        <v>3103</v>
      </c>
      <c r="Q283" t="s">
        <v>3104</v>
      </c>
    </row>
    <row r="284" spans="1:17" x14ac:dyDescent="0.25">
      <c r="A284" t="s">
        <v>598</v>
      </c>
      <c r="C284" t="s">
        <v>167</v>
      </c>
      <c r="D284">
        <v>449</v>
      </c>
      <c r="E284">
        <v>91950.73</v>
      </c>
      <c r="F284">
        <v>0</v>
      </c>
      <c r="G284">
        <v>551704.38</v>
      </c>
      <c r="H284">
        <v>339403.62</v>
      </c>
      <c r="I284">
        <v>61.91</v>
      </c>
      <c r="J284">
        <v>0</v>
      </c>
      <c r="K284">
        <v>449</v>
      </c>
      <c r="L284">
        <v>477.0625</v>
      </c>
      <c r="M284">
        <v>510.45687499999997</v>
      </c>
      <c r="N284">
        <v>546.18885624999996</v>
      </c>
      <c r="O284" t="s">
        <v>3102</v>
      </c>
      <c r="P284" t="s">
        <v>3103</v>
      </c>
      <c r="Q284" t="s">
        <v>3104</v>
      </c>
    </row>
    <row r="285" spans="1:17" x14ac:dyDescent="0.25">
      <c r="A285" t="s">
        <v>599</v>
      </c>
      <c r="C285" t="s">
        <v>168</v>
      </c>
      <c r="D285">
        <v>215633</v>
      </c>
      <c r="E285">
        <v>91950.73</v>
      </c>
      <c r="F285">
        <v>0</v>
      </c>
      <c r="G285">
        <v>551704.38</v>
      </c>
      <c r="H285">
        <v>339403.62</v>
      </c>
      <c r="I285">
        <v>61.91</v>
      </c>
      <c r="J285">
        <v>0</v>
      </c>
      <c r="K285">
        <v>215633</v>
      </c>
      <c r="L285">
        <v>229110.0625</v>
      </c>
      <c r="M285">
        <v>245147.766875</v>
      </c>
      <c r="N285">
        <v>262308.11055624997</v>
      </c>
      <c r="O285" t="s">
        <v>3102</v>
      </c>
      <c r="P285" t="s">
        <v>3103</v>
      </c>
      <c r="Q285" t="s">
        <v>3104</v>
      </c>
    </row>
    <row r="286" spans="1:17" x14ac:dyDescent="0.25">
      <c r="A286" t="s">
        <v>600</v>
      </c>
      <c r="C286" t="s">
        <v>169</v>
      </c>
      <c r="D286">
        <v>390240</v>
      </c>
      <c r="E286">
        <v>91950.73</v>
      </c>
      <c r="F286">
        <v>0</v>
      </c>
      <c r="G286">
        <v>551704.38</v>
      </c>
      <c r="H286">
        <v>339403.62</v>
      </c>
      <c r="I286">
        <v>61.91</v>
      </c>
      <c r="J286">
        <v>0</v>
      </c>
      <c r="K286">
        <v>390240</v>
      </c>
      <c r="L286">
        <v>414630</v>
      </c>
      <c r="M286">
        <v>443654.1</v>
      </c>
      <c r="N286">
        <v>474709.88699999999</v>
      </c>
      <c r="O286" t="s">
        <v>3102</v>
      </c>
      <c r="P286" t="s">
        <v>3103</v>
      </c>
      <c r="Q286" t="s">
        <v>3104</v>
      </c>
    </row>
    <row r="287" spans="1:17" x14ac:dyDescent="0.25">
      <c r="A287" t="s">
        <v>601</v>
      </c>
      <c r="C287" t="s">
        <v>170</v>
      </c>
      <c r="D287">
        <v>7140</v>
      </c>
      <c r="E287">
        <v>91950.73</v>
      </c>
      <c r="F287">
        <v>0</v>
      </c>
      <c r="G287">
        <v>551704.38</v>
      </c>
      <c r="H287">
        <v>339403.62</v>
      </c>
      <c r="I287">
        <v>61.91</v>
      </c>
      <c r="J287">
        <v>0</v>
      </c>
      <c r="K287">
        <v>7140</v>
      </c>
      <c r="L287">
        <v>7586.25</v>
      </c>
      <c r="M287">
        <v>8117.2875000000004</v>
      </c>
      <c r="N287">
        <v>8685.497625</v>
      </c>
      <c r="O287" t="s">
        <v>3102</v>
      </c>
      <c r="P287" t="s">
        <v>3103</v>
      </c>
      <c r="Q287" t="s">
        <v>3104</v>
      </c>
    </row>
    <row r="288" spans="1:17" x14ac:dyDescent="0.25">
      <c r="A288" t="s">
        <v>602</v>
      </c>
      <c r="C288" t="s">
        <v>173</v>
      </c>
      <c r="D288">
        <v>15638</v>
      </c>
      <c r="E288">
        <v>91950.73</v>
      </c>
      <c r="F288">
        <v>0</v>
      </c>
      <c r="G288">
        <v>551704.38</v>
      </c>
      <c r="H288">
        <v>339403.62</v>
      </c>
      <c r="I288">
        <v>61.91</v>
      </c>
      <c r="J288">
        <v>0</v>
      </c>
      <c r="K288">
        <v>15638</v>
      </c>
      <c r="L288">
        <v>16615.375</v>
      </c>
      <c r="M288">
        <v>17778.451249999998</v>
      </c>
      <c r="N288">
        <v>19022.942837499999</v>
      </c>
      <c r="O288" t="s">
        <v>3102</v>
      </c>
      <c r="P288" t="s">
        <v>3103</v>
      </c>
      <c r="Q288" t="s">
        <v>3104</v>
      </c>
    </row>
    <row r="289" spans="1:17" x14ac:dyDescent="0.25">
      <c r="A289" t="s">
        <v>603</v>
      </c>
      <c r="C289" t="s">
        <v>174</v>
      </c>
      <c r="D289">
        <v>19697</v>
      </c>
      <c r="E289">
        <v>91950.73</v>
      </c>
      <c r="F289">
        <v>0</v>
      </c>
      <c r="G289">
        <v>551704.38</v>
      </c>
      <c r="H289">
        <v>339403.62</v>
      </c>
      <c r="I289">
        <v>61.91</v>
      </c>
      <c r="J289">
        <v>0</v>
      </c>
      <c r="K289">
        <v>19697</v>
      </c>
      <c r="L289">
        <v>20928.0625</v>
      </c>
      <c r="M289">
        <v>22393.026875</v>
      </c>
      <c r="N289">
        <v>23960.53875625</v>
      </c>
      <c r="O289" t="s">
        <v>3102</v>
      </c>
      <c r="P289" t="s">
        <v>3103</v>
      </c>
      <c r="Q289" t="s">
        <v>3104</v>
      </c>
    </row>
    <row r="290" spans="1:17" x14ac:dyDescent="0.25">
      <c r="A290" t="s">
        <v>604</v>
      </c>
      <c r="C290" t="s">
        <v>175</v>
      </c>
      <c r="D290">
        <v>16419</v>
      </c>
      <c r="E290">
        <v>91950.73</v>
      </c>
      <c r="F290">
        <v>0</v>
      </c>
      <c r="G290">
        <v>551704.38</v>
      </c>
      <c r="H290">
        <v>339403.62</v>
      </c>
      <c r="I290">
        <v>61.91</v>
      </c>
      <c r="J290">
        <v>0</v>
      </c>
      <c r="K290">
        <v>16419</v>
      </c>
      <c r="L290">
        <v>17445.1875</v>
      </c>
      <c r="M290">
        <v>18666.350624999999</v>
      </c>
      <c r="N290">
        <v>19972.99516875</v>
      </c>
      <c r="O290" t="s">
        <v>3102</v>
      </c>
      <c r="P290" t="s">
        <v>3103</v>
      </c>
      <c r="Q290" t="s">
        <v>3104</v>
      </c>
    </row>
    <row r="291" spans="1:17" x14ac:dyDescent="0.25">
      <c r="A291" t="s">
        <v>605</v>
      </c>
      <c r="C291" t="s">
        <v>214</v>
      </c>
      <c r="D291">
        <v>200000</v>
      </c>
      <c r="E291">
        <v>91950.73</v>
      </c>
      <c r="F291">
        <v>0</v>
      </c>
      <c r="G291">
        <v>551704.38</v>
      </c>
      <c r="H291">
        <v>339403.62</v>
      </c>
      <c r="I291">
        <v>61.91</v>
      </c>
      <c r="J291">
        <v>-30000</v>
      </c>
      <c r="K291">
        <v>170000</v>
      </c>
      <c r="L291">
        <v>177650</v>
      </c>
      <c r="M291">
        <v>185821.9</v>
      </c>
      <c r="N291">
        <v>194369.70739999998</v>
      </c>
      <c r="O291" t="s">
        <v>3102</v>
      </c>
      <c r="P291" t="s">
        <v>3105</v>
      </c>
      <c r="Q291" t="s">
        <v>3106</v>
      </c>
    </row>
    <row r="292" spans="1:17" x14ac:dyDescent="0.25">
      <c r="A292" t="s">
        <v>606</v>
      </c>
      <c r="B292" t="s">
        <v>1359</v>
      </c>
      <c r="C292" t="s">
        <v>242</v>
      </c>
      <c r="D292">
        <v>50473</v>
      </c>
      <c r="E292">
        <v>91950.73</v>
      </c>
      <c r="F292">
        <v>0</v>
      </c>
      <c r="G292">
        <v>551704.38</v>
      </c>
      <c r="H292">
        <v>339403.62</v>
      </c>
      <c r="I292">
        <v>61.91</v>
      </c>
      <c r="J292">
        <v>-20000</v>
      </c>
      <c r="K292">
        <v>30473</v>
      </c>
      <c r="L292">
        <v>31844.285</v>
      </c>
      <c r="M292">
        <v>33309.122109999997</v>
      </c>
      <c r="N292">
        <v>34841.341727059997</v>
      </c>
      <c r="O292" t="s">
        <v>3102</v>
      </c>
      <c r="P292" t="s">
        <v>3110</v>
      </c>
      <c r="Q292" t="s">
        <v>3153</v>
      </c>
    </row>
    <row r="293" spans="1:17" x14ac:dyDescent="0.25">
      <c r="A293" t="s">
        <v>607</v>
      </c>
      <c r="B293" t="s">
        <v>1358</v>
      </c>
      <c r="C293" t="s">
        <v>242</v>
      </c>
      <c r="D293">
        <v>950000</v>
      </c>
      <c r="E293">
        <v>91950.73</v>
      </c>
      <c r="F293">
        <v>0</v>
      </c>
      <c r="G293">
        <v>551704.38</v>
      </c>
      <c r="H293">
        <v>339403.62</v>
      </c>
      <c r="I293">
        <v>61.91</v>
      </c>
      <c r="J293">
        <v>0</v>
      </c>
      <c r="K293">
        <v>950000</v>
      </c>
      <c r="L293">
        <v>992750</v>
      </c>
      <c r="M293">
        <v>1038416.5</v>
      </c>
      <c r="N293">
        <v>1086183.659</v>
      </c>
      <c r="O293" t="s">
        <v>3102</v>
      </c>
      <c r="P293" t="s">
        <v>3110</v>
      </c>
      <c r="Q293" t="s">
        <v>3154</v>
      </c>
    </row>
    <row r="294" spans="1:17" x14ac:dyDescent="0.25">
      <c r="A294" t="s">
        <v>608</v>
      </c>
      <c r="B294" t="s">
        <v>1357</v>
      </c>
      <c r="C294" t="s">
        <v>242</v>
      </c>
      <c r="D294">
        <v>236200</v>
      </c>
      <c r="E294">
        <v>91950.73</v>
      </c>
      <c r="F294">
        <v>0</v>
      </c>
      <c r="G294">
        <v>551704.38</v>
      </c>
      <c r="H294">
        <v>339403.62</v>
      </c>
      <c r="I294">
        <v>61.91</v>
      </c>
      <c r="J294">
        <v>30000</v>
      </c>
      <c r="K294">
        <v>266200</v>
      </c>
      <c r="L294">
        <v>278179</v>
      </c>
      <c r="M294">
        <v>290975.234</v>
      </c>
      <c r="N294">
        <v>304360.09476399998</v>
      </c>
      <c r="O294" t="s">
        <v>3102</v>
      </c>
      <c r="P294" t="s">
        <v>3110</v>
      </c>
      <c r="Q294" t="s">
        <v>3155</v>
      </c>
    </row>
    <row r="295" spans="1:17" x14ac:dyDescent="0.25">
      <c r="A295" t="s">
        <v>609</v>
      </c>
      <c r="C295" t="s">
        <v>253</v>
      </c>
      <c r="D295">
        <v>2000</v>
      </c>
      <c r="E295">
        <v>91950.73</v>
      </c>
      <c r="F295">
        <v>0</v>
      </c>
      <c r="G295">
        <v>551704.38</v>
      </c>
      <c r="H295">
        <v>339403.62</v>
      </c>
      <c r="I295">
        <v>61.91</v>
      </c>
      <c r="J295">
        <v>0</v>
      </c>
      <c r="K295">
        <v>2000</v>
      </c>
      <c r="L295">
        <v>2090</v>
      </c>
      <c r="M295">
        <v>2186.14</v>
      </c>
      <c r="N295">
        <v>2286.70244</v>
      </c>
      <c r="O295" t="s">
        <v>3102</v>
      </c>
      <c r="P295" t="s">
        <v>3110</v>
      </c>
      <c r="Q295" t="s">
        <v>3106</v>
      </c>
    </row>
    <row r="296" spans="1:17" x14ac:dyDescent="0.25">
      <c r="A296" t="s">
        <v>610</v>
      </c>
      <c r="B296" t="s">
        <v>1360</v>
      </c>
      <c r="C296" t="s">
        <v>254</v>
      </c>
      <c r="D296">
        <v>1000</v>
      </c>
      <c r="E296">
        <v>91950.73</v>
      </c>
      <c r="F296">
        <v>0</v>
      </c>
      <c r="G296">
        <v>551704.38</v>
      </c>
      <c r="H296">
        <v>339403.62</v>
      </c>
      <c r="I296">
        <v>61.91</v>
      </c>
      <c r="J296">
        <v>0</v>
      </c>
      <c r="K296">
        <v>1000</v>
      </c>
      <c r="L296">
        <v>1045</v>
      </c>
      <c r="M296">
        <v>1093.07</v>
      </c>
      <c r="N296">
        <v>1143.35122</v>
      </c>
      <c r="O296" t="s">
        <v>3102</v>
      </c>
      <c r="P296" t="s">
        <v>3110</v>
      </c>
      <c r="Q296" t="s">
        <v>3106</v>
      </c>
    </row>
    <row r="297" spans="1:17" x14ac:dyDescent="0.25">
      <c r="A297" t="s">
        <v>611</v>
      </c>
      <c r="C297" t="s">
        <v>265</v>
      </c>
      <c r="D297">
        <v>238204</v>
      </c>
      <c r="E297">
        <v>91950.73</v>
      </c>
      <c r="F297">
        <v>0</v>
      </c>
      <c r="G297">
        <v>551704.38</v>
      </c>
      <c r="H297">
        <v>339403.62</v>
      </c>
      <c r="I297">
        <v>61.91</v>
      </c>
      <c r="J297">
        <v>-200000</v>
      </c>
      <c r="K297">
        <v>38204</v>
      </c>
      <c r="L297">
        <v>39923.18</v>
      </c>
      <c r="M297">
        <v>41759.646280000001</v>
      </c>
      <c r="N297">
        <v>43680.590008879997</v>
      </c>
      <c r="O297" t="s">
        <v>3102</v>
      </c>
      <c r="P297" t="s">
        <v>3110</v>
      </c>
      <c r="Q297" t="s">
        <v>3104</v>
      </c>
    </row>
    <row r="298" spans="1:17" x14ac:dyDescent="0.25">
      <c r="A298" t="s">
        <v>612</v>
      </c>
      <c r="B298" t="s">
        <v>1361</v>
      </c>
      <c r="C298" t="s">
        <v>268</v>
      </c>
      <c r="D298">
        <v>380000</v>
      </c>
      <c r="E298">
        <v>91950.73</v>
      </c>
      <c r="F298">
        <v>0</v>
      </c>
      <c r="G298">
        <v>551704.38</v>
      </c>
      <c r="H298">
        <v>339403.62</v>
      </c>
      <c r="I298">
        <v>61.91</v>
      </c>
      <c r="J298">
        <v>-100000</v>
      </c>
      <c r="K298">
        <v>280000</v>
      </c>
      <c r="L298">
        <v>292600</v>
      </c>
      <c r="M298">
        <v>306059.59999999998</v>
      </c>
      <c r="N298">
        <v>320138.34159999999</v>
      </c>
      <c r="O298" t="s">
        <v>3102</v>
      </c>
      <c r="P298" t="s">
        <v>3110</v>
      </c>
      <c r="Q298" t="s">
        <v>3104</v>
      </c>
    </row>
    <row r="299" spans="1:17" x14ac:dyDescent="0.25">
      <c r="A299" t="s">
        <v>613</v>
      </c>
      <c r="C299" t="s">
        <v>268</v>
      </c>
      <c r="D299">
        <v>300000</v>
      </c>
      <c r="E299">
        <v>91950.73</v>
      </c>
      <c r="F299">
        <v>0</v>
      </c>
      <c r="G299">
        <v>551704.38</v>
      </c>
      <c r="H299">
        <v>339403.62</v>
      </c>
      <c r="I299">
        <v>61.91</v>
      </c>
      <c r="J299">
        <v>-100000</v>
      </c>
      <c r="K299">
        <v>200000</v>
      </c>
      <c r="L299">
        <v>209000</v>
      </c>
      <c r="M299">
        <v>218614</v>
      </c>
      <c r="N299">
        <v>228670.24400000001</v>
      </c>
      <c r="O299" t="s">
        <v>3102</v>
      </c>
      <c r="P299" t="s">
        <v>3110</v>
      </c>
      <c r="Q299" t="s">
        <v>3111</v>
      </c>
    </row>
    <row r="300" spans="1:17" x14ac:dyDescent="0.25">
      <c r="A300" t="s">
        <v>614</v>
      </c>
      <c r="C300" t="s">
        <v>269</v>
      </c>
      <c r="D300">
        <v>70000</v>
      </c>
      <c r="E300">
        <v>91950.73</v>
      </c>
      <c r="F300">
        <v>0</v>
      </c>
      <c r="G300">
        <v>551704.38</v>
      </c>
      <c r="H300">
        <v>339403.62</v>
      </c>
      <c r="I300">
        <v>61.91</v>
      </c>
      <c r="J300">
        <v>-40000</v>
      </c>
      <c r="K300">
        <v>30000</v>
      </c>
      <c r="L300">
        <v>31350</v>
      </c>
      <c r="M300">
        <v>32792.1</v>
      </c>
      <c r="N300">
        <v>34300.536599999999</v>
      </c>
      <c r="O300" t="s">
        <v>3102</v>
      </c>
      <c r="P300" t="s">
        <v>3110</v>
      </c>
      <c r="Q300" t="s">
        <v>3106</v>
      </c>
    </row>
    <row r="301" spans="1:17" x14ac:dyDescent="0.25">
      <c r="A301" t="s">
        <v>615</v>
      </c>
      <c r="C301" t="s">
        <v>292</v>
      </c>
      <c r="D301">
        <v>3371</v>
      </c>
      <c r="E301">
        <v>91950.73</v>
      </c>
      <c r="F301">
        <v>0</v>
      </c>
      <c r="G301">
        <v>551704.38</v>
      </c>
      <c r="H301">
        <v>339403.62</v>
      </c>
      <c r="I301">
        <v>61.91</v>
      </c>
      <c r="J301">
        <v>0</v>
      </c>
      <c r="K301">
        <v>3371</v>
      </c>
      <c r="L301">
        <v>3522.6950000000002</v>
      </c>
      <c r="M301">
        <v>3684.7389700000003</v>
      </c>
      <c r="N301">
        <v>3854.2369626200002</v>
      </c>
      <c r="O301" t="s">
        <v>3102</v>
      </c>
      <c r="P301" t="s">
        <v>3117</v>
      </c>
      <c r="Q301" t="s">
        <v>3111</v>
      </c>
    </row>
    <row r="302" spans="1:17" x14ac:dyDescent="0.25">
      <c r="A302" t="s">
        <v>616</v>
      </c>
      <c r="C302" t="s">
        <v>293</v>
      </c>
      <c r="D302">
        <v>7399</v>
      </c>
      <c r="E302">
        <v>91950.73</v>
      </c>
      <c r="F302">
        <v>0</v>
      </c>
      <c r="G302">
        <v>551704.38</v>
      </c>
      <c r="H302">
        <v>339403.62</v>
      </c>
      <c r="I302">
        <v>61.91</v>
      </c>
      <c r="J302">
        <v>0</v>
      </c>
      <c r="K302">
        <v>7399</v>
      </c>
      <c r="L302">
        <v>7731.9549999999999</v>
      </c>
      <c r="M302">
        <v>8087.6249299999999</v>
      </c>
      <c r="N302">
        <v>8459.6556767799993</v>
      </c>
      <c r="O302" t="s">
        <v>3102</v>
      </c>
      <c r="P302" t="s">
        <v>3117</v>
      </c>
      <c r="Q302" t="s">
        <v>3111</v>
      </c>
    </row>
    <row r="303" spans="1:17" x14ac:dyDescent="0.25">
      <c r="A303" t="s">
        <v>617</v>
      </c>
      <c r="C303" t="s">
        <v>295</v>
      </c>
      <c r="D303">
        <v>48688</v>
      </c>
      <c r="E303">
        <v>91950.73</v>
      </c>
      <c r="F303">
        <v>0</v>
      </c>
      <c r="G303">
        <v>551704.38</v>
      </c>
      <c r="H303">
        <v>339403.62</v>
      </c>
      <c r="I303">
        <v>61.91</v>
      </c>
      <c r="J303">
        <v>0</v>
      </c>
      <c r="K303">
        <v>48688</v>
      </c>
      <c r="L303">
        <v>50878.96</v>
      </c>
      <c r="M303">
        <v>53219.392159999996</v>
      </c>
      <c r="N303">
        <v>55667.484199359998</v>
      </c>
      <c r="O303" t="s">
        <v>3102</v>
      </c>
      <c r="P303" t="s">
        <v>3117</v>
      </c>
      <c r="Q303" t="s">
        <v>3111</v>
      </c>
    </row>
    <row r="304" spans="1:17" x14ac:dyDescent="0.25">
      <c r="A304" t="s">
        <v>618</v>
      </c>
      <c r="C304" t="s">
        <v>296</v>
      </c>
      <c r="D304">
        <v>38659</v>
      </c>
      <c r="E304">
        <v>91950.73</v>
      </c>
      <c r="F304">
        <v>0</v>
      </c>
      <c r="G304">
        <v>551704.38</v>
      </c>
      <c r="H304">
        <v>339403.62</v>
      </c>
      <c r="I304">
        <v>61.91</v>
      </c>
      <c r="J304">
        <v>0</v>
      </c>
      <c r="K304">
        <v>38659</v>
      </c>
      <c r="L304">
        <v>40398.654999999999</v>
      </c>
      <c r="M304">
        <v>42256.993129999995</v>
      </c>
      <c r="N304">
        <v>44200.814813979996</v>
      </c>
      <c r="O304" t="s">
        <v>3102</v>
      </c>
      <c r="P304" t="s">
        <v>3117</v>
      </c>
      <c r="Q304" t="s">
        <v>3111</v>
      </c>
    </row>
    <row r="305" spans="1:17" x14ac:dyDescent="0.25">
      <c r="A305" t="s">
        <v>1394</v>
      </c>
      <c r="C305" t="s">
        <v>297</v>
      </c>
      <c r="E305">
        <v>91950.73</v>
      </c>
      <c r="F305">
        <v>0</v>
      </c>
      <c r="G305">
        <v>551704.38</v>
      </c>
      <c r="H305">
        <v>339403.62</v>
      </c>
      <c r="I305">
        <v>61.91</v>
      </c>
      <c r="L305">
        <v>0</v>
      </c>
      <c r="M305">
        <v>0</v>
      </c>
      <c r="N305">
        <v>0</v>
      </c>
      <c r="O305" t="s">
        <v>3102</v>
      </c>
      <c r="P305" t="s">
        <v>3117</v>
      </c>
      <c r="Q305" t="s">
        <v>3111</v>
      </c>
    </row>
    <row r="306" spans="1:17" x14ac:dyDescent="0.25">
      <c r="A306" t="s">
        <v>619</v>
      </c>
      <c r="C306" t="s">
        <v>298</v>
      </c>
      <c r="D306">
        <v>0</v>
      </c>
      <c r="E306">
        <v>91950.73</v>
      </c>
      <c r="F306">
        <v>0</v>
      </c>
      <c r="G306">
        <v>551704.38</v>
      </c>
      <c r="H306">
        <v>339403.62</v>
      </c>
      <c r="I306">
        <v>61.91</v>
      </c>
      <c r="J306">
        <v>0</v>
      </c>
      <c r="K306">
        <v>0</v>
      </c>
      <c r="L306">
        <v>0</v>
      </c>
      <c r="M306">
        <v>0</v>
      </c>
      <c r="N306">
        <v>0</v>
      </c>
      <c r="O306" t="s">
        <v>3102</v>
      </c>
      <c r="P306" t="s">
        <v>3117</v>
      </c>
      <c r="Q306" t="s">
        <v>3111</v>
      </c>
    </row>
    <row r="307" spans="1:17" x14ac:dyDescent="0.25">
      <c r="A307" t="s">
        <v>620</v>
      </c>
      <c r="C307" t="s">
        <v>299</v>
      </c>
      <c r="D307">
        <v>1701</v>
      </c>
      <c r="E307">
        <v>91950.73</v>
      </c>
      <c r="F307">
        <v>0</v>
      </c>
      <c r="G307">
        <v>551704.38</v>
      </c>
      <c r="H307">
        <v>339403.62</v>
      </c>
      <c r="I307">
        <v>61.91</v>
      </c>
      <c r="J307">
        <v>0</v>
      </c>
      <c r="K307">
        <v>1701</v>
      </c>
      <c r="L307">
        <v>1777.5450000000001</v>
      </c>
      <c r="M307">
        <v>1859.3120699999999</v>
      </c>
      <c r="N307">
        <v>1944.84042522</v>
      </c>
      <c r="O307" t="s">
        <v>3102</v>
      </c>
      <c r="P307" t="s">
        <v>3117</v>
      </c>
      <c r="Q307" t="s">
        <v>3111</v>
      </c>
    </row>
    <row r="308" spans="1:17" x14ac:dyDescent="0.25">
      <c r="A308" t="s">
        <v>621</v>
      </c>
      <c r="C308" t="s">
        <v>300</v>
      </c>
      <c r="D308">
        <v>148336</v>
      </c>
      <c r="E308">
        <v>91950.73</v>
      </c>
      <c r="F308">
        <v>0</v>
      </c>
      <c r="G308">
        <v>551704.38</v>
      </c>
      <c r="H308">
        <v>339403.62</v>
      </c>
      <c r="I308">
        <v>61.91</v>
      </c>
      <c r="J308">
        <v>0</v>
      </c>
      <c r="K308">
        <v>148336</v>
      </c>
      <c r="L308">
        <v>155011.12</v>
      </c>
      <c r="M308">
        <v>162141.63152</v>
      </c>
      <c r="N308">
        <v>169600.14656992001</v>
      </c>
      <c r="O308" t="s">
        <v>3102</v>
      </c>
      <c r="P308" t="s">
        <v>3117</v>
      </c>
      <c r="Q308" t="s">
        <v>3111</v>
      </c>
    </row>
    <row r="309" spans="1:17" x14ac:dyDescent="0.25">
      <c r="A309" t="s">
        <v>622</v>
      </c>
      <c r="C309" t="s">
        <v>303</v>
      </c>
      <c r="D309">
        <v>594034</v>
      </c>
      <c r="E309">
        <v>91950.73</v>
      </c>
      <c r="F309">
        <v>0</v>
      </c>
      <c r="G309">
        <v>551704.38</v>
      </c>
      <c r="H309">
        <v>339403.62</v>
      </c>
      <c r="I309">
        <v>61.91</v>
      </c>
      <c r="J309">
        <v>0</v>
      </c>
      <c r="K309">
        <v>594034</v>
      </c>
      <c r="L309">
        <v>620765.53</v>
      </c>
      <c r="M309">
        <v>649320.74438000005</v>
      </c>
      <c r="N309">
        <v>679189.49862148007</v>
      </c>
      <c r="O309" t="s">
        <v>3102</v>
      </c>
      <c r="P309" t="s">
        <v>3117</v>
      </c>
      <c r="Q309" t="s">
        <v>3111</v>
      </c>
    </row>
    <row r="310" spans="1:17" x14ac:dyDescent="0.25">
      <c r="A310" t="s">
        <v>624</v>
      </c>
      <c r="C310" t="s">
        <v>150</v>
      </c>
      <c r="D310">
        <v>570271</v>
      </c>
      <c r="E310">
        <v>91950.73</v>
      </c>
      <c r="F310">
        <v>0</v>
      </c>
      <c r="G310">
        <v>551704.38</v>
      </c>
      <c r="H310">
        <v>339403.62</v>
      </c>
      <c r="I310">
        <v>61.91</v>
      </c>
      <c r="J310">
        <v>0</v>
      </c>
      <c r="K310">
        <v>570271</v>
      </c>
      <c r="L310">
        <v>605912.9375</v>
      </c>
      <c r="M310">
        <v>648326.84312500001</v>
      </c>
      <c r="N310">
        <v>693709.72214375006</v>
      </c>
      <c r="O310" t="s">
        <v>3102</v>
      </c>
      <c r="P310" t="s">
        <v>3103</v>
      </c>
      <c r="Q310" t="s">
        <v>3104</v>
      </c>
    </row>
    <row r="311" spans="1:17" x14ac:dyDescent="0.25">
      <c r="A311" t="s">
        <v>625</v>
      </c>
      <c r="C311" t="s">
        <v>151</v>
      </c>
      <c r="D311">
        <v>28514</v>
      </c>
      <c r="E311">
        <v>91950.73</v>
      </c>
      <c r="F311">
        <v>0</v>
      </c>
      <c r="G311">
        <v>551704.38</v>
      </c>
      <c r="H311">
        <v>339403.62</v>
      </c>
      <c r="I311">
        <v>61.91</v>
      </c>
      <c r="J311">
        <v>-20046.909999999996</v>
      </c>
      <c r="K311">
        <v>8467.0900000000038</v>
      </c>
      <c r="L311">
        <v>8996.2831250000036</v>
      </c>
      <c r="M311">
        <v>9626.0229437500038</v>
      </c>
      <c r="N311">
        <v>10299.844549812504</v>
      </c>
      <c r="O311" t="s">
        <v>3102</v>
      </c>
      <c r="P311" t="s">
        <v>3103</v>
      </c>
      <c r="Q311" t="s">
        <v>3104</v>
      </c>
    </row>
    <row r="312" spans="1:17" x14ac:dyDescent="0.25">
      <c r="A312" t="s">
        <v>626</v>
      </c>
      <c r="C312" t="s">
        <v>152</v>
      </c>
      <c r="D312">
        <v>24000</v>
      </c>
      <c r="E312">
        <v>91950.73</v>
      </c>
      <c r="F312">
        <v>0</v>
      </c>
      <c r="G312">
        <v>551704.38</v>
      </c>
      <c r="H312">
        <v>339403.62</v>
      </c>
      <c r="I312">
        <v>61.91</v>
      </c>
      <c r="J312">
        <v>0</v>
      </c>
      <c r="K312">
        <v>24000</v>
      </c>
      <c r="L312">
        <v>25500</v>
      </c>
      <c r="M312">
        <v>27285</v>
      </c>
      <c r="N312">
        <v>29194.95</v>
      </c>
      <c r="O312" t="s">
        <v>3102</v>
      </c>
      <c r="P312" t="s">
        <v>3103</v>
      </c>
      <c r="Q312" t="s">
        <v>3104</v>
      </c>
    </row>
    <row r="313" spans="1:17" x14ac:dyDescent="0.25">
      <c r="A313" t="s">
        <v>627</v>
      </c>
      <c r="C313" t="s">
        <v>153</v>
      </c>
      <c r="D313">
        <v>10893</v>
      </c>
      <c r="E313">
        <v>91950.73</v>
      </c>
      <c r="F313">
        <v>0</v>
      </c>
      <c r="G313">
        <v>551704.38</v>
      </c>
      <c r="H313">
        <v>339403.62</v>
      </c>
      <c r="I313">
        <v>61.91</v>
      </c>
      <c r="J313">
        <v>0</v>
      </c>
      <c r="K313">
        <v>10893</v>
      </c>
      <c r="L313">
        <v>11573.8125</v>
      </c>
      <c r="M313">
        <v>12383.979375000001</v>
      </c>
      <c r="N313">
        <v>13250.857931250001</v>
      </c>
      <c r="O313" t="s">
        <v>3102</v>
      </c>
      <c r="P313" t="s">
        <v>3103</v>
      </c>
      <c r="Q313" t="s">
        <v>3104</v>
      </c>
    </row>
    <row r="314" spans="1:17" x14ac:dyDescent="0.25">
      <c r="A314" t="s">
        <v>628</v>
      </c>
      <c r="C314" t="s">
        <v>155</v>
      </c>
      <c r="D314">
        <v>18924</v>
      </c>
      <c r="E314">
        <v>91950.73</v>
      </c>
      <c r="F314">
        <v>0</v>
      </c>
      <c r="G314">
        <v>551704.38</v>
      </c>
      <c r="H314">
        <v>339403.62</v>
      </c>
      <c r="I314">
        <v>61.91</v>
      </c>
      <c r="J314">
        <v>0</v>
      </c>
      <c r="K314">
        <v>18924</v>
      </c>
      <c r="L314">
        <v>20106.75</v>
      </c>
      <c r="M314">
        <v>21514.2225</v>
      </c>
      <c r="N314">
        <v>23020.218075000001</v>
      </c>
      <c r="O314" t="s">
        <v>3102</v>
      </c>
      <c r="P314" t="s">
        <v>3103</v>
      </c>
      <c r="Q314" t="s">
        <v>3104</v>
      </c>
    </row>
    <row r="315" spans="1:17" x14ac:dyDescent="0.25">
      <c r="A315" t="s">
        <v>629</v>
      </c>
      <c r="C315" t="s">
        <v>156</v>
      </c>
      <c r="D315">
        <v>142568</v>
      </c>
      <c r="E315">
        <v>91950.73</v>
      </c>
      <c r="F315">
        <v>0</v>
      </c>
      <c r="G315">
        <v>551704.38</v>
      </c>
      <c r="H315">
        <v>339403.62</v>
      </c>
      <c r="I315">
        <v>61.91</v>
      </c>
      <c r="J315">
        <v>0</v>
      </c>
      <c r="K315">
        <v>142568</v>
      </c>
      <c r="L315">
        <v>151478.5</v>
      </c>
      <c r="M315">
        <v>162081.995</v>
      </c>
      <c r="N315">
        <v>173427.73465</v>
      </c>
      <c r="O315" t="s">
        <v>3102</v>
      </c>
      <c r="P315" t="s">
        <v>3103</v>
      </c>
      <c r="Q315" t="s">
        <v>3104</v>
      </c>
    </row>
    <row r="316" spans="1:17" x14ac:dyDescent="0.25">
      <c r="A316" t="s">
        <v>630</v>
      </c>
      <c r="C316" t="s">
        <v>158</v>
      </c>
      <c r="D316">
        <v>11405</v>
      </c>
      <c r="E316">
        <v>91950.73</v>
      </c>
      <c r="F316">
        <v>0</v>
      </c>
      <c r="G316">
        <v>551704.38</v>
      </c>
      <c r="H316">
        <v>339403.62</v>
      </c>
      <c r="I316">
        <v>61.91</v>
      </c>
      <c r="J316">
        <v>0</v>
      </c>
      <c r="K316">
        <v>11405</v>
      </c>
      <c r="L316">
        <v>12117.8125</v>
      </c>
      <c r="M316">
        <v>12966.059375000001</v>
      </c>
      <c r="N316">
        <v>13873.683531250001</v>
      </c>
      <c r="O316" t="s">
        <v>3102</v>
      </c>
      <c r="P316" t="s">
        <v>3103</v>
      </c>
      <c r="Q316" t="s">
        <v>3104</v>
      </c>
    </row>
    <row r="317" spans="1:17" x14ac:dyDescent="0.25">
      <c r="A317" t="s">
        <v>631</v>
      </c>
      <c r="C317" t="s">
        <v>159</v>
      </c>
      <c r="D317">
        <v>47523</v>
      </c>
      <c r="E317">
        <v>91950.73</v>
      </c>
      <c r="F317">
        <v>0</v>
      </c>
      <c r="G317">
        <v>551704.38</v>
      </c>
      <c r="H317">
        <v>339403.62</v>
      </c>
      <c r="I317">
        <v>61.91</v>
      </c>
      <c r="J317">
        <v>0</v>
      </c>
      <c r="K317">
        <v>47523</v>
      </c>
      <c r="L317">
        <v>50493.1875</v>
      </c>
      <c r="M317">
        <v>54027.710625</v>
      </c>
      <c r="N317">
        <v>57809.650368750001</v>
      </c>
      <c r="O317" t="s">
        <v>3102</v>
      </c>
      <c r="P317" t="s">
        <v>3103</v>
      </c>
      <c r="Q317" t="s">
        <v>3104</v>
      </c>
    </row>
    <row r="318" spans="1:17" x14ac:dyDescent="0.25">
      <c r="A318" t="s">
        <v>632</v>
      </c>
      <c r="C318" t="s">
        <v>164</v>
      </c>
      <c r="D318">
        <v>15692</v>
      </c>
      <c r="E318">
        <v>91950.73</v>
      </c>
      <c r="F318">
        <v>0</v>
      </c>
      <c r="G318">
        <v>551704.38</v>
      </c>
      <c r="H318">
        <v>339403.62</v>
      </c>
      <c r="I318">
        <v>61.91</v>
      </c>
      <c r="J318">
        <v>0</v>
      </c>
      <c r="K318">
        <v>15692</v>
      </c>
      <c r="L318">
        <v>16672.75</v>
      </c>
      <c r="M318">
        <v>17839.842499999999</v>
      </c>
      <c r="N318">
        <v>19088.631474999998</v>
      </c>
      <c r="O318" t="s">
        <v>3102</v>
      </c>
      <c r="P318" t="s">
        <v>3103</v>
      </c>
      <c r="Q318" t="s">
        <v>3104</v>
      </c>
    </row>
    <row r="319" spans="1:17" x14ac:dyDescent="0.25">
      <c r="A319" t="s">
        <v>633</v>
      </c>
      <c r="C319" t="s">
        <v>167</v>
      </c>
      <c r="D319">
        <v>112</v>
      </c>
      <c r="E319">
        <v>91950.73</v>
      </c>
      <c r="F319">
        <v>0</v>
      </c>
      <c r="G319">
        <v>551704.38</v>
      </c>
      <c r="H319">
        <v>339403.62</v>
      </c>
      <c r="I319">
        <v>61.91</v>
      </c>
      <c r="J319">
        <v>0</v>
      </c>
      <c r="K319">
        <v>112</v>
      </c>
      <c r="L319">
        <v>119</v>
      </c>
      <c r="M319">
        <v>127.33</v>
      </c>
      <c r="N319">
        <v>136.2431</v>
      </c>
      <c r="O319" t="s">
        <v>3102</v>
      </c>
      <c r="P319" t="s">
        <v>3103</v>
      </c>
      <c r="Q319" t="s">
        <v>3104</v>
      </c>
    </row>
    <row r="320" spans="1:17" x14ac:dyDescent="0.25">
      <c r="A320" t="s">
        <v>634</v>
      </c>
      <c r="C320" t="s">
        <v>168</v>
      </c>
      <c r="D320">
        <v>0</v>
      </c>
      <c r="E320">
        <v>91950.73</v>
      </c>
      <c r="F320">
        <v>0</v>
      </c>
      <c r="G320">
        <v>551704.38</v>
      </c>
      <c r="H320">
        <v>339403.62</v>
      </c>
      <c r="I320">
        <v>61.91</v>
      </c>
      <c r="J320">
        <v>50000</v>
      </c>
      <c r="K320">
        <v>50000</v>
      </c>
      <c r="L320">
        <v>53125</v>
      </c>
      <c r="M320">
        <v>56843.75</v>
      </c>
      <c r="N320">
        <v>60822.8125</v>
      </c>
      <c r="O320" t="s">
        <v>3102</v>
      </c>
      <c r="P320" t="s">
        <v>3103</v>
      </c>
      <c r="Q320" t="s">
        <v>3104</v>
      </c>
    </row>
    <row r="321" spans="1:17" x14ac:dyDescent="0.25">
      <c r="A321" t="s">
        <v>635</v>
      </c>
      <c r="C321" t="s">
        <v>169</v>
      </c>
      <c r="D321">
        <v>125460</v>
      </c>
      <c r="E321">
        <v>91950.73</v>
      </c>
      <c r="F321">
        <v>0</v>
      </c>
      <c r="G321">
        <v>551704.38</v>
      </c>
      <c r="H321">
        <v>339403.62</v>
      </c>
      <c r="I321">
        <v>61.91</v>
      </c>
      <c r="J321">
        <v>0</v>
      </c>
      <c r="K321">
        <v>125460</v>
      </c>
      <c r="L321">
        <v>133301.25</v>
      </c>
      <c r="M321">
        <v>142632.33749999999</v>
      </c>
      <c r="N321">
        <v>152616.60112499999</v>
      </c>
      <c r="O321" t="s">
        <v>3102</v>
      </c>
      <c r="P321" t="s">
        <v>3103</v>
      </c>
      <c r="Q321" t="s">
        <v>3104</v>
      </c>
    </row>
    <row r="322" spans="1:17" x14ac:dyDescent="0.25">
      <c r="A322" t="s">
        <v>636</v>
      </c>
      <c r="C322" t="s">
        <v>170</v>
      </c>
      <c r="D322">
        <v>1785</v>
      </c>
      <c r="E322">
        <v>91950.73</v>
      </c>
      <c r="F322">
        <v>0</v>
      </c>
      <c r="G322">
        <v>551704.38</v>
      </c>
      <c r="H322">
        <v>339403.62</v>
      </c>
      <c r="I322">
        <v>61.91</v>
      </c>
      <c r="J322">
        <v>0</v>
      </c>
      <c r="K322">
        <v>1785</v>
      </c>
      <c r="L322">
        <v>1896.5625</v>
      </c>
      <c r="M322">
        <v>2029.3218750000001</v>
      </c>
      <c r="N322">
        <v>2171.37440625</v>
      </c>
      <c r="O322" t="s">
        <v>3102</v>
      </c>
      <c r="P322" t="s">
        <v>3103</v>
      </c>
      <c r="Q322" t="s">
        <v>3104</v>
      </c>
    </row>
    <row r="323" spans="1:17" x14ac:dyDescent="0.25">
      <c r="A323" t="s">
        <v>637</v>
      </c>
      <c r="C323" t="s">
        <v>173</v>
      </c>
      <c r="D323">
        <v>4563</v>
      </c>
      <c r="E323">
        <v>91950.73</v>
      </c>
      <c r="F323">
        <v>0</v>
      </c>
      <c r="G323">
        <v>551704.38</v>
      </c>
      <c r="H323">
        <v>339403.62</v>
      </c>
      <c r="I323">
        <v>61.91</v>
      </c>
      <c r="J323">
        <v>0</v>
      </c>
      <c r="K323">
        <v>4563</v>
      </c>
      <c r="L323">
        <v>4848.1875</v>
      </c>
      <c r="M323">
        <v>5187.5606250000001</v>
      </c>
      <c r="N323">
        <v>5550.6898687499997</v>
      </c>
      <c r="O323" t="s">
        <v>3102</v>
      </c>
      <c r="P323" t="s">
        <v>3103</v>
      </c>
      <c r="Q323" t="s">
        <v>3111</v>
      </c>
    </row>
    <row r="324" spans="1:17" x14ac:dyDescent="0.25">
      <c r="A324" t="s">
        <v>638</v>
      </c>
      <c r="C324" t="s">
        <v>174</v>
      </c>
      <c r="D324">
        <v>7289</v>
      </c>
      <c r="E324">
        <v>91950.73</v>
      </c>
      <c r="F324">
        <v>0</v>
      </c>
      <c r="G324">
        <v>551704.38</v>
      </c>
      <c r="H324">
        <v>339403.62</v>
      </c>
      <c r="I324">
        <v>61.91</v>
      </c>
      <c r="J324">
        <v>0</v>
      </c>
      <c r="K324">
        <v>7289</v>
      </c>
      <c r="L324">
        <v>7744.5625</v>
      </c>
      <c r="M324">
        <v>8286.6818750000002</v>
      </c>
      <c r="N324">
        <v>8866.7496062499995</v>
      </c>
      <c r="O324" t="s">
        <v>3102</v>
      </c>
      <c r="P324" t="s">
        <v>3103</v>
      </c>
      <c r="Q324" t="s">
        <v>3111</v>
      </c>
    </row>
    <row r="325" spans="1:17" x14ac:dyDescent="0.25">
      <c r="A325" t="s">
        <v>639</v>
      </c>
      <c r="C325" t="s">
        <v>175</v>
      </c>
      <c r="D325">
        <v>4874</v>
      </c>
      <c r="E325">
        <v>91950.73</v>
      </c>
      <c r="F325">
        <v>0</v>
      </c>
      <c r="G325">
        <v>551704.38</v>
      </c>
      <c r="H325">
        <v>339403.62</v>
      </c>
      <c r="I325">
        <v>61.91</v>
      </c>
      <c r="J325">
        <v>0</v>
      </c>
      <c r="K325">
        <v>4874</v>
      </c>
      <c r="L325">
        <v>5178.625</v>
      </c>
      <c r="M325">
        <v>5541.1287499999999</v>
      </c>
      <c r="N325">
        <v>5929.0077624999994</v>
      </c>
      <c r="O325" t="s">
        <v>3102</v>
      </c>
      <c r="P325" t="s">
        <v>3103</v>
      </c>
      <c r="Q325" t="s">
        <v>3111</v>
      </c>
    </row>
    <row r="326" spans="1:17" x14ac:dyDescent="0.25">
      <c r="A326" t="s">
        <v>640</v>
      </c>
      <c r="B326" t="s">
        <v>1362</v>
      </c>
      <c r="C326" t="s">
        <v>212</v>
      </c>
      <c r="D326">
        <v>300000</v>
      </c>
      <c r="E326">
        <v>91950.73</v>
      </c>
      <c r="F326">
        <v>0</v>
      </c>
      <c r="G326">
        <v>551704.38</v>
      </c>
      <c r="H326">
        <v>339403.62</v>
      </c>
      <c r="I326">
        <v>61.91</v>
      </c>
      <c r="J326">
        <v>0</v>
      </c>
      <c r="K326">
        <v>300000</v>
      </c>
      <c r="L326">
        <v>313500</v>
      </c>
      <c r="M326">
        <v>327921</v>
      </c>
      <c r="N326">
        <v>343005.36599999998</v>
      </c>
      <c r="O326" t="s">
        <v>3102</v>
      </c>
      <c r="P326" t="s">
        <v>3105</v>
      </c>
      <c r="Q326" t="s">
        <v>3156</v>
      </c>
    </row>
    <row r="327" spans="1:17" x14ac:dyDescent="0.25">
      <c r="A327" t="s">
        <v>641</v>
      </c>
      <c r="C327" t="s">
        <v>226</v>
      </c>
      <c r="D327">
        <v>1200000</v>
      </c>
      <c r="E327">
        <v>91950.73</v>
      </c>
      <c r="F327">
        <v>0</v>
      </c>
      <c r="G327">
        <v>551704.38</v>
      </c>
      <c r="H327">
        <v>339403.62</v>
      </c>
      <c r="I327">
        <v>61.91</v>
      </c>
      <c r="J327">
        <v>0</v>
      </c>
      <c r="K327">
        <v>1200000</v>
      </c>
      <c r="L327">
        <v>1254000</v>
      </c>
      <c r="M327">
        <v>1311684</v>
      </c>
      <c r="N327">
        <v>1372021.4639999999</v>
      </c>
      <c r="O327" t="s">
        <v>3102</v>
      </c>
      <c r="P327" t="s">
        <v>3105</v>
      </c>
      <c r="Q327" t="s">
        <v>3106</v>
      </c>
    </row>
    <row r="328" spans="1:17" x14ac:dyDescent="0.25">
      <c r="A328" t="s">
        <v>642</v>
      </c>
      <c r="C328" t="s">
        <v>265</v>
      </c>
      <c r="D328">
        <v>0</v>
      </c>
      <c r="E328">
        <v>91950.73</v>
      </c>
      <c r="F328">
        <v>0</v>
      </c>
      <c r="G328">
        <v>551704.38</v>
      </c>
      <c r="H328">
        <v>339403.62</v>
      </c>
      <c r="I328">
        <v>61.91</v>
      </c>
      <c r="J328">
        <v>10000</v>
      </c>
      <c r="K328">
        <v>10000</v>
      </c>
      <c r="L328">
        <v>10450</v>
      </c>
      <c r="M328">
        <v>10930.7</v>
      </c>
      <c r="N328">
        <v>11433.512200000001</v>
      </c>
      <c r="O328" t="s">
        <v>3102</v>
      </c>
      <c r="P328" t="s">
        <v>3110</v>
      </c>
      <c r="Q328" t="s">
        <v>3104</v>
      </c>
    </row>
    <row r="329" spans="1:17" x14ac:dyDescent="0.25">
      <c r="A329" t="s">
        <v>643</v>
      </c>
      <c r="B329" t="s">
        <v>1361</v>
      </c>
      <c r="C329" t="s">
        <v>268</v>
      </c>
      <c r="D329">
        <v>0</v>
      </c>
      <c r="E329">
        <v>91950.73</v>
      </c>
      <c r="F329">
        <v>0</v>
      </c>
      <c r="G329">
        <v>551704.38</v>
      </c>
      <c r="H329">
        <v>339403.62</v>
      </c>
      <c r="I329">
        <v>61.91</v>
      </c>
      <c r="J329">
        <v>20000</v>
      </c>
      <c r="K329">
        <v>20000</v>
      </c>
      <c r="L329">
        <v>20900</v>
      </c>
      <c r="M329">
        <v>21861.4</v>
      </c>
      <c r="N329">
        <v>22867.024400000002</v>
      </c>
      <c r="O329" t="s">
        <v>3102</v>
      </c>
      <c r="P329" t="s">
        <v>3110</v>
      </c>
      <c r="Q329" t="s">
        <v>3104</v>
      </c>
    </row>
    <row r="330" spans="1:17" x14ac:dyDescent="0.25">
      <c r="A330" t="s">
        <v>644</v>
      </c>
      <c r="C330" t="s">
        <v>150</v>
      </c>
      <c r="D330">
        <v>390877</v>
      </c>
      <c r="E330">
        <v>91950.73</v>
      </c>
      <c r="F330">
        <v>0</v>
      </c>
      <c r="G330">
        <v>551704.38</v>
      </c>
      <c r="H330">
        <v>339403.62</v>
      </c>
      <c r="I330">
        <v>61.91</v>
      </c>
      <c r="J330">
        <v>0</v>
      </c>
      <c r="K330">
        <v>390877</v>
      </c>
      <c r="L330">
        <v>415306.8125</v>
      </c>
      <c r="M330">
        <v>444378.28937499999</v>
      </c>
      <c r="N330">
        <v>475484.76963125</v>
      </c>
      <c r="O330" t="s">
        <v>3102</v>
      </c>
      <c r="P330" t="s">
        <v>3103</v>
      </c>
      <c r="Q330" t="s">
        <v>3104</v>
      </c>
    </row>
    <row r="331" spans="1:17" x14ac:dyDescent="0.25">
      <c r="A331" t="s">
        <v>645</v>
      </c>
      <c r="C331" t="s">
        <v>151</v>
      </c>
      <c r="D331">
        <v>17744</v>
      </c>
      <c r="E331">
        <v>91950.73</v>
      </c>
      <c r="F331">
        <v>0</v>
      </c>
      <c r="G331">
        <v>551704.38</v>
      </c>
      <c r="H331">
        <v>339403.62</v>
      </c>
      <c r="I331">
        <v>61.91</v>
      </c>
      <c r="J331">
        <v>-9276.9100000000035</v>
      </c>
      <c r="K331">
        <v>8467.0899999999965</v>
      </c>
      <c r="L331">
        <v>8996.2831249999963</v>
      </c>
      <c r="M331">
        <v>9626.0229437499966</v>
      </c>
      <c r="N331">
        <v>10299.844549812497</v>
      </c>
      <c r="O331" t="s">
        <v>3102</v>
      </c>
      <c r="P331" t="s">
        <v>3103</v>
      </c>
      <c r="Q331" t="s">
        <v>3104</v>
      </c>
    </row>
    <row r="332" spans="1:17" x14ac:dyDescent="0.25">
      <c r="A332" t="s">
        <v>646</v>
      </c>
      <c r="C332" t="s">
        <v>152</v>
      </c>
      <c r="D332">
        <v>14100</v>
      </c>
      <c r="E332">
        <v>91950.73</v>
      </c>
      <c r="F332">
        <v>0</v>
      </c>
      <c r="G332">
        <v>551704.38</v>
      </c>
      <c r="H332">
        <v>339403.62</v>
      </c>
      <c r="I332">
        <v>61.91</v>
      </c>
      <c r="J332">
        <v>0</v>
      </c>
      <c r="K332">
        <v>14100</v>
      </c>
      <c r="L332">
        <v>14981.25</v>
      </c>
      <c r="M332">
        <v>16029.9375</v>
      </c>
      <c r="N332">
        <v>17152.033125000002</v>
      </c>
      <c r="O332" t="s">
        <v>3102</v>
      </c>
      <c r="P332" t="s">
        <v>3103</v>
      </c>
      <c r="Q332" t="s">
        <v>3104</v>
      </c>
    </row>
    <row r="333" spans="1:17" x14ac:dyDescent="0.25">
      <c r="A333" t="s">
        <v>647</v>
      </c>
      <c r="C333" t="s">
        <v>155</v>
      </c>
      <c r="D333">
        <v>11776</v>
      </c>
      <c r="E333">
        <v>91950.73</v>
      </c>
      <c r="F333">
        <v>0</v>
      </c>
      <c r="G333">
        <v>551704.38</v>
      </c>
      <c r="H333">
        <v>339403.62</v>
      </c>
      <c r="I333">
        <v>61.91</v>
      </c>
      <c r="J333">
        <v>0</v>
      </c>
      <c r="K333">
        <v>11776</v>
      </c>
      <c r="L333">
        <v>12512</v>
      </c>
      <c r="M333">
        <v>13387.84</v>
      </c>
      <c r="N333">
        <v>14324.988800000001</v>
      </c>
      <c r="O333" t="s">
        <v>3102</v>
      </c>
      <c r="P333" t="s">
        <v>3103</v>
      </c>
      <c r="Q333" t="s">
        <v>3104</v>
      </c>
    </row>
    <row r="334" spans="1:17" x14ac:dyDescent="0.25">
      <c r="A334" t="s">
        <v>648</v>
      </c>
      <c r="C334" t="s">
        <v>156</v>
      </c>
      <c r="D334">
        <v>88719</v>
      </c>
      <c r="E334">
        <v>91950.73</v>
      </c>
      <c r="F334">
        <v>0</v>
      </c>
      <c r="G334">
        <v>551704.38</v>
      </c>
      <c r="H334">
        <v>339403.62</v>
      </c>
      <c r="I334">
        <v>61.91</v>
      </c>
      <c r="J334">
        <v>0</v>
      </c>
      <c r="K334">
        <v>88719</v>
      </c>
      <c r="L334">
        <v>94263.9375</v>
      </c>
      <c r="M334">
        <v>100862.41312500001</v>
      </c>
      <c r="N334">
        <v>107922.78204375</v>
      </c>
      <c r="O334" t="s">
        <v>3102</v>
      </c>
      <c r="P334" t="s">
        <v>3103</v>
      </c>
      <c r="Q334" t="s">
        <v>3104</v>
      </c>
    </row>
    <row r="335" spans="1:17" x14ac:dyDescent="0.25">
      <c r="A335" t="s">
        <v>649</v>
      </c>
      <c r="C335" t="s">
        <v>158</v>
      </c>
      <c r="D335">
        <v>7098</v>
      </c>
      <c r="E335">
        <v>91950.73</v>
      </c>
      <c r="F335">
        <v>0</v>
      </c>
      <c r="G335">
        <v>551704.38</v>
      </c>
      <c r="H335">
        <v>339403.62</v>
      </c>
      <c r="I335">
        <v>61.91</v>
      </c>
      <c r="J335">
        <v>0</v>
      </c>
      <c r="K335">
        <v>7098</v>
      </c>
      <c r="L335">
        <v>7541.625</v>
      </c>
      <c r="M335">
        <v>8069.5387499999997</v>
      </c>
      <c r="N335">
        <v>8634.4064624999992</v>
      </c>
      <c r="O335" t="s">
        <v>3102</v>
      </c>
      <c r="P335" t="s">
        <v>3103</v>
      </c>
      <c r="Q335" t="s">
        <v>3104</v>
      </c>
    </row>
    <row r="336" spans="1:17" x14ac:dyDescent="0.25">
      <c r="A336" t="s">
        <v>650</v>
      </c>
      <c r="C336" t="s">
        <v>159</v>
      </c>
      <c r="D336">
        <v>29573</v>
      </c>
      <c r="E336">
        <v>91950.73</v>
      </c>
      <c r="F336">
        <v>0</v>
      </c>
      <c r="G336">
        <v>551704.38</v>
      </c>
      <c r="H336">
        <v>339403.62</v>
      </c>
      <c r="I336">
        <v>61.91</v>
      </c>
      <c r="J336">
        <v>0</v>
      </c>
      <c r="K336">
        <v>29573</v>
      </c>
      <c r="L336">
        <v>31421.3125</v>
      </c>
      <c r="M336">
        <v>33620.804375</v>
      </c>
      <c r="N336">
        <v>35974.260681250002</v>
      </c>
      <c r="O336" t="s">
        <v>3102</v>
      </c>
      <c r="P336" t="s">
        <v>3103</v>
      </c>
      <c r="Q336" t="s">
        <v>3104</v>
      </c>
    </row>
    <row r="337" spans="1:17" x14ac:dyDescent="0.25">
      <c r="A337" t="s">
        <v>651</v>
      </c>
      <c r="C337" t="s">
        <v>164</v>
      </c>
      <c r="D337">
        <v>15692</v>
      </c>
      <c r="E337">
        <v>91950.73</v>
      </c>
      <c r="F337">
        <v>0</v>
      </c>
      <c r="G337">
        <v>551704.38</v>
      </c>
      <c r="H337">
        <v>339403.62</v>
      </c>
      <c r="I337">
        <v>61.91</v>
      </c>
      <c r="J337">
        <v>0</v>
      </c>
      <c r="K337">
        <v>15692</v>
      </c>
      <c r="L337">
        <v>16672.75</v>
      </c>
      <c r="M337">
        <v>17839.842499999999</v>
      </c>
      <c r="N337">
        <v>19088.631474999998</v>
      </c>
      <c r="O337" t="s">
        <v>3102</v>
      </c>
      <c r="P337" t="s">
        <v>3103</v>
      </c>
      <c r="Q337" t="s">
        <v>3104</v>
      </c>
    </row>
    <row r="338" spans="1:17" x14ac:dyDescent="0.25">
      <c r="A338" t="s">
        <v>652</v>
      </c>
      <c r="C338" t="s">
        <v>167</v>
      </c>
      <c r="D338">
        <v>112</v>
      </c>
      <c r="E338">
        <v>91950.73</v>
      </c>
      <c r="F338">
        <v>0</v>
      </c>
      <c r="G338">
        <v>551704.38</v>
      </c>
      <c r="H338">
        <v>339403.62</v>
      </c>
      <c r="I338">
        <v>61.91</v>
      </c>
      <c r="J338">
        <v>0</v>
      </c>
      <c r="K338">
        <v>112</v>
      </c>
      <c r="L338">
        <v>119</v>
      </c>
      <c r="M338">
        <v>127.33</v>
      </c>
      <c r="N338">
        <v>136.2431</v>
      </c>
      <c r="O338" t="s">
        <v>3102</v>
      </c>
      <c r="P338" t="s">
        <v>3103</v>
      </c>
      <c r="Q338" t="s">
        <v>3104</v>
      </c>
    </row>
    <row r="339" spans="1:17" x14ac:dyDescent="0.25">
      <c r="A339" t="s">
        <v>653</v>
      </c>
      <c r="C339" t="s">
        <v>168</v>
      </c>
      <c r="D339">
        <v>53908</v>
      </c>
      <c r="E339">
        <v>91950.73</v>
      </c>
      <c r="F339">
        <v>0</v>
      </c>
      <c r="G339">
        <v>551704.38</v>
      </c>
      <c r="H339">
        <v>339403.62</v>
      </c>
      <c r="I339">
        <v>61.91</v>
      </c>
      <c r="J339">
        <v>0</v>
      </c>
      <c r="K339">
        <v>53908</v>
      </c>
      <c r="L339">
        <v>57277.25</v>
      </c>
      <c r="M339">
        <v>61286.657500000001</v>
      </c>
      <c r="N339">
        <v>65576.723525000009</v>
      </c>
      <c r="O339" t="s">
        <v>3102</v>
      </c>
      <c r="P339" t="s">
        <v>3103</v>
      </c>
      <c r="Q339" t="s">
        <v>3104</v>
      </c>
    </row>
    <row r="340" spans="1:17" x14ac:dyDescent="0.25">
      <c r="A340" t="s">
        <v>654</v>
      </c>
      <c r="C340" t="s">
        <v>169</v>
      </c>
      <c r="D340">
        <v>78073</v>
      </c>
      <c r="E340">
        <v>91950.73</v>
      </c>
      <c r="F340">
        <v>0</v>
      </c>
      <c r="G340">
        <v>551704.38</v>
      </c>
      <c r="H340">
        <v>339403.62</v>
      </c>
      <c r="I340">
        <v>61.91</v>
      </c>
      <c r="J340">
        <v>0</v>
      </c>
      <c r="K340">
        <v>78073</v>
      </c>
      <c r="L340">
        <v>82952.5625</v>
      </c>
      <c r="M340">
        <v>88759.241875000007</v>
      </c>
      <c r="N340">
        <v>94972.388806250005</v>
      </c>
      <c r="O340" t="s">
        <v>3102</v>
      </c>
      <c r="P340" t="s">
        <v>3103</v>
      </c>
      <c r="Q340" t="s">
        <v>3104</v>
      </c>
    </row>
    <row r="341" spans="1:17" x14ac:dyDescent="0.25">
      <c r="A341" t="s">
        <v>655</v>
      </c>
      <c r="C341" t="s">
        <v>170</v>
      </c>
      <c r="D341">
        <v>1785</v>
      </c>
      <c r="E341">
        <v>91950.73</v>
      </c>
      <c r="F341">
        <v>0</v>
      </c>
      <c r="G341">
        <v>551704.38</v>
      </c>
      <c r="H341">
        <v>339403.62</v>
      </c>
      <c r="I341">
        <v>61.91</v>
      </c>
      <c r="J341">
        <v>0</v>
      </c>
      <c r="K341">
        <v>1785</v>
      </c>
      <c r="L341">
        <v>1896.5625</v>
      </c>
      <c r="M341">
        <v>2029.3218750000001</v>
      </c>
      <c r="N341">
        <v>2171.37440625</v>
      </c>
      <c r="O341" t="s">
        <v>3102</v>
      </c>
      <c r="P341" t="s">
        <v>3103</v>
      </c>
      <c r="Q341" t="s">
        <v>3104</v>
      </c>
    </row>
    <row r="342" spans="1:17" x14ac:dyDescent="0.25">
      <c r="A342" t="s">
        <v>656</v>
      </c>
      <c r="C342" t="s">
        <v>173</v>
      </c>
      <c r="D342">
        <v>753</v>
      </c>
      <c r="E342">
        <v>91950.73</v>
      </c>
      <c r="F342">
        <v>0</v>
      </c>
      <c r="G342">
        <v>551704.38</v>
      </c>
      <c r="H342">
        <v>339403.62</v>
      </c>
      <c r="I342">
        <v>61.91</v>
      </c>
      <c r="J342">
        <v>0</v>
      </c>
      <c r="K342">
        <v>753</v>
      </c>
      <c r="L342">
        <v>800.0625</v>
      </c>
      <c r="M342">
        <v>856.06687499999998</v>
      </c>
      <c r="N342">
        <v>915.99155625000003</v>
      </c>
      <c r="O342" t="s">
        <v>3102</v>
      </c>
      <c r="P342" t="s">
        <v>3103</v>
      </c>
      <c r="Q342" t="s">
        <v>3111</v>
      </c>
    </row>
    <row r="343" spans="1:17" x14ac:dyDescent="0.25">
      <c r="A343" t="s">
        <v>657</v>
      </c>
      <c r="C343" t="s">
        <v>174</v>
      </c>
      <c r="D343">
        <v>398</v>
      </c>
      <c r="E343">
        <v>91950.73</v>
      </c>
      <c r="F343">
        <v>0</v>
      </c>
      <c r="G343">
        <v>551704.38</v>
      </c>
      <c r="H343">
        <v>339403.62</v>
      </c>
      <c r="I343">
        <v>61.91</v>
      </c>
      <c r="J343">
        <v>0</v>
      </c>
      <c r="K343">
        <v>398</v>
      </c>
      <c r="L343">
        <v>422.875</v>
      </c>
      <c r="M343">
        <v>452.47624999999999</v>
      </c>
      <c r="N343">
        <v>484.1495875</v>
      </c>
      <c r="O343" t="s">
        <v>3102</v>
      </c>
      <c r="P343" t="s">
        <v>3103</v>
      </c>
      <c r="Q343" t="s">
        <v>3111</v>
      </c>
    </row>
    <row r="344" spans="1:17" x14ac:dyDescent="0.25">
      <c r="A344" t="s">
        <v>658</v>
      </c>
      <c r="C344" t="s">
        <v>175</v>
      </c>
      <c r="D344">
        <v>2789</v>
      </c>
      <c r="E344">
        <v>91950.73</v>
      </c>
      <c r="F344">
        <v>0</v>
      </c>
      <c r="G344">
        <v>551704.38</v>
      </c>
      <c r="H344">
        <v>339403.62</v>
      </c>
      <c r="I344">
        <v>61.91</v>
      </c>
      <c r="J344">
        <v>0</v>
      </c>
      <c r="K344">
        <v>2789</v>
      </c>
      <c r="L344">
        <v>2963.3125</v>
      </c>
      <c r="M344">
        <v>3170.7443750000002</v>
      </c>
      <c r="N344">
        <v>3392.69648125</v>
      </c>
      <c r="O344" t="s">
        <v>3102</v>
      </c>
      <c r="P344" t="s">
        <v>3103</v>
      </c>
      <c r="Q344" t="s">
        <v>3111</v>
      </c>
    </row>
    <row r="345" spans="1:17" x14ac:dyDescent="0.25">
      <c r="A345" t="s">
        <v>3077</v>
      </c>
      <c r="C345" t="s">
        <v>3054</v>
      </c>
      <c r="D345">
        <v>0</v>
      </c>
      <c r="L345">
        <v>106000</v>
      </c>
      <c r="M345">
        <v>111724</v>
      </c>
      <c r="N345">
        <v>118986</v>
      </c>
      <c r="O345" t="s">
        <v>3102</v>
      </c>
      <c r="P345" t="s">
        <v>3110</v>
      </c>
      <c r="Q345" t="s">
        <v>3125</v>
      </c>
    </row>
    <row r="346" spans="1:17" x14ac:dyDescent="0.25">
      <c r="A346" t="s">
        <v>659</v>
      </c>
      <c r="B346" t="s">
        <v>1363</v>
      </c>
      <c r="C346" t="s">
        <v>242</v>
      </c>
      <c r="D346">
        <v>521759</v>
      </c>
      <c r="E346">
        <v>91950.73</v>
      </c>
      <c r="F346">
        <v>0</v>
      </c>
      <c r="G346">
        <v>551704.38</v>
      </c>
      <c r="H346">
        <v>339403.62</v>
      </c>
      <c r="I346">
        <v>61.91</v>
      </c>
      <c r="J346">
        <v>21280</v>
      </c>
      <c r="K346">
        <v>543039</v>
      </c>
      <c r="L346">
        <v>553064</v>
      </c>
      <c r="M346">
        <v>582929</v>
      </c>
      <c r="N346">
        <v>620819</v>
      </c>
      <c r="O346" t="s">
        <v>3102</v>
      </c>
      <c r="P346" t="s">
        <v>3110</v>
      </c>
      <c r="Q346" t="s">
        <v>3111</v>
      </c>
    </row>
    <row r="347" spans="1:17" x14ac:dyDescent="0.25">
      <c r="A347" t="s">
        <v>660</v>
      </c>
      <c r="C347" t="s">
        <v>260</v>
      </c>
      <c r="D347">
        <v>1101000</v>
      </c>
      <c r="E347">
        <v>91950.73</v>
      </c>
      <c r="F347">
        <v>0</v>
      </c>
      <c r="G347">
        <v>551704.38</v>
      </c>
      <c r="H347">
        <v>339403.62</v>
      </c>
      <c r="I347">
        <v>61.91</v>
      </c>
      <c r="J347">
        <v>100000</v>
      </c>
      <c r="K347">
        <v>1201000</v>
      </c>
      <c r="L347">
        <v>1167060</v>
      </c>
      <c r="M347">
        <v>1230081</v>
      </c>
      <c r="N347">
        <v>1310000</v>
      </c>
      <c r="O347" t="s">
        <v>3102</v>
      </c>
      <c r="P347" t="s">
        <v>3110</v>
      </c>
      <c r="Q347" t="s">
        <v>3106</v>
      </c>
    </row>
    <row r="348" spans="1:17" x14ac:dyDescent="0.25">
      <c r="A348" t="s">
        <v>661</v>
      </c>
      <c r="C348" t="s">
        <v>265</v>
      </c>
      <c r="D348">
        <v>0</v>
      </c>
      <c r="E348">
        <v>91950.73</v>
      </c>
      <c r="F348">
        <v>0</v>
      </c>
      <c r="G348">
        <v>551704.38</v>
      </c>
      <c r="H348">
        <v>339403.62</v>
      </c>
      <c r="I348">
        <v>61.91</v>
      </c>
      <c r="J348">
        <v>6000</v>
      </c>
      <c r="K348">
        <v>6000</v>
      </c>
      <c r="L348">
        <v>6270</v>
      </c>
      <c r="M348">
        <v>6558.42</v>
      </c>
      <c r="N348">
        <v>6860.1073200000001</v>
      </c>
      <c r="O348" t="s">
        <v>3102</v>
      </c>
      <c r="P348" t="s">
        <v>3110</v>
      </c>
      <c r="Q348" t="s">
        <v>3104</v>
      </c>
    </row>
    <row r="349" spans="1:17" x14ac:dyDescent="0.25">
      <c r="A349" t="s">
        <v>662</v>
      </c>
      <c r="B349" t="s">
        <v>1361</v>
      </c>
      <c r="C349" t="s">
        <v>268</v>
      </c>
      <c r="D349">
        <v>0</v>
      </c>
      <c r="E349">
        <v>91950.73</v>
      </c>
      <c r="F349">
        <v>0</v>
      </c>
      <c r="G349">
        <v>551704.38</v>
      </c>
      <c r="H349">
        <v>339403.62</v>
      </c>
      <c r="I349">
        <v>61.91</v>
      </c>
      <c r="J349">
        <v>40000</v>
      </c>
      <c r="K349">
        <v>40000</v>
      </c>
      <c r="L349">
        <v>41800</v>
      </c>
      <c r="M349">
        <v>43722.8</v>
      </c>
      <c r="N349">
        <v>45734.048800000004</v>
      </c>
      <c r="O349" t="s">
        <v>3102</v>
      </c>
      <c r="P349" t="s">
        <v>3110</v>
      </c>
      <c r="Q349" t="s">
        <v>3104</v>
      </c>
    </row>
    <row r="350" spans="1:17" x14ac:dyDescent="0.25">
      <c r="A350" t="s">
        <v>1579</v>
      </c>
      <c r="B350" t="s">
        <v>3050</v>
      </c>
      <c r="C350" t="s">
        <v>1342</v>
      </c>
      <c r="D350">
        <v>150000</v>
      </c>
      <c r="E350">
        <v>91950.73</v>
      </c>
      <c r="F350">
        <v>0</v>
      </c>
      <c r="G350">
        <v>551704.38</v>
      </c>
      <c r="H350">
        <v>339403.62</v>
      </c>
      <c r="I350">
        <v>61.91</v>
      </c>
      <c r="J350">
        <v>0</v>
      </c>
      <c r="K350">
        <v>150000</v>
      </c>
      <c r="L350">
        <v>150000</v>
      </c>
      <c r="M350">
        <v>150000</v>
      </c>
      <c r="N350">
        <v>0</v>
      </c>
      <c r="O350" t="s">
        <v>3118</v>
      </c>
      <c r="Q350" t="s">
        <v>3157</v>
      </c>
    </row>
    <row r="351" spans="1:17" x14ac:dyDescent="0.25">
      <c r="A351" t="s">
        <v>664</v>
      </c>
      <c r="C351" t="s">
        <v>150</v>
      </c>
      <c r="D351">
        <v>853944</v>
      </c>
      <c r="E351">
        <v>91950.73</v>
      </c>
      <c r="F351">
        <v>0</v>
      </c>
      <c r="G351">
        <v>551704.38</v>
      </c>
      <c r="H351">
        <v>339403.62</v>
      </c>
      <c r="I351">
        <v>61.91</v>
      </c>
      <c r="J351">
        <v>0</v>
      </c>
      <c r="K351">
        <v>853944</v>
      </c>
      <c r="L351">
        <v>907315.5</v>
      </c>
      <c r="M351">
        <v>970827.58499999996</v>
      </c>
      <c r="N351">
        <v>1038785.5159499999</v>
      </c>
      <c r="O351" t="s">
        <v>3102</v>
      </c>
      <c r="P351" t="s">
        <v>3103</v>
      </c>
      <c r="Q351" t="s">
        <v>3104</v>
      </c>
    </row>
    <row r="352" spans="1:17" x14ac:dyDescent="0.25">
      <c r="A352" t="s">
        <v>665</v>
      </c>
      <c r="C352" t="s">
        <v>151</v>
      </c>
      <c r="D352">
        <v>42697</v>
      </c>
      <c r="E352">
        <v>91950.73</v>
      </c>
      <c r="F352">
        <v>0</v>
      </c>
      <c r="G352">
        <v>551704.38</v>
      </c>
      <c r="H352">
        <v>339403.62</v>
      </c>
      <c r="I352">
        <v>61.91</v>
      </c>
      <c r="J352">
        <v>-34229.909999999996</v>
      </c>
      <c r="K352">
        <v>8467.0900000000038</v>
      </c>
      <c r="L352">
        <v>8996.2831250000036</v>
      </c>
      <c r="M352">
        <v>9626.0229437500038</v>
      </c>
      <c r="N352">
        <v>10299.844549812504</v>
      </c>
      <c r="O352" t="s">
        <v>3102</v>
      </c>
      <c r="P352" t="s">
        <v>3103</v>
      </c>
      <c r="Q352" t="s">
        <v>3104</v>
      </c>
    </row>
    <row r="353" spans="1:17" x14ac:dyDescent="0.25">
      <c r="A353" t="s">
        <v>666</v>
      </c>
      <c r="C353" t="s">
        <v>152</v>
      </c>
      <c r="D353">
        <v>24000</v>
      </c>
      <c r="E353">
        <v>91950.73</v>
      </c>
      <c r="F353">
        <v>0</v>
      </c>
      <c r="G353">
        <v>551704.38</v>
      </c>
      <c r="H353">
        <v>339403.62</v>
      </c>
      <c r="I353">
        <v>61.91</v>
      </c>
      <c r="J353">
        <v>0</v>
      </c>
      <c r="K353">
        <v>24000</v>
      </c>
      <c r="L353">
        <v>25500</v>
      </c>
      <c r="M353">
        <v>27285</v>
      </c>
      <c r="N353">
        <v>29194.95</v>
      </c>
      <c r="O353" t="s">
        <v>3102</v>
      </c>
      <c r="P353" t="s">
        <v>3103</v>
      </c>
      <c r="Q353" t="s">
        <v>3104</v>
      </c>
    </row>
    <row r="354" spans="1:17" x14ac:dyDescent="0.25">
      <c r="A354" t="s">
        <v>667</v>
      </c>
      <c r="C354" t="s">
        <v>153</v>
      </c>
      <c r="D354">
        <v>21786</v>
      </c>
      <c r="E354">
        <v>91950.73</v>
      </c>
      <c r="F354">
        <v>0</v>
      </c>
      <c r="G354">
        <v>551704.38</v>
      </c>
      <c r="H354">
        <v>339403.62</v>
      </c>
      <c r="I354">
        <v>61.91</v>
      </c>
      <c r="J354">
        <v>0</v>
      </c>
      <c r="K354">
        <v>21786</v>
      </c>
      <c r="L354">
        <v>23147.625</v>
      </c>
      <c r="M354">
        <v>24767.958750000002</v>
      </c>
      <c r="N354">
        <v>26501.715862500001</v>
      </c>
      <c r="O354" t="s">
        <v>3102</v>
      </c>
      <c r="P354" t="s">
        <v>3103</v>
      </c>
      <c r="Q354" t="s">
        <v>3104</v>
      </c>
    </row>
    <row r="355" spans="1:17" x14ac:dyDescent="0.25">
      <c r="A355" t="s">
        <v>668</v>
      </c>
      <c r="C355" t="s">
        <v>155</v>
      </c>
      <c r="D355">
        <v>20806</v>
      </c>
      <c r="E355">
        <v>91950.73</v>
      </c>
      <c r="F355">
        <v>0</v>
      </c>
      <c r="G355">
        <v>551704.38</v>
      </c>
      <c r="H355">
        <v>339403.62</v>
      </c>
      <c r="I355">
        <v>61.91</v>
      </c>
      <c r="J355">
        <v>0</v>
      </c>
      <c r="K355">
        <v>20806</v>
      </c>
      <c r="L355">
        <v>22106.375</v>
      </c>
      <c r="M355">
        <v>23653.821250000001</v>
      </c>
      <c r="N355">
        <v>25309.588737500002</v>
      </c>
      <c r="O355" t="s">
        <v>3102</v>
      </c>
      <c r="P355" t="s">
        <v>3103</v>
      </c>
      <c r="Q355" t="s">
        <v>3104</v>
      </c>
    </row>
    <row r="356" spans="1:17" x14ac:dyDescent="0.25">
      <c r="A356" t="s">
        <v>669</v>
      </c>
      <c r="C356" t="s">
        <v>156</v>
      </c>
      <c r="D356">
        <v>156750</v>
      </c>
      <c r="E356">
        <v>91950.73</v>
      </c>
      <c r="F356">
        <v>0</v>
      </c>
      <c r="G356">
        <v>551704.38</v>
      </c>
      <c r="H356">
        <v>339403.62</v>
      </c>
      <c r="I356">
        <v>61.91</v>
      </c>
      <c r="J356">
        <v>0</v>
      </c>
      <c r="K356">
        <v>156750</v>
      </c>
      <c r="L356">
        <v>166546.875</v>
      </c>
      <c r="M356">
        <v>178205.15625</v>
      </c>
      <c r="N356">
        <v>190679.51718749999</v>
      </c>
      <c r="O356" t="s">
        <v>3102</v>
      </c>
      <c r="P356" t="s">
        <v>3103</v>
      </c>
      <c r="Q356" t="s">
        <v>3104</v>
      </c>
    </row>
    <row r="357" spans="1:17" x14ac:dyDescent="0.25">
      <c r="A357" t="s">
        <v>670</v>
      </c>
      <c r="C357" t="s">
        <v>158</v>
      </c>
      <c r="D357">
        <v>12540</v>
      </c>
      <c r="E357">
        <v>91950.73</v>
      </c>
      <c r="F357">
        <v>0</v>
      </c>
      <c r="G357">
        <v>551704.38</v>
      </c>
      <c r="H357">
        <v>339403.62</v>
      </c>
      <c r="I357">
        <v>61.91</v>
      </c>
      <c r="J357">
        <v>0</v>
      </c>
      <c r="K357">
        <v>12540</v>
      </c>
      <c r="L357">
        <v>13323.75</v>
      </c>
      <c r="M357">
        <v>14256.4125</v>
      </c>
      <c r="N357">
        <v>15254.361375</v>
      </c>
      <c r="O357" t="s">
        <v>3102</v>
      </c>
      <c r="P357" t="s">
        <v>3103</v>
      </c>
      <c r="Q357" t="s">
        <v>3104</v>
      </c>
    </row>
    <row r="358" spans="1:17" x14ac:dyDescent="0.25">
      <c r="A358" t="s">
        <v>671</v>
      </c>
      <c r="C358" t="s">
        <v>159</v>
      </c>
      <c r="D358">
        <v>71162</v>
      </c>
      <c r="E358">
        <v>91950.73</v>
      </c>
      <c r="F358">
        <v>0</v>
      </c>
      <c r="G358">
        <v>551704.38</v>
      </c>
      <c r="H358">
        <v>339403.62</v>
      </c>
      <c r="I358">
        <v>61.91</v>
      </c>
      <c r="J358">
        <v>0</v>
      </c>
      <c r="K358">
        <v>71162</v>
      </c>
      <c r="L358">
        <v>75609.625</v>
      </c>
      <c r="M358">
        <v>80902.298750000002</v>
      </c>
      <c r="N358">
        <v>86565.459662499998</v>
      </c>
      <c r="O358" t="s">
        <v>3102</v>
      </c>
      <c r="P358" t="s">
        <v>3103</v>
      </c>
      <c r="Q358" t="s">
        <v>3104</v>
      </c>
    </row>
    <row r="359" spans="1:17" x14ac:dyDescent="0.25">
      <c r="A359" t="s">
        <v>672</v>
      </c>
      <c r="C359" t="s">
        <v>164</v>
      </c>
      <c r="D359">
        <v>15692</v>
      </c>
      <c r="E359">
        <v>91950.73</v>
      </c>
      <c r="F359">
        <v>0</v>
      </c>
      <c r="G359">
        <v>551704.38</v>
      </c>
      <c r="H359">
        <v>339403.62</v>
      </c>
      <c r="I359">
        <v>61.91</v>
      </c>
      <c r="J359">
        <v>0</v>
      </c>
      <c r="K359">
        <v>15692</v>
      </c>
      <c r="L359">
        <v>16672.75</v>
      </c>
      <c r="M359">
        <v>17839.842499999999</v>
      </c>
      <c r="N359">
        <v>19088.631474999998</v>
      </c>
      <c r="O359" t="s">
        <v>3102</v>
      </c>
      <c r="P359" t="s">
        <v>3103</v>
      </c>
      <c r="Q359" t="s">
        <v>3104</v>
      </c>
    </row>
    <row r="360" spans="1:17" x14ac:dyDescent="0.25">
      <c r="A360" t="s">
        <v>673</v>
      </c>
      <c r="C360" t="s">
        <v>167</v>
      </c>
      <c r="D360">
        <v>224</v>
      </c>
      <c r="E360">
        <v>91950.73</v>
      </c>
      <c r="F360">
        <v>0</v>
      </c>
      <c r="G360">
        <v>551704.38</v>
      </c>
      <c r="H360">
        <v>339403.62</v>
      </c>
      <c r="I360">
        <v>61.91</v>
      </c>
      <c r="J360">
        <v>0</v>
      </c>
      <c r="K360">
        <v>224</v>
      </c>
      <c r="L360">
        <v>238</v>
      </c>
      <c r="M360">
        <v>254.66</v>
      </c>
      <c r="N360">
        <v>272.4862</v>
      </c>
      <c r="O360" t="s">
        <v>3102</v>
      </c>
      <c r="P360" t="s">
        <v>3103</v>
      </c>
      <c r="Q360" t="s">
        <v>3104</v>
      </c>
    </row>
    <row r="361" spans="1:17" x14ac:dyDescent="0.25">
      <c r="A361" t="s">
        <v>674</v>
      </c>
      <c r="C361" t="s">
        <v>168</v>
      </c>
      <c r="D361">
        <v>107816</v>
      </c>
      <c r="E361">
        <v>91950.73</v>
      </c>
      <c r="F361">
        <v>0</v>
      </c>
      <c r="G361">
        <v>551704.38</v>
      </c>
      <c r="H361">
        <v>339403.62</v>
      </c>
      <c r="I361">
        <v>61.91</v>
      </c>
      <c r="J361">
        <v>-60000</v>
      </c>
      <c r="K361">
        <v>47816</v>
      </c>
      <c r="L361">
        <v>50804.5</v>
      </c>
      <c r="M361">
        <v>54360.815000000002</v>
      </c>
      <c r="N361">
        <v>58166.072050000002</v>
      </c>
      <c r="O361" t="s">
        <v>3102</v>
      </c>
      <c r="P361" t="s">
        <v>3103</v>
      </c>
      <c r="Q361" t="s">
        <v>3104</v>
      </c>
    </row>
    <row r="362" spans="1:17" x14ac:dyDescent="0.25">
      <c r="A362" t="s">
        <v>675</v>
      </c>
      <c r="C362" t="s">
        <v>169</v>
      </c>
      <c r="D362">
        <v>187868</v>
      </c>
      <c r="E362">
        <v>91950.73</v>
      </c>
      <c r="F362">
        <v>0</v>
      </c>
      <c r="G362">
        <v>551704.38</v>
      </c>
      <c r="H362">
        <v>339403.62</v>
      </c>
      <c r="I362">
        <v>61.91</v>
      </c>
      <c r="J362">
        <v>0</v>
      </c>
      <c r="K362">
        <v>187868</v>
      </c>
      <c r="L362">
        <v>199609.75</v>
      </c>
      <c r="M362">
        <v>213582.4325</v>
      </c>
      <c r="N362">
        <v>228533.20277499998</v>
      </c>
      <c r="O362" t="s">
        <v>3102</v>
      </c>
      <c r="P362" t="s">
        <v>3103</v>
      </c>
      <c r="Q362" t="s">
        <v>3104</v>
      </c>
    </row>
    <row r="363" spans="1:17" x14ac:dyDescent="0.25">
      <c r="A363" t="s">
        <v>676</v>
      </c>
      <c r="C363" t="s">
        <v>170</v>
      </c>
      <c r="D363">
        <v>3570</v>
      </c>
      <c r="E363">
        <v>91950.73</v>
      </c>
      <c r="F363">
        <v>0</v>
      </c>
      <c r="G363">
        <v>551704.38</v>
      </c>
      <c r="H363">
        <v>339403.62</v>
      </c>
      <c r="I363">
        <v>61.91</v>
      </c>
      <c r="J363">
        <v>0</v>
      </c>
      <c r="K363">
        <v>3570</v>
      </c>
      <c r="L363">
        <v>3793.125</v>
      </c>
      <c r="M363">
        <v>4058.6437500000002</v>
      </c>
      <c r="N363">
        <v>4342.7488125</v>
      </c>
      <c r="O363" t="s">
        <v>3102</v>
      </c>
      <c r="P363" t="s">
        <v>3103</v>
      </c>
      <c r="Q363" t="s">
        <v>3104</v>
      </c>
    </row>
    <row r="364" spans="1:17" x14ac:dyDescent="0.25">
      <c r="A364" t="s">
        <v>677</v>
      </c>
      <c r="C364" t="s">
        <v>173</v>
      </c>
      <c r="D364">
        <v>20768</v>
      </c>
      <c r="E364">
        <v>91950.73</v>
      </c>
      <c r="F364">
        <v>0</v>
      </c>
      <c r="G364">
        <v>551704.38</v>
      </c>
      <c r="H364">
        <v>339403.62</v>
      </c>
      <c r="I364">
        <v>61.91</v>
      </c>
      <c r="J364">
        <v>0</v>
      </c>
      <c r="K364">
        <v>20768</v>
      </c>
      <c r="L364">
        <v>22066</v>
      </c>
      <c r="M364">
        <v>23610.62</v>
      </c>
      <c r="N364">
        <v>25263.363399999998</v>
      </c>
      <c r="O364" t="s">
        <v>3102</v>
      </c>
      <c r="P364" t="s">
        <v>3103</v>
      </c>
      <c r="Q364" t="s">
        <v>3111</v>
      </c>
    </row>
    <row r="365" spans="1:17" x14ac:dyDescent="0.25">
      <c r="A365" t="s">
        <v>678</v>
      </c>
      <c r="C365" t="s">
        <v>174</v>
      </c>
      <c r="D365">
        <v>19770</v>
      </c>
      <c r="E365">
        <v>91950.73</v>
      </c>
      <c r="F365">
        <v>0</v>
      </c>
      <c r="G365">
        <v>551704.38</v>
      </c>
      <c r="H365">
        <v>339403.62</v>
      </c>
      <c r="I365">
        <v>61.91</v>
      </c>
      <c r="J365">
        <v>0</v>
      </c>
      <c r="K365">
        <v>19770</v>
      </c>
      <c r="L365">
        <v>21005.625</v>
      </c>
      <c r="M365">
        <v>22476.018749999999</v>
      </c>
      <c r="N365">
        <v>24049.340062499999</v>
      </c>
      <c r="O365" t="s">
        <v>3102</v>
      </c>
      <c r="P365" t="s">
        <v>3103</v>
      </c>
      <c r="Q365" t="s">
        <v>3111</v>
      </c>
    </row>
    <row r="366" spans="1:17" x14ac:dyDescent="0.25">
      <c r="A366" t="s">
        <v>679</v>
      </c>
      <c r="C366" t="s">
        <v>175</v>
      </c>
      <c r="D366">
        <v>6053</v>
      </c>
      <c r="E366">
        <v>91950.73</v>
      </c>
      <c r="F366">
        <v>0</v>
      </c>
      <c r="G366">
        <v>551704.38</v>
      </c>
      <c r="H366">
        <v>339403.62</v>
      </c>
      <c r="I366">
        <v>61.91</v>
      </c>
      <c r="J366">
        <v>0</v>
      </c>
      <c r="K366">
        <v>6053</v>
      </c>
      <c r="L366">
        <v>6431.3125</v>
      </c>
      <c r="M366">
        <v>6881.5043750000004</v>
      </c>
      <c r="N366">
        <v>7363.2096812500004</v>
      </c>
      <c r="O366" t="s">
        <v>3102</v>
      </c>
      <c r="P366" t="s">
        <v>3103</v>
      </c>
      <c r="Q366" t="s">
        <v>3111</v>
      </c>
    </row>
    <row r="367" spans="1:17" x14ac:dyDescent="0.25">
      <c r="A367" t="s">
        <v>680</v>
      </c>
      <c r="C367" t="s">
        <v>221</v>
      </c>
      <c r="D367">
        <v>400000</v>
      </c>
      <c r="E367">
        <v>91950.73</v>
      </c>
      <c r="F367">
        <v>0</v>
      </c>
      <c r="G367">
        <v>551704.38</v>
      </c>
      <c r="H367">
        <v>339403.62</v>
      </c>
      <c r="I367">
        <v>61.91</v>
      </c>
      <c r="J367">
        <v>0</v>
      </c>
      <c r="K367">
        <v>400000</v>
      </c>
      <c r="L367">
        <v>418000</v>
      </c>
      <c r="M367">
        <v>437228</v>
      </c>
      <c r="N367">
        <v>457340.48800000001</v>
      </c>
      <c r="O367" t="s">
        <v>3102</v>
      </c>
      <c r="P367" t="s">
        <v>3105</v>
      </c>
      <c r="Q367" t="s">
        <v>3158</v>
      </c>
    </row>
    <row r="368" spans="1:17" x14ac:dyDescent="0.25">
      <c r="A368" t="s">
        <v>681</v>
      </c>
      <c r="C368" t="s">
        <v>265</v>
      </c>
      <c r="D368">
        <v>0</v>
      </c>
      <c r="E368">
        <v>91950.73</v>
      </c>
      <c r="F368">
        <v>0</v>
      </c>
      <c r="G368">
        <v>551704.38</v>
      </c>
      <c r="H368">
        <v>339403.62</v>
      </c>
      <c r="I368">
        <v>61.91</v>
      </c>
      <c r="J368">
        <v>10000</v>
      </c>
      <c r="K368">
        <v>10000</v>
      </c>
      <c r="L368">
        <v>10450</v>
      </c>
      <c r="M368">
        <v>10930.7</v>
      </c>
      <c r="N368">
        <v>11433.512200000001</v>
      </c>
      <c r="O368" t="s">
        <v>3102</v>
      </c>
      <c r="P368" t="s">
        <v>3110</v>
      </c>
      <c r="Q368" t="s">
        <v>3104</v>
      </c>
    </row>
    <row r="369" spans="1:17" x14ac:dyDescent="0.25">
      <c r="A369" t="s">
        <v>682</v>
      </c>
      <c r="C369" t="s">
        <v>268</v>
      </c>
      <c r="D369">
        <v>0</v>
      </c>
      <c r="E369">
        <v>91950.73</v>
      </c>
      <c r="F369">
        <v>0</v>
      </c>
      <c r="G369">
        <v>551704.38</v>
      </c>
      <c r="H369">
        <v>339403.62</v>
      </c>
      <c r="I369">
        <v>61.91</v>
      </c>
      <c r="J369">
        <v>25000</v>
      </c>
      <c r="K369">
        <v>25000</v>
      </c>
      <c r="L369">
        <v>26125</v>
      </c>
      <c r="M369">
        <v>27326.75</v>
      </c>
      <c r="N369">
        <v>28583.780500000001</v>
      </c>
      <c r="O369" t="s">
        <v>3102</v>
      </c>
      <c r="P369" t="s">
        <v>3110</v>
      </c>
      <c r="Q369" t="s">
        <v>3104</v>
      </c>
    </row>
    <row r="370" spans="1:17" x14ac:dyDescent="0.25">
      <c r="A370" t="s">
        <v>1343</v>
      </c>
      <c r="B370" t="s">
        <v>320</v>
      </c>
      <c r="C370" t="s">
        <v>1344</v>
      </c>
      <c r="D370">
        <v>0</v>
      </c>
      <c r="E370">
        <v>91950.73</v>
      </c>
      <c r="F370">
        <v>0</v>
      </c>
      <c r="G370">
        <v>551704.38</v>
      </c>
      <c r="H370">
        <v>339403.62</v>
      </c>
      <c r="I370">
        <v>61.91</v>
      </c>
      <c r="J370">
        <v>0</v>
      </c>
      <c r="K370">
        <v>0</v>
      </c>
      <c r="L370">
        <v>800000</v>
      </c>
      <c r="M370">
        <v>900000</v>
      </c>
      <c r="N370">
        <v>0</v>
      </c>
      <c r="O370" t="s">
        <v>3118</v>
      </c>
      <c r="Q370" t="s">
        <v>3159</v>
      </c>
    </row>
    <row r="371" spans="1:17" x14ac:dyDescent="0.25">
      <c r="A371" t="s">
        <v>684</v>
      </c>
      <c r="C371" t="s">
        <v>150</v>
      </c>
      <c r="D371">
        <v>1364454</v>
      </c>
      <c r="E371">
        <v>91950.73</v>
      </c>
      <c r="F371">
        <v>0</v>
      </c>
      <c r="G371">
        <v>551704.38</v>
      </c>
      <c r="H371">
        <v>339403.62</v>
      </c>
      <c r="I371">
        <v>61.91</v>
      </c>
      <c r="J371">
        <v>0</v>
      </c>
      <c r="K371">
        <v>1364454</v>
      </c>
      <c r="L371">
        <v>1449732.375</v>
      </c>
      <c r="M371">
        <v>1551213.6412500001</v>
      </c>
      <c r="N371">
        <v>1659798.5961375001</v>
      </c>
      <c r="O371" t="s">
        <v>3102</v>
      </c>
      <c r="P371" t="s">
        <v>3103</v>
      </c>
      <c r="Q371" t="s">
        <v>3104</v>
      </c>
    </row>
    <row r="372" spans="1:17" x14ac:dyDescent="0.25">
      <c r="A372" t="s">
        <v>685</v>
      </c>
      <c r="C372" t="s">
        <v>150</v>
      </c>
      <c r="D372">
        <v>80600</v>
      </c>
      <c r="E372">
        <v>91950.73</v>
      </c>
      <c r="F372">
        <v>0</v>
      </c>
      <c r="G372">
        <v>551704.38</v>
      </c>
      <c r="H372">
        <v>339403.62</v>
      </c>
      <c r="I372">
        <v>61.91</v>
      </c>
      <c r="J372">
        <v>0</v>
      </c>
      <c r="K372">
        <v>80600</v>
      </c>
      <c r="L372">
        <v>85637.5</v>
      </c>
      <c r="M372">
        <v>91632.125</v>
      </c>
      <c r="N372">
        <v>98046.373749999999</v>
      </c>
      <c r="O372" t="s">
        <v>3102</v>
      </c>
      <c r="P372" t="s">
        <v>3103</v>
      </c>
      <c r="Q372" t="s">
        <v>3160</v>
      </c>
    </row>
    <row r="373" spans="1:17" x14ac:dyDescent="0.25">
      <c r="A373" t="s">
        <v>686</v>
      </c>
      <c r="C373" t="s">
        <v>151</v>
      </c>
      <c r="D373">
        <v>66423</v>
      </c>
      <c r="E373">
        <v>91950.73</v>
      </c>
      <c r="F373">
        <v>0</v>
      </c>
      <c r="G373">
        <v>551704.38</v>
      </c>
      <c r="H373">
        <v>339403.62</v>
      </c>
      <c r="I373">
        <v>61.91</v>
      </c>
      <c r="J373">
        <v>-41021.729999999996</v>
      </c>
      <c r="K373">
        <v>25401.270000000004</v>
      </c>
      <c r="L373">
        <v>26988.849375000005</v>
      </c>
      <c r="M373">
        <v>28878.068831250006</v>
      </c>
      <c r="N373">
        <v>30899.533649437508</v>
      </c>
      <c r="O373" t="s">
        <v>3102</v>
      </c>
      <c r="P373" t="s">
        <v>3103</v>
      </c>
      <c r="Q373" t="s">
        <v>3104</v>
      </c>
    </row>
    <row r="374" spans="1:17" x14ac:dyDescent="0.25">
      <c r="A374" t="s">
        <v>687</v>
      </c>
      <c r="C374" t="s">
        <v>152</v>
      </c>
      <c r="D374">
        <v>52200</v>
      </c>
      <c r="E374">
        <v>91950.73</v>
      </c>
      <c r="F374">
        <v>0</v>
      </c>
      <c r="G374">
        <v>551704.38</v>
      </c>
      <c r="H374">
        <v>339403.62</v>
      </c>
      <c r="I374">
        <v>61.91</v>
      </c>
      <c r="J374">
        <v>0</v>
      </c>
      <c r="K374">
        <v>52200</v>
      </c>
      <c r="L374">
        <v>55462.5</v>
      </c>
      <c r="M374">
        <v>59344.875</v>
      </c>
      <c r="N374">
        <v>63499.016250000001</v>
      </c>
      <c r="O374" t="s">
        <v>3102</v>
      </c>
      <c r="P374" t="s">
        <v>3103</v>
      </c>
      <c r="Q374" t="s">
        <v>3104</v>
      </c>
    </row>
    <row r="375" spans="1:17" x14ac:dyDescent="0.25">
      <c r="A375" t="s">
        <v>688</v>
      </c>
      <c r="C375" t="s">
        <v>153</v>
      </c>
      <c r="D375">
        <v>21786</v>
      </c>
      <c r="E375">
        <v>91950.73</v>
      </c>
      <c r="F375">
        <v>0</v>
      </c>
      <c r="G375">
        <v>551704.38</v>
      </c>
      <c r="H375">
        <v>339403.62</v>
      </c>
      <c r="I375">
        <v>61.91</v>
      </c>
      <c r="J375">
        <v>0</v>
      </c>
      <c r="K375">
        <v>21786</v>
      </c>
      <c r="L375">
        <v>23147.625</v>
      </c>
      <c r="M375">
        <v>24767.958750000002</v>
      </c>
      <c r="N375">
        <v>26501.715862500001</v>
      </c>
      <c r="O375" t="s">
        <v>3102</v>
      </c>
      <c r="P375" t="s">
        <v>3103</v>
      </c>
      <c r="Q375" t="s">
        <v>3104</v>
      </c>
    </row>
    <row r="376" spans="1:17" x14ac:dyDescent="0.25">
      <c r="A376" t="s">
        <v>689</v>
      </c>
      <c r="C376" t="s">
        <v>155</v>
      </c>
      <c r="D376">
        <v>44083</v>
      </c>
      <c r="E376">
        <v>91950.73</v>
      </c>
      <c r="F376">
        <v>0</v>
      </c>
      <c r="G376">
        <v>551704.38</v>
      </c>
      <c r="H376">
        <v>339403.62</v>
      </c>
      <c r="I376">
        <v>61.91</v>
      </c>
      <c r="J376">
        <v>0</v>
      </c>
      <c r="K376">
        <v>44083</v>
      </c>
      <c r="L376">
        <v>46838.1875</v>
      </c>
      <c r="M376">
        <v>50116.860625000001</v>
      </c>
      <c r="N376">
        <v>53625.040868750002</v>
      </c>
      <c r="O376" t="s">
        <v>3102</v>
      </c>
      <c r="P376" t="s">
        <v>3103</v>
      </c>
      <c r="Q376" t="s">
        <v>3104</v>
      </c>
    </row>
    <row r="377" spans="1:17" x14ac:dyDescent="0.25">
      <c r="A377" t="s">
        <v>690</v>
      </c>
      <c r="C377" t="s">
        <v>156</v>
      </c>
      <c r="D377">
        <v>332114</v>
      </c>
      <c r="E377">
        <v>91950.73</v>
      </c>
      <c r="F377">
        <v>0</v>
      </c>
      <c r="G377">
        <v>551704.38</v>
      </c>
      <c r="H377">
        <v>339403.62</v>
      </c>
      <c r="I377">
        <v>61.91</v>
      </c>
      <c r="J377">
        <v>0</v>
      </c>
      <c r="K377">
        <v>332114</v>
      </c>
      <c r="L377">
        <v>352871.125</v>
      </c>
      <c r="M377">
        <v>377572.10375000001</v>
      </c>
      <c r="N377">
        <v>404002.15101249999</v>
      </c>
      <c r="O377" t="s">
        <v>3102</v>
      </c>
      <c r="P377" t="s">
        <v>3103</v>
      </c>
      <c r="Q377" t="s">
        <v>3104</v>
      </c>
    </row>
    <row r="378" spans="1:17" x14ac:dyDescent="0.25">
      <c r="A378" t="s">
        <v>691</v>
      </c>
      <c r="C378" t="s">
        <v>158</v>
      </c>
      <c r="D378">
        <v>26569</v>
      </c>
      <c r="E378">
        <v>91950.73</v>
      </c>
      <c r="F378">
        <v>0</v>
      </c>
      <c r="G378">
        <v>551704.38</v>
      </c>
      <c r="H378">
        <v>339403.62</v>
      </c>
      <c r="I378">
        <v>61.91</v>
      </c>
      <c r="J378">
        <v>26569</v>
      </c>
      <c r="K378">
        <v>53138</v>
      </c>
      <c r="L378">
        <v>56459.125</v>
      </c>
      <c r="M378">
        <v>60411.263749999998</v>
      </c>
      <c r="N378">
        <v>64640.052212499999</v>
      </c>
      <c r="O378" t="s">
        <v>3102</v>
      </c>
      <c r="P378" t="s">
        <v>3103</v>
      </c>
      <c r="Q378" t="s">
        <v>3104</v>
      </c>
    </row>
    <row r="379" spans="1:17" x14ac:dyDescent="0.25">
      <c r="A379" t="s">
        <v>692</v>
      </c>
      <c r="C379" t="s">
        <v>159</v>
      </c>
      <c r="D379">
        <v>110705</v>
      </c>
      <c r="E379">
        <v>91950.73</v>
      </c>
      <c r="F379">
        <v>0</v>
      </c>
      <c r="G379">
        <v>551704.38</v>
      </c>
      <c r="H379">
        <v>339403.62</v>
      </c>
      <c r="I379">
        <v>61.91</v>
      </c>
      <c r="J379">
        <v>0</v>
      </c>
      <c r="K379">
        <v>110705</v>
      </c>
      <c r="L379">
        <v>117624.0625</v>
      </c>
      <c r="M379">
        <v>125857.746875</v>
      </c>
      <c r="N379">
        <v>134667.78915624999</v>
      </c>
      <c r="O379" t="s">
        <v>3102</v>
      </c>
      <c r="P379" t="s">
        <v>3103</v>
      </c>
      <c r="Q379" t="s">
        <v>3104</v>
      </c>
    </row>
    <row r="380" spans="1:17" x14ac:dyDescent="0.25">
      <c r="A380" t="s">
        <v>693</v>
      </c>
      <c r="C380" t="s">
        <v>164</v>
      </c>
      <c r="D380">
        <v>15692</v>
      </c>
      <c r="E380">
        <v>91950.73</v>
      </c>
      <c r="F380">
        <v>0</v>
      </c>
      <c r="G380">
        <v>551704.38</v>
      </c>
      <c r="H380">
        <v>339403.62</v>
      </c>
      <c r="I380">
        <v>61.91</v>
      </c>
      <c r="J380">
        <v>0</v>
      </c>
      <c r="K380">
        <v>15692</v>
      </c>
      <c r="L380">
        <v>16672.75</v>
      </c>
      <c r="M380">
        <v>17839.842499999999</v>
      </c>
      <c r="N380">
        <v>19088.631474999998</v>
      </c>
      <c r="O380" t="s">
        <v>3102</v>
      </c>
      <c r="P380" t="s">
        <v>3103</v>
      </c>
      <c r="Q380" t="s">
        <v>3104</v>
      </c>
    </row>
    <row r="381" spans="1:17" x14ac:dyDescent="0.25">
      <c r="A381" t="s">
        <v>694</v>
      </c>
      <c r="C381" t="s">
        <v>167</v>
      </c>
      <c r="D381">
        <v>337</v>
      </c>
      <c r="E381">
        <v>91950.73</v>
      </c>
      <c r="F381">
        <v>0</v>
      </c>
      <c r="G381">
        <v>551704.38</v>
      </c>
      <c r="H381">
        <v>339403.62</v>
      </c>
      <c r="I381">
        <v>61.91</v>
      </c>
      <c r="J381">
        <v>0</v>
      </c>
      <c r="K381">
        <v>337</v>
      </c>
      <c r="L381">
        <v>358.0625</v>
      </c>
      <c r="M381">
        <v>383.12687499999998</v>
      </c>
      <c r="N381">
        <v>409.94575624999999</v>
      </c>
      <c r="O381" t="s">
        <v>3102</v>
      </c>
      <c r="P381" t="s">
        <v>3103</v>
      </c>
      <c r="Q381" t="s">
        <v>3104</v>
      </c>
    </row>
    <row r="382" spans="1:17" x14ac:dyDescent="0.25">
      <c r="A382" t="s">
        <v>695</v>
      </c>
      <c r="C382" t="s">
        <v>168</v>
      </c>
      <c r="D382">
        <v>161725</v>
      </c>
      <c r="E382">
        <v>91950.73</v>
      </c>
      <c r="F382">
        <v>0</v>
      </c>
      <c r="G382">
        <v>551704.38</v>
      </c>
      <c r="H382">
        <v>339403.62</v>
      </c>
      <c r="I382">
        <v>61.91</v>
      </c>
      <c r="J382">
        <v>0</v>
      </c>
      <c r="K382">
        <v>161725</v>
      </c>
      <c r="L382">
        <v>171832.8125</v>
      </c>
      <c r="M382">
        <v>183861.109375</v>
      </c>
      <c r="N382">
        <v>196731.38703124999</v>
      </c>
      <c r="O382" t="s">
        <v>3102</v>
      </c>
      <c r="P382" t="s">
        <v>3103</v>
      </c>
      <c r="Q382" t="s">
        <v>3104</v>
      </c>
    </row>
    <row r="383" spans="1:17" x14ac:dyDescent="0.25">
      <c r="A383" t="s">
        <v>696</v>
      </c>
      <c r="C383" t="s">
        <v>169</v>
      </c>
      <c r="D383">
        <v>278128</v>
      </c>
      <c r="E383">
        <v>91950.73</v>
      </c>
      <c r="F383">
        <v>0</v>
      </c>
      <c r="G383">
        <v>551704.38</v>
      </c>
      <c r="H383">
        <v>339403.62</v>
      </c>
      <c r="I383">
        <v>61.91</v>
      </c>
      <c r="J383">
        <v>0</v>
      </c>
      <c r="K383">
        <v>278128</v>
      </c>
      <c r="L383">
        <v>295511</v>
      </c>
      <c r="M383">
        <v>316196.77</v>
      </c>
      <c r="N383">
        <v>338330.54390000005</v>
      </c>
      <c r="O383" t="s">
        <v>3102</v>
      </c>
      <c r="P383" t="s">
        <v>3103</v>
      </c>
      <c r="Q383" t="s">
        <v>3104</v>
      </c>
    </row>
    <row r="384" spans="1:17" x14ac:dyDescent="0.25">
      <c r="A384" t="s">
        <v>697</v>
      </c>
      <c r="C384" t="s">
        <v>170</v>
      </c>
      <c r="D384">
        <v>5355</v>
      </c>
      <c r="E384">
        <v>91950.73</v>
      </c>
      <c r="F384">
        <v>0</v>
      </c>
      <c r="G384">
        <v>551704.38</v>
      </c>
      <c r="H384">
        <v>339403.62</v>
      </c>
      <c r="I384">
        <v>61.91</v>
      </c>
      <c r="J384">
        <v>0</v>
      </c>
      <c r="K384">
        <v>5355</v>
      </c>
      <c r="L384">
        <v>5689.6875</v>
      </c>
      <c r="M384">
        <v>6087.9656249999998</v>
      </c>
      <c r="N384">
        <v>6514.12321875</v>
      </c>
      <c r="O384" t="s">
        <v>3102</v>
      </c>
      <c r="P384" t="s">
        <v>3103</v>
      </c>
      <c r="Q384" t="s">
        <v>3104</v>
      </c>
    </row>
    <row r="385" spans="1:17" x14ac:dyDescent="0.25">
      <c r="A385" t="s">
        <v>698</v>
      </c>
      <c r="C385" t="s">
        <v>170</v>
      </c>
      <c r="D385">
        <v>0</v>
      </c>
      <c r="E385">
        <v>91950.73</v>
      </c>
      <c r="F385">
        <v>0</v>
      </c>
      <c r="G385">
        <v>551704.38</v>
      </c>
      <c r="H385">
        <v>339403.62</v>
      </c>
      <c r="I385">
        <v>61.91</v>
      </c>
      <c r="J385">
        <v>0</v>
      </c>
      <c r="K385">
        <v>0</v>
      </c>
      <c r="L385">
        <v>0</v>
      </c>
      <c r="M385">
        <v>0</v>
      </c>
      <c r="O385" t="s">
        <v>3102</v>
      </c>
      <c r="P385" t="s">
        <v>3103</v>
      </c>
      <c r="Q385" t="s">
        <v>3160</v>
      </c>
    </row>
    <row r="386" spans="1:17" x14ac:dyDescent="0.25">
      <c r="A386" t="s">
        <v>699</v>
      </c>
      <c r="C386" t="s">
        <v>173</v>
      </c>
      <c r="D386">
        <v>8794</v>
      </c>
      <c r="E386">
        <v>91950.73</v>
      </c>
      <c r="F386">
        <v>0</v>
      </c>
      <c r="G386">
        <v>551704.38</v>
      </c>
      <c r="H386">
        <v>339403.62</v>
      </c>
      <c r="I386">
        <v>61.91</v>
      </c>
      <c r="J386">
        <v>0</v>
      </c>
      <c r="K386">
        <v>8794</v>
      </c>
      <c r="L386">
        <v>9343.625</v>
      </c>
      <c r="M386">
        <v>9997.6787499999991</v>
      </c>
      <c r="N386">
        <v>10697.516262499999</v>
      </c>
      <c r="O386" t="s">
        <v>3102</v>
      </c>
      <c r="P386" t="s">
        <v>3103</v>
      </c>
      <c r="Q386" t="s">
        <v>3111</v>
      </c>
    </row>
    <row r="387" spans="1:17" x14ac:dyDescent="0.25">
      <c r="A387" t="s">
        <v>700</v>
      </c>
      <c r="C387" t="s">
        <v>174</v>
      </c>
      <c r="D387">
        <v>8346</v>
      </c>
      <c r="E387">
        <v>91950.73</v>
      </c>
      <c r="F387">
        <v>0</v>
      </c>
      <c r="G387">
        <v>551704.38</v>
      </c>
      <c r="H387">
        <v>339403.62</v>
      </c>
      <c r="I387">
        <v>61.91</v>
      </c>
      <c r="J387">
        <v>0</v>
      </c>
      <c r="K387">
        <v>8346</v>
      </c>
      <c r="L387">
        <v>8867.625</v>
      </c>
      <c r="M387">
        <v>9488.3587499999994</v>
      </c>
      <c r="N387">
        <v>10152.543862499999</v>
      </c>
      <c r="O387" t="s">
        <v>3102</v>
      </c>
      <c r="P387" t="s">
        <v>3103</v>
      </c>
      <c r="Q387" t="s">
        <v>3111</v>
      </c>
    </row>
    <row r="388" spans="1:17" x14ac:dyDescent="0.25">
      <c r="A388" t="s">
        <v>701</v>
      </c>
      <c r="C388" t="s">
        <v>175</v>
      </c>
      <c r="D388">
        <v>11677</v>
      </c>
      <c r="E388">
        <v>91950.73</v>
      </c>
      <c r="F388">
        <v>0</v>
      </c>
      <c r="G388">
        <v>551704.38</v>
      </c>
      <c r="H388">
        <v>339403.62</v>
      </c>
      <c r="I388">
        <v>61.91</v>
      </c>
      <c r="J388">
        <v>0</v>
      </c>
      <c r="K388">
        <v>11677</v>
      </c>
      <c r="L388">
        <v>12406.8125</v>
      </c>
      <c r="M388">
        <v>13275.289375</v>
      </c>
      <c r="N388">
        <v>14204.55963125</v>
      </c>
      <c r="O388" t="s">
        <v>3102</v>
      </c>
      <c r="P388" t="s">
        <v>3103</v>
      </c>
      <c r="Q388" t="s">
        <v>3111</v>
      </c>
    </row>
    <row r="389" spans="1:17" x14ac:dyDescent="0.25">
      <c r="A389" t="s">
        <v>702</v>
      </c>
      <c r="C389" t="s">
        <v>220</v>
      </c>
      <c r="D389">
        <v>424278</v>
      </c>
      <c r="E389">
        <v>91950.73</v>
      </c>
      <c r="F389">
        <v>0</v>
      </c>
      <c r="G389">
        <v>551704.38</v>
      </c>
      <c r="H389">
        <v>339403.62</v>
      </c>
      <c r="I389">
        <v>61.91</v>
      </c>
      <c r="J389">
        <v>0</v>
      </c>
      <c r="K389">
        <v>424278</v>
      </c>
      <c r="L389">
        <v>443370.51</v>
      </c>
      <c r="M389">
        <v>463765.55346000002</v>
      </c>
      <c r="N389">
        <v>485098.76891916001</v>
      </c>
      <c r="O389" t="s">
        <v>3102</v>
      </c>
      <c r="P389" t="s">
        <v>3105</v>
      </c>
      <c r="Q389" t="s">
        <v>3104</v>
      </c>
    </row>
    <row r="390" spans="1:17" x14ac:dyDescent="0.25">
      <c r="A390" t="s">
        <v>703</v>
      </c>
      <c r="C390" t="s">
        <v>244</v>
      </c>
      <c r="D390">
        <v>3000000</v>
      </c>
      <c r="E390">
        <v>91950.73</v>
      </c>
      <c r="F390">
        <v>0</v>
      </c>
      <c r="G390">
        <v>551704.38</v>
      </c>
      <c r="H390">
        <v>339403.62</v>
      </c>
      <c r="I390">
        <v>61.91</v>
      </c>
      <c r="J390">
        <v>0</v>
      </c>
      <c r="K390">
        <v>3000000</v>
      </c>
      <c r="L390">
        <v>3135000</v>
      </c>
      <c r="M390">
        <v>3279210</v>
      </c>
      <c r="N390">
        <v>3430053.66</v>
      </c>
      <c r="O390" t="s">
        <v>3102</v>
      </c>
      <c r="P390" t="s">
        <v>3110</v>
      </c>
      <c r="Q390" t="s">
        <v>3104</v>
      </c>
    </row>
    <row r="391" spans="1:17" x14ac:dyDescent="0.25">
      <c r="A391" t="s">
        <v>704</v>
      </c>
      <c r="C391" t="s">
        <v>257</v>
      </c>
      <c r="D391">
        <v>790000</v>
      </c>
      <c r="E391">
        <v>91950.73</v>
      </c>
      <c r="F391">
        <v>0</v>
      </c>
      <c r="G391">
        <v>551704.38</v>
      </c>
      <c r="H391">
        <v>339403.62</v>
      </c>
      <c r="I391">
        <v>61.91</v>
      </c>
      <c r="J391">
        <v>0</v>
      </c>
      <c r="K391">
        <v>790000</v>
      </c>
      <c r="L391">
        <v>825550</v>
      </c>
      <c r="M391">
        <v>863525.3</v>
      </c>
      <c r="N391">
        <v>903247.46380000003</v>
      </c>
      <c r="O391" t="s">
        <v>3102</v>
      </c>
      <c r="P391" t="s">
        <v>3110</v>
      </c>
      <c r="Q391" t="s">
        <v>3106</v>
      </c>
    </row>
    <row r="392" spans="1:17" x14ac:dyDescent="0.25">
      <c r="A392" t="s">
        <v>705</v>
      </c>
      <c r="C392" t="s">
        <v>265</v>
      </c>
      <c r="D392">
        <v>0</v>
      </c>
      <c r="E392">
        <v>91950.73</v>
      </c>
      <c r="F392">
        <v>0</v>
      </c>
      <c r="G392">
        <v>551704.38</v>
      </c>
      <c r="H392">
        <v>339403.62</v>
      </c>
      <c r="I392">
        <v>61.91</v>
      </c>
      <c r="J392">
        <v>20000</v>
      </c>
      <c r="K392">
        <v>20000</v>
      </c>
      <c r="L392">
        <v>20900</v>
      </c>
      <c r="M392">
        <v>21861.4</v>
      </c>
      <c r="N392">
        <v>22867.024400000002</v>
      </c>
      <c r="O392" t="s">
        <v>3102</v>
      </c>
      <c r="P392" t="s">
        <v>3110</v>
      </c>
      <c r="Q392" t="s">
        <v>3104</v>
      </c>
    </row>
    <row r="393" spans="1:17" x14ac:dyDescent="0.25">
      <c r="A393" t="s">
        <v>706</v>
      </c>
      <c r="C393" t="s">
        <v>268</v>
      </c>
      <c r="D393">
        <v>0</v>
      </c>
      <c r="E393">
        <v>91950.73</v>
      </c>
      <c r="F393">
        <v>0</v>
      </c>
      <c r="G393">
        <v>551704.38</v>
      </c>
      <c r="H393">
        <v>339403.62</v>
      </c>
      <c r="I393">
        <v>61.91</v>
      </c>
      <c r="J393">
        <v>40000</v>
      </c>
      <c r="K393">
        <v>40000</v>
      </c>
      <c r="L393">
        <v>41800</v>
      </c>
      <c r="M393">
        <v>43722.8</v>
      </c>
      <c r="N393">
        <v>45734.048800000004</v>
      </c>
      <c r="O393" t="s">
        <v>3102</v>
      </c>
      <c r="P393" t="s">
        <v>3110</v>
      </c>
      <c r="Q393" t="s">
        <v>3104</v>
      </c>
    </row>
    <row r="394" spans="1:17" x14ac:dyDescent="0.25">
      <c r="A394" t="s">
        <v>707</v>
      </c>
      <c r="C394" t="s">
        <v>292</v>
      </c>
      <c r="D394">
        <v>11399</v>
      </c>
      <c r="E394">
        <v>91950.73</v>
      </c>
      <c r="F394">
        <v>0</v>
      </c>
      <c r="G394">
        <v>551704.38</v>
      </c>
      <c r="H394">
        <v>339403.62</v>
      </c>
      <c r="I394">
        <v>61.91</v>
      </c>
      <c r="J394">
        <v>0</v>
      </c>
      <c r="K394">
        <v>11399</v>
      </c>
      <c r="L394">
        <v>11911.955</v>
      </c>
      <c r="M394">
        <v>12459.904930000001</v>
      </c>
      <c r="N394">
        <v>13033.060556780001</v>
      </c>
      <c r="O394" t="s">
        <v>3102</v>
      </c>
      <c r="P394" t="s">
        <v>3117</v>
      </c>
      <c r="Q394" t="s">
        <v>3111</v>
      </c>
    </row>
    <row r="395" spans="1:17" x14ac:dyDescent="0.25">
      <c r="A395" t="s">
        <v>708</v>
      </c>
      <c r="C395" t="s">
        <v>293</v>
      </c>
      <c r="D395">
        <v>2988</v>
      </c>
      <c r="E395">
        <v>91950.73</v>
      </c>
      <c r="F395">
        <v>0</v>
      </c>
      <c r="G395">
        <v>551704.38</v>
      </c>
      <c r="H395">
        <v>339403.62</v>
      </c>
      <c r="I395">
        <v>61.91</v>
      </c>
      <c r="J395">
        <v>0</v>
      </c>
      <c r="K395">
        <v>2988</v>
      </c>
      <c r="L395">
        <v>3122.46</v>
      </c>
      <c r="M395">
        <v>3266.0931599999999</v>
      </c>
      <c r="N395">
        <v>3416.33344536</v>
      </c>
      <c r="O395" t="s">
        <v>3102</v>
      </c>
      <c r="P395" t="s">
        <v>3117</v>
      </c>
      <c r="Q395" t="s">
        <v>3111</v>
      </c>
    </row>
    <row r="396" spans="1:17" x14ac:dyDescent="0.25">
      <c r="A396" t="s">
        <v>710</v>
      </c>
      <c r="C396" t="s">
        <v>150</v>
      </c>
      <c r="D396">
        <v>1335043</v>
      </c>
      <c r="E396">
        <v>65927.72</v>
      </c>
      <c r="F396">
        <v>0</v>
      </c>
      <c r="G396">
        <v>401539.33</v>
      </c>
      <c r="H396">
        <v>933503.67</v>
      </c>
      <c r="I396">
        <v>30.07</v>
      </c>
      <c r="J396">
        <v>0</v>
      </c>
      <c r="K396">
        <v>1335043</v>
      </c>
      <c r="L396">
        <v>1418483.1875</v>
      </c>
      <c r="M396">
        <v>1517777.0106250001</v>
      </c>
      <c r="N396">
        <v>1624021.40136875</v>
      </c>
      <c r="O396" t="s">
        <v>3102</v>
      </c>
      <c r="P396" t="s">
        <v>3103</v>
      </c>
      <c r="Q396" t="s">
        <v>3104</v>
      </c>
    </row>
    <row r="397" spans="1:17" x14ac:dyDescent="0.25">
      <c r="A397" t="s">
        <v>711</v>
      </c>
      <c r="C397" t="s">
        <v>151</v>
      </c>
      <c r="D397">
        <v>66752</v>
      </c>
      <c r="E397">
        <v>65927.72</v>
      </c>
      <c r="F397">
        <v>0</v>
      </c>
      <c r="G397">
        <v>401539.33</v>
      </c>
      <c r="H397">
        <v>933503.67</v>
      </c>
      <c r="I397">
        <v>30.07</v>
      </c>
      <c r="J397">
        <v>-41350.730000000003</v>
      </c>
      <c r="K397">
        <v>25401.269999999997</v>
      </c>
      <c r="L397">
        <v>26988.849374999998</v>
      </c>
      <c r="M397">
        <v>28878.068831249999</v>
      </c>
      <c r="N397">
        <v>30899.533649437497</v>
      </c>
      <c r="O397" t="s">
        <v>3102</v>
      </c>
      <c r="P397" t="s">
        <v>3103</v>
      </c>
      <c r="Q397" t="s">
        <v>3104</v>
      </c>
    </row>
    <row r="398" spans="1:17" x14ac:dyDescent="0.25">
      <c r="A398" t="s">
        <v>712</v>
      </c>
      <c r="C398" t="s">
        <v>152</v>
      </c>
      <c r="D398">
        <v>66300</v>
      </c>
      <c r="E398">
        <v>65927.72</v>
      </c>
      <c r="F398">
        <v>0</v>
      </c>
      <c r="G398">
        <v>401539.33</v>
      </c>
      <c r="H398">
        <v>933503.67</v>
      </c>
      <c r="I398">
        <v>30.07</v>
      </c>
      <c r="J398">
        <v>0</v>
      </c>
      <c r="K398">
        <v>66300</v>
      </c>
      <c r="L398">
        <v>70443.75</v>
      </c>
      <c r="M398">
        <v>75374.8125</v>
      </c>
      <c r="N398">
        <v>80651.049375000002</v>
      </c>
      <c r="O398" t="s">
        <v>3102</v>
      </c>
      <c r="P398" t="s">
        <v>3103</v>
      </c>
      <c r="Q398" t="s">
        <v>3104</v>
      </c>
    </row>
    <row r="399" spans="1:17" x14ac:dyDescent="0.25">
      <c r="A399" t="s">
        <v>713</v>
      </c>
      <c r="C399" t="s">
        <v>153</v>
      </c>
      <c r="D399">
        <v>10893</v>
      </c>
      <c r="E399">
        <v>65927.72</v>
      </c>
      <c r="F399">
        <v>0</v>
      </c>
      <c r="G399">
        <v>401539.33</v>
      </c>
      <c r="H399">
        <v>933503.67</v>
      </c>
      <c r="I399">
        <v>30.07</v>
      </c>
      <c r="J399">
        <v>0</v>
      </c>
      <c r="K399">
        <v>10893</v>
      </c>
      <c r="L399">
        <v>11573.8125</v>
      </c>
      <c r="M399">
        <v>12383.979375000001</v>
      </c>
      <c r="N399">
        <v>13250.857931250001</v>
      </c>
      <c r="O399" t="s">
        <v>3102</v>
      </c>
      <c r="P399" t="s">
        <v>3103</v>
      </c>
      <c r="Q399" t="s">
        <v>3104</v>
      </c>
    </row>
    <row r="400" spans="1:17" x14ac:dyDescent="0.25">
      <c r="A400" t="s">
        <v>714</v>
      </c>
      <c r="C400" t="s">
        <v>154</v>
      </c>
      <c r="D400">
        <v>6420</v>
      </c>
      <c r="E400">
        <v>65927.72</v>
      </c>
      <c r="F400">
        <v>0</v>
      </c>
      <c r="G400">
        <v>401539.33</v>
      </c>
      <c r="H400">
        <v>933503.67</v>
      </c>
      <c r="I400">
        <v>30.07</v>
      </c>
      <c r="J400">
        <v>0</v>
      </c>
      <c r="K400">
        <v>6420</v>
      </c>
      <c r="L400">
        <v>6821.25</v>
      </c>
      <c r="M400">
        <v>7298.7375000000002</v>
      </c>
      <c r="N400">
        <v>7809.6491249999999</v>
      </c>
      <c r="O400" t="s">
        <v>3102</v>
      </c>
      <c r="P400" t="s">
        <v>3103</v>
      </c>
      <c r="Q400" t="s">
        <v>3104</v>
      </c>
    </row>
    <row r="401" spans="1:17" x14ac:dyDescent="0.25">
      <c r="A401" t="s">
        <v>715</v>
      </c>
      <c r="C401" t="s">
        <v>155</v>
      </c>
      <c r="D401">
        <v>34278</v>
      </c>
      <c r="E401">
        <v>65927.72</v>
      </c>
      <c r="F401">
        <v>0</v>
      </c>
      <c r="G401">
        <v>401539.33</v>
      </c>
      <c r="H401">
        <v>933503.67</v>
      </c>
      <c r="I401">
        <v>30.07</v>
      </c>
      <c r="J401">
        <v>0</v>
      </c>
      <c r="K401">
        <v>34278</v>
      </c>
      <c r="L401">
        <v>36420.375</v>
      </c>
      <c r="M401">
        <v>38969.801249999997</v>
      </c>
      <c r="N401">
        <v>41697.6873375</v>
      </c>
      <c r="O401" t="s">
        <v>3102</v>
      </c>
      <c r="P401" t="s">
        <v>3103</v>
      </c>
      <c r="Q401" t="s">
        <v>3104</v>
      </c>
    </row>
    <row r="402" spans="1:17" x14ac:dyDescent="0.25">
      <c r="A402" t="s">
        <v>716</v>
      </c>
      <c r="C402" t="s">
        <v>156</v>
      </c>
      <c r="D402">
        <v>219886</v>
      </c>
      <c r="E402">
        <v>65927.72</v>
      </c>
      <c r="F402">
        <v>0</v>
      </c>
      <c r="G402">
        <v>401539.33</v>
      </c>
      <c r="H402">
        <v>933503.67</v>
      </c>
      <c r="I402">
        <v>30.07</v>
      </c>
      <c r="J402">
        <v>0</v>
      </c>
      <c r="K402">
        <v>219886</v>
      </c>
      <c r="L402">
        <v>233628.875</v>
      </c>
      <c r="M402">
        <v>249982.89624999999</v>
      </c>
      <c r="N402">
        <v>267481.69898749999</v>
      </c>
      <c r="O402" t="s">
        <v>3102</v>
      </c>
      <c r="P402" t="s">
        <v>3103</v>
      </c>
      <c r="Q402" t="s">
        <v>3104</v>
      </c>
    </row>
    <row r="403" spans="1:17" x14ac:dyDescent="0.25">
      <c r="A403" t="s">
        <v>717</v>
      </c>
      <c r="C403" t="s">
        <v>157</v>
      </c>
      <c r="D403">
        <v>15152</v>
      </c>
      <c r="E403">
        <v>65927.72</v>
      </c>
      <c r="F403">
        <v>0</v>
      </c>
      <c r="G403">
        <v>401539.33</v>
      </c>
      <c r="H403">
        <v>933503.67</v>
      </c>
      <c r="I403">
        <v>30.07</v>
      </c>
      <c r="J403">
        <v>-5152</v>
      </c>
      <c r="K403">
        <v>10000</v>
      </c>
      <c r="L403">
        <v>10625</v>
      </c>
      <c r="M403">
        <v>11368.75</v>
      </c>
      <c r="N403">
        <v>12164.5625</v>
      </c>
      <c r="O403" t="s">
        <v>3102</v>
      </c>
      <c r="P403" t="s">
        <v>3103</v>
      </c>
      <c r="Q403" t="s">
        <v>3104</v>
      </c>
    </row>
    <row r="404" spans="1:17" x14ac:dyDescent="0.25">
      <c r="A404" t="s">
        <v>718</v>
      </c>
      <c r="C404" t="s">
        <v>159</v>
      </c>
      <c r="D404">
        <v>111254</v>
      </c>
      <c r="E404">
        <v>65927.72</v>
      </c>
      <c r="F404">
        <v>0</v>
      </c>
      <c r="G404">
        <v>401539.33</v>
      </c>
      <c r="H404">
        <v>933503.67</v>
      </c>
      <c r="I404">
        <v>30.07</v>
      </c>
      <c r="J404">
        <v>0</v>
      </c>
      <c r="K404">
        <v>111254</v>
      </c>
      <c r="L404">
        <v>118207.375</v>
      </c>
      <c r="M404">
        <v>126481.89125</v>
      </c>
      <c r="N404">
        <v>135335.62363749999</v>
      </c>
      <c r="O404" t="s">
        <v>3102</v>
      </c>
      <c r="P404" t="s">
        <v>3103</v>
      </c>
      <c r="Q404" t="s">
        <v>3104</v>
      </c>
    </row>
    <row r="405" spans="1:17" x14ac:dyDescent="0.25">
      <c r="A405" t="s">
        <v>719</v>
      </c>
      <c r="C405" t="s">
        <v>162</v>
      </c>
      <c r="D405">
        <v>50926</v>
      </c>
      <c r="E405">
        <v>65927.72</v>
      </c>
      <c r="F405">
        <v>0</v>
      </c>
      <c r="G405">
        <v>401539.33</v>
      </c>
      <c r="H405">
        <v>933503.67</v>
      </c>
      <c r="I405">
        <v>30.07</v>
      </c>
      <c r="J405">
        <v>-25000</v>
      </c>
      <c r="K405">
        <v>25926</v>
      </c>
      <c r="L405">
        <v>27546.375</v>
      </c>
      <c r="M405">
        <v>29474.62125</v>
      </c>
      <c r="N405">
        <v>31537.8447375</v>
      </c>
      <c r="O405" t="s">
        <v>3102</v>
      </c>
      <c r="P405" t="s">
        <v>3103</v>
      </c>
      <c r="Q405" t="s">
        <v>3104</v>
      </c>
    </row>
    <row r="406" spans="1:17" x14ac:dyDescent="0.25">
      <c r="A406" t="s">
        <v>720</v>
      </c>
      <c r="C406" t="s">
        <v>164</v>
      </c>
      <c r="D406">
        <v>15692</v>
      </c>
      <c r="E406">
        <v>65927.72</v>
      </c>
      <c r="F406">
        <v>0</v>
      </c>
      <c r="G406">
        <v>401539.33</v>
      </c>
      <c r="H406">
        <v>933503.67</v>
      </c>
      <c r="I406">
        <v>30.07</v>
      </c>
      <c r="J406">
        <v>0</v>
      </c>
      <c r="K406">
        <v>15692</v>
      </c>
      <c r="L406">
        <v>16672.75</v>
      </c>
      <c r="M406">
        <v>17839.842499999999</v>
      </c>
      <c r="N406">
        <v>19088.631474999998</v>
      </c>
      <c r="O406" t="s">
        <v>3102</v>
      </c>
      <c r="P406" t="s">
        <v>3103</v>
      </c>
      <c r="Q406" t="s">
        <v>3104</v>
      </c>
    </row>
    <row r="407" spans="1:17" x14ac:dyDescent="0.25">
      <c r="A407" t="s">
        <v>721</v>
      </c>
      <c r="C407" t="s">
        <v>167</v>
      </c>
      <c r="D407">
        <v>449</v>
      </c>
      <c r="E407">
        <v>65927.72</v>
      </c>
      <c r="F407">
        <v>0</v>
      </c>
      <c r="G407">
        <v>401539.33</v>
      </c>
      <c r="H407">
        <v>933503.67</v>
      </c>
      <c r="I407">
        <v>30.07</v>
      </c>
      <c r="J407">
        <v>0</v>
      </c>
      <c r="K407">
        <v>449</v>
      </c>
      <c r="L407">
        <v>477.0625</v>
      </c>
      <c r="M407">
        <v>510.45687499999997</v>
      </c>
      <c r="N407">
        <v>546.18885624999996</v>
      </c>
      <c r="O407" t="s">
        <v>3102</v>
      </c>
      <c r="P407" t="s">
        <v>3103</v>
      </c>
      <c r="Q407" t="s">
        <v>3104</v>
      </c>
    </row>
    <row r="408" spans="1:17" x14ac:dyDescent="0.25">
      <c r="A408" t="s">
        <v>722</v>
      </c>
      <c r="C408" t="s">
        <v>168</v>
      </c>
      <c r="D408">
        <v>107816</v>
      </c>
      <c r="E408">
        <v>65927.72</v>
      </c>
      <c r="F408">
        <v>0</v>
      </c>
      <c r="G408">
        <v>401539.33</v>
      </c>
      <c r="H408">
        <v>933503.67</v>
      </c>
      <c r="I408">
        <v>30.07</v>
      </c>
      <c r="J408">
        <v>0</v>
      </c>
      <c r="K408">
        <v>107816</v>
      </c>
      <c r="L408">
        <v>114554.5</v>
      </c>
      <c r="M408">
        <v>122573.315</v>
      </c>
      <c r="N408">
        <v>131153.44705000002</v>
      </c>
      <c r="O408" t="s">
        <v>3102</v>
      </c>
      <c r="P408" t="s">
        <v>3103</v>
      </c>
      <c r="Q408" t="s">
        <v>3104</v>
      </c>
    </row>
    <row r="409" spans="1:17" x14ac:dyDescent="0.25">
      <c r="A409" t="s">
        <v>723</v>
      </c>
      <c r="C409" t="s">
        <v>169</v>
      </c>
      <c r="D409">
        <v>293709</v>
      </c>
      <c r="E409">
        <v>65927.72</v>
      </c>
      <c r="F409">
        <v>0</v>
      </c>
      <c r="G409">
        <v>401539.33</v>
      </c>
      <c r="H409">
        <v>933503.67</v>
      </c>
      <c r="I409">
        <v>30.07</v>
      </c>
      <c r="J409">
        <v>0</v>
      </c>
      <c r="K409">
        <v>293709</v>
      </c>
      <c r="L409">
        <v>312065.8125</v>
      </c>
      <c r="M409">
        <v>333910.419375</v>
      </c>
      <c r="N409">
        <v>357284.14873124997</v>
      </c>
      <c r="O409" t="s">
        <v>3102</v>
      </c>
      <c r="P409" t="s">
        <v>3103</v>
      </c>
      <c r="Q409" t="s">
        <v>3104</v>
      </c>
    </row>
    <row r="410" spans="1:17" x14ac:dyDescent="0.25">
      <c r="A410" t="s">
        <v>724</v>
      </c>
      <c r="C410" t="s">
        <v>170</v>
      </c>
      <c r="D410">
        <v>7140</v>
      </c>
      <c r="E410">
        <v>65927.72</v>
      </c>
      <c r="F410">
        <v>0</v>
      </c>
      <c r="G410">
        <v>401539.33</v>
      </c>
      <c r="H410">
        <v>933503.67</v>
      </c>
      <c r="I410">
        <v>30.07</v>
      </c>
      <c r="J410">
        <v>0</v>
      </c>
      <c r="K410">
        <v>7140</v>
      </c>
      <c r="L410">
        <v>7586.25</v>
      </c>
      <c r="M410">
        <v>8117.2875000000004</v>
      </c>
      <c r="N410">
        <v>8685.497625</v>
      </c>
      <c r="O410" t="s">
        <v>3102</v>
      </c>
      <c r="P410" t="s">
        <v>3103</v>
      </c>
      <c r="Q410" t="s">
        <v>3104</v>
      </c>
    </row>
    <row r="411" spans="1:17" x14ac:dyDescent="0.25">
      <c r="A411" t="s">
        <v>725</v>
      </c>
      <c r="C411" t="s">
        <v>173</v>
      </c>
      <c r="D411">
        <v>4606</v>
      </c>
      <c r="E411">
        <v>65927.72</v>
      </c>
      <c r="F411">
        <v>0</v>
      </c>
      <c r="G411">
        <v>401539.33</v>
      </c>
      <c r="H411">
        <v>933503.67</v>
      </c>
      <c r="I411">
        <v>30.07</v>
      </c>
      <c r="J411">
        <v>0</v>
      </c>
      <c r="K411">
        <v>4606</v>
      </c>
      <c r="L411">
        <v>4893.875</v>
      </c>
      <c r="M411">
        <v>5236.44625</v>
      </c>
      <c r="N411">
        <v>5602.9974874999998</v>
      </c>
      <c r="O411" t="s">
        <v>3102</v>
      </c>
      <c r="P411" t="s">
        <v>3103</v>
      </c>
      <c r="Q411" t="s">
        <v>3104</v>
      </c>
    </row>
    <row r="412" spans="1:17" x14ac:dyDescent="0.25">
      <c r="A412" t="s">
        <v>726</v>
      </c>
      <c r="C412" t="s">
        <v>174</v>
      </c>
      <c r="D412">
        <v>7357</v>
      </c>
      <c r="E412">
        <v>65927.72</v>
      </c>
      <c r="F412">
        <v>0</v>
      </c>
      <c r="G412">
        <v>401539.33</v>
      </c>
      <c r="H412">
        <v>933503.67</v>
      </c>
      <c r="I412">
        <v>30.07</v>
      </c>
      <c r="J412">
        <v>0</v>
      </c>
      <c r="K412">
        <v>7357</v>
      </c>
      <c r="L412">
        <v>7816.8125</v>
      </c>
      <c r="M412">
        <v>8363.9893749999992</v>
      </c>
      <c r="N412">
        <v>8949.4686312499998</v>
      </c>
      <c r="O412" t="s">
        <v>3102</v>
      </c>
      <c r="P412" t="s">
        <v>3103</v>
      </c>
      <c r="Q412" t="s">
        <v>3104</v>
      </c>
    </row>
    <row r="413" spans="1:17" x14ac:dyDescent="0.25">
      <c r="A413" t="s">
        <v>727</v>
      </c>
      <c r="C413" t="s">
        <v>175</v>
      </c>
      <c r="D413">
        <v>4920</v>
      </c>
      <c r="E413">
        <v>65927.72</v>
      </c>
      <c r="F413">
        <v>0</v>
      </c>
      <c r="G413">
        <v>401539.33</v>
      </c>
      <c r="H413">
        <v>933503.67</v>
      </c>
      <c r="I413">
        <v>30.07</v>
      </c>
      <c r="J413">
        <v>0</v>
      </c>
      <c r="K413">
        <v>4920</v>
      </c>
      <c r="L413">
        <v>5227.5</v>
      </c>
      <c r="M413">
        <v>5593.4250000000002</v>
      </c>
      <c r="N413">
        <v>5984.9647500000001</v>
      </c>
      <c r="O413" t="s">
        <v>3102</v>
      </c>
      <c r="P413" t="s">
        <v>3103</v>
      </c>
      <c r="Q413" t="s">
        <v>3104</v>
      </c>
    </row>
    <row r="414" spans="1:17" x14ac:dyDescent="0.25">
      <c r="A414" t="s">
        <v>728</v>
      </c>
      <c r="C414" t="s">
        <v>192</v>
      </c>
      <c r="D414">
        <v>221423</v>
      </c>
      <c r="E414">
        <v>65927.72</v>
      </c>
      <c r="F414">
        <v>0</v>
      </c>
      <c r="G414">
        <v>401539.33</v>
      </c>
      <c r="H414">
        <v>933503.67</v>
      </c>
      <c r="I414">
        <v>30.07</v>
      </c>
      <c r="J414">
        <v>0</v>
      </c>
      <c r="K414">
        <v>221423</v>
      </c>
      <c r="L414">
        <v>235261.9375</v>
      </c>
      <c r="M414">
        <v>251730.27312500001</v>
      </c>
      <c r="N414">
        <v>269351.39224374999</v>
      </c>
      <c r="O414" t="s">
        <v>3102</v>
      </c>
      <c r="P414" t="s">
        <v>3161</v>
      </c>
      <c r="Q414" t="s">
        <v>3104</v>
      </c>
    </row>
    <row r="415" spans="1:17" x14ac:dyDescent="0.25">
      <c r="A415" t="s">
        <v>729</v>
      </c>
      <c r="C415" t="s">
        <v>193</v>
      </c>
      <c r="D415">
        <v>664269</v>
      </c>
      <c r="E415">
        <v>65927.72</v>
      </c>
      <c r="F415">
        <v>0</v>
      </c>
      <c r="G415">
        <v>401539.33</v>
      </c>
      <c r="H415">
        <v>933503.67</v>
      </c>
      <c r="I415">
        <v>30.07</v>
      </c>
      <c r="J415">
        <v>0</v>
      </c>
      <c r="K415">
        <v>664269</v>
      </c>
      <c r="L415">
        <v>705785.8125</v>
      </c>
      <c r="M415">
        <v>755190.81937499996</v>
      </c>
      <c r="N415">
        <v>808054.17673125002</v>
      </c>
      <c r="O415" t="s">
        <v>3102</v>
      </c>
      <c r="P415" t="s">
        <v>3161</v>
      </c>
      <c r="Q415" t="s">
        <v>3104</v>
      </c>
    </row>
    <row r="416" spans="1:17" x14ac:dyDescent="0.25">
      <c r="A416" t="s">
        <v>730</v>
      </c>
      <c r="C416" t="s">
        <v>194</v>
      </c>
      <c r="D416">
        <v>47508</v>
      </c>
      <c r="E416">
        <v>65927.72</v>
      </c>
      <c r="F416">
        <v>0</v>
      </c>
      <c r="G416">
        <v>401539.33</v>
      </c>
      <c r="H416">
        <v>933503.67</v>
      </c>
      <c r="I416">
        <v>30.07</v>
      </c>
      <c r="J416">
        <v>0</v>
      </c>
      <c r="K416">
        <v>47508</v>
      </c>
      <c r="L416">
        <v>50477.25</v>
      </c>
      <c r="M416">
        <v>54010.657500000001</v>
      </c>
      <c r="N416">
        <v>57791.403525000002</v>
      </c>
      <c r="O416" t="s">
        <v>3102</v>
      </c>
      <c r="P416" t="s">
        <v>3161</v>
      </c>
      <c r="Q416" t="s">
        <v>3104</v>
      </c>
    </row>
    <row r="417" spans="1:17" x14ac:dyDescent="0.25">
      <c r="A417" t="s">
        <v>731</v>
      </c>
      <c r="C417" t="s">
        <v>202</v>
      </c>
      <c r="D417">
        <v>0</v>
      </c>
      <c r="E417">
        <v>65927.72</v>
      </c>
      <c r="F417">
        <v>0</v>
      </c>
      <c r="G417">
        <v>401539.33</v>
      </c>
      <c r="H417">
        <v>933503.67</v>
      </c>
      <c r="I417">
        <v>30.07</v>
      </c>
      <c r="J417">
        <v>0</v>
      </c>
      <c r="K417">
        <v>0</v>
      </c>
      <c r="L417">
        <v>0</v>
      </c>
      <c r="M417">
        <v>0</v>
      </c>
      <c r="O417" t="s">
        <v>3102</v>
      </c>
      <c r="P417" t="s">
        <v>3161</v>
      </c>
      <c r="Q417" t="s">
        <v>3104</v>
      </c>
    </row>
    <row r="418" spans="1:17" x14ac:dyDescent="0.25">
      <c r="A418" t="s">
        <v>732</v>
      </c>
      <c r="C418" t="s">
        <v>203</v>
      </c>
      <c r="D418">
        <v>0</v>
      </c>
      <c r="E418">
        <v>65927.72</v>
      </c>
      <c r="F418">
        <v>0</v>
      </c>
      <c r="G418">
        <v>401539.33</v>
      </c>
      <c r="H418">
        <v>933503.67</v>
      </c>
      <c r="I418">
        <v>30.07</v>
      </c>
      <c r="J418">
        <v>0</v>
      </c>
      <c r="K418">
        <v>0</v>
      </c>
      <c r="L418">
        <v>0</v>
      </c>
      <c r="M418">
        <v>0</v>
      </c>
      <c r="O418" t="s">
        <v>3102</v>
      </c>
      <c r="P418" t="s">
        <v>3161</v>
      </c>
      <c r="Q418" t="s">
        <v>3104</v>
      </c>
    </row>
    <row r="419" spans="1:17" x14ac:dyDescent="0.25">
      <c r="A419" t="s">
        <v>733</v>
      </c>
      <c r="C419" t="s">
        <v>204</v>
      </c>
      <c r="D419">
        <v>0</v>
      </c>
      <c r="E419">
        <v>65927.72</v>
      </c>
      <c r="F419">
        <v>0</v>
      </c>
      <c r="G419">
        <v>401539.33</v>
      </c>
      <c r="H419">
        <v>933503.67</v>
      </c>
      <c r="I419">
        <v>30.07</v>
      </c>
      <c r="J419">
        <v>0</v>
      </c>
      <c r="K419">
        <v>0</v>
      </c>
      <c r="L419">
        <v>0</v>
      </c>
      <c r="M419">
        <v>0</v>
      </c>
      <c r="O419" t="s">
        <v>3102</v>
      </c>
      <c r="P419" t="s">
        <v>3161</v>
      </c>
      <c r="Q419" t="s">
        <v>3104</v>
      </c>
    </row>
    <row r="420" spans="1:17" x14ac:dyDescent="0.25">
      <c r="A420" t="s">
        <v>734</v>
      </c>
      <c r="C420" t="s">
        <v>214</v>
      </c>
      <c r="D420">
        <v>49290</v>
      </c>
      <c r="E420">
        <v>65927.72</v>
      </c>
      <c r="F420">
        <v>0</v>
      </c>
      <c r="G420">
        <v>401539.33</v>
      </c>
      <c r="H420">
        <v>933503.67</v>
      </c>
      <c r="I420">
        <v>30.07</v>
      </c>
      <c r="J420">
        <v>0</v>
      </c>
      <c r="K420">
        <v>49290</v>
      </c>
      <c r="L420">
        <v>51508.05</v>
      </c>
      <c r="M420">
        <v>53877.420300000005</v>
      </c>
      <c r="N420">
        <v>56355.781633800005</v>
      </c>
      <c r="O420" t="s">
        <v>3102</v>
      </c>
      <c r="P420" t="s">
        <v>3105</v>
      </c>
      <c r="Q420" t="s">
        <v>3162</v>
      </c>
    </row>
    <row r="421" spans="1:17" x14ac:dyDescent="0.25">
      <c r="A421" t="s">
        <v>735</v>
      </c>
      <c r="C421" t="s">
        <v>214</v>
      </c>
      <c r="D421">
        <v>129198</v>
      </c>
      <c r="E421">
        <v>65927.72</v>
      </c>
      <c r="F421">
        <v>0</v>
      </c>
      <c r="G421">
        <v>401539.33</v>
      </c>
      <c r="H421">
        <v>933503.67</v>
      </c>
      <c r="I421">
        <v>30.07</v>
      </c>
      <c r="J421">
        <v>-45000</v>
      </c>
      <c r="K421">
        <v>84198</v>
      </c>
      <c r="L421">
        <v>87986.91</v>
      </c>
      <c r="M421">
        <v>92034.307860000001</v>
      </c>
      <c r="N421">
        <v>96267.88602156</v>
      </c>
      <c r="O421" t="s">
        <v>3102</v>
      </c>
      <c r="P421" t="s">
        <v>3105</v>
      </c>
      <c r="Q421" t="s">
        <v>3163</v>
      </c>
    </row>
    <row r="422" spans="1:17" x14ac:dyDescent="0.25">
      <c r="A422" t="s">
        <v>736</v>
      </c>
      <c r="C422" t="s">
        <v>214</v>
      </c>
      <c r="D422">
        <v>142582</v>
      </c>
      <c r="E422">
        <v>65927.72</v>
      </c>
      <c r="F422">
        <v>0</v>
      </c>
      <c r="G422">
        <v>401539.33</v>
      </c>
      <c r="H422">
        <v>933503.67</v>
      </c>
      <c r="I422">
        <v>30.07</v>
      </c>
      <c r="J422">
        <v>150000</v>
      </c>
      <c r="K422">
        <v>292582</v>
      </c>
      <c r="L422">
        <v>305748.19</v>
      </c>
      <c r="M422">
        <v>319812.60674000002</v>
      </c>
      <c r="N422">
        <v>334523.98665004002</v>
      </c>
      <c r="O422" t="s">
        <v>3102</v>
      </c>
      <c r="P422" t="s">
        <v>3105</v>
      </c>
      <c r="Q422" t="s">
        <v>3164</v>
      </c>
    </row>
    <row r="423" spans="1:17" x14ac:dyDescent="0.25">
      <c r="A423" t="s">
        <v>737</v>
      </c>
      <c r="C423" t="s">
        <v>214</v>
      </c>
      <c r="D423">
        <v>149582</v>
      </c>
      <c r="E423">
        <v>65927.72</v>
      </c>
      <c r="F423">
        <v>0</v>
      </c>
      <c r="G423">
        <v>401539.33</v>
      </c>
      <c r="H423">
        <v>933503.67</v>
      </c>
      <c r="I423">
        <v>30.07</v>
      </c>
      <c r="J423">
        <v>20000</v>
      </c>
      <c r="K423">
        <v>169582</v>
      </c>
      <c r="L423">
        <v>177213.19</v>
      </c>
      <c r="M423">
        <v>185364.99674</v>
      </c>
      <c r="N423">
        <v>193891.78659003999</v>
      </c>
      <c r="O423" t="s">
        <v>3102</v>
      </c>
      <c r="P423" t="s">
        <v>3105</v>
      </c>
      <c r="Q423" t="s">
        <v>3165</v>
      </c>
    </row>
    <row r="424" spans="1:17" x14ac:dyDescent="0.25">
      <c r="A424" t="s">
        <v>738</v>
      </c>
      <c r="C424" t="s">
        <v>214</v>
      </c>
      <c r="D424">
        <v>200689</v>
      </c>
      <c r="E424">
        <v>65927.72</v>
      </c>
      <c r="F424">
        <v>0</v>
      </c>
      <c r="G424">
        <v>401539.33</v>
      </c>
      <c r="H424">
        <v>933503.67</v>
      </c>
      <c r="I424">
        <v>30.07</v>
      </c>
      <c r="J424">
        <v>30000</v>
      </c>
      <c r="K424">
        <v>230689</v>
      </c>
      <c r="L424">
        <v>241070.005</v>
      </c>
      <c r="M424">
        <v>252159.22523000001</v>
      </c>
      <c r="N424">
        <v>263758.54959057999</v>
      </c>
      <c r="O424" t="s">
        <v>3102</v>
      </c>
      <c r="P424" t="s">
        <v>3105</v>
      </c>
      <c r="Q424" t="s">
        <v>3166</v>
      </c>
    </row>
    <row r="425" spans="1:17" x14ac:dyDescent="0.25">
      <c r="A425" t="s">
        <v>739</v>
      </c>
      <c r="B425" t="s">
        <v>3034</v>
      </c>
      <c r="C425" t="s">
        <v>214</v>
      </c>
      <c r="D425">
        <v>100000</v>
      </c>
      <c r="E425">
        <v>65927.72</v>
      </c>
      <c r="F425">
        <v>0</v>
      </c>
      <c r="G425">
        <v>401539.33</v>
      </c>
      <c r="H425">
        <v>933503.67</v>
      </c>
      <c r="I425">
        <v>30.07</v>
      </c>
      <c r="J425">
        <v>-22000</v>
      </c>
      <c r="K425">
        <v>78000</v>
      </c>
      <c r="L425">
        <v>81510</v>
      </c>
      <c r="M425">
        <v>85259.46</v>
      </c>
      <c r="N425">
        <v>89181.39516</v>
      </c>
      <c r="O425" t="s">
        <v>3102</v>
      </c>
      <c r="P425" t="s">
        <v>3105</v>
      </c>
      <c r="Q425" t="s">
        <v>3167</v>
      </c>
    </row>
    <row r="426" spans="1:17" x14ac:dyDescent="0.25">
      <c r="A426" t="s">
        <v>740</v>
      </c>
      <c r="B426" t="s">
        <v>3035</v>
      </c>
      <c r="C426" t="s">
        <v>214</v>
      </c>
      <c r="D426">
        <v>150406</v>
      </c>
      <c r="E426">
        <v>65927.72</v>
      </c>
      <c r="F426">
        <v>0</v>
      </c>
      <c r="G426">
        <v>401539.33</v>
      </c>
      <c r="H426">
        <v>933503.67</v>
      </c>
      <c r="I426">
        <v>30.07</v>
      </c>
      <c r="J426">
        <v>-7256</v>
      </c>
      <c r="K426">
        <v>143150</v>
      </c>
      <c r="L426">
        <v>149591.75</v>
      </c>
      <c r="M426">
        <v>156472.9705</v>
      </c>
      <c r="N426">
        <v>163670.727143</v>
      </c>
      <c r="O426" t="s">
        <v>3102</v>
      </c>
      <c r="P426" t="s">
        <v>3105</v>
      </c>
      <c r="Q426" t="s">
        <v>3168</v>
      </c>
    </row>
    <row r="427" spans="1:17" x14ac:dyDescent="0.25">
      <c r="A427" t="s">
        <v>741</v>
      </c>
      <c r="C427" t="s">
        <v>242</v>
      </c>
      <c r="D427">
        <v>68920</v>
      </c>
      <c r="E427">
        <v>65927.72</v>
      </c>
      <c r="F427">
        <v>0</v>
      </c>
      <c r="G427">
        <v>401539.33</v>
      </c>
      <c r="H427">
        <v>933503.67</v>
      </c>
      <c r="I427">
        <v>30.07</v>
      </c>
      <c r="J427">
        <v>0</v>
      </c>
      <c r="K427">
        <v>68920</v>
      </c>
      <c r="L427">
        <v>72021.399999999994</v>
      </c>
      <c r="M427">
        <v>75334.384399999995</v>
      </c>
      <c r="N427">
        <v>78799.76608239999</v>
      </c>
      <c r="O427" t="s">
        <v>3102</v>
      </c>
      <c r="P427" t="s">
        <v>3110</v>
      </c>
      <c r="Q427" t="s">
        <v>3169</v>
      </c>
    </row>
    <row r="428" spans="1:17" x14ac:dyDescent="0.25">
      <c r="A428" t="s">
        <v>742</v>
      </c>
      <c r="C428" t="s">
        <v>253</v>
      </c>
      <c r="D428">
        <v>2000</v>
      </c>
      <c r="E428">
        <v>65927.72</v>
      </c>
      <c r="F428">
        <v>0</v>
      </c>
      <c r="G428">
        <v>401539.33</v>
      </c>
      <c r="H428">
        <v>933503.67</v>
      </c>
      <c r="I428">
        <v>30.07</v>
      </c>
      <c r="J428">
        <v>0</v>
      </c>
      <c r="K428">
        <v>2000</v>
      </c>
      <c r="L428">
        <v>2090</v>
      </c>
      <c r="M428">
        <v>2186.14</v>
      </c>
      <c r="N428">
        <v>2286.70244</v>
      </c>
      <c r="O428" t="s">
        <v>3102</v>
      </c>
      <c r="P428" t="s">
        <v>3110</v>
      </c>
      <c r="Q428" t="s">
        <v>3106</v>
      </c>
    </row>
    <row r="429" spans="1:17" x14ac:dyDescent="0.25">
      <c r="A429" t="s">
        <v>743</v>
      </c>
      <c r="C429" t="s">
        <v>262</v>
      </c>
      <c r="D429">
        <v>97801</v>
      </c>
      <c r="E429">
        <v>65927.72</v>
      </c>
      <c r="F429">
        <v>0</v>
      </c>
      <c r="G429">
        <v>401539.33</v>
      </c>
      <c r="H429">
        <v>933503.67</v>
      </c>
      <c r="I429">
        <v>30.07</v>
      </c>
      <c r="J429">
        <v>-97801</v>
      </c>
      <c r="K429">
        <v>0</v>
      </c>
      <c r="L429">
        <v>0</v>
      </c>
      <c r="M429">
        <v>0</v>
      </c>
      <c r="N429">
        <v>0</v>
      </c>
      <c r="O429" t="s">
        <v>3102</v>
      </c>
      <c r="P429" t="s">
        <v>3110</v>
      </c>
      <c r="Q429" t="s">
        <v>3170</v>
      </c>
    </row>
    <row r="430" spans="1:17" x14ac:dyDescent="0.25">
      <c r="A430" t="s">
        <v>744</v>
      </c>
      <c r="C430" t="s">
        <v>265</v>
      </c>
      <c r="D430">
        <v>60606</v>
      </c>
      <c r="E430">
        <v>65927.72</v>
      </c>
      <c r="F430">
        <v>0</v>
      </c>
      <c r="G430">
        <v>401539.33</v>
      </c>
      <c r="H430">
        <v>933503.67</v>
      </c>
      <c r="I430">
        <v>30.07</v>
      </c>
      <c r="J430">
        <v>-4000</v>
      </c>
      <c r="K430">
        <v>56606</v>
      </c>
      <c r="L430">
        <v>59153.27</v>
      </c>
      <c r="M430">
        <v>61874.320419999996</v>
      </c>
      <c r="N430">
        <v>64720.539159319997</v>
      </c>
      <c r="O430" t="s">
        <v>3102</v>
      </c>
      <c r="P430" t="s">
        <v>3110</v>
      </c>
      <c r="Q430" t="s">
        <v>3104</v>
      </c>
    </row>
    <row r="431" spans="1:17" x14ac:dyDescent="0.25">
      <c r="A431" t="s">
        <v>745</v>
      </c>
      <c r="C431" t="s">
        <v>268</v>
      </c>
      <c r="D431">
        <v>175152</v>
      </c>
      <c r="E431">
        <v>65927.72</v>
      </c>
      <c r="F431">
        <v>0</v>
      </c>
      <c r="G431">
        <v>401539.33</v>
      </c>
      <c r="H431">
        <v>933503.67</v>
      </c>
      <c r="I431">
        <v>30.07</v>
      </c>
      <c r="J431">
        <v>-80000</v>
      </c>
      <c r="K431">
        <v>95152</v>
      </c>
      <c r="L431">
        <v>99433.84</v>
      </c>
      <c r="M431">
        <v>104007.79664</v>
      </c>
      <c r="N431">
        <v>108792.15528544001</v>
      </c>
      <c r="O431" t="s">
        <v>3102</v>
      </c>
      <c r="P431" t="s">
        <v>3110</v>
      </c>
      <c r="Q431" t="s">
        <v>3104</v>
      </c>
    </row>
    <row r="432" spans="1:17" x14ac:dyDescent="0.25">
      <c r="A432" t="s">
        <v>746</v>
      </c>
      <c r="C432" t="s">
        <v>268</v>
      </c>
      <c r="D432">
        <v>100000</v>
      </c>
      <c r="E432">
        <v>65927.72</v>
      </c>
      <c r="F432">
        <v>0</v>
      </c>
      <c r="G432">
        <v>401539.33</v>
      </c>
      <c r="H432">
        <v>933503.67</v>
      </c>
      <c r="I432">
        <v>30.07</v>
      </c>
      <c r="J432">
        <v>50000</v>
      </c>
      <c r="K432">
        <v>150000</v>
      </c>
      <c r="L432">
        <v>156750</v>
      </c>
      <c r="M432">
        <v>163960.5</v>
      </c>
      <c r="N432">
        <v>171502.68299999999</v>
      </c>
      <c r="O432" t="s">
        <v>3102</v>
      </c>
      <c r="P432" t="s">
        <v>3110</v>
      </c>
      <c r="Q432" t="s">
        <v>3111</v>
      </c>
    </row>
    <row r="433" spans="1:17" x14ac:dyDescent="0.25">
      <c r="A433" t="s">
        <v>747</v>
      </c>
      <c r="C433" t="s">
        <v>269</v>
      </c>
      <c r="D433">
        <v>76320</v>
      </c>
      <c r="E433">
        <v>65927.72</v>
      </c>
      <c r="F433">
        <v>0</v>
      </c>
      <c r="G433">
        <v>401539.33</v>
      </c>
      <c r="H433">
        <v>933503.67</v>
      </c>
      <c r="I433">
        <v>30.07</v>
      </c>
      <c r="J433">
        <v>-20000</v>
      </c>
      <c r="K433">
        <v>56320</v>
      </c>
      <c r="L433">
        <v>58854.400000000001</v>
      </c>
      <c r="M433">
        <v>61561.702400000002</v>
      </c>
      <c r="N433">
        <v>64393.540710400004</v>
      </c>
      <c r="O433" t="s">
        <v>3102</v>
      </c>
      <c r="P433" t="s">
        <v>3110</v>
      </c>
      <c r="Q433" t="s">
        <v>3106</v>
      </c>
    </row>
    <row r="434" spans="1:17" x14ac:dyDescent="0.25">
      <c r="A434" t="s">
        <v>749</v>
      </c>
      <c r="C434" t="s">
        <v>202</v>
      </c>
      <c r="D434">
        <v>269777</v>
      </c>
      <c r="E434">
        <v>65927.72</v>
      </c>
      <c r="F434">
        <v>0</v>
      </c>
      <c r="G434">
        <v>401539.33</v>
      </c>
      <c r="H434">
        <v>933503.67</v>
      </c>
      <c r="I434">
        <v>30.07</v>
      </c>
      <c r="J434">
        <v>0</v>
      </c>
      <c r="K434">
        <v>269777</v>
      </c>
      <c r="L434">
        <v>286638.0625</v>
      </c>
      <c r="M434">
        <v>306702.72687499999</v>
      </c>
      <c r="N434">
        <v>328171.91775625001</v>
      </c>
      <c r="O434" t="s">
        <v>3102</v>
      </c>
      <c r="P434" t="s">
        <v>3161</v>
      </c>
      <c r="Q434" t="s">
        <v>3104</v>
      </c>
    </row>
    <row r="435" spans="1:17" x14ac:dyDescent="0.25">
      <c r="A435" t="s">
        <v>750</v>
      </c>
      <c r="C435" t="s">
        <v>203</v>
      </c>
      <c r="D435">
        <v>809332</v>
      </c>
      <c r="E435">
        <v>65927.72</v>
      </c>
      <c r="F435">
        <v>0</v>
      </c>
      <c r="G435">
        <v>401539.33</v>
      </c>
      <c r="H435">
        <v>933503.67</v>
      </c>
      <c r="I435">
        <v>30.07</v>
      </c>
      <c r="J435">
        <v>0</v>
      </c>
      <c r="K435">
        <v>809332</v>
      </c>
      <c r="L435">
        <v>859915.25</v>
      </c>
      <c r="M435">
        <v>920109.3175</v>
      </c>
      <c r="N435">
        <v>984516.96972499997</v>
      </c>
      <c r="O435" t="s">
        <v>3102</v>
      </c>
      <c r="P435" t="s">
        <v>3161</v>
      </c>
      <c r="Q435" t="s">
        <v>3104</v>
      </c>
    </row>
    <row r="436" spans="1:17" x14ac:dyDescent="0.25">
      <c r="A436" t="s">
        <v>751</v>
      </c>
      <c r="C436" t="s">
        <v>204</v>
      </c>
      <c r="D436">
        <v>136308</v>
      </c>
      <c r="E436">
        <v>65927.72</v>
      </c>
      <c r="F436">
        <v>0</v>
      </c>
      <c r="G436">
        <v>401539.33</v>
      </c>
      <c r="H436">
        <v>933503.67</v>
      </c>
      <c r="I436">
        <v>30.07</v>
      </c>
      <c r="J436">
        <v>0</v>
      </c>
      <c r="K436">
        <v>136308</v>
      </c>
      <c r="L436">
        <v>144827.25</v>
      </c>
      <c r="M436">
        <v>154965.1575</v>
      </c>
      <c r="N436">
        <v>165812.718525</v>
      </c>
      <c r="O436" t="s">
        <v>3102</v>
      </c>
      <c r="P436" t="s">
        <v>3161</v>
      </c>
      <c r="Q436" t="s">
        <v>3104</v>
      </c>
    </row>
    <row r="437" spans="1:17" x14ac:dyDescent="0.25">
      <c r="A437" t="s">
        <v>752</v>
      </c>
      <c r="C437" t="s">
        <v>268</v>
      </c>
      <c r="D437">
        <v>50000</v>
      </c>
      <c r="E437">
        <v>65927.72</v>
      </c>
      <c r="F437">
        <v>0</v>
      </c>
      <c r="G437">
        <v>401539.33</v>
      </c>
      <c r="H437">
        <v>933503.67</v>
      </c>
      <c r="I437">
        <v>30.07</v>
      </c>
      <c r="J437">
        <v>-25000</v>
      </c>
      <c r="K437">
        <v>25000</v>
      </c>
      <c r="L437">
        <v>26125</v>
      </c>
      <c r="M437">
        <v>27326.75</v>
      </c>
      <c r="N437">
        <v>28583.780500000001</v>
      </c>
      <c r="O437" t="s">
        <v>3102</v>
      </c>
      <c r="P437" t="s">
        <v>3110</v>
      </c>
      <c r="Q437" t="s">
        <v>3104</v>
      </c>
    </row>
    <row r="438" spans="1:17" x14ac:dyDescent="0.25">
      <c r="A438" t="s">
        <v>754</v>
      </c>
      <c r="C438" t="s">
        <v>150</v>
      </c>
      <c r="D438">
        <v>200866</v>
      </c>
      <c r="E438">
        <v>65927.72</v>
      </c>
      <c r="F438">
        <v>0</v>
      </c>
      <c r="G438">
        <v>401539.33</v>
      </c>
      <c r="H438">
        <v>933503.67</v>
      </c>
      <c r="I438">
        <v>30.07</v>
      </c>
      <c r="J438">
        <v>0</v>
      </c>
      <c r="K438">
        <v>200866</v>
      </c>
      <c r="L438">
        <v>213420.125</v>
      </c>
      <c r="M438">
        <v>228359.53375</v>
      </c>
      <c r="N438">
        <v>244344.70111250001</v>
      </c>
      <c r="O438" t="s">
        <v>3102</v>
      </c>
      <c r="P438" t="s">
        <v>3103</v>
      </c>
      <c r="Q438" t="s">
        <v>3104</v>
      </c>
    </row>
    <row r="439" spans="1:17" x14ac:dyDescent="0.25">
      <c r="A439" t="s">
        <v>755</v>
      </c>
      <c r="C439" t="s">
        <v>151</v>
      </c>
      <c r="D439">
        <v>10043</v>
      </c>
      <c r="E439">
        <v>65927.72</v>
      </c>
      <c r="F439">
        <v>0</v>
      </c>
      <c r="G439">
        <v>401539.33</v>
      </c>
      <c r="H439">
        <v>933503.67</v>
      </c>
      <c r="I439">
        <v>30.07</v>
      </c>
      <c r="J439">
        <v>-1575.9100000000017</v>
      </c>
      <c r="K439">
        <v>8467.0899999999983</v>
      </c>
      <c r="L439">
        <v>8996.2831249999981</v>
      </c>
      <c r="M439">
        <v>9626.0229437499984</v>
      </c>
      <c r="N439">
        <v>10299.844549812498</v>
      </c>
      <c r="O439" t="s">
        <v>3102</v>
      </c>
      <c r="P439" t="s">
        <v>3103</v>
      </c>
      <c r="Q439" t="s">
        <v>3104</v>
      </c>
    </row>
    <row r="440" spans="1:17" x14ac:dyDescent="0.25">
      <c r="A440" t="s">
        <v>756</v>
      </c>
      <c r="C440" t="s">
        <v>155</v>
      </c>
      <c r="D440">
        <v>6666</v>
      </c>
      <c r="E440">
        <v>65927.72</v>
      </c>
      <c r="F440">
        <v>0</v>
      </c>
      <c r="G440">
        <v>401539.33</v>
      </c>
      <c r="H440">
        <v>933503.67</v>
      </c>
      <c r="I440">
        <v>30.07</v>
      </c>
      <c r="J440">
        <v>0</v>
      </c>
      <c r="K440">
        <v>6666</v>
      </c>
      <c r="L440">
        <v>7082.625</v>
      </c>
      <c r="M440">
        <v>7578.4087499999996</v>
      </c>
      <c r="N440">
        <v>8108.8973624999999</v>
      </c>
      <c r="O440" t="s">
        <v>3102</v>
      </c>
      <c r="P440" t="s">
        <v>3103</v>
      </c>
      <c r="Q440" t="s">
        <v>3104</v>
      </c>
    </row>
    <row r="441" spans="1:17" x14ac:dyDescent="0.25">
      <c r="A441" t="s">
        <v>757</v>
      </c>
      <c r="C441" t="s">
        <v>157</v>
      </c>
      <c r="D441">
        <v>23939</v>
      </c>
      <c r="E441">
        <v>65927.72</v>
      </c>
      <c r="F441">
        <v>0</v>
      </c>
      <c r="G441">
        <v>401539.33</v>
      </c>
      <c r="H441">
        <v>933503.67</v>
      </c>
      <c r="I441">
        <v>30.07</v>
      </c>
      <c r="J441">
        <v>0</v>
      </c>
      <c r="K441">
        <v>23939</v>
      </c>
      <c r="L441">
        <v>25435.1875</v>
      </c>
      <c r="M441">
        <v>27215.650624999998</v>
      </c>
      <c r="N441">
        <v>29120.746168749996</v>
      </c>
      <c r="O441" t="s">
        <v>3102</v>
      </c>
      <c r="P441" t="s">
        <v>3103</v>
      </c>
      <c r="Q441" t="s">
        <v>3104</v>
      </c>
    </row>
    <row r="442" spans="1:17" x14ac:dyDescent="0.25">
      <c r="A442" t="s">
        <v>758</v>
      </c>
      <c r="C442" t="s">
        <v>159</v>
      </c>
      <c r="D442">
        <v>16739</v>
      </c>
      <c r="E442">
        <v>65927.72</v>
      </c>
      <c r="F442">
        <v>0</v>
      </c>
      <c r="G442">
        <v>401539.33</v>
      </c>
      <c r="H442">
        <v>933503.67</v>
      </c>
      <c r="I442">
        <v>30.07</v>
      </c>
      <c r="J442">
        <v>0</v>
      </c>
      <c r="K442">
        <v>16739</v>
      </c>
      <c r="L442">
        <v>17785.1875</v>
      </c>
      <c r="M442">
        <v>19030.150624999998</v>
      </c>
      <c r="N442">
        <v>20362.261168749999</v>
      </c>
      <c r="O442" t="s">
        <v>3102</v>
      </c>
      <c r="P442" t="s">
        <v>3103</v>
      </c>
      <c r="Q442" t="s">
        <v>3104</v>
      </c>
    </row>
    <row r="443" spans="1:17" x14ac:dyDescent="0.25">
      <c r="A443" t="s">
        <v>759</v>
      </c>
      <c r="C443" t="s">
        <v>164</v>
      </c>
      <c r="D443">
        <v>0</v>
      </c>
      <c r="E443">
        <v>65927.72</v>
      </c>
      <c r="F443">
        <v>0</v>
      </c>
      <c r="G443">
        <v>401539.33</v>
      </c>
      <c r="H443">
        <v>933503.67</v>
      </c>
      <c r="I443">
        <v>30.07</v>
      </c>
      <c r="J443">
        <v>12363.6</v>
      </c>
      <c r="K443">
        <v>12363.6</v>
      </c>
      <c r="L443">
        <v>13136.325000000001</v>
      </c>
      <c r="M443">
        <v>14055.867750000001</v>
      </c>
      <c r="N443">
        <v>15039.778492500001</v>
      </c>
      <c r="O443" t="s">
        <v>3102</v>
      </c>
      <c r="P443" t="s">
        <v>3103</v>
      </c>
      <c r="Q443" t="s">
        <v>3104</v>
      </c>
    </row>
    <row r="444" spans="1:17" x14ac:dyDescent="0.25">
      <c r="A444" t="s">
        <v>760</v>
      </c>
      <c r="C444" t="s">
        <v>167</v>
      </c>
      <c r="D444">
        <v>112</v>
      </c>
      <c r="E444">
        <v>65927.72</v>
      </c>
      <c r="F444">
        <v>0</v>
      </c>
      <c r="G444">
        <v>401539.33</v>
      </c>
      <c r="H444">
        <v>933503.67</v>
      </c>
      <c r="I444">
        <v>30.07</v>
      </c>
      <c r="J444">
        <v>0</v>
      </c>
      <c r="K444">
        <v>112</v>
      </c>
      <c r="L444">
        <v>119</v>
      </c>
      <c r="M444">
        <v>127.33</v>
      </c>
      <c r="N444">
        <v>136.2431</v>
      </c>
      <c r="O444" t="s">
        <v>3102</v>
      </c>
      <c r="P444" t="s">
        <v>3103</v>
      </c>
      <c r="Q444" t="s">
        <v>3104</v>
      </c>
    </row>
    <row r="445" spans="1:17" x14ac:dyDescent="0.25">
      <c r="A445" t="s">
        <v>761</v>
      </c>
      <c r="C445" t="s">
        <v>168</v>
      </c>
      <c r="D445">
        <v>0</v>
      </c>
      <c r="E445">
        <v>65927.72</v>
      </c>
      <c r="F445">
        <v>0</v>
      </c>
      <c r="G445">
        <v>401539.33</v>
      </c>
      <c r="H445">
        <v>933503.67</v>
      </c>
      <c r="I445">
        <v>30.07</v>
      </c>
      <c r="J445">
        <v>0</v>
      </c>
      <c r="K445">
        <v>0</v>
      </c>
      <c r="L445">
        <v>0</v>
      </c>
      <c r="M445">
        <v>0</v>
      </c>
      <c r="N445">
        <v>0</v>
      </c>
      <c r="O445" t="s">
        <v>3102</v>
      </c>
      <c r="P445" t="s">
        <v>3103</v>
      </c>
      <c r="Q445" t="s">
        <v>3104</v>
      </c>
    </row>
    <row r="446" spans="1:17" x14ac:dyDescent="0.25">
      <c r="A446" t="s">
        <v>762</v>
      </c>
      <c r="C446" t="s">
        <v>169</v>
      </c>
      <c r="D446">
        <v>44190</v>
      </c>
      <c r="E446">
        <v>65927.72</v>
      </c>
      <c r="F446">
        <v>0</v>
      </c>
      <c r="G446">
        <v>401539.33</v>
      </c>
      <c r="H446">
        <v>933503.67</v>
      </c>
      <c r="I446">
        <v>30.07</v>
      </c>
      <c r="J446">
        <v>0</v>
      </c>
      <c r="K446">
        <v>44190</v>
      </c>
      <c r="L446">
        <v>46951.875</v>
      </c>
      <c r="M446">
        <v>50238.506249999999</v>
      </c>
      <c r="N446">
        <v>53755.201687499997</v>
      </c>
      <c r="O446" t="s">
        <v>3102</v>
      </c>
      <c r="P446" t="s">
        <v>3103</v>
      </c>
      <c r="Q446" t="s">
        <v>3104</v>
      </c>
    </row>
    <row r="447" spans="1:17" x14ac:dyDescent="0.25">
      <c r="A447" t="s">
        <v>763</v>
      </c>
      <c r="C447" t="s">
        <v>170</v>
      </c>
      <c r="D447">
        <v>1785</v>
      </c>
      <c r="E447">
        <v>65927.72</v>
      </c>
      <c r="F447">
        <v>0</v>
      </c>
      <c r="G447">
        <v>401539.33</v>
      </c>
      <c r="H447">
        <v>933503.67</v>
      </c>
      <c r="I447">
        <v>30.07</v>
      </c>
      <c r="J447">
        <v>0</v>
      </c>
      <c r="K447">
        <v>1785</v>
      </c>
      <c r="L447">
        <v>1896.5625</v>
      </c>
      <c r="M447">
        <v>2029.3218750000001</v>
      </c>
      <c r="N447">
        <v>2171.37440625</v>
      </c>
      <c r="O447" t="s">
        <v>3102</v>
      </c>
      <c r="P447" t="s">
        <v>3103</v>
      </c>
      <c r="Q447" t="s">
        <v>3104</v>
      </c>
    </row>
    <row r="448" spans="1:17" x14ac:dyDescent="0.25">
      <c r="A448" t="s">
        <v>764</v>
      </c>
      <c r="C448" t="s">
        <v>182</v>
      </c>
      <c r="D448">
        <v>177139</v>
      </c>
      <c r="E448">
        <v>65927.72</v>
      </c>
      <c r="F448">
        <v>0</v>
      </c>
      <c r="G448">
        <v>401539.33</v>
      </c>
      <c r="H448">
        <v>933503.67</v>
      </c>
      <c r="I448">
        <v>30.07</v>
      </c>
      <c r="J448">
        <v>0</v>
      </c>
      <c r="K448">
        <v>177139</v>
      </c>
      <c r="L448">
        <v>188210.1875</v>
      </c>
      <c r="M448">
        <v>201384.90062500001</v>
      </c>
      <c r="N448">
        <v>215481.84366875002</v>
      </c>
      <c r="O448" t="s">
        <v>3102</v>
      </c>
      <c r="P448" t="s">
        <v>3161</v>
      </c>
      <c r="Q448" t="s">
        <v>3104</v>
      </c>
    </row>
    <row r="449" spans="1:17" x14ac:dyDescent="0.25">
      <c r="A449" t="s">
        <v>765</v>
      </c>
      <c r="C449" t="s">
        <v>183</v>
      </c>
      <c r="D449">
        <v>531416</v>
      </c>
      <c r="E449">
        <v>65927.72</v>
      </c>
      <c r="F449">
        <v>0</v>
      </c>
      <c r="G449">
        <v>401539.33</v>
      </c>
      <c r="H449">
        <v>933503.67</v>
      </c>
      <c r="I449">
        <v>30.07</v>
      </c>
      <c r="J449">
        <v>0</v>
      </c>
      <c r="K449">
        <v>531416</v>
      </c>
      <c r="L449">
        <v>564629.5</v>
      </c>
      <c r="M449">
        <v>604153.56499999994</v>
      </c>
      <c r="N449">
        <v>646444.31454999989</v>
      </c>
      <c r="O449" t="s">
        <v>3102</v>
      </c>
      <c r="P449" t="s">
        <v>3161</v>
      </c>
      <c r="Q449" t="s">
        <v>3104</v>
      </c>
    </row>
    <row r="450" spans="1:17" x14ac:dyDescent="0.25">
      <c r="A450" t="s">
        <v>766</v>
      </c>
      <c r="C450" t="s">
        <v>184</v>
      </c>
      <c r="D450">
        <v>47508</v>
      </c>
      <c r="E450">
        <v>65927.72</v>
      </c>
      <c r="F450">
        <v>0</v>
      </c>
      <c r="G450">
        <v>401539.33</v>
      </c>
      <c r="H450">
        <v>933503.67</v>
      </c>
      <c r="I450">
        <v>30.07</v>
      </c>
      <c r="J450">
        <v>0</v>
      </c>
      <c r="K450">
        <v>47508</v>
      </c>
      <c r="L450">
        <v>50477.25</v>
      </c>
      <c r="M450">
        <v>54010.657500000001</v>
      </c>
      <c r="N450">
        <v>57791.403525000002</v>
      </c>
      <c r="O450" t="s">
        <v>3102</v>
      </c>
      <c r="P450" t="s">
        <v>3161</v>
      </c>
      <c r="Q450" t="s">
        <v>3104</v>
      </c>
    </row>
    <row r="451" spans="1:17" x14ac:dyDescent="0.25">
      <c r="A451" t="s">
        <v>767</v>
      </c>
      <c r="C451" t="s">
        <v>202</v>
      </c>
      <c r="D451">
        <v>0</v>
      </c>
      <c r="E451">
        <v>65927.72</v>
      </c>
      <c r="F451">
        <v>0</v>
      </c>
      <c r="G451">
        <v>401539.33</v>
      </c>
      <c r="H451">
        <v>933503.67</v>
      </c>
      <c r="I451">
        <v>30.07</v>
      </c>
      <c r="J451">
        <v>0</v>
      </c>
      <c r="K451">
        <v>0</v>
      </c>
      <c r="L451">
        <v>0</v>
      </c>
      <c r="M451">
        <v>0</v>
      </c>
      <c r="O451" t="s">
        <v>3102</v>
      </c>
      <c r="P451" t="s">
        <v>3161</v>
      </c>
      <c r="Q451" t="s">
        <v>3104</v>
      </c>
    </row>
    <row r="452" spans="1:17" x14ac:dyDescent="0.25">
      <c r="A452" t="s">
        <v>768</v>
      </c>
      <c r="C452" t="s">
        <v>203</v>
      </c>
      <c r="D452">
        <v>0</v>
      </c>
      <c r="E452">
        <v>65927.72</v>
      </c>
      <c r="F452">
        <v>0</v>
      </c>
      <c r="G452">
        <v>401539.33</v>
      </c>
      <c r="H452">
        <v>933503.67</v>
      </c>
      <c r="I452">
        <v>30.07</v>
      </c>
      <c r="J452">
        <v>0</v>
      </c>
      <c r="K452">
        <v>0</v>
      </c>
      <c r="L452">
        <v>0</v>
      </c>
      <c r="M452">
        <v>0</v>
      </c>
      <c r="O452" t="s">
        <v>3102</v>
      </c>
      <c r="P452" t="s">
        <v>3161</v>
      </c>
      <c r="Q452" t="s">
        <v>3104</v>
      </c>
    </row>
    <row r="453" spans="1:17" x14ac:dyDescent="0.25">
      <c r="A453" t="s">
        <v>769</v>
      </c>
      <c r="C453" t="s">
        <v>204</v>
      </c>
      <c r="D453">
        <v>0</v>
      </c>
      <c r="E453">
        <v>65927.72</v>
      </c>
      <c r="F453">
        <v>0</v>
      </c>
      <c r="G453">
        <v>401539.33</v>
      </c>
      <c r="H453">
        <v>933503.67</v>
      </c>
      <c r="I453">
        <v>30.07</v>
      </c>
      <c r="J453">
        <v>0</v>
      </c>
      <c r="K453">
        <v>0</v>
      </c>
      <c r="L453">
        <v>0</v>
      </c>
      <c r="M453">
        <v>0</v>
      </c>
      <c r="O453" t="s">
        <v>3102</v>
      </c>
      <c r="P453" t="s">
        <v>3161</v>
      </c>
      <c r="Q453" t="s">
        <v>3104</v>
      </c>
    </row>
    <row r="454" spans="1:17" x14ac:dyDescent="0.25">
      <c r="A454" t="s">
        <v>770</v>
      </c>
      <c r="C454" t="s">
        <v>253</v>
      </c>
      <c r="D454">
        <v>2000</v>
      </c>
      <c r="E454">
        <v>65927.72</v>
      </c>
      <c r="F454">
        <v>0</v>
      </c>
      <c r="G454">
        <v>401539.33</v>
      </c>
      <c r="H454">
        <v>933503.67</v>
      </c>
      <c r="I454">
        <v>30.07</v>
      </c>
      <c r="J454">
        <v>0</v>
      </c>
      <c r="K454">
        <v>2000</v>
      </c>
      <c r="L454">
        <v>2000</v>
      </c>
      <c r="M454">
        <v>2000</v>
      </c>
      <c r="N454">
        <v>2000</v>
      </c>
      <c r="O454" t="s">
        <v>3102</v>
      </c>
      <c r="P454" t="s">
        <v>3110</v>
      </c>
      <c r="Q454" t="s">
        <v>3106</v>
      </c>
    </row>
    <row r="455" spans="1:17" x14ac:dyDescent="0.25">
      <c r="A455" t="s">
        <v>771</v>
      </c>
      <c r="C455" t="s">
        <v>265</v>
      </c>
      <c r="D455">
        <v>0</v>
      </c>
      <c r="E455">
        <v>65927.72</v>
      </c>
      <c r="F455">
        <v>0</v>
      </c>
      <c r="G455">
        <v>401539.33</v>
      </c>
      <c r="H455">
        <v>933503.67</v>
      </c>
      <c r="I455">
        <v>30.07</v>
      </c>
      <c r="J455">
        <v>8000</v>
      </c>
      <c r="K455">
        <v>8000</v>
      </c>
      <c r="L455">
        <v>8360</v>
      </c>
      <c r="M455">
        <v>8744.56</v>
      </c>
      <c r="N455">
        <v>9146.8097600000001</v>
      </c>
      <c r="O455" t="s">
        <v>3102</v>
      </c>
      <c r="P455" t="s">
        <v>3110</v>
      </c>
      <c r="Q455" t="s">
        <v>3104</v>
      </c>
    </row>
    <row r="456" spans="1:17" x14ac:dyDescent="0.25">
      <c r="A456" t="s">
        <v>772</v>
      </c>
      <c r="C456" t="s">
        <v>268</v>
      </c>
      <c r="D456">
        <v>85032</v>
      </c>
      <c r="E456">
        <v>65927.72</v>
      </c>
      <c r="F456">
        <v>0</v>
      </c>
      <c r="G456">
        <v>401539.33</v>
      </c>
      <c r="H456">
        <v>933503.67</v>
      </c>
      <c r="I456">
        <v>30.07</v>
      </c>
      <c r="J456">
        <v>0</v>
      </c>
      <c r="K456">
        <v>85032</v>
      </c>
      <c r="L456">
        <v>88858.44</v>
      </c>
      <c r="M456">
        <v>92945.928240000008</v>
      </c>
      <c r="N456">
        <v>97221.440939040011</v>
      </c>
      <c r="O456" t="s">
        <v>3102</v>
      </c>
      <c r="P456" t="s">
        <v>3110</v>
      </c>
      <c r="Q456" t="s">
        <v>3104</v>
      </c>
    </row>
    <row r="457" spans="1:17" x14ac:dyDescent="0.25">
      <c r="A457" t="s">
        <v>773</v>
      </c>
      <c r="C457" t="s">
        <v>269</v>
      </c>
      <c r="D457">
        <v>30000</v>
      </c>
      <c r="E457">
        <v>65927.72</v>
      </c>
      <c r="F457">
        <v>0</v>
      </c>
      <c r="G457">
        <v>401539.33</v>
      </c>
      <c r="H457">
        <v>933503.67</v>
      </c>
      <c r="I457">
        <v>30.07</v>
      </c>
      <c r="J457">
        <v>-15000</v>
      </c>
      <c r="K457">
        <v>15000</v>
      </c>
      <c r="L457">
        <v>15675</v>
      </c>
      <c r="M457">
        <v>16396.05</v>
      </c>
      <c r="N457">
        <v>17150.2683</v>
      </c>
      <c r="O457" t="s">
        <v>3102</v>
      </c>
      <c r="P457" t="s">
        <v>3110</v>
      </c>
      <c r="Q457" t="s">
        <v>3104</v>
      </c>
    </row>
    <row r="458" spans="1:17" x14ac:dyDescent="0.25">
      <c r="A458" t="s">
        <v>775</v>
      </c>
      <c r="C458" t="s">
        <v>164</v>
      </c>
      <c r="D458">
        <v>0</v>
      </c>
      <c r="E458">
        <v>65927.72</v>
      </c>
      <c r="F458">
        <v>0</v>
      </c>
      <c r="G458">
        <v>401539.33</v>
      </c>
      <c r="H458">
        <v>933503.67</v>
      </c>
      <c r="I458">
        <v>30.07</v>
      </c>
      <c r="J458">
        <v>15000</v>
      </c>
      <c r="K458">
        <v>15000</v>
      </c>
      <c r="L458">
        <v>15937.5</v>
      </c>
      <c r="M458">
        <v>17053.125</v>
      </c>
      <c r="N458">
        <v>18246.84375</v>
      </c>
      <c r="O458" t="s">
        <v>3102</v>
      </c>
      <c r="P458" t="s">
        <v>3103</v>
      </c>
      <c r="Q458" t="s">
        <v>3104</v>
      </c>
    </row>
    <row r="459" spans="1:17" x14ac:dyDescent="0.25">
      <c r="A459" t="s">
        <v>776</v>
      </c>
      <c r="C459" t="s">
        <v>187</v>
      </c>
      <c r="D459">
        <v>166067</v>
      </c>
      <c r="E459">
        <v>65927.72</v>
      </c>
      <c r="F459">
        <v>0</v>
      </c>
      <c r="G459">
        <v>401539.33</v>
      </c>
      <c r="H459">
        <v>933503.67</v>
      </c>
      <c r="I459">
        <v>30.07</v>
      </c>
      <c r="J459">
        <v>0</v>
      </c>
      <c r="K459">
        <v>166067</v>
      </c>
      <c r="L459">
        <v>176446.1875</v>
      </c>
      <c r="M459">
        <v>188797.420625</v>
      </c>
      <c r="N459">
        <v>202013.24006874999</v>
      </c>
      <c r="O459" t="s">
        <v>3102</v>
      </c>
      <c r="P459" t="s">
        <v>3161</v>
      </c>
      <c r="Q459" t="s">
        <v>3104</v>
      </c>
    </row>
    <row r="460" spans="1:17" x14ac:dyDescent="0.25">
      <c r="A460" t="s">
        <v>777</v>
      </c>
      <c r="C460" t="s">
        <v>188</v>
      </c>
      <c r="D460">
        <v>498202</v>
      </c>
      <c r="E460">
        <v>65927.72</v>
      </c>
      <c r="F460">
        <v>0</v>
      </c>
      <c r="G460">
        <v>401539.33</v>
      </c>
      <c r="H460">
        <v>933503.67</v>
      </c>
      <c r="I460">
        <v>30.07</v>
      </c>
      <c r="J460">
        <v>0</v>
      </c>
      <c r="K460">
        <v>498202</v>
      </c>
      <c r="L460">
        <v>529339.625</v>
      </c>
      <c r="M460">
        <v>566393.39875000005</v>
      </c>
      <c r="N460">
        <v>606040.93666250003</v>
      </c>
      <c r="O460" t="s">
        <v>3102</v>
      </c>
      <c r="P460" t="s">
        <v>3161</v>
      </c>
      <c r="Q460" t="s">
        <v>3104</v>
      </c>
    </row>
    <row r="461" spans="1:17" x14ac:dyDescent="0.25">
      <c r="A461" t="s">
        <v>778</v>
      </c>
      <c r="C461" t="s">
        <v>189</v>
      </c>
      <c r="D461">
        <v>47508</v>
      </c>
      <c r="E461">
        <v>65927.72</v>
      </c>
      <c r="F461">
        <v>0</v>
      </c>
      <c r="G461">
        <v>401539.33</v>
      </c>
      <c r="H461">
        <v>933503.67</v>
      </c>
      <c r="I461">
        <v>30.07</v>
      </c>
      <c r="J461">
        <v>0</v>
      </c>
      <c r="K461">
        <v>47508</v>
      </c>
      <c r="L461">
        <v>50477.25</v>
      </c>
      <c r="M461">
        <v>54010.657500000001</v>
      </c>
      <c r="N461">
        <v>57791.403525000002</v>
      </c>
      <c r="O461" t="s">
        <v>3102</v>
      </c>
      <c r="P461" t="s">
        <v>3161</v>
      </c>
      <c r="Q461" t="s">
        <v>3104</v>
      </c>
    </row>
    <row r="462" spans="1:17" x14ac:dyDescent="0.25">
      <c r="A462" t="s">
        <v>779</v>
      </c>
      <c r="C462" t="s">
        <v>202</v>
      </c>
      <c r="D462">
        <v>0</v>
      </c>
      <c r="E462">
        <v>65927.72</v>
      </c>
      <c r="F462">
        <v>0</v>
      </c>
      <c r="G462">
        <v>401539.33</v>
      </c>
      <c r="H462">
        <v>933503.67</v>
      </c>
      <c r="I462">
        <v>30.07</v>
      </c>
      <c r="J462">
        <v>0</v>
      </c>
      <c r="K462">
        <v>0</v>
      </c>
      <c r="L462">
        <v>0</v>
      </c>
      <c r="M462">
        <v>0</v>
      </c>
      <c r="O462" t="s">
        <v>3102</v>
      </c>
      <c r="P462" t="s">
        <v>3161</v>
      </c>
      <c r="Q462" t="s">
        <v>3104</v>
      </c>
    </row>
    <row r="463" spans="1:17" x14ac:dyDescent="0.25">
      <c r="A463" t="s">
        <v>780</v>
      </c>
      <c r="C463" t="s">
        <v>203</v>
      </c>
      <c r="D463">
        <v>0</v>
      </c>
      <c r="E463">
        <v>65927.72</v>
      </c>
      <c r="F463">
        <v>0</v>
      </c>
      <c r="G463">
        <v>401539.33</v>
      </c>
      <c r="H463">
        <v>933503.67</v>
      </c>
      <c r="I463">
        <v>30.07</v>
      </c>
      <c r="J463">
        <v>0</v>
      </c>
      <c r="K463">
        <v>0</v>
      </c>
      <c r="L463">
        <v>0</v>
      </c>
      <c r="M463">
        <v>0</v>
      </c>
      <c r="O463" t="s">
        <v>3102</v>
      </c>
      <c r="P463" t="s">
        <v>3161</v>
      </c>
      <c r="Q463" t="s">
        <v>3104</v>
      </c>
    </row>
    <row r="464" spans="1:17" x14ac:dyDescent="0.25">
      <c r="A464" t="s">
        <v>781</v>
      </c>
      <c r="C464" t="s">
        <v>204</v>
      </c>
      <c r="D464">
        <v>0</v>
      </c>
      <c r="E464">
        <v>65927.72</v>
      </c>
      <c r="F464">
        <v>0</v>
      </c>
      <c r="G464">
        <v>401539.33</v>
      </c>
      <c r="H464">
        <v>933503.67</v>
      </c>
      <c r="I464">
        <v>30.07</v>
      </c>
      <c r="J464">
        <v>0</v>
      </c>
      <c r="K464">
        <v>0</v>
      </c>
      <c r="L464">
        <v>0</v>
      </c>
      <c r="M464">
        <v>0</v>
      </c>
      <c r="O464" t="s">
        <v>3102</v>
      </c>
      <c r="P464" t="s">
        <v>3161</v>
      </c>
      <c r="Q464" t="s">
        <v>3104</v>
      </c>
    </row>
    <row r="465" spans="1:17" x14ac:dyDescent="0.25">
      <c r="A465" t="s">
        <v>782</v>
      </c>
      <c r="C465" t="s">
        <v>253</v>
      </c>
      <c r="D465">
        <v>2000</v>
      </c>
      <c r="E465">
        <v>65927.72</v>
      </c>
      <c r="F465">
        <v>0</v>
      </c>
      <c r="G465">
        <v>401539.33</v>
      </c>
      <c r="H465">
        <v>933503.67</v>
      </c>
      <c r="I465">
        <v>30.07</v>
      </c>
      <c r="J465">
        <v>0</v>
      </c>
      <c r="K465">
        <v>2000</v>
      </c>
      <c r="L465">
        <v>2000</v>
      </c>
      <c r="M465">
        <v>2000</v>
      </c>
      <c r="N465">
        <v>2000</v>
      </c>
      <c r="O465" t="s">
        <v>3102</v>
      </c>
      <c r="P465" t="s">
        <v>3110</v>
      </c>
      <c r="Q465" t="s">
        <v>3106</v>
      </c>
    </row>
    <row r="466" spans="1:17" x14ac:dyDescent="0.25">
      <c r="A466" t="s">
        <v>783</v>
      </c>
      <c r="C466" t="s">
        <v>265</v>
      </c>
      <c r="D466">
        <v>0</v>
      </c>
      <c r="E466">
        <v>65927.72</v>
      </c>
      <c r="F466">
        <v>0</v>
      </c>
      <c r="G466">
        <v>401539.33</v>
      </c>
      <c r="H466">
        <v>933503.67</v>
      </c>
      <c r="I466">
        <v>30.07</v>
      </c>
      <c r="J466">
        <v>0</v>
      </c>
      <c r="K466">
        <v>0</v>
      </c>
      <c r="L466">
        <v>0</v>
      </c>
      <c r="M466">
        <v>0</v>
      </c>
      <c r="O466" t="s">
        <v>3102</v>
      </c>
      <c r="P466" t="s">
        <v>3110</v>
      </c>
      <c r="Q466" t="s">
        <v>3104</v>
      </c>
    </row>
    <row r="467" spans="1:17" x14ac:dyDescent="0.25">
      <c r="A467" t="s">
        <v>784</v>
      </c>
      <c r="C467" t="s">
        <v>268</v>
      </c>
      <c r="D467">
        <v>85032</v>
      </c>
      <c r="E467">
        <v>65927.72</v>
      </c>
      <c r="F467">
        <v>0</v>
      </c>
      <c r="G467">
        <v>401539.33</v>
      </c>
      <c r="H467">
        <v>933503.67</v>
      </c>
      <c r="I467">
        <v>30.07</v>
      </c>
      <c r="J467">
        <v>-10000</v>
      </c>
      <c r="K467">
        <v>75032</v>
      </c>
      <c r="L467">
        <v>78408.44</v>
      </c>
      <c r="M467">
        <v>82015.228239999997</v>
      </c>
      <c r="N467">
        <v>85787.928739039999</v>
      </c>
      <c r="O467" t="s">
        <v>3102</v>
      </c>
      <c r="P467" t="s">
        <v>3110</v>
      </c>
      <c r="Q467" t="s">
        <v>3104</v>
      </c>
    </row>
    <row r="468" spans="1:17" x14ac:dyDescent="0.25">
      <c r="A468" t="s">
        <v>785</v>
      </c>
      <c r="C468" t="s">
        <v>269</v>
      </c>
      <c r="D468">
        <v>30000</v>
      </c>
      <c r="E468">
        <v>65927.72</v>
      </c>
      <c r="F468">
        <v>0</v>
      </c>
      <c r="G468">
        <v>401539.33</v>
      </c>
      <c r="H468">
        <v>933503.67</v>
      </c>
      <c r="I468">
        <v>30.07</v>
      </c>
      <c r="J468">
        <v>0</v>
      </c>
      <c r="K468">
        <v>30000</v>
      </c>
      <c r="L468">
        <v>31350</v>
      </c>
      <c r="M468">
        <v>32792.1</v>
      </c>
      <c r="N468">
        <v>34300.536599999999</v>
      </c>
      <c r="O468" t="s">
        <v>3102</v>
      </c>
      <c r="P468" t="s">
        <v>3110</v>
      </c>
      <c r="Q468" t="s">
        <v>3104</v>
      </c>
    </row>
    <row r="469" spans="1:17" x14ac:dyDescent="0.25">
      <c r="A469" t="s">
        <v>787</v>
      </c>
      <c r="C469" t="s">
        <v>168</v>
      </c>
      <c r="D469">
        <v>0</v>
      </c>
      <c r="E469">
        <v>65927.72</v>
      </c>
      <c r="F469">
        <v>0</v>
      </c>
      <c r="G469">
        <v>401539.33</v>
      </c>
      <c r="H469">
        <v>933503.67</v>
      </c>
      <c r="I469">
        <v>30.07</v>
      </c>
      <c r="J469">
        <v>70000</v>
      </c>
      <c r="K469">
        <v>70000</v>
      </c>
      <c r="L469">
        <v>74375</v>
      </c>
      <c r="M469">
        <v>79581.25</v>
      </c>
      <c r="N469">
        <v>85151.9375</v>
      </c>
      <c r="O469" t="s">
        <v>3102</v>
      </c>
      <c r="P469" t="s">
        <v>3103</v>
      </c>
      <c r="Q469" t="s">
        <v>3104</v>
      </c>
    </row>
    <row r="470" spans="1:17" x14ac:dyDescent="0.25">
      <c r="A470" t="s">
        <v>788</v>
      </c>
      <c r="C470" t="s">
        <v>197</v>
      </c>
      <c r="D470">
        <v>683494</v>
      </c>
      <c r="E470">
        <v>65927.72</v>
      </c>
      <c r="F470">
        <v>0</v>
      </c>
      <c r="G470">
        <v>401539.33</v>
      </c>
      <c r="H470">
        <v>933503.67</v>
      </c>
      <c r="I470">
        <v>30.07</v>
      </c>
      <c r="J470">
        <v>0</v>
      </c>
      <c r="K470">
        <v>683494</v>
      </c>
      <c r="L470">
        <v>726212.375</v>
      </c>
      <c r="M470">
        <v>777047.24124999996</v>
      </c>
      <c r="N470">
        <v>831440.54813749995</v>
      </c>
      <c r="O470" t="s">
        <v>3102</v>
      </c>
      <c r="P470" t="s">
        <v>3161</v>
      </c>
      <c r="Q470" t="s">
        <v>3104</v>
      </c>
    </row>
    <row r="471" spans="1:17" x14ac:dyDescent="0.25">
      <c r="A471" t="s">
        <v>789</v>
      </c>
      <c r="C471" t="s">
        <v>198</v>
      </c>
      <c r="D471">
        <v>2050481</v>
      </c>
      <c r="E471">
        <v>65927.72</v>
      </c>
      <c r="F471">
        <v>0</v>
      </c>
      <c r="G471">
        <v>401539.33</v>
      </c>
      <c r="H471">
        <v>933503.67</v>
      </c>
      <c r="I471">
        <v>30.07</v>
      </c>
      <c r="J471">
        <v>0</v>
      </c>
      <c r="K471">
        <v>2050481</v>
      </c>
      <c r="L471">
        <v>2178636.0625</v>
      </c>
      <c r="M471">
        <v>2331140.586875</v>
      </c>
      <c r="N471">
        <v>2494320.42795625</v>
      </c>
      <c r="O471" t="s">
        <v>3102</v>
      </c>
      <c r="P471" t="s">
        <v>3161</v>
      </c>
      <c r="Q471" t="s">
        <v>3104</v>
      </c>
    </row>
    <row r="472" spans="1:17" x14ac:dyDescent="0.25">
      <c r="A472" t="s">
        <v>790</v>
      </c>
      <c r="C472" t="s">
        <v>199</v>
      </c>
      <c r="D472">
        <v>237540</v>
      </c>
      <c r="E472">
        <v>65927.72</v>
      </c>
      <c r="F472">
        <v>0</v>
      </c>
      <c r="G472">
        <v>401539.33</v>
      </c>
      <c r="H472">
        <v>933503.67</v>
      </c>
      <c r="I472">
        <v>30.07</v>
      </c>
      <c r="J472">
        <v>0</v>
      </c>
      <c r="K472">
        <v>237540</v>
      </c>
      <c r="L472">
        <v>252386.25</v>
      </c>
      <c r="M472">
        <v>270053.28749999998</v>
      </c>
      <c r="N472">
        <v>288957.01762499998</v>
      </c>
      <c r="O472" t="s">
        <v>3102</v>
      </c>
      <c r="P472" t="s">
        <v>3161</v>
      </c>
      <c r="Q472" t="s">
        <v>3104</v>
      </c>
    </row>
    <row r="473" spans="1:17" x14ac:dyDescent="0.25">
      <c r="A473" t="s">
        <v>791</v>
      </c>
      <c r="C473" t="s">
        <v>202</v>
      </c>
      <c r="D473">
        <v>0</v>
      </c>
      <c r="E473">
        <v>65927.72</v>
      </c>
      <c r="F473">
        <v>0</v>
      </c>
      <c r="G473">
        <v>401539.33</v>
      </c>
      <c r="H473">
        <v>933503.67</v>
      </c>
      <c r="I473">
        <v>30.07</v>
      </c>
      <c r="J473">
        <v>0</v>
      </c>
      <c r="K473">
        <v>0</v>
      </c>
      <c r="L473">
        <v>0</v>
      </c>
      <c r="M473">
        <v>0</v>
      </c>
      <c r="O473" t="s">
        <v>3102</v>
      </c>
      <c r="P473" t="s">
        <v>3161</v>
      </c>
      <c r="Q473" t="s">
        <v>3104</v>
      </c>
    </row>
    <row r="474" spans="1:17" x14ac:dyDescent="0.25">
      <c r="A474" t="s">
        <v>792</v>
      </c>
      <c r="C474" t="s">
        <v>203</v>
      </c>
      <c r="D474">
        <v>0</v>
      </c>
      <c r="E474">
        <v>65927.72</v>
      </c>
      <c r="F474">
        <v>0</v>
      </c>
      <c r="G474">
        <v>401539.33</v>
      </c>
      <c r="H474">
        <v>933503.67</v>
      </c>
      <c r="I474">
        <v>30.07</v>
      </c>
      <c r="J474">
        <v>0</v>
      </c>
      <c r="K474">
        <v>0</v>
      </c>
      <c r="L474">
        <v>0</v>
      </c>
      <c r="M474">
        <v>0</v>
      </c>
      <c r="O474" t="s">
        <v>3102</v>
      </c>
      <c r="P474" t="s">
        <v>3161</v>
      </c>
      <c r="Q474" t="s">
        <v>3104</v>
      </c>
    </row>
    <row r="475" spans="1:17" x14ac:dyDescent="0.25">
      <c r="A475" t="s">
        <v>793</v>
      </c>
      <c r="C475" t="s">
        <v>204</v>
      </c>
      <c r="D475">
        <v>0</v>
      </c>
      <c r="E475">
        <v>65927.72</v>
      </c>
      <c r="F475">
        <v>0</v>
      </c>
      <c r="G475">
        <v>401539.33</v>
      </c>
      <c r="H475">
        <v>933503.67</v>
      </c>
      <c r="I475">
        <v>30.07</v>
      </c>
      <c r="J475">
        <v>0</v>
      </c>
      <c r="K475">
        <v>0</v>
      </c>
      <c r="L475">
        <v>0</v>
      </c>
      <c r="M475">
        <v>0</v>
      </c>
      <c r="O475" t="s">
        <v>3102</v>
      </c>
      <c r="P475" t="s">
        <v>3161</v>
      </c>
      <c r="Q475" t="s">
        <v>3104</v>
      </c>
    </row>
    <row r="476" spans="1:17" x14ac:dyDescent="0.25">
      <c r="A476" t="s">
        <v>794</v>
      </c>
      <c r="C476" t="s">
        <v>265</v>
      </c>
      <c r="D476">
        <v>0</v>
      </c>
      <c r="E476">
        <v>65927.72</v>
      </c>
      <c r="F476">
        <v>0</v>
      </c>
      <c r="G476">
        <v>401539.33</v>
      </c>
      <c r="H476">
        <v>933503.67</v>
      </c>
      <c r="I476">
        <v>30.07</v>
      </c>
      <c r="J476">
        <v>25000</v>
      </c>
      <c r="K476">
        <v>25000</v>
      </c>
      <c r="L476">
        <v>26125</v>
      </c>
      <c r="M476">
        <v>27326.75</v>
      </c>
      <c r="N476">
        <v>28583.780500000001</v>
      </c>
      <c r="O476" t="s">
        <v>3102</v>
      </c>
      <c r="P476" t="s">
        <v>3110</v>
      </c>
      <c r="Q476" t="s">
        <v>3104</v>
      </c>
    </row>
    <row r="477" spans="1:17" x14ac:dyDescent="0.25">
      <c r="A477" t="s">
        <v>795</v>
      </c>
      <c r="C477" t="s">
        <v>268</v>
      </c>
      <c r="D477">
        <v>85032</v>
      </c>
      <c r="E477">
        <v>65927.72</v>
      </c>
      <c r="F477">
        <v>0</v>
      </c>
      <c r="G477">
        <v>401539.33</v>
      </c>
      <c r="H477">
        <v>933503.67</v>
      </c>
      <c r="I477">
        <v>30.07</v>
      </c>
      <c r="J477">
        <v>150000</v>
      </c>
      <c r="K477">
        <v>235032</v>
      </c>
      <c r="L477">
        <v>245608.44</v>
      </c>
      <c r="M477">
        <v>256906.42824000001</v>
      </c>
      <c r="N477">
        <v>268724.12393904</v>
      </c>
      <c r="O477" t="s">
        <v>3102</v>
      </c>
      <c r="P477" t="s">
        <v>3110</v>
      </c>
      <c r="Q477" t="s">
        <v>3104</v>
      </c>
    </row>
    <row r="478" spans="1:17" x14ac:dyDescent="0.25">
      <c r="A478" t="s">
        <v>796</v>
      </c>
      <c r="C478" t="s">
        <v>269</v>
      </c>
      <c r="D478">
        <v>75000</v>
      </c>
      <c r="E478">
        <v>65927.72</v>
      </c>
      <c r="F478">
        <v>0</v>
      </c>
      <c r="G478">
        <v>401539.33</v>
      </c>
      <c r="H478">
        <v>933503.67</v>
      </c>
      <c r="I478">
        <v>30.07</v>
      </c>
      <c r="J478">
        <v>-20000</v>
      </c>
      <c r="K478">
        <v>55000</v>
      </c>
      <c r="L478">
        <v>57475</v>
      </c>
      <c r="M478">
        <v>60118.85</v>
      </c>
      <c r="N478">
        <v>62884.3171</v>
      </c>
      <c r="O478" t="s">
        <v>3102</v>
      </c>
      <c r="P478" t="s">
        <v>3110</v>
      </c>
      <c r="Q478" t="s">
        <v>3104</v>
      </c>
    </row>
    <row r="479" spans="1:17" x14ac:dyDescent="0.25">
      <c r="A479" t="s">
        <v>798</v>
      </c>
      <c r="C479" t="s">
        <v>150</v>
      </c>
      <c r="D479">
        <v>0</v>
      </c>
      <c r="E479">
        <v>65927.72</v>
      </c>
      <c r="F479">
        <v>0</v>
      </c>
      <c r="G479">
        <v>401539.33</v>
      </c>
      <c r="H479">
        <v>933503.67</v>
      </c>
      <c r="I479">
        <v>30.07</v>
      </c>
      <c r="J479">
        <v>80000</v>
      </c>
      <c r="K479">
        <v>80000</v>
      </c>
      <c r="L479">
        <v>85000</v>
      </c>
      <c r="M479">
        <v>90950</v>
      </c>
      <c r="N479">
        <v>97316.5</v>
      </c>
      <c r="O479" t="s">
        <v>3102</v>
      </c>
      <c r="P479" t="s">
        <v>3103</v>
      </c>
      <c r="Q479" t="s">
        <v>3104</v>
      </c>
    </row>
    <row r="480" spans="1:17" x14ac:dyDescent="0.25">
      <c r="A480" t="s">
        <v>799</v>
      </c>
      <c r="C480" t="s">
        <v>168</v>
      </c>
      <c r="D480">
        <v>0</v>
      </c>
      <c r="E480">
        <v>65927.72</v>
      </c>
      <c r="F480">
        <v>0</v>
      </c>
      <c r="G480">
        <v>401539.33</v>
      </c>
      <c r="H480">
        <v>933503.67</v>
      </c>
      <c r="I480">
        <v>30.07</v>
      </c>
      <c r="J480">
        <v>30000</v>
      </c>
      <c r="K480">
        <v>30000</v>
      </c>
      <c r="L480">
        <v>32100</v>
      </c>
      <c r="M480">
        <v>34347</v>
      </c>
      <c r="N480">
        <v>36751.29</v>
      </c>
      <c r="O480" t="s">
        <v>3102</v>
      </c>
      <c r="P480" t="s">
        <v>3103</v>
      </c>
      <c r="Q480" t="s">
        <v>3104</v>
      </c>
    </row>
    <row r="481" spans="1:17" x14ac:dyDescent="0.25">
      <c r="A481" t="s">
        <v>800</v>
      </c>
      <c r="C481" t="s">
        <v>202</v>
      </c>
      <c r="D481">
        <v>1611660</v>
      </c>
      <c r="E481">
        <v>65927.72</v>
      </c>
      <c r="F481">
        <v>0</v>
      </c>
      <c r="G481">
        <v>401539.33</v>
      </c>
      <c r="H481">
        <v>933503.67</v>
      </c>
      <c r="I481">
        <v>30.07</v>
      </c>
      <c r="J481">
        <v>0</v>
      </c>
      <c r="K481">
        <v>1611660</v>
      </c>
      <c r="L481">
        <v>1712388.75</v>
      </c>
      <c r="M481">
        <v>1832255.9624999999</v>
      </c>
      <c r="N481">
        <v>1960513.8798749999</v>
      </c>
      <c r="O481" t="s">
        <v>3102</v>
      </c>
      <c r="P481" t="s">
        <v>3161</v>
      </c>
      <c r="Q481" t="s">
        <v>3104</v>
      </c>
    </row>
    <row r="482" spans="1:17" x14ac:dyDescent="0.25">
      <c r="A482" t="s">
        <v>801</v>
      </c>
      <c r="C482" t="s">
        <v>203</v>
      </c>
      <c r="D482">
        <v>4834979</v>
      </c>
      <c r="E482">
        <v>65927.72</v>
      </c>
      <c r="F482">
        <v>0</v>
      </c>
      <c r="G482">
        <v>401539.33</v>
      </c>
      <c r="H482">
        <v>933503.67</v>
      </c>
      <c r="I482">
        <v>30.07</v>
      </c>
      <c r="J482">
        <v>0</v>
      </c>
      <c r="K482">
        <v>4834979</v>
      </c>
      <c r="L482">
        <v>5137165.1875</v>
      </c>
      <c r="M482">
        <v>5496766.7506250003</v>
      </c>
      <c r="N482">
        <v>5881540.4231687505</v>
      </c>
      <c r="O482" t="s">
        <v>3102</v>
      </c>
      <c r="P482" t="s">
        <v>3161</v>
      </c>
      <c r="Q482" t="s">
        <v>3104</v>
      </c>
    </row>
    <row r="483" spans="1:17" x14ac:dyDescent="0.25">
      <c r="A483" t="s">
        <v>802</v>
      </c>
      <c r="C483" t="s">
        <v>204</v>
      </c>
      <c r="D483">
        <v>1092684</v>
      </c>
      <c r="E483">
        <v>65927.72</v>
      </c>
      <c r="F483">
        <v>0</v>
      </c>
      <c r="G483">
        <v>401539.33</v>
      </c>
      <c r="H483">
        <v>933503.67</v>
      </c>
      <c r="I483">
        <v>30.07</v>
      </c>
      <c r="J483">
        <v>0</v>
      </c>
      <c r="K483">
        <v>1092684</v>
      </c>
      <c r="L483">
        <v>1160976.75</v>
      </c>
      <c r="M483">
        <v>1242245.1225000001</v>
      </c>
      <c r="N483">
        <v>1329202.2810750001</v>
      </c>
      <c r="O483" t="s">
        <v>3102</v>
      </c>
      <c r="P483" t="s">
        <v>3161</v>
      </c>
      <c r="Q483" t="s">
        <v>3104</v>
      </c>
    </row>
    <row r="484" spans="1:17" x14ac:dyDescent="0.25">
      <c r="A484" t="s">
        <v>803</v>
      </c>
      <c r="C484" t="s">
        <v>265</v>
      </c>
      <c r="D484">
        <v>26435</v>
      </c>
      <c r="E484">
        <v>65927.72</v>
      </c>
      <c r="F484">
        <v>0</v>
      </c>
      <c r="G484">
        <v>401539.33</v>
      </c>
      <c r="H484">
        <v>933503.67</v>
      </c>
      <c r="I484">
        <v>30.07</v>
      </c>
      <c r="J484">
        <v>1565</v>
      </c>
      <c r="K484">
        <v>28000</v>
      </c>
      <c r="L484">
        <v>29260</v>
      </c>
      <c r="M484">
        <v>30605.96</v>
      </c>
      <c r="N484">
        <v>32013.834159999999</v>
      </c>
      <c r="O484" t="s">
        <v>3102</v>
      </c>
      <c r="P484" t="s">
        <v>3110</v>
      </c>
      <c r="Q484" t="s">
        <v>3104</v>
      </c>
    </row>
    <row r="485" spans="1:17" x14ac:dyDescent="0.25">
      <c r="A485" t="s">
        <v>804</v>
      </c>
      <c r="C485" t="s">
        <v>268</v>
      </c>
      <c r="D485">
        <v>744098</v>
      </c>
      <c r="E485">
        <v>65927.72</v>
      </c>
      <c r="F485">
        <v>0</v>
      </c>
      <c r="G485">
        <v>401539.33</v>
      </c>
      <c r="H485">
        <v>933503.67</v>
      </c>
      <c r="I485">
        <v>30.07</v>
      </c>
      <c r="J485">
        <v>0</v>
      </c>
      <c r="K485">
        <v>744098</v>
      </c>
      <c r="L485">
        <v>777582.41</v>
      </c>
      <c r="M485">
        <v>813351.20085999998</v>
      </c>
      <c r="N485">
        <v>850765.35609955993</v>
      </c>
      <c r="O485" t="s">
        <v>3102</v>
      </c>
      <c r="P485" t="s">
        <v>3110</v>
      </c>
      <c r="Q485" t="s">
        <v>3104</v>
      </c>
    </row>
    <row r="486" spans="1:17" x14ac:dyDescent="0.25">
      <c r="A486" t="s">
        <v>805</v>
      </c>
      <c r="C486" t="s">
        <v>269</v>
      </c>
      <c r="D486">
        <v>400000</v>
      </c>
      <c r="E486">
        <v>65927.72</v>
      </c>
      <c r="F486">
        <v>0</v>
      </c>
      <c r="G486">
        <v>401539.33</v>
      </c>
      <c r="H486">
        <v>933503.67</v>
      </c>
      <c r="I486">
        <v>30.07</v>
      </c>
      <c r="J486">
        <v>-300000</v>
      </c>
      <c r="K486">
        <v>100000</v>
      </c>
      <c r="L486">
        <v>104500</v>
      </c>
      <c r="M486">
        <v>109307</v>
      </c>
      <c r="N486">
        <v>114335.122</v>
      </c>
      <c r="O486" t="s">
        <v>3102</v>
      </c>
      <c r="P486" t="s">
        <v>3110</v>
      </c>
      <c r="Q486" t="s">
        <v>3104</v>
      </c>
    </row>
    <row r="487" spans="1:17" x14ac:dyDescent="0.25">
      <c r="A487" t="s">
        <v>807</v>
      </c>
      <c r="C487" t="s">
        <v>12</v>
      </c>
      <c r="D487">
        <v>-1411279</v>
      </c>
      <c r="E487">
        <v>-141346.4</v>
      </c>
      <c r="F487">
        <v>0</v>
      </c>
      <c r="G487">
        <v>-848078.4</v>
      </c>
      <c r="H487">
        <v>-563200.6</v>
      </c>
      <c r="I487">
        <v>60.09</v>
      </c>
      <c r="J487">
        <v>0</v>
      </c>
      <c r="K487">
        <v>-1696156</v>
      </c>
      <c r="L487">
        <v>-1772483.02</v>
      </c>
      <c r="M487">
        <v>-1854017.2389199999</v>
      </c>
      <c r="N487">
        <v>-1939302.0319103198</v>
      </c>
      <c r="O487" t="s">
        <v>3100</v>
      </c>
      <c r="Q487" t="s">
        <v>3171</v>
      </c>
    </row>
    <row r="488" spans="1:17" x14ac:dyDescent="0.25">
      <c r="A488" t="s">
        <v>808</v>
      </c>
      <c r="C488" t="s">
        <v>13</v>
      </c>
      <c r="D488">
        <v>0</v>
      </c>
      <c r="E488">
        <v>-141346.4</v>
      </c>
      <c r="F488">
        <v>0</v>
      </c>
      <c r="G488">
        <v>-848078.4</v>
      </c>
      <c r="H488">
        <v>-563200.6</v>
      </c>
      <c r="I488">
        <v>60.09</v>
      </c>
      <c r="J488">
        <v>-5496279</v>
      </c>
      <c r="K488">
        <v>-5496279</v>
      </c>
      <c r="L488">
        <v>-5743611.5549999997</v>
      </c>
      <c r="M488">
        <v>-6007817.6865299996</v>
      </c>
      <c r="N488">
        <v>-6284177.3001103792</v>
      </c>
      <c r="O488" t="s">
        <v>3100</v>
      </c>
      <c r="Q488" t="s">
        <v>3171</v>
      </c>
    </row>
    <row r="489" spans="1:17" x14ac:dyDescent="0.25">
      <c r="A489" t="s">
        <v>809</v>
      </c>
      <c r="C489" t="s">
        <v>14</v>
      </c>
      <c r="D489">
        <v>-7880</v>
      </c>
      <c r="E489">
        <v>-141346.4</v>
      </c>
      <c r="F489">
        <v>0</v>
      </c>
      <c r="G489">
        <v>-848078.4</v>
      </c>
      <c r="H489">
        <v>-563200.6</v>
      </c>
      <c r="I489">
        <v>60.09</v>
      </c>
      <c r="J489">
        <v>7880</v>
      </c>
      <c r="K489">
        <v>0</v>
      </c>
      <c r="L489">
        <v>0</v>
      </c>
      <c r="M489">
        <v>0</v>
      </c>
      <c r="N489">
        <v>0</v>
      </c>
      <c r="O489" t="s">
        <v>3100</v>
      </c>
      <c r="Q489" t="s">
        <v>3171</v>
      </c>
    </row>
    <row r="490" spans="1:17" x14ac:dyDescent="0.25">
      <c r="A490" t="s">
        <v>810</v>
      </c>
      <c r="C490" t="s">
        <v>15</v>
      </c>
      <c r="D490">
        <v>-22835</v>
      </c>
      <c r="E490">
        <v>-141346.4</v>
      </c>
      <c r="F490">
        <v>0</v>
      </c>
      <c r="G490">
        <v>-848078.4</v>
      </c>
      <c r="H490">
        <v>-563200.6</v>
      </c>
      <c r="I490">
        <v>60.09</v>
      </c>
      <c r="J490">
        <v>16813</v>
      </c>
      <c r="K490">
        <v>-6022</v>
      </c>
      <c r="L490">
        <v>-6292.99</v>
      </c>
      <c r="M490">
        <v>-6582.4675399999996</v>
      </c>
      <c r="N490">
        <v>-6885.2610468399998</v>
      </c>
      <c r="O490" t="s">
        <v>3100</v>
      </c>
      <c r="Q490" t="s">
        <v>3171</v>
      </c>
    </row>
    <row r="491" spans="1:17" x14ac:dyDescent="0.25">
      <c r="A491" t="s">
        <v>811</v>
      </c>
      <c r="C491" t="s">
        <v>16</v>
      </c>
      <c r="D491">
        <v>-1954883</v>
      </c>
      <c r="E491">
        <v>-141346.4</v>
      </c>
      <c r="F491">
        <v>0</v>
      </c>
      <c r="G491">
        <v>-848078.4</v>
      </c>
      <c r="H491">
        <v>-563200.6</v>
      </c>
      <c r="I491">
        <v>60.09</v>
      </c>
      <c r="J491">
        <v>3679005</v>
      </c>
      <c r="K491">
        <v>1724122</v>
      </c>
      <c r="L491">
        <v>1801707.49</v>
      </c>
      <c r="M491">
        <v>1884586.0345399999</v>
      </c>
      <c r="N491">
        <v>1971276.9921288399</v>
      </c>
      <c r="O491" t="s">
        <v>3100</v>
      </c>
      <c r="Q491" t="s">
        <v>3172</v>
      </c>
    </row>
    <row r="492" spans="1:17" x14ac:dyDescent="0.25">
      <c r="A492" t="s">
        <v>812</v>
      </c>
      <c r="C492" t="s">
        <v>16</v>
      </c>
      <c r="D492">
        <v>-214619</v>
      </c>
      <c r="E492">
        <v>-141346.4</v>
      </c>
      <c r="F492">
        <v>0</v>
      </c>
      <c r="G492">
        <v>-848078.4</v>
      </c>
      <c r="H492">
        <v>-563200.6</v>
      </c>
      <c r="I492">
        <v>60.09</v>
      </c>
      <c r="J492">
        <v>-3370188</v>
      </c>
      <c r="K492">
        <v>-3584807</v>
      </c>
      <c r="L492">
        <v>-3746123.3149999999</v>
      </c>
      <c r="M492">
        <v>-3918444.9874899997</v>
      </c>
      <c r="N492">
        <v>-4098693.4569145399</v>
      </c>
      <c r="O492" t="s">
        <v>3100</v>
      </c>
      <c r="Q492" t="s">
        <v>3171</v>
      </c>
    </row>
    <row r="493" spans="1:17" x14ac:dyDescent="0.25">
      <c r="A493" t="s">
        <v>813</v>
      </c>
      <c r="C493" t="s">
        <v>17</v>
      </c>
      <c r="D493">
        <v>-1327315</v>
      </c>
      <c r="E493">
        <v>-141346.4</v>
      </c>
      <c r="F493">
        <v>0</v>
      </c>
      <c r="G493">
        <v>-848078.4</v>
      </c>
      <c r="H493">
        <v>-563200.6</v>
      </c>
      <c r="I493">
        <v>60.09</v>
      </c>
      <c r="J493">
        <v>1270595</v>
      </c>
      <c r="K493">
        <v>-56720</v>
      </c>
      <c r="L493">
        <v>-59272.4</v>
      </c>
      <c r="M493">
        <v>-61998.930399999997</v>
      </c>
      <c r="N493">
        <v>-64850.881198399999</v>
      </c>
      <c r="O493" t="s">
        <v>3100</v>
      </c>
      <c r="Q493" t="s">
        <v>3171</v>
      </c>
    </row>
    <row r="494" spans="1:17" x14ac:dyDescent="0.25">
      <c r="A494" t="s">
        <v>814</v>
      </c>
      <c r="C494" t="s">
        <v>18</v>
      </c>
      <c r="D494">
        <v>-10352372</v>
      </c>
      <c r="E494">
        <v>-141346.4</v>
      </c>
      <c r="F494">
        <v>0</v>
      </c>
      <c r="G494">
        <v>-848078.4</v>
      </c>
      <c r="H494">
        <v>-563200.6</v>
      </c>
      <c r="I494">
        <v>60.09</v>
      </c>
      <c r="J494">
        <v>10352372</v>
      </c>
      <c r="K494">
        <v>0</v>
      </c>
      <c r="L494">
        <v>0</v>
      </c>
      <c r="M494">
        <v>0</v>
      </c>
      <c r="N494">
        <v>0</v>
      </c>
      <c r="O494" t="s">
        <v>3100</v>
      </c>
      <c r="Q494" t="s">
        <v>3173</v>
      </c>
    </row>
    <row r="495" spans="1:17" x14ac:dyDescent="0.25">
      <c r="A495" t="s">
        <v>815</v>
      </c>
      <c r="C495" t="s">
        <v>19</v>
      </c>
      <c r="D495">
        <v>0</v>
      </c>
      <c r="E495">
        <v>-141346.4</v>
      </c>
      <c r="F495">
        <v>0</v>
      </c>
      <c r="G495">
        <v>-848078.4</v>
      </c>
      <c r="H495">
        <v>-563200.6</v>
      </c>
      <c r="I495">
        <v>60.09</v>
      </c>
      <c r="J495">
        <v>-10742205</v>
      </c>
      <c r="K495">
        <v>-10742205</v>
      </c>
      <c r="L495">
        <v>-11225604.225</v>
      </c>
      <c r="M495">
        <v>-11741982.01935</v>
      </c>
      <c r="N495">
        <v>-12282113.1922401</v>
      </c>
      <c r="O495" t="s">
        <v>3100</v>
      </c>
      <c r="Q495" t="s">
        <v>3171</v>
      </c>
    </row>
    <row r="496" spans="1:17" x14ac:dyDescent="0.25">
      <c r="A496" t="s">
        <v>816</v>
      </c>
      <c r="C496" t="s">
        <v>20</v>
      </c>
      <c r="D496">
        <v>0</v>
      </c>
      <c r="E496">
        <v>-141346.4</v>
      </c>
      <c r="F496">
        <v>0</v>
      </c>
      <c r="G496">
        <v>-848078.4</v>
      </c>
      <c r="H496">
        <v>-563200.6</v>
      </c>
      <c r="I496">
        <v>60.09</v>
      </c>
      <c r="J496">
        <v>0</v>
      </c>
      <c r="K496">
        <v>0</v>
      </c>
      <c r="L496">
        <v>0</v>
      </c>
      <c r="M496">
        <v>0</v>
      </c>
      <c r="O496" t="s">
        <v>3100</v>
      </c>
      <c r="Q496" t="s">
        <v>3173</v>
      </c>
    </row>
    <row r="497" spans="1:17" x14ac:dyDescent="0.25">
      <c r="A497" t="s">
        <v>817</v>
      </c>
      <c r="C497" t="s">
        <v>27</v>
      </c>
      <c r="D497">
        <v>-3520000</v>
      </c>
      <c r="E497">
        <v>0</v>
      </c>
      <c r="F497">
        <v>0</v>
      </c>
      <c r="G497">
        <v>0</v>
      </c>
      <c r="H497">
        <v>-3520000</v>
      </c>
      <c r="I497">
        <v>0</v>
      </c>
      <c r="J497">
        <v>0</v>
      </c>
      <c r="K497">
        <v>-3520000</v>
      </c>
      <c r="L497">
        <v>-3000000</v>
      </c>
      <c r="M497">
        <v>0</v>
      </c>
      <c r="N497">
        <v>0</v>
      </c>
      <c r="O497" t="s">
        <v>3100</v>
      </c>
      <c r="Q497" t="s">
        <v>3174</v>
      </c>
    </row>
    <row r="498" spans="1:17" x14ac:dyDescent="0.25">
      <c r="A498" t="s">
        <v>818</v>
      </c>
      <c r="C498" t="s">
        <v>32</v>
      </c>
      <c r="D498">
        <v>-2403000</v>
      </c>
      <c r="E498">
        <v>-252538</v>
      </c>
      <c r="F498">
        <v>0</v>
      </c>
      <c r="G498">
        <v>-1159420.99</v>
      </c>
      <c r="H498">
        <v>-1243579.01</v>
      </c>
      <c r="I498">
        <v>48.24</v>
      </c>
      <c r="J498">
        <v>0</v>
      </c>
      <c r="K498">
        <v>-2403000</v>
      </c>
      <c r="L498">
        <v>-2400000</v>
      </c>
      <c r="M498">
        <v>-2400000</v>
      </c>
      <c r="N498">
        <v>-2400000</v>
      </c>
      <c r="O498" t="s">
        <v>3100</v>
      </c>
      <c r="Q498" t="s">
        <v>3175</v>
      </c>
    </row>
    <row r="499" spans="1:17" x14ac:dyDescent="0.25">
      <c r="A499" t="s">
        <v>819</v>
      </c>
      <c r="C499" t="s">
        <v>34</v>
      </c>
      <c r="D499">
        <v>-142578000</v>
      </c>
      <c r="E499">
        <v>-47017000</v>
      </c>
      <c r="F499">
        <v>0</v>
      </c>
      <c r="G499">
        <v>-106425000</v>
      </c>
      <c r="H499">
        <v>-36153000</v>
      </c>
      <c r="I499">
        <v>74.64</v>
      </c>
      <c r="J499">
        <v>0</v>
      </c>
      <c r="K499">
        <v>-142578000</v>
      </c>
      <c r="L499">
        <v>-150787000</v>
      </c>
      <c r="M499">
        <v>-159829000</v>
      </c>
      <c r="N499">
        <v>-167051000</v>
      </c>
      <c r="O499" t="s">
        <v>3100</v>
      </c>
      <c r="Q499" t="s">
        <v>3176</v>
      </c>
    </row>
    <row r="500" spans="1:17" x14ac:dyDescent="0.25">
      <c r="A500" t="s">
        <v>820</v>
      </c>
      <c r="C500" t="s">
        <v>65</v>
      </c>
      <c r="D500">
        <v>-346932</v>
      </c>
      <c r="E500">
        <v>-40547.550000000003</v>
      </c>
      <c r="F500">
        <v>0</v>
      </c>
      <c r="G500">
        <v>-228665.99</v>
      </c>
      <c r="H500">
        <v>-118266.01</v>
      </c>
      <c r="I500">
        <v>65.91</v>
      </c>
      <c r="J500">
        <v>0</v>
      </c>
      <c r="K500">
        <v>-457332</v>
      </c>
      <c r="L500">
        <v>-479741.26799999998</v>
      </c>
      <c r="M500">
        <v>-502768.848864</v>
      </c>
      <c r="N500">
        <v>-526901.75360947195</v>
      </c>
      <c r="O500" t="s">
        <v>3100</v>
      </c>
      <c r="Q500" t="s">
        <v>3177</v>
      </c>
    </row>
    <row r="501" spans="1:17" x14ac:dyDescent="0.25">
      <c r="A501" t="s">
        <v>821</v>
      </c>
      <c r="C501" t="s">
        <v>72</v>
      </c>
      <c r="D501">
        <v>-669425</v>
      </c>
      <c r="E501">
        <v>-141346.4</v>
      </c>
      <c r="F501">
        <v>0</v>
      </c>
      <c r="G501">
        <v>-848078.4</v>
      </c>
      <c r="H501">
        <v>-563200.6</v>
      </c>
      <c r="I501">
        <v>60.09</v>
      </c>
      <c r="J501">
        <v>669425</v>
      </c>
      <c r="K501">
        <v>0</v>
      </c>
      <c r="L501">
        <v>0</v>
      </c>
      <c r="M501">
        <v>0</v>
      </c>
      <c r="N501">
        <v>0</v>
      </c>
      <c r="O501" t="s">
        <v>3100</v>
      </c>
      <c r="Q501" t="s">
        <v>3121</v>
      </c>
    </row>
    <row r="502" spans="1:17" x14ac:dyDescent="0.25">
      <c r="A502" t="s">
        <v>822</v>
      </c>
      <c r="C502" t="s">
        <v>108</v>
      </c>
      <c r="D502">
        <v>601072</v>
      </c>
      <c r="E502">
        <v>-141346.4</v>
      </c>
      <c r="F502">
        <v>0</v>
      </c>
      <c r="G502">
        <v>-848078.4</v>
      </c>
      <c r="H502">
        <v>-563200.6</v>
      </c>
      <c r="I502">
        <v>60.09</v>
      </c>
      <c r="J502">
        <v>0</v>
      </c>
      <c r="K502">
        <v>601072</v>
      </c>
      <c r="L502">
        <v>638639</v>
      </c>
      <c r="M502">
        <v>683343.73</v>
      </c>
      <c r="N502">
        <v>731177.79110000003</v>
      </c>
      <c r="O502" t="s">
        <v>3102</v>
      </c>
      <c r="P502" t="s">
        <v>3103</v>
      </c>
      <c r="Q502" t="s">
        <v>3104</v>
      </c>
    </row>
    <row r="503" spans="1:17" x14ac:dyDescent="0.25">
      <c r="A503" t="s">
        <v>823</v>
      </c>
      <c r="C503" t="s">
        <v>109</v>
      </c>
      <c r="D503">
        <v>30054</v>
      </c>
      <c r="E503">
        <v>-141346.4</v>
      </c>
      <c r="F503">
        <v>0</v>
      </c>
      <c r="G503">
        <v>-848078.4</v>
      </c>
      <c r="H503">
        <v>-563200.6</v>
      </c>
      <c r="I503">
        <v>60.09</v>
      </c>
      <c r="J503">
        <v>0</v>
      </c>
      <c r="K503">
        <v>30054</v>
      </c>
      <c r="L503">
        <v>31932.375</v>
      </c>
      <c r="M503">
        <v>34167.641250000001</v>
      </c>
      <c r="N503">
        <v>36559.376137500003</v>
      </c>
      <c r="O503" t="s">
        <v>3102</v>
      </c>
      <c r="P503" t="s">
        <v>3103</v>
      </c>
      <c r="Q503" t="s">
        <v>3104</v>
      </c>
    </row>
    <row r="504" spans="1:17" x14ac:dyDescent="0.25">
      <c r="A504" t="s">
        <v>824</v>
      </c>
      <c r="C504" t="s">
        <v>110</v>
      </c>
      <c r="D504">
        <v>40000</v>
      </c>
      <c r="E504">
        <v>-141346.4</v>
      </c>
      <c r="F504">
        <v>0</v>
      </c>
      <c r="G504">
        <v>-848078.4</v>
      </c>
      <c r="H504">
        <v>-563200.6</v>
      </c>
      <c r="I504">
        <v>60.09</v>
      </c>
      <c r="J504">
        <v>0</v>
      </c>
      <c r="K504">
        <v>40000</v>
      </c>
      <c r="L504">
        <v>42500</v>
      </c>
      <c r="M504">
        <v>45475</v>
      </c>
      <c r="N504">
        <v>48658.25</v>
      </c>
      <c r="O504" t="s">
        <v>3102</v>
      </c>
      <c r="P504" t="s">
        <v>3103</v>
      </c>
      <c r="Q504" t="s">
        <v>3104</v>
      </c>
    </row>
    <row r="505" spans="1:17" x14ac:dyDescent="0.25">
      <c r="A505" t="s">
        <v>825</v>
      </c>
      <c r="C505" t="s">
        <v>111</v>
      </c>
      <c r="D505">
        <v>205628</v>
      </c>
      <c r="E505">
        <v>-141346.4</v>
      </c>
      <c r="F505">
        <v>0</v>
      </c>
      <c r="G505">
        <v>-848078.4</v>
      </c>
      <c r="H505">
        <v>-563200.6</v>
      </c>
      <c r="I505">
        <v>60.09</v>
      </c>
      <c r="J505">
        <v>0</v>
      </c>
      <c r="K505">
        <v>205628</v>
      </c>
      <c r="L505">
        <v>218479.75</v>
      </c>
      <c r="M505">
        <v>233773.33249999999</v>
      </c>
      <c r="N505">
        <v>250137.46577499999</v>
      </c>
      <c r="O505" t="s">
        <v>3102</v>
      </c>
      <c r="P505" t="s">
        <v>3103</v>
      </c>
      <c r="Q505" t="s">
        <v>3104</v>
      </c>
    </row>
    <row r="506" spans="1:17" x14ac:dyDescent="0.25">
      <c r="A506" t="s">
        <v>826</v>
      </c>
      <c r="C506" t="s">
        <v>112</v>
      </c>
      <c r="D506">
        <v>17000</v>
      </c>
      <c r="E506">
        <v>-141346.4</v>
      </c>
      <c r="F506">
        <v>0</v>
      </c>
      <c r="G506">
        <v>-848078.4</v>
      </c>
      <c r="H506">
        <v>-563200.6</v>
      </c>
      <c r="I506">
        <v>60.09</v>
      </c>
      <c r="J506">
        <v>0</v>
      </c>
      <c r="K506">
        <v>17000</v>
      </c>
      <c r="L506">
        <v>18062.5</v>
      </c>
      <c r="M506">
        <v>19326.875</v>
      </c>
      <c r="N506">
        <v>20679.756249999999</v>
      </c>
      <c r="O506" t="s">
        <v>3102</v>
      </c>
      <c r="P506" t="s">
        <v>3103</v>
      </c>
      <c r="Q506" t="s">
        <v>3104</v>
      </c>
    </row>
    <row r="507" spans="1:17" x14ac:dyDescent="0.25">
      <c r="A507" t="s">
        <v>827</v>
      </c>
      <c r="C507" t="s">
        <v>113</v>
      </c>
      <c r="D507">
        <v>18580</v>
      </c>
      <c r="E507">
        <v>-141346.4</v>
      </c>
      <c r="F507">
        <v>0</v>
      </c>
      <c r="G507">
        <v>-848078.4</v>
      </c>
      <c r="H507">
        <v>-563200.6</v>
      </c>
      <c r="I507">
        <v>60.09</v>
      </c>
      <c r="J507">
        <v>-18580</v>
      </c>
      <c r="K507">
        <v>0</v>
      </c>
      <c r="L507">
        <v>0</v>
      </c>
      <c r="M507">
        <v>0</v>
      </c>
      <c r="O507" t="s">
        <v>3102</v>
      </c>
      <c r="P507" t="s">
        <v>3103</v>
      </c>
      <c r="Q507" t="s">
        <v>3104</v>
      </c>
    </row>
    <row r="508" spans="1:17" x14ac:dyDescent="0.25">
      <c r="A508" t="s">
        <v>828</v>
      </c>
      <c r="C508" t="s">
        <v>150</v>
      </c>
      <c r="D508">
        <v>514319</v>
      </c>
      <c r="E508">
        <v>-141346.4</v>
      </c>
      <c r="F508">
        <v>0</v>
      </c>
      <c r="G508">
        <v>-848078.4</v>
      </c>
      <c r="H508">
        <v>-563200.6</v>
      </c>
      <c r="I508">
        <v>60.09</v>
      </c>
      <c r="J508">
        <v>0</v>
      </c>
      <c r="K508">
        <v>514319</v>
      </c>
      <c r="L508">
        <v>546463.9375</v>
      </c>
      <c r="M508">
        <v>584716.41312499996</v>
      </c>
      <c r="N508">
        <v>625646.56204374996</v>
      </c>
      <c r="O508" t="s">
        <v>3102</v>
      </c>
      <c r="P508" t="s">
        <v>3103</v>
      </c>
      <c r="Q508" t="s">
        <v>3104</v>
      </c>
    </row>
    <row r="509" spans="1:17" x14ac:dyDescent="0.25">
      <c r="A509" t="s">
        <v>829</v>
      </c>
      <c r="C509" t="s">
        <v>151</v>
      </c>
      <c r="D509">
        <v>25716</v>
      </c>
      <c r="E509">
        <v>-141346.4</v>
      </c>
      <c r="F509">
        <v>0</v>
      </c>
      <c r="G509">
        <v>-848078.4</v>
      </c>
      <c r="H509">
        <v>-563200.6</v>
      </c>
      <c r="I509">
        <v>60.09</v>
      </c>
      <c r="J509">
        <v>-17248.910000000003</v>
      </c>
      <c r="K509">
        <v>8467.0899999999965</v>
      </c>
      <c r="L509">
        <v>8996.2831249999963</v>
      </c>
      <c r="M509">
        <v>9626.0229437499966</v>
      </c>
      <c r="N509">
        <v>10299.844549812497</v>
      </c>
      <c r="O509" t="s">
        <v>3102</v>
      </c>
      <c r="P509" t="s">
        <v>3103</v>
      </c>
      <c r="Q509" t="s">
        <v>3104</v>
      </c>
    </row>
    <row r="510" spans="1:17" x14ac:dyDescent="0.25">
      <c r="A510" t="s">
        <v>830</v>
      </c>
      <c r="C510" t="s">
        <v>153</v>
      </c>
      <c r="D510">
        <v>0</v>
      </c>
      <c r="E510">
        <v>-141346.4</v>
      </c>
      <c r="F510">
        <v>0</v>
      </c>
      <c r="G510">
        <v>-848078.4</v>
      </c>
      <c r="H510">
        <v>-563200.6</v>
      </c>
      <c r="I510">
        <v>60.09</v>
      </c>
      <c r="J510">
        <v>10893.24</v>
      </c>
      <c r="K510">
        <v>10893.24</v>
      </c>
      <c r="L510">
        <v>11574.067499999999</v>
      </c>
      <c r="M510">
        <v>12384.252224999998</v>
      </c>
      <c r="N510">
        <v>13251.149880749997</v>
      </c>
      <c r="O510" t="s">
        <v>3102</v>
      </c>
      <c r="P510" t="s">
        <v>3103</v>
      </c>
      <c r="Q510" t="s">
        <v>3104</v>
      </c>
    </row>
    <row r="511" spans="1:17" x14ac:dyDescent="0.25">
      <c r="A511" t="s">
        <v>831</v>
      </c>
      <c r="C511" t="s">
        <v>155</v>
      </c>
      <c r="D511">
        <v>17067</v>
      </c>
      <c r="E511">
        <v>-141346.4</v>
      </c>
      <c r="F511">
        <v>0</v>
      </c>
      <c r="G511">
        <v>-848078.4</v>
      </c>
      <c r="H511">
        <v>-563200.6</v>
      </c>
      <c r="I511">
        <v>60.09</v>
      </c>
      <c r="J511">
        <v>0</v>
      </c>
      <c r="K511">
        <v>17067</v>
      </c>
      <c r="L511">
        <v>18133.6875</v>
      </c>
      <c r="M511">
        <v>19403.045624999999</v>
      </c>
      <c r="N511">
        <v>20761.258818750001</v>
      </c>
      <c r="O511" t="s">
        <v>3102</v>
      </c>
      <c r="P511" t="s">
        <v>3103</v>
      </c>
      <c r="Q511" t="s">
        <v>3104</v>
      </c>
    </row>
    <row r="512" spans="1:17" x14ac:dyDescent="0.25">
      <c r="A512" t="s">
        <v>832</v>
      </c>
      <c r="C512" t="s">
        <v>157</v>
      </c>
      <c r="D512">
        <v>27826</v>
      </c>
      <c r="E512">
        <v>-141346.4</v>
      </c>
      <c r="F512">
        <v>0</v>
      </c>
      <c r="G512">
        <v>-848078.4</v>
      </c>
      <c r="H512">
        <v>-563200.6</v>
      </c>
      <c r="I512">
        <v>60.09</v>
      </c>
      <c r="J512">
        <v>0</v>
      </c>
      <c r="K512">
        <v>27826</v>
      </c>
      <c r="L512">
        <v>29565.125</v>
      </c>
      <c r="M512">
        <v>31634.68375</v>
      </c>
      <c r="N512">
        <v>33849.111612499997</v>
      </c>
      <c r="O512" t="s">
        <v>3102</v>
      </c>
      <c r="P512" t="s">
        <v>3103</v>
      </c>
      <c r="Q512" t="s">
        <v>3104</v>
      </c>
    </row>
    <row r="513" spans="1:17" x14ac:dyDescent="0.25">
      <c r="A513" t="s">
        <v>833</v>
      </c>
      <c r="C513" t="s">
        <v>159</v>
      </c>
      <c r="D513">
        <v>42860</v>
      </c>
      <c r="E513">
        <v>-141346.4</v>
      </c>
      <c r="F513">
        <v>0</v>
      </c>
      <c r="G513">
        <v>-848078.4</v>
      </c>
      <c r="H513">
        <v>-563200.6</v>
      </c>
      <c r="I513">
        <v>60.09</v>
      </c>
      <c r="J513">
        <v>27140</v>
      </c>
      <c r="K513">
        <v>70000</v>
      </c>
      <c r="L513">
        <v>74375</v>
      </c>
      <c r="M513">
        <v>79581.25</v>
      </c>
      <c r="N513">
        <v>85151.9375</v>
      </c>
      <c r="O513" t="s">
        <v>3102</v>
      </c>
      <c r="P513" t="s">
        <v>3103</v>
      </c>
      <c r="Q513" t="s">
        <v>3104</v>
      </c>
    </row>
    <row r="514" spans="1:17" x14ac:dyDescent="0.25">
      <c r="A514" t="s">
        <v>834</v>
      </c>
      <c r="C514" t="s">
        <v>164</v>
      </c>
      <c r="D514">
        <v>32457</v>
      </c>
      <c r="E514">
        <v>-141346.4</v>
      </c>
      <c r="F514">
        <v>0</v>
      </c>
      <c r="G514">
        <v>-848078.4</v>
      </c>
      <c r="H514">
        <v>-563200.6</v>
      </c>
      <c r="I514">
        <v>60.09</v>
      </c>
      <c r="J514">
        <v>0</v>
      </c>
      <c r="K514">
        <v>32457</v>
      </c>
      <c r="L514">
        <v>34485.5625</v>
      </c>
      <c r="M514">
        <v>36899.551874999997</v>
      </c>
      <c r="N514">
        <v>39482.520506249995</v>
      </c>
      <c r="O514" t="s">
        <v>3102</v>
      </c>
      <c r="P514" t="s">
        <v>3103</v>
      </c>
      <c r="Q514" t="s">
        <v>3104</v>
      </c>
    </row>
    <row r="515" spans="1:17" x14ac:dyDescent="0.25">
      <c r="A515" t="s">
        <v>835</v>
      </c>
      <c r="C515" t="s">
        <v>167</v>
      </c>
      <c r="D515">
        <v>225</v>
      </c>
      <c r="E515">
        <v>-141346.4</v>
      </c>
      <c r="F515">
        <v>0</v>
      </c>
      <c r="G515">
        <v>-848078.4</v>
      </c>
      <c r="H515">
        <v>-563200.6</v>
      </c>
      <c r="I515">
        <v>60.09</v>
      </c>
      <c r="J515">
        <v>0</v>
      </c>
      <c r="K515">
        <v>225</v>
      </c>
      <c r="L515">
        <v>239.0625</v>
      </c>
      <c r="M515">
        <v>255.796875</v>
      </c>
      <c r="N515">
        <v>273.70265625000002</v>
      </c>
      <c r="O515" t="s">
        <v>3102</v>
      </c>
      <c r="P515" t="s">
        <v>3103</v>
      </c>
      <c r="Q515" t="s">
        <v>3104</v>
      </c>
    </row>
    <row r="516" spans="1:17" x14ac:dyDescent="0.25">
      <c r="A516" t="s">
        <v>836</v>
      </c>
      <c r="C516" t="s">
        <v>168</v>
      </c>
      <c r="D516">
        <v>107816</v>
      </c>
      <c r="E516">
        <v>-141346.4</v>
      </c>
      <c r="F516">
        <v>0</v>
      </c>
      <c r="G516">
        <v>-848078.4</v>
      </c>
      <c r="H516">
        <v>-563200.6</v>
      </c>
      <c r="I516">
        <v>60.09</v>
      </c>
      <c r="J516">
        <v>-60000</v>
      </c>
      <c r="K516">
        <v>47816</v>
      </c>
      <c r="L516">
        <v>50804.5</v>
      </c>
      <c r="M516">
        <v>54360.815000000002</v>
      </c>
      <c r="N516">
        <v>58166.072050000002</v>
      </c>
      <c r="O516" t="s">
        <v>3102</v>
      </c>
      <c r="P516" t="s">
        <v>3103</v>
      </c>
      <c r="Q516" t="s">
        <v>3104</v>
      </c>
    </row>
    <row r="517" spans="1:17" x14ac:dyDescent="0.25">
      <c r="A517" t="s">
        <v>837</v>
      </c>
      <c r="C517" t="s">
        <v>169</v>
      </c>
      <c r="D517">
        <v>113150</v>
      </c>
      <c r="E517">
        <v>-141346.4</v>
      </c>
      <c r="F517">
        <v>0</v>
      </c>
      <c r="G517">
        <v>-848078.4</v>
      </c>
      <c r="H517">
        <v>-563200.6</v>
      </c>
      <c r="I517">
        <v>60.09</v>
      </c>
      <c r="J517">
        <v>0</v>
      </c>
      <c r="K517">
        <v>113150</v>
      </c>
      <c r="L517">
        <v>120221.875</v>
      </c>
      <c r="M517">
        <v>128637.40625</v>
      </c>
      <c r="N517">
        <v>137642.0246875</v>
      </c>
      <c r="O517" t="s">
        <v>3102</v>
      </c>
      <c r="P517" t="s">
        <v>3103</v>
      </c>
      <c r="Q517" t="s">
        <v>3104</v>
      </c>
    </row>
    <row r="518" spans="1:17" x14ac:dyDescent="0.25">
      <c r="A518" t="s">
        <v>838</v>
      </c>
      <c r="C518" t="s">
        <v>170</v>
      </c>
      <c r="D518">
        <v>3570</v>
      </c>
      <c r="E518">
        <v>-141346.4</v>
      </c>
      <c r="F518">
        <v>0</v>
      </c>
      <c r="G518">
        <v>-848078.4</v>
      </c>
      <c r="H518">
        <v>-563200.6</v>
      </c>
      <c r="I518">
        <v>60.09</v>
      </c>
      <c r="J518">
        <v>0</v>
      </c>
      <c r="K518">
        <v>3570</v>
      </c>
      <c r="L518">
        <v>3793.125</v>
      </c>
      <c r="M518">
        <v>4058.6437500000002</v>
      </c>
      <c r="N518">
        <v>4342.7488125</v>
      </c>
      <c r="O518" t="s">
        <v>3102</v>
      </c>
      <c r="P518" t="s">
        <v>3103</v>
      </c>
      <c r="Q518" t="s">
        <v>3104</v>
      </c>
    </row>
    <row r="519" spans="1:17" x14ac:dyDescent="0.25">
      <c r="A519" t="s">
        <v>839</v>
      </c>
      <c r="C519" t="s">
        <v>173</v>
      </c>
      <c r="D519">
        <v>6657</v>
      </c>
      <c r="E519">
        <v>-141346.4</v>
      </c>
      <c r="F519">
        <v>0</v>
      </c>
      <c r="G519">
        <v>-848078.4</v>
      </c>
      <c r="H519">
        <v>-563200.6</v>
      </c>
      <c r="I519">
        <v>60.09</v>
      </c>
      <c r="J519">
        <v>0</v>
      </c>
      <c r="K519">
        <v>6657</v>
      </c>
      <c r="L519">
        <v>7073.0625</v>
      </c>
      <c r="M519">
        <v>7568.1768750000001</v>
      </c>
      <c r="N519">
        <v>8097.94925625</v>
      </c>
      <c r="O519" t="s">
        <v>3102</v>
      </c>
      <c r="P519" t="s">
        <v>3103</v>
      </c>
      <c r="Q519" t="s">
        <v>3104</v>
      </c>
    </row>
    <row r="520" spans="1:17" x14ac:dyDescent="0.25">
      <c r="A520" t="s">
        <v>840</v>
      </c>
      <c r="C520" t="s">
        <v>174</v>
      </c>
      <c r="D520">
        <v>6718</v>
      </c>
      <c r="E520">
        <v>-141346.4</v>
      </c>
      <c r="F520">
        <v>0</v>
      </c>
      <c r="G520">
        <v>-848078.4</v>
      </c>
      <c r="H520">
        <v>-563200.6</v>
      </c>
      <c r="I520">
        <v>60.09</v>
      </c>
      <c r="J520">
        <v>0</v>
      </c>
      <c r="K520">
        <v>6718</v>
      </c>
      <c r="L520">
        <v>7137.875</v>
      </c>
      <c r="M520">
        <v>7637.5262499999999</v>
      </c>
      <c r="N520">
        <v>8172.1530874999999</v>
      </c>
      <c r="O520" t="s">
        <v>3102</v>
      </c>
      <c r="P520" t="s">
        <v>3103</v>
      </c>
      <c r="Q520" t="s">
        <v>3104</v>
      </c>
    </row>
    <row r="521" spans="1:17" x14ac:dyDescent="0.25">
      <c r="A521" t="s">
        <v>1393</v>
      </c>
      <c r="C521" t="s">
        <v>1392</v>
      </c>
      <c r="D521">
        <v>0</v>
      </c>
      <c r="E521">
        <v>-141346.4</v>
      </c>
      <c r="F521">
        <v>0</v>
      </c>
      <c r="G521">
        <v>-848078.4</v>
      </c>
      <c r="H521">
        <v>-563200.6</v>
      </c>
      <c r="I521">
        <v>60.09</v>
      </c>
      <c r="J521">
        <v>150000</v>
      </c>
      <c r="K521">
        <v>150000</v>
      </c>
      <c r="L521">
        <v>159375</v>
      </c>
      <c r="M521">
        <v>170531.25</v>
      </c>
      <c r="N521">
        <v>182468.4375</v>
      </c>
      <c r="O521" t="s">
        <v>3102</v>
      </c>
      <c r="P521" t="s">
        <v>3103</v>
      </c>
      <c r="Q521" t="s">
        <v>3104</v>
      </c>
    </row>
    <row r="522" spans="1:17" x14ac:dyDescent="0.25">
      <c r="A522" t="s">
        <v>841</v>
      </c>
      <c r="C522" t="s">
        <v>175</v>
      </c>
      <c r="D522">
        <v>9290</v>
      </c>
      <c r="E522">
        <v>-141346.4</v>
      </c>
      <c r="F522">
        <v>0</v>
      </c>
      <c r="G522">
        <v>-848078.4</v>
      </c>
      <c r="H522">
        <v>-563200.6</v>
      </c>
      <c r="I522">
        <v>60.09</v>
      </c>
      <c r="J522">
        <v>0</v>
      </c>
      <c r="K522">
        <v>9290</v>
      </c>
      <c r="L522">
        <v>9870.625</v>
      </c>
      <c r="M522">
        <v>10561.56875</v>
      </c>
      <c r="N522">
        <v>11300.8785625</v>
      </c>
      <c r="O522" t="s">
        <v>3102</v>
      </c>
      <c r="P522" t="s">
        <v>3103</v>
      </c>
      <c r="Q522" t="s">
        <v>3104</v>
      </c>
    </row>
    <row r="523" spans="1:17" x14ac:dyDescent="0.25">
      <c r="A523" t="s">
        <v>842</v>
      </c>
      <c r="C523" t="s">
        <v>213</v>
      </c>
      <c r="D523">
        <v>1000000</v>
      </c>
      <c r="E523">
        <v>-141346.4</v>
      </c>
      <c r="F523">
        <v>0</v>
      </c>
      <c r="G523">
        <v>-848078.4</v>
      </c>
      <c r="H523">
        <v>-563200.6</v>
      </c>
      <c r="I523">
        <v>60.09</v>
      </c>
      <c r="J523">
        <v>150000</v>
      </c>
      <c r="K523">
        <v>1150000</v>
      </c>
      <c r="L523">
        <v>800000</v>
      </c>
      <c r="M523">
        <v>848000</v>
      </c>
      <c r="N523">
        <v>898880</v>
      </c>
      <c r="O523" t="s">
        <v>3102</v>
      </c>
      <c r="P523" t="s">
        <v>3105</v>
      </c>
      <c r="Q523" t="s">
        <v>3160</v>
      </c>
    </row>
    <row r="524" spans="1:17" x14ac:dyDescent="0.25">
      <c r="A524" t="s">
        <v>843</v>
      </c>
      <c r="C524" t="s">
        <v>219</v>
      </c>
      <c r="D524">
        <v>2650000</v>
      </c>
      <c r="E524">
        <v>-141346.4</v>
      </c>
      <c r="F524">
        <v>0</v>
      </c>
      <c r="G524">
        <v>-848078.4</v>
      </c>
      <c r="H524">
        <v>-563200.6</v>
      </c>
      <c r="I524">
        <v>60.09</v>
      </c>
      <c r="J524">
        <v>300000</v>
      </c>
      <c r="K524">
        <v>2950000</v>
      </c>
      <c r="L524">
        <v>3000000</v>
      </c>
      <c r="M524">
        <v>3180000</v>
      </c>
      <c r="N524">
        <v>3370800</v>
      </c>
      <c r="O524" t="s">
        <v>3102</v>
      </c>
      <c r="P524" t="s">
        <v>3105</v>
      </c>
      <c r="Q524" t="s">
        <v>3106</v>
      </c>
    </row>
    <row r="525" spans="1:17" x14ac:dyDescent="0.25">
      <c r="A525" t="s">
        <v>844</v>
      </c>
      <c r="C525" t="s">
        <v>229</v>
      </c>
      <c r="D525">
        <v>600000</v>
      </c>
      <c r="E525">
        <v>-141346.4</v>
      </c>
      <c r="F525">
        <v>0</v>
      </c>
      <c r="G525">
        <v>-848078.4</v>
      </c>
      <c r="H525">
        <v>-563200.6</v>
      </c>
      <c r="I525">
        <v>60.09</v>
      </c>
      <c r="J525">
        <v>300000</v>
      </c>
      <c r="K525">
        <v>900000</v>
      </c>
      <c r="L525">
        <v>400000</v>
      </c>
      <c r="M525">
        <v>424000</v>
      </c>
      <c r="N525">
        <v>449440</v>
      </c>
      <c r="O525" t="s">
        <v>3102</v>
      </c>
      <c r="P525" t="s">
        <v>3105</v>
      </c>
      <c r="Q525" t="s">
        <v>3178</v>
      </c>
    </row>
    <row r="526" spans="1:17" x14ac:dyDescent="0.25">
      <c r="A526" t="s">
        <v>845</v>
      </c>
      <c r="C526" t="s">
        <v>242</v>
      </c>
      <c r="D526">
        <v>55809</v>
      </c>
      <c r="E526">
        <v>-141346.4</v>
      </c>
      <c r="F526">
        <v>0</v>
      </c>
      <c r="G526">
        <v>-848078.4</v>
      </c>
      <c r="H526">
        <v>-563200.6</v>
      </c>
      <c r="I526">
        <v>60.09</v>
      </c>
      <c r="J526">
        <v>-30000</v>
      </c>
      <c r="K526">
        <v>25809</v>
      </c>
      <c r="L526">
        <v>26970.404999999999</v>
      </c>
      <c r="M526">
        <v>28211.04363</v>
      </c>
      <c r="N526">
        <v>29508.75163698</v>
      </c>
      <c r="O526" t="s">
        <v>3102</v>
      </c>
      <c r="P526" t="s">
        <v>3110</v>
      </c>
      <c r="Q526" t="s">
        <v>3179</v>
      </c>
    </row>
    <row r="527" spans="1:17" x14ac:dyDescent="0.25">
      <c r="A527" t="s">
        <v>846</v>
      </c>
      <c r="C527" t="s">
        <v>253</v>
      </c>
      <c r="D527">
        <v>2000</v>
      </c>
      <c r="E527">
        <v>-141346.4</v>
      </c>
      <c r="F527">
        <v>0</v>
      </c>
      <c r="G527">
        <v>-848078.4</v>
      </c>
      <c r="H527">
        <v>-563200.6</v>
      </c>
      <c r="I527">
        <v>60.09</v>
      </c>
      <c r="J527">
        <v>0</v>
      </c>
      <c r="K527">
        <v>2000</v>
      </c>
      <c r="L527">
        <v>2000</v>
      </c>
      <c r="M527">
        <v>2000</v>
      </c>
      <c r="N527">
        <v>2000</v>
      </c>
      <c r="O527" t="s">
        <v>3102</v>
      </c>
      <c r="P527" t="s">
        <v>3110</v>
      </c>
      <c r="Q527" t="s">
        <v>3106</v>
      </c>
    </row>
    <row r="528" spans="1:17" x14ac:dyDescent="0.25">
      <c r="A528" t="s">
        <v>847</v>
      </c>
      <c r="C528" t="s">
        <v>263</v>
      </c>
      <c r="D528">
        <v>403000</v>
      </c>
      <c r="E528">
        <v>-141346.4</v>
      </c>
      <c r="F528">
        <v>0</v>
      </c>
      <c r="G528">
        <v>-848078.4</v>
      </c>
      <c r="H528">
        <v>-563200.6</v>
      </c>
      <c r="I528">
        <v>60.09</v>
      </c>
      <c r="J528">
        <v>-300000</v>
      </c>
      <c r="K528">
        <v>103000</v>
      </c>
      <c r="L528">
        <v>200000</v>
      </c>
      <c r="M528">
        <v>209200</v>
      </c>
      <c r="N528">
        <v>218823.2</v>
      </c>
      <c r="O528" t="s">
        <v>3102</v>
      </c>
      <c r="P528" t="s">
        <v>3110</v>
      </c>
      <c r="Q528" t="s">
        <v>3180</v>
      </c>
    </row>
    <row r="529" spans="1:17" x14ac:dyDescent="0.25">
      <c r="A529" t="s">
        <v>848</v>
      </c>
      <c r="C529" t="s">
        <v>265</v>
      </c>
      <c r="D529">
        <v>132699</v>
      </c>
      <c r="E529">
        <v>-141346.4</v>
      </c>
      <c r="F529">
        <v>0</v>
      </c>
      <c r="G529">
        <v>-848078.4</v>
      </c>
      <c r="H529">
        <v>-563200.6</v>
      </c>
      <c r="I529">
        <v>60.09</v>
      </c>
      <c r="J529">
        <v>-115000</v>
      </c>
      <c r="K529">
        <v>17699</v>
      </c>
      <c r="L529">
        <v>18495.455000000002</v>
      </c>
      <c r="M529">
        <v>19346.245930000001</v>
      </c>
      <c r="N529">
        <v>20236.173242780002</v>
      </c>
      <c r="O529" t="s">
        <v>3102</v>
      </c>
      <c r="P529" t="s">
        <v>3110</v>
      </c>
      <c r="Q529" t="s">
        <v>3104</v>
      </c>
    </row>
    <row r="530" spans="1:17" x14ac:dyDescent="0.25">
      <c r="A530" t="s">
        <v>849</v>
      </c>
      <c r="C530" t="s">
        <v>268</v>
      </c>
      <c r="D530">
        <v>384808</v>
      </c>
      <c r="E530">
        <v>-141346.4</v>
      </c>
      <c r="F530">
        <v>0</v>
      </c>
      <c r="G530">
        <v>-848078.4</v>
      </c>
      <c r="H530">
        <v>-563200.6</v>
      </c>
      <c r="I530">
        <v>60.09</v>
      </c>
      <c r="J530">
        <v>-200000</v>
      </c>
      <c r="K530">
        <v>184808</v>
      </c>
      <c r="L530">
        <v>193124.36</v>
      </c>
      <c r="M530">
        <v>202008.08055999997</v>
      </c>
      <c r="N530">
        <v>211300.45226575996</v>
      </c>
      <c r="O530" t="s">
        <v>3102</v>
      </c>
      <c r="P530" t="s">
        <v>3110</v>
      </c>
      <c r="Q530" t="s">
        <v>3104</v>
      </c>
    </row>
    <row r="531" spans="1:17" x14ac:dyDescent="0.25">
      <c r="A531" t="s">
        <v>850</v>
      </c>
      <c r="C531" t="s">
        <v>268</v>
      </c>
      <c r="D531">
        <v>343818</v>
      </c>
      <c r="E531">
        <v>-141346.4</v>
      </c>
      <c r="F531">
        <v>0</v>
      </c>
      <c r="G531">
        <v>-848078.4</v>
      </c>
      <c r="H531">
        <v>-563200.6</v>
      </c>
      <c r="I531">
        <v>60.09</v>
      </c>
      <c r="J531">
        <v>-200000</v>
      </c>
      <c r="K531">
        <v>143818</v>
      </c>
      <c r="L531">
        <v>150289.81</v>
      </c>
      <c r="M531">
        <v>157203.14126</v>
      </c>
      <c r="N531">
        <v>164434.48575796001</v>
      </c>
      <c r="O531" t="s">
        <v>3102</v>
      </c>
      <c r="P531" t="s">
        <v>3110</v>
      </c>
      <c r="Q531" t="s">
        <v>3111</v>
      </c>
    </row>
    <row r="532" spans="1:17" x14ac:dyDescent="0.25">
      <c r="A532" t="s">
        <v>851</v>
      </c>
      <c r="C532" t="s">
        <v>269</v>
      </c>
      <c r="D532">
        <v>60000</v>
      </c>
      <c r="E532">
        <v>-141346.4</v>
      </c>
      <c r="F532">
        <v>0</v>
      </c>
      <c r="G532">
        <v>-848078.4</v>
      </c>
      <c r="H532">
        <v>-563200.6</v>
      </c>
      <c r="I532">
        <v>60.09</v>
      </c>
      <c r="J532">
        <v>-40000</v>
      </c>
      <c r="K532">
        <v>20000</v>
      </c>
      <c r="L532">
        <v>20900</v>
      </c>
      <c r="M532">
        <v>21861.4</v>
      </c>
      <c r="N532">
        <v>22867.024400000002</v>
      </c>
      <c r="O532" t="s">
        <v>3102</v>
      </c>
      <c r="P532" t="s">
        <v>3110</v>
      </c>
      <c r="Q532" t="s">
        <v>3106</v>
      </c>
    </row>
    <row r="533" spans="1:17" x14ac:dyDescent="0.25">
      <c r="A533" t="s">
        <v>853</v>
      </c>
      <c r="C533" t="s">
        <v>291</v>
      </c>
      <c r="D533">
        <v>0</v>
      </c>
      <c r="E533">
        <v>-141346.4</v>
      </c>
      <c r="F533">
        <v>0</v>
      </c>
      <c r="G533">
        <v>-848078.4</v>
      </c>
      <c r="H533">
        <v>-563200.6</v>
      </c>
      <c r="I533">
        <v>60.09</v>
      </c>
      <c r="J533">
        <v>0</v>
      </c>
      <c r="K533">
        <v>0</v>
      </c>
      <c r="L533">
        <v>0</v>
      </c>
      <c r="M533">
        <v>0</v>
      </c>
      <c r="O533" t="s">
        <v>3102</v>
      </c>
      <c r="P533" t="s">
        <v>3117</v>
      </c>
      <c r="Q533" t="s">
        <v>3111</v>
      </c>
    </row>
    <row r="534" spans="1:17" x14ac:dyDescent="0.25">
      <c r="A534" t="s">
        <v>854</v>
      </c>
      <c r="C534" t="s">
        <v>292</v>
      </c>
      <c r="D534">
        <v>0</v>
      </c>
      <c r="E534">
        <v>-141346.4</v>
      </c>
      <c r="F534">
        <v>0</v>
      </c>
      <c r="G534">
        <v>-848078.4</v>
      </c>
      <c r="H534">
        <v>-563200.6</v>
      </c>
      <c r="I534">
        <v>60.09</v>
      </c>
      <c r="J534">
        <v>0</v>
      </c>
      <c r="K534">
        <v>0</v>
      </c>
      <c r="L534">
        <v>0</v>
      </c>
      <c r="M534">
        <v>0</v>
      </c>
      <c r="O534" t="s">
        <v>3102</v>
      </c>
      <c r="P534" t="s">
        <v>3117</v>
      </c>
      <c r="Q534" t="s">
        <v>3111</v>
      </c>
    </row>
    <row r="535" spans="1:17" x14ac:dyDescent="0.25">
      <c r="A535" t="s">
        <v>855</v>
      </c>
      <c r="C535" t="s">
        <v>293</v>
      </c>
      <c r="D535">
        <v>0</v>
      </c>
      <c r="E535">
        <v>-141346.4</v>
      </c>
      <c r="F535">
        <v>0</v>
      </c>
      <c r="G535">
        <v>-848078.4</v>
      </c>
      <c r="H535">
        <v>-563200.6</v>
      </c>
      <c r="I535">
        <v>60.09</v>
      </c>
      <c r="J535">
        <v>0</v>
      </c>
      <c r="K535">
        <v>0</v>
      </c>
      <c r="L535">
        <v>0</v>
      </c>
      <c r="M535">
        <v>0</v>
      </c>
      <c r="O535" t="s">
        <v>3102</v>
      </c>
      <c r="P535" t="s">
        <v>3117</v>
      </c>
      <c r="Q535" t="s">
        <v>3111</v>
      </c>
    </row>
    <row r="536" spans="1:17" x14ac:dyDescent="0.25">
      <c r="A536" t="s">
        <v>857</v>
      </c>
      <c r="C536" t="s">
        <v>62</v>
      </c>
      <c r="D536">
        <v>-2112000</v>
      </c>
      <c r="E536">
        <v>-158518.66</v>
      </c>
      <c r="F536">
        <v>0</v>
      </c>
      <c r="G536">
        <v>-1057902.8999999999</v>
      </c>
      <c r="H536">
        <v>-1054097.1000000001</v>
      </c>
      <c r="I536">
        <v>50.09</v>
      </c>
      <c r="J536">
        <v>0</v>
      </c>
      <c r="K536">
        <v>-2112000</v>
      </c>
      <c r="L536">
        <v>-2215488</v>
      </c>
      <c r="M536">
        <v>-2321831.4240000001</v>
      </c>
      <c r="N536">
        <v>-2433279.3323520003</v>
      </c>
      <c r="O536" t="s">
        <v>3100</v>
      </c>
      <c r="Q536" t="s">
        <v>3181</v>
      </c>
    </row>
    <row r="537" spans="1:17" x14ac:dyDescent="0.25">
      <c r="A537" t="s">
        <v>858</v>
      </c>
      <c r="C537" t="s">
        <v>150</v>
      </c>
      <c r="D537">
        <v>1243618</v>
      </c>
      <c r="E537">
        <v>-141346.4</v>
      </c>
      <c r="F537">
        <v>0</v>
      </c>
      <c r="G537">
        <v>-848078.4</v>
      </c>
      <c r="H537">
        <v>-563200.6</v>
      </c>
      <c r="I537">
        <v>60.09</v>
      </c>
      <c r="J537">
        <v>0</v>
      </c>
      <c r="K537">
        <v>1243618</v>
      </c>
      <c r="L537">
        <v>1321344.125</v>
      </c>
      <c r="M537">
        <v>1413838.2137500001</v>
      </c>
      <c r="N537">
        <v>1512806.8887125002</v>
      </c>
      <c r="O537" t="s">
        <v>3102</v>
      </c>
      <c r="P537" t="s">
        <v>3103</v>
      </c>
      <c r="Q537" t="s">
        <v>3104</v>
      </c>
    </row>
    <row r="538" spans="1:17" x14ac:dyDescent="0.25">
      <c r="A538" t="s">
        <v>859</v>
      </c>
      <c r="C538" t="s">
        <v>150</v>
      </c>
      <c r="D538">
        <v>80600</v>
      </c>
      <c r="E538">
        <v>-141346.4</v>
      </c>
      <c r="F538">
        <v>0</v>
      </c>
      <c r="G538">
        <v>-848078.4</v>
      </c>
      <c r="H538">
        <v>-563200.6</v>
      </c>
      <c r="I538">
        <v>60.09</v>
      </c>
      <c r="J538">
        <v>0</v>
      </c>
      <c r="K538">
        <v>80600</v>
      </c>
      <c r="L538">
        <v>85637.5</v>
      </c>
      <c r="M538">
        <v>91632.125</v>
      </c>
      <c r="N538">
        <v>98046.373749999999</v>
      </c>
      <c r="O538" t="s">
        <v>3102</v>
      </c>
      <c r="P538" t="s">
        <v>3103</v>
      </c>
      <c r="Q538" t="s">
        <v>3160</v>
      </c>
    </row>
    <row r="539" spans="1:17" x14ac:dyDescent="0.25">
      <c r="A539" t="s">
        <v>860</v>
      </c>
      <c r="C539" t="s">
        <v>151</v>
      </c>
      <c r="D539">
        <v>58113</v>
      </c>
      <c r="E539">
        <v>-141346.4</v>
      </c>
      <c r="F539">
        <v>0</v>
      </c>
      <c r="G539">
        <v>-848078.4</v>
      </c>
      <c r="H539">
        <v>-563200.6</v>
      </c>
      <c r="I539">
        <v>60.09</v>
      </c>
      <c r="J539">
        <v>-32711.729999999996</v>
      </c>
      <c r="K539">
        <v>25401.270000000004</v>
      </c>
      <c r="L539">
        <v>26988.849375000005</v>
      </c>
      <c r="M539">
        <v>28878.068831250006</v>
      </c>
      <c r="N539">
        <v>30899.533649437508</v>
      </c>
      <c r="O539" t="s">
        <v>3102</v>
      </c>
      <c r="P539" t="s">
        <v>3103</v>
      </c>
      <c r="Q539" t="s">
        <v>3104</v>
      </c>
    </row>
    <row r="540" spans="1:17" x14ac:dyDescent="0.25">
      <c r="A540" t="s">
        <v>861</v>
      </c>
      <c r="C540" t="s">
        <v>152</v>
      </c>
      <c r="D540">
        <v>38100</v>
      </c>
      <c r="E540">
        <v>-141346.4</v>
      </c>
      <c r="F540">
        <v>0</v>
      </c>
      <c r="G540">
        <v>-848078.4</v>
      </c>
      <c r="H540">
        <v>-563200.6</v>
      </c>
      <c r="I540">
        <v>60.09</v>
      </c>
      <c r="J540">
        <v>0</v>
      </c>
      <c r="K540">
        <v>38100</v>
      </c>
      <c r="L540">
        <v>40481.25</v>
      </c>
      <c r="M540">
        <v>43314.9375</v>
      </c>
      <c r="N540">
        <v>46346.983124999999</v>
      </c>
      <c r="O540" t="s">
        <v>3102</v>
      </c>
      <c r="P540" t="s">
        <v>3103</v>
      </c>
      <c r="Q540" t="s">
        <v>3104</v>
      </c>
    </row>
    <row r="541" spans="1:17" x14ac:dyDescent="0.25">
      <c r="A541" t="s">
        <v>862</v>
      </c>
      <c r="C541" t="s">
        <v>153</v>
      </c>
      <c r="D541">
        <v>10893</v>
      </c>
      <c r="E541">
        <v>-141346.4</v>
      </c>
      <c r="F541">
        <v>0</v>
      </c>
      <c r="G541">
        <v>-848078.4</v>
      </c>
      <c r="H541">
        <v>-563200.6</v>
      </c>
      <c r="I541">
        <v>60.09</v>
      </c>
      <c r="J541">
        <v>0</v>
      </c>
      <c r="K541">
        <v>10893</v>
      </c>
      <c r="L541">
        <v>11573.8125</v>
      </c>
      <c r="M541">
        <v>12383.979375000001</v>
      </c>
      <c r="N541">
        <v>13250.857931250001</v>
      </c>
      <c r="O541" t="s">
        <v>3102</v>
      </c>
      <c r="P541" t="s">
        <v>3103</v>
      </c>
      <c r="Q541" t="s">
        <v>3104</v>
      </c>
    </row>
    <row r="542" spans="1:17" x14ac:dyDescent="0.25">
      <c r="A542" t="s">
        <v>863</v>
      </c>
      <c r="C542" t="s">
        <v>155</v>
      </c>
      <c r="D542">
        <v>41268</v>
      </c>
      <c r="E542">
        <v>-141346.4</v>
      </c>
      <c r="F542">
        <v>0</v>
      </c>
      <c r="G542">
        <v>-848078.4</v>
      </c>
      <c r="H542">
        <v>-563200.6</v>
      </c>
      <c r="I542">
        <v>60.09</v>
      </c>
      <c r="J542">
        <v>0</v>
      </c>
      <c r="K542">
        <v>41268</v>
      </c>
      <c r="L542">
        <v>43847.25</v>
      </c>
      <c r="M542">
        <v>46916.557500000003</v>
      </c>
      <c r="N542">
        <v>50200.716525000003</v>
      </c>
      <c r="O542" t="s">
        <v>3102</v>
      </c>
      <c r="P542" t="s">
        <v>3103</v>
      </c>
      <c r="Q542" t="s">
        <v>3104</v>
      </c>
    </row>
    <row r="543" spans="1:17" x14ac:dyDescent="0.25">
      <c r="A543" t="s">
        <v>864</v>
      </c>
      <c r="C543" t="s">
        <v>156</v>
      </c>
      <c r="D543">
        <v>267347</v>
      </c>
      <c r="E543">
        <v>-141346.4</v>
      </c>
      <c r="F543">
        <v>0</v>
      </c>
      <c r="G543">
        <v>-848078.4</v>
      </c>
      <c r="H543">
        <v>-563200.6</v>
      </c>
      <c r="I543">
        <v>60.09</v>
      </c>
      <c r="J543">
        <v>0</v>
      </c>
      <c r="K543">
        <v>267347</v>
      </c>
      <c r="L543">
        <v>284056.1875</v>
      </c>
      <c r="M543">
        <v>303940.12062499998</v>
      </c>
      <c r="N543">
        <v>325215.92906875</v>
      </c>
      <c r="O543" t="s">
        <v>3102</v>
      </c>
      <c r="P543" t="s">
        <v>3103</v>
      </c>
      <c r="Q543" t="s">
        <v>3104</v>
      </c>
    </row>
    <row r="544" spans="1:17" x14ac:dyDescent="0.25">
      <c r="A544" t="s">
        <v>865</v>
      </c>
      <c r="C544" t="s">
        <v>157</v>
      </c>
      <c r="D544">
        <v>20000</v>
      </c>
      <c r="E544">
        <v>-141346.4</v>
      </c>
      <c r="F544">
        <v>0</v>
      </c>
      <c r="G544">
        <v>-848078.4</v>
      </c>
      <c r="H544">
        <v>-563200.6</v>
      </c>
      <c r="I544">
        <v>60.09</v>
      </c>
      <c r="J544">
        <v>0</v>
      </c>
      <c r="K544">
        <v>20000</v>
      </c>
      <c r="L544">
        <v>21250</v>
      </c>
      <c r="M544">
        <v>22737.5</v>
      </c>
      <c r="N544">
        <v>24329.125</v>
      </c>
      <c r="O544" t="s">
        <v>3102</v>
      </c>
      <c r="P544" t="s">
        <v>3103</v>
      </c>
      <c r="Q544" t="s">
        <v>3104</v>
      </c>
    </row>
    <row r="545" spans="1:17" x14ac:dyDescent="0.25">
      <c r="A545" t="s">
        <v>866</v>
      </c>
      <c r="C545" t="s">
        <v>158</v>
      </c>
      <c r="D545">
        <v>12841</v>
      </c>
      <c r="E545">
        <v>-141346.4</v>
      </c>
      <c r="F545">
        <v>0</v>
      </c>
      <c r="G545">
        <v>-848078.4</v>
      </c>
      <c r="H545">
        <v>-563200.6</v>
      </c>
      <c r="I545">
        <v>60.09</v>
      </c>
      <c r="J545">
        <v>-12841</v>
      </c>
      <c r="K545">
        <v>0</v>
      </c>
      <c r="L545">
        <v>0</v>
      </c>
      <c r="M545">
        <v>0</v>
      </c>
      <c r="N545">
        <v>0</v>
      </c>
      <c r="O545" t="s">
        <v>3102</v>
      </c>
      <c r="P545" t="s">
        <v>3103</v>
      </c>
      <c r="Q545" t="s">
        <v>3104</v>
      </c>
    </row>
    <row r="546" spans="1:17" x14ac:dyDescent="0.25">
      <c r="A546" t="s">
        <v>867</v>
      </c>
      <c r="C546" t="s">
        <v>159</v>
      </c>
      <c r="D546">
        <v>103635</v>
      </c>
      <c r="E546">
        <v>-141346.4</v>
      </c>
      <c r="F546">
        <v>0</v>
      </c>
      <c r="G546">
        <v>-848078.4</v>
      </c>
      <c r="H546">
        <v>-563200.6</v>
      </c>
      <c r="I546">
        <v>60.09</v>
      </c>
      <c r="J546">
        <v>16365</v>
      </c>
      <c r="K546">
        <v>120000</v>
      </c>
      <c r="L546">
        <v>127500</v>
      </c>
      <c r="M546">
        <v>136425</v>
      </c>
      <c r="N546">
        <v>145974.75</v>
      </c>
      <c r="O546" t="s">
        <v>3102</v>
      </c>
      <c r="P546" t="s">
        <v>3103</v>
      </c>
      <c r="Q546" t="s">
        <v>3104</v>
      </c>
    </row>
    <row r="547" spans="1:17" x14ac:dyDescent="0.25">
      <c r="A547" t="s">
        <v>868</v>
      </c>
      <c r="C547" t="s">
        <v>164</v>
      </c>
      <c r="D547">
        <v>15692</v>
      </c>
      <c r="E547">
        <v>-141346.4</v>
      </c>
      <c r="F547">
        <v>0</v>
      </c>
      <c r="G547">
        <v>-848078.4</v>
      </c>
      <c r="H547">
        <v>-563200.6</v>
      </c>
      <c r="I547">
        <v>60.09</v>
      </c>
      <c r="J547">
        <v>0</v>
      </c>
      <c r="K547">
        <v>15692</v>
      </c>
      <c r="L547">
        <v>16672.75</v>
      </c>
      <c r="M547">
        <v>17839.842499999999</v>
      </c>
      <c r="N547">
        <v>19088.631474999998</v>
      </c>
      <c r="O547" t="s">
        <v>3102</v>
      </c>
      <c r="P547" t="s">
        <v>3103</v>
      </c>
      <c r="Q547" t="s">
        <v>3104</v>
      </c>
    </row>
    <row r="548" spans="1:17" x14ac:dyDescent="0.25">
      <c r="A548" t="s">
        <v>869</v>
      </c>
      <c r="C548" t="s">
        <v>167</v>
      </c>
      <c r="D548">
        <v>337</v>
      </c>
      <c r="E548">
        <v>-141346.4</v>
      </c>
      <c r="F548">
        <v>0</v>
      </c>
      <c r="G548">
        <v>-848078.4</v>
      </c>
      <c r="H548">
        <v>-563200.6</v>
      </c>
      <c r="I548">
        <v>60.09</v>
      </c>
      <c r="J548">
        <v>0</v>
      </c>
      <c r="K548">
        <v>337</v>
      </c>
      <c r="L548">
        <v>358.0625</v>
      </c>
      <c r="M548">
        <v>383.12687499999998</v>
      </c>
      <c r="N548">
        <v>409.94575624999999</v>
      </c>
      <c r="O548" t="s">
        <v>3102</v>
      </c>
      <c r="P548" t="s">
        <v>3103</v>
      </c>
      <c r="Q548" t="s">
        <v>3104</v>
      </c>
    </row>
    <row r="549" spans="1:17" x14ac:dyDescent="0.25">
      <c r="A549" t="s">
        <v>870</v>
      </c>
      <c r="C549" t="s">
        <v>168</v>
      </c>
      <c r="D549">
        <v>161725</v>
      </c>
      <c r="E549">
        <v>-141346.4</v>
      </c>
      <c r="F549">
        <v>0</v>
      </c>
      <c r="G549">
        <v>-848078.4</v>
      </c>
      <c r="H549">
        <v>-563200.6</v>
      </c>
      <c r="I549">
        <v>60.09</v>
      </c>
      <c r="J549">
        <v>-40000</v>
      </c>
      <c r="K549">
        <v>121725</v>
      </c>
      <c r="L549">
        <v>129332.8125</v>
      </c>
      <c r="M549">
        <v>138386.109375</v>
      </c>
      <c r="N549">
        <v>148073.13703124999</v>
      </c>
      <c r="O549" t="s">
        <v>3102</v>
      </c>
      <c r="P549" t="s">
        <v>3103</v>
      </c>
      <c r="Q549" t="s">
        <v>3104</v>
      </c>
    </row>
    <row r="550" spans="1:17" x14ac:dyDescent="0.25">
      <c r="A550" t="s">
        <v>871</v>
      </c>
      <c r="C550" t="s">
        <v>169</v>
      </c>
      <c r="D550">
        <v>273596</v>
      </c>
      <c r="E550">
        <v>-141346.4</v>
      </c>
      <c r="F550">
        <v>0</v>
      </c>
      <c r="G550">
        <v>-848078.4</v>
      </c>
      <c r="H550">
        <v>-563200.6</v>
      </c>
      <c r="I550">
        <v>60.09</v>
      </c>
      <c r="J550">
        <v>0</v>
      </c>
      <c r="K550">
        <v>273596</v>
      </c>
      <c r="L550">
        <v>290695.75</v>
      </c>
      <c r="M550">
        <v>311044.45250000001</v>
      </c>
      <c r="N550">
        <v>332817.56417500001</v>
      </c>
      <c r="O550" t="s">
        <v>3102</v>
      </c>
      <c r="P550" t="s">
        <v>3103</v>
      </c>
      <c r="Q550" t="s">
        <v>3104</v>
      </c>
    </row>
    <row r="551" spans="1:17" x14ac:dyDescent="0.25">
      <c r="A551" t="s">
        <v>872</v>
      </c>
      <c r="C551" t="s">
        <v>170</v>
      </c>
      <c r="D551">
        <v>5355</v>
      </c>
      <c r="E551">
        <v>-141346.4</v>
      </c>
      <c r="F551">
        <v>0</v>
      </c>
      <c r="G551">
        <v>-848078.4</v>
      </c>
      <c r="H551">
        <v>-563200.6</v>
      </c>
      <c r="I551">
        <v>60.09</v>
      </c>
      <c r="J551">
        <v>0</v>
      </c>
      <c r="K551">
        <v>5355</v>
      </c>
      <c r="L551">
        <v>5689.6875</v>
      </c>
      <c r="M551">
        <v>6087.9656249999998</v>
      </c>
      <c r="N551">
        <v>6514.12321875</v>
      </c>
      <c r="O551" t="s">
        <v>3102</v>
      </c>
      <c r="P551" t="s">
        <v>3103</v>
      </c>
      <c r="Q551" t="s">
        <v>3104</v>
      </c>
    </row>
    <row r="552" spans="1:17" x14ac:dyDescent="0.25">
      <c r="A552" t="s">
        <v>873</v>
      </c>
      <c r="C552" t="s">
        <v>173</v>
      </c>
      <c r="D552">
        <v>11813</v>
      </c>
      <c r="E552">
        <v>-141346.4</v>
      </c>
      <c r="F552">
        <v>0</v>
      </c>
      <c r="G552">
        <v>-848078.4</v>
      </c>
      <c r="H552">
        <v>-563200.6</v>
      </c>
      <c r="I552">
        <v>60.09</v>
      </c>
      <c r="J552">
        <v>0</v>
      </c>
      <c r="K552">
        <v>11813</v>
      </c>
      <c r="L552">
        <v>12551.3125</v>
      </c>
      <c r="M552">
        <v>13429.904375</v>
      </c>
      <c r="N552">
        <v>14369.997681250001</v>
      </c>
      <c r="O552" t="s">
        <v>3102</v>
      </c>
      <c r="P552" t="s">
        <v>3103</v>
      </c>
      <c r="Q552" t="s">
        <v>3111</v>
      </c>
    </row>
    <row r="553" spans="1:17" x14ac:dyDescent="0.25">
      <c r="A553" t="s">
        <v>874</v>
      </c>
      <c r="C553" t="s">
        <v>174</v>
      </c>
      <c r="D553">
        <v>13427</v>
      </c>
      <c r="E553">
        <v>-141346.4</v>
      </c>
      <c r="F553">
        <v>0</v>
      </c>
      <c r="G553">
        <v>-848078.4</v>
      </c>
      <c r="H553">
        <v>-563200.6</v>
      </c>
      <c r="I553">
        <v>60.09</v>
      </c>
      <c r="J553">
        <v>0</v>
      </c>
      <c r="K553">
        <v>13427</v>
      </c>
      <c r="L553">
        <v>14266.1875</v>
      </c>
      <c r="M553">
        <v>15264.820625</v>
      </c>
      <c r="N553">
        <v>16333.35806875</v>
      </c>
      <c r="O553" t="s">
        <v>3102</v>
      </c>
      <c r="P553" t="s">
        <v>3103</v>
      </c>
      <c r="Q553" t="s">
        <v>3111</v>
      </c>
    </row>
    <row r="554" spans="1:17" x14ac:dyDescent="0.25">
      <c r="A554" t="s">
        <v>875</v>
      </c>
      <c r="C554" t="s">
        <v>175</v>
      </c>
      <c r="D554">
        <v>20916</v>
      </c>
      <c r="E554">
        <v>-141346.4</v>
      </c>
      <c r="F554">
        <v>0</v>
      </c>
      <c r="G554">
        <v>-848078.4</v>
      </c>
      <c r="H554">
        <v>-563200.6</v>
      </c>
      <c r="I554">
        <v>60.09</v>
      </c>
      <c r="J554">
        <v>0</v>
      </c>
      <c r="K554">
        <v>20916</v>
      </c>
      <c r="L554">
        <v>22223.25</v>
      </c>
      <c r="M554">
        <v>23778.877499999999</v>
      </c>
      <c r="N554">
        <v>25443.398924999998</v>
      </c>
      <c r="O554" t="s">
        <v>3102</v>
      </c>
      <c r="P554" t="s">
        <v>3103</v>
      </c>
      <c r="Q554" t="s">
        <v>3111</v>
      </c>
    </row>
    <row r="555" spans="1:17" x14ac:dyDescent="0.25">
      <c r="A555" t="s">
        <v>876</v>
      </c>
      <c r="C555" t="s">
        <v>265</v>
      </c>
      <c r="D555">
        <v>0</v>
      </c>
      <c r="E555">
        <v>-141346.4</v>
      </c>
      <c r="F555">
        <v>0</v>
      </c>
      <c r="G555">
        <v>-848078.4</v>
      </c>
      <c r="H555">
        <v>-563200.6</v>
      </c>
      <c r="I555">
        <v>60.09</v>
      </c>
      <c r="J555">
        <v>20000</v>
      </c>
      <c r="K555">
        <v>20000</v>
      </c>
      <c r="L555">
        <v>20900</v>
      </c>
      <c r="M555">
        <v>21861.4</v>
      </c>
      <c r="N555">
        <v>22867.024400000002</v>
      </c>
      <c r="O555" t="s">
        <v>3102</v>
      </c>
      <c r="P555" t="s">
        <v>3110</v>
      </c>
      <c r="Q555" t="s">
        <v>3104</v>
      </c>
    </row>
    <row r="556" spans="1:17" x14ac:dyDescent="0.25">
      <c r="A556" t="s">
        <v>877</v>
      </c>
      <c r="C556" t="s">
        <v>268</v>
      </c>
      <c r="D556">
        <v>0</v>
      </c>
      <c r="E556">
        <v>-141346.4</v>
      </c>
      <c r="F556">
        <v>0</v>
      </c>
      <c r="G556">
        <v>-848078.4</v>
      </c>
      <c r="H556">
        <v>-563200.6</v>
      </c>
      <c r="I556">
        <v>60.09</v>
      </c>
      <c r="J556">
        <v>50000</v>
      </c>
      <c r="K556">
        <v>50000</v>
      </c>
      <c r="L556">
        <v>52250</v>
      </c>
      <c r="M556">
        <v>54653.5</v>
      </c>
      <c r="N556">
        <v>57167.561000000002</v>
      </c>
      <c r="O556" t="s">
        <v>3102</v>
      </c>
      <c r="P556" t="s">
        <v>3110</v>
      </c>
      <c r="Q556" t="s">
        <v>3104</v>
      </c>
    </row>
    <row r="557" spans="1:17" x14ac:dyDescent="0.25">
      <c r="A557" t="s">
        <v>878</v>
      </c>
      <c r="C557" t="s">
        <v>283</v>
      </c>
      <c r="D557">
        <v>0</v>
      </c>
      <c r="E557">
        <v>-141346.4</v>
      </c>
      <c r="F557">
        <v>0</v>
      </c>
      <c r="G557">
        <v>-848078.4</v>
      </c>
      <c r="H557">
        <v>-563200.6</v>
      </c>
      <c r="I557">
        <v>60.09</v>
      </c>
      <c r="J557">
        <v>0</v>
      </c>
      <c r="K557">
        <v>0</v>
      </c>
      <c r="L557">
        <v>0</v>
      </c>
      <c r="M557">
        <v>0</v>
      </c>
      <c r="O557" t="s">
        <v>3102</v>
      </c>
      <c r="P557" t="s">
        <v>3105</v>
      </c>
      <c r="Q557" t="s">
        <v>3106</v>
      </c>
    </row>
    <row r="558" spans="1:17" x14ac:dyDescent="0.25">
      <c r="A558" t="s">
        <v>879</v>
      </c>
      <c r="C558" t="s">
        <v>291</v>
      </c>
      <c r="D558">
        <v>0</v>
      </c>
      <c r="E558">
        <v>-141346.4</v>
      </c>
      <c r="F558">
        <v>0</v>
      </c>
      <c r="G558">
        <v>-848078.4</v>
      </c>
      <c r="H558">
        <v>-563200.6</v>
      </c>
      <c r="I558">
        <v>60.09</v>
      </c>
      <c r="J558">
        <v>0</v>
      </c>
      <c r="K558">
        <v>0</v>
      </c>
      <c r="L558">
        <v>0</v>
      </c>
      <c r="M558">
        <v>0</v>
      </c>
      <c r="O558" t="s">
        <v>3102</v>
      </c>
      <c r="P558" t="s">
        <v>3117</v>
      </c>
      <c r="Q558" t="s">
        <v>3111</v>
      </c>
    </row>
    <row r="559" spans="1:17" x14ac:dyDescent="0.25">
      <c r="A559" t="s">
        <v>880</v>
      </c>
      <c r="C559" t="s">
        <v>292</v>
      </c>
      <c r="D559">
        <v>3371</v>
      </c>
      <c r="E559">
        <v>-141346.4</v>
      </c>
      <c r="F559">
        <v>0</v>
      </c>
      <c r="G559">
        <v>-848078.4</v>
      </c>
      <c r="H559">
        <v>-563200.6</v>
      </c>
      <c r="I559">
        <v>60.09</v>
      </c>
      <c r="J559">
        <v>0</v>
      </c>
      <c r="K559">
        <v>3371</v>
      </c>
      <c r="L559">
        <v>3522.6950000000002</v>
      </c>
      <c r="M559">
        <v>3684.7389700000003</v>
      </c>
      <c r="N559">
        <v>3854.2369626200002</v>
      </c>
      <c r="O559" t="s">
        <v>3102</v>
      </c>
      <c r="P559" t="s">
        <v>3117</v>
      </c>
      <c r="Q559" t="s">
        <v>3111</v>
      </c>
    </row>
    <row r="560" spans="1:17" x14ac:dyDescent="0.25">
      <c r="A560" t="s">
        <v>881</v>
      </c>
      <c r="C560" t="s">
        <v>293</v>
      </c>
      <c r="D560">
        <v>268</v>
      </c>
      <c r="E560">
        <v>-141346.4</v>
      </c>
      <c r="F560">
        <v>0</v>
      </c>
      <c r="G560">
        <v>-848078.4</v>
      </c>
      <c r="H560">
        <v>-563200.6</v>
      </c>
      <c r="I560">
        <v>60.09</v>
      </c>
      <c r="J560">
        <v>0</v>
      </c>
      <c r="K560">
        <v>268</v>
      </c>
      <c r="L560">
        <v>280.06</v>
      </c>
      <c r="M560">
        <v>292.94276000000002</v>
      </c>
      <c r="N560">
        <v>306.41812696</v>
      </c>
      <c r="O560" t="s">
        <v>3102</v>
      </c>
      <c r="P560" t="s">
        <v>3117</v>
      </c>
      <c r="Q560" t="s">
        <v>3111</v>
      </c>
    </row>
    <row r="561" spans="1:17" x14ac:dyDescent="0.25">
      <c r="A561" t="s">
        <v>882</v>
      </c>
      <c r="C561" t="s">
        <v>883</v>
      </c>
      <c r="D561">
        <v>350000</v>
      </c>
      <c r="E561">
        <v>-141346.4</v>
      </c>
      <c r="F561">
        <v>0</v>
      </c>
      <c r="G561">
        <v>-848078.4</v>
      </c>
      <c r="H561">
        <v>-563200.6</v>
      </c>
      <c r="I561">
        <v>60.09</v>
      </c>
      <c r="J561">
        <v>-350000</v>
      </c>
      <c r="K561">
        <v>0</v>
      </c>
      <c r="L561">
        <v>350000</v>
      </c>
      <c r="M561">
        <v>0</v>
      </c>
      <c r="O561" t="s">
        <v>3118</v>
      </c>
      <c r="Q561" t="s">
        <v>3182</v>
      </c>
    </row>
    <row r="562" spans="1:17" x14ac:dyDescent="0.25">
      <c r="A562" t="s">
        <v>885</v>
      </c>
      <c r="C562" t="s">
        <v>58</v>
      </c>
      <c r="D562">
        <v>-18666</v>
      </c>
      <c r="E562">
        <v>-2474.44</v>
      </c>
      <c r="F562">
        <v>0</v>
      </c>
      <c r="G562">
        <v>-14202.7</v>
      </c>
      <c r="H562">
        <v>-4463.3</v>
      </c>
      <c r="I562">
        <v>76.08</v>
      </c>
      <c r="J562">
        <v>0</v>
      </c>
      <c r="K562">
        <v>-28405</v>
      </c>
      <c r="L562">
        <v>-29796.845000000001</v>
      </c>
      <c r="M562">
        <v>-31227.093560000001</v>
      </c>
      <c r="N562">
        <v>-32725.994050880003</v>
      </c>
      <c r="O562" t="s">
        <v>3100</v>
      </c>
      <c r="Q562" t="s">
        <v>3177</v>
      </c>
    </row>
    <row r="563" spans="1:17" x14ac:dyDescent="0.25">
      <c r="A563" t="s">
        <v>886</v>
      </c>
      <c r="C563" t="s">
        <v>74</v>
      </c>
      <c r="D563">
        <v>-18426329</v>
      </c>
      <c r="E563">
        <v>0</v>
      </c>
      <c r="F563">
        <v>0</v>
      </c>
      <c r="G563">
        <v>0</v>
      </c>
      <c r="H563">
        <v>-18426329</v>
      </c>
      <c r="I563">
        <v>0</v>
      </c>
      <c r="J563">
        <v>0</v>
      </c>
      <c r="K563">
        <v>-20255136</v>
      </c>
      <c r="L563">
        <v>-18136655</v>
      </c>
      <c r="M563">
        <v>-7651199.129999999</v>
      </c>
      <c r="N563">
        <v>-7800594.289979999</v>
      </c>
      <c r="O563" t="s">
        <v>3100</v>
      </c>
      <c r="Q563" t="s">
        <v>3121</v>
      </c>
    </row>
    <row r="564" spans="1:17" x14ac:dyDescent="0.25">
      <c r="A564" t="s">
        <v>887</v>
      </c>
      <c r="C564" t="s">
        <v>150</v>
      </c>
      <c r="D564">
        <v>2395771</v>
      </c>
      <c r="E564">
        <v>-141346.4</v>
      </c>
      <c r="F564">
        <v>0</v>
      </c>
      <c r="G564">
        <v>-848078.4</v>
      </c>
      <c r="H564">
        <v>-563200.6</v>
      </c>
      <c r="I564">
        <v>60.09</v>
      </c>
      <c r="J564">
        <v>0</v>
      </c>
      <c r="K564">
        <v>2395771</v>
      </c>
      <c r="L564">
        <v>2545506.6875</v>
      </c>
      <c r="M564">
        <v>2723692.1556250001</v>
      </c>
      <c r="N564">
        <v>2914350.6065187501</v>
      </c>
      <c r="O564" t="s">
        <v>3102</v>
      </c>
      <c r="P564" t="s">
        <v>3103</v>
      </c>
      <c r="Q564" t="s">
        <v>3104</v>
      </c>
    </row>
    <row r="565" spans="1:17" x14ac:dyDescent="0.25">
      <c r="A565" t="s">
        <v>888</v>
      </c>
      <c r="C565" t="s">
        <v>150</v>
      </c>
      <c r="D565">
        <v>80600</v>
      </c>
      <c r="E565">
        <v>-141346.4</v>
      </c>
      <c r="F565">
        <v>0</v>
      </c>
      <c r="G565">
        <v>-848078.4</v>
      </c>
      <c r="H565">
        <v>-563200.6</v>
      </c>
      <c r="I565">
        <v>60.09</v>
      </c>
      <c r="J565">
        <v>0</v>
      </c>
      <c r="K565">
        <v>80600</v>
      </c>
      <c r="L565">
        <v>85637.5</v>
      </c>
      <c r="M565">
        <v>91632.125</v>
      </c>
      <c r="N565">
        <v>98046.373749999999</v>
      </c>
      <c r="O565" t="s">
        <v>3102</v>
      </c>
      <c r="P565" t="s">
        <v>3103</v>
      </c>
      <c r="Q565" t="s">
        <v>3160</v>
      </c>
    </row>
    <row r="566" spans="1:17" x14ac:dyDescent="0.25">
      <c r="A566" t="s">
        <v>889</v>
      </c>
      <c r="C566" t="s">
        <v>151</v>
      </c>
      <c r="D566">
        <v>119789</v>
      </c>
      <c r="E566">
        <v>-141346.4</v>
      </c>
      <c r="F566">
        <v>0</v>
      </c>
      <c r="G566">
        <v>-848078.4</v>
      </c>
      <c r="H566">
        <v>-563200.6</v>
      </c>
      <c r="I566">
        <v>60.09</v>
      </c>
      <c r="J566">
        <v>-52052.280000000013</v>
      </c>
      <c r="K566">
        <v>67736.719999999987</v>
      </c>
      <c r="L566">
        <v>71970.264999999985</v>
      </c>
      <c r="M566">
        <v>77008.183549999987</v>
      </c>
      <c r="N566">
        <v>82398.756398499987</v>
      </c>
      <c r="O566" t="s">
        <v>3102</v>
      </c>
      <c r="P566" t="s">
        <v>3103</v>
      </c>
      <c r="Q566" t="s">
        <v>3104</v>
      </c>
    </row>
    <row r="567" spans="1:17" x14ac:dyDescent="0.25">
      <c r="A567" t="s">
        <v>890</v>
      </c>
      <c r="C567" t="s">
        <v>152</v>
      </c>
      <c r="D567">
        <v>38100</v>
      </c>
      <c r="E567">
        <v>-141346.4</v>
      </c>
      <c r="F567">
        <v>0</v>
      </c>
      <c r="G567">
        <v>-848078.4</v>
      </c>
      <c r="H567">
        <v>-563200.6</v>
      </c>
      <c r="I567">
        <v>60.09</v>
      </c>
      <c r="J567">
        <v>0</v>
      </c>
      <c r="K567">
        <v>38100</v>
      </c>
      <c r="L567">
        <v>40481.25</v>
      </c>
      <c r="M567">
        <v>43314.9375</v>
      </c>
      <c r="N567">
        <v>46346.983124999999</v>
      </c>
      <c r="O567" t="s">
        <v>3102</v>
      </c>
      <c r="P567" t="s">
        <v>3103</v>
      </c>
      <c r="Q567" t="s">
        <v>3104</v>
      </c>
    </row>
    <row r="568" spans="1:17" x14ac:dyDescent="0.25">
      <c r="A568" t="s">
        <v>891</v>
      </c>
      <c r="C568" t="s">
        <v>153</v>
      </c>
      <c r="D568">
        <v>10893</v>
      </c>
      <c r="E568">
        <v>-141346.4</v>
      </c>
      <c r="F568">
        <v>0</v>
      </c>
      <c r="G568">
        <v>-848078.4</v>
      </c>
      <c r="H568">
        <v>-563200.6</v>
      </c>
      <c r="I568">
        <v>60.09</v>
      </c>
      <c r="J568">
        <v>0</v>
      </c>
      <c r="K568">
        <v>10893</v>
      </c>
      <c r="L568">
        <v>11573.8125</v>
      </c>
      <c r="M568">
        <v>12383.979375000001</v>
      </c>
      <c r="N568">
        <v>13250.857931250001</v>
      </c>
      <c r="O568" t="s">
        <v>3102</v>
      </c>
      <c r="P568" t="s">
        <v>3103</v>
      </c>
      <c r="Q568" t="s">
        <v>3104</v>
      </c>
    </row>
    <row r="569" spans="1:17" x14ac:dyDescent="0.25">
      <c r="A569" t="s">
        <v>892</v>
      </c>
      <c r="C569" t="s">
        <v>155</v>
      </c>
      <c r="D569">
        <v>83636</v>
      </c>
      <c r="E569">
        <v>-141346.4</v>
      </c>
      <c r="F569">
        <v>0</v>
      </c>
      <c r="G569">
        <v>-848078.4</v>
      </c>
      <c r="H569">
        <v>-563200.6</v>
      </c>
      <c r="I569">
        <v>60.09</v>
      </c>
      <c r="J569">
        <v>0</v>
      </c>
      <c r="K569">
        <v>83636</v>
      </c>
      <c r="L569">
        <v>88863.25</v>
      </c>
      <c r="M569">
        <v>95083.677500000005</v>
      </c>
      <c r="N569">
        <v>101739.534925</v>
      </c>
      <c r="O569" t="s">
        <v>3102</v>
      </c>
      <c r="P569" t="s">
        <v>3103</v>
      </c>
      <c r="Q569" t="s">
        <v>3104</v>
      </c>
    </row>
    <row r="570" spans="1:17" x14ac:dyDescent="0.25">
      <c r="A570" t="s">
        <v>893</v>
      </c>
      <c r="C570" t="s">
        <v>156</v>
      </c>
      <c r="D570">
        <v>277507</v>
      </c>
      <c r="E570">
        <v>-141346.4</v>
      </c>
      <c r="F570">
        <v>0</v>
      </c>
      <c r="G570">
        <v>-848078.4</v>
      </c>
      <c r="H570">
        <v>-563200.6</v>
      </c>
      <c r="I570">
        <v>60.09</v>
      </c>
      <c r="J570">
        <v>0</v>
      </c>
      <c r="K570">
        <v>277507</v>
      </c>
      <c r="L570">
        <v>294851.1875</v>
      </c>
      <c r="M570">
        <v>315490.770625</v>
      </c>
      <c r="N570">
        <v>337575.12456875003</v>
      </c>
      <c r="O570" t="s">
        <v>3102</v>
      </c>
      <c r="P570" t="s">
        <v>3103</v>
      </c>
      <c r="Q570" t="s">
        <v>3104</v>
      </c>
    </row>
    <row r="571" spans="1:17" x14ac:dyDescent="0.25">
      <c r="A571" t="s">
        <v>894</v>
      </c>
      <c r="C571" t="s">
        <v>157</v>
      </c>
      <c r="D571">
        <v>59936</v>
      </c>
      <c r="E571">
        <v>-141346.4</v>
      </c>
      <c r="F571">
        <v>0</v>
      </c>
      <c r="G571">
        <v>-848078.4</v>
      </c>
      <c r="H571">
        <v>-563200.6</v>
      </c>
      <c r="I571">
        <v>60.09</v>
      </c>
      <c r="J571">
        <v>0</v>
      </c>
      <c r="K571">
        <v>59936</v>
      </c>
      <c r="L571">
        <v>63682</v>
      </c>
      <c r="M571">
        <v>68139.740000000005</v>
      </c>
      <c r="N571">
        <v>72909.521800000002</v>
      </c>
      <c r="O571" t="s">
        <v>3102</v>
      </c>
      <c r="P571" t="s">
        <v>3103</v>
      </c>
      <c r="Q571" t="s">
        <v>3104</v>
      </c>
    </row>
    <row r="572" spans="1:17" x14ac:dyDescent="0.25">
      <c r="A572" t="s">
        <v>895</v>
      </c>
      <c r="C572" t="s">
        <v>158</v>
      </c>
      <c r="D572">
        <v>12540</v>
      </c>
      <c r="E572">
        <v>-141346.4</v>
      </c>
      <c r="F572">
        <v>0</v>
      </c>
      <c r="G572">
        <v>-848078.4</v>
      </c>
      <c r="H572">
        <v>-563200.6</v>
      </c>
      <c r="I572">
        <v>60.09</v>
      </c>
      <c r="J572">
        <v>0</v>
      </c>
      <c r="K572">
        <v>12540</v>
      </c>
      <c r="L572">
        <v>13323.75</v>
      </c>
      <c r="M572">
        <v>14256.4125</v>
      </c>
      <c r="N572">
        <v>15254.361375</v>
      </c>
      <c r="O572" t="s">
        <v>3102</v>
      </c>
      <c r="P572" t="s">
        <v>3103</v>
      </c>
      <c r="Q572" t="s">
        <v>3104</v>
      </c>
    </row>
    <row r="573" spans="1:17" x14ac:dyDescent="0.25">
      <c r="A573" t="s">
        <v>896</v>
      </c>
      <c r="C573" t="s">
        <v>159</v>
      </c>
      <c r="D573">
        <v>199648</v>
      </c>
      <c r="E573">
        <v>-141346.4</v>
      </c>
      <c r="F573">
        <v>0</v>
      </c>
      <c r="G573">
        <v>-848078.4</v>
      </c>
      <c r="H573">
        <v>-563200.6</v>
      </c>
      <c r="I573">
        <v>60.09</v>
      </c>
      <c r="J573">
        <v>0</v>
      </c>
      <c r="K573">
        <v>199648</v>
      </c>
      <c r="L573">
        <v>212126</v>
      </c>
      <c r="M573">
        <v>226974.82</v>
      </c>
      <c r="N573">
        <v>242863.05740000002</v>
      </c>
      <c r="O573" t="s">
        <v>3102</v>
      </c>
      <c r="P573" t="s">
        <v>3103</v>
      </c>
      <c r="Q573" t="s">
        <v>3104</v>
      </c>
    </row>
    <row r="574" spans="1:17" x14ac:dyDescent="0.25">
      <c r="A574" t="s">
        <v>897</v>
      </c>
      <c r="C574" t="s">
        <v>161</v>
      </c>
      <c r="D574">
        <v>21018</v>
      </c>
      <c r="E574">
        <v>-141346.4</v>
      </c>
      <c r="F574">
        <v>0</v>
      </c>
      <c r="G574">
        <v>-848078.4</v>
      </c>
      <c r="H574">
        <v>-563200.6</v>
      </c>
      <c r="I574">
        <v>60.09</v>
      </c>
      <c r="J574">
        <v>0</v>
      </c>
      <c r="K574">
        <v>21018</v>
      </c>
      <c r="L574">
        <v>22331.625</v>
      </c>
      <c r="M574">
        <v>23894.838749999999</v>
      </c>
      <c r="N574">
        <v>25567.477462499999</v>
      </c>
      <c r="O574" t="s">
        <v>3102</v>
      </c>
      <c r="P574" t="s">
        <v>3103</v>
      </c>
      <c r="Q574" t="s">
        <v>3104</v>
      </c>
    </row>
    <row r="575" spans="1:17" x14ac:dyDescent="0.25">
      <c r="A575" t="s">
        <v>898</v>
      </c>
      <c r="C575" t="s">
        <v>164</v>
      </c>
      <c r="D575">
        <v>15692</v>
      </c>
      <c r="E575">
        <v>-141346.4</v>
      </c>
      <c r="F575">
        <v>0</v>
      </c>
      <c r="G575">
        <v>-848078.4</v>
      </c>
      <c r="H575">
        <v>-563200.6</v>
      </c>
      <c r="I575">
        <v>60.09</v>
      </c>
      <c r="J575">
        <v>0</v>
      </c>
      <c r="K575">
        <v>15692</v>
      </c>
      <c r="L575">
        <v>16672.75</v>
      </c>
      <c r="M575">
        <v>17839.842499999999</v>
      </c>
      <c r="N575">
        <v>19088.631474999998</v>
      </c>
      <c r="O575" t="s">
        <v>3102</v>
      </c>
      <c r="P575" t="s">
        <v>3103</v>
      </c>
      <c r="Q575" t="s">
        <v>3104</v>
      </c>
    </row>
    <row r="576" spans="1:17" x14ac:dyDescent="0.25">
      <c r="A576" t="s">
        <v>899</v>
      </c>
      <c r="C576" t="s">
        <v>167</v>
      </c>
      <c r="D576">
        <v>1011</v>
      </c>
      <c r="E576">
        <v>-141346.4</v>
      </c>
      <c r="F576">
        <v>0</v>
      </c>
      <c r="G576">
        <v>-848078.4</v>
      </c>
      <c r="H576">
        <v>-563200.6</v>
      </c>
      <c r="I576">
        <v>60.09</v>
      </c>
      <c r="J576">
        <v>0</v>
      </c>
      <c r="K576">
        <v>1011</v>
      </c>
      <c r="L576">
        <v>1074.1875</v>
      </c>
      <c r="M576">
        <v>1149.380625</v>
      </c>
      <c r="N576">
        <v>1229.83726875</v>
      </c>
      <c r="O576" t="s">
        <v>3102</v>
      </c>
      <c r="P576" t="s">
        <v>3103</v>
      </c>
      <c r="Q576" t="s">
        <v>3104</v>
      </c>
    </row>
    <row r="577" spans="1:17" x14ac:dyDescent="0.25">
      <c r="A577" t="s">
        <v>900</v>
      </c>
      <c r="C577" t="s">
        <v>168</v>
      </c>
      <c r="D577">
        <v>431265</v>
      </c>
      <c r="E577">
        <v>-141346.4</v>
      </c>
      <c r="F577">
        <v>0</v>
      </c>
      <c r="G577">
        <v>-848078.4</v>
      </c>
      <c r="H577">
        <v>-563200.6</v>
      </c>
      <c r="I577">
        <v>60.09</v>
      </c>
      <c r="J577">
        <v>-200000</v>
      </c>
      <c r="K577">
        <v>231265</v>
      </c>
      <c r="L577">
        <v>245719.0625</v>
      </c>
      <c r="M577">
        <v>262919.39687499998</v>
      </c>
      <c r="N577">
        <v>281323.75465624995</v>
      </c>
      <c r="O577" t="s">
        <v>3102</v>
      </c>
      <c r="P577" t="s">
        <v>3103</v>
      </c>
      <c r="Q577" t="s">
        <v>3104</v>
      </c>
    </row>
    <row r="578" spans="1:17" x14ac:dyDescent="0.25">
      <c r="A578" t="s">
        <v>901</v>
      </c>
      <c r="C578" t="s">
        <v>169</v>
      </c>
      <c r="D578">
        <v>527070</v>
      </c>
      <c r="E578">
        <v>-141346.4</v>
      </c>
      <c r="F578">
        <v>0</v>
      </c>
      <c r="G578">
        <v>-848078.4</v>
      </c>
      <c r="H578">
        <v>-563200.6</v>
      </c>
      <c r="I578">
        <v>60.09</v>
      </c>
      <c r="J578">
        <v>0</v>
      </c>
      <c r="K578">
        <v>527070</v>
      </c>
      <c r="L578">
        <v>560011.875</v>
      </c>
      <c r="M578">
        <v>599212.70625000005</v>
      </c>
      <c r="N578">
        <v>641157.59568750008</v>
      </c>
      <c r="O578" t="s">
        <v>3102</v>
      </c>
      <c r="P578" t="s">
        <v>3103</v>
      </c>
      <c r="Q578" t="s">
        <v>3104</v>
      </c>
    </row>
    <row r="579" spans="1:17" x14ac:dyDescent="0.25">
      <c r="A579" t="s">
        <v>902</v>
      </c>
      <c r="C579" t="s">
        <v>170</v>
      </c>
      <c r="D579">
        <v>14280</v>
      </c>
      <c r="E579">
        <v>-141346.4</v>
      </c>
      <c r="F579">
        <v>0</v>
      </c>
      <c r="G579">
        <v>-848078.4</v>
      </c>
      <c r="H579">
        <v>-563200.6</v>
      </c>
      <c r="I579">
        <v>60.09</v>
      </c>
      <c r="J579">
        <v>0</v>
      </c>
      <c r="K579">
        <v>14280</v>
      </c>
      <c r="L579">
        <v>15172.5</v>
      </c>
      <c r="M579">
        <v>16234.575000000001</v>
      </c>
      <c r="N579">
        <v>17370.99525</v>
      </c>
      <c r="O579" t="s">
        <v>3102</v>
      </c>
      <c r="P579" t="s">
        <v>3103</v>
      </c>
      <c r="Q579" t="s">
        <v>3104</v>
      </c>
    </row>
    <row r="580" spans="1:17" x14ac:dyDescent="0.25">
      <c r="A580" t="s">
        <v>903</v>
      </c>
      <c r="C580" t="s">
        <v>170</v>
      </c>
      <c r="D580">
        <v>0</v>
      </c>
      <c r="E580">
        <v>-141346.4</v>
      </c>
      <c r="F580">
        <v>0</v>
      </c>
      <c r="G580">
        <v>-848078.4</v>
      </c>
      <c r="H580">
        <v>-563200.6</v>
      </c>
      <c r="I580">
        <v>60.09</v>
      </c>
      <c r="J580">
        <v>0</v>
      </c>
      <c r="K580">
        <v>0</v>
      </c>
      <c r="L580">
        <v>0</v>
      </c>
      <c r="M580">
        <v>0</v>
      </c>
      <c r="O580" t="s">
        <v>3102</v>
      </c>
      <c r="P580" t="s">
        <v>3103</v>
      </c>
      <c r="Q580" t="s">
        <v>3160</v>
      </c>
    </row>
    <row r="581" spans="1:17" x14ac:dyDescent="0.25">
      <c r="A581" t="s">
        <v>904</v>
      </c>
      <c r="C581" t="s">
        <v>173</v>
      </c>
      <c r="D581">
        <v>41616</v>
      </c>
      <c r="E581">
        <v>-141346.4</v>
      </c>
      <c r="F581">
        <v>0</v>
      </c>
      <c r="G581">
        <v>-848078.4</v>
      </c>
      <c r="H581">
        <v>-563200.6</v>
      </c>
      <c r="I581">
        <v>60.09</v>
      </c>
      <c r="J581">
        <v>0</v>
      </c>
      <c r="K581">
        <v>41616</v>
      </c>
      <c r="L581">
        <v>44217</v>
      </c>
      <c r="M581">
        <v>47312.19</v>
      </c>
      <c r="N581">
        <v>50624.043300000005</v>
      </c>
      <c r="O581" t="s">
        <v>3102</v>
      </c>
      <c r="P581" t="s">
        <v>3103</v>
      </c>
      <c r="Q581" t="s">
        <v>3111</v>
      </c>
    </row>
    <row r="582" spans="1:17" x14ac:dyDescent="0.25">
      <c r="A582" t="s">
        <v>905</v>
      </c>
      <c r="C582" t="s">
        <v>174</v>
      </c>
      <c r="D582">
        <v>54019</v>
      </c>
      <c r="E582">
        <v>-141346.4</v>
      </c>
      <c r="F582">
        <v>0</v>
      </c>
      <c r="G582">
        <v>-848078.4</v>
      </c>
      <c r="H582">
        <v>-563200.6</v>
      </c>
      <c r="I582">
        <v>60.09</v>
      </c>
      <c r="J582">
        <v>0</v>
      </c>
      <c r="K582">
        <v>54019</v>
      </c>
      <c r="L582">
        <v>57395.1875</v>
      </c>
      <c r="M582">
        <v>61412.850624999999</v>
      </c>
      <c r="N582">
        <v>65711.750168750004</v>
      </c>
      <c r="O582" t="s">
        <v>3102</v>
      </c>
      <c r="P582" t="s">
        <v>3103</v>
      </c>
      <c r="Q582" t="s">
        <v>3111</v>
      </c>
    </row>
    <row r="583" spans="1:17" x14ac:dyDescent="0.25">
      <c r="A583" t="s">
        <v>906</v>
      </c>
      <c r="C583" t="s">
        <v>175</v>
      </c>
      <c r="D583">
        <v>39314</v>
      </c>
      <c r="E583">
        <v>-141346.4</v>
      </c>
      <c r="F583">
        <v>0</v>
      </c>
      <c r="G583">
        <v>-848078.4</v>
      </c>
      <c r="H583">
        <v>-563200.6</v>
      </c>
      <c r="I583">
        <v>60.09</v>
      </c>
      <c r="J583">
        <v>0</v>
      </c>
      <c r="K583">
        <v>39314</v>
      </c>
      <c r="L583">
        <v>41771.125</v>
      </c>
      <c r="M583">
        <v>44695.103750000002</v>
      </c>
      <c r="N583">
        <v>47823.761012499999</v>
      </c>
      <c r="O583" t="s">
        <v>3102</v>
      </c>
      <c r="P583" t="s">
        <v>3103</v>
      </c>
      <c r="Q583" t="s">
        <v>3111</v>
      </c>
    </row>
    <row r="584" spans="1:17" x14ac:dyDescent="0.25">
      <c r="A584" t="s">
        <v>3078</v>
      </c>
      <c r="C584" t="s">
        <v>3063</v>
      </c>
      <c r="D584">
        <v>0</v>
      </c>
      <c r="K584">
        <v>0</v>
      </c>
      <c r="L584">
        <v>800000</v>
      </c>
      <c r="M584">
        <v>0</v>
      </c>
      <c r="N584">
        <v>0</v>
      </c>
      <c r="O584" t="s">
        <v>3102</v>
      </c>
      <c r="P584" t="s">
        <v>3105</v>
      </c>
      <c r="Q584" t="s">
        <v>3183</v>
      </c>
    </row>
    <row r="585" spans="1:17" x14ac:dyDescent="0.25">
      <c r="A585" t="s">
        <v>907</v>
      </c>
      <c r="C585" t="s">
        <v>212</v>
      </c>
      <c r="D585">
        <v>205000</v>
      </c>
      <c r="E585">
        <v>-141346.4</v>
      </c>
      <c r="F585">
        <v>0</v>
      </c>
      <c r="G585">
        <v>-848078.4</v>
      </c>
      <c r="H585">
        <v>-563200.6</v>
      </c>
      <c r="I585">
        <v>60.09</v>
      </c>
      <c r="J585">
        <v>200000</v>
      </c>
      <c r="K585">
        <v>405000</v>
      </c>
      <c r="L585">
        <v>200000</v>
      </c>
      <c r="M585">
        <v>209200</v>
      </c>
      <c r="N585">
        <v>218823.2</v>
      </c>
      <c r="O585" t="s">
        <v>3102</v>
      </c>
      <c r="P585" t="s">
        <v>3105</v>
      </c>
      <c r="Q585" t="s">
        <v>3106</v>
      </c>
    </row>
    <row r="586" spans="1:17" x14ac:dyDescent="0.25">
      <c r="A586" t="s">
        <v>908</v>
      </c>
      <c r="C586" t="s">
        <v>213</v>
      </c>
      <c r="D586">
        <v>300000</v>
      </c>
      <c r="E586">
        <v>-141346.4</v>
      </c>
      <c r="F586">
        <v>0</v>
      </c>
      <c r="G586">
        <v>-848078.4</v>
      </c>
      <c r="H586">
        <v>-563200.6</v>
      </c>
      <c r="I586">
        <v>60.09</v>
      </c>
      <c r="J586">
        <v>168000</v>
      </c>
      <c r="K586">
        <v>468000</v>
      </c>
      <c r="L586">
        <v>300000</v>
      </c>
      <c r="M586">
        <v>313800</v>
      </c>
      <c r="N586">
        <v>328234.8</v>
      </c>
      <c r="O586" t="s">
        <v>3102</v>
      </c>
      <c r="P586" t="s">
        <v>3105</v>
      </c>
      <c r="Q586" t="s">
        <v>3111</v>
      </c>
    </row>
    <row r="587" spans="1:17" x14ac:dyDescent="0.25">
      <c r="A587" t="s">
        <v>909</v>
      </c>
      <c r="C587" t="s">
        <v>216</v>
      </c>
      <c r="D587">
        <v>162340</v>
      </c>
      <c r="E587">
        <v>-141346.4</v>
      </c>
      <c r="F587">
        <v>0</v>
      </c>
      <c r="G587">
        <v>-848078.4</v>
      </c>
      <c r="H587">
        <v>-563200.6</v>
      </c>
      <c r="I587">
        <v>60.09</v>
      </c>
      <c r="J587">
        <v>0</v>
      </c>
      <c r="K587">
        <v>162340</v>
      </c>
      <c r="L587">
        <v>169645.3</v>
      </c>
      <c r="M587">
        <v>177448.98379999999</v>
      </c>
      <c r="N587">
        <v>185611.6370548</v>
      </c>
      <c r="O587" t="s">
        <v>3102</v>
      </c>
      <c r="P587" t="s">
        <v>3105</v>
      </c>
      <c r="Q587" t="s">
        <v>3106</v>
      </c>
    </row>
    <row r="588" spans="1:17" x14ac:dyDescent="0.25">
      <c r="A588" t="s">
        <v>910</v>
      </c>
      <c r="B588" t="s">
        <v>3051</v>
      </c>
      <c r="C588" t="s">
        <v>219</v>
      </c>
      <c r="D588">
        <v>700000</v>
      </c>
      <c r="E588">
        <v>-141346.4</v>
      </c>
      <c r="F588">
        <v>0</v>
      </c>
      <c r="G588">
        <v>-848078.4</v>
      </c>
      <c r="H588">
        <v>-563200.6</v>
      </c>
      <c r="I588">
        <v>60.09</v>
      </c>
      <c r="J588">
        <v>-52000</v>
      </c>
      <c r="K588">
        <v>648000</v>
      </c>
      <c r="L588">
        <v>700000</v>
      </c>
      <c r="M588">
        <v>0</v>
      </c>
      <c r="N588">
        <v>0</v>
      </c>
      <c r="O588" t="s">
        <v>3102</v>
      </c>
      <c r="P588" t="s">
        <v>3105</v>
      </c>
      <c r="Q588" t="s">
        <v>3184</v>
      </c>
    </row>
    <row r="589" spans="1:17" x14ac:dyDescent="0.25">
      <c r="A589" t="s">
        <v>911</v>
      </c>
      <c r="C589" t="s">
        <v>248</v>
      </c>
      <c r="D589">
        <v>1176923</v>
      </c>
      <c r="E589">
        <v>-141346.4</v>
      </c>
      <c r="F589">
        <v>0</v>
      </c>
      <c r="G589">
        <v>-848078.4</v>
      </c>
      <c r="H589">
        <v>-563200.6</v>
      </c>
      <c r="I589">
        <v>60.09</v>
      </c>
      <c r="J589">
        <v>600000</v>
      </c>
      <c r="K589">
        <v>1776923</v>
      </c>
      <c r="L589">
        <v>1500000</v>
      </c>
      <c r="M589">
        <v>1567500</v>
      </c>
      <c r="N589">
        <v>1638037.5</v>
      </c>
      <c r="O589" t="s">
        <v>3102</v>
      </c>
      <c r="P589" t="s">
        <v>3110</v>
      </c>
      <c r="Q589" t="s">
        <v>3185</v>
      </c>
    </row>
    <row r="590" spans="1:17" x14ac:dyDescent="0.25">
      <c r="A590" t="s">
        <v>912</v>
      </c>
      <c r="C590" t="s">
        <v>265</v>
      </c>
      <c r="D590">
        <v>0</v>
      </c>
      <c r="E590">
        <v>-141346.4</v>
      </c>
      <c r="F590">
        <v>0</v>
      </c>
      <c r="G590">
        <v>-848078.4</v>
      </c>
      <c r="H590">
        <v>-563200.6</v>
      </c>
      <c r="I590">
        <v>60.09</v>
      </c>
      <c r="J590">
        <v>40000</v>
      </c>
      <c r="K590">
        <v>40000</v>
      </c>
      <c r="L590">
        <v>41800</v>
      </c>
      <c r="M590">
        <v>43681</v>
      </c>
      <c r="N590">
        <v>45646.644999999997</v>
      </c>
      <c r="O590" t="s">
        <v>3102</v>
      </c>
      <c r="P590" t="s">
        <v>3110</v>
      </c>
      <c r="Q590" t="s">
        <v>3104</v>
      </c>
    </row>
    <row r="591" spans="1:17" x14ac:dyDescent="0.25">
      <c r="A591" t="s">
        <v>913</v>
      </c>
      <c r="C591" t="s">
        <v>265</v>
      </c>
      <c r="D591">
        <v>0</v>
      </c>
      <c r="E591">
        <v>-141346.4</v>
      </c>
      <c r="F591">
        <v>0</v>
      </c>
      <c r="G591">
        <v>-848078.4</v>
      </c>
      <c r="H591">
        <v>-563200.6</v>
      </c>
      <c r="I591">
        <v>60.09</v>
      </c>
      <c r="J591">
        <v>800</v>
      </c>
      <c r="K591">
        <v>800</v>
      </c>
      <c r="L591">
        <v>836</v>
      </c>
      <c r="M591">
        <v>873.62</v>
      </c>
      <c r="N591">
        <v>912.93290000000002</v>
      </c>
      <c r="O591" t="s">
        <v>3102</v>
      </c>
      <c r="P591" t="s">
        <v>3110</v>
      </c>
      <c r="Q591" t="s">
        <v>3160</v>
      </c>
    </row>
    <row r="592" spans="1:17" x14ac:dyDescent="0.25">
      <c r="A592" t="s">
        <v>914</v>
      </c>
      <c r="C592" t="s">
        <v>268</v>
      </c>
      <c r="D592">
        <v>0</v>
      </c>
      <c r="E592">
        <v>-141346.4</v>
      </c>
      <c r="F592">
        <v>0</v>
      </c>
      <c r="G592">
        <v>-848078.4</v>
      </c>
      <c r="H592">
        <v>-563200.6</v>
      </c>
      <c r="I592">
        <v>60.09</v>
      </c>
      <c r="J592">
        <v>20000</v>
      </c>
      <c r="K592">
        <v>20000</v>
      </c>
      <c r="L592">
        <v>20900</v>
      </c>
      <c r="M592">
        <v>21840.5</v>
      </c>
      <c r="N592">
        <v>22823.322499999998</v>
      </c>
      <c r="O592" t="s">
        <v>3102</v>
      </c>
      <c r="P592" t="s">
        <v>3110</v>
      </c>
      <c r="Q592" t="s">
        <v>3104</v>
      </c>
    </row>
    <row r="593" spans="1:17" x14ac:dyDescent="0.25">
      <c r="A593" t="s">
        <v>915</v>
      </c>
      <c r="C593" t="s">
        <v>288</v>
      </c>
      <c r="D593">
        <v>5837102</v>
      </c>
      <c r="E593">
        <v>-141346.4</v>
      </c>
      <c r="F593">
        <v>0</v>
      </c>
      <c r="G593">
        <v>-848078.4</v>
      </c>
      <c r="H593">
        <v>-563200.6</v>
      </c>
      <c r="I593">
        <v>60.09</v>
      </c>
      <c r="J593">
        <v>0</v>
      </c>
      <c r="K593">
        <v>5837102</v>
      </c>
      <c r="L593">
        <v>6099771.5899999999</v>
      </c>
      <c r="M593">
        <v>6374261.3115499998</v>
      </c>
      <c r="N593">
        <v>6661103.0705697499</v>
      </c>
      <c r="O593" t="s">
        <v>3102</v>
      </c>
      <c r="P593" t="s">
        <v>3186</v>
      </c>
      <c r="Q593" t="s">
        <v>3106</v>
      </c>
    </row>
    <row r="594" spans="1:17" x14ac:dyDescent="0.25">
      <c r="A594" t="s">
        <v>916</v>
      </c>
      <c r="C594" t="s">
        <v>291</v>
      </c>
      <c r="D594">
        <v>3371</v>
      </c>
      <c r="E594">
        <v>-141346.4</v>
      </c>
      <c r="F594">
        <v>0</v>
      </c>
      <c r="G594">
        <v>-848078.4</v>
      </c>
      <c r="H594">
        <v>-563200.6</v>
      </c>
      <c r="I594">
        <v>60.09</v>
      </c>
      <c r="J594">
        <v>-3371</v>
      </c>
      <c r="K594">
        <v>0</v>
      </c>
      <c r="L594">
        <v>0</v>
      </c>
      <c r="M594">
        <v>0</v>
      </c>
      <c r="N594">
        <v>0</v>
      </c>
      <c r="O594" t="s">
        <v>3102</v>
      </c>
      <c r="P594" t="s">
        <v>3117</v>
      </c>
      <c r="Q594" t="s">
        <v>3111</v>
      </c>
    </row>
    <row r="595" spans="1:17" x14ac:dyDescent="0.25">
      <c r="A595" t="s">
        <v>917</v>
      </c>
      <c r="C595" t="s">
        <v>292</v>
      </c>
      <c r="D595">
        <v>10575</v>
      </c>
      <c r="E595">
        <v>-141346.4</v>
      </c>
      <c r="F595">
        <v>0</v>
      </c>
      <c r="G595">
        <v>-848078.4</v>
      </c>
      <c r="H595">
        <v>-563200.6</v>
      </c>
      <c r="I595">
        <v>60.09</v>
      </c>
      <c r="J595">
        <v>0</v>
      </c>
      <c r="K595">
        <v>10575</v>
      </c>
      <c r="L595">
        <v>11050.875</v>
      </c>
      <c r="M595">
        <v>11548.164375</v>
      </c>
      <c r="N595">
        <v>12067.831771875</v>
      </c>
      <c r="O595" t="s">
        <v>3102</v>
      </c>
      <c r="P595" t="s">
        <v>3117</v>
      </c>
      <c r="Q595" t="s">
        <v>3111</v>
      </c>
    </row>
    <row r="596" spans="1:17" x14ac:dyDescent="0.25">
      <c r="A596" t="s">
        <v>918</v>
      </c>
      <c r="C596" t="s">
        <v>293</v>
      </c>
      <c r="D596">
        <v>109733</v>
      </c>
      <c r="E596">
        <v>-141346.4</v>
      </c>
      <c r="F596">
        <v>0</v>
      </c>
      <c r="G596">
        <v>-848078.4</v>
      </c>
      <c r="H596">
        <v>-563200.6</v>
      </c>
      <c r="I596">
        <v>60.09</v>
      </c>
      <c r="J596">
        <v>0</v>
      </c>
      <c r="K596">
        <v>109733</v>
      </c>
      <c r="L596">
        <v>114670.985</v>
      </c>
      <c r="M596">
        <v>119831.179325</v>
      </c>
      <c r="N596">
        <v>125223.582394625</v>
      </c>
      <c r="O596" t="s">
        <v>3102</v>
      </c>
      <c r="P596" t="s">
        <v>3117</v>
      </c>
      <c r="Q596" t="s">
        <v>3111</v>
      </c>
    </row>
    <row r="597" spans="1:17" x14ac:dyDescent="0.25">
      <c r="A597" t="s">
        <v>919</v>
      </c>
      <c r="C597" t="s">
        <v>296</v>
      </c>
      <c r="D597">
        <v>0</v>
      </c>
      <c r="E597">
        <v>-141346.4</v>
      </c>
      <c r="F597">
        <v>0</v>
      </c>
      <c r="G597">
        <v>-848078.4</v>
      </c>
      <c r="H597">
        <v>-563200.6</v>
      </c>
      <c r="I597">
        <v>60.09</v>
      </c>
      <c r="J597">
        <v>0</v>
      </c>
      <c r="K597">
        <v>0</v>
      </c>
      <c r="L597">
        <v>0</v>
      </c>
      <c r="M597">
        <v>0</v>
      </c>
      <c r="N597">
        <v>0</v>
      </c>
      <c r="O597" t="s">
        <v>3102</v>
      </c>
      <c r="P597" t="s">
        <v>3117</v>
      </c>
      <c r="Q597" t="s">
        <v>3111</v>
      </c>
    </row>
    <row r="598" spans="1:17" x14ac:dyDescent="0.25">
      <c r="A598" t="s">
        <v>920</v>
      </c>
      <c r="C598" t="s">
        <v>921</v>
      </c>
      <c r="D598">
        <v>200000</v>
      </c>
      <c r="E598">
        <v>-141346.4</v>
      </c>
      <c r="F598">
        <v>0</v>
      </c>
      <c r="G598">
        <v>-848078.4</v>
      </c>
      <c r="H598">
        <v>-563200.6</v>
      </c>
      <c r="I598">
        <v>60.09</v>
      </c>
      <c r="J598">
        <v>40000</v>
      </c>
      <c r="K598">
        <v>240000</v>
      </c>
      <c r="L598">
        <v>200000</v>
      </c>
      <c r="M598">
        <v>0</v>
      </c>
      <c r="O598" t="s">
        <v>3118</v>
      </c>
      <c r="Q598" t="s">
        <v>3187</v>
      </c>
    </row>
    <row r="599" spans="1:17" x14ac:dyDescent="0.25">
      <c r="A599" t="s">
        <v>923</v>
      </c>
      <c r="C599" t="s">
        <v>150</v>
      </c>
      <c r="D599">
        <v>2016139</v>
      </c>
      <c r="E599">
        <v>-141346.4</v>
      </c>
      <c r="F599">
        <v>0</v>
      </c>
      <c r="G599">
        <v>-848078.4</v>
      </c>
      <c r="H599">
        <v>-563200.6</v>
      </c>
      <c r="I599">
        <v>60.09</v>
      </c>
      <c r="J599">
        <v>0</v>
      </c>
      <c r="K599">
        <v>2016139</v>
      </c>
      <c r="L599">
        <v>2142147.6875</v>
      </c>
      <c r="M599">
        <v>2292098.0256249998</v>
      </c>
      <c r="N599">
        <v>2452544.8874187497</v>
      </c>
      <c r="O599" t="s">
        <v>3102</v>
      </c>
      <c r="P599" t="s">
        <v>3103</v>
      </c>
      <c r="Q599" t="s">
        <v>3104</v>
      </c>
    </row>
    <row r="600" spans="1:17" x14ac:dyDescent="0.25">
      <c r="A600" t="s">
        <v>924</v>
      </c>
      <c r="C600" t="s">
        <v>150</v>
      </c>
      <c r="D600">
        <v>80600</v>
      </c>
      <c r="E600">
        <v>-141346.4</v>
      </c>
      <c r="F600">
        <v>0</v>
      </c>
      <c r="G600">
        <v>-848078.4</v>
      </c>
      <c r="H600">
        <v>-563200.6</v>
      </c>
      <c r="I600">
        <v>60.09</v>
      </c>
      <c r="J600">
        <v>0</v>
      </c>
      <c r="K600">
        <v>80600</v>
      </c>
      <c r="L600">
        <v>85637.5</v>
      </c>
      <c r="M600">
        <v>91632.125</v>
      </c>
      <c r="N600">
        <v>98046.373749999999</v>
      </c>
      <c r="O600" t="s">
        <v>3102</v>
      </c>
      <c r="P600" t="s">
        <v>3103</v>
      </c>
      <c r="Q600" t="s">
        <v>3160</v>
      </c>
    </row>
    <row r="601" spans="1:17" x14ac:dyDescent="0.25">
      <c r="A601" t="s">
        <v>925</v>
      </c>
      <c r="C601" t="s">
        <v>151</v>
      </c>
      <c r="D601">
        <v>83607</v>
      </c>
      <c r="E601">
        <v>-141346.4</v>
      </c>
      <c r="F601">
        <v>0</v>
      </c>
      <c r="G601">
        <v>-848078.4</v>
      </c>
      <c r="H601">
        <v>-563200.6</v>
      </c>
      <c r="I601">
        <v>60.09</v>
      </c>
      <c r="J601">
        <v>-41271.550000000003</v>
      </c>
      <c r="K601">
        <v>42335.45</v>
      </c>
      <c r="L601">
        <v>44981.415624999994</v>
      </c>
      <c r="M601">
        <v>48130.114718749996</v>
      </c>
      <c r="N601">
        <v>51499.222749062494</v>
      </c>
      <c r="O601" t="s">
        <v>3102</v>
      </c>
      <c r="P601" t="s">
        <v>3103</v>
      </c>
      <c r="Q601" t="s">
        <v>3104</v>
      </c>
    </row>
    <row r="602" spans="1:17" x14ac:dyDescent="0.25">
      <c r="A602" t="s">
        <v>926</v>
      </c>
      <c r="C602" t="s">
        <v>152</v>
      </c>
      <c r="D602">
        <v>52200</v>
      </c>
      <c r="E602">
        <v>-141346.4</v>
      </c>
      <c r="F602">
        <v>0</v>
      </c>
      <c r="G602">
        <v>-848078.4</v>
      </c>
      <c r="H602">
        <v>-563200.6</v>
      </c>
      <c r="I602">
        <v>60.09</v>
      </c>
      <c r="J602">
        <v>0</v>
      </c>
      <c r="K602">
        <v>52200</v>
      </c>
      <c r="L602">
        <v>55462.5</v>
      </c>
      <c r="M602">
        <v>59344.875</v>
      </c>
      <c r="N602">
        <v>63499.016250000001</v>
      </c>
      <c r="O602" t="s">
        <v>3102</v>
      </c>
      <c r="P602" t="s">
        <v>3103</v>
      </c>
      <c r="Q602" t="s">
        <v>3104</v>
      </c>
    </row>
    <row r="603" spans="1:17" x14ac:dyDescent="0.25">
      <c r="A603" t="s">
        <v>927</v>
      </c>
      <c r="C603" t="s">
        <v>153</v>
      </c>
      <c r="D603">
        <v>10893</v>
      </c>
      <c r="E603">
        <v>-141346.4</v>
      </c>
      <c r="F603">
        <v>0</v>
      </c>
      <c r="G603">
        <v>-848078.4</v>
      </c>
      <c r="H603">
        <v>-563200.6</v>
      </c>
      <c r="I603">
        <v>60.09</v>
      </c>
      <c r="J603">
        <v>0</v>
      </c>
      <c r="K603">
        <v>10893</v>
      </c>
      <c r="L603">
        <v>11573.8125</v>
      </c>
      <c r="M603">
        <v>12383.979375000001</v>
      </c>
      <c r="N603">
        <v>13250.857931250001</v>
      </c>
      <c r="O603" t="s">
        <v>3102</v>
      </c>
      <c r="P603" t="s">
        <v>3103</v>
      </c>
      <c r="Q603" t="s">
        <v>3104</v>
      </c>
    </row>
    <row r="604" spans="1:17" x14ac:dyDescent="0.25">
      <c r="A604" t="s">
        <v>928</v>
      </c>
      <c r="C604" t="s">
        <v>155</v>
      </c>
      <c r="D604">
        <v>59373</v>
      </c>
      <c r="E604">
        <v>-141346.4</v>
      </c>
      <c r="F604">
        <v>0</v>
      </c>
      <c r="G604">
        <v>-848078.4</v>
      </c>
      <c r="H604">
        <v>-563200.6</v>
      </c>
      <c r="I604">
        <v>60.09</v>
      </c>
      <c r="J604">
        <v>0</v>
      </c>
      <c r="K604">
        <v>59373</v>
      </c>
      <c r="L604">
        <v>63083.8125</v>
      </c>
      <c r="M604">
        <v>67499.679375000007</v>
      </c>
      <c r="N604">
        <v>72224.656931250007</v>
      </c>
      <c r="O604" t="s">
        <v>3102</v>
      </c>
      <c r="P604" t="s">
        <v>3103</v>
      </c>
      <c r="Q604" t="s">
        <v>3104</v>
      </c>
    </row>
    <row r="605" spans="1:17" x14ac:dyDescent="0.25">
      <c r="A605" t="s">
        <v>929</v>
      </c>
      <c r="C605" t="s">
        <v>156</v>
      </c>
      <c r="D605">
        <v>307875</v>
      </c>
      <c r="E605">
        <v>-141346.4</v>
      </c>
      <c r="F605">
        <v>0</v>
      </c>
      <c r="G605">
        <v>-848078.4</v>
      </c>
      <c r="H605">
        <v>-563200.6</v>
      </c>
      <c r="I605">
        <v>60.09</v>
      </c>
      <c r="J605">
        <v>0</v>
      </c>
      <c r="K605">
        <v>307875</v>
      </c>
      <c r="L605">
        <v>327117.1875</v>
      </c>
      <c r="M605">
        <v>350015.390625</v>
      </c>
      <c r="N605">
        <v>374516.46796874999</v>
      </c>
      <c r="O605" t="s">
        <v>3102</v>
      </c>
      <c r="P605" t="s">
        <v>3103</v>
      </c>
      <c r="Q605" t="s">
        <v>3104</v>
      </c>
    </row>
    <row r="606" spans="1:17" x14ac:dyDescent="0.25">
      <c r="A606" t="s">
        <v>930</v>
      </c>
      <c r="C606" t="s">
        <v>157</v>
      </c>
      <c r="D606">
        <v>10516</v>
      </c>
      <c r="E606">
        <v>-141346.4</v>
      </c>
      <c r="F606">
        <v>0</v>
      </c>
      <c r="G606">
        <v>-848078.4</v>
      </c>
      <c r="H606">
        <v>-563200.6</v>
      </c>
      <c r="I606">
        <v>60.09</v>
      </c>
      <c r="J606">
        <v>0</v>
      </c>
      <c r="K606">
        <v>10516</v>
      </c>
      <c r="L606">
        <v>11173.25</v>
      </c>
      <c r="M606">
        <v>11955.377500000001</v>
      </c>
      <c r="N606">
        <v>12792.253925000001</v>
      </c>
      <c r="O606" t="s">
        <v>3102</v>
      </c>
      <c r="P606" t="s">
        <v>3103</v>
      </c>
      <c r="Q606" t="s">
        <v>3104</v>
      </c>
    </row>
    <row r="607" spans="1:17" x14ac:dyDescent="0.25">
      <c r="A607" t="s">
        <v>931</v>
      </c>
      <c r="C607" t="s">
        <v>158</v>
      </c>
      <c r="D607">
        <v>11138</v>
      </c>
      <c r="E607">
        <v>-141346.4</v>
      </c>
      <c r="F607">
        <v>0</v>
      </c>
      <c r="G607">
        <v>-848078.4</v>
      </c>
      <c r="H607">
        <v>-563200.6</v>
      </c>
      <c r="I607">
        <v>60.09</v>
      </c>
      <c r="J607">
        <v>0</v>
      </c>
      <c r="K607">
        <v>11138</v>
      </c>
      <c r="L607">
        <v>11834.125</v>
      </c>
      <c r="M607">
        <v>12662.51375</v>
      </c>
      <c r="N607">
        <v>13548.8897125</v>
      </c>
      <c r="O607" t="s">
        <v>3102</v>
      </c>
      <c r="P607" t="s">
        <v>3103</v>
      </c>
      <c r="Q607" t="s">
        <v>3104</v>
      </c>
    </row>
    <row r="608" spans="1:17" x14ac:dyDescent="0.25">
      <c r="A608" t="s">
        <v>932</v>
      </c>
      <c r="C608" t="s">
        <v>159</v>
      </c>
      <c r="D608">
        <v>168012</v>
      </c>
      <c r="E608">
        <v>-141346.4</v>
      </c>
      <c r="F608">
        <v>0</v>
      </c>
      <c r="G608">
        <v>-848078.4</v>
      </c>
      <c r="H608">
        <v>-563200.6</v>
      </c>
      <c r="I608">
        <v>60.09</v>
      </c>
      <c r="J608">
        <v>0</v>
      </c>
      <c r="K608">
        <v>168012</v>
      </c>
      <c r="L608">
        <v>178512.75</v>
      </c>
      <c r="M608">
        <v>191008.64249999999</v>
      </c>
      <c r="N608">
        <v>204379.24747499998</v>
      </c>
      <c r="O608" t="s">
        <v>3102</v>
      </c>
      <c r="P608" t="s">
        <v>3103</v>
      </c>
      <c r="Q608" t="s">
        <v>3104</v>
      </c>
    </row>
    <row r="609" spans="1:17" x14ac:dyDescent="0.25">
      <c r="A609" t="s">
        <v>933</v>
      </c>
      <c r="C609" t="s">
        <v>161</v>
      </c>
      <c r="D609">
        <v>21018</v>
      </c>
      <c r="E609">
        <v>-141346.4</v>
      </c>
      <c r="F609">
        <v>0</v>
      </c>
      <c r="G609">
        <v>-848078.4</v>
      </c>
      <c r="H609">
        <v>-563200.6</v>
      </c>
      <c r="I609">
        <v>60.09</v>
      </c>
      <c r="J609">
        <v>0</v>
      </c>
      <c r="K609">
        <v>21018</v>
      </c>
      <c r="L609">
        <v>22331.625</v>
      </c>
      <c r="M609">
        <v>23894.838749999999</v>
      </c>
      <c r="N609">
        <v>25567.477462499999</v>
      </c>
      <c r="O609" t="s">
        <v>3102</v>
      </c>
      <c r="P609" t="s">
        <v>3103</v>
      </c>
      <c r="Q609" t="s">
        <v>3104</v>
      </c>
    </row>
    <row r="610" spans="1:17" x14ac:dyDescent="0.25">
      <c r="A610" t="s">
        <v>934</v>
      </c>
      <c r="C610" t="s">
        <v>164</v>
      </c>
      <c r="D610">
        <v>15692</v>
      </c>
      <c r="E610">
        <v>-141346.4</v>
      </c>
      <c r="F610">
        <v>0</v>
      </c>
      <c r="G610">
        <v>-848078.4</v>
      </c>
      <c r="H610">
        <v>-563200.6</v>
      </c>
      <c r="I610">
        <v>60.09</v>
      </c>
      <c r="J610">
        <v>0</v>
      </c>
      <c r="K610">
        <v>15692</v>
      </c>
      <c r="L610">
        <v>16672.75</v>
      </c>
      <c r="M610">
        <v>17839.842499999999</v>
      </c>
      <c r="N610">
        <v>19088.631474999998</v>
      </c>
      <c r="O610" t="s">
        <v>3102</v>
      </c>
      <c r="P610" t="s">
        <v>3103</v>
      </c>
      <c r="Q610" t="s">
        <v>3104</v>
      </c>
    </row>
    <row r="611" spans="1:17" x14ac:dyDescent="0.25">
      <c r="A611" t="s">
        <v>935</v>
      </c>
      <c r="C611" t="s">
        <v>167</v>
      </c>
      <c r="D611">
        <v>674</v>
      </c>
      <c r="E611">
        <v>-141346.4</v>
      </c>
      <c r="F611">
        <v>0</v>
      </c>
      <c r="G611">
        <v>-848078.4</v>
      </c>
      <c r="H611">
        <v>-563200.6</v>
      </c>
      <c r="I611">
        <v>60.09</v>
      </c>
      <c r="J611">
        <v>0</v>
      </c>
      <c r="K611">
        <v>674</v>
      </c>
      <c r="L611">
        <v>716.125</v>
      </c>
      <c r="M611">
        <v>766.25374999999997</v>
      </c>
      <c r="N611">
        <v>819.89151249999998</v>
      </c>
      <c r="O611" t="s">
        <v>3102</v>
      </c>
      <c r="P611" t="s">
        <v>3103</v>
      </c>
      <c r="Q611" t="s">
        <v>3104</v>
      </c>
    </row>
    <row r="612" spans="1:17" x14ac:dyDescent="0.25">
      <c r="A612" t="s">
        <v>936</v>
      </c>
      <c r="C612" t="s">
        <v>168</v>
      </c>
      <c r="D612">
        <v>161725</v>
      </c>
      <c r="E612">
        <v>-141346.4</v>
      </c>
      <c r="F612">
        <v>0</v>
      </c>
      <c r="G612">
        <v>-848078.4</v>
      </c>
      <c r="H612">
        <v>-563200.6</v>
      </c>
      <c r="I612">
        <v>60.09</v>
      </c>
      <c r="J612">
        <v>-100000</v>
      </c>
      <c r="K612">
        <v>61725</v>
      </c>
      <c r="L612">
        <v>65582.8125</v>
      </c>
      <c r="M612">
        <v>70173.609375</v>
      </c>
      <c r="N612">
        <v>75085.762031249993</v>
      </c>
      <c r="O612" t="s">
        <v>3102</v>
      </c>
      <c r="P612" t="s">
        <v>3103</v>
      </c>
      <c r="Q612" t="s">
        <v>3104</v>
      </c>
    </row>
    <row r="613" spans="1:17" x14ac:dyDescent="0.25">
      <c r="A613" t="s">
        <v>937</v>
      </c>
      <c r="C613" t="s">
        <v>169</v>
      </c>
      <c r="D613">
        <v>443551</v>
      </c>
      <c r="E613">
        <v>-141346.4</v>
      </c>
      <c r="F613">
        <v>0</v>
      </c>
      <c r="G613">
        <v>-848078.4</v>
      </c>
      <c r="H613">
        <v>-563200.6</v>
      </c>
      <c r="I613">
        <v>60.09</v>
      </c>
      <c r="J613">
        <v>0</v>
      </c>
      <c r="K613">
        <v>443551</v>
      </c>
      <c r="L613">
        <v>471272.9375</v>
      </c>
      <c r="M613">
        <v>504262.04312499997</v>
      </c>
      <c r="N613">
        <v>539560.38614374993</v>
      </c>
      <c r="O613" t="s">
        <v>3102</v>
      </c>
      <c r="P613" t="s">
        <v>3103</v>
      </c>
      <c r="Q613" t="s">
        <v>3104</v>
      </c>
    </row>
    <row r="614" spans="1:17" x14ac:dyDescent="0.25">
      <c r="A614" t="s">
        <v>938</v>
      </c>
      <c r="C614" t="s">
        <v>170</v>
      </c>
      <c r="D614">
        <v>10710</v>
      </c>
      <c r="E614">
        <v>-141346.4</v>
      </c>
      <c r="F614">
        <v>0</v>
      </c>
      <c r="G614">
        <v>-848078.4</v>
      </c>
      <c r="H614">
        <v>-563200.6</v>
      </c>
      <c r="I614">
        <v>60.09</v>
      </c>
      <c r="J614">
        <v>0</v>
      </c>
      <c r="K614">
        <v>10710</v>
      </c>
      <c r="L614">
        <v>11379.375</v>
      </c>
      <c r="M614">
        <v>12175.93125</v>
      </c>
      <c r="N614">
        <v>13028.2464375</v>
      </c>
      <c r="O614" t="s">
        <v>3102</v>
      </c>
      <c r="P614" t="s">
        <v>3103</v>
      </c>
      <c r="Q614" t="s">
        <v>3104</v>
      </c>
    </row>
    <row r="615" spans="1:17" x14ac:dyDescent="0.25">
      <c r="A615" t="s">
        <v>939</v>
      </c>
      <c r="C615" t="s">
        <v>170</v>
      </c>
      <c r="D615">
        <v>0</v>
      </c>
      <c r="E615">
        <v>-141346.4</v>
      </c>
      <c r="F615">
        <v>0</v>
      </c>
      <c r="G615">
        <v>-848078.4</v>
      </c>
      <c r="H615">
        <v>-563200.6</v>
      </c>
      <c r="I615">
        <v>60.09</v>
      </c>
      <c r="J615">
        <v>0</v>
      </c>
      <c r="K615">
        <v>0</v>
      </c>
      <c r="L615">
        <v>0</v>
      </c>
      <c r="M615">
        <v>0</v>
      </c>
      <c r="O615" t="s">
        <v>3102</v>
      </c>
      <c r="P615" t="s">
        <v>3103</v>
      </c>
      <c r="Q615" t="s">
        <v>3160</v>
      </c>
    </row>
    <row r="616" spans="1:17" x14ac:dyDescent="0.25">
      <c r="A616" t="s">
        <v>940</v>
      </c>
      <c r="C616" t="s">
        <v>173</v>
      </c>
      <c r="D616">
        <v>13215</v>
      </c>
      <c r="E616">
        <v>-141346.4</v>
      </c>
      <c r="F616">
        <v>0</v>
      </c>
      <c r="G616">
        <v>-848078.4</v>
      </c>
      <c r="H616">
        <v>-563200.6</v>
      </c>
      <c r="I616">
        <v>60.09</v>
      </c>
      <c r="J616">
        <v>0</v>
      </c>
      <c r="K616">
        <v>13215</v>
      </c>
      <c r="L616">
        <v>14040.9375</v>
      </c>
      <c r="M616">
        <v>15023.803125</v>
      </c>
      <c r="N616">
        <v>16075.469343750001</v>
      </c>
      <c r="O616" t="s">
        <v>3102</v>
      </c>
      <c r="P616" t="s">
        <v>3103</v>
      </c>
      <c r="Q616" t="s">
        <v>3111</v>
      </c>
    </row>
    <row r="617" spans="1:17" x14ac:dyDescent="0.25">
      <c r="A617" t="s">
        <v>941</v>
      </c>
      <c r="C617" t="s">
        <v>174</v>
      </c>
      <c r="D617">
        <v>7153</v>
      </c>
      <c r="E617">
        <v>-141346.4</v>
      </c>
      <c r="F617">
        <v>0</v>
      </c>
      <c r="G617">
        <v>-848078.4</v>
      </c>
      <c r="H617">
        <v>-563200.6</v>
      </c>
      <c r="I617">
        <v>60.09</v>
      </c>
      <c r="J617">
        <v>0</v>
      </c>
      <c r="K617">
        <v>7153</v>
      </c>
      <c r="L617">
        <v>7600.0625</v>
      </c>
      <c r="M617">
        <v>8132.0668750000004</v>
      </c>
      <c r="N617">
        <v>8701.3115562500006</v>
      </c>
      <c r="O617" t="s">
        <v>3102</v>
      </c>
      <c r="P617" t="s">
        <v>3103</v>
      </c>
      <c r="Q617" t="s">
        <v>3111</v>
      </c>
    </row>
    <row r="618" spans="1:17" x14ac:dyDescent="0.25">
      <c r="A618" t="s">
        <v>942</v>
      </c>
      <c r="C618" t="s">
        <v>175</v>
      </c>
      <c r="D618">
        <v>24762</v>
      </c>
      <c r="E618">
        <v>-141346.4</v>
      </c>
      <c r="F618">
        <v>0</v>
      </c>
      <c r="G618">
        <v>-848078.4</v>
      </c>
      <c r="H618">
        <v>-563200.6</v>
      </c>
      <c r="I618">
        <v>60.09</v>
      </c>
      <c r="J618">
        <v>0</v>
      </c>
      <c r="K618">
        <v>24762</v>
      </c>
      <c r="L618">
        <v>26309.625</v>
      </c>
      <c r="M618">
        <v>28151.298750000002</v>
      </c>
      <c r="N618">
        <v>30121.889662500002</v>
      </c>
      <c r="O618" t="s">
        <v>3102</v>
      </c>
      <c r="P618" t="s">
        <v>3103</v>
      </c>
      <c r="Q618" t="s">
        <v>3111</v>
      </c>
    </row>
    <row r="619" spans="1:17" x14ac:dyDescent="0.25">
      <c r="A619" t="s">
        <v>943</v>
      </c>
      <c r="B619" t="s">
        <v>1368</v>
      </c>
      <c r="C619" t="s">
        <v>210</v>
      </c>
      <c r="D619">
        <v>500000</v>
      </c>
      <c r="E619">
        <v>-141346.4</v>
      </c>
      <c r="F619">
        <v>0</v>
      </c>
      <c r="G619">
        <v>-848078.4</v>
      </c>
      <c r="H619">
        <v>-563200.6</v>
      </c>
      <c r="I619">
        <v>60.09</v>
      </c>
      <c r="J619">
        <v>-500000</v>
      </c>
      <c r="K619">
        <v>0</v>
      </c>
      <c r="L619">
        <v>350000</v>
      </c>
      <c r="M619">
        <v>0</v>
      </c>
      <c r="O619" t="s">
        <v>3102</v>
      </c>
      <c r="P619" t="s">
        <v>3105</v>
      </c>
      <c r="Q619" t="s">
        <v>3188</v>
      </c>
    </row>
    <row r="620" spans="1:17" x14ac:dyDescent="0.25">
      <c r="A620" t="s">
        <v>944</v>
      </c>
      <c r="C620" t="s">
        <v>265</v>
      </c>
      <c r="D620">
        <v>0</v>
      </c>
      <c r="E620">
        <v>-141346.4</v>
      </c>
      <c r="F620">
        <v>0</v>
      </c>
      <c r="G620">
        <v>-848078.4</v>
      </c>
      <c r="H620">
        <v>-563200.6</v>
      </c>
      <c r="I620">
        <v>60.09</v>
      </c>
      <c r="J620">
        <v>20000</v>
      </c>
      <c r="K620">
        <v>20000</v>
      </c>
      <c r="L620">
        <v>20900</v>
      </c>
      <c r="M620">
        <v>21840.5</v>
      </c>
      <c r="N620">
        <v>22823.322499999998</v>
      </c>
      <c r="O620" t="s">
        <v>3102</v>
      </c>
      <c r="P620" t="s">
        <v>3110</v>
      </c>
      <c r="Q620" t="s">
        <v>3104</v>
      </c>
    </row>
    <row r="621" spans="1:17" x14ac:dyDescent="0.25">
      <c r="A621" t="s">
        <v>945</v>
      </c>
      <c r="C621" t="s">
        <v>265</v>
      </c>
      <c r="D621">
        <v>0</v>
      </c>
      <c r="E621">
        <v>-141346.4</v>
      </c>
      <c r="F621">
        <v>0</v>
      </c>
      <c r="G621">
        <v>-848078.4</v>
      </c>
      <c r="H621">
        <v>-563200.6</v>
      </c>
      <c r="I621">
        <v>60.09</v>
      </c>
      <c r="J621">
        <v>800</v>
      </c>
      <c r="K621">
        <v>800</v>
      </c>
      <c r="L621">
        <v>836</v>
      </c>
      <c r="M621">
        <v>873.62</v>
      </c>
      <c r="N621">
        <v>912.93290000000002</v>
      </c>
      <c r="O621" t="s">
        <v>3102</v>
      </c>
      <c r="P621" t="s">
        <v>3110</v>
      </c>
      <c r="Q621" t="s">
        <v>3160</v>
      </c>
    </row>
    <row r="622" spans="1:17" x14ac:dyDescent="0.25">
      <c r="A622" t="s">
        <v>946</v>
      </c>
      <c r="C622" t="s">
        <v>268</v>
      </c>
      <c r="D622">
        <v>0</v>
      </c>
      <c r="E622">
        <v>-141346.4</v>
      </c>
      <c r="F622">
        <v>0</v>
      </c>
      <c r="G622">
        <v>-848078.4</v>
      </c>
      <c r="H622">
        <v>-563200.6</v>
      </c>
      <c r="I622">
        <v>60.09</v>
      </c>
      <c r="J622">
        <v>30000</v>
      </c>
      <c r="K622">
        <v>30000</v>
      </c>
      <c r="L622">
        <v>31350</v>
      </c>
      <c r="M622">
        <v>32760.75</v>
      </c>
      <c r="N622">
        <v>34234.983749999999</v>
      </c>
      <c r="O622" t="s">
        <v>3102</v>
      </c>
      <c r="P622" t="s">
        <v>3110</v>
      </c>
      <c r="Q622" t="s">
        <v>3104</v>
      </c>
    </row>
    <row r="623" spans="1:17" x14ac:dyDescent="0.25">
      <c r="A623" t="s">
        <v>947</v>
      </c>
      <c r="C623" t="s">
        <v>276</v>
      </c>
      <c r="D623">
        <v>1270074</v>
      </c>
      <c r="E623">
        <v>-141346.4</v>
      </c>
      <c r="F623">
        <v>0</v>
      </c>
      <c r="G623">
        <v>-848078.4</v>
      </c>
      <c r="H623">
        <v>-563200.6</v>
      </c>
      <c r="I623">
        <v>60.09</v>
      </c>
      <c r="J623">
        <v>300000</v>
      </c>
      <c r="K623">
        <v>1570074</v>
      </c>
      <c r="L623">
        <v>1640727.33</v>
      </c>
      <c r="M623">
        <v>1714560.0598500001</v>
      </c>
      <c r="N623">
        <v>1791715.2625432501</v>
      </c>
      <c r="O623" t="s">
        <v>3102</v>
      </c>
      <c r="P623" t="s">
        <v>3114</v>
      </c>
      <c r="Q623" t="s">
        <v>3106</v>
      </c>
    </row>
    <row r="624" spans="1:17" x14ac:dyDescent="0.25">
      <c r="A624" t="s">
        <v>948</v>
      </c>
      <c r="C624" t="s">
        <v>292</v>
      </c>
      <c r="D624">
        <v>7648</v>
      </c>
      <c r="E624">
        <v>-141346.4</v>
      </c>
      <c r="F624">
        <v>0</v>
      </c>
      <c r="G624">
        <v>-848078.4</v>
      </c>
      <c r="H624">
        <v>-563200.6</v>
      </c>
      <c r="I624">
        <v>60.09</v>
      </c>
      <c r="J624">
        <v>0</v>
      </c>
      <c r="K624">
        <v>7648</v>
      </c>
      <c r="L624">
        <v>7992.16</v>
      </c>
      <c r="M624">
        <v>8351.8071999999993</v>
      </c>
      <c r="N624">
        <v>8727.638524</v>
      </c>
      <c r="O624" t="s">
        <v>3102</v>
      </c>
      <c r="P624" t="s">
        <v>3117</v>
      </c>
      <c r="Q624" t="s">
        <v>3111</v>
      </c>
    </row>
    <row r="625" spans="1:17" x14ac:dyDescent="0.25">
      <c r="A625" t="s">
        <v>949</v>
      </c>
      <c r="C625" t="s">
        <v>293</v>
      </c>
      <c r="D625">
        <v>2242</v>
      </c>
      <c r="E625">
        <v>-141346.4</v>
      </c>
      <c r="F625">
        <v>0</v>
      </c>
      <c r="G625">
        <v>-848078.4</v>
      </c>
      <c r="H625">
        <v>-563200.6</v>
      </c>
      <c r="I625">
        <v>60.09</v>
      </c>
      <c r="J625">
        <v>0</v>
      </c>
      <c r="K625">
        <v>2242</v>
      </c>
      <c r="L625">
        <v>2342.89</v>
      </c>
      <c r="M625">
        <v>2448.3200499999998</v>
      </c>
      <c r="N625">
        <v>2558.49445225</v>
      </c>
      <c r="O625" t="s">
        <v>3102</v>
      </c>
      <c r="P625" t="s">
        <v>3117</v>
      </c>
      <c r="Q625" t="s">
        <v>3111</v>
      </c>
    </row>
    <row r="626" spans="1:17" x14ac:dyDescent="0.25">
      <c r="A626" t="s">
        <v>950</v>
      </c>
      <c r="C626" t="s">
        <v>150</v>
      </c>
      <c r="D626">
        <v>1687888</v>
      </c>
      <c r="E626">
        <v>-141346.4</v>
      </c>
      <c r="F626">
        <v>0</v>
      </c>
      <c r="G626">
        <v>-848078.4</v>
      </c>
      <c r="H626">
        <v>-563200.6</v>
      </c>
      <c r="I626">
        <v>60.09</v>
      </c>
      <c r="J626">
        <v>0</v>
      </c>
      <c r="K626">
        <v>1687888</v>
      </c>
      <c r="L626">
        <v>1793381</v>
      </c>
      <c r="M626">
        <v>1918917.67</v>
      </c>
      <c r="N626">
        <v>2053241.9068999998</v>
      </c>
      <c r="O626" t="s">
        <v>3102</v>
      </c>
      <c r="P626" t="s">
        <v>3103</v>
      </c>
      <c r="Q626" t="s">
        <v>3104</v>
      </c>
    </row>
    <row r="627" spans="1:17" x14ac:dyDescent="0.25">
      <c r="A627" t="s">
        <v>951</v>
      </c>
      <c r="C627" t="s">
        <v>150</v>
      </c>
      <c r="D627">
        <v>80600</v>
      </c>
      <c r="E627">
        <v>-141346.4</v>
      </c>
      <c r="F627">
        <v>0</v>
      </c>
      <c r="G627">
        <v>-848078.4</v>
      </c>
      <c r="H627">
        <v>-563200.6</v>
      </c>
      <c r="I627">
        <v>60.09</v>
      </c>
      <c r="J627">
        <v>0</v>
      </c>
      <c r="K627">
        <v>80600</v>
      </c>
      <c r="L627">
        <v>85637.5</v>
      </c>
      <c r="M627">
        <v>91632.125</v>
      </c>
      <c r="N627">
        <v>98046.373749999999</v>
      </c>
      <c r="O627" t="s">
        <v>3102</v>
      </c>
      <c r="P627" t="s">
        <v>3103</v>
      </c>
      <c r="Q627" t="s">
        <v>3160</v>
      </c>
    </row>
    <row r="628" spans="1:17" x14ac:dyDescent="0.25">
      <c r="A628" t="s">
        <v>952</v>
      </c>
      <c r="C628" t="s">
        <v>151</v>
      </c>
      <c r="D628">
        <v>84394</v>
      </c>
      <c r="E628">
        <v>-141346.4</v>
      </c>
      <c r="F628">
        <v>0</v>
      </c>
      <c r="G628">
        <v>-848078.4</v>
      </c>
      <c r="H628">
        <v>-563200.6</v>
      </c>
      <c r="I628">
        <v>60.09</v>
      </c>
      <c r="J628">
        <v>-50525.64</v>
      </c>
      <c r="K628">
        <v>33868.36</v>
      </c>
      <c r="L628">
        <v>35985.1325</v>
      </c>
      <c r="M628">
        <v>38504.091775000001</v>
      </c>
      <c r="N628">
        <v>41199.378199250001</v>
      </c>
      <c r="O628" t="s">
        <v>3102</v>
      </c>
      <c r="P628" t="s">
        <v>3103</v>
      </c>
      <c r="Q628" t="s">
        <v>3104</v>
      </c>
    </row>
    <row r="629" spans="1:17" x14ac:dyDescent="0.25">
      <c r="A629" t="s">
        <v>953</v>
      </c>
      <c r="C629" t="s">
        <v>152</v>
      </c>
      <c r="D629">
        <v>52200</v>
      </c>
      <c r="E629">
        <v>-141346.4</v>
      </c>
      <c r="F629">
        <v>0</v>
      </c>
      <c r="G629">
        <v>-848078.4</v>
      </c>
      <c r="H629">
        <v>-563200.6</v>
      </c>
      <c r="I629">
        <v>60.09</v>
      </c>
      <c r="J629">
        <v>0</v>
      </c>
      <c r="K629">
        <v>52200</v>
      </c>
      <c r="L629">
        <v>55462.5</v>
      </c>
      <c r="M629">
        <v>59344.875</v>
      </c>
      <c r="N629">
        <v>63499.016250000001</v>
      </c>
      <c r="O629" t="s">
        <v>3102</v>
      </c>
      <c r="P629" t="s">
        <v>3103</v>
      </c>
      <c r="Q629" t="s">
        <v>3104</v>
      </c>
    </row>
    <row r="630" spans="1:17" x14ac:dyDescent="0.25">
      <c r="A630" t="s">
        <v>954</v>
      </c>
      <c r="C630" t="s">
        <v>153</v>
      </c>
      <c r="D630">
        <v>10893</v>
      </c>
      <c r="E630">
        <v>-141346.4</v>
      </c>
      <c r="F630">
        <v>0</v>
      </c>
      <c r="G630">
        <v>-848078.4</v>
      </c>
      <c r="H630">
        <v>-563200.6</v>
      </c>
      <c r="I630">
        <v>60.09</v>
      </c>
      <c r="J630">
        <v>0</v>
      </c>
      <c r="K630">
        <v>10893</v>
      </c>
      <c r="L630">
        <v>11573.8125</v>
      </c>
      <c r="M630">
        <v>12383.979375000001</v>
      </c>
      <c r="N630">
        <v>13250.857931250001</v>
      </c>
      <c r="O630" t="s">
        <v>3102</v>
      </c>
      <c r="P630" t="s">
        <v>3103</v>
      </c>
      <c r="Q630" t="s">
        <v>3104</v>
      </c>
    </row>
    <row r="631" spans="1:17" x14ac:dyDescent="0.25">
      <c r="A631" t="s">
        <v>955</v>
      </c>
      <c r="C631" t="s">
        <v>155</v>
      </c>
      <c r="D631">
        <v>55271</v>
      </c>
      <c r="E631">
        <v>-141346.4</v>
      </c>
      <c r="F631">
        <v>0</v>
      </c>
      <c r="G631">
        <v>-848078.4</v>
      </c>
      <c r="H631">
        <v>-563200.6</v>
      </c>
      <c r="I631">
        <v>60.09</v>
      </c>
      <c r="J631">
        <v>0</v>
      </c>
      <c r="K631">
        <v>55271</v>
      </c>
      <c r="L631">
        <v>58725.4375</v>
      </c>
      <c r="M631">
        <v>62836.218124999999</v>
      </c>
      <c r="N631">
        <v>67234.753393749997</v>
      </c>
      <c r="O631" t="s">
        <v>3102</v>
      </c>
      <c r="P631" t="s">
        <v>3103</v>
      </c>
      <c r="Q631" t="s">
        <v>3104</v>
      </c>
    </row>
    <row r="632" spans="1:17" x14ac:dyDescent="0.25">
      <c r="A632" t="s">
        <v>956</v>
      </c>
      <c r="C632" t="s">
        <v>156</v>
      </c>
      <c r="D632">
        <v>365236</v>
      </c>
      <c r="E632">
        <v>-141346.4</v>
      </c>
      <c r="F632">
        <v>0</v>
      </c>
      <c r="G632">
        <v>-848078.4</v>
      </c>
      <c r="H632">
        <v>-563200.6</v>
      </c>
      <c r="I632">
        <v>60.09</v>
      </c>
      <c r="J632">
        <v>0</v>
      </c>
      <c r="K632">
        <v>365236</v>
      </c>
      <c r="L632">
        <v>388063.25</v>
      </c>
      <c r="M632">
        <v>415227.67749999999</v>
      </c>
      <c r="N632">
        <v>444293.614925</v>
      </c>
      <c r="O632" t="s">
        <v>3102</v>
      </c>
      <c r="P632" t="s">
        <v>3103</v>
      </c>
      <c r="Q632" t="s">
        <v>3104</v>
      </c>
    </row>
    <row r="633" spans="1:17" x14ac:dyDescent="0.25">
      <c r="A633" t="s">
        <v>957</v>
      </c>
      <c r="C633" t="s">
        <v>157</v>
      </c>
      <c r="D633">
        <v>7383</v>
      </c>
      <c r="E633">
        <v>-141346.4</v>
      </c>
      <c r="F633">
        <v>0</v>
      </c>
      <c r="G633">
        <v>-848078.4</v>
      </c>
      <c r="H633">
        <v>-563200.6</v>
      </c>
      <c r="I633">
        <v>60.09</v>
      </c>
      <c r="J633">
        <v>7617</v>
      </c>
      <c r="K633">
        <v>15000</v>
      </c>
      <c r="L633">
        <v>15937.5</v>
      </c>
      <c r="M633">
        <v>17053.125</v>
      </c>
      <c r="N633">
        <v>18246.84375</v>
      </c>
      <c r="O633" t="s">
        <v>3102</v>
      </c>
      <c r="P633" t="s">
        <v>3103</v>
      </c>
      <c r="Q633" t="s">
        <v>3104</v>
      </c>
    </row>
    <row r="634" spans="1:17" x14ac:dyDescent="0.25">
      <c r="A634" t="s">
        <v>958</v>
      </c>
      <c r="C634" t="s">
        <v>158</v>
      </c>
      <c r="D634">
        <v>12841</v>
      </c>
      <c r="E634">
        <v>-141346.4</v>
      </c>
      <c r="F634">
        <v>0</v>
      </c>
      <c r="G634">
        <v>-848078.4</v>
      </c>
      <c r="H634">
        <v>-563200.6</v>
      </c>
      <c r="I634">
        <v>60.09</v>
      </c>
      <c r="J634">
        <v>0</v>
      </c>
      <c r="K634">
        <v>12841</v>
      </c>
      <c r="L634">
        <v>13643.5625</v>
      </c>
      <c r="M634">
        <v>14598.611875000001</v>
      </c>
      <c r="N634">
        <v>15620.51470625</v>
      </c>
      <c r="O634" t="s">
        <v>3102</v>
      </c>
      <c r="P634" t="s">
        <v>3103</v>
      </c>
      <c r="Q634" t="s">
        <v>3104</v>
      </c>
    </row>
    <row r="635" spans="1:17" x14ac:dyDescent="0.25">
      <c r="A635" t="s">
        <v>959</v>
      </c>
      <c r="C635" t="s">
        <v>159</v>
      </c>
      <c r="D635">
        <v>140657</v>
      </c>
      <c r="E635">
        <v>-141346.4</v>
      </c>
      <c r="F635">
        <v>0</v>
      </c>
      <c r="G635">
        <v>-848078.4</v>
      </c>
      <c r="H635">
        <v>-563200.6</v>
      </c>
      <c r="I635">
        <v>60.09</v>
      </c>
      <c r="J635">
        <v>0</v>
      </c>
      <c r="K635">
        <v>140657</v>
      </c>
      <c r="L635">
        <v>149448.0625</v>
      </c>
      <c r="M635">
        <v>159909.426875</v>
      </c>
      <c r="N635">
        <v>171103.08675625001</v>
      </c>
      <c r="O635" t="s">
        <v>3102</v>
      </c>
      <c r="P635" t="s">
        <v>3103</v>
      </c>
      <c r="Q635" t="s">
        <v>3104</v>
      </c>
    </row>
    <row r="636" spans="1:17" x14ac:dyDescent="0.25">
      <c r="A636" t="s">
        <v>960</v>
      </c>
      <c r="C636" t="s">
        <v>161</v>
      </c>
      <c r="D636">
        <v>57035</v>
      </c>
      <c r="E636">
        <v>-141346.4</v>
      </c>
      <c r="F636">
        <v>0</v>
      </c>
      <c r="G636">
        <v>-848078.4</v>
      </c>
      <c r="H636">
        <v>-563200.6</v>
      </c>
      <c r="I636">
        <v>60.09</v>
      </c>
      <c r="J636">
        <v>0</v>
      </c>
      <c r="K636">
        <v>57035</v>
      </c>
      <c r="L636">
        <v>60599.6875</v>
      </c>
      <c r="M636">
        <v>64841.665625000001</v>
      </c>
      <c r="N636">
        <v>69380.582218750002</v>
      </c>
      <c r="O636" t="s">
        <v>3102</v>
      </c>
      <c r="P636" t="s">
        <v>3103</v>
      </c>
      <c r="Q636" t="s">
        <v>3104</v>
      </c>
    </row>
    <row r="637" spans="1:17" x14ac:dyDescent="0.25">
      <c r="A637" t="s">
        <v>961</v>
      </c>
      <c r="C637" t="s">
        <v>164</v>
      </c>
      <c r="D637">
        <v>15692</v>
      </c>
      <c r="E637">
        <v>-141346.4</v>
      </c>
      <c r="F637">
        <v>0</v>
      </c>
      <c r="G637">
        <v>-848078.4</v>
      </c>
      <c r="H637">
        <v>-563200.6</v>
      </c>
      <c r="I637">
        <v>60.09</v>
      </c>
      <c r="J637">
        <v>0</v>
      </c>
      <c r="K637">
        <v>15692</v>
      </c>
      <c r="L637">
        <v>16672.75</v>
      </c>
      <c r="M637">
        <v>17839.842499999999</v>
      </c>
      <c r="N637">
        <v>19088.631474999998</v>
      </c>
      <c r="O637" t="s">
        <v>3102</v>
      </c>
      <c r="P637" t="s">
        <v>3103</v>
      </c>
      <c r="Q637" t="s">
        <v>3104</v>
      </c>
    </row>
    <row r="638" spans="1:17" x14ac:dyDescent="0.25">
      <c r="A638" t="s">
        <v>962</v>
      </c>
      <c r="C638" t="s">
        <v>167</v>
      </c>
      <c r="D638">
        <v>449</v>
      </c>
      <c r="E638">
        <v>-141346.4</v>
      </c>
      <c r="F638">
        <v>0</v>
      </c>
      <c r="G638">
        <v>-848078.4</v>
      </c>
      <c r="H638">
        <v>-563200.6</v>
      </c>
      <c r="I638">
        <v>60.09</v>
      </c>
      <c r="J638">
        <v>0</v>
      </c>
      <c r="K638">
        <v>449</v>
      </c>
      <c r="L638">
        <v>477.0625</v>
      </c>
      <c r="M638">
        <v>510.45687499999997</v>
      </c>
      <c r="N638">
        <v>546.18885624999996</v>
      </c>
      <c r="O638" t="s">
        <v>3102</v>
      </c>
      <c r="P638" t="s">
        <v>3103</v>
      </c>
      <c r="Q638" t="s">
        <v>3104</v>
      </c>
    </row>
    <row r="639" spans="1:17" x14ac:dyDescent="0.25">
      <c r="A639" t="s">
        <v>963</v>
      </c>
      <c r="C639" t="s">
        <v>168</v>
      </c>
      <c r="D639">
        <v>161725</v>
      </c>
      <c r="E639">
        <v>-141346.4</v>
      </c>
      <c r="F639">
        <v>0</v>
      </c>
      <c r="G639">
        <v>-848078.4</v>
      </c>
      <c r="H639">
        <v>-563200.6</v>
      </c>
      <c r="I639">
        <v>60.09</v>
      </c>
      <c r="J639">
        <v>0</v>
      </c>
      <c r="K639">
        <v>161725</v>
      </c>
      <c r="L639">
        <v>171832.8125</v>
      </c>
      <c r="M639">
        <v>183861.109375</v>
      </c>
      <c r="N639">
        <v>196731.38703124999</v>
      </c>
      <c r="O639" t="s">
        <v>3102</v>
      </c>
      <c r="P639" t="s">
        <v>3103</v>
      </c>
      <c r="Q639" t="s">
        <v>3104</v>
      </c>
    </row>
    <row r="640" spans="1:17" x14ac:dyDescent="0.25">
      <c r="A640" t="s">
        <v>964</v>
      </c>
      <c r="C640" t="s">
        <v>169</v>
      </c>
      <c r="D640">
        <v>371335</v>
      </c>
      <c r="E640">
        <v>-141346.4</v>
      </c>
      <c r="F640">
        <v>0</v>
      </c>
      <c r="G640">
        <v>-848078.4</v>
      </c>
      <c r="H640">
        <v>-563200.6</v>
      </c>
      <c r="I640">
        <v>60.09</v>
      </c>
      <c r="J640">
        <v>0</v>
      </c>
      <c r="K640">
        <v>371335</v>
      </c>
      <c r="L640">
        <v>394543.4375</v>
      </c>
      <c r="M640">
        <v>422161.47812500002</v>
      </c>
      <c r="N640">
        <v>451712.78159375</v>
      </c>
      <c r="O640" t="s">
        <v>3102</v>
      </c>
      <c r="P640" t="s">
        <v>3103</v>
      </c>
      <c r="Q640" t="s">
        <v>3104</v>
      </c>
    </row>
    <row r="641" spans="1:17" x14ac:dyDescent="0.25">
      <c r="A641" t="s">
        <v>965</v>
      </c>
      <c r="C641" t="s">
        <v>170</v>
      </c>
      <c r="D641">
        <v>7140</v>
      </c>
      <c r="E641">
        <v>-141346.4</v>
      </c>
      <c r="F641">
        <v>0</v>
      </c>
      <c r="G641">
        <v>-848078.4</v>
      </c>
      <c r="H641">
        <v>-563200.6</v>
      </c>
      <c r="I641">
        <v>60.09</v>
      </c>
      <c r="J641">
        <v>0</v>
      </c>
      <c r="K641">
        <v>7140</v>
      </c>
      <c r="L641">
        <v>7586.25</v>
      </c>
      <c r="M641">
        <v>8117.2875000000004</v>
      </c>
      <c r="N641">
        <v>8685.497625</v>
      </c>
      <c r="O641" t="s">
        <v>3102</v>
      </c>
      <c r="P641" t="s">
        <v>3103</v>
      </c>
      <c r="Q641" t="s">
        <v>3104</v>
      </c>
    </row>
    <row r="642" spans="1:17" x14ac:dyDescent="0.25">
      <c r="A642" t="s">
        <v>966</v>
      </c>
      <c r="C642" t="s">
        <v>173</v>
      </c>
      <c r="D642">
        <v>32206</v>
      </c>
      <c r="E642">
        <v>-141346.4</v>
      </c>
      <c r="F642">
        <v>0</v>
      </c>
      <c r="G642">
        <v>-848078.4</v>
      </c>
      <c r="H642">
        <v>-563200.6</v>
      </c>
      <c r="I642">
        <v>60.09</v>
      </c>
      <c r="J642">
        <v>0</v>
      </c>
      <c r="K642">
        <v>32206</v>
      </c>
      <c r="L642">
        <v>34218.875</v>
      </c>
      <c r="M642">
        <v>36614.196250000001</v>
      </c>
      <c r="N642">
        <v>39177.189987500002</v>
      </c>
      <c r="O642" t="s">
        <v>3102</v>
      </c>
      <c r="P642" t="s">
        <v>3103</v>
      </c>
      <c r="Q642" t="s">
        <v>3111</v>
      </c>
    </row>
    <row r="643" spans="1:17" x14ac:dyDescent="0.25">
      <c r="A643" t="s">
        <v>967</v>
      </c>
      <c r="C643" t="s">
        <v>174</v>
      </c>
      <c r="D643">
        <v>40124</v>
      </c>
      <c r="E643">
        <v>-141346.4</v>
      </c>
      <c r="F643">
        <v>0</v>
      </c>
      <c r="G643">
        <v>-848078.4</v>
      </c>
      <c r="H643">
        <v>-563200.6</v>
      </c>
      <c r="I643">
        <v>60.09</v>
      </c>
      <c r="J643">
        <v>0</v>
      </c>
      <c r="K643">
        <v>40124</v>
      </c>
      <c r="L643">
        <v>42631.75</v>
      </c>
      <c r="M643">
        <v>45615.972500000003</v>
      </c>
      <c r="N643">
        <v>48809.090575000002</v>
      </c>
      <c r="O643" t="s">
        <v>3102</v>
      </c>
      <c r="P643" t="s">
        <v>3103</v>
      </c>
      <c r="Q643" t="s">
        <v>3111</v>
      </c>
    </row>
    <row r="644" spans="1:17" x14ac:dyDescent="0.25">
      <c r="A644" t="s">
        <v>968</v>
      </c>
      <c r="C644" t="s">
        <v>175</v>
      </c>
      <c r="D644">
        <v>29542</v>
      </c>
      <c r="E644">
        <v>-141346.4</v>
      </c>
      <c r="F644">
        <v>0</v>
      </c>
      <c r="G644">
        <v>-848078.4</v>
      </c>
      <c r="H644">
        <v>-563200.6</v>
      </c>
      <c r="I644">
        <v>60.09</v>
      </c>
      <c r="J644">
        <v>0</v>
      </c>
      <c r="K644">
        <v>29542</v>
      </c>
      <c r="L644">
        <v>31388.375</v>
      </c>
      <c r="M644">
        <v>33585.561249999999</v>
      </c>
      <c r="N644">
        <v>35936.550537499999</v>
      </c>
      <c r="O644" t="s">
        <v>3102</v>
      </c>
      <c r="P644" t="s">
        <v>3103</v>
      </c>
      <c r="Q644" t="s">
        <v>3111</v>
      </c>
    </row>
    <row r="645" spans="1:17" x14ac:dyDescent="0.25">
      <c r="A645" t="s">
        <v>969</v>
      </c>
      <c r="C645" t="s">
        <v>246</v>
      </c>
      <c r="D645">
        <v>402221</v>
      </c>
      <c r="E645">
        <v>-141346.4</v>
      </c>
      <c r="F645">
        <v>0</v>
      </c>
      <c r="G645">
        <v>-848078.4</v>
      </c>
      <c r="H645">
        <v>-563200.6</v>
      </c>
      <c r="I645">
        <v>60.09</v>
      </c>
      <c r="J645">
        <v>0</v>
      </c>
      <c r="K645">
        <v>402221</v>
      </c>
      <c r="L645">
        <v>420320.94500000001</v>
      </c>
      <c r="M645">
        <v>439235.38752500003</v>
      </c>
      <c r="N645">
        <v>459000.97996362502</v>
      </c>
      <c r="O645" t="s">
        <v>3102</v>
      </c>
      <c r="P645" t="s">
        <v>3110</v>
      </c>
      <c r="Q645" t="s">
        <v>3106</v>
      </c>
    </row>
    <row r="646" spans="1:17" x14ac:dyDescent="0.25">
      <c r="A646" t="s">
        <v>970</v>
      </c>
      <c r="C646" t="s">
        <v>252</v>
      </c>
      <c r="D646">
        <v>8917</v>
      </c>
      <c r="E646">
        <v>-141346.4</v>
      </c>
      <c r="F646">
        <v>0</v>
      </c>
      <c r="G646">
        <v>-848078.4</v>
      </c>
      <c r="H646">
        <v>-563200.6</v>
      </c>
      <c r="I646">
        <v>60.09</v>
      </c>
      <c r="J646">
        <v>0</v>
      </c>
      <c r="K646">
        <v>8917</v>
      </c>
      <c r="L646">
        <v>9318.2649999999994</v>
      </c>
      <c r="M646">
        <v>9737.5869249999996</v>
      </c>
      <c r="N646">
        <v>10175.778336624999</v>
      </c>
      <c r="O646" t="s">
        <v>3102</v>
      </c>
      <c r="P646" t="s">
        <v>3110</v>
      </c>
      <c r="Q646" t="s">
        <v>3106</v>
      </c>
    </row>
    <row r="647" spans="1:17" x14ac:dyDescent="0.25">
      <c r="A647" t="s">
        <v>971</v>
      </c>
      <c r="C647" t="s">
        <v>265</v>
      </c>
      <c r="D647">
        <v>0</v>
      </c>
      <c r="E647">
        <v>-141346.4</v>
      </c>
      <c r="F647">
        <v>0</v>
      </c>
      <c r="G647">
        <v>-848078.4</v>
      </c>
      <c r="H647">
        <v>-563200.6</v>
      </c>
      <c r="I647">
        <v>60.09</v>
      </c>
      <c r="J647">
        <v>30000</v>
      </c>
      <c r="K647">
        <v>30000</v>
      </c>
      <c r="L647">
        <v>31350</v>
      </c>
      <c r="M647">
        <v>32760.75</v>
      </c>
      <c r="N647">
        <v>34234.983749999999</v>
      </c>
      <c r="O647" t="s">
        <v>3102</v>
      </c>
      <c r="P647" t="s">
        <v>3110</v>
      </c>
      <c r="Q647" t="s">
        <v>3104</v>
      </c>
    </row>
    <row r="648" spans="1:17" x14ac:dyDescent="0.25">
      <c r="A648" t="s">
        <v>972</v>
      </c>
      <c r="C648" t="s">
        <v>268</v>
      </c>
      <c r="D648">
        <v>0</v>
      </c>
      <c r="E648">
        <v>-141346.4</v>
      </c>
      <c r="F648">
        <v>0</v>
      </c>
      <c r="G648">
        <v>-848078.4</v>
      </c>
      <c r="H648">
        <v>-563200.6</v>
      </c>
      <c r="I648">
        <v>60.09</v>
      </c>
      <c r="J648">
        <v>40000</v>
      </c>
      <c r="K648">
        <v>40000</v>
      </c>
      <c r="L648">
        <v>41800</v>
      </c>
      <c r="M648">
        <v>43681</v>
      </c>
      <c r="N648">
        <v>45646.644999999997</v>
      </c>
      <c r="O648" t="s">
        <v>3102</v>
      </c>
      <c r="P648" t="s">
        <v>3110</v>
      </c>
      <c r="Q648" t="s">
        <v>3104</v>
      </c>
    </row>
    <row r="649" spans="1:17" x14ac:dyDescent="0.25">
      <c r="A649" t="s">
        <v>973</v>
      </c>
      <c r="C649" t="s">
        <v>283</v>
      </c>
      <c r="D649">
        <v>1255286</v>
      </c>
      <c r="E649">
        <v>-141346.4</v>
      </c>
      <c r="F649">
        <v>0</v>
      </c>
      <c r="G649">
        <v>-848078.4</v>
      </c>
      <c r="H649">
        <v>-563200.6</v>
      </c>
      <c r="I649">
        <v>60.09</v>
      </c>
      <c r="J649">
        <v>0</v>
      </c>
      <c r="K649">
        <v>1255286</v>
      </c>
      <c r="L649">
        <v>1311773.8700000001</v>
      </c>
      <c r="M649">
        <v>1370803.6941500001</v>
      </c>
      <c r="N649">
        <v>1432489.8603867502</v>
      </c>
      <c r="O649" t="s">
        <v>3102</v>
      </c>
      <c r="P649" t="s">
        <v>3189</v>
      </c>
      <c r="Q649" t="s">
        <v>3106</v>
      </c>
    </row>
    <row r="650" spans="1:17" x14ac:dyDescent="0.25">
      <c r="A650" t="s">
        <v>974</v>
      </c>
      <c r="C650" t="s">
        <v>292</v>
      </c>
      <c r="D650">
        <v>23297</v>
      </c>
      <c r="E650">
        <v>-141346.4</v>
      </c>
      <c r="F650">
        <v>0</v>
      </c>
      <c r="G650">
        <v>-848078.4</v>
      </c>
      <c r="H650">
        <v>-563200.6</v>
      </c>
      <c r="I650">
        <v>60.09</v>
      </c>
      <c r="J650">
        <v>0</v>
      </c>
      <c r="K650">
        <v>23297</v>
      </c>
      <c r="L650">
        <v>24345.365000000002</v>
      </c>
      <c r="M650">
        <v>25440.906425000001</v>
      </c>
      <c r="N650">
        <v>26585.747214125</v>
      </c>
      <c r="O650" t="s">
        <v>3102</v>
      </c>
      <c r="P650" t="s">
        <v>3117</v>
      </c>
      <c r="Q650" t="s">
        <v>3111</v>
      </c>
    </row>
    <row r="651" spans="1:17" x14ac:dyDescent="0.25">
      <c r="A651" t="s">
        <v>975</v>
      </c>
      <c r="C651" t="s">
        <v>293</v>
      </c>
      <c r="D651">
        <v>18297</v>
      </c>
      <c r="E651">
        <v>-141346.4</v>
      </c>
      <c r="F651">
        <v>0</v>
      </c>
      <c r="G651">
        <v>-848078.4</v>
      </c>
      <c r="H651">
        <v>-563200.6</v>
      </c>
      <c r="I651">
        <v>60.09</v>
      </c>
      <c r="J651">
        <v>0</v>
      </c>
      <c r="K651">
        <v>18297</v>
      </c>
      <c r="L651">
        <v>19120.365000000002</v>
      </c>
      <c r="M651">
        <v>19980.781425000001</v>
      </c>
      <c r="N651">
        <v>20879.916589125001</v>
      </c>
      <c r="O651" t="s">
        <v>3102</v>
      </c>
      <c r="P651" t="s">
        <v>3117</v>
      </c>
      <c r="Q651" t="s">
        <v>3111</v>
      </c>
    </row>
    <row r="652" spans="1:17" x14ac:dyDescent="0.25">
      <c r="A652" t="s">
        <v>977</v>
      </c>
      <c r="C652" t="s">
        <v>31</v>
      </c>
      <c r="D652">
        <v>-1167000</v>
      </c>
      <c r="E652">
        <v>-290187</v>
      </c>
      <c r="F652">
        <v>0</v>
      </c>
      <c r="G652">
        <v>-524054</v>
      </c>
      <c r="H652">
        <v>-642946</v>
      </c>
      <c r="I652">
        <v>44.9</v>
      </c>
      <c r="J652">
        <v>0</v>
      </c>
      <c r="K652">
        <v>-1167000</v>
      </c>
      <c r="L652">
        <v>-1304000</v>
      </c>
      <c r="M652">
        <v>0</v>
      </c>
      <c r="N652">
        <v>0</v>
      </c>
      <c r="O652" t="s">
        <v>3100</v>
      </c>
      <c r="Q652" t="s">
        <v>3190</v>
      </c>
    </row>
    <row r="653" spans="1:17" x14ac:dyDescent="0.25">
      <c r="A653" t="s">
        <v>978</v>
      </c>
      <c r="C653" t="s">
        <v>139</v>
      </c>
      <c r="D653">
        <v>651161</v>
      </c>
      <c r="E653">
        <v>-290187</v>
      </c>
      <c r="F653">
        <v>0</v>
      </c>
      <c r="G653">
        <v>-524054</v>
      </c>
      <c r="H653">
        <v>-642946</v>
      </c>
      <c r="I653">
        <v>44.9</v>
      </c>
      <c r="J653">
        <v>0</v>
      </c>
      <c r="K653">
        <v>651161</v>
      </c>
      <c r="L653">
        <v>691858.5625</v>
      </c>
      <c r="M653">
        <v>740288.66187499999</v>
      </c>
      <c r="N653">
        <v>792108.86820625002</v>
      </c>
      <c r="O653" t="s">
        <v>3102</v>
      </c>
      <c r="P653" t="s">
        <v>3103</v>
      </c>
      <c r="Q653" t="s">
        <v>3111</v>
      </c>
    </row>
    <row r="654" spans="1:17" x14ac:dyDescent="0.25">
      <c r="A654" t="s">
        <v>979</v>
      </c>
      <c r="C654" t="s">
        <v>140</v>
      </c>
      <c r="D654">
        <v>32558</v>
      </c>
      <c r="E654">
        <v>-290187</v>
      </c>
      <c r="F654">
        <v>0</v>
      </c>
      <c r="G654">
        <v>-524054</v>
      </c>
      <c r="H654">
        <v>-642946</v>
      </c>
      <c r="I654">
        <v>44.9</v>
      </c>
      <c r="J654">
        <v>0</v>
      </c>
      <c r="K654">
        <v>32558</v>
      </c>
      <c r="L654">
        <v>34592.875</v>
      </c>
      <c r="M654">
        <v>37014.376250000001</v>
      </c>
      <c r="N654">
        <v>39605.382587500004</v>
      </c>
      <c r="O654" t="s">
        <v>3102</v>
      </c>
      <c r="P654" t="s">
        <v>3103</v>
      </c>
      <c r="Q654" t="s">
        <v>3111</v>
      </c>
    </row>
    <row r="655" spans="1:17" x14ac:dyDescent="0.25">
      <c r="A655" t="s">
        <v>980</v>
      </c>
      <c r="C655" t="s">
        <v>141</v>
      </c>
      <c r="D655">
        <v>40000</v>
      </c>
      <c r="E655">
        <v>-290187</v>
      </c>
      <c r="F655">
        <v>0</v>
      </c>
      <c r="G655">
        <v>-524054</v>
      </c>
      <c r="H655">
        <v>-642946</v>
      </c>
      <c r="I655">
        <v>44.9</v>
      </c>
      <c r="J655">
        <v>0</v>
      </c>
      <c r="K655">
        <v>40000</v>
      </c>
      <c r="L655">
        <v>42500</v>
      </c>
      <c r="M655">
        <v>45475</v>
      </c>
      <c r="N655">
        <v>48658.25</v>
      </c>
      <c r="O655" t="s">
        <v>3102</v>
      </c>
      <c r="P655" t="s">
        <v>3103</v>
      </c>
      <c r="Q655" t="s">
        <v>3111</v>
      </c>
    </row>
    <row r="656" spans="1:17" x14ac:dyDescent="0.25">
      <c r="A656" t="s">
        <v>981</v>
      </c>
      <c r="C656" t="s">
        <v>142</v>
      </c>
      <c r="D656">
        <v>205628</v>
      </c>
      <c r="E656">
        <v>-290187</v>
      </c>
      <c r="F656">
        <v>0</v>
      </c>
      <c r="G656">
        <v>-524054</v>
      </c>
      <c r="H656">
        <v>-642946</v>
      </c>
      <c r="I656">
        <v>44.9</v>
      </c>
      <c r="J656">
        <v>0</v>
      </c>
      <c r="K656">
        <v>205628</v>
      </c>
      <c r="L656">
        <v>218479.75</v>
      </c>
      <c r="M656">
        <v>233773.33249999999</v>
      </c>
      <c r="N656">
        <v>250137.46577499999</v>
      </c>
      <c r="O656" t="s">
        <v>3102</v>
      </c>
      <c r="P656" t="s">
        <v>3103</v>
      </c>
      <c r="Q656" t="s">
        <v>3111</v>
      </c>
    </row>
    <row r="657" spans="1:17" x14ac:dyDescent="0.25">
      <c r="A657" t="s">
        <v>982</v>
      </c>
      <c r="C657" t="s">
        <v>143</v>
      </c>
      <c r="D657">
        <v>17000</v>
      </c>
      <c r="E657">
        <v>-290187</v>
      </c>
      <c r="F657">
        <v>0</v>
      </c>
      <c r="G657">
        <v>-524054</v>
      </c>
      <c r="H657">
        <v>-642946</v>
      </c>
      <c r="I657">
        <v>44.9</v>
      </c>
      <c r="J657">
        <v>0</v>
      </c>
      <c r="K657">
        <v>17000</v>
      </c>
      <c r="L657">
        <v>18062.5</v>
      </c>
      <c r="M657">
        <v>19326.875</v>
      </c>
      <c r="N657">
        <v>20679.756249999999</v>
      </c>
      <c r="O657" t="s">
        <v>3102</v>
      </c>
      <c r="P657" t="s">
        <v>3103</v>
      </c>
      <c r="Q657" t="s">
        <v>3104</v>
      </c>
    </row>
    <row r="658" spans="1:17" x14ac:dyDescent="0.25">
      <c r="A658" t="s">
        <v>983</v>
      </c>
      <c r="C658" t="s">
        <v>144</v>
      </c>
      <c r="D658">
        <v>18580</v>
      </c>
      <c r="E658">
        <v>-290187</v>
      </c>
      <c r="F658">
        <v>0</v>
      </c>
      <c r="G658">
        <v>-524054</v>
      </c>
      <c r="H658">
        <v>-642946</v>
      </c>
      <c r="I658">
        <v>44.9</v>
      </c>
      <c r="J658">
        <v>-18580</v>
      </c>
      <c r="K658">
        <v>0</v>
      </c>
      <c r="L658">
        <v>0</v>
      </c>
      <c r="M658">
        <v>0</v>
      </c>
      <c r="O658" t="s">
        <v>3102</v>
      </c>
      <c r="P658" t="s">
        <v>3103</v>
      </c>
      <c r="Q658" t="s">
        <v>3111</v>
      </c>
    </row>
    <row r="659" spans="1:17" x14ac:dyDescent="0.25">
      <c r="A659" t="s">
        <v>984</v>
      </c>
      <c r="C659" t="s">
        <v>150</v>
      </c>
      <c r="D659">
        <v>215677</v>
      </c>
      <c r="E659">
        <v>-290187</v>
      </c>
      <c r="F659">
        <v>0</v>
      </c>
      <c r="G659">
        <v>-524054</v>
      </c>
      <c r="H659">
        <v>-642946</v>
      </c>
      <c r="I659">
        <v>44.9</v>
      </c>
      <c r="J659">
        <v>0</v>
      </c>
      <c r="K659">
        <v>215677</v>
      </c>
      <c r="L659">
        <v>229156.8125</v>
      </c>
      <c r="M659">
        <v>245197.78937499999</v>
      </c>
      <c r="N659">
        <v>262361.63463125</v>
      </c>
      <c r="O659" t="s">
        <v>3102</v>
      </c>
      <c r="P659" t="s">
        <v>3103</v>
      </c>
      <c r="Q659" t="s">
        <v>3104</v>
      </c>
    </row>
    <row r="660" spans="1:17" x14ac:dyDescent="0.25">
      <c r="A660" t="s">
        <v>985</v>
      </c>
      <c r="C660" t="s">
        <v>151</v>
      </c>
      <c r="D660">
        <v>10078</v>
      </c>
      <c r="E660">
        <v>-290187</v>
      </c>
      <c r="F660">
        <v>0</v>
      </c>
      <c r="G660">
        <v>-524054</v>
      </c>
      <c r="H660">
        <v>-642946</v>
      </c>
      <c r="I660">
        <v>44.9</v>
      </c>
      <c r="J660">
        <v>-1610.9099999999999</v>
      </c>
      <c r="K660">
        <v>8467.09</v>
      </c>
      <c r="L660">
        <v>8996.2831249999999</v>
      </c>
      <c r="M660">
        <v>9626.0229437500002</v>
      </c>
      <c r="N660">
        <v>10299.8445498125</v>
      </c>
      <c r="O660" t="s">
        <v>3102</v>
      </c>
      <c r="P660" t="s">
        <v>3103</v>
      </c>
      <c r="Q660" t="s">
        <v>3104</v>
      </c>
    </row>
    <row r="661" spans="1:17" x14ac:dyDescent="0.25">
      <c r="A661" t="s">
        <v>986</v>
      </c>
      <c r="C661" t="s">
        <v>155</v>
      </c>
      <c r="D661">
        <v>7157</v>
      </c>
      <c r="E661">
        <v>-290187</v>
      </c>
      <c r="F661">
        <v>0</v>
      </c>
      <c r="G661">
        <v>-524054</v>
      </c>
      <c r="H661">
        <v>-642946</v>
      </c>
      <c r="I661">
        <v>44.9</v>
      </c>
      <c r="J661">
        <v>0</v>
      </c>
      <c r="K661">
        <v>7157</v>
      </c>
      <c r="L661">
        <v>7604.3125</v>
      </c>
      <c r="M661">
        <v>8136.6143750000001</v>
      </c>
      <c r="N661">
        <v>8706.1773812499996</v>
      </c>
      <c r="O661" t="s">
        <v>3102</v>
      </c>
      <c r="P661" t="s">
        <v>3103</v>
      </c>
      <c r="Q661" t="s">
        <v>3104</v>
      </c>
    </row>
    <row r="662" spans="1:17" x14ac:dyDescent="0.25">
      <c r="A662" t="s">
        <v>987</v>
      </c>
      <c r="C662" t="s">
        <v>157</v>
      </c>
      <c r="D662">
        <v>36901</v>
      </c>
      <c r="E662">
        <v>-290187</v>
      </c>
      <c r="F662">
        <v>0</v>
      </c>
      <c r="G662">
        <v>-524054</v>
      </c>
      <c r="H662">
        <v>-642946</v>
      </c>
      <c r="I662">
        <v>44.9</v>
      </c>
      <c r="J662">
        <v>0</v>
      </c>
      <c r="K662">
        <v>36901</v>
      </c>
      <c r="L662">
        <v>39207.3125</v>
      </c>
      <c r="M662">
        <v>41951.824374999997</v>
      </c>
      <c r="N662">
        <v>44888.452081249998</v>
      </c>
      <c r="O662" t="s">
        <v>3102</v>
      </c>
      <c r="P662" t="s">
        <v>3103</v>
      </c>
      <c r="Q662" t="s">
        <v>3104</v>
      </c>
    </row>
    <row r="663" spans="1:17" x14ac:dyDescent="0.25">
      <c r="A663" t="s">
        <v>988</v>
      </c>
      <c r="C663" t="s">
        <v>159</v>
      </c>
      <c r="D663">
        <v>17973</v>
      </c>
      <c r="E663">
        <v>-290187</v>
      </c>
      <c r="F663">
        <v>0</v>
      </c>
      <c r="G663">
        <v>-524054</v>
      </c>
      <c r="H663">
        <v>-642946</v>
      </c>
      <c r="I663">
        <v>44.9</v>
      </c>
      <c r="J663">
        <v>0</v>
      </c>
      <c r="K663">
        <v>17973</v>
      </c>
      <c r="L663">
        <v>19096.3125</v>
      </c>
      <c r="M663">
        <v>20433.054375</v>
      </c>
      <c r="N663">
        <v>21863.36818125</v>
      </c>
      <c r="O663" t="s">
        <v>3102</v>
      </c>
      <c r="P663" t="s">
        <v>3103</v>
      </c>
      <c r="Q663" t="s">
        <v>3104</v>
      </c>
    </row>
    <row r="664" spans="1:17" x14ac:dyDescent="0.25">
      <c r="A664" t="s">
        <v>989</v>
      </c>
      <c r="C664" t="s">
        <v>164</v>
      </c>
      <c r="D664">
        <v>32457</v>
      </c>
      <c r="E664">
        <v>-290187</v>
      </c>
      <c r="F664">
        <v>0</v>
      </c>
      <c r="G664">
        <v>-524054</v>
      </c>
      <c r="H664">
        <v>-642946</v>
      </c>
      <c r="I664">
        <v>44.9</v>
      </c>
      <c r="J664">
        <v>0</v>
      </c>
      <c r="K664">
        <v>32457</v>
      </c>
      <c r="L664">
        <v>34485.5625</v>
      </c>
      <c r="M664">
        <v>36899.551874999997</v>
      </c>
      <c r="N664">
        <v>39482.520506249995</v>
      </c>
      <c r="O664" t="s">
        <v>3102</v>
      </c>
      <c r="P664" t="s">
        <v>3103</v>
      </c>
      <c r="Q664" t="s">
        <v>3104</v>
      </c>
    </row>
    <row r="665" spans="1:17" x14ac:dyDescent="0.25">
      <c r="A665" t="s">
        <v>990</v>
      </c>
      <c r="C665" t="s">
        <v>167</v>
      </c>
      <c r="D665">
        <v>112</v>
      </c>
      <c r="E665">
        <v>-290187</v>
      </c>
      <c r="F665">
        <v>0</v>
      </c>
      <c r="G665">
        <v>-524054</v>
      </c>
      <c r="H665">
        <v>-642946</v>
      </c>
      <c r="I665">
        <v>44.9</v>
      </c>
      <c r="J665">
        <v>0</v>
      </c>
      <c r="K665">
        <v>112</v>
      </c>
      <c r="L665">
        <v>119</v>
      </c>
      <c r="M665">
        <v>127.33</v>
      </c>
      <c r="N665">
        <v>136.2431</v>
      </c>
      <c r="O665" t="s">
        <v>3102</v>
      </c>
      <c r="P665" t="s">
        <v>3103</v>
      </c>
      <c r="Q665" t="s">
        <v>3104</v>
      </c>
    </row>
    <row r="666" spans="1:17" x14ac:dyDescent="0.25">
      <c r="A666" t="s">
        <v>991</v>
      </c>
      <c r="C666" t="s">
        <v>168</v>
      </c>
      <c r="D666">
        <v>53908</v>
      </c>
      <c r="E666">
        <v>-290187</v>
      </c>
      <c r="F666">
        <v>0</v>
      </c>
      <c r="G666">
        <v>-524054</v>
      </c>
      <c r="H666">
        <v>-642946</v>
      </c>
      <c r="I666">
        <v>44.9</v>
      </c>
      <c r="J666">
        <v>-20000</v>
      </c>
      <c r="K666">
        <v>33908</v>
      </c>
      <c r="L666">
        <v>36027.25</v>
      </c>
      <c r="M666">
        <v>38549.157500000001</v>
      </c>
      <c r="N666">
        <v>41247.598525000001</v>
      </c>
      <c r="O666" t="s">
        <v>3102</v>
      </c>
      <c r="P666" t="s">
        <v>3103</v>
      </c>
      <c r="Q666" t="s">
        <v>3104</v>
      </c>
    </row>
    <row r="667" spans="1:17" x14ac:dyDescent="0.25">
      <c r="A667" t="s">
        <v>992</v>
      </c>
      <c r="C667" t="s">
        <v>169</v>
      </c>
      <c r="D667">
        <v>47449</v>
      </c>
      <c r="E667">
        <v>-290187</v>
      </c>
      <c r="F667">
        <v>0</v>
      </c>
      <c r="G667">
        <v>-524054</v>
      </c>
      <c r="H667">
        <v>-642946</v>
      </c>
      <c r="I667">
        <v>44.9</v>
      </c>
      <c r="J667">
        <v>0</v>
      </c>
      <c r="K667">
        <v>47449</v>
      </c>
      <c r="L667">
        <v>50414.5625</v>
      </c>
      <c r="M667">
        <v>53943.581875000003</v>
      </c>
      <c r="N667">
        <v>57719.632606250001</v>
      </c>
      <c r="O667" t="s">
        <v>3102</v>
      </c>
      <c r="P667" t="s">
        <v>3103</v>
      </c>
      <c r="Q667" t="s">
        <v>3104</v>
      </c>
    </row>
    <row r="668" spans="1:17" x14ac:dyDescent="0.25">
      <c r="A668" t="s">
        <v>993</v>
      </c>
      <c r="C668" t="s">
        <v>170</v>
      </c>
      <c r="D668">
        <v>1785</v>
      </c>
      <c r="E668">
        <v>-290187</v>
      </c>
      <c r="F668">
        <v>0</v>
      </c>
      <c r="G668">
        <v>-524054</v>
      </c>
      <c r="H668">
        <v>-642946</v>
      </c>
      <c r="I668">
        <v>44.9</v>
      </c>
      <c r="J668">
        <v>0</v>
      </c>
      <c r="K668">
        <v>1785</v>
      </c>
      <c r="L668">
        <v>1896.5625</v>
      </c>
      <c r="M668">
        <v>2029.3218750000001</v>
      </c>
      <c r="N668">
        <v>2171.37440625</v>
      </c>
      <c r="O668" t="s">
        <v>3102</v>
      </c>
      <c r="P668" t="s">
        <v>3103</v>
      </c>
      <c r="Q668" t="s">
        <v>3104</v>
      </c>
    </row>
    <row r="669" spans="1:17" x14ac:dyDescent="0.25">
      <c r="A669" t="s">
        <v>994</v>
      </c>
      <c r="C669" t="s">
        <v>173</v>
      </c>
      <c r="D669">
        <v>1667</v>
      </c>
      <c r="E669">
        <v>-290187</v>
      </c>
      <c r="F669">
        <v>0</v>
      </c>
      <c r="G669">
        <v>-524054</v>
      </c>
      <c r="H669">
        <v>-642946</v>
      </c>
      <c r="I669">
        <v>44.9</v>
      </c>
      <c r="J669">
        <v>0</v>
      </c>
      <c r="K669">
        <v>1667</v>
      </c>
      <c r="L669">
        <v>1771.1875</v>
      </c>
      <c r="M669">
        <v>1895.170625</v>
      </c>
      <c r="N669">
        <v>2027.8325687500001</v>
      </c>
      <c r="O669" t="s">
        <v>3102</v>
      </c>
      <c r="P669" t="s">
        <v>3103</v>
      </c>
      <c r="Q669" t="s">
        <v>3106</v>
      </c>
    </row>
    <row r="670" spans="1:17" x14ac:dyDescent="0.25">
      <c r="A670" t="s">
        <v>995</v>
      </c>
      <c r="C670" t="s">
        <v>174</v>
      </c>
      <c r="D670">
        <v>978</v>
      </c>
      <c r="E670">
        <v>-290187</v>
      </c>
      <c r="F670">
        <v>0</v>
      </c>
      <c r="G670">
        <v>-524054</v>
      </c>
      <c r="H670">
        <v>-642946</v>
      </c>
      <c r="I670">
        <v>44.9</v>
      </c>
      <c r="J670">
        <v>0</v>
      </c>
      <c r="K670">
        <v>978</v>
      </c>
      <c r="L670">
        <v>1039.125</v>
      </c>
      <c r="M670">
        <v>1111.86375</v>
      </c>
      <c r="N670">
        <v>1189.6942125</v>
      </c>
      <c r="O670" t="s">
        <v>3102</v>
      </c>
      <c r="P670" t="s">
        <v>3103</v>
      </c>
      <c r="Q670" t="s">
        <v>3106</v>
      </c>
    </row>
    <row r="671" spans="1:17" x14ac:dyDescent="0.25">
      <c r="A671" t="s">
        <v>996</v>
      </c>
      <c r="C671" t="s">
        <v>175</v>
      </c>
      <c r="D671">
        <v>2483</v>
      </c>
      <c r="E671">
        <v>-290187</v>
      </c>
      <c r="F671">
        <v>0</v>
      </c>
      <c r="G671">
        <v>-524054</v>
      </c>
      <c r="H671">
        <v>-642946</v>
      </c>
      <c r="I671">
        <v>44.9</v>
      </c>
      <c r="J671">
        <v>0</v>
      </c>
      <c r="K671">
        <v>2483</v>
      </c>
      <c r="L671">
        <v>2638.1875</v>
      </c>
      <c r="M671">
        <v>2822.8606249999998</v>
      </c>
      <c r="N671">
        <v>3020.4608687499999</v>
      </c>
      <c r="O671" t="s">
        <v>3102</v>
      </c>
      <c r="P671" t="s">
        <v>3103</v>
      </c>
      <c r="Q671" t="s">
        <v>3106</v>
      </c>
    </row>
    <row r="672" spans="1:17" x14ac:dyDescent="0.25">
      <c r="A672" t="s">
        <v>997</v>
      </c>
      <c r="C672" t="s">
        <v>235</v>
      </c>
      <c r="D672">
        <v>120000</v>
      </c>
      <c r="E672">
        <v>-290187</v>
      </c>
      <c r="F672">
        <v>0</v>
      </c>
      <c r="G672">
        <v>-524054</v>
      </c>
      <c r="H672">
        <v>-642946</v>
      </c>
      <c r="I672">
        <v>44.9</v>
      </c>
      <c r="J672">
        <v>-50000</v>
      </c>
      <c r="K672">
        <v>70000</v>
      </c>
      <c r="L672">
        <v>73150</v>
      </c>
      <c r="M672">
        <v>76514.899999999994</v>
      </c>
      <c r="N672">
        <v>80034.585399999996</v>
      </c>
      <c r="O672" t="s">
        <v>3102</v>
      </c>
      <c r="P672" t="s">
        <v>3105</v>
      </c>
      <c r="Q672" t="s">
        <v>3191</v>
      </c>
    </row>
    <row r="673" spans="1:17" x14ac:dyDescent="0.25">
      <c r="A673" t="s">
        <v>998</v>
      </c>
      <c r="C673" t="s">
        <v>242</v>
      </c>
      <c r="D673">
        <v>57680</v>
      </c>
      <c r="E673">
        <v>-290187</v>
      </c>
      <c r="F673">
        <v>0</v>
      </c>
      <c r="G673">
        <v>-524054</v>
      </c>
      <c r="H673">
        <v>-642946</v>
      </c>
      <c r="I673">
        <v>44.9</v>
      </c>
      <c r="J673">
        <v>-30000</v>
      </c>
      <c r="K673">
        <v>27680</v>
      </c>
      <c r="L673">
        <v>28925.599999999999</v>
      </c>
      <c r="M673">
        <v>30256.177599999999</v>
      </c>
      <c r="N673">
        <v>31647.961769599999</v>
      </c>
      <c r="O673" t="s">
        <v>3102</v>
      </c>
      <c r="P673" t="s">
        <v>3110</v>
      </c>
      <c r="Q673" t="s">
        <v>3192</v>
      </c>
    </row>
    <row r="674" spans="1:17" x14ac:dyDescent="0.25">
      <c r="A674" t="s">
        <v>999</v>
      </c>
      <c r="C674" t="s">
        <v>253</v>
      </c>
      <c r="D674">
        <v>2000</v>
      </c>
      <c r="E674">
        <v>-290187</v>
      </c>
      <c r="F674">
        <v>0</v>
      </c>
      <c r="G674">
        <v>-524054</v>
      </c>
      <c r="H674">
        <v>-642946</v>
      </c>
      <c r="I674">
        <v>44.9</v>
      </c>
      <c r="J674">
        <v>0</v>
      </c>
      <c r="K674">
        <v>2000</v>
      </c>
      <c r="L674">
        <v>2000</v>
      </c>
      <c r="M674">
        <v>2000</v>
      </c>
      <c r="N674">
        <v>2000</v>
      </c>
      <c r="O674" t="s">
        <v>3102</v>
      </c>
      <c r="P674" t="s">
        <v>3110</v>
      </c>
      <c r="Q674" t="s">
        <v>3106</v>
      </c>
    </row>
    <row r="675" spans="1:17" x14ac:dyDescent="0.25">
      <c r="A675" t="s">
        <v>1000</v>
      </c>
      <c r="C675" t="s">
        <v>261</v>
      </c>
      <c r="D675">
        <v>3147</v>
      </c>
      <c r="E675">
        <v>-290187</v>
      </c>
      <c r="F675">
        <v>0</v>
      </c>
      <c r="G675">
        <v>-524054</v>
      </c>
      <c r="H675">
        <v>-642946</v>
      </c>
      <c r="I675">
        <v>44.9</v>
      </c>
      <c r="J675">
        <v>0</v>
      </c>
      <c r="K675">
        <v>3147</v>
      </c>
      <c r="L675">
        <v>3288.6149999999998</v>
      </c>
      <c r="M675">
        <v>3439.8912899999996</v>
      </c>
      <c r="N675">
        <v>3598.1262893399994</v>
      </c>
      <c r="O675" t="s">
        <v>3102</v>
      </c>
      <c r="P675" t="s">
        <v>3110</v>
      </c>
      <c r="Q675" t="s">
        <v>3106</v>
      </c>
    </row>
    <row r="676" spans="1:17" x14ac:dyDescent="0.25">
      <c r="A676" t="s">
        <v>1369</v>
      </c>
      <c r="C676" t="s">
        <v>1370</v>
      </c>
      <c r="D676">
        <v>0</v>
      </c>
      <c r="E676">
        <v>-290187</v>
      </c>
      <c r="F676">
        <v>0</v>
      </c>
      <c r="G676">
        <v>-524054</v>
      </c>
      <c r="H676">
        <v>-642946</v>
      </c>
      <c r="I676">
        <v>44.9</v>
      </c>
      <c r="J676">
        <v>350000</v>
      </c>
      <c r="K676">
        <v>350000</v>
      </c>
      <c r="L676">
        <v>365750</v>
      </c>
      <c r="M676">
        <v>382574.5</v>
      </c>
      <c r="N676">
        <v>400172.92700000003</v>
      </c>
      <c r="O676" t="s">
        <v>3102</v>
      </c>
      <c r="P676" t="s">
        <v>3110</v>
      </c>
      <c r="Q676" t="s">
        <v>3111</v>
      </c>
    </row>
    <row r="677" spans="1:17" x14ac:dyDescent="0.25">
      <c r="A677" t="s">
        <v>1001</v>
      </c>
      <c r="C677" t="s">
        <v>265</v>
      </c>
      <c r="D677">
        <v>214343</v>
      </c>
      <c r="E677">
        <v>-290187</v>
      </c>
      <c r="F677">
        <v>0</v>
      </c>
      <c r="G677">
        <v>-524054</v>
      </c>
      <c r="H677">
        <v>-642946</v>
      </c>
      <c r="I677">
        <v>44.9</v>
      </c>
      <c r="J677">
        <v>-190000</v>
      </c>
      <c r="K677">
        <v>24343</v>
      </c>
      <c r="L677">
        <v>25438.435000000001</v>
      </c>
      <c r="M677">
        <v>26608.603010000003</v>
      </c>
      <c r="N677">
        <v>27832.598748460001</v>
      </c>
      <c r="O677" t="s">
        <v>3102</v>
      </c>
      <c r="P677" t="s">
        <v>3110</v>
      </c>
      <c r="Q677" t="s">
        <v>3104</v>
      </c>
    </row>
    <row r="678" spans="1:17" x14ac:dyDescent="0.25">
      <c r="A678" t="s">
        <v>1002</v>
      </c>
      <c r="C678" t="s">
        <v>268</v>
      </c>
      <c r="D678">
        <v>341356</v>
      </c>
      <c r="E678">
        <v>-290187</v>
      </c>
      <c r="F678">
        <v>0</v>
      </c>
      <c r="G678">
        <v>-524054</v>
      </c>
      <c r="H678">
        <v>-642946</v>
      </c>
      <c r="I678">
        <v>44.9</v>
      </c>
      <c r="J678">
        <v>-280000</v>
      </c>
      <c r="K678">
        <v>61356</v>
      </c>
      <c r="L678">
        <v>64117.02</v>
      </c>
      <c r="M678">
        <v>67066.402919999993</v>
      </c>
      <c r="N678">
        <v>70151.45745432</v>
      </c>
      <c r="O678" t="s">
        <v>3102</v>
      </c>
      <c r="P678" t="s">
        <v>3110</v>
      </c>
      <c r="Q678" t="s">
        <v>3104</v>
      </c>
    </row>
    <row r="679" spans="1:17" x14ac:dyDescent="0.25">
      <c r="A679" t="s">
        <v>1003</v>
      </c>
      <c r="C679" t="s">
        <v>268</v>
      </c>
      <c r="D679">
        <v>299131</v>
      </c>
      <c r="E679">
        <v>-290187</v>
      </c>
      <c r="F679">
        <v>0</v>
      </c>
      <c r="G679">
        <v>-524054</v>
      </c>
      <c r="H679">
        <v>-642946</v>
      </c>
      <c r="I679">
        <v>44.9</v>
      </c>
      <c r="J679">
        <v>-150000</v>
      </c>
      <c r="K679">
        <v>149131</v>
      </c>
      <c r="L679">
        <v>155841.89499999999</v>
      </c>
      <c r="M679">
        <v>163010.62216999999</v>
      </c>
      <c r="N679">
        <v>170509.11078982</v>
      </c>
      <c r="O679" t="s">
        <v>3102</v>
      </c>
      <c r="P679" t="s">
        <v>3110</v>
      </c>
      <c r="Q679" t="s">
        <v>3111</v>
      </c>
    </row>
    <row r="680" spans="1:17" x14ac:dyDescent="0.25">
      <c r="A680" t="s">
        <v>1004</v>
      </c>
      <c r="C680" t="s">
        <v>269</v>
      </c>
      <c r="D680">
        <v>25440</v>
      </c>
      <c r="E680">
        <v>-290187</v>
      </c>
      <c r="F680">
        <v>0</v>
      </c>
      <c r="G680">
        <v>-524054</v>
      </c>
      <c r="H680">
        <v>-642946</v>
      </c>
      <c r="I680">
        <v>44.9</v>
      </c>
      <c r="J680">
        <v>-10000</v>
      </c>
      <c r="K680">
        <v>15440</v>
      </c>
      <c r="L680">
        <v>16134.8</v>
      </c>
      <c r="M680">
        <v>16877.000799999998</v>
      </c>
      <c r="N680">
        <v>17653.342836799999</v>
      </c>
      <c r="O680" t="s">
        <v>3102</v>
      </c>
      <c r="P680" t="s">
        <v>3110</v>
      </c>
      <c r="Q680" t="s">
        <v>3106</v>
      </c>
    </row>
    <row r="681" spans="1:17" x14ac:dyDescent="0.25">
      <c r="A681" t="s">
        <v>1005</v>
      </c>
      <c r="C681" t="s">
        <v>272</v>
      </c>
      <c r="D681">
        <v>20324</v>
      </c>
      <c r="E681">
        <v>-290187</v>
      </c>
      <c r="F681">
        <v>0</v>
      </c>
      <c r="G681">
        <v>-524054</v>
      </c>
      <c r="H681">
        <v>-642946</v>
      </c>
      <c r="I681">
        <v>44.9</v>
      </c>
      <c r="J681">
        <v>-15000</v>
      </c>
      <c r="K681">
        <v>5324</v>
      </c>
      <c r="L681">
        <v>5563.58</v>
      </c>
      <c r="M681">
        <v>5819.50468</v>
      </c>
      <c r="N681">
        <v>6087.2018952799999</v>
      </c>
      <c r="O681" t="s">
        <v>3102</v>
      </c>
      <c r="P681" t="s">
        <v>3110</v>
      </c>
      <c r="Q681" t="s">
        <v>3106</v>
      </c>
    </row>
    <row r="682" spans="1:17" x14ac:dyDescent="0.25">
      <c r="A682" t="s">
        <v>1006</v>
      </c>
      <c r="C682" t="s">
        <v>277</v>
      </c>
      <c r="D682">
        <v>283871</v>
      </c>
      <c r="E682">
        <v>-290187</v>
      </c>
      <c r="F682">
        <v>0</v>
      </c>
      <c r="G682">
        <v>-524054</v>
      </c>
      <c r="H682">
        <v>-642946</v>
      </c>
      <c r="I682">
        <v>44.9</v>
      </c>
      <c r="J682">
        <v>0</v>
      </c>
      <c r="K682">
        <v>283871</v>
      </c>
      <c r="L682">
        <v>296645.19500000001</v>
      </c>
      <c r="M682">
        <v>310290.87397000002</v>
      </c>
      <c r="N682">
        <v>324564.25417262001</v>
      </c>
      <c r="O682" t="s">
        <v>3102</v>
      </c>
      <c r="P682" t="s">
        <v>3114</v>
      </c>
      <c r="Q682" t="s">
        <v>3106</v>
      </c>
    </row>
    <row r="683" spans="1:17" x14ac:dyDescent="0.25">
      <c r="A683" t="s">
        <v>1007</v>
      </c>
      <c r="C683" t="s">
        <v>278</v>
      </c>
      <c r="D683">
        <v>94743</v>
      </c>
      <c r="E683">
        <v>-290187</v>
      </c>
      <c r="F683">
        <v>0</v>
      </c>
      <c r="G683">
        <v>-524054</v>
      </c>
      <c r="H683">
        <v>-642946</v>
      </c>
      <c r="I683">
        <v>44.9</v>
      </c>
      <c r="J683">
        <v>25257</v>
      </c>
      <c r="K683">
        <v>120000</v>
      </c>
      <c r="L683">
        <v>125400</v>
      </c>
      <c r="M683">
        <v>131168.4</v>
      </c>
      <c r="N683">
        <v>137202.1464</v>
      </c>
      <c r="O683" t="s">
        <v>3102</v>
      </c>
      <c r="P683" t="s">
        <v>3114</v>
      </c>
      <c r="Q683" t="s">
        <v>3106</v>
      </c>
    </row>
    <row r="684" spans="1:17" x14ac:dyDescent="0.25">
      <c r="A684" t="s">
        <v>1008</v>
      </c>
      <c r="C684" t="s">
        <v>292</v>
      </c>
      <c r="D684">
        <v>3371</v>
      </c>
      <c r="E684">
        <v>-290187</v>
      </c>
      <c r="F684">
        <v>0</v>
      </c>
      <c r="G684">
        <v>-524054</v>
      </c>
      <c r="H684">
        <v>-642946</v>
      </c>
      <c r="I684">
        <v>44.9</v>
      </c>
      <c r="J684">
        <v>0</v>
      </c>
      <c r="K684">
        <v>3371</v>
      </c>
      <c r="L684">
        <v>3522.6950000000002</v>
      </c>
      <c r="M684">
        <v>3684.7389700000003</v>
      </c>
      <c r="N684">
        <v>3854.2369626200002</v>
      </c>
      <c r="O684" t="s">
        <v>3102</v>
      </c>
      <c r="P684" t="s">
        <v>3117</v>
      </c>
      <c r="Q684" t="s">
        <v>3111</v>
      </c>
    </row>
    <row r="685" spans="1:17" x14ac:dyDescent="0.25">
      <c r="A685" t="s">
        <v>1009</v>
      </c>
      <c r="C685" t="s">
        <v>293</v>
      </c>
      <c r="D685">
        <v>20133</v>
      </c>
      <c r="E685">
        <v>-290187</v>
      </c>
      <c r="F685">
        <v>0</v>
      </c>
      <c r="G685">
        <v>-524054</v>
      </c>
      <c r="H685">
        <v>-642946</v>
      </c>
      <c r="I685">
        <v>44.9</v>
      </c>
      <c r="J685">
        <v>0</v>
      </c>
      <c r="K685">
        <v>20133</v>
      </c>
      <c r="L685">
        <v>21038.985000000001</v>
      </c>
      <c r="M685">
        <v>22006.778310000002</v>
      </c>
      <c r="N685">
        <v>23019.090112260001</v>
      </c>
      <c r="O685" t="s">
        <v>3102</v>
      </c>
      <c r="P685" t="s">
        <v>3117</v>
      </c>
      <c r="Q685" t="s">
        <v>3111</v>
      </c>
    </row>
    <row r="686" spans="1:17" x14ac:dyDescent="0.25">
      <c r="A686" t="s">
        <v>1010</v>
      </c>
      <c r="C686" t="s">
        <v>296</v>
      </c>
      <c r="D686">
        <v>170617</v>
      </c>
      <c r="E686">
        <v>-290187</v>
      </c>
      <c r="F686">
        <v>0</v>
      </c>
      <c r="G686">
        <v>-524054</v>
      </c>
      <c r="H686">
        <v>-642946</v>
      </c>
      <c r="I686">
        <v>44.9</v>
      </c>
      <c r="J686">
        <v>0</v>
      </c>
      <c r="K686">
        <v>170617</v>
      </c>
      <c r="L686">
        <v>178294.76500000001</v>
      </c>
      <c r="M686">
        <v>186496.32419000001</v>
      </c>
      <c r="N686">
        <v>195075.15510274001</v>
      </c>
      <c r="O686" t="s">
        <v>3102</v>
      </c>
      <c r="P686" t="s">
        <v>3117</v>
      </c>
      <c r="Q686" t="s">
        <v>3111</v>
      </c>
    </row>
    <row r="687" spans="1:17" x14ac:dyDescent="0.25">
      <c r="A687" t="s">
        <v>1011</v>
      </c>
      <c r="C687" t="s">
        <v>297</v>
      </c>
      <c r="D687">
        <v>871352</v>
      </c>
      <c r="E687">
        <v>-290187</v>
      </c>
      <c r="F687">
        <v>0</v>
      </c>
      <c r="G687">
        <v>-524054</v>
      </c>
      <c r="H687">
        <v>-642946</v>
      </c>
      <c r="I687">
        <v>44.9</v>
      </c>
      <c r="J687">
        <v>0</v>
      </c>
      <c r="K687">
        <v>871352</v>
      </c>
      <c r="L687">
        <v>910562.84</v>
      </c>
      <c r="M687">
        <v>952448.73063999997</v>
      </c>
      <c r="N687">
        <v>996261.37224943994</v>
      </c>
      <c r="O687" t="s">
        <v>3102</v>
      </c>
      <c r="P687" t="s">
        <v>3117</v>
      </c>
      <c r="Q687" t="s">
        <v>3111</v>
      </c>
    </row>
    <row r="688" spans="1:17" x14ac:dyDescent="0.25">
      <c r="A688" t="s">
        <v>1012</v>
      </c>
      <c r="C688" t="s">
        <v>298</v>
      </c>
      <c r="D688">
        <v>0</v>
      </c>
      <c r="E688">
        <v>-290187</v>
      </c>
      <c r="F688">
        <v>0</v>
      </c>
      <c r="G688">
        <v>-524054</v>
      </c>
      <c r="H688">
        <v>-642946</v>
      </c>
      <c r="I688">
        <v>44.9</v>
      </c>
      <c r="J688">
        <v>0</v>
      </c>
      <c r="K688">
        <v>0</v>
      </c>
      <c r="L688">
        <v>0</v>
      </c>
      <c r="M688">
        <v>0</v>
      </c>
      <c r="N688">
        <v>0</v>
      </c>
      <c r="O688" t="s">
        <v>3102</v>
      </c>
      <c r="P688" t="s">
        <v>3117</v>
      </c>
      <c r="Q688" t="s">
        <v>3111</v>
      </c>
    </row>
    <row r="689" spans="1:17" x14ac:dyDescent="0.25">
      <c r="A689" t="s">
        <v>1013</v>
      </c>
      <c r="C689" t="s">
        <v>299</v>
      </c>
      <c r="D689">
        <v>5688</v>
      </c>
      <c r="E689">
        <v>-290187</v>
      </c>
      <c r="F689">
        <v>0</v>
      </c>
      <c r="G689">
        <v>-524054</v>
      </c>
      <c r="H689">
        <v>-642946</v>
      </c>
      <c r="I689">
        <v>44.9</v>
      </c>
      <c r="J689">
        <v>0</v>
      </c>
      <c r="K689">
        <v>5688</v>
      </c>
      <c r="L689">
        <v>5943.96</v>
      </c>
      <c r="M689">
        <v>6217.3821600000001</v>
      </c>
      <c r="N689">
        <v>6503.3817393600002</v>
      </c>
      <c r="O689" t="s">
        <v>3102</v>
      </c>
      <c r="P689" t="s">
        <v>3117</v>
      </c>
      <c r="Q689" t="s">
        <v>3111</v>
      </c>
    </row>
    <row r="690" spans="1:17" x14ac:dyDescent="0.25">
      <c r="A690" t="s">
        <v>1014</v>
      </c>
      <c r="C690" t="s">
        <v>300</v>
      </c>
      <c r="D690">
        <v>398294</v>
      </c>
      <c r="E690">
        <v>-290187</v>
      </c>
      <c r="F690">
        <v>0</v>
      </c>
      <c r="G690">
        <v>-524054</v>
      </c>
      <c r="H690">
        <v>-642946</v>
      </c>
      <c r="I690">
        <v>44.9</v>
      </c>
      <c r="J690">
        <v>0</v>
      </c>
      <c r="K690">
        <v>398294</v>
      </c>
      <c r="L690">
        <v>416217.23</v>
      </c>
      <c r="M690">
        <v>435363.22258</v>
      </c>
      <c r="N690">
        <v>455389.93081867998</v>
      </c>
      <c r="O690" t="s">
        <v>3102</v>
      </c>
      <c r="P690" t="s">
        <v>3117</v>
      </c>
      <c r="Q690" t="s">
        <v>3111</v>
      </c>
    </row>
    <row r="691" spans="1:17" x14ac:dyDescent="0.25">
      <c r="A691" t="s">
        <v>1015</v>
      </c>
      <c r="C691" t="s">
        <v>303</v>
      </c>
      <c r="D691">
        <v>412489</v>
      </c>
      <c r="E691">
        <v>-290187</v>
      </c>
      <c r="F691">
        <v>0</v>
      </c>
      <c r="G691">
        <v>-524054</v>
      </c>
      <c r="H691">
        <v>-642946</v>
      </c>
      <c r="I691">
        <v>44.9</v>
      </c>
      <c r="J691">
        <v>0</v>
      </c>
      <c r="K691">
        <v>412489</v>
      </c>
      <c r="L691">
        <v>431051.005</v>
      </c>
      <c r="M691">
        <v>450879.35123000003</v>
      </c>
      <c r="N691">
        <v>471619.80138658005</v>
      </c>
      <c r="O691" t="s">
        <v>3102</v>
      </c>
      <c r="P691" t="s">
        <v>3117</v>
      </c>
      <c r="Q691" t="s">
        <v>3111</v>
      </c>
    </row>
    <row r="692" spans="1:17" x14ac:dyDescent="0.25">
      <c r="A692" t="s">
        <v>1017</v>
      </c>
      <c r="C692" t="s">
        <v>150</v>
      </c>
      <c r="D692">
        <v>686133</v>
      </c>
      <c r="E692">
        <v>-290187</v>
      </c>
      <c r="F692">
        <v>0</v>
      </c>
      <c r="G692">
        <v>-524054</v>
      </c>
      <c r="H692">
        <v>-642946</v>
      </c>
      <c r="I692">
        <v>44.9</v>
      </c>
      <c r="J692">
        <v>0</v>
      </c>
      <c r="K692">
        <v>686133</v>
      </c>
      <c r="L692">
        <v>729016.3125</v>
      </c>
      <c r="M692">
        <v>780047.45437499997</v>
      </c>
      <c r="N692">
        <v>834650.77618125</v>
      </c>
      <c r="O692" t="s">
        <v>3102</v>
      </c>
      <c r="P692" t="s">
        <v>3103</v>
      </c>
      <c r="Q692" t="s">
        <v>3104</v>
      </c>
    </row>
    <row r="693" spans="1:17" x14ac:dyDescent="0.25">
      <c r="A693" t="s">
        <v>1018</v>
      </c>
      <c r="C693" t="s">
        <v>151</v>
      </c>
      <c r="D693">
        <v>33502</v>
      </c>
      <c r="E693">
        <v>-290187</v>
      </c>
      <c r="F693">
        <v>0</v>
      </c>
      <c r="G693">
        <v>-524054</v>
      </c>
      <c r="H693">
        <v>-642946</v>
      </c>
      <c r="I693">
        <v>44.9</v>
      </c>
      <c r="J693">
        <v>-25034.91</v>
      </c>
      <c r="K693">
        <v>8467.09</v>
      </c>
      <c r="L693">
        <v>8996.2831249999999</v>
      </c>
      <c r="M693">
        <v>9626.0229437500002</v>
      </c>
      <c r="N693">
        <v>10299.8445498125</v>
      </c>
      <c r="O693" t="s">
        <v>3102</v>
      </c>
      <c r="P693" t="s">
        <v>3103</v>
      </c>
      <c r="Q693" t="s">
        <v>3104</v>
      </c>
    </row>
    <row r="694" spans="1:17" x14ac:dyDescent="0.25">
      <c r="A694" t="s">
        <v>1019</v>
      </c>
      <c r="C694" t="s">
        <v>152</v>
      </c>
      <c r="D694">
        <v>14100</v>
      </c>
      <c r="E694">
        <v>-290187</v>
      </c>
      <c r="F694">
        <v>0</v>
      </c>
      <c r="G694">
        <v>-524054</v>
      </c>
      <c r="H694">
        <v>-642946</v>
      </c>
      <c r="I694">
        <v>44.9</v>
      </c>
      <c r="J694">
        <v>0</v>
      </c>
      <c r="K694">
        <v>14100</v>
      </c>
      <c r="L694">
        <v>14981.25</v>
      </c>
      <c r="M694">
        <v>16029.9375</v>
      </c>
      <c r="N694">
        <v>17152.033125000002</v>
      </c>
      <c r="O694" t="s">
        <v>3102</v>
      </c>
      <c r="P694" t="s">
        <v>3103</v>
      </c>
      <c r="Q694" t="s">
        <v>3104</v>
      </c>
    </row>
    <row r="695" spans="1:17" x14ac:dyDescent="0.25">
      <c r="A695" t="s">
        <v>1020</v>
      </c>
      <c r="C695" t="s">
        <v>155</v>
      </c>
      <c r="D695">
        <v>23791</v>
      </c>
      <c r="E695">
        <v>-290187</v>
      </c>
      <c r="F695">
        <v>0</v>
      </c>
      <c r="G695">
        <v>-524054</v>
      </c>
      <c r="H695">
        <v>-642946</v>
      </c>
      <c r="I695">
        <v>44.9</v>
      </c>
      <c r="J695">
        <v>0</v>
      </c>
      <c r="K695">
        <v>23791</v>
      </c>
      <c r="L695">
        <v>25277.9375</v>
      </c>
      <c r="M695">
        <v>27047.393124999999</v>
      </c>
      <c r="N695">
        <v>28940.710643749997</v>
      </c>
      <c r="O695" t="s">
        <v>3102</v>
      </c>
      <c r="P695" t="s">
        <v>3103</v>
      </c>
      <c r="Q695" t="s">
        <v>3104</v>
      </c>
    </row>
    <row r="696" spans="1:17" x14ac:dyDescent="0.25">
      <c r="A696" t="s">
        <v>1021</v>
      </c>
      <c r="C696" t="s">
        <v>156</v>
      </c>
      <c r="D696">
        <v>97889</v>
      </c>
      <c r="E696">
        <v>-290187</v>
      </c>
      <c r="F696">
        <v>0</v>
      </c>
      <c r="G696">
        <v>-524054</v>
      </c>
      <c r="H696">
        <v>-642946</v>
      </c>
      <c r="I696">
        <v>44.9</v>
      </c>
      <c r="J696">
        <v>-97889</v>
      </c>
      <c r="K696">
        <v>0</v>
      </c>
      <c r="L696">
        <v>0</v>
      </c>
      <c r="M696">
        <v>0</v>
      </c>
      <c r="N696">
        <v>0</v>
      </c>
      <c r="O696" t="s">
        <v>3102</v>
      </c>
      <c r="P696" t="s">
        <v>3103</v>
      </c>
      <c r="Q696" t="s">
        <v>3104</v>
      </c>
    </row>
    <row r="697" spans="1:17" x14ac:dyDescent="0.25">
      <c r="A697" t="s">
        <v>1022</v>
      </c>
      <c r="C697" t="s">
        <v>159</v>
      </c>
      <c r="D697">
        <v>57178</v>
      </c>
      <c r="E697">
        <v>-290187</v>
      </c>
      <c r="F697">
        <v>0</v>
      </c>
      <c r="G697">
        <v>-524054</v>
      </c>
      <c r="H697">
        <v>-642946</v>
      </c>
      <c r="I697">
        <v>44.9</v>
      </c>
      <c r="J697">
        <v>0</v>
      </c>
      <c r="K697">
        <v>57178</v>
      </c>
      <c r="L697">
        <v>60751.625</v>
      </c>
      <c r="M697">
        <v>65004.238750000004</v>
      </c>
      <c r="N697">
        <v>69554.535462500004</v>
      </c>
      <c r="O697" t="s">
        <v>3102</v>
      </c>
      <c r="P697" t="s">
        <v>3103</v>
      </c>
      <c r="Q697" t="s">
        <v>3104</v>
      </c>
    </row>
    <row r="698" spans="1:17" x14ac:dyDescent="0.25">
      <c r="A698" t="s">
        <v>1023</v>
      </c>
      <c r="C698" t="s">
        <v>161</v>
      </c>
      <c r="D698">
        <v>57035</v>
      </c>
      <c r="E698">
        <v>-290187</v>
      </c>
      <c r="F698">
        <v>0</v>
      </c>
      <c r="G698">
        <v>-524054</v>
      </c>
      <c r="H698">
        <v>-642946</v>
      </c>
      <c r="I698">
        <v>44.9</v>
      </c>
      <c r="J698">
        <v>0</v>
      </c>
      <c r="K698">
        <v>57035</v>
      </c>
      <c r="L698">
        <v>60599.6875</v>
      </c>
      <c r="M698">
        <v>64841.665625000001</v>
      </c>
      <c r="N698">
        <v>69380.582218750002</v>
      </c>
      <c r="O698" t="s">
        <v>3102</v>
      </c>
      <c r="P698" t="s">
        <v>3103</v>
      </c>
      <c r="Q698" t="s">
        <v>3104</v>
      </c>
    </row>
    <row r="699" spans="1:17" x14ac:dyDescent="0.25">
      <c r="A699" t="s">
        <v>1024</v>
      </c>
      <c r="C699" t="s">
        <v>167</v>
      </c>
      <c r="D699">
        <v>225</v>
      </c>
      <c r="E699">
        <v>-290187</v>
      </c>
      <c r="F699">
        <v>0</v>
      </c>
      <c r="G699">
        <v>-524054</v>
      </c>
      <c r="H699">
        <v>-642946</v>
      </c>
      <c r="I699">
        <v>44.9</v>
      </c>
      <c r="J699">
        <v>0</v>
      </c>
      <c r="K699">
        <v>225</v>
      </c>
      <c r="L699">
        <v>239.0625</v>
      </c>
      <c r="M699">
        <v>255.796875</v>
      </c>
      <c r="N699">
        <v>273.70265625000002</v>
      </c>
      <c r="O699" t="s">
        <v>3102</v>
      </c>
      <c r="P699" t="s">
        <v>3103</v>
      </c>
      <c r="Q699" t="s">
        <v>3104</v>
      </c>
    </row>
    <row r="700" spans="1:17" x14ac:dyDescent="0.25">
      <c r="A700" t="s">
        <v>1025</v>
      </c>
      <c r="C700" t="s">
        <v>168</v>
      </c>
      <c r="D700">
        <v>107816</v>
      </c>
      <c r="E700">
        <v>-290187</v>
      </c>
      <c r="F700">
        <v>0</v>
      </c>
      <c r="G700">
        <v>-524054</v>
      </c>
      <c r="H700">
        <v>-642946</v>
      </c>
      <c r="I700">
        <v>44.9</v>
      </c>
      <c r="J700">
        <v>-80000</v>
      </c>
      <c r="K700">
        <v>27816</v>
      </c>
      <c r="L700">
        <v>29554.5</v>
      </c>
      <c r="M700">
        <v>31623.314999999999</v>
      </c>
      <c r="N700">
        <v>33836.947049999995</v>
      </c>
      <c r="O700" t="s">
        <v>3102</v>
      </c>
      <c r="P700" t="s">
        <v>3103</v>
      </c>
      <c r="Q700" t="s">
        <v>3104</v>
      </c>
    </row>
    <row r="701" spans="1:17" x14ac:dyDescent="0.25">
      <c r="A701" t="s">
        <v>1026</v>
      </c>
      <c r="C701" t="s">
        <v>169</v>
      </c>
      <c r="D701">
        <v>150949</v>
      </c>
      <c r="E701">
        <v>-290187</v>
      </c>
      <c r="F701">
        <v>0</v>
      </c>
      <c r="G701">
        <v>-524054</v>
      </c>
      <c r="H701">
        <v>-642946</v>
      </c>
      <c r="I701">
        <v>44.9</v>
      </c>
      <c r="J701">
        <v>0</v>
      </c>
      <c r="K701">
        <v>150949</v>
      </c>
      <c r="L701">
        <v>160383.3125</v>
      </c>
      <c r="M701">
        <v>171610.144375</v>
      </c>
      <c r="N701">
        <v>183622.85448124999</v>
      </c>
      <c r="O701" t="s">
        <v>3102</v>
      </c>
      <c r="P701" t="s">
        <v>3103</v>
      </c>
      <c r="Q701" t="s">
        <v>3104</v>
      </c>
    </row>
    <row r="702" spans="1:17" x14ac:dyDescent="0.25">
      <c r="A702" t="s">
        <v>1027</v>
      </c>
      <c r="C702" t="s">
        <v>170</v>
      </c>
      <c r="D702">
        <v>3570</v>
      </c>
      <c r="E702">
        <v>-290187</v>
      </c>
      <c r="F702">
        <v>0</v>
      </c>
      <c r="G702">
        <v>-524054</v>
      </c>
      <c r="H702">
        <v>-642946</v>
      </c>
      <c r="I702">
        <v>44.9</v>
      </c>
      <c r="J702">
        <v>0</v>
      </c>
      <c r="K702">
        <v>3570</v>
      </c>
      <c r="L702">
        <v>3793.125</v>
      </c>
      <c r="M702">
        <v>4058.6437500000002</v>
      </c>
      <c r="N702">
        <v>4342.7488125</v>
      </c>
      <c r="O702" t="s">
        <v>3102</v>
      </c>
      <c r="P702" t="s">
        <v>3103</v>
      </c>
      <c r="Q702" t="s">
        <v>3104</v>
      </c>
    </row>
    <row r="703" spans="1:17" x14ac:dyDescent="0.25">
      <c r="A703" t="s">
        <v>1028</v>
      </c>
      <c r="C703" t="s">
        <v>173</v>
      </c>
      <c r="D703">
        <v>19440</v>
      </c>
      <c r="E703">
        <v>-290187</v>
      </c>
      <c r="F703">
        <v>0</v>
      </c>
      <c r="G703">
        <v>-524054</v>
      </c>
      <c r="H703">
        <v>-642946</v>
      </c>
      <c r="I703">
        <v>44.9</v>
      </c>
      <c r="J703">
        <v>0</v>
      </c>
      <c r="K703">
        <v>19440</v>
      </c>
      <c r="L703">
        <v>20655</v>
      </c>
      <c r="M703">
        <v>22100.85</v>
      </c>
      <c r="N703">
        <v>23647.909499999998</v>
      </c>
      <c r="O703" t="s">
        <v>3102</v>
      </c>
      <c r="P703" t="s">
        <v>3103</v>
      </c>
      <c r="Q703" t="s">
        <v>3111</v>
      </c>
    </row>
    <row r="704" spans="1:17" x14ac:dyDescent="0.25">
      <c r="A704" t="s">
        <v>1029</v>
      </c>
      <c r="C704" t="s">
        <v>174</v>
      </c>
      <c r="D704">
        <v>30812</v>
      </c>
      <c r="E704">
        <v>-290187</v>
      </c>
      <c r="F704">
        <v>0</v>
      </c>
      <c r="G704">
        <v>-524054</v>
      </c>
      <c r="H704">
        <v>-642946</v>
      </c>
      <c r="I704">
        <v>44.9</v>
      </c>
      <c r="J704">
        <v>0</v>
      </c>
      <c r="K704">
        <v>30812</v>
      </c>
      <c r="L704">
        <v>32737.75</v>
      </c>
      <c r="M704">
        <v>35029.392500000002</v>
      </c>
      <c r="N704">
        <v>37481.449975000003</v>
      </c>
      <c r="O704" t="s">
        <v>3102</v>
      </c>
      <c r="P704" t="s">
        <v>3103</v>
      </c>
      <c r="Q704" t="s">
        <v>3111</v>
      </c>
    </row>
    <row r="705" spans="1:17" x14ac:dyDescent="0.25">
      <c r="A705" t="s">
        <v>1030</v>
      </c>
      <c r="C705" t="s">
        <v>175</v>
      </c>
      <c r="D705">
        <v>8784</v>
      </c>
      <c r="E705">
        <v>-290187</v>
      </c>
      <c r="F705">
        <v>0</v>
      </c>
      <c r="G705">
        <v>-524054</v>
      </c>
      <c r="H705">
        <v>-642946</v>
      </c>
      <c r="I705">
        <v>44.9</v>
      </c>
      <c r="J705">
        <v>0</v>
      </c>
      <c r="K705">
        <v>8784</v>
      </c>
      <c r="L705">
        <v>9333</v>
      </c>
      <c r="M705">
        <v>9986.31</v>
      </c>
      <c r="N705">
        <v>10685.351699999999</v>
      </c>
      <c r="O705" t="s">
        <v>3102</v>
      </c>
      <c r="P705" t="s">
        <v>3103</v>
      </c>
      <c r="Q705" t="s">
        <v>3111</v>
      </c>
    </row>
    <row r="706" spans="1:17" x14ac:dyDescent="0.25">
      <c r="A706" t="s">
        <v>1031</v>
      </c>
      <c r="C706" t="s">
        <v>265</v>
      </c>
      <c r="D706">
        <v>0</v>
      </c>
      <c r="E706">
        <v>-290187</v>
      </c>
      <c r="F706">
        <v>0</v>
      </c>
      <c r="G706">
        <v>-524054</v>
      </c>
      <c r="H706">
        <v>-642946</v>
      </c>
      <c r="I706">
        <v>44.9</v>
      </c>
      <c r="J706">
        <v>4000</v>
      </c>
      <c r="K706">
        <v>4000</v>
      </c>
      <c r="L706">
        <v>4180</v>
      </c>
      <c r="M706">
        <v>4372.28</v>
      </c>
      <c r="N706">
        <v>4573.40488</v>
      </c>
      <c r="O706" t="s">
        <v>3102</v>
      </c>
      <c r="P706" t="s">
        <v>3110</v>
      </c>
      <c r="Q706" t="s">
        <v>3104</v>
      </c>
    </row>
    <row r="707" spans="1:17" x14ac:dyDescent="0.25">
      <c r="A707" t="s">
        <v>1032</v>
      </c>
      <c r="C707" t="s">
        <v>292</v>
      </c>
      <c r="D707">
        <v>3371</v>
      </c>
      <c r="E707">
        <v>-290187</v>
      </c>
      <c r="F707">
        <v>0</v>
      </c>
      <c r="G707">
        <v>-524054</v>
      </c>
      <c r="H707">
        <v>-642946</v>
      </c>
      <c r="I707">
        <v>44.9</v>
      </c>
      <c r="J707">
        <v>0</v>
      </c>
      <c r="K707">
        <v>3371</v>
      </c>
      <c r="L707">
        <v>3522.6950000000002</v>
      </c>
      <c r="M707">
        <v>3684.7389700000003</v>
      </c>
      <c r="N707">
        <v>3854.2369626200002</v>
      </c>
      <c r="O707" t="s">
        <v>3102</v>
      </c>
      <c r="P707" t="s">
        <v>3117</v>
      </c>
      <c r="Q707" t="s">
        <v>3111</v>
      </c>
    </row>
    <row r="708" spans="1:17" x14ac:dyDescent="0.25">
      <c r="A708" t="s">
        <v>1033</v>
      </c>
      <c r="C708" t="s">
        <v>293</v>
      </c>
      <c r="D708">
        <v>6582</v>
      </c>
      <c r="E708">
        <v>-290187</v>
      </c>
      <c r="F708">
        <v>0</v>
      </c>
      <c r="G708">
        <v>-524054</v>
      </c>
      <c r="H708">
        <v>-642946</v>
      </c>
      <c r="I708">
        <v>44.9</v>
      </c>
      <c r="J708">
        <v>0</v>
      </c>
      <c r="K708">
        <v>6582</v>
      </c>
      <c r="L708">
        <v>6878.19</v>
      </c>
      <c r="M708">
        <v>7194.5867399999997</v>
      </c>
      <c r="N708">
        <v>7525.5377300399996</v>
      </c>
      <c r="O708" t="s">
        <v>3102</v>
      </c>
      <c r="P708" t="s">
        <v>3117</v>
      </c>
      <c r="Q708" t="s">
        <v>3111</v>
      </c>
    </row>
    <row r="709" spans="1:17" x14ac:dyDescent="0.25">
      <c r="A709" t="s">
        <v>1035</v>
      </c>
      <c r="C709" t="s">
        <v>25</v>
      </c>
      <c r="D709">
        <v>-827</v>
      </c>
      <c r="E709">
        <v>-290187</v>
      </c>
      <c r="F709">
        <v>0</v>
      </c>
      <c r="G709">
        <v>-524054</v>
      </c>
      <c r="H709">
        <v>-642946</v>
      </c>
      <c r="I709">
        <v>44.9</v>
      </c>
      <c r="J709">
        <v>0</v>
      </c>
      <c r="K709">
        <v>-827</v>
      </c>
      <c r="L709">
        <v>-864.21500000000003</v>
      </c>
      <c r="M709">
        <v>-905.69731999999999</v>
      </c>
      <c r="N709">
        <v>-947.35939671999995</v>
      </c>
      <c r="O709" t="s">
        <v>3100</v>
      </c>
      <c r="Q709" t="s">
        <v>3174</v>
      </c>
    </row>
    <row r="710" spans="1:17" x14ac:dyDescent="0.25">
      <c r="A710" t="s">
        <v>1036</v>
      </c>
      <c r="C710" t="s">
        <v>71</v>
      </c>
      <c r="D710">
        <v>-310</v>
      </c>
      <c r="E710">
        <v>-290187</v>
      </c>
      <c r="F710">
        <v>0</v>
      </c>
      <c r="G710">
        <v>-524054</v>
      </c>
      <c r="H710">
        <v>-642946</v>
      </c>
      <c r="I710">
        <v>44.9</v>
      </c>
      <c r="J710">
        <v>0</v>
      </c>
      <c r="K710">
        <v>-310</v>
      </c>
      <c r="L710">
        <v>-323.95</v>
      </c>
      <c r="M710">
        <v>-338.85169999999999</v>
      </c>
      <c r="N710">
        <v>-354.43887819999998</v>
      </c>
      <c r="O710" t="s">
        <v>3100</v>
      </c>
      <c r="Q710" t="s">
        <v>3121</v>
      </c>
    </row>
    <row r="711" spans="1:17" x14ac:dyDescent="0.25">
      <c r="A711" t="s">
        <v>1037</v>
      </c>
      <c r="C711" t="s">
        <v>79</v>
      </c>
      <c r="D711">
        <v>-283935</v>
      </c>
      <c r="E711">
        <v>-290187</v>
      </c>
      <c r="F711">
        <v>0</v>
      </c>
      <c r="G711">
        <v>-524054</v>
      </c>
      <c r="H711">
        <v>-642946</v>
      </c>
      <c r="I711">
        <v>44.9</v>
      </c>
      <c r="J711">
        <v>50000</v>
      </c>
      <c r="K711">
        <v>-233935</v>
      </c>
      <c r="L711">
        <v>-244462.07500000001</v>
      </c>
      <c r="M711">
        <v>-255707.33045000001</v>
      </c>
      <c r="N711">
        <v>-267469.86765070003</v>
      </c>
      <c r="O711" t="s">
        <v>3100</v>
      </c>
      <c r="Q711" t="s">
        <v>3193</v>
      </c>
    </row>
    <row r="712" spans="1:17" x14ac:dyDescent="0.25">
      <c r="A712" t="s">
        <v>1038</v>
      </c>
      <c r="C712" t="s">
        <v>84</v>
      </c>
      <c r="D712">
        <v>-2200</v>
      </c>
      <c r="E712">
        <v>-290187</v>
      </c>
      <c r="F712">
        <v>0</v>
      </c>
      <c r="G712">
        <v>-524054</v>
      </c>
      <c r="H712">
        <v>-642946</v>
      </c>
      <c r="I712">
        <v>44.9</v>
      </c>
      <c r="J712">
        <v>0</v>
      </c>
      <c r="K712">
        <v>-2200</v>
      </c>
      <c r="L712">
        <v>-2299</v>
      </c>
      <c r="M712">
        <v>-2404.7539999999999</v>
      </c>
      <c r="N712">
        <v>-2515.3726839999999</v>
      </c>
      <c r="O712" t="s">
        <v>3100</v>
      </c>
      <c r="Q712" t="s">
        <v>3101</v>
      </c>
    </row>
    <row r="713" spans="1:17" x14ac:dyDescent="0.25">
      <c r="A713" t="s">
        <v>1039</v>
      </c>
      <c r="C713" t="s">
        <v>150</v>
      </c>
      <c r="D713">
        <v>642046</v>
      </c>
      <c r="E713">
        <v>-290187</v>
      </c>
      <c r="F713">
        <v>0</v>
      </c>
      <c r="G713">
        <v>-524054</v>
      </c>
      <c r="H713">
        <v>-642946</v>
      </c>
      <c r="I713">
        <v>44.9</v>
      </c>
      <c r="J713">
        <v>0</v>
      </c>
      <c r="K713">
        <v>642046</v>
      </c>
      <c r="L713">
        <v>682173.875</v>
      </c>
      <c r="M713">
        <v>729926.04625000001</v>
      </c>
      <c r="N713">
        <v>781020.86948750005</v>
      </c>
      <c r="O713" t="s">
        <v>3102</v>
      </c>
      <c r="P713" t="s">
        <v>3103</v>
      </c>
      <c r="Q713" t="s">
        <v>3104</v>
      </c>
    </row>
    <row r="714" spans="1:17" x14ac:dyDescent="0.25">
      <c r="A714" t="s">
        <v>1040</v>
      </c>
      <c r="C714" t="s">
        <v>151</v>
      </c>
      <c r="D714">
        <v>30002</v>
      </c>
      <c r="E714">
        <v>-290187</v>
      </c>
      <c r="F714">
        <v>0</v>
      </c>
      <c r="G714">
        <v>-524054</v>
      </c>
      <c r="H714">
        <v>-642946</v>
      </c>
      <c r="I714">
        <v>44.9</v>
      </c>
      <c r="J714">
        <v>-13067.82</v>
      </c>
      <c r="K714">
        <v>16934.18</v>
      </c>
      <c r="L714">
        <v>17992.56625</v>
      </c>
      <c r="M714">
        <v>19252.0458875</v>
      </c>
      <c r="N714">
        <v>20599.689099625</v>
      </c>
      <c r="O714" t="s">
        <v>3102</v>
      </c>
      <c r="P714" t="s">
        <v>3103</v>
      </c>
      <c r="Q714" t="s">
        <v>3104</v>
      </c>
    </row>
    <row r="715" spans="1:17" x14ac:dyDescent="0.25">
      <c r="A715" t="s">
        <v>1041</v>
      </c>
      <c r="C715" t="s">
        <v>152</v>
      </c>
      <c r="D715">
        <v>24000</v>
      </c>
      <c r="E715">
        <v>-290187</v>
      </c>
      <c r="F715">
        <v>0</v>
      </c>
      <c r="G715">
        <v>-524054</v>
      </c>
      <c r="H715">
        <v>-642946</v>
      </c>
      <c r="I715">
        <v>44.9</v>
      </c>
      <c r="J715">
        <v>0</v>
      </c>
      <c r="K715">
        <v>24000</v>
      </c>
      <c r="L715">
        <v>25500</v>
      </c>
      <c r="M715">
        <v>27285</v>
      </c>
      <c r="N715">
        <v>29194.95</v>
      </c>
      <c r="O715" t="s">
        <v>3102</v>
      </c>
      <c r="P715" t="s">
        <v>3103</v>
      </c>
      <c r="Q715" t="s">
        <v>3104</v>
      </c>
    </row>
    <row r="716" spans="1:17" x14ac:dyDescent="0.25">
      <c r="A716" t="s">
        <v>1042</v>
      </c>
      <c r="C716" t="s">
        <v>153</v>
      </c>
      <c r="D716">
        <v>10893</v>
      </c>
      <c r="E716">
        <v>-290187</v>
      </c>
      <c r="F716">
        <v>0</v>
      </c>
      <c r="G716">
        <v>-524054</v>
      </c>
      <c r="H716">
        <v>-642946</v>
      </c>
      <c r="I716">
        <v>44.9</v>
      </c>
      <c r="J716">
        <v>0</v>
      </c>
      <c r="K716">
        <v>10893</v>
      </c>
      <c r="L716">
        <v>11573.8125</v>
      </c>
      <c r="M716">
        <v>12383.979375000001</v>
      </c>
      <c r="N716">
        <v>13250.857931250001</v>
      </c>
      <c r="O716" t="s">
        <v>3102</v>
      </c>
      <c r="P716" t="s">
        <v>3103</v>
      </c>
      <c r="Q716" t="s">
        <v>3104</v>
      </c>
    </row>
    <row r="717" spans="1:17" x14ac:dyDescent="0.25">
      <c r="A717" t="s">
        <v>1043</v>
      </c>
      <c r="C717" t="s">
        <v>155</v>
      </c>
      <c r="D717">
        <v>21306</v>
      </c>
      <c r="E717">
        <v>-290187</v>
      </c>
      <c r="F717">
        <v>0</v>
      </c>
      <c r="G717">
        <v>-524054</v>
      </c>
      <c r="H717">
        <v>-642946</v>
      </c>
      <c r="I717">
        <v>44.9</v>
      </c>
      <c r="J717">
        <v>0</v>
      </c>
      <c r="K717">
        <v>21306</v>
      </c>
      <c r="L717">
        <v>22637.625</v>
      </c>
      <c r="M717">
        <v>24222.258750000001</v>
      </c>
      <c r="N717">
        <v>25917.8168625</v>
      </c>
      <c r="O717" t="s">
        <v>3102</v>
      </c>
      <c r="P717" t="s">
        <v>3103</v>
      </c>
      <c r="Q717" t="s">
        <v>3104</v>
      </c>
    </row>
    <row r="718" spans="1:17" x14ac:dyDescent="0.25">
      <c r="A718" t="s">
        <v>1044</v>
      </c>
      <c r="C718" t="s">
        <v>156</v>
      </c>
      <c r="D718">
        <v>160511</v>
      </c>
      <c r="E718">
        <v>-290187</v>
      </c>
      <c r="F718">
        <v>0</v>
      </c>
      <c r="G718">
        <v>-524054</v>
      </c>
      <c r="H718">
        <v>-642946</v>
      </c>
      <c r="I718">
        <v>44.9</v>
      </c>
      <c r="J718">
        <v>0</v>
      </c>
      <c r="K718">
        <v>160511</v>
      </c>
      <c r="L718">
        <v>170542.9375</v>
      </c>
      <c r="M718">
        <v>182480.94312499999</v>
      </c>
      <c r="N718">
        <v>195254.60914374999</v>
      </c>
      <c r="O718" t="s">
        <v>3102</v>
      </c>
      <c r="P718" t="s">
        <v>3103</v>
      </c>
      <c r="Q718" t="s">
        <v>3104</v>
      </c>
    </row>
    <row r="719" spans="1:17" x14ac:dyDescent="0.25">
      <c r="A719" t="s">
        <v>1045</v>
      </c>
      <c r="C719" t="s">
        <v>158</v>
      </c>
      <c r="D719">
        <v>12961</v>
      </c>
      <c r="E719">
        <v>-290187</v>
      </c>
      <c r="F719">
        <v>0</v>
      </c>
      <c r="G719">
        <v>-524054</v>
      </c>
      <c r="H719">
        <v>-642946</v>
      </c>
      <c r="I719">
        <v>44.9</v>
      </c>
      <c r="J719">
        <v>-12961</v>
      </c>
      <c r="K719">
        <v>0</v>
      </c>
      <c r="L719">
        <v>0</v>
      </c>
      <c r="M719">
        <v>0</v>
      </c>
      <c r="N719">
        <v>0</v>
      </c>
      <c r="O719" t="s">
        <v>3102</v>
      </c>
      <c r="P719" t="s">
        <v>3103</v>
      </c>
      <c r="Q719" t="s">
        <v>3104</v>
      </c>
    </row>
    <row r="720" spans="1:17" x14ac:dyDescent="0.25">
      <c r="A720" t="s">
        <v>1046</v>
      </c>
      <c r="C720" t="s">
        <v>159</v>
      </c>
      <c r="D720">
        <v>53504</v>
      </c>
      <c r="E720">
        <v>-290187</v>
      </c>
      <c r="F720">
        <v>0</v>
      </c>
      <c r="G720">
        <v>-524054</v>
      </c>
      <c r="H720">
        <v>-642946</v>
      </c>
      <c r="I720">
        <v>44.9</v>
      </c>
      <c r="J720">
        <v>0</v>
      </c>
      <c r="K720">
        <v>53504</v>
      </c>
      <c r="L720">
        <v>56848</v>
      </c>
      <c r="M720">
        <v>60827.360000000001</v>
      </c>
      <c r="N720">
        <v>65085.275200000004</v>
      </c>
      <c r="O720" t="s">
        <v>3102</v>
      </c>
      <c r="P720" t="s">
        <v>3103</v>
      </c>
      <c r="Q720" t="s">
        <v>3104</v>
      </c>
    </row>
    <row r="721" spans="1:17" x14ac:dyDescent="0.25">
      <c r="A721" t="s">
        <v>1047</v>
      </c>
      <c r="C721" t="s">
        <v>161</v>
      </c>
      <c r="D721">
        <v>81402</v>
      </c>
      <c r="E721">
        <v>-290187</v>
      </c>
      <c r="F721">
        <v>0</v>
      </c>
      <c r="G721">
        <v>-524054</v>
      </c>
      <c r="H721">
        <v>-642946</v>
      </c>
      <c r="I721">
        <v>44.9</v>
      </c>
      <c r="J721">
        <v>0</v>
      </c>
      <c r="K721">
        <v>81402</v>
      </c>
      <c r="L721">
        <v>86489.625</v>
      </c>
      <c r="M721">
        <v>92543.898749999993</v>
      </c>
      <c r="N721">
        <v>99021.9716625</v>
      </c>
      <c r="O721" t="s">
        <v>3102</v>
      </c>
      <c r="P721" t="s">
        <v>3103</v>
      </c>
      <c r="Q721" t="s">
        <v>3104</v>
      </c>
    </row>
    <row r="722" spans="1:17" x14ac:dyDescent="0.25">
      <c r="A722" t="s">
        <v>1048</v>
      </c>
      <c r="C722" t="s">
        <v>164</v>
      </c>
      <c r="D722">
        <v>15692</v>
      </c>
      <c r="E722">
        <v>-290187</v>
      </c>
      <c r="F722">
        <v>0</v>
      </c>
      <c r="G722">
        <v>-524054</v>
      </c>
      <c r="H722">
        <v>-642946</v>
      </c>
      <c r="I722">
        <v>44.9</v>
      </c>
      <c r="J722">
        <v>0</v>
      </c>
      <c r="K722">
        <v>15692</v>
      </c>
      <c r="L722">
        <v>16672.75</v>
      </c>
      <c r="M722">
        <v>17839.842499999999</v>
      </c>
      <c r="N722">
        <v>19088.631474999998</v>
      </c>
      <c r="O722" t="s">
        <v>3102</v>
      </c>
      <c r="P722" t="s">
        <v>3103</v>
      </c>
      <c r="Q722" t="s">
        <v>3104</v>
      </c>
    </row>
    <row r="723" spans="1:17" x14ac:dyDescent="0.25">
      <c r="A723" t="s">
        <v>1049</v>
      </c>
      <c r="C723" t="s">
        <v>167</v>
      </c>
      <c r="D723">
        <v>112</v>
      </c>
      <c r="E723">
        <v>-290187</v>
      </c>
      <c r="F723">
        <v>0</v>
      </c>
      <c r="G723">
        <v>-524054</v>
      </c>
      <c r="H723">
        <v>-642946</v>
      </c>
      <c r="I723">
        <v>44.9</v>
      </c>
      <c r="J723">
        <v>38</v>
      </c>
      <c r="K723">
        <v>150</v>
      </c>
      <c r="L723">
        <v>159.375</v>
      </c>
      <c r="M723">
        <v>170.53125</v>
      </c>
      <c r="N723">
        <v>182.46843749999999</v>
      </c>
      <c r="O723" t="s">
        <v>3102</v>
      </c>
      <c r="P723" t="s">
        <v>3103</v>
      </c>
      <c r="Q723" t="s">
        <v>3104</v>
      </c>
    </row>
    <row r="724" spans="1:17" x14ac:dyDescent="0.25">
      <c r="A724" t="s">
        <v>1050</v>
      </c>
      <c r="C724" t="s">
        <v>168</v>
      </c>
      <c r="D724">
        <v>53908</v>
      </c>
      <c r="E724">
        <v>-290187</v>
      </c>
      <c r="F724">
        <v>0</v>
      </c>
      <c r="G724">
        <v>-524054</v>
      </c>
      <c r="H724">
        <v>-642946</v>
      </c>
      <c r="I724">
        <v>44.9</v>
      </c>
      <c r="J724">
        <v>0</v>
      </c>
      <c r="K724">
        <v>53908</v>
      </c>
      <c r="L724">
        <v>57277.25</v>
      </c>
      <c r="M724">
        <v>61286.657500000001</v>
      </c>
      <c r="N724">
        <v>65576.723525000009</v>
      </c>
      <c r="O724" t="s">
        <v>3102</v>
      </c>
      <c r="P724" t="s">
        <v>3103</v>
      </c>
      <c r="Q724" t="s">
        <v>3104</v>
      </c>
    </row>
    <row r="725" spans="1:17" x14ac:dyDescent="0.25">
      <c r="A725" t="s">
        <v>1051</v>
      </c>
      <c r="C725" t="s">
        <v>169</v>
      </c>
      <c r="D725">
        <v>141250</v>
      </c>
      <c r="E725">
        <v>-290187</v>
      </c>
      <c r="F725">
        <v>0</v>
      </c>
      <c r="G725">
        <v>-524054</v>
      </c>
      <c r="H725">
        <v>-642946</v>
      </c>
      <c r="I725">
        <v>44.9</v>
      </c>
      <c r="J725">
        <v>0</v>
      </c>
      <c r="K725">
        <v>141250</v>
      </c>
      <c r="L725">
        <v>150078.125</v>
      </c>
      <c r="M725">
        <v>160583.59375</v>
      </c>
      <c r="N725">
        <v>171824.4453125</v>
      </c>
      <c r="O725" t="s">
        <v>3102</v>
      </c>
      <c r="P725" t="s">
        <v>3103</v>
      </c>
      <c r="Q725" t="s">
        <v>3104</v>
      </c>
    </row>
    <row r="726" spans="1:17" x14ac:dyDescent="0.25">
      <c r="A726" t="s">
        <v>1052</v>
      </c>
      <c r="C726" t="s">
        <v>170</v>
      </c>
      <c r="D726">
        <v>1785</v>
      </c>
      <c r="E726">
        <v>-290187</v>
      </c>
      <c r="F726">
        <v>0</v>
      </c>
      <c r="G726">
        <v>-524054</v>
      </c>
      <c r="H726">
        <v>-642946</v>
      </c>
      <c r="I726">
        <v>44.9</v>
      </c>
      <c r="J726">
        <v>715</v>
      </c>
      <c r="K726">
        <v>2500</v>
      </c>
      <c r="L726">
        <v>2656.25</v>
      </c>
      <c r="M726">
        <v>2842.1875</v>
      </c>
      <c r="N726">
        <v>3041.140625</v>
      </c>
      <c r="O726" t="s">
        <v>3102</v>
      </c>
      <c r="P726" t="s">
        <v>3103</v>
      </c>
      <c r="Q726" t="s">
        <v>3104</v>
      </c>
    </row>
    <row r="727" spans="1:17" x14ac:dyDescent="0.25">
      <c r="A727" t="s">
        <v>1053</v>
      </c>
      <c r="C727" t="s">
        <v>173</v>
      </c>
      <c r="D727">
        <v>11869</v>
      </c>
      <c r="E727">
        <v>-290187</v>
      </c>
      <c r="F727">
        <v>0</v>
      </c>
      <c r="G727">
        <v>-524054</v>
      </c>
      <c r="H727">
        <v>-642946</v>
      </c>
      <c r="I727">
        <v>44.9</v>
      </c>
      <c r="J727">
        <v>0</v>
      </c>
      <c r="K727">
        <v>11869</v>
      </c>
      <c r="L727">
        <v>12610.8125</v>
      </c>
      <c r="M727">
        <v>13493.569374999999</v>
      </c>
      <c r="N727">
        <v>14438.119231249999</v>
      </c>
      <c r="O727" t="s">
        <v>3102</v>
      </c>
      <c r="P727" t="s">
        <v>3103</v>
      </c>
      <c r="Q727" t="s">
        <v>3111</v>
      </c>
    </row>
    <row r="728" spans="1:17" x14ac:dyDescent="0.25">
      <c r="A728" t="s">
        <v>1054</v>
      </c>
      <c r="C728" t="s">
        <v>174</v>
      </c>
      <c r="D728">
        <v>19452</v>
      </c>
      <c r="E728">
        <v>-290187</v>
      </c>
      <c r="F728">
        <v>0</v>
      </c>
      <c r="G728">
        <v>-524054</v>
      </c>
      <c r="H728">
        <v>-642946</v>
      </c>
      <c r="I728">
        <v>44.9</v>
      </c>
      <c r="J728">
        <v>0</v>
      </c>
      <c r="K728">
        <v>19452</v>
      </c>
      <c r="L728">
        <v>20667.75</v>
      </c>
      <c r="M728">
        <v>22114.4925</v>
      </c>
      <c r="N728">
        <v>23662.506975</v>
      </c>
      <c r="O728" t="s">
        <v>3102</v>
      </c>
      <c r="P728" t="s">
        <v>3103</v>
      </c>
      <c r="Q728" t="s">
        <v>3111</v>
      </c>
    </row>
    <row r="729" spans="1:17" x14ac:dyDescent="0.25">
      <c r="A729" t="s">
        <v>1055</v>
      </c>
      <c r="C729" t="s">
        <v>175</v>
      </c>
      <c r="D729">
        <v>13540</v>
      </c>
      <c r="E729">
        <v>-290187</v>
      </c>
      <c r="F729">
        <v>0</v>
      </c>
      <c r="G729">
        <v>-524054</v>
      </c>
      <c r="H729">
        <v>-642946</v>
      </c>
      <c r="I729">
        <v>44.9</v>
      </c>
      <c r="J729">
        <v>0</v>
      </c>
      <c r="K729">
        <v>13540</v>
      </c>
      <c r="L729">
        <v>14386.25</v>
      </c>
      <c r="M729">
        <v>15393.2875</v>
      </c>
      <c r="N729">
        <v>16470.817625</v>
      </c>
      <c r="O729" t="s">
        <v>3102</v>
      </c>
      <c r="P729" t="s">
        <v>3103</v>
      </c>
      <c r="Q729" t="s">
        <v>3111</v>
      </c>
    </row>
    <row r="730" spans="1:17" x14ac:dyDescent="0.25">
      <c r="A730" t="s">
        <v>1056</v>
      </c>
      <c r="B730" t="s">
        <v>3037</v>
      </c>
      <c r="C730" t="s">
        <v>216</v>
      </c>
      <c r="D730">
        <v>42400</v>
      </c>
      <c r="E730">
        <v>-290187</v>
      </c>
      <c r="F730">
        <v>0</v>
      </c>
      <c r="G730">
        <v>-524054</v>
      </c>
      <c r="H730">
        <v>-642946</v>
      </c>
      <c r="I730">
        <v>44.9</v>
      </c>
      <c r="J730">
        <v>0</v>
      </c>
      <c r="K730">
        <v>42400</v>
      </c>
      <c r="L730">
        <v>44308</v>
      </c>
      <c r="M730">
        <v>46346.167999999998</v>
      </c>
      <c r="N730">
        <v>48478.091727999999</v>
      </c>
      <c r="O730" t="s">
        <v>3102</v>
      </c>
      <c r="P730" t="s">
        <v>3105</v>
      </c>
      <c r="Q730" t="s">
        <v>3194</v>
      </c>
    </row>
    <row r="731" spans="1:17" x14ac:dyDescent="0.25">
      <c r="A731" t="s">
        <v>1057</v>
      </c>
      <c r="C731" t="s">
        <v>222</v>
      </c>
      <c r="D731">
        <v>59380</v>
      </c>
      <c r="E731">
        <v>-290187</v>
      </c>
      <c r="F731">
        <v>0</v>
      </c>
      <c r="G731">
        <v>-524054</v>
      </c>
      <c r="H731">
        <v>-642946</v>
      </c>
      <c r="I731">
        <v>44.9</v>
      </c>
      <c r="J731">
        <v>0</v>
      </c>
      <c r="K731">
        <v>59380</v>
      </c>
      <c r="L731">
        <v>62052.1</v>
      </c>
      <c r="M731">
        <v>64906.496599999999</v>
      </c>
      <c r="N731">
        <v>67892.195443599994</v>
      </c>
      <c r="O731" t="s">
        <v>3102</v>
      </c>
      <c r="P731" t="s">
        <v>3105</v>
      </c>
      <c r="Q731" t="s">
        <v>3106</v>
      </c>
    </row>
    <row r="732" spans="1:17" x14ac:dyDescent="0.25">
      <c r="A732" t="s">
        <v>1058</v>
      </c>
      <c r="C732" t="s">
        <v>234</v>
      </c>
      <c r="D732">
        <v>318000</v>
      </c>
      <c r="E732">
        <v>-290187</v>
      </c>
      <c r="F732">
        <v>0</v>
      </c>
      <c r="G732">
        <v>-524054</v>
      </c>
      <c r="H732">
        <v>-642946</v>
      </c>
      <c r="I732">
        <v>44.9</v>
      </c>
      <c r="J732">
        <v>0</v>
      </c>
      <c r="K732">
        <v>318000</v>
      </c>
      <c r="L732">
        <v>332310</v>
      </c>
      <c r="M732">
        <v>347596.26</v>
      </c>
      <c r="N732">
        <v>363585.68796000001</v>
      </c>
      <c r="O732" t="s">
        <v>3102</v>
      </c>
      <c r="P732" t="s">
        <v>3105</v>
      </c>
      <c r="Q732" t="s">
        <v>3195</v>
      </c>
    </row>
    <row r="733" spans="1:17" x14ac:dyDescent="0.25">
      <c r="A733" t="s">
        <v>1059</v>
      </c>
      <c r="C733" t="s">
        <v>237</v>
      </c>
      <c r="D733">
        <v>134336</v>
      </c>
      <c r="E733">
        <v>-290187</v>
      </c>
      <c r="F733">
        <v>0</v>
      </c>
      <c r="G733">
        <v>-524054</v>
      </c>
      <c r="H733">
        <v>-642946</v>
      </c>
      <c r="I733">
        <v>44.9</v>
      </c>
      <c r="J733">
        <v>0</v>
      </c>
      <c r="K733">
        <v>134336</v>
      </c>
      <c r="L733">
        <v>140381.12</v>
      </c>
      <c r="M733">
        <v>146838.65151999998</v>
      </c>
      <c r="N733">
        <v>153593.22948991999</v>
      </c>
      <c r="O733" t="s">
        <v>3102</v>
      </c>
      <c r="P733" t="s">
        <v>3105</v>
      </c>
      <c r="Q733" t="s">
        <v>3196</v>
      </c>
    </row>
    <row r="734" spans="1:17" x14ac:dyDescent="0.25">
      <c r="A734" t="s">
        <v>1060</v>
      </c>
      <c r="C734" t="s">
        <v>242</v>
      </c>
      <c r="D734">
        <v>31800</v>
      </c>
      <c r="E734">
        <v>-290187</v>
      </c>
      <c r="F734">
        <v>0</v>
      </c>
      <c r="G734">
        <v>-524054</v>
      </c>
      <c r="H734">
        <v>-642946</v>
      </c>
      <c r="I734">
        <v>44.9</v>
      </c>
      <c r="J734">
        <v>0</v>
      </c>
      <c r="K734">
        <v>31800</v>
      </c>
      <c r="L734">
        <v>33231</v>
      </c>
      <c r="M734">
        <v>34759.625999999997</v>
      </c>
      <c r="N734">
        <v>36358.568796</v>
      </c>
      <c r="O734" t="s">
        <v>3102</v>
      </c>
      <c r="P734" t="s">
        <v>3110</v>
      </c>
      <c r="Q734" t="s">
        <v>3197</v>
      </c>
    </row>
    <row r="735" spans="1:17" x14ac:dyDescent="0.25">
      <c r="A735" t="s">
        <v>1061</v>
      </c>
      <c r="C735" t="s">
        <v>260</v>
      </c>
      <c r="D735">
        <v>31800</v>
      </c>
      <c r="E735">
        <v>-290187</v>
      </c>
      <c r="F735">
        <v>0</v>
      </c>
      <c r="G735">
        <v>-524054</v>
      </c>
      <c r="H735">
        <v>-642946</v>
      </c>
      <c r="I735">
        <v>44.9</v>
      </c>
      <c r="J735">
        <v>0</v>
      </c>
      <c r="K735">
        <v>31800</v>
      </c>
      <c r="L735">
        <v>33231</v>
      </c>
      <c r="M735">
        <v>34759.625999999997</v>
      </c>
      <c r="N735">
        <v>36358.568796</v>
      </c>
      <c r="O735" t="s">
        <v>3102</v>
      </c>
      <c r="P735" t="s">
        <v>3110</v>
      </c>
      <c r="Q735" t="s">
        <v>3106</v>
      </c>
    </row>
    <row r="736" spans="1:17" x14ac:dyDescent="0.25">
      <c r="A736" t="s">
        <v>1062</v>
      </c>
      <c r="C736" t="s">
        <v>265</v>
      </c>
      <c r="D736">
        <v>0</v>
      </c>
      <c r="E736">
        <v>-290187</v>
      </c>
      <c r="F736">
        <v>0</v>
      </c>
      <c r="G736">
        <v>-524054</v>
      </c>
      <c r="H736">
        <v>-642946</v>
      </c>
      <c r="I736">
        <v>44.9</v>
      </c>
      <c r="J736">
        <v>15000</v>
      </c>
      <c r="K736">
        <v>15000</v>
      </c>
      <c r="L736">
        <v>15675</v>
      </c>
      <c r="M736">
        <v>16396.05</v>
      </c>
      <c r="N736">
        <v>17150.2683</v>
      </c>
      <c r="O736" t="s">
        <v>3102</v>
      </c>
      <c r="P736" t="s">
        <v>3110</v>
      </c>
      <c r="Q736" t="s">
        <v>3104</v>
      </c>
    </row>
    <row r="737" spans="1:17" x14ac:dyDescent="0.25">
      <c r="A737" t="s">
        <v>1063</v>
      </c>
      <c r="C737" t="s">
        <v>268</v>
      </c>
      <c r="D737">
        <v>0</v>
      </c>
      <c r="E737">
        <v>-290187</v>
      </c>
      <c r="F737">
        <v>0</v>
      </c>
      <c r="G737">
        <v>-524054</v>
      </c>
      <c r="H737">
        <v>-642946</v>
      </c>
      <c r="I737">
        <v>44.9</v>
      </c>
      <c r="J737">
        <v>110000</v>
      </c>
      <c r="K737">
        <v>110000</v>
      </c>
      <c r="L737">
        <v>114950</v>
      </c>
      <c r="M737">
        <v>120237.7</v>
      </c>
      <c r="N737">
        <v>125768.6342</v>
      </c>
      <c r="O737" t="s">
        <v>3102</v>
      </c>
      <c r="P737" t="s">
        <v>3110</v>
      </c>
      <c r="Q737" t="s">
        <v>3104</v>
      </c>
    </row>
    <row r="738" spans="1:17" x14ac:dyDescent="0.25">
      <c r="A738" t="s">
        <v>1064</v>
      </c>
      <c r="C738" t="s">
        <v>293</v>
      </c>
      <c r="D738">
        <v>2688</v>
      </c>
      <c r="E738">
        <v>-290187</v>
      </c>
      <c r="F738">
        <v>0</v>
      </c>
      <c r="G738">
        <v>-524054</v>
      </c>
      <c r="H738">
        <v>-642946</v>
      </c>
      <c r="I738">
        <v>44.9</v>
      </c>
      <c r="J738">
        <v>0</v>
      </c>
      <c r="K738">
        <v>2688</v>
      </c>
      <c r="L738">
        <v>2808.96</v>
      </c>
      <c r="M738">
        <v>2938.1721600000001</v>
      </c>
      <c r="N738">
        <v>3073.3280793600002</v>
      </c>
      <c r="O738" t="s">
        <v>3102</v>
      </c>
      <c r="P738" t="s">
        <v>3117</v>
      </c>
      <c r="Q738" t="s">
        <v>3111</v>
      </c>
    </row>
    <row r="739" spans="1:17" x14ac:dyDescent="0.25">
      <c r="A739" t="s">
        <v>1065</v>
      </c>
      <c r="C739" t="s">
        <v>296</v>
      </c>
      <c r="D739">
        <v>34540</v>
      </c>
      <c r="E739">
        <v>-290187</v>
      </c>
      <c r="F739">
        <v>0</v>
      </c>
      <c r="G739">
        <v>-524054</v>
      </c>
      <c r="H739">
        <v>-642946</v>
      </c>
      <c r="I739">
        <v>44.9</v>
      </c>
      <c r="J739">
        <v>0</v>
      </c>
      <c r="K739">
        <v>34540</v>
      </c>
      <c r="L739">
        <v>36094.300000000003</v>
      </c>
      <c r="M739">
        <v>37754.637800000004</v>
      </c>
      <c r="N739">
        <v>39491.351138800004</v>
      </c>
      <c r="O739" t="s">
        <v>3102</v>
      </c>
      <c r="P739" t="s">
        <v>3117</v>
      </c>
      <c r="Q739" t="s">
        <v>3111</v>
      </c>
    </row>
    <row r="740" spans="1:17" x14ac:dyDescent="0.25">
      <c r="A740" t="s">
        <v>1066</v>
      </c>
      <c r="C740" t="s">
        <v>300</v>
      </c>
      <c r="D740">
        <v>0</v>
      </c>
      <c r="E740">
        <v>-290187</v>
      </c>
      <c r="F740">
        <v>0</v>
      </c>
      <c r="G740">
        <v>-524054</v>
      </c>
      <c r="H740">
        <v>-642946</v>
      </c>
      <c r="I740">
        <v>44.9</v>
      </c>
      <c r="J740">
        <v>0</v>
      </c>
      <c r="K740">
        <v>0</v>
      </c>
      <c r="L740">
        <v>0</v>
      </c>
      <c r="M740">
        <v>0</v>
      </c>
      <c r="N740">
        <v>0</v>
      </c>
      <c r="O740" t="s">
        <v>3102</v>
      </c>
      <c r="P740" t="s">
        <v>3117</v>
      </c>
      <c r="Q740" t="s">
        <v>3111</v>
      </c>
    </row>
    <row r="741" spans="1:17" x14ac:dyDescent="0.25">
      <c r="A741" t="s">
        <v>1067</v>
      </c>
      <c r="C741" t="s">
        <v>302</v>
      </c>
      <c r="D741">
        <v>623329</v>
      </c>
      <c r="E741">
        <v>-290187</v>
      </c>
      <c r="F741">
        <v>0</v>
      </c>
      <c r="G741">
        <v>-524054</v>
      </c>
      <c r="H741">
        <v>-642946</v>
      </c>
      <c r="I741">
        <v>44.9</v>
      </c>
      <c r="J741">
        <v>0</v>
      </c>
      <c r="K741">
        <v>623329</v>
      </c>
      <c r="L741">
        <v>651378.80500000005</v>
      </c>
      <c r="M741">
        <v>681342.23003000009</v>
      </c>
      <c r="N741">
        <v>712683.97261138004</v>
      </c>
      <c r="O741" t="s">
        <v>3102</v>
      </c>
      <c r="P741" t="s">
        <v>3117</v>
      </c>
      <c r="Q741" t="s">
        <v>3111</v>
      </c>
    </row>
    <row r="742" spans="1:17" x14ac:dyDescent="0.25">
      <c r="A742" t="s">
        <v>1068</v>
      </c>
      <c r="C742" t="s">
        <v>303</v>
      </c>
      <c r="D742">
        <v>12477</v>
      </c>
      <c r="E742">
        <v>-290187</v>
      </c>
      <c r="F742">
        <v>0</v>
      </c>
      <c r="G742">
        <v>-524054</v>
      </c>
      <c r="H742">
        <v>-642946</v>
      </c>
      <c r="I742">
        <v>44.9</v>
      </c>
      <c r="J742">
        <v>0</v>
      </c>
      <c r="K742">
        <v>12477</v>
      </c>
      <c r="L742">
        <v>13038.465</v>
      </c>
      <c r="M742">
        <v>13638.23439</v>
      </c>
      <c r="N742">
        <v>14265.59317194</v>
      </c>
      <c r="O742" t="s">
        <v>3102</v>
      </c>
      <c r="P742" t="s">
        <v>3117</v>
      </c>
      <c r="Q742" t="s">
        <v>3111</v>
      </c>
    </row>
    <row r="743" spans="1:17" x14ac:dyDescent="0.25">
      <c r="A743" t="s">
        <v>3081</v>
      </c>
      <c r="C743" t="s">
        <v>3064</v>
      </c>
      <c r="L743">
        <v>0</v>
      </c>
      <c r="M743">
        <v>400000</v>
      </c>
      <c r="N743">
        <v>0</v>
      </c>
      <c r="O743" t="s">
        <v>3118</v>
      </c>
      <c r="Q743" t="s">
        <v>3149</v>
      </c>
    </row>
    <row r="744" spans="1:17" x14ac:dyDescent="0.25">
      <c r="A744" t="s">
        <v>1069</v>
      </c>
      <c r="C744" t="s">
        <v>1070</v>
      </c>
      <c r="D744">
        <v>900000</v>
      </c>
      <c r="E744">
        <v>-290187</v>
      </c>
      <c r="F744">
        <v>0</v>
      </c>
      <c r="G744">
        <v>-524054</v>
      </c>
      <c r="H744">
        <v>-642946</v>
      </c>
      <c r="I744">
        <v>44.9</v>
      </c>
      <c r="J744">
        <v>-185724</v>
      </c>
      <c r="K744">
        <v>714276</v>
      </c>
      <c r="L744">
        <v>0</v>
      </c>
      <c r="M744">
        <v>0</v>
      </c>
      <c r="O744" t="s">
        <v>3118</v>
      </c>
      <c r="Q744" t="s">
        <v>3198</v>
      </c>
    </row>
    <row r="745" spans="1:17" x14ac:dyDescent="0.25">
      <c r="A745" t="s">
        <v>1071</v>
      </c>
      <c r="C745" t="s">
        <v>1072</v>
      </c>
      <c r="D745">
        <v>1200000</v>
      </c>
      <c r="E745">
        <v>-290187</v>
      </c>
      <c r="F745">
        <v>0</v>
      </c>
      <c r="G745">
        <v>-524054</v>
      </c>
      <c r="H745">
        <v>-642946</v>
      </c>
      <c r="I745">
        <v>44.9</v>
      </c>
      <c r="J745">
        <v>-1200000</v>
      </c>
      <c r="K745">
        <v>0</v>
      </c>
      <c r="L745">
        <v>0</v>
      </c>
      <c r="M745">
        <v>0</v>
      </c>
      <c r="O745" t="s">
        <v>3118</v>
      </c>
      <c r="Q745" t="s">
        <v>3199</v>
      </c>
    </row>
    <row r="746" spans="1:17" x14ac:dyDescent="0.25">
      <c r="A746" t="s">
        <v>3080</v>
      </c>
      <c r="C746" t="s">
        <v>3065</v>
      </c>
      <c r="D746">
        <v>0</v>
      </c>
      <c r="K746">
        <v>0</v>
      </c>
      <c r="L746">
        <v>0</v>
      </c>
      <c r="M746">
        <v>500000</v>
      </c>
      <c r="N746">
        <v>600000</v>
      </c>
      <c r="O746" t="s">
        <v>3118</v>
      </c>
      <c r="Q746" t="s">
        <v>3200</v>
      </c>
    </row>
    <row r="747" spans="1:17" x14ac:dyDescent="0.25">
      <c r="A747" t="s">
        <v>1074</v>
      </c>
      <c r="C747" t="s">
        <v>24</v>
      </c>
      <c r="D747">
        <v>-1200007</v>
      </c>
      <c r="E747">
        <v>-290187</v>
      </c>
      <c r="F747">
        <v>0</v>
      </c>
      <c r="G747">
        <v>-524054</v>
      </c>
      <c r="H747">
        <v>-642946</v>
      </c>
      <c r="I747">
        <v>44.9</v>
      </c>
      <c r="J747">
        <v>0</v>
      </c>
      <c r="K747">
        <v>-1200007</v>
      </c>
      <c r="L747">
        <v>-1254007.3149999999</v>
      </c>
      <c r="M747">
        <v>-1314199.66612</v>
      </c>
      <c r="N747">
        <v>-1374652.85076152</v>
      </c>
      <c r="O747" t="s">
        <v>3100</v>
      </c>
      <c r="Q747" t="s">
        <v>3174</v>
      </c>
    </row>
    <row r="748" spans="1:17" x14ac:dyDescent="0.25">
      <c r="A748" t="s">
        <v>1075</v>
      </c>
      <c r="C748" t="s">
        <v>26</v>
      </c>
      <c r="D748">
        <v>0</v>
      </c>
      <c r="E748">
        <v>-290187</v>
      </c>
      <c r="F748">
        <v>0</v>
      </c>
      <c r="G748">
        <v>-524054</v>
      </c>
      <c r="H748">
        <v>-642946</v>
      </c>
      <c r="I748">
        <v>44.9</v>
      </c>
      <c r="J748">
        <v>0</v>
      </c>
      <c r="K748">
        <v>0</v>
      </c>
      <c r="L748">
        <v>0</v>
      </c>
      <c r="M748">
        <v>0</v>
      </c>
      <c r="O748" t="s">
        <v>3100</v>
      </c>
      <c r="Q748" t="s">
        <v>3174</v>
      </c>
    </row>
    <row r="749" spans="1:17" x14ac:dyDescent="0.25">
      <c r="A749" t="s">
        <v>1076</v>
      </c>
      <c r="C749" t="s">
        <v>92</v>
      </c>
      <c r="D749">
        <v>-7065504</v>
      </c>
      <c r="E749">
        <v>-290187</v>
      </c>
      <c r="F749">
        <v>0</v>
      </c>
      <c r="G749">
        <v>-524054</v>
      </c>
      <c r="H749">
        <v>-642946</v>
      </c>
      <c r="I749">
        <v>44.9</v>
      </c>
      <c r="J749">
        <v>0</v>
      </c>
      <c r="K749">
        <v>-7065504</v>
      </c>
      <c r="L749">
        <v>-7383451.6799999997</v>
      </c>
      <c r="M749">
        <v>-7723090.4572799997</v>
      </c>
      <c r="N749">
        <v>-8078352.6183148799</v>
      </c>
      <c r="O749" t="s">
        <v>3100</v>
      </c>
      <c r="Q749" t="s">
        <v>3201</v>
      </c>
    </row>
    <row r="750" spans="1:17" x14ac:dyDescent="0.25">
      <c r="A750" t="s">
        <v>1077</v>
      </c>
      <c r="C750" t="s">
        <v>150</v>
      </c>
      <c r="D750">
        <v>7800438</v>
      </c>
      <c r="E750">
        <v>-290187</v>
      </c>
      <c r="F750">
        <v>0</v>
      </c>
      <c r="G750">
        <v>-524054</v>
      </c>
      <c r="H750">
        <v>-642946</v>
      </c>
      <c r="I750">
        <v>44.9</v>
      </c>
      <c r="J750">
        <v>0</v>
      </c>
      <c r="K750">
        <v>7800438</v>
      </c>
      <c r="L750">
        <v>8287965.375</v>
      </c>
      <c r="M750">
        <v>8868122.9512499999</v>
      </c>
      <c r="N750">
        <v>9488891.5578374993</v>
      </c>
      <c r="O750" t="s">
        <v>3102</v>
      </c>
      <c r="P750" t="s">
        <v>3103</v>
      </c>
      <c r="Q750" t="s">
        <v>3104</v>
      </c>
    </row>
    <row r="751" spans="1:17" x14ac:dyDescent="0.25">
      <c r="A751" t="s">
        <v>1078</v>
      </c>
      <c r="C751" t="s">
        <v>151</v>
      </c>
      <c r="D751">
        <v>364506</v>
      </c>
      <c r="E751">
        <v>-290187</v>
      </c>
      <c r="F751">
        <v>0</v>
      </c>
      <c r="G751">
        <v>-524054</v>
      </c>
      <c r="H751">
        <v>-642946</v>
      </c>
      <c r="I751">
        <v>44.9</v>
      </c>
      <c r="J751">
        <v>-144361.65999999992</v>
      </c>
      <c r="K751">
        <v>220144.34000000008</v>
      </c>
      <c r="L751">
        <v>233903.36125000007</v>
      </c>
      <c r="M751">
        <v>250276.59653750007</v>
      </c>
      <c r="N751">
        <v>267795.95829512505</v>
      </c>
      <c r="O751" t="s">
        <v>3102</v>
      </c>
      <c r="P751" t="s">
        <v>3103</v>
      </c>
      <c r="Q751" t="s">
        <v>3104</v>
      </c>
    </row>
    <row r="752" spans="1:17" x14ac:dyDescent="0.25">
      <c r="A752" t="s">
        <v>1079</v>
      </c>
      <c r="C752" t="s">
        <v>152</v>
      </c>
      <c r="D752">
        <v>136800</v>
      </c>
      <c r="E752">
        <v>-290187</v>
      </c>
      <c r="F752">
        <v>0</v>
      </c>
      <c r="G752">
        <v>-524054</v>
      </c>
      <c r="H752">
        <v>-642946</v>
      </c>
      <c r="I752">
        <v>44.9</v>
      </c>
      <c r="J752">
        <v>0</v>
      </c>
      <c r="K752">
        <v>136800</v>
      </c>
      <c r="L752">
        <v>145350</v>
      </c>
      <c r="M752">
        <v>155524.5</v>
      </c>
      <c r="N752">
        <v>166411.215</v>
      </c>
      <c r="O752" t="s">
        <v>3102</v>
      </c>
      <c r="P752" t="s">
        <v>3103</v>
      </c>
      <c r="Q752" t="s">
        <v>3104</v>
      </c>
    </row>
    <row r="753" spans="1:17" x14ac:dyDescent="0.25">
      <c r="A753" t="s">
        <v>1080</v>
      </c>
      <c r="C753" t="s">
        <v>153</v>
      </c>
      <c r="D753">
        <v>0</v>
      </c>
      <c r="E753">
        <v>-290187</v>
      </c>
      <c r="F753">
        <v>0</v>
      </c>
      <c r="G753">
        <v>-524054</v>
      </c>
      <c r="H753">
        <v>-642946</v>
      </c>
      <c r="I753">
        <v>44.9</v>
      </c>
      <c r="J753">
        <v>65358.84</v>
      </c>
      <c r="K753">
        <v>65358.84</v>
      </c>
      <c r="L753">
        <v>69443.767500000002</v>
      </c>
      <c r="M753">
        <v>74304.831225000002</v>
      </c>
      <c r="N753">
        <v>79506.169410750008</v>
      </c>
      <c r="O753" t="s">
        <v>3102</v>
      </c>
      <c r="P753" t="s">
        <v>3103</v>
      </c>
      <c r="Q753" t="s">
        <v>3104</v>
      </c>
    </row>
    <row r="754" spans="1:17" x14ac:dyDescent="0.25">
      <c r="A754" t="s">
        <v>1081</v>
      </c>
      <c r="C754" t="s">
        <v>155</v>
      </c>
      <c r="D754">
        <v>258849</v>
      </c>
      <c r="E754">
        <v>-290187</v>
      </c>
      <c r="F754">
        <v>0</v>
      </c>
      <c r="G754">
        <v>-524054</v>
      </c>
      <c r="H754">
        <v>-642946</v>
      </c>
      <c r="I754">
        <v>44.9</v>
      </c>
      <c r="J754">
        <v>0</v>
      </c>
      <c r="K754">
        <v>258849</v>
      </c>
      <c r="L754">
        <v>275027.0625</v>
      </c>
      <c r="M754">
        <v>294278.95687499997</v>
      </c>
      <c r="N754">
        <v>314878.48385624995</v>
      </c>
      <c r="O754" t="s">
        <v>3102</v>
      </c>
      <c r="P754" t="s">
        <v>3103</v>
      </c>
      <c r="Q754" t="s">
        <v>3104</v>
      </c>
    </row>
    <row r="755" spans="1:17" x14ac:dyDescent="0.25">
      <c r="A755" t="s">
        <v>1082</v>
      </c>
      <c r="C755" t="s">
        <v>156</v>
      </c>
      <c r="D755">
        <v>241565</v>
      </c>
      <c r="E755">
        <v>-290187</v>
      </c>
      <c r="F755">
        <v>0</v>
      </c>
      <c r="G755">
        <v>-524054</v>
      </c>
      <c r="H755">
        <v>-642946</v>
      </c>
      <c r="I755">
        <v>44.9</v>
      </c>
      <c r="J755">
        <v>457044.24</v>
      </c>
      <c r="K755">
        <v>698609.24</v>
      </c>
      <c r="L755">
        <v>742272.3175</v>
      </c>
      <c r="M755">
        <v>794231.37972500001</v>
      </c>
      <c r="N755">
        <v>849827.57630575006</v>
      </c>
      <c r="O755" t="s">
        <v>3102</v>
      </c>
      <c r="P755" t="s">
        <v>3103</v>
      </c>
      <c r="Q755" t="s">
        <v>3104</v>
      </c>
    </row>
    <row r="756" spans="1:17" x14ac:dyDescent="0.25">
      <c r="A756" t="s">
        <v>1083</v>
      </c>
      <c r="C756" t="s">
        <v>157</v>
      </c>
      <c r="D756">
        <v>258730</v>
      </c>
      <c r="E756">
        <v>-290187</v>
      </c>
      <c r="F756">
        <v>0</v>
      </c>
      <c r="G756">
        <v>-524054</v>
      </c>
      <c r="H756">
        <v>-642946</v>
      </c>
      <c r="I756">
        <v>44.9</v>
      </c>
      <c r="J756">
        <v>-258730</v>
      </c>
      <c r="K756">
        <v>0</v>
      </c>
      <c r="L756">
        <v>0</v>
      </c>
      <c r="M756">
        <v>0</v>
      </c>
      <c r="N756">
        <v>0</v>
      </c>
      <c r="O756" t="s">
        <v>3102</v>
      </c>
      <c r="P756" t="s">
        <v>3103</v>
      </c>
      <c r="Q756" t="s">
        <v>3104</v>
      </c>
    </row>
    <row r="757" spans="1:17" x14ac:dyDescent="0.25">
      <c r="A757" t="s">
        <v>1084</v>
      </c>
      <c r="C757" t="s">
        <v>158</v>
      </c>
      <c r="D757">
        <v>0</v>
      </c>
      <c r="E757">
        <v>-290187</v>
      </c>
      <c r="F757">
        <v>0</v>
      </c>
      <c r="G757">
        <v>-524054</v>
      </c>
      <c r="H757">
        <v>-642946</v>
      </c>
      <c r="I757">
        <v>44.9</v>
      </c>
      <c r="J757">
        <v>110000</v>
      </c>
      <c r="K757">
        <v>110000</v>
      </c>
      <c r="L757">
        <v>116875</v>
      </c>
      <c r="M757">
        <v>125056.25</v>
      </c>
      <c r="N757">
        <v>133810.1875</v>
      </c>
      <c r="O757" t="s">
        <v>3102</v>
      </c>
      <c r="P757" t="s">
        <v>3103</v>
      </c>
      <c r="Q757" t="s">
        <v>3104</v>
      </c>
    </row>
    <row r="758" spans="1:17" x14ac:dyDescent="0.25">
      <c r="A758" t="s">
        <v>1085</v>
      </c>
      <c r="C758" t="s">
        <v>159</v>
      </c>
      <c r="D758">
        <v>650036</v>
      </c>
      <c r="E758">
        <v>-290187</v>
      </c>
      <c r="F758">
        <v>0</v>
      </c>
      <c r="G758">
        <v>-524054</v>
      </c>
      <c r="H758">
        <v>-642946</v>
      </c>
      <c r="I758">
        <v>44.9</v>
      </c>
      <c r="J758">
        <v>0</v>
      </c>
      <c r="K758">
        <v>650036</v>
      </c>
      <c r="L758">
        <v>690663.25</v>
      </c>
      <c r="M758">
        <v>739009.67749999999</v>
      </c>
      <c r="N758">
        <v>790740.35492499999</v>
      </c>
      <c r="O758" t="s">
        <v>3102</v>
      </c>
      <c r="P758" t="s">
        <v>3103</v>
      </c>
      <c r="Q758" t="s">
        <v>3104</v>
      </c>
    </row>
    <row r="759" spans="1:17" x14ac:dyDescent="0.25">
      <c r="A759" t="s">
        <v>1086</v>
      </c>
      <c r="C759" t="s">
        <v>160</v>
      </c>
      <c r="D759">
        <v>115560</v>
      </c>
      <c r="E759">
        <v>-290187</v>
      </c>
      <c r="F759">
        <v>0</v>
      </c>
      <c r="G759">
        <v>-524054</v>
      </c>
      <c r="H759">
        <v>-642946</v>
      </c>
      <c r="I759">
        <v>44.9</v>
      </c>
      <c r="J759">
        <v>0</v>
      </c>
      <c r="K759">
        <v>115560</v>
      </c>
      <c r="L759">
        <v>122782.5</v>
      </c>
      <c r="M759">
        <v>131377.27499999999</v>
      </c>
      <c r="N759">
        <v>140573.68424999999</v>
      </c>
      <c r="O759" t="s">
        <v>3102</v>
      </c>
      <c r="P759" t="s">
        <v>3103</v>
      </c>
      <c r="Q759" t="s">
        <v>3104</v>
      </c>
    </row>
    <row r="760" spans="1:17" x14ac:dyDescent="0.25">
      <c r="A760" t="s">
        <v>1087</v>
      </c>
      <c r="C760" t="s">
        <v>164</v>
      </c>
      <c r="D760">
        <v>0</v>
      </c>
      <c r="E760">
        <v>-290187</v>
      </c>
      <c r="F760">
        <v>0</v>
      </c>
      <c r="G760">
        <v>-524054</v>
      </c>
      <c r="H760">
        <v>-642946</v>
      </c>
      <c r="I760">
        <v>44.9</v>
      </c>
      <c r="J760">
        <v>15692.4</v>
      </c>
      <c r="K760">
        <v>15692.4</v>
      </c>
      <c r="L760">
        <v>16673.174999999999</v>
      </c>
      <c r="M760">
        <v>17840.29725</v>
      </c>
      <c r="N760">
        <v>19089.1180575</v>
      </c>
      <c r="O760" t="s">
        <v>3102</v>
      </c>
      <c r="P760" t="s">
        <v>3103</v>
      </c>
      <c r="Q760" t="s">
        <v>3104</v>
      </c>
    </row>
    <row r="761" spans="1:17" x14ac:dyDescent="0.25">
      <c r="A761" t="s">
        <v>1088</v>
      </c>
      <c r="C761" t="s">
        <v>167</v>
      </c>
      <c r="D761">
        <v>2921</v>
      </c>
      <c r="E761">
        <v>-290187</v>
      </c>
      <c r="F761">
        <v>0</v>
      </c>
      <c r="G761">
        <v>-524054</v>
      </c>
      <c r="H761">
        <v>-642946</v>
      </c>
      <c r="I761">
        <v>44.9</v>
      </c>
      <c r="J761">
        <v>0</v>
      </c>
      <c r="K761">
        <v>2921</v>
      </c>
      <c r="L761">
        <v>3103.5625</v>
      </c>
      <c r="M761">
        <v>3320.8118749999999</v>
      </c>
      <c r="N761">
        <v>3553.2687062499999</v>
      </c>
      <c r="O761" t="s">
        <v>3102</v>
      </c>
      <c r="P761" t="s">
        <v>3103</v>
      </c>
      <c r="Q761" t="s">
        <v>3104</v>
      </c>
    </row>
    <row r="762" spans="1:17" x14ac:dyDescent="0.25">
      <c r="A762" t="s">
        <v>1089</v>
      </c>
      <c r="C762" t="s">
        <v>168</v>
      </c>
      <c r="D762">
        <v>1401613</v>
      </c>
      <c r="E762">
        <v>-290187</v>
      </c>
      <c r="F762">
        <v>0</v>
      </c>
      <c r="G762">
        <v>-524054</v>
      </c>
      <c r="H762">
        <v>-642946</v>
      </c>
      <c r="I762">
        <v>44.9</v>
      </c>
      <c r="J762">
        <v>-500000</v>
      </c>
      <c r="K762">
        <v>901613</v>
      </c>
      <c r="L762">
        <v>957963.8125</v>
      </c>
      <c r="M762">
        <v>1025021.279375</v>
      </c>
      <c r="N762">
        <v>1096772.7689312501</v>
      </c>
      <c r="O762" t="s">
        <v>3102</v>
      </c>
      <c r="P762" t="s">
        <v>3103</v>
      </c>
      <c r="Q762" t="s">
        <v>3104</v>
      </c>
    </row>
    <row r="763" spans="1:17" x14ac:dyDescent="0.25">
      <c r="A763" t="s">
        <v>1090</v>
      </c>
      <c r="C763" t="s">
        <v>169</v>
      </c>
      <c r="D763">
        <v>1716096</v>
      </c>
      <c r="E763">
        <v>-290187</v>
      </c>
      <c r="F763">
        <v>0</v>
      </c>
      <c r="G763">
        <v>-524054</v>
      </c>
      <c r="H763">
        <v>-642946</v>
      </c>
      <c r="I763">
        <v>44.9</v>
      </c>
      <c r="J763">
        <v>0</v>
      </c>
      <c r="K763">
        <v>1716096</v>
      </c>
      <c r="L763">
        <v>1823352</v>
      </c>
      <c r="M763">
        <v>1950986.64</v>
      </c>
      <c r="N763">
        <v>2087555.7047999999</v>
      </c>
      <c r="O763" t="s">
        <v>3102</v>
      </c>
      <c r="P763" t="s">
        <v>3103</v>
      </c>
      <c r="Q763" t="s">
        <v>3104</v>
      </c>
    </row>
    <row r="764" spans="1:17" x14ac:dyDescent="0.25">
      <c r="A764" t="s">
        <v>1091</v>
      </c>
      <c r="C764" t="s">
        <v>170</v>
      </c>
      <c r="D764">
        <v>46410</v>
      </c>
      <c r="E764">
        <v>-290187</v>
      </c>
      <c r="F764">
        <v>0</v>
      </c>
      <c r="G764">
        <v>-524054</v>
      </c>
      <c r="H764">
        <v>-642946</v>
      </c>
      <c r="I764">
        <v>44.9</v>
      </c>
      <c r="J764">
        <v>0</v>
      </c>
      <c r="K764">
        <v>46410</v>
      </c>
      <c r="L764">
        <v>49310.625</v>
      </c>
      <c r="M764">
        <v>52762.368750000001</v>
      </c>
      <c r="N764">
        <v>56455.734562500002</v>
      </c>
      <c r="O764" t="s">
        <v>3102</v>
      </c>
      <c r="P764" t="s">
        <v>3103</v>
      </c>
      <c r="Q764" t="s">
        <v>3104</v>
      </c>
    </row>
    <row r="765" spans="1:17" x14ac:dyDescent="0.25">
      <c r="A765" t="s">
        <v>1092</v>
      </c>
      <c r="C765" t="s">
        <v>173</v>
      </c>
      <c r="D765">
        <v>111281</v>
      </c>
      <c r="E765">
        <v>-290187</v>
      </c>
      <c r="F765">
        <v>0</v>
      </c>
      <c r="G765">
        <v>-524054</v>
      </c>
      <c r="H765">
        <v>-642946</v>
      </c>
      <c r="I765">
        <v>44.9</v>
      </c>
      <c r="J765">
        <v>0</v>
      </c>
      <c r="K765">
        <v>111281</v>
      </c>
      <c r="L765">
        <v>118236.0625</v>
      </c>
      <c r="M765">
        <v>126512.58687500001</v>
      </c>
      <c r="N765">
        <v>135368.46795625001</v>
      </c>
      <c r="O765" t="s">
        <v>3102</v>
      </c>
      <c r="P765" t="s">
        <v>3103</v>
      </c>
      <c r="Q765" t="s">
        <v>3111</v>
      </c>
    </row>
    <row r="766" spans="1:17" x14ac:dyDescent="0.25">
      <c r="A766" t="s">
        <v>1093</v>
      </c>
      <c r="C766" t="s">
        <v>174</v>
      </c>
      <c r="D766">
        <v>84517</v>
      </c>
      <c r="E766">
        <v>-290187</v>
      </c>
      <c r="F766">
        <v>0</v>
      </c>
      <c r="G766">
        <v>-524054</v>
      </c>
      <c r="H766">
        <v>-642946</v>
      </c>
      <c r="I766">
        <v>44.9</v>
      </c>
      <c r="J766">
        <v>0</v>
      </c>
      <c r="K766">
        <v>84517</v>
      </c>
      <c r="L766">
        <v>89799.3125</v>
      </c>
      <c r="M766">
        <v>96085.264374999999</v>
      </c>
      <c r="N766">
        <v>102811.23288125001</v>
      </c>
      <c r="O766" t="s">
        <v>3102</v>
      </c>
      <c r="P766" t="s">
        <v>3103</v>
      </c>
      <c r="Q766" t="s">
        <v>3111</v>
      </c>
    </row>
    <row r="767" spans="1:17" x14ac:dyDescent="0.25">
      <c r="A767" t="s">
        <v>1094</v>
      </c>
      <c r="C767" t="s">
        <v>175</v>
      </c>
      <c r="D767">
        <v>120219</v>
      </c>
      <c r="E767">
        <v>-290187</v>
      </c>
      <c r="F767">
        <v>0</v>
      </c>
      <c r="G767">
        <v>-524054</v>
      </c>
      <c r="H767">
        <v>-642946</v>
      </c>
      <c r="I767">
        <v>44.9</v>
      </c>
      <c r="J767">
        <v>0</v>
      </c>
      <c r="K767">
        <v>120219</v>
      </c>
      <c r="L767">
        <v>127732.6875</v>
      </c>
      <c r="M767">
        <v>136673.97562499999</v>
      </c>
      <c r="N767">
        <v>146241.15391875</v>
      </c>
      <c r="O767" t="s">
        <v>3102</v>
      </c>
      <c r="P767" t="s">
        <v>3103</v>
      </c>
      <c r="Q767" t="s">
        <v>3111</v>
      </c>
    </row>
    <row r="768" spans="1:17" x14ac:dyDescent="0.25">
      <c r="A768" t="s">
        <v>1095</v>
      </c>
      <c r="C768" t="s">
        <v>235</v>
      </c>
      <c r="D768">
        <v>39987</v>
      </c>
      <c r="E768">
        <v>-290187</v>
      </c>
      <c r="F768">
        <v>0</v>
      </c>
      <c r="G768">
        <v>-524054</v>
      </c>
      <c r="H768">
        <v>-642946</v>
      </c>
      <c r="I768">
        <v>44.9</v>
      </c>
      <c r="J768">
        <v>0</v>
      </c>
      <c r="K768">
        <v>39987</v>
      </c>
      <c r="L768">
        <v>41786.415000000001</v>
      </c>
      <c r="M768">
        <v>43708.590089999998</v>
      </c>
      <c r="N768">
        <v>45719.185234140001</v>
      </c>
      <c r="O768" t="s">
        <v>3102</v>
      </c>
      <c r="P768" t="s">
        <v>3105</v>
      </c>
      <c r="Q768" t="s">
        <v>3202</v>
      </c>
    </row>
    <row r="769" spans="1:17" x14ac:dyDescent="0.25">
      <c r="A769" t="s">
        <v>1096</v>
      </c>
      <c r="C769" t="s">
        <v>265</v>
      </c>
      <c r="D769">
        <v>0</v>
      </c>
      <c r="E769">
        <v>-290187</v>
      </c>
      <c r="F769">
        <v>0</v>
      </c>
      <c r="G769">
        <v>-524054</v>
      </c>
      <c r="H769">
        <v>-642946</v>
      </c>
      <c r="I769">
        <v>44.9</v>
      </c>
      <c r="J769">
        <v>174021.27</v>
      </c>
      <c r="K769">
        <v>174021.27</v>
      </c>
      <c r="L769">
        <v>181852.22714999999</v>
      </c>
      <c r="M769">
        <v>190217.42959889999</v>
      </c>
      <c r="N769">
        <v>198967.43136044941</v>
      </c>
      <c r="O769" t="s">
        <v>3102</v>
      </c>
      <c r="P769" t="s">
        <v>3110</v>
      </c>
      <c r="Q769" t="s">
        <v>3104</v>
      </c>
    </row>
    <row r="770" spans="1:17" x14ac:dyDescent="0.25">
      <c r="A770" t="s">
        <v>1097</v>
      </c>
      <c r="C770" t="s">
        <v>268</v>
      </c>
      <c r="D770">
        <v>0</v>
      </c>
      <c r="E770">
        <v>-290187</v>
      </c>
      <c r="F770">
        <v>0</v>
      </c>
      <c r="G770">
        <v>-524054</v>
      </c>
      <c r="H770">
        <v>-642946</v>
      </c>
      <c r="I770">
        <v>44.9</v>
      </c>
      <c r="J770">
        <v>219649.7</v>
      </c>
      <c r="K770">
        <v>219649.7</v>
      </c>
      <c r="L770">
        <v>229533.93650000001</v>
      </c>
      <c r="M770">
        <v>240092.49757900002</v>
      </c>
      <c r="N770">
        <v>251136.75246763401</v>
      </c>
      <c r="O770" t="s">
        <v>3102</v>
      </c>
      <c r="P770" t="s">
        <v>3110</v>
      </c>
      <c r="Q770" t="s">
        <v>3104</v>
      </c>
    </row>
    <row r="771" spans="1:17" x14ac:dyDescent="0.25">
      <c r="A771" t="s">
        <v>1098</v>
      </c>
      <c r="C771" t="s">
        <v>291</v>
      </c>
      <c r="D771">
        <v>3371</v>
      </c>
      <c r="E771">
        <v>-290187</v>
      </c>
      <c r="F771">
        <v>0</v>
      </c>
      <c r="G771">
        <v>-524054</v>
      </c>
      <c r="H771">
        <v>-642946</v>
      </c>
      <c r="I771">
        <v>44.9</v>
      </c>
      <c r="J771">
        <v>0</v>
      </c>
      <c r="K771">
        <v>3371</v>
      </c>
      <c r="L771">
        <v>3522.6950000000002</v>
      </c>
      <c r="M771">
        <v>3684.7389700000003</v>
      </c>
      <c r="N771">
        <v>3854.2369626200002</v>
      </c>
      <c r="O771" t="s">
        <v>3102</v>
      </c>
      <c r="P771" t="s">
        <v>3117</v>
      </c>
      <c r="Q771" t="s">
        <v>3111</v>
      </c>
    </row>
    <row r="772" spans="1:17" x14ac:dyDescent="0.25">
      <c r="A772" t="s">
        <v>1099</v>
      </c>
      <c r="C772" t="s">
        <v>292</v>
      </c>
      <c r="D772">
        <v>3371</v>
      </c>
      <c r="E772">
        <v>-290187</v>
      </c>
      <c r="F772">
        <v>0</v>
      </c>
      <c r="G772">
        <v>-524054</v>
      </c>
      <c r="H772">
        <v>-642946</v>
      </c>
      <c r="I772">
        <v>44.9</v>
      </c>
      <c r="J772">
        <v>0</v>
      </c>
      <c r="K772">
        <v>3371</v>
      </c>
      <c r="L772">
        <v>3522.6950000000002</v>
      </c>
      <c r="M772">
        <v>3684.7389700000003</v>
      </c>
      <c r="N772">
        <v>3854.2369626200002</v>
      </c>
      <c r="O772" t="s">
        <v>3102</v>
      </c>
      <c r="P772" t="s">
        <v>3117</v>
      </c>
      <c r="Q772" t="s">
        <v>3111</v>
      </c>
    </row>
    <row r="773" spans="1:17" x14ac:dyDescent="0.25">
      <c r="A773" t="s">
        <v>1100</v>
      </c>
      <c r="C773" t="s">
        <v>293</v>
      </c>
      <c r="D773">
        <v>62309</v>
      </c>
      <c r="E773">
        <v>-290187</v>
      </c>
      <c r="F773">
        <v>0</v>
      </c>
      <c r="G773">
        <v>-524054</v>
      </c>
      <c r="H773">
        <v>-642946</v>
      </c>
      <c r="I773">
        <v>44.9</v>
      </c>
      <c r="J773">
        <v>0</v>
      </c>
      <c r="K773">
        <v>62309</v>
      </c>
      <c r="L773">
        <v>65112.904999999999</v>
      </c>
      <c r="M773">
        <v>68108.098629999993</v>
      </c>
      <c r="N773">
        <v>71241.071166979993</v>
      </c>
      <c r="O773" t="s">
        <v>3102</v>
      </c>
      <c r="P773" t="s">
        <v>3117</v>
      </c>
      <c r="Q773" t="s">
        <v>3111</v>
      </c>
    </row>
    <row r="774" spans="1:17" x14ac:dyDescent="0.25">
      <c r="A774" t="s">
        <v>1101</v>
      </c>
      <c r="C774" t="s">
        <v>296</v>
      </c>
      <c r="D774">
        <v>10426</v>
      </c>
      <c r="E774">
        <v>-290187</v>
      </c>
      <c r="F774">
        <v>0</v>
      </c>
      <c r="G774">
        <v>-524054</v>
      </c>
      <c r="H774">
        <v>-642946</v>
      </c>
      <c r="I774">
        <v>44.9</v>
      </c>
      <c r="J774">
        <v>0</v>
      </c>
      <c r="K774">
        <v>10426</v>
      </c>
      <c r="L774">
        <v>10895.17</v>
      </c>
      <c r="M774">
        <v>11396.347820000001</v>
      </c>
      <c r="N774">
        <v>11920.57981972</v>
      </c>
      <c r="O774" t="s">
        <v>3102</v>
      </c>
      <c r="P774" t="s">
        <v>3117</v>
      </c>
      <c r="Q774" t="s">
        <v>3111</v>
      </c>
    </row>
    <row r="775" spans="1:17" x14ac:dyDescent="0.25">
      <c r="A775" t="s">
        <v>1102</v>
      </c>
      <c r="C775" t="s">
        <v>300</v>
      </c>
      <c r="D775">
        <v>0</v>
      </c>
      <c r="E775">
        <v>-290187</v>
      </c>
      <c r="F775">
        <v>0</v>
      </c>
      <c r="G775">
        <v>-524054</v>
      </c>
      <c r="H775">
        <v>-642946</v>
      </c>
      <c r="I775">
        <v>44.9</v>
      </c>
      <c r="J775">
        <v>0</v>
      </c>
      <c r="K775">
        <v>0</v>
      </c>
      <c r="L775">
        <v>0</v>
      </c>
      <c r="M775">
        <v>0</v>
      </c>
      <c r="N775">
        <v>0</v>
      </c>
      <c r="O775" t="s">
        <v>3102</v>
      </c>
      <c r="P775" t="s">
        <v>3117</v>
      </c>
      <c r="Q775" t="s">
        <v>3111</v>
      </c>
    </row>
    <row r="776" spans="1:17" x14ac:dyDescent="0.25">
      <c r="A776" t="s">
        <v>1103</v>
      </c>
      <c r="C776" t="s">
        <v>301</v>
      </c>
      <c r="D776">
        <v>11236</v>
      </c>
      <c r="E776">
        <v>-290187</v>
      </c>
      <c r="F776">
        <v>0</v>
      </c>
      <c r="G776">
        <v>-524054</v>
      </c>
      <c r="H776">
        <v>-642946</v>
      </c>
      <c r="I776">
        <v>44.9</v>
      </c>
      <c r="J776">
        <v>0</v>
      </c>
      <c r="K776">
        <v>11236</v>
      </c>
      <c r="L776">
        <v>11741.62</v>
      </c>
      <c r="M776">
        <v>12281.73452</v>
      </c>
      <c r="N776">
        <v>12846.694307919999</v>
      </c>
      <c r="O776" t="s">
        <v>3102</v>
      </c>
      <c r="P776" t="s">
        <v>3117</v>
      </c>
      <c r="Q776" t="s">
        <v>3111</v>
      </c>
    </row>
    <row r="777" spans="1:17" x14ac:dyDescent="0.25">
      <c r="A777" t="s">
        <v>1104</v>
      </c>
      <c r="C777" t="s">
        <v>1105</v>
      </c>
      <c r="D777">
        <v>100000</v>
      </c>
      <c r="E777">
        <v>-290187</v>
      </c>
      <c r="F777">
        <v>0</v>
      </c>
      <c r="G777">
        <v>-524054</v>
      </c>
      <c r="H777">
        <v>-642946</v>
      </c>
      <c r="I777">
        <v>44.9</v>
      </c>
      <c r="J777">
        <v>-100000</v>
      </c>
      <c r="K777">
        <v>0</v>
      </c>
      <c r="L777">
        <v>300000</v>
      </c>
      <c r="M777">
        <v>0</v>
      </c>
      <c r="O777" t="s">
        <v>3118</v>
      </c>
      <c r="Q777" t="s">
        <v>3203</v>
      </c>
    </row>
    <row r="778" spans="1:17" x14ac:dyDescent="0.25">
      <c r="A778" t="s">
        <v>1107</v>
      </c>
      <c r="C778" t="s">
        <v>83</v>
      </c>
      <c r="D778">
        <v>-12565</v>
      </c>
      <c r="E778">
        <v>-290187</v>
      </c>
      <c r="F778">
        <v>0</v>
      </c>
      <c r="G778">
        <v>-524054</v>
      </c>
      <c r="H778">
        <v>-642946</v>
      </c>
      <c r="I778">
        <v>44.9</v>
      </c>
      <c r="J778">
        <v>0</v>
      </c>
      <c r="K778">
        <v>-12565</v>
      </c>
      <c r="L778">
        <v>-13130.424999999999</v>
      </c>
      <c r="M778">
        <v>-13734.42455</v>
      </c>
      <c r="N778">
        <v>-14366.2080793</v>
      </c>
      <c r="O778" t="s">
        <v>3100</v>
      </c>
      <c r="Q778" t="s">
        <v>3101</v>
      </c>
    </row>
    <row r="779" spans="1:17" x14ac:dyDescent="0.25">
      <c r="A779" t="s">
        <v>1108</v>
      </c>
      <c r="C779" t="s">
        <v>150</v>
      </c>
      <c r="D779">
        <v>666935</v>
      </c>
      <c r="E779">
        <v>-290187</v>
      </c>
      <c r="F779">
        <v>0</v>
      </c>
      <c r="G779">
        <v>-524054</v>
      </c>
      <c r="H779">
        <v>-642946</v>
      </c>
      <c r="I779">
        <v>44.9</v>
      </c>
      <c r="J779">
        <v>0</v>
      </c>
      <c r="K779">
        <v>666935</v>
      </c>
      <c r="L779">
        <v>708618.4375</v>
      </c>
      <c r="M779">
        <v>758221.72812500002</v>
      </c>
      <c r="N779">
        <v>811297.24909375003</v>
      </c>
      <c r="O779" t="s">
        <v>3102</v>
      </c>
      <c r="P779" t="s">
        <v>3103</v>
      </c>
      <c r="Q779" t="s">
        <v>3104</v>
      </c>
    </row>
    <row r="780" spans="1:17" x14ac:dyDescent="0.25">
      <c r="A780" t="s">
        <v>1109</v>
      </c>
      <c r="C780" t="s">
        <v>151</v>
      </c>
      <c r="D780">
        <v>30877</v>
      </c>
      <c r="E780">
        <v>-290187</v>
      </c>
      <c r="F780">
        <v>0</v>
      </c>
      <c r="G780">
        <v>-524054</v>
      </c>
      <c r="H780">
        <v>-642946</v>
      </c>
      <c r="I780">
        <v>44.9</v>
      </c>
      <c r="J780">
        <v>-13942.82</v>
      </c>
      <c r="K780">
        <v>16934.18</v>
      </c>
      <c r="L780">
        <v>17992.56625</v>
      </c>
      <c r="M780">
        <v>19252.0458875</v>
      </c>
      <c r="N780">
        <v>20599.689099625</v>
      </c>
      <c r="O780" t="s">
        <v>3102</v>
      </c>
      <c r="P780" t="s">
        <v>3103</v>
      </c>
      <c r="Q780" t="s">
        <v>3104</v>
      </c>
    </row>
    <row r="781" spans="1:17" x14ac:dyDescent="0.25">
      <c r="A781" t="s">
        <v>1110</v>
      </c>
      <c r="C781" t="s">
        <v>155</v>
      </c>
      <c r="D781">
        <v>21927</v>
      </c>
      <c r="E781">
        <v>-290187</v>
      </c>
      <c r="F781">
        <v>0</v>
      </c>
      <c r="G781">
        <v>-524054</v>
      </c>
      <c r="H781">
        <v>-642946</v>
      </c>
      <c r="I781">
        <v>44.9</v>
      </c>
      <c r="J781">
        <v>0</v>
      </c>
      <c r="K781">
        <v>21927</v>
      </c>
      <c r="L781">
        <v>23297.4375</v>
      </c>
      <c r="M781">
        <v>24928.258125</v>
      </c>
      <c r="N781">
        <v>26673.236193749999</v>
      </c>
      <c r="O781" t="s">
        <v>3102</v>
      </c>
      <c r="P781" t="s">
        <v>3103</v>
      </c>
      <c r="Q781" t="s">
        <v>3104</v>
      </c>
    </row>
    <row r="782" spans="1:17" x14ac:dyDescent="0.25">
      <c r="A782" t="s">
        <v>1111</v>
      </c>
      <c r="C782" t="s">
        <v>157</v>
      </c>
      <c r="D782">
        <v>58869</v>
      </c>
      <c r="E782">
        <v>-290187</v>
      </c>
      <c r="F782">
        <v>0</v>
      </c>
      <c r="G782">
        <v>-524054</v>
      </c>
      <c r="H782">
        <v>-642946</v>
      </c>
      <c r="I782">
        <v>44.9</v>
      </c>
      <c r="J782">
        <v>0</v>
      </c>
      <c r="K782">
        <v>58869</v>
      </c>
      <c r="L782">
        <v>62548.3125</v>
      </c>
      <c r="M782">
        <v>66926.694375000006</v>
      </c>
      <c r="N782">
        <v>71611.562981250012</v>
      </c>
      <c r="O782" t="s">
        <v>3102</v>
      </c>
      <c r="P782" t="s">
        <v>3103</v>
      </c>
      <c r="Q782" t="s">
        <v>3104</v>
      </c>
    </row>
    <row r="783" spans="1:17" x14ac:dyDescent="0.25">
      <c r="A783" t="s">
        <v>1112</v>
      </c>
      <c r="C783" t="s">
        <v>159</v>
      </c>
      <c r="D783">
        <v>55578</v>
      </c>
      <c r="E783">
        <v>-290187</v>
      </c>
      <c r="F783">
        <v>0</v>
      </c>
      <c r="G783">
        <v>-524054</v>
      </c>
      <c r="H783">
        <v>-642946</v>
      </c>
      <c r="I783">
        <v>44.9</v>
      </c>
      <c r="J783">
        <v>0</v>
      </c>
      <c r="K783">
        <v>55578</v>
      </c>
      <c r="L783">
        <v>59051.625</v>
      </c>
      <c r="M783">
        <v>63185.238750000004</v>
      </c>
      <c r="N783">
        <v>67608.205462500002</v>
      </c>
      <c r="O783" t="s">
        <v>3102</v>
      </c>
      <c r="P783" t="s">
        <v>3103</v>
      </c>
      <c r="Q783" t="s">
        <v>3104</v>
      </c>
    </row>
    <row r="784" spans="1:17" x14ac:dyDescent="0.25">
      <c r="A784" t="s">
        <v>1113</v>
      </c>
      <c r="C784" t="s">
        <v>161</v>
      </c>
      <c r="D784">
        <v>19114</v>
      </c>
      <c r="E784">
        <v>-290187</v>
      </c>
      <c r="F784">
        <v>0</v>
      </c>
      <c r="G784">
        <v>-524054</v>
      </c>
      <c r="H784">
        <v>-642946</v>
      </c>
      <c r="I784">
        <v>44.9</v>
      </c>
      <c r="J784">
        <v>0</v>
      </c>
      <c r="K784">
        <v>19114</v>
      </c>
      <c r="L784">
        <v>20308.625</v>
      </c>
      <c r="M784">
        <v>21730.228749999998</v>
      </c>
      <c r="N784">
        <v>23251.344762499997</v>
      </c>
      <c r="O784" t="s">
        <v>3102</v>
      </c>
      <c r="P784" t="s">
        <v>3103</v>
      </c>
      <c r="Q784" t="s">
        <v>3104</v>
      </c>
    </row>
    <row r="785" spans="1:17" x14ac:dyDescent="0.25">
      <c r="A785" t="s">
        <v>1114</v>
      </c>
      <c r="C785" t="s">
        <v>162</v>
      </c>
      <c r="D785">
        <v>0</v>
      </c>
      <c r="E785">
        <v>-290187</v>
      </c>
      <c r="F785">
        <v>0</v>
      </c>
      <c r="G785">
        <v>-524054</v>
      </c>
      <c r="H785">
        <v>-642946</v>
      </c>
      <c r="I785">
        <v>44.9</v>
      </c>
      <c r="J785">
        <v>3000</v>
      </c>
      <c r="K785">
        <v>3000</v>
      </c>
      <c r="L785">
        <v>3187.5</v>
      </c>
      <c r="M785">
        <v>3410.625</v>
      </c>
      <c r="N785">
        <v>3649.3687500000001</v>
      </c>
      <c r="O785" t="s">
        <v>3102</v>
      </c>
      <c r="P785" t="s">
        <v>3103</v>
      </c>
      <c r="Q785" t="s">
        <v>3104</v>
      </c>
    </row>
    <row r="786" spans="1:17" x14ac:dyDescent="0.25">
      <c r="A786" t="s">
        <v>1115</v>
      </c>
      <c r="C786" t="s">
        <v>167</v>
      </c>
      <c r="D786">
        <v>449</v>
      </c>
      <c r="E786">
        <v>-290187</v>
      </c>
      <c r="F786">
        <v>0</v>
      </c>
      <c r="G786">
        <v>-524054</v>
      </c>
      <c r="H786">
        <v>-642946</v>
      </c>
      <c r="I786">
        <v>44.9</v>
      </c>
      <c r="J786">
        <v>0</v>
      </c>
      <c r="K786">
        <v>449</v>
      </c>
      <c r="L786">
        <v>477.0625</v>
      </c>
      <c r="M786">
        <v>510.45687499999997</v>
      </c>
      <c r="N786">
        <v>546.18885624999996</v>
      </c>
      <c r="O786" t="s">
        <v>3102</v>
      </c>
      <c r="P786" t="s">
        <v>3103</v>
      </c>
      <c r="Q786" t="s">
        <v>3104</v>
      </c>
    </row>
    <row r="787" spans="1:17" x14ac:dyDescent="0.25">
      <c r="A787" t="s">
        <v>1116</v>
      </c>
      <c r="C787" t="s">
        <v>168</v>
      </c>
      <c r="D787">
        <v>67191</v>
      </c>
      <c r="E787">
        <v>-290187</v>
      </c>
      <c r="F787">
        <v>0</v>
      </c>
      <c r="G787">
        <v>-524054</v>
      </c>
      <c r="H787">
        <v>-642946</v>
      </c>
      <c r="I787">
        <v>44.9</v>
      </c>
      <c r="J787">
        <v>0</v>
      </c>
      <c r="K787">
        <v>67191</v>
      </c>
      <c r="L787">
        <v>71390.4375</v>
      </c>
      <c r="M787">
        <v>76387.768125000002</v>
      </c>
      <c r="N787">
        <v>81734.911893750002</v>
      </c>
      <c r="O787" t="s">
        <v>3102</v>
      </c>
      <c r="P787" t="s">
        <v>3103</v>
      </c>
      <c r="Q787" t="s">
        <v>3104</v>
      </c>
    </row>
    <row r="788" spans="1:17" x14ac:dyDescent="0.25">
      <c r="A788" t="s">
        <v>1117</v>
      </c>
      <c r="C788" t="s">
        <v>169</v>
      </c>
      <c r="D788">
        <v>146726</v>
      </c>
      <c r="E788">
        <v>-290187</v>
      </c>
      <c r="F788">
        <v>0</v>
      </c>
      <c r="G788">
        <v>-524054</v>
      </c>
      <c r="H788">
        <v>-642946</v>
      </c>
      <c r="I788">
        <v>44.9</v>
      </c>
      <c r="J788">
        <v>0</v>
      </c>
      <c r="K788">
        <v>146726</v>
      </c>
      <c r="L788">
        <v>155896.375</v>
      </c>
      <c r="M788">
        <v>166809.12125</v>
      </c>
      <c r="N788">
        <v>178485.75973749999</v>
      </c>
      <c r="O788" t="s">
        <v>3102</v>
      </c>
      <c r="P788" t="s">
        <v>3103</v>
      </c>
      <c r="Q788" t="s">
        <v>3104</v>
      </c>
    </row>
    <row r="789" spans="1:17" x14ac:dyDescent="0.25">
      <c r="A789" t="s">
        <v>1118</v>
      </c>
      <c r="C789" t="s">
        <v>170</v>
      </c>
      <c r="D789">
        <v>7140</v>
      </c>
      <c r="E789">
        <v>-290187</v>
      </c>
      <c r="F789">
        <v>0</v>
      </c>
      <c r="G789">
        <v>-524054</v>
      </c>
      <c r="H789">
        <v>-642946</v>
      </c>
      <c r="I789">
        <v>44.9</v>
      </c>
      <c r="J789">
        <v>0</v>
      </c>
      <c r="K789">
        <v>7140</v>
      </c>
      <c r="L789">
        <v>7586.25</v>
      </c>
      <c r="M789">
        <v>8117.2875000000004</v>
      </c>
      <c r="N789">
        <v>8685.497625</v>
      </c>
      <c r="O789" t="s">
        <v>3102</v>
      </c>
      <c r="P789" t="s">
        <v>3103</v>
      </c>
      <c r="Q789" t="s">
        <v>3104</v>
      </c>
    </row>
    <row r="790" spans="1:17" x14ac:dyDescent="0.25">
      <c r="A790" t="s">
        <v>1119</v>
      </c>
      <c r="C790" t="s">
        <v>173</v>
      </c>
      <c r="D790">
        <v>46893</v>
      </c>
      <c r="E790">
        <v>-290187</v>
      </c>
      <c r="F790">
        <v>0</v>
      </c>
      <c r="G790">
        <v>-524054</v>
      </c>
      <c r="H790">
        <v>-642946</v>
      </c>
      <c r="I790">
        <v>44.9</v>
      </c>
      <c r="J790">
        <v>0</v>
      </c>
      <c r="K790">
        <v>46893</v>
      </c>
      <c r="L790">
        <v>49823.8125</v>
      </c>
      <c r="M790">
        <v>53311.479375000003</v>
      </c>
      <c r="N790">
        <v>57043.282931250003</v>
      </c>
      <c r="O790" t="s">
        <v>3102</v>
      </c>
      <c r="P790" t="s">
        <v>3103</v>
      </c>
      <c r="Q790" t="s">
        <v>3111</v>
      </c>
    </row>
    <row r="791" spans="1:17" x14ac:dyDescent="0.25">
      <c r="A791" t="s">
        <v>1120</v>
      </c>
      <c r="C791" t="s">
        <v>174</v>
      </c>
      <c r="D791">
        <v>26482</v>
      </c>
      <c r="E791">
        <v>-290187</v>
      </c>
      <c r="F791">
        <v>0</v>
      </c>
      <c r="G791">
        <v>-524054</v>
      </c>
      <c r="H791">
        <v>-642946</v>
      </c>
      <c r="I791">
        <v>44.9</v>
      </c>
      <c r="J791">
        <v>0</v>
      </c>
      <c r="K791">
        <v>26482</v>
      </c>
      <c r="L791">
        <v>28137.125</v>
      </c>
      <c r="M791">
        <v>30106.723750000001</v>
      </c>
      <c r="N791">
        <v>32214.194412500001</v>
      </c>
      <c r="O791" t="s">
        <v>3102</v>
      </c>
      <c r="P791" t="s">
        <v>3103</v>
      </c>
      <c r="Q791" t="s">
        <v>3111</v>
      </c>
    </row>
    <row r="792" spans="1:17" x14ac:dyDescent="0.25">
      <c r="A792" t="s">
        <v>1121</v>
      </c>
      <c r="C792" t="s">
        <v>175</v>
      </c>
      <c r="D792">
        <v>4306</v>
      </c>
      <c r="E792">
        <v>-290187</v>
      </c>
      <c r="F792">
        <v>0</v>
      </c>
      <c r="G792">
        <v>-524054</v>
      </c>
      <c r="H792">
        <v>-642946</v>
      </c>
      <c r="I792">
        <v>44.9</v>
      </c>
      <c r="J792">
        <v>0</v>
      </c>
      <c r="K792">
        <v>4306</v>
      </c>
      <c r="L792">
        <v>4575.125</v>
      </c>
      <c r="M792">
        <v>4895.38375</v>
      </c>
      <c r="N792">
        <v>5238.0606124999995</v>
      </c>
      <c r="O792" t="s">
        <v>3102</v>
      </c>
      <c r="P792" t="s">
        <v>3103</v>
      </c>
      <c r="Q792" t="s">
        <v>3111</v>
      </c>
    </row>
    <row r="793" spans="1:17" x14ac:dyDescent="0.25">
      <c r="A793" t="s">
        <v>1122</v>
      </c>
      <c r="C793" t="s">
        <v>234</v>
      </c>
      <c r="D793">
        <v>159000</v>
      </c>
      <c r="E793">
        <v>-290187</v>
      </c>
      <c r="F793">
        <v>0</v>
      </c>
      <c r="G793">
        <v>-524054</v>
      </c>
      <c r="H793">
        <v>-642946</v>
      </c>
      <c r="I793">
        <v>44.9</v>
      </c>
      <c r="J793">
        <v>0</v>
      </c>
      <c r="K793">
        <v>159000</v>
      </c>
      <c r="L793">
        <v>166155</v>
      </c>
      <c r="M793">
        <v>173798.13</v>
      </c>
      <c r="N793">
        <v>181792.84398000001</v>
      </c>
      <c r="O793" t="s">
        <v>3102</v>
      </c>
      <c r="P793" t="s">
        <v>3105</v>
      </c>
      <c r="Q793" t="s">
        <v>3204</v>
      </c>
    </row>
    <row r="794" spans="1:17" x14ac:dyDescent="0.25">
      <c r="A794" t="s">
        <v>1123</v>
      </c>
      <c r="C794" t="s">
        <v>265</v>
      </c>
      <c r="D794">
        <v>0</v>
      </c>
      <c r="E794">
        <v>-290187</v>
      </c>
      <c r="F794">
        <v>0</v>
      </c>
      <c r="G794">
        <v>-524054</v>
      </c>
      <c r="H794">
        <v>-642946</v>
      </c>
      <c r="I794">
        <v>44.9</v>
      </c>
      <c r="J794">
        <v>8562.4</v>
      </c>
      <c r="K794">
        <v>8562.4</v>
      </c>
      <c r="L794">
        <v>8947.7079999999987</v>
      </c>
      <c r="M794">
        <v>9359.3025679999992</v>
      </c>
      <c r="N794">
        <v>9789.8304861279994</v>
      </c>
      <c r="O794" t="s">
        <v>3102</v>
      </c>
      <c r="P794" t="s">
        <v>3110</v>
      </c>
      <c r="Q794" t="s">
        <v>3104</v>
      </c>
    </row>
    <row r="795" spans="1:17" x14ac:dyDescent="0.25">
      <c r="A795" t="s">
        <v>1124</v>
      </c>
      <c r="C795" t="s">
        <v>296</v>
      </c>
      <c r="D795">
        <v>0</v>
      </c>
      <c r="E795">
        <v>-290187</v>
      </c>
      <c r="F795">
        <v>0</v>
      </c>
      <c r="G795">
        <v>-524054</v>
      </c>
      <c r="H795">
        <v>-642946</v>
      </c>
      <c r="I795">
        <v>44.9</v>
      </c>
      <c r="J795">
        <v>0</v>
      </c>
      <c r="K795">
        <v>0</v>
      </c>
      <c r="L795">
        <v>0</v>
      </c>
      <c r="M795">
        <v>0</v>
      </c>
      <c r="O795" t="s">
        <v>3102</v>
      </c>
      <c r="P795" t="s">
        <v>3117</v>
      </c>
      <c r="Q795" t="s">
        <v>3111</v>
      </c>
    </row>
    <row r="796" spans="1:17" x14ac:dyDescent="0.25">
      <c r="A796" t="s">
        <v>1126</v>
      </c>
      <c r="C796" t="s">
        <v>49</v>
      </c>
      <c r="D796">
        <v>-2285558</v>
      </c>
      <c r="E796">
        <v>-290187</v>
      </c>
      <c r="F796">
        <v>0</v>
      </c>
      <c r="G796">
        <v>-524054</v>
      </c>
      <c r="H796">
        <v>-642946</v>
      </c>
      <c r="I796">
        <v>44.9</v>
      </c>
      <c r="J796">
        <v>0</v>
      </c>
      <c r="K796">
        <v>-2285558</v>
      </c>
      <c r="L796">
        <v>-2388408.11</v>
      </c>
      <c r="M796">
        <v>-2498274.8830599999</v>
      </c>
      <c r="N796">
        <v>-2613195.5276807598</v>
      </c>
      <c r="O796" t="s">
        <v>3100</v>
      </c>
      <c r="Q796" t="s">
        <v>3205</v>
      </c>
    </row>
    <row r="797" spans="1:17" x14ac:dyDescent="0.25">
      <c r="A797" t="s">
        <v>1127</v>
      </c>
      <c r="C797" t="s">
        <v>50</v>
      </c>
      <c r="D797">
        <v>0</v>
      </c>
      <c r="E797">
        <v>-290187</v>
      </c>
      <c r="F797">
        <v>0</v>
      </c>
      <c r="G797">
        <v>-524054</v>
      </c>
      <c r="H797">
        <v>-642946</v>
      </c>
      <c r="I797">
        <v>44.9</v>
      </c>
      <c r="J797">
        <v>0</v>
      </c>
      <c r="K797">
        <v>0</v>
      </c>
      <c r="L797">
        <v>0</v>
      </c>
      <c r="M797">
        <v>0</v>
      </c>
      <c r="O797" t="s">
        <v>3100</v>
      </c>
      <c r="Q797" t="s">
        <v>3205</v>
      </c>
    </row>
    <row r="798" spans="1:17" x14ac:dyDescent="0.25">
      <c r="A798" t="s">
        <v>1128</v>
      </c>
      <c r="C798" t="s">
        <v>51</v>
      </c>
      <c r="D798">
        <v>-2779</v>
      </c>
      <c r="E798">
        <v>-290187</v>
      </c>
      <c r="F798">
        <v>0</v>
      </c>
      <c r="G798">
        <v>-524054</v>
      </c>
      <c r="H798">
        <v>-642946</v>
      </c>
      <c r="I798">
        <v>44.9</v>
      </c>
      <c r="J798">
        <v>0</v>
      </c>
      <c r="K798">
        <v>-2779</v>
      </c>
      <c r="L798">
        <v>-2904.0549999999998</v>
      </c>
      <c r="M798">
        <v>-3037.6415299999999</v>
      </c>
      <c r="N798">
        <v>-3177.37304038</v>
      </c>
      <c r="O798" t="s">
        <v>3100</v>
      </c>
      <c r="Q798" t="s">
        <v>3205</v>
      </c>
    </row>
    <row r="799" spans="1:17" x14ac:dyDescent="0.25">
      <c r="A799" t="s">
        <v>1129</v>
      </c>
      <c r="C799" t="s">
        <v>59</v>
      </c>
      <c r="D799">
        <v>-219191</v>
      </c>
      <c r="E799">
        <v>-17032.490000000002</v>
      </c>
      <c r="F799">
        <v>0</v>
      </c>
      <c r="G799">
        <v>-97021.84</v>
      </c>
      <c r="H799">
        <v>-122169.16</v>
      </c>
      <c r="I799">
        <v>44.26</v>
      </c>
      <c r="J799">
        <v>0</v>
      </c>
      <c r="K799">
        <v>-219191</v>
      </c>
      <c r="L799">
        <v>-229931.359</v>
      </c>
      <c r="M799">
        <v>-240968.064232</v>
      </c>
      <c r="N799">
        <v>-252534.531315136</v>
      </c>
      <c r="O799" t="s">
        <v>3100</v>
      </c>
      <c r="Q799" t="s">
        <v>3177</v>
      </c>
    </row>
    <row r="800" spans="1:17" x14ac:dyDescent="0.25">
      <c r="A800" t="s">
        <v>1130</v>
      </c>
      <c r="C800" t="s">
        <v>150</v>
      </c>
      <c r="D800">
        <v>3160845</v>
      </c>
      <c r="E800">
        <v>-290187</v>
      </c>
      <c r="F800">
        <v>0</v>
      </c>
      <c r="G800">
        <v>-524054</v>
      </c>
      <c r="H800">
        <v>-642946</v>
      </c>
      <c r="I800">
        <v>44.9</v>
      </c>
      <c r="J800">
        <v>0</v>
      </c>
      <c r="K800">
        <v>3160845</v>
      </c>
      <c r="L800">
        <v>3358397.8125</v>
      </c>
      <c r="M800">
        <v>3593485.6593749998</v>
      </c>
      <c r="N800">
        <v>3845029.6555312499</v>
      </c>
      <c r="O800" t="s">
        <v>3102</v>
      </c>
      <c r="P800" t="s">
        <v>3103</v>
      </c>
      <c r="Q800" t="s">
        <v>3104</v>
      </c>
    </row>
    <row r="801" spans="1:17" x14ac:dyDescent="0.25">
      <c r="A801" t="s">
        <v>1131</v>
      </c>
      <c r="C801" t="s">
        <v>151</v>
      </c>
      <c r="D801">
        <v>146335</v>
      </c>
      <c r="E801">
        <v>-290187</v>
      </c>
      <c r="F801">
        <v>0</v>
      </c>
      <c r="G801">
        <v>-524054</v>
      </c>
      <c r="H801">
        <v>-642946</v>
      </c>
      <c r="I801">
        <v>44.9</v>
      </c>
      <c r="J801">
        <v>-27795.740000000049</v>
      </c>
      <c r="K801">
        <v>118539.25999999995</v>
      </c>
      <c r="L801">
        <v>125947.96374999995</v>
      </c>
      <c r="M801">
        <v>134764.32121249996</v>
      </c>
      <c r="N801">
        <v>144197.82369737496</v>
      </c>
      <c r="O801" t="s">
        <v>3102</v>
      </c>
      <c r="P801" t="s">
        <v>3103</v>
      </c>
      <c r="Q801" t="s">
        <v>3104</v>
      </c>
    </row>
    <row r="802" spans="1:17" x14ac:dyDescent="0.25">
      <c r="A802" t="s">
        <v>1132</v>
      </c>
      <c r="C802" t="s">
        <v>152</v>
      </c>
      <c r="D802">
        <v>28200</v>
      </c>
      <c r="E802">
        <v>-290187</v>
      </c>
      <c r="F802">
        <v>0</v>
      </c>
      <c r="G802">
        <v>-524054</v>
      </c>
      <c r="H802">
        <v>-642946</v>
      </c>
      <c r="I802">
        <v>44.9</v>
      </c>
      <c r="J802">
        <v>0</v>
      </c>
      <c r="K802">
        <v>28200</v>
      </c>
      <c r="L802">
        <v>29962.5</v>
      </c>
      <c r="M802">
        <v>32059.875</v>
      </c>
      <c r="N802">
        <v>34304.066250000003</v>
      </c>
      <c r="O802" t="s">
        <v>3102</v>
      </c>
      <c r="P802" t="s">
        <v>3103</v>
      </c>
      <c r="Q802" t="s">
        <v>3104</v>
      </c>
    </row>
    <row r="803" spans="1:17" x14ac:dyDescent="0.25">
      <c r="A803" t="s">
        <v>1133</v>
      </c>
      <c r="C803" t="s">
        <v>155</v>
      </c>
      <c r="D803">
        <v>103918</v>
      </c>
      <c r="E803">
        <v>-290187</v>
      </c>
      <c r="F803">
        <v>0</v>
      </c>
      <c r="G803">
        <v>-524054</v>
      </c>
      <c r="H803">
        <v>-642946</v>
      </c>
      <c r="I803">
        <v>44.9</v>
      </c>
      <c r="J803">
        <v>0</v>
      </c>
      <c r="K803">
        <v>103918</v>
      </c>
      <c r="L803">
        <v>110412.875</v>
      </c>
      <c r="M803">
        <v>118141.77625</v>
      </c>
      <c r="N803">
        <v>126411.7005875</v>
      </c>
      <c r="O803" t="s">
        <v>3102</v>
      </c>
      <c r="P803" t="s">
        <v>3103</v>
      </c>
      <c r="Q803" t="s">
        <v>3104</v>
      </c>
    </row>
    <row r="804" spans="1:17" x14ac:dyDescent="0.25">
      <c r="A804" t="s">
        <v>1134</v>
      </c>
      <c r="C804" t="s">
        <v>156</v>
      </c>
      <c r="D804">
        <v>199536</v>
      </c>
      <c r="E804">
        <v>-290187</v>
      </c>
      <c r="F804">
        <v>0</v>
      </c>
      <c r="G804">
        <v>-524054</v>
      </c>
      <c r="H804">
        <v>-642946</v>
      </c>
      <c r="I804">
        <v>44.9</v>
      </c>
      <c r="J804">
        <v>0</v>
      </c>
      <c r="K804">
        <v>199536</v>
      </c>
      <c r="L804">
        <v>212007</v>
      </c>
      <c r="M804">
        <v>226847.49</v>
      </c>
      <c r="N804">
        <v>242726.8143</v>
      </c>
      <c r="O804" t="s">
        <v>3102</v>
      </c>
      <c r="P804" t="s">
        <v>3103</v>
      </c>
      <c r="Q804" t="s">
        <v>3104</v>
      </c>
    </row>
    <row r="805" spans="1:17" x14ac:dyDescent="0.25">
      <c r="A805" t="s">
        <v>1135</v>
      </c>
      <c r="C805" t="s">
        <v>157</v>
      </c>
      <c r="D805">
        <v>249992</v>
      </c>
      <c r="E805">
        <v>-290187</v>
      </c>
      <c r="F805">
        <v>0</v>
      </c>
      <c r="G805">
        <v>-524054</v>
      </c>
      <c r="H805">
        <v>-642946</v>
      </c>
      <c r="I805">
        <v>44.9</v>
      </c>
      <c r="J805">
        <v>0</v>
      </c>
      <c r="K805">
        <v>249992</v>
      </c>
      <c r="L805">
        <v>265616.5</v>
      </c>
      <c r="M805">
        <v>284209.65500000003</v>
      </c>
      <c r="N805">
        <v>304104.33085000003</v>
      </c>
      <c r="O805" t="s">
        <v>3102</v>
      </c>
      <c r="P805" t="s">
        <v>3103</v>
      </c>
      <c r="Q805" t="s">
        <v>3104</v>
      </c>
    </row>
    <row r="806" spans="1:17" x14ac:dyDescent="0.25">
      <c r="A806" t="s">
        <v>1136</v>
      </c>
      <c r="C806" t="s">
        <v>159</v>
      </c>
      <c r="D806">
        <v>263404</v>
      </c>
      <c r="E806">
        <v>-290187</v>
      </c>
      <c r="F806">
        <v>0</v>
      </c>
      <c r="G806">
        <v>-524054</v>
      </c>
      <c r="H806">
        <v>-642946</v>
      </c>
      <c r="I806">
        <v>44.9</v>
      </c>
      <c r="J806">
        <v>0</v>
      </c>
      <c r="K806">
        <v>263404</v>
      </c>
      <c r="L806">
        <v>279866.75</v>
      </c>
      <c r="M806">
        <v>299457.42249999999</v>
      </c>
      <c r="N806">
        <v>320419.44207499997</v>
      </c>
      <c r="O806" t="s">
        <v>3102</v>
      </c>
      <c r="P806" t="s">
        <v>3103</v>
      </c>
      <c r="Q806" t="s">
        <v>3104</v>
      </c>
    </row>
    <row r="807" spans="1:17" x14ac:dyDescent="0.25">
      <c r="A807" t="s">
        <v>1137</v>
      </c>
      <c r="C807" t="s">
        <v>161</v>
      </c>
      <c r="D807">
        <v>56699</v>
      </c>
      <c r="E807">
        <v>-290187</v>
      </c>
      <c r="F807">
        <v>0</v>
      </c>
      <c r="G807">
        <v>-524054</v>
      </c>
      <c r="H807">
        <v>-642946</v>
      </c>
      <c r="I807">
        <v>44.9</v>
      </c>
      <c r="J807">
        <v>0</v>
      </c>
      <c r="K807">
        <v>56699</v>
      </c>
      <c r="L807">
        <v>60242.6875</v>
      </c>
      <c r="M807">
        <v>64459.675625000003</v>
      </c>
      <c r="N807">
        <v>68971.85291875001</v>
      </c>
      <c r="O807" t="s">
        <v>3102</v>
      </c>
      <c r="P807" t="s">
        <v>3103</v>
      </c>
      <c r="Q807" t="s">
        <v>3104</v>
      </c>
    </row>
    <row r="808" spans="1:17" x14ac:dyDescent="0.25">
      <c r="A808" t="s">
        <v>1138</v>
      </c>
      <c r="C808" t="s">
        <v>162</v>
      </c>
      <c r="D808">
        <v>0</v>
      </c>
      <c r="E808">
        <v>-290187</v>
      </c>
      <c r="F808">
        <v>0</v>
      </c>
      <c r="G808">
        <v>-524054</v>
      </c>
      <c r="H808">
        <v>-642946</v>
      </c>
      <c r="I808">
        <v>44.9</v>
      </c>
      <c r="J808">
        <v>24000</v>
      </c>
      <c r="K808">
        <v>24000</v>
      </c>
      <c r="L808">
        <v>25500</v>
      </c>
      <c r="M808">
        <v>27285</v>
      </c>
      <c r="N808">
        <v>29194.95</v>
      </c>
      <c r="O808" t="s">
        <v>3102</v>
      </c>
      <c r="P808" t="s">
        <v>3103</v>
      </c>
      <c r="Q808" t="s">
        <v>3104</v>
      </c>
    </row>
    <row r="809" spans="1:17" x14ac:dyDescent="0.25">
      <c r="A809" t="s">
        <v>1139</v>
      </c>
      <c r="C809" t="s">
        <v>167</v>
      </c>
      <c r="D809">
        <v>1573</v>
      </c>
      <c r="E809">
        <v>-290187</v>
      </c>
      <c r="F809">
        <v>0</v>
      </c>
      <c r="G809">
        <v>-524054</v>
      </c>
      <c r="H809">
        <v>-642946</v>
      </c>
      <c r="I809">
        <v>44.9</v>
      </c>
      <c r="J809">
        <v>0</v>
      </c>
      <c r="K809">
        <v>1573</v>
      </c>
      <c r="L809">
        <v>1671.3125</v>
      </c>
      <c r="M809">
        <v>1788.3043749999999</v>
      </c>
      <c r="N809">
        <v>1913.48568125</v>
      </c>
      <c r="O809" t="s">
        <v>3102</v>
      </c>
      <c r="P809" t="s">
        <v>3103</v>
      </c>
      <c r="Q809" t="s">
        <v>3104</v>
      </c>
    </row>
    <row r="810" spans="1:17" x14ac:dyDescent="0.25">
      <c r="A810" t="s">
        <v>1140</v>
      </c>
      <c r="C810" t="s">
        <v>168</v>
      </c>
      <c r="D810">
        <v>268764</v>
      </c>
      <c r="E810">
        <v>-290187</v>
      </c>
      <c r="F810">
        <v>0</v>
      </c>
      <c r="G810">
        <v>-524054</v>
      </c>
      <c r="H810">
        <v>-642946</v>
      </c>
      <c r="I810">
        <v>44.9</v>
      </c>
      <c r="J810">
        <v>0</v>
      </c>
      <c r="K810">
        <v>268764</v>
      </c>
      <c r="L810">
        <v>285561.75</v>
      </c>
      <c r="M810">
        <v>305551.07250000001</v>
      </c>
      <c r="N810">
        <v>326939.64757500001</v>
      </c>
      <c r="O810" t="s">
        <v>3102</v>
      </c>
      <c r="P810" t="s">
        <v>3103</v>
      </c>
      <c r="Q810" t="s">
        <v>3104</v>
      </c>
    </row>
    <row r="811" spans="1:17" x14ac:dyDescent="0.25">
      <c r="A811" t="s">
        <v>1141</v>
      </c>
      <c r="C811" t="s">
        <v>169</v>
      </c>
      <c r="D811">
        <v>695386</v>
      </c>
      <c r="E811">
        <v>-290187</v>
      </c>
      <c r="F811">
        <v>0</v>
      </c>
      <c r="G811">
        <v>-524054</v>
      </c>
      <c r="H811">
        <v>-642946</v>
      </c>
      <c r="I811">
        <v>44.9</v>
      </c>
      <c r="J811">
        <v>0</v>
      </c>
      <c r="K811">
        <v>695386</v>
      </c>
      <c r="L811">
        <v>738847.625</v>
      </c>
      <c r="M811">
        <v>790566.95874999999</v>
      </c>
      <c r="N811">
        <v>845906.64586249995</v>
      </c>
      <c r="O811" t="s">
        <v>3102</v>
      </c>
      <c r="P811" t="s">
        <v>3103</v>
      </c>
      <c r="Q811" t="s">
        <v>3104</v>
      </c>
    </row>
    <row r="812" spans="1:17" x14ac:dyDescent="0.25">
      <c r="A812" t="s">
        <v>1142</v>
      </c>
      <c r="C812" t="s">
        <v>170</v>
      </c>
      <c r="D812">
        <v>24990</v>
      </c>
      <c r="E812">
        <v>-290187</v>
      </c>
      <c r="F812">
        <v>0</v>
      </c>
      <c r="G812">
        <v>-524054</v>
      </c>
      <c r="H812">
        <v>-642946</v>
      </c>
      <c r="I812">
        <v>44.9</v>
      </c>
      <c r="J812">
        <v>0</v>
      </c>
      <c r="K812">
        <v>24990</v>
      </c>
      <c r="L812">
        <v>26551.875</v>
      </c>
      <c r="M812">
        <v>28410.506249999999</v>
      </c>
      <c r="N812">
        <v>30399.241687499998</v>
      </c>
      <c r="O812" t="s">
        <v>3102</v>
      </c>
      <c r="P812" t="s">
        <v>3103</v>
      </c>
      <c r="Q812" t="s">
        <v>3104</v>
      </c>
    </row>
    <row r="813" spans="1:17" x14ac:dyDescent="0.25">
      <c r="A813" t="s">
        <v>1143</v>
      </c>
      <c r="C813" t="s">
        <v>173</v>
      </c>
      <c r="D813">
        <v>56609</v>
      </c>
      <c r="E813">
        <v>-290187</v>
      </c>
      <c r="F813">
        <v>0</v>
      </c>
      <c r="G813">
        <v>-524054</v>
      </c>
      <c r="H813">
        <v>-642946</v>
      </c>
      <c r="I813">
        <v>44.9</v>
      </c>
      <c r="J813">
        <v>0</v>
      </c>
      <c r="K813">
        <v>56609</v>
      </c>
      <c r="L813">
        <v>60147.0625</v>
      </c>
      <c r="M813">
        <v>64357.356874999998</v>
      </c>
      <c r="N813">
        <v>68862.37185625</v>
      </c>
      <c r="O813" t="s">
        <v>3102</v>
      </c>
      <c r="P813" t="s">
        <v>3103</v>
      </c>
      <c r="Q813" t="s">
        <v>3111</v>
      </c>
    </row>
    <row r="814" spans="1:17" x14ac:dyDescent="0.25">
      <c r="A814" t="s">
        <v>1144</v>
      </c>
      <c r="C814" t="s">
        <v>174</v>
      </c>
      <c r="D814">
        <v>73319</v>
      </c>
      <c r="E814">
        <v>-290187</v>
      </c>
      <c r="F814">
        <v>0</v>
      </c>
      <c r="G814">
        <v>-524054</v>
      </c>
      <c r="H814">
        <v>-642946</v>
      </c>
      <c r="I814">
        <v>44.9</v>
      </c>
      <c r="J814">
        <v>0</v>
      </c>
      <c r="K814">
        <v>73319</v>
      </c>
      <c r="L814">
        <v>77901.4375</v>
      </c>
      <c r="M814">
        <v>83354.538125000006</v>
      </c>
      <c r="N814">
        <v>89189.355793750001</v>
      </c>
      <c r="O814" t="s">
        <v>3102</v>
      </c>
      <c r="P814" t="s">
        <v>3103</v>
      </c>
      <c r="Q814" t="s">
        <v>3111</v>
      </c>
    </row>
    <row r="815" spans="1:17" x14ac:dyDescent="0.25">
      <c r="A815" t="s">
        <v>1145</v>
      </c>
      <c r="C815" t="s">
        <v>175</v>
      </c>
      <c r="D815">
        <v>39991</v>
      </c>
      <c r="E815">
        <v>-290187</v>
      </c>
      <c r="F815">
        <v>0</v>
      </c>
      <c r="G815">
        <v>-524054</v>
      </c>
      <c r="H815">
        <v>-642946</v>
      </c>
      <c r="I815">
        <v>44.9</v>
      </c>
      <c r="J815">
        <v>0</v>
      </c>
      <c r="K815">
        <v>39991</v>
      </c>
      <c r="L815">
        <v>42490.4375</v>
      </c>
      <c r="M815">
        <v>45464.768125000002</v>
      </c>
      <c r="N815">
        <v>48647.301893750002</v>
      </c>
      <c r="O815" t="s">
        <v>3102</v>
      </c>
      <c r="P815" t="s">
        <v>3103</v>
      </c>
      <c r="Q815" t="s">
        <v>3111</v>
      </c>
    </row>
    <row r="816" spans="1:17" x14ac:dyDescent="0.25">
      <c r="A816" t="s">
        <v>1146</v>
      </c>
      <c r="C816" t="s">
        <v>245</v>
      </c>
      <c r="D816">
        <v>1167000</v>
      </c>
      <c r="E816">
        <v>-290187</v>
      </c>
      <c r="F816">
        <v>0</v>
      </c>
      <c r="G816">
        <v>-524054</v>
      </c>
      <c r="H816">
        <v>-642946</v>
      </c>
      <c r="I816">
        <v>44.9</v>
      </c>
      <c r="J816">
        <v>0</v>
      </c>
      <c r="K816">
        <v>1167000</v>
      </c>
      <c r="L816">
        <v>1304000</v>
      </c>
      <c r="M816">
        <v>0</v>
      </c>
      <c r="O816" t="s">
        <v>3102</v>
      </c>
      <c r="P816" t="s">
        <v>3110</v>
      </c>
      <c r="Q816" t="s">
        <v>3206</v>
      </c>
    </row>
    <row r="817" spans="1:17" x14ac:dyDescent="0.25">
      <c r="A817" t="s">
        <v>1147</v>
      </c>
      <c r="C817" t="s">
        <v>255</v>
      </c>
      <c r="D817">
        <v>41566</v>
      </c>
      <c r="E817">
        <v>-290187</v>
      </c>
      <c r="F817">
        <v>0</v>
      </c>
      <c r="G817">
        <v>-524054</v>
      </c>
      <c r="H817">
        <v>-642946</v>
      </c>
      <c r="I817">
        <v>44.9</v>
      </c>
      <c r="J817">
        <v>0</v>
      </c>
      <c r="K817">
        <v>41566</v>
      </c>
      <c r="L817">
        <v>43436.47</v>
      </c>
      <c r="M817">
        <v>45434.547619999998</v>
      </c>
      <c r="N817">
        <v>47524.536810519996</v>
      </c>
      <c r="O817" t="s">
        <v>3102</v>
      </c>
      <c r="P817" t="s">
        <v>3110</v>
      </c>
      <c r="Q817" t="s">
        <v>3207</v>
      </c>
    </row>
    <row r="818" spans="1:17" x14ac:dyDescent="0.25">
      <c r="A818" t="s">
        <v>1148</v>
      </c>
      <c r="C818" t="s">
        <v>255</v>
      </c>
      <c r="D818">
        <v>41566</v>
      </c>
      <c r="E818">
        <v>-290187</v>
      </c>
      <c r="F818">
        <v>0</v>
      </c>
      <c r="G818">
        <v>-524054</v>
      </c>
      <c r="H818">
        <v>-642946</v>
      </c>
      <c r="I818">
        <v>44.9</v>
      </c>
      <c r="J818">
        <v>0</v>
      </c>
      <c r="K818">
        <v>41566</v>
      </c>
      <c r="L818">
        <v>43436.47</v>
      </c>
      <c r="M818">
        <v>45434.547619999998</v>
      </c>
      <c r="N818">
        <v>47524.536810519996</v>
      </c>
      <c r="O818" t="s">
        <v>3102</v>
      </c>
      <c r="P818" t="s">
        <v>3110</v>
      </c>
      <c r="Q818" t="s">
        <v>3208</v>
      </c>
    </row>
    <row r="819" spans="1:17" x14ac:dyDescent="0.25">
      <c r="A819" t="s">
        <v>1149</v>
      </c>
      <c r="C819" t="s">
        <v>265</v>
      </c>
      <c r="D819">
        <v>0</v>
      </c>
      <c r="E819">
        <v>-290187</v>
      </c>
      <c r="F819">
        <v>0</v>
      </c>
      <c r="G819">
        <v>-524054</v>
      </c>
      <c r="H819">
        <v>-642946</v>
      </c>
      <c r="I819">
        <v>44.9</v>
      </c>
      <c r="J819">
        <v>40000</v>
      </c>
      <c r="K819">
        <v>40000</v>
      </c>
      <c r="L819">
        <v>41800</v>
      </c>
      <c r="M819">
        <v>43722.8</v>
      </c>
      <c r="N819">
        <v>45734.048800000004</v>
      </c>
      <c r="O819" t="s">
        <v>3102</v>
      </c>
      <c r="P819" t="s">
        <v>3110</v>
      </c>
      <c r="Q819" t="s">
        <v>3104</v>
      </c>
    </row>
    <row r="820" spans="1:17" x14ac:dyDescent="0.25">
      <c r="A820" t="s">
        <v>1150</v>
      </c>
      <c r="C820" t="s">
        <v>268</v>
      </c>
      <c r="D820">
        <v>0</v>
      </c>
      <c r="E820">
        <v>-290187</v>
      </c>
      <c r="F820">
        <v>0</v>
      </c>
      <c r="G820">
        <v>-524054</v>
      </c>
      <c r="H820">
        <v>-642946</v>
      </c>
      <c r="I820">
        <v>44.9</v>
      </c>
      <c r="J820">
        <v>120000</v>
      </c>
      <c r="K820">
        <v>120000</v>
      </c>
      <c r="L820">
        <v>125400</v>
      </c>
      <c r="M820">
        <v>131168.4</v>
      </c>
      <c r="N820">
        <v>137202.1464</v>
      </c>
      <c r="O820" t="s">
        <v>3102</v>
      </c>
      <c r="P820" t="s">
        <v>3110</v>
      </c>
      <c r="Q820" t="s">
        <v>3104</v>
      </c>
    </row>
    <row r="821" spans="1:17" x14ac:dyDescent="0.25">
      <c r="A821" t="s">
        <v>1152</v>
      </c>
      <c r="C821" t="s">
        <v>265</v>
      </c>
      <c r="D821">
        <v>0</v>
      </c>
      <c r="E821">
        <v>0</v>
      </c>
      <c r="F821">
        <v>0</v>
      </c>
      <c r="G821">
        <v>1217.71</v>
      </c>
      <c r="H821">
        <v>-1217.71</v>
      </c>
      <c r="I821">
        <v>0</v>
      </c>
      <c r="J821">
        <v>0</v>
      </c>
      <c r="K821">
        <v>0</v>
      </c>
      <c r="L821">
        <v>0</v>
      </c>
      <c r="M821">
        <v>0</v>
      </c>
      <c r="O821" t="s">
        <v>3102</v>
      </c>
      <c r="P821" t="s">
        <v>3110</v>
      </c>
      <c r="Q821" t="s">
        <v>3104</v>
      </c>
    </row>
    <row r="822" spans="1:17" x14ac:dyDescent="0.25">
      <c r="A822" t="s">
        <v>1153</v>
      </c>
      <c r="C822" t="s">
        <v>293</v>
      </c>
      <c r="D822">
        <v>5806</v>
      </c>
      <c r="E822">
        <v>0</v>
      </c>
      <c r="F822">
        <v>0</v>
      </c>
      <c r="G822">
        <v>1217.71</v>
      </c>
      <c r="H822">
        <v>-1217.71</v>
      </c>
      <c r="I822">
        <v>0</v>
      </c>
      <c r="J822">
        <v>0</v>
      </c>
      <c r="K822">
        <v>5806</v>
      </c>
      <c r="L822">
        <v>6067.27</v>
      </c>
      <c r="M822">
        <v>6346.3644200000008</v>
      </c>
      <c r="N822">
        <v>6638.2971833200008</v>
      </c>
      <c r="O822" t="s">
        <v>3102</v>
      </c>
      <c r="P822" t="s">
        <v>3117</v>
      </c>
      <c r="Q822" t="s">
        <v>3111</v>
      </c>
    </row>
    <row r="823" spans="1:17" x14ac:dyDescent="0.25">
      <c r="A823" t="s">
        <v>1154</v>
      </c>
      <c r="C823" t="s">
        <v>303</v>
      </c>
      <c r="D823">
        <v>63245</v>
      </c>
      <c r="E823">
        <v>0</v>
      </c>
      <c r="F823">
        <v>0</v>
      </c>
      <c r="G823">
        <v>1217.71</v>
      </c>
      <c r="H823">
        <v>-1217.71</v>
      </c>
      <c r="I823">
        <v>0</v>
      </c>
      <c r="J823">
        <v>0</v>
      </c>
      <c r="K823">
        <v>63245</v>
      </c>
      <c r="L823">
        <v>66091.024999999994</v>
      </c>
      <c r="M823">
        <v>69131.212149999992</v>
      </c>
      <c r="N823">
        <v>72311.247908899997</v>
      </c>
      <c r="O823" t="s">
        <v>3102</v>
      </c>
      <c r="P823" t="s">
        <v>3117</v>
      </c>
      <c r="Q823" t="s">
        <v>3111</v>
      </c>
    </row>
    <row r="824" spans="1:17" x14ac:dyDescent="0.25">
      <c r="A824" t="s">
        <v>1156</v>
      </c>
      <c r="C824" t="s">
        <v>131</v>
      </c>
      <c r="D824">
        <v>651161</v>
      </c>
      <c r="E824">
        <v>0</v>
      </c>
      <c r="F824">
        <v>0</v>
      </c>
      <c r="G824">
        <v>1217.71</v>
      </c>
      <c r="H824">
        <v>-1217.71</v>
      </c>
      <c r="I824">
        <v>0</v>
      </c>
      <c r="J824">
        <v>0</v>
      </c>
      <c r="K824">
        <v>651161</v>
      </c>
      <c r="L824">
        <v>691858.5625</v>
      </c>
      <c r="M824">
        <v>740288.66187499999</v>
      </c>
      <c r="N824">
        <v>792108.86820625002</v>
      </c>
      <c r="O824" t="s">
        <v>3102</v>
      </c>
      <c r="P824" t="s">
        <v>3103</v>
      </c>
      <c r="Q824" t="s">
        <v>3111</v>
      </c>
    </row>
    <row r="825" spans="1:17" x14ac:dyDescent="0.25">
      <c r="A825" t="s">
        <v>1157</v>
      </c>
      <c r="C825" t="s">
        <v>132</v>
      </c>
      <c r="D825">
        <v>32558</v>
      </c>
      <c r="E825">
        <v>0</v>
      </c>
      <c r="F825">
        <v>0</v>
      </c>
      <c r="G825">
        <v>1217.71</v>
      </c>
      <c r="H825">
        <v>-1217.71</v>
      </c>
      <c r="I825">
        <v>0</v>
      </c>
      <c r="J825">
        <v>0</v>
      </c>
      <c r="K825">
        <v>32558</v>
      </c>
      <c r="L825">
        <v>34592.875</v>
      </c>
      <c r="M825">
        <v>37014.376250000001</v>
      </c>
      <c r="N825">
        <v>39605.382587500004</v>
      </c>
      <c r="O825" t="s">
        <v>3102</v>
      </c>
      <c r="P825" t="s">
        <v>3103</v>
      </c>
      <c r="Q825" t="s">
        <v>3111</v>
      </c>
    </row>
    <row r="826" spans="1:17" x14ac:dyDescent="0.25">
      <c r="A826" t="s">
        <v>1158</v>
      </c>
      <c r="C826" t="s">
        <v>133</v>
      </c>
      <c r="D826">
        <v>40000</v>
      </c>
      <c r="E826">
        <v>0</v>
      </c>
      <c r="F826">
        <v>0</v>
      </c>
      <c r="G826">
        <v>1217.71</v>
      </c>
      <c r="H826">
        <v>-1217.71</v>
      </c>
      <c r="I826">
        <v>0</v>
      </c>
      <c r="J826">
        <v>0</v>
      </c>
      <c r="K826">
        <v>40000</v>
      </c>
      <c r="L826">
        <v>42500</v>
      </c>
      <c r="M826">
        <v>45475</v>
      </c>
      <c r="N826">
        <v>48658.25</v>
      </c>
      <c r="O826" t="s">
        <v>3102</v>
      </c>
      <c r="P826" t="s">
        <v>3103</v>
      </c>
      <c r="Q826" t="s">
        <v>3111</v>
      </c>
    </row>
    <row r="827" spans="1:17" x14ac:dyDescent="0.25">
      <c r="A827" t="s">
        <v>1159</v>
      </c>
      <c r="C827" t="s">
        <v>134</v>
      </c>
      <c r="D827">
        <v>206737</v>
      </c>
      <c r="E827">
        <v>0</v>
      </c>
      <c r="F827">
        <v>0</v>
      </c>
      <c r="G827">
        <v>1217.71</v>
      </c>
      <c r="H827">
        <v>-1217.71</v>
      </c>
      <c r="I827">
        <v>0</v>
      </c>
      <c r="J827">
        <v>0</v>
      </c>
      <c r="K827">
        <v>206737</v>
      </c>
      <c r="L827">
        <v>219658.0625</v>
      </c>
      <c r="M827">
        <v>235034.12687499999</v>
      </c>
      <c r="N827">
        <v>251486.51575624998</v>
      </c>
      <c r="O827" t="s">
        <v>3102</v>
      </c>
      <c r="P827" t="s">
        <v>3103</v>
      </c>
      <c r="Q827" t="s">
        <v>3111</v>
      </c>
    </row>
    <row r="828" spans="1:17" x14ac:dyDescent="0.25">
      <c r="A828" t="s">
        <v>1160</v>
      </c>
      <c r="C828" t="s">
        <v>135</v>
      </c>
      <c r="D828">
        <v>17000</v>
      </c>
      <c r="E828">
        <v>0</v>
      </c>
      <c r="F828">
        <v>0</v>
      </c>
      <c r="G828">
        <v>1217.71</v>
      </c>
      <c r="H828">
        <v>-1217.71</v>
      </c>
      <c r="I828">
        <v>0</v>
      </c>
      <c r="J828">
        <v>0</v>
      </c>
      <c r="K828">
        <v>17000</v>
      </c>
      <c r="L828">
        <v>18062.5</v>
      </c>
      <c r="M828">
        <v>19326.875</v>
      </c>
      <c r="N828">
        <v>20679.756249999999</v>
      </c>
      <c r="O828" t="s">
        <v>3102</v>
      </c>
      <c r="P828" t="s">
        <v>3103</v>
      </c>
      <c r="Q828" t="s">
        <v>3104</v>
      </c>
    </row>
    <row r="829" spans="1:17" x14ac:dyDescent="0.25">
      <c r="A829" t="s">
        <v>1161</v>
      </c>
      <c r="C829" t="s">
        <v>136</v>
      </c>
      <c r="D829">
        <v>18580</v>
      </c>
      <c r="E829">
        <v>0</v>
      </c>
      <c r="F829">
        <v>0</v>
      </c>
      <c r="G829">
        <v>1217.71</v>
      </c>
      <c r="H829">
        <v>-1217.71</v>
      </c>
      <c r="I829">
        <v>0</v>
      </c>
      <c r="J829">
        <v>0</v>
      </c>
      <c r="K829">
        <v>18580</v>
      </c>
      <c r="L829">
        <v>19741.25</v>
      </c>
      <c r="M829">
        <v>21123.137500000001</v>
      </c>
      <c r="N829">
        <v>22601.757125</v>
      </c>
      <c r="O829" t="s">
        <v>3102</v>
      </c>
      <c r="P829" t="s">
        <v>3103</v>
      </c>
      <c r="Q829" t="s">
        <v>3111</v>
      </c>
    </row>
    <row r="830" spans="1:17" x14ac:dyDescent="0.25">
      <c r="A830" t="s">
        <v>1162</v>
      </c>
      <c r="C830" t="s">
        <v>164</v>
      </c>
      <c r="D830">
        <v>32457</v>
      </c>
      <c r="E830">
        <v>0</v>
      </c>
      <c r="F830">
        <v>0</v>
      </c>
      <c r="G830">
        <v>1217.71</v>
      </c>
      <c r="H830">
        <v>-1217.71</v>
      </c>
      <c r="I830">
        <v>0</v>
      </c>
      <c r="J830">
        <v>-32457</v>
      </c>
      <c r="K830">
        <v>0</v>
      </c>
      <c r="L830">
        <v>0</v>
      </c>
      <c r="M830">
        <v>0</v>
      </c>
      <c r="N830">
        <v>0</v>
      </c>
      <c r="O830" t="s">
        <v>3102</v>
      </c>
      <c r="P830" t="s">
        <v>3103</v>
      </c>
      <c r="Q830" t="s">
        <v>3104</v>
      </c>
    </row>
    <row r="831" spans="1:17" x14ac:dyDescent="0.25">
      <c r="A831" t="s">
        <v>1163</v>
      </c>
      <c r="C831" t="s">
        <v>253</v>
      </c>
      <c r="D831">
        <v>2000</v>
      </c>
      <c r="E831">
        <v>0</v>
      </c>
      <c r="F831">
        <v>0</v>
      </c>
      <c r="G831">
        <v>1217.71</v>
      </c>
      <c r="H831">
        <v>-1217.71</v>
      </c>
      <c r="I831">
        <v>0</v>
      </c>
      <c r="J831">
        <v>0</v>
      </c>
      <c r="K831">
        <v>2000</v>
      </c>
      <c r="L831">
        <v>2000</v>
      </c>
      <c r="M831">
        <v>2000</v>
      </c>
      <c r="N831">
        <v>2000</v>
      </c>
      <c r="O831" t="s">
        <v>3102</v>
      </c>
      <c r="P831" t="s">
        <v>3110</v>
      </c>
      <c r="Q831" t="s">
        <v>3106</v>
      </c>
    </row>
    <row r="832" spans="1:17" x14ac:dyDescent="0.25">
      <c r="A832" t="s">
        <v>1164</v>
      </c>
      <c r="C832" t="s">
        <v>265</v>
      </c>
      <c r="D832">
        <v>0</v>
      </c>
      <c r="E832">
        <v>0</v>
      </c>
      <c r="F832">
        <v>0</v>
      </c>
      <c r="G832">
        <v>1217.71</v>
      </c>
      <c r="H832">
        <v>-1217.71</v>
      </c>
      <c r="I832">
        <v>0</v>
      </c>
      <c r="J832">
        <v>10000</v>
      </c>
      <c r="K832">
        <v>10000</v>
      </c>
      <c r="L832">
        <v>10450</v>
      </c>
      <c r="M832">
        <v>10930.7</v>
      </c>
      <c r="N832">
        <v>11433.512200000001</v>
      </c>
      <c r="O832" t="s">
        <v>3102</v>
      </c>
      <c r="P832" t="s">
        <v>3110</v>
      </c>
      <c r="Q832" t="s">
        <v>3104</v>
      </c>
    </row>
    <row r="833" spans="1:17" x14ac:dyDescent="0.25">
      <c r="A833" t="s">
        <v>1165</v>
      </c>
      <c r="C833" t="s">
        <v>268</v>
      </c>
      <c r="D833">
        <v>80329</v>
      </c>
      <c r="E833">
        <v>0</v>
      </c>
      <c r="F833">
        <v>0</v>
      </c>
      <c r="G833">
        <v>1217.71</v>
      </c>
      <c r="H833">
        <v>-1217.71</v>
      </c>
      <c r="I833">
        <v>0</v>
      </c>
      <c r="J833">
        <v>40000</v>
      </c>
      <c r="K833">
        <v>120329</v>
      </c>
      <c r="L833">
        <v>125743.80499999999</v>
      </c>
      <c r="M833">
        <v>131528.02002999999</v>
      </c>
      <c r="N833">
        <v>137578.30895137999</v>
      </c>
      <c r="O833" t="s">
        <v>3102</v>
      </c>
      <c r="P833" t="s">
        <v>3110</v>
      </c>
      <c r="Q833" t="s">
        <v>3104</v>
      </c>
    </row>
    <row r="834" spans="1:17" x14ac:dyDescent="0.25">
      <c r="A834" t="s">
        <v>1166</v>
      </c>
      <c r="C834" t="s">
        <v>268</v>
      </c>
      <c r="D834">
        <v>73677</v>
      </c>
      <c r="E834">
        <v>0</v>
      </c>
      <c r="F834">
        <v>0</v>
      </c>
      <c r="G834">
        <v>1217.71</v>
      </c>
      <c r="H834">
        <v>-1217.71</v>
      </c>
      <c r="I834">
        <v>0</v>
      </c>
      <c r="J834">
        <v>30000</v>
      </c>
      <c r="K834">
        <v>103677</v>
      </c>
      <c r="L834">
        <v>108342.465</v>
      </c>
      <c r="M834">
        <v>113326.21838999999</v>
      </c>
      <c r="N834">
        <v>118539.22443593999</v>
      </c>
      <c r="O834" t="s">
        <v>3102</v>
      </c>
      <c r="P834" t="s">
        <v>3110</v>
      </c>
      <c r="Q834" t="s">
        <v>3111</v>
      </c>
    </row>
    <row r="835" spans="1:17" x14ac:dyDescent="0.25">
      <c r="A835" t="s">
        <v>1167</v>
      </c>
      <c r="C835" t="s">
        <v>269</v>
      </c>
      <c r="D835">
        <v>21200</v>
      </c>
      <c r="E835">
        <v>0</v>
      </c>
      <c r="F835">
        <v>0</v>
      </c>
      <c r="G835">
        <v>1217.71</v>
      </c>
      <c r="H835">
        <v>-1217.71</v>
      </c>
      <c r="I835">
        <v>0</v>
      </c>
      <c r="J835">
        <v>-15000</v>
      </c>
      <c r="K835">
        <v>6200</v>
      </c>
      <c r="L835">
        <v>6479</v>
      </c>
      <c r="M835">
        <v>6777.0339999999997</v>
      </c>
      <c r="N835">
        <v>7088.777564</v>
      </c>
      <c r="O835" t="s">
        <v>3102</v>
      </c>
      <c r="P835" t="s">
        <v>3110</v>
      </c>
      <c r="Q835" t="s">
        <v>3106</v>
      </c>
    </row>
    <row r="836" spans="1:17" x14ac:dyDescent="0.25">
      <c r="A836" t="s">
        <v>1168</v>
      </c>
      <c r="C836" t="s">
        <v>272</v>
      </c>
      <c r="D836">
        <v>34896</v>
      </c>
      <c r="E836">
        <v>0</v>
      </c>
      <c r="F836">
        <v>0</v>
      </c>
      <c r="G836">
        <v>1217.71</v>
      </c>
      <c r="H836">
        <v>-1217.71</v>
      </c>
      <c r="I836">
        <v>0</v>
      </c>
      <c r="J836">
        <v>-15000</v>
      </c>
      <c r="K836">
        <v>19896</v>
      </c>
      <c r="L836">
        <v>20791.32</v>
      </c>
      <c r="M836">
        <v>21747.720720000001</v>
      </c>
      <c r="N836">
        <v>22748.115873120001</v>
      </c>
      <c r="O836" t="s">
        <v>3102</v>
      </c>
      <c r="P836" t="s">
        <v>3110</v>
      </c>
      <c r="Q836" t="s">
        <v>3106</v>
      </c>
    </row>
    <row r="837" spans="1:17" x14ac:dyDescent="0.25">
      <c r="A837" t="s">
        <v>1169</v>
      </c>
      <c r="C837" t="s">
        <v>277</v>
      </c>
      <c r="D837">
        <v>1967760</v>
      </c>
      <c r="E837">
        <v>0</v>
      </c>
      <c r="F837">
        <v>0</v>
      </c>
      <c r="G837">
        <v>1217.71</v>
      </c>
      <c r="H837">
        <v>-1217.71</v>
      </c>
      <c r="I837">
        <v>0</v>
      </c>
      <c r="J837">
        <v>0</v>
      </c>
      <c r="K837">
        <v>1967760</v>
      </c>
      <c r="L837">
        <v>2056309.2</v>
      </c>
      <c r="M837">
        <v>2150899.4232000001</v>
      </c>
      <c r="N837">
        <v>2249840.7966672</v>
      </c>
      <c r="O837" t="s">
        <v>3102</v>
      </c>
      <c r="P837" t="s">
        <v>3114</v>
      </c>
      <c r="Q837" t="s">
        <v>3106</v>
      </c>
    </row>
    <row r="838" spans="1:17" x14ac:dyDescent="0.25">
      <c r="A838" t="s">
        <v>1171</v>
      </c>
      <c r="C838" t="s">
        <v>150</v>
      </c>
      <c r="D838">
        <v>2357397</v>
      </c>
      <c r="E838">
        <v>0</v>
      </c>
      <c r="F838">
        <v>0</v>
      </c>
      <c r="G838">
        <v>1217.71</v>
      </c>
      <c r="H838">
        <v>-1217.71</v>
      </c>
      <c r="I838">
        <v>0</v>
      </c>
      <c r="J838">
        <v>0</v>
      </c>
      <c r="K838">
        <v>2357397</v>
      </c>
      <c r="L838">
        <v>2504734.3125</v>
      </c>
      <c r="M838">
        <v>2680065.714375</v>
      </c>
      <c r="N838">
        <v>2867670.3143812502</v>
      </c>
      <c r="O838" t="s">
        <v>3102</v>
      </c>
      <c r="P838" t="s">
        <v>3103</v>
      </c>
      <c r="Q838" t="s">
        <v>3104</v>
      </c>
    </row>
    <row r="839" spans="1:17" x14ac:dyDescent="0.25">
      <c r="A839" t="s">
        <v>1172</v>
      </c>
      <c r="C839" t="s">
        <v>151</v>
      </c>
      <c r="D839">
        <v>107339</v>
      </c>
      <c r="E839">
        <v>0</v>
      </c>
      <c r="F839">
        <v>0</v>
      </c>
      <c r="G839">
        <v>1217.71</v>
      </c>
      <c r="H839">
        <v>-1217.71</v>
      </c>
      <c r="I839">
        <v>0</v>
      </c>
      <c r="J839">
        <v>-65003.549999999988</v>
      </c>
      <c r="K839">
        <v>42335.450000000012</v>
      </c>
      <c r="L839">
        <v>44981.415625000009</v>
      </c>
      <c r="M839">
        <v>48130.11471875001</v>
      </c>
      <c r="N839">
        <v>51499.222749062508</v>
      </c>
      <c r="O839" t="s">
        <v>3102</v>
      </c>
      <c r="P839" t="s">
        <v>3103</v>
      </c>
      <c r="Q839" t="s">
        <v>3104</v>
      </c>
    </row>
    <row r="840" spans="1:17" x14ac:dyDescent="0.25">
      <c r="A840" t="s">
        <v>1173</v>
      </c>
      <c r="C840" t="s">
        <v>152</v>
      </c>
      <c r="D840">
        <v>14100</v>
      </c>
      <c r="E840">
        <v>0</v>
      </c>
      <c r="F840">
        <v>0</v>
      </c>
      <c r="G840">
        <v>1217.71</v>
      </c>
      <c r="H840">
        <v>-1217.71</v>
      </c>
      <c r="I840">
        <v>0</v>
      </c>
      <c r="J840">
        <v>0</v>
      </c>
      <c r="K840">
        <v>14100</v>
      </c>
      <c r="L840">
        <v>14981.25</v>
      </c>
      <c r="M840">
        <v>16029.9375</v>
      </c>
      <c r="N840">
        <v>17152.033125000002</v>
      </c>
      <c r="O840" t="s">
        <v>3102</v>
      </c>
      <c r="P840" t="s">
        <v>3103</v>
      </c>
      <c r="Q840" t="s">
        <v>3104</v>
      </c>
    </row>
    <row r="841" spans="1:17" x14ac:dyDescent="0.25">
      <c r="A841" t="s">
        <v>1174</v>
      </c>
      <c r="C841" t="s">
        <v>153</v>
      </c>
      <c r="D841">
        <v>21786</v>
      </c>
      <c r="E841">
        <v>0</v>
      </c>
      <c r="F841">
        <v>0</v>
      </c>
      <c r="G841">
        <v>1217.71</v>
      </c>
      <c r="H841">
        <v>-1217.71</v>
      </c>
      <c r="I841">
        <v>0</v>
      </c>
      <c r="J841">
        <v>0</v>
      </c>
      <c r="K841">
        <v>21786</v>
      </c>
      <c r="L841">
        <v>23147.625</v>
      </c>
      <c r="M841">
        <v>24767.958750000002</v>
      </c>
      <c r="N841">
        <v>26501.715862500001</v>
      </c>
      <c r="O841" t="s">
        <v>3102</v>
      </c>
      <c r="P841" t="s">
        <v>3103</v>
      </c>
      <c r="Q841" t="s">
        <v>3104</v>
      </c>
    </row>
    <row r="842" spans="1:17" x14ac:dyDescent="0.25">
      <c r="A842" t="s">
        <v>1175</v>
      </c>
      <c r="C842" t="s">
        <v>155</v>
      </c>
      <c r="D842">
        <v>76225</v>
      </c>
      <c r="E842">
        <v>0</v>
      </c>
      <c r="F842">
        <v>0</v>
      </c>
      <c r="G842">
        <v>1217.71</v>
      </c>
      <c r="H842">
        <v>-1217.71</v>
      </c>
      <c r="I842">
        <v>0</v>
      </c>
      <c r="J842">
        <v>0</v>
      </c>
      <c r="K842">
        <v>76225</v>
      </c>
      <c r="L842">
        <v>80989.0625</v>
      </c>
      <c r="M842">
        <v>86658.296875</v>
      </c>
      <c r="N842">
        <v>92724.377656249999</v>
      </c>
      <c r="O842" t="s">
        <v>3102</v>
      </c>
      <c r="P842" t="s">
        <v>3103</v>
      </c>
      <c r="Q842" t="s">
        <v>3104</v>
      </c>
    </row>
    <row r="843" spans="1:17" x14ac:dyDescent="0.25">
      <c r="A843" t="s">
        <v>1176</v>
      </c>
      <c r="C843" t="s">
        <v>156</v>
      </c>
      <c r="D843">
        <v>91702</v>
      </c>
      <c r="E843">
        <v>0</v>
      </c>
      <c r="F843">
        <v>0</v>
      </c>
      <c r="G843">
        <v>1217.71</v>
      </c>
      <c r="H843">
        <v>-1217.71</v>
      </c>
      <c r="I843">
        <v>0</v>
      </c>
      <c r="J843">
        <v>0</v>
      </c>
      <c r="K843">
        <v>91702</v>
      </c>
      <c r="L843">
        <v>97433.375</v>
      </c>
      <c r="M843">
        <v>104253.71124999999</v>
      </c>
      <c r="N843">
        <v>111551.4710375</v>
      </c>
      <c r="O843" t="s">
        <v>3102</v>
      </c>
      <c r="P843" t="s">
        <v>3103</v>
      </c>
      <c r="Q843" t="s">
        <v>3104</v>
      </c>
    </row>
    <row r="844" spans="1:17" x14ac:dyDescent="0.25">
      <c r="A844" t="s">
        <v>1177</v>
      </c>
      <c r="C844" t="s">
        <v>157</v>
      </c>
      <c r="D844">
        <v>98324</v>
      </c>
      <c r="E844">
        <v>0</v>
      </c>
      <c r="F844">
        <v>0</v>
      </c>
      <c r="G844">
        <v>1217.71</v>
      </c>
      <c r="H844">
        <v>-1217.71</v>
      </c>
      <c r="I844">
        <v>0</v>
      </c>
      <c r="J844">
        <v>-60000</v>
      </c>
      <c r="K844">
        <v>38324</v>
      </c>
      <c r="L844">
        <v>40719.25</v>
      </c>
      <c r="M844">
        <v>43569.597500000003</v>
      </c>
      <c r="N844">
        <v>46619.469325000005</v>
      </c>
      <c r="O844" t="s">
        <v>3102</v>
      </c>
      <c r="P844" t="s">
        <v>3103</v>
      </c>
      <c r="Q844" t="s">
        <v>3104</v>
      </c>
    </row>
    <row r="845" spans="1:17" x14ac:dyDescent="0.25">
      <c r="A845" t="s">
        <v>1178</v>
      </c>
      <c r="C845" t="s">
        <v>159</v>
      </c>
      <c r="D845">
        <v>193210</v>
      </c>
      <c r="E845">
        <v>0</v>
      </c>
      <c r="F845">
        <v>0</v>
      </c>
      <c r="G845">
        <v>1217.71</v>
      </c>
      <c r="H845">
        <v>-1217.71</v>
      </c>
      <c r="I845">
        <v>0</v>
      </c>
      <c r="J845">
        <v>0</v>
      </c>
      <c r="K845">
        <v>193210</v>
      </c>
      <c r="L845">
        <v>205285.625</v>
      </c>
      <c r="M845">
        <v>219655.61874999999</v>
      </c>
      <c r="N845">
        <v>235031.5120625</v>
      </c>
      <c r="O845" t="s">
        <v>3102</v>
      </c>
      <c r="P845" t="s">
        <v>3103</v>
      </c>
      <c r="Q845" t="s">
        <v>3104</v>
      </c>
    </row>
    <row r="846" spans="1:17" x14ac:dyDescent="0.25">
      <c r="A846" t="s">
        <v>1179</v>
      </c>
      <c r="C846" t="s">
        <v>162</v>
      </c>
      <c r="D846">
        <v>0</v>
      </c>
      <c r="E846">
        <v>0</v>
      </c>
      <c r="F846">
        <v>0</v>
      </c>
      <c r="G846">
        <v>1217.71</v>
      </c>
      <c r="H846">
        <v>-1217.71</v>
      </c>
      <c r="I846">
        <v>0</v>
      </c>
      <c r="J846">
        <v>60000</v>
      </c>
      <c r="K846">
        <v>60000</v>
      </c>
      <c r="L846">
        <v>63750</v>
      </c>
      <c r="M846">
        <v>68212.5</v>
      </c>
      <c r="N846">
        <v>72987.375</v>
      </c>
      <c r="O846" t="s">
        <v>3102</v>
      </c>
      <c r="P846" t="s">
        <v>3103</v>
      </c>
      <c r="Q846" t="s">
        <v>3104</v>
      </c>
    </row>
    <row r="847" spans="1:17" x14ac:dyDescent="0.25">
      <c r="A847" t="s">
        <v>1180</v>
      </c>
      <c r="C847" t="s">
        <v>167</v>
      </c>
      <c r="D847">
        <v>1124</v>
      </c>
      <c r="E847">
        <v>0</v>
      </c>
      <c r="F847">
        <v>0</v>
      </c>
      <c r="G847">
        <v>1217.71</v>
      </c>
      <c r="H847">
        <v>-1217.71</v>
      </c>
      <c r="I847">
        <v>0</v>
      </c>
      <c r="J847">
        <v>0</v>
      </c>
      <c r="K847">
        <v>1124</v>
      </c>
      <c r="L847">
        <v>1194.25</v>
      </c>
      <c r="M847">
        <v>1277.8475000000001</v>
      </c>
      <c r="N847">
        <v>1367.2968250000001</v>
      </c>
      <c r="O847" t="s">
        <v>3102</v>
      </c>
      <c r="P847" t="s">
        <v>3103</v>
      </c>
      <c r="Q847" t="s">
        <v>3104</v>
      </c>
    </row>
    <row r="848" spans="1:17" x14ac:dyDescent="0.25">
      <c r="A848" t="s">
        <v>1181</v>
      </c>
      <c r="C848" t="s">
        <v>168</v>
      </c>
      <c r="D848">
        <v>100786</v>
      </c>
      <c r="E848">
        <v>0</v>
      </c>
      <c r="F848">
        <v>0</v>
      </c>
      <c r="G848">
        <v>1217.71</v>
      </c>
      <c r="H848">
        <v>-1217.71</v>
      </c>
      <c r="I848">
        <v>0</v>
      </c>
      <c r="J848">
        <v>0</v>
      </c>
      <c r="K848">
        <v>100786</v>
      </c>
      <c r="L848">
        <v>107085.125</v>
      </c>
      <c r="M848">
        <v>114581.08375000001</v>
      </c>
      <c r="N848">
        <v>122601.7596125</v>
      </c>
      <c r="O848" t="s">
        <v>3102</v>
      </c>
      <c r="P848" t="s">
        <v>3103</v>
      </c>
      <c r="Q848" t="s">
        <v>3104</v>
      </c>
    </row>
    <row r="849" spans="1:17" x14ac:dyDescent="0.25">
      <c r="A849" t="s">
        <v>1182</v>
      </c>
      <c r="C849" t="s">
        <v>169</v>
      </c>
      <c r="D849">
        <v>510074</v>
      </c>
      <c r="E849">
        <v>0</v>
      </c>
      <c r="F849">
        <v>0</v>
      </c>
      <c r="G849">
        <v>1217.71</v>
      </c>
      <c r="H849">
        <v>-1217.71</v>
      </c>
      <c r="I849">
        <v>0</v>
      </c>
      <c r="J849">
        <v>0</v>
      </c>
      <c r="K849">
        <v>510074</v>
      </c>
      <c r="L849">
        <v>541953.625</v>
      </c>
      <c r="M849">
        <v>579890.37875000003</v>
      </c>
      <c r="N849">
        <v>620482.70526250009</v>
      </c>
      <c r="O849" t="s">
        <v>3102</v>
      </c>
      <c r="P849" t="s">
        <v>3103</v>
      </c>
      <c r="Q849" t="s">
        <v>3104</v>
      </c>
    </row>
    <row r="850" spans="1:17" x14ac:dyDescent="0.25">
      <c r="A850" t="s">
        <v>1183</v>
      </c>
      <c r="C850" t="s">
        <v>170</v>
      </c>
      <c r="D850">
        <v>19635</v>
      </c>
      <c r="E850">
        <v>0</v>
      </c>
      <c r="F850">
        <v>0</v>
      </c>
      <c r="G850">
        <v>1217.71</v>
      </c>
      <c r="H850">
        <v>-1217.71</v>
      </c>
      <c r="I850">
        <v>0</v>
      </c>
      <c r="J850">
        <v>0</v>
      </c>
      <c r="K850">
        <v>19635</v>
      </c>
      <c r="L850">
        <v>20862.1875</v>
      </c>
      <c r="M850">
        <v>22322.540625000001</v>
      </c>
      <c r="N850">
        <v>23885.118468750003</v>
      </c>
      <c r="O850" t="s">
        <v>3102</v>
      </c>
      <c r="P850" t="s">
        <v>3103</v>
      </c>
      <c r="Q850" t="s">
        <v>3104</v>
      </c>
    </row>
    <row r="851" spans="1:17" x14ac:dyDescent="0.25">
      <c r="A851" t="s">
        <v>1184</v>
      </c>
      <c r="C851" t="s">
        <v>173</v>
      </c>
      <c r="D851">
        <v>13532</v>
      </c>
      <c r="E851">
        <v>0</v>
      </c>
      <c r="F851">
        <v>0</v>
      </c>
      <c r="G851">
        <v>1217.71</v>
      </c>
      <c r="H851">
        <v>-1217.71</v>
      </c>
      <c r="I851">
        <v>0</v>
      </c>
      <c r="J851">
        <v>0</v>
      </c>
      <c r="K851">
        <v>13532</v>
      </c>
      <c r="L851">
        <v>14377.75</v>
      </c>
      <c r="M851">
        <v>15384.192499999999</v>
      </c>
      <c r="N851">
        <v>16461.085974999998</v>
      </c>
      <c r="O851" t="s">
        <v>3102</v>
      </c>
      <c r="P851" t="s">
        <v>3103</v>
      </c>
      <c r="Q851" t="s">
        <v>3111</v>
      </c>
    </row>
    <row r="852" spans="1:17" x14ac:dyDescent="0.25">
      <c r="A852" t="s">
        <v>1185</v>
      </c>
      <c r="C852" t="s">
        <v>174</v>
      </c>
      <c r="D852">
        <v>8126</v>
      </c>
      <c r="E852">
        <v>0</v>
      </c>
      <c r="F852">
        <v>0</v>
      </c>
      <c r="G852">
        <v>1217.71</v>
      </c>
      <c r="H852">
        <v>-1217.71</v>
      </c>
      <c r="I852">
        <v>0</v>
      </c>
      <c r="J852">
        <v>0</v>
      </c>
      <c r="K852">
        <v>8126</v>
      </c>
      <c r="L852">
        <v>8633.875</v>
      </c>
      <c r="M852">
        <v>9238.2462500000001</v>
      </c>
      <c r="N852">
        <v>9884.9234875000002</v>
      </c>
      <c r="O852" t="s">
        <v>3102</v>
      </c>
      <c r="P852" t="s">
        <v>3103</v>
      </c>
      <c r="Q852" t="s">
        <v>3111</v>
      </c>
    </row>
    <row r="853" spans="1:17" x14ac:dyDescent="0.25">
      <c r="A853" t="s">
        <v>1186</v>
      </c>
      <c r="C853" t="s">
        <v>175</v>
      </c>
      <c r="D853">
        <v>23049</v>
      </c>
      <c r="E853">
        <v>0</v>
      </c>
      <c r="F853">
        <v>0</v>
      </c>
      <c r="G853">
        <v>1217.71</v>
      </c>
      <c r="H853">
        <v>-1217.71</v>
      </c>
      <c r="I853">
        <v>0</v>
      </c>
      <c r="J853">
        <v>0</v>
      </c>
      <c r="K853">
        <v>23049</v>
      </c>
      <c r="L853">
        <v>24489.5625</v>
      </c>
      <c r="M853">
        <v>26203.831875</v>
      </c>
      <c r="N853">
        <v>28038.10010625</v>
      </c>
      <c r="O853" t="s">
        <v>3102</v>
      </c>
      <c r="P853" t="s">
        <v>3103</v>
      </c>
      <c r="Q853" t="s">
        <v>3111</v>
      </c>
    </row>
    <row r="854" spans="1:17" x14ac:dyDescent="0.25">
      <c r="A854" t="s">
        <v>1187</v>
      </c>
      <c r="B854" t="s">
        <v>3055</v>
      </c>
      <c r="C854" t="s">
        <v>235</v>
      </c>
      <c r="D854">
        <v>2700000</v>
      </c>
      <c r="E854">
        <v>0</v>
      </c>
      <c r="F854">
        <v>0</v>
      </c>
      <c r="G854">
        <v>1217.71</v>
      </c>
      <c r="H854">
        <v>-1217.71</v>
      </c>
      <c r="I854">
        <v>0</v>
      </c>
      <c r="J854">
        <v>0</v>
      </c>
      <c r="K854">
        <v>2700000</v>
      </c>
      <c r="L854">
        <v>2000000</v>
      </c>
      <c r="M854">
        <v>2092000</v>
      </c>
      <c r="N854">
        <v>2188232</v>
      </c>
      <c r="O854" t="s">
        <v>3102</v>
      </c>
      <c r="P854" t="s">
        <v>3105</v>
      </c>
      <c r="Q854" t="s">
        <v>3209</v>
      </c>
    </row>
    <row r="855" spans="1:17" x14ac:dyDescent="0.25">
      <c r="A855" t="s">
        <v>1188</v>
      </c>
      <c r="C855" t="s">
        <v>235</v>
      </c>
      <c r="D855">
        <v>900000</v>
      </c>
      <c r="E855">
        <v>0</v>
      </c>
      <c r="F855">
        <v>0</v>
      </c>
      <c r="G855">
        <v>1217.71</v>
      </c>
      <c r="H855">
        <v>-1217.71</v>
      </c>
      <c r="I855">
        <v>0</v>
      </c>
      <c r="J855">
        <v>0</v>
      </c>
      <c r="K855">
        <v>900000</v>
      </c>
      <c r="L855">
        <v>0</v>
      </c>
      <c r="M855">
        <v>0</v>
      </c>
      <c r="N855">
        <v>0</v>
      </c>
      <c r="O855" t="s">
        <v>3102</v>
      </c>
      <c r="P855" t="s">
        <v>3105</v>
      </c>
      <c r="Q855" t="s">
        <v>3210</v>
      </c>
    </row>
    <row r="856" spans="1:17" x14ac:dyDescent="0.25">
      <c r="A856" t="s">
        <v>1189</v>
      </c>
      <c r="C856" t="s">
        <v>236</v>
      </c>
      <c r="D856">
        <v>1800000</v>
      </c>
      <c r="E856">
        <v>0</v>
      </c>
      <c r="F856">
        <v>0</v>
      </c>
      <c r="G856">
        <v>1217.71</v>
      </c>
      <c r="H856">
        <v>-1217.71</v>
      </c>
      <c r="I856">
        <v>0</v>
      </c>
      <c r="J856">
        <v>0</v>
      </c>
      <c r="K856">
        <v>1800000</v>
      </c>
      <c r="L856">
        <v>1881000</v>
      </c>
      <c r="M856">
        <v>1967526</v>
      </c>
      <c r="N856">
        <v>2058032.196</v>
      </c>
      <c r="O856" t="s">
        <v>3102</v>
      </c>
      <c r="P856" t="s">
        <v>3105</v>
      </c>
      <c r="Q856" t="s">
        <v>3211</v>
      </c>
    </row>
    <row r="857" spans="1:17" x14ac:dyDescent="0.25">
      <c r="A857" t="s">
        <v>1190</v>
      </c>
      <c r="C857" t="s">
        <v>256</v>
      </c>
      <c r="D857">
        <v>36722</v>
      </c>
      <c r="E857">
        <v>0</v>
      </c>
      <c r="F857">
        <v>0</v>
      </c>
      <c r="G857">
        <v>1217.71</v>
      </c>
      <c r="H857">
        <v>-1217.71</v>
      </c>
      <c r="I857">
        <v>0</v>
      </c>
      <c r="J857">
        <v>0</v>
      </c>
      <c r="K857">
        <v>36722</v>
      </c>
      <c r="L857">
        <v>38374.49</v>
      </c>
      <c r="M857">
        <v>40139.716540000001</v>
      </c>
      <c r="N857">
        <v>41986.14350084</v>
      </c>
      <c r="O857" t="s">
        <v>3102</v>
      </c>
      <c r="P857" t="s">
        <v>3110</v>
      </c>
      <c r="Q857" t="s">
        <v>3106</v>
      </c>
    </row>
    <row r="858" spans="1:17" x14ac:dyDescent="0.25">
      <c r="A858" t="s">
        <v>1191</v>
      </c>
      <c r="C858" t="s">
        <v>265</v>
      </c>
      <c r="D858">
        <v>48487</v>
      </c>
      <c r="E858">
        <v>0</v>
      </c>
      <c r="F858">
        <v>0</v>
      </c>
      <c r="G858">
        <v>1217.71</v>
      </c>
      <c r="H858">
        <v>-1217.71</v>
      </c>
      <c r="I858">
        <v>0</v>
      </c>
      <c r="J858">
        <v>0</v>
      </c>
      <c r="K858">
        <v>48487</v>
      </c>
      <c r="L858">
        <v>50668.915000000001</v>
      </c>
      <c r="M858">
        <v>52999.685089999999</v>
      </c>
      <c r="N858">
        <v>55437.670604139996</v>
      </c>
      <c r="O858" t="s">
        <v>3102</v>
      </c>
      <c r="P858" t="s">
        <v>3110</v>
      </c>
      <c r="Q858" t="s">
        <v>3104</v>
      </c>
    </row>
    <row r="859" spans="1:17" x14ac:dyDescent="0.25">
      <c r="A859" t="s">
        <v>1192</v>
      </c>
      <c r="C859" t="s">
        <v>268</v>
      </c>
      <c r="D859">
        <v>0</v>
      </c>
      <c r="E859">
        <v>0</v>
      </c>
      <c r="F859">
        <v>0</v>
      </c>
      <c r="G859">
        <v>1217.71</v>
      </c>
      <c r="H859">
        <v>-1217.71</v>
      </c>
      <c r="I859">
        <v>0</v>
      </c>
      <c r="J859">
        <v>90000</v>
      </c>
      <c r="K859">
        <v>90000</v>
      </c>
      <c r="L859">
        <v>94050</v>
      </c>
      <c r="M859">
        <v>98376.3</v>
      </c>
      <c r="N859">
        <v>102901.60980000001</v>
      </c>
      <c r="O859" t="s">
        <v>3102</v>
      </c>
      <c r="P859" t="s">
        <v>3110</v>
      </c>
      <c r="Q859" t="s">
        <v>3104</v>
      </c>
    </row>
    <row r="860" spans="1:17" x14ac:dyDescent="0.25">
      <c r="A860" t="s">
        <v>1193</v>
      </c>
      <c r="C860" t="s">
        <v>276</v>
      </c>
      <c r="D860">
        <v>0</v>
      </c>
      <c r="E860">
        <v>0</v>
      </c>
      <c r="F860">
        <v>0</v>
      </c>
      <c r="G860">
        <v>1217.71</v>
      </c>
      <c r="H860">
        <v>-1217.71</v>
      </c>
      <c r="I860">
        <v>0</v>
      </c>
      <c r="J860">
        <v>95109</v>
      </c>
      <c r="K860">
        <v>95109</v>
      </c>
      <c r="L860">
        <v>99388.904999999999</v>
      </c>
      <c r="M860">
        <v>103960.79463</v>
      </c>
      <c r="N860">
        <v>108742.99118298001</v>
      </c>
      <c r="O860" t="s">
        <v>3102</v>
      </c>
      <c r="P860" t="s">
        <v>3114</v>
      </c>
      <c r="Q860" t="s">
        <v>3209</v>
      </c>
    </row>
    <row r="861" spans="1:17" x14ac:dyDescent="0.25">
      <c r="A861" t="s">
        <v>1194</v>
      </c>
      <c r="C861" t="s">
        <v>291</v>
      </c>
      <c r="D861">
        <v>0</v>
      </c>
      <c r="E861">
        <v>0</v>
      </c>
      <c r="F861">
        <v>0</v>
      </c>
      <c r="G861">
        <v>1217.71</v>
      </c>
      <c r="H861">
        <v>-1217.71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 t="s">
        <v>3102</v>
      </c>
      <c r="P861" t="s">
        <v>3117</v>
      </c>
      <c r="Q861" t="s">
        <v>3111</v>
      </c>
    </row>
    <row r="862" spans="1:17" x14ac:dyDescent="0.25">
      <c r="A862" t="s">
        <v>1195</v>
      </c>
      <c r="C862" t="s">
        <v>292</v>
      </c>
      <c r="D862">
        <v>0</v>
      </c>
      <c r="E862">
        <v>0</v>
      </c>
      <c r="F862">
        <v>0</v>
      </c>
      <c r="G862">
        <v>1217.71</v>
      </c>
      <c r="H862">
        <v>-1217.71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 t="s">
        <v>3102</v>
      </c>
      <c r="P862" t="s">
        <v>3117</v>
      </c>
      <c r="Q862" t="s">
        <v>3111</v>
      </c>
    </row>
    <row r="863" spans="1:17" x14ac:dyDescent="0.25">
      <c r="A863" t="s">
        <v>1196</v>
      </c>
      <c r="C863" t="s">
        <v>293</v>
      </c>
      <c r="D863">
        <v>476</v>
      </c>
      <c r="E863">
        <v>0</v>
      </c>
      <c r="F863">
        <v>0</v>
      </c>
      <c r="G863">
        <v>1217.71</v>
      </c>
      <c r="H863">
        <v>-1217.71</v>
      </c>
      <c r="I863">
        <v>0</v>
      </c>
      <c r="J863">
        <v>0</v>
      </c>
      <c r="K863">
        <v>476</v>
      </c>
      <c r="L863">
        <v>497.42</v>
      </c>
      <c r="M863">
        <v>520.30132000000003</v>
      </c>
      <c r="N863">
        <v>544.23518072000002</v>
      </c>
      <c r="O863" t="s">
        <v>3102</v>
      </c>
      <c r="P863" t="s">
        <v>3117</v>
      </c>
      <c r="Q863" t="s">
        <v>3111</v>
      </c>
    </row>
    <row r="864" spans="1:17" x14ac:dyDescent="0.25">
      <c r="A864" t="s">
        <v>1197</v>
      </c>
      <c r="C864" t="s">
        <v>294</v>
      </c>
      <c r="D864">
        <v>0</v>
      </c>
      <c r="E864">
        <v>0</v>
      </c>
      <c r="F864">
        <v>0</v>
      </c>
      <c r="G864">
        <v>1217.71</v>
      </c>
      <c r="H864">
        <v>-1217.71</v>
      </c>
      <c r="I864">
        <v>0</v>
      </c>
      <c r="J864">
        <v>3513156.6700000199</v>
      </c>
      <c r="K864">
        <v>3513156.6700000199</v>
      </c>
      <c r="L864">
        <v>3671248.7201500209</v>
      </c>
      <c r="M864">
        <v>3840126.1612769216</v>
      </c>
      <c r="N864">
        <v>4016771.9646956599</v>
      </c>
      <c r="O864" t="s">
        <v>3102</v>
      </c>
      <c r="P864" t="s">
        <v>3117</v>
      </c>
      <c r="Q864" t="s">
        <v>3111</v>
      </c>
    </row>
    <row r="865" spans="1:17" x14ac:dyDescent="0.25">
      <c r="A865" t="s">
        <v>1198</v>
      </c>
      <c r="C865" t="s">
        <v>296</v>
      </c>
      <c r="D865">
        <v>530622</v>
      </c>
      <c r="E865">
        <v>0</v>
      </c>
      <c r="F865">
        <v>0</v>
      </c>
      <c r="G865">
        <v>1217.71</v>
      </c>
      <c r="H865">
        <v>-1217.71</v>
      </c>
      <c r="I865">
        <v>0</v>
      </c>
      <c r="J865">
        <v>0</v>
      </c>
      <c r="K865">
        <v>530622</v>
      </c>
      <c r="L865">
        <v>554499.99</v>
      </c>
      <c r="M865">
        <v>580006.98953999998</v>
      </c>
      <c r="N865">
        <v>606687.31105884002</v>
      </c>
      <c r="O865" t="s">
        <v>3102</v>
      </c>
      <c r="P865" t="s">
        <v>3117</v>
      </c>
      <c r="Q865" t="s">
        <v>3111</v>
      </c>
    </row>
    <row r="866" spans="1:17" x14ac:dyDescent="0.25">
      <c r="A866" t="s">
        <v>1199</v>
      </c>
      <c r="C866" t="s">
        <v>297</v>
      </c>
      <c r="D866">
        <v>168850</v>
      </c>
      <c r="E866">
        <v>0</v>
      </c>
      <c r="F866">
        <v>0</v>
      </c>
      <c r="G866">
        <v>1217.71</v>
      </c>
      <c r="H866">
        <v>-1217.71</v>
      </c>
      <c r="I866">
        <v>0</v>
      </c>
      <c r="J866">
        <v>0</v>
      </c>
      <c r="K866">
        <v>168850</v>
      </c>
      <c r="L866">
        <v>176448.25</v>
      </c>
      <c r="M866">
        <v>184564.8695</v>
      </c>
      <c r="N866">
        <v>193054.853497</v>
      </c>
      <c r="O866" t="s">
        <v>3102</v>
      </c>
      <c r="P866" t="s">
        <v>3117</v>
      </c>
      <c r="Q866" t="s">
        <v>3111</v>
      </c>
    </row>
    <row r="867" spans="1:17" x14ac:dyDescent="0.25">
      <c r="A867" t="s">
        <v>1200</v>
      </c>
      <c r="C867" t="s">
        <v>298</v>
      </c>
      <c r="D867">
        <v>2276857</v>
      </c>
      <c r="E867">
        <v>0</v>
      </c>
      <c r="F867">
        <v>0</v>
      </c>
      <c r="G867">
        <v>1217.71</v>
      </c>
      <c r="H867">
        <v>-1217.71</v>
      </c>
      <c r="I867">
        <v>0</v>
      </c>
      <c r="J867">
        <v>2182253</v>
      </c>
      <c r="K867">
        <v>4459110</v>
      </c>
      <c r="L867">
        <v>4659769.95</v>
      </c>
      <c r="M867">
        <v>4874119.3677000003</v>
      </c>
      <c r="N867">
        <v>5098328.8586142007</v>
      </c>
      <c r="O867" t="s">
        <v>3102</v>
      </c>
      <c r="P867" t="s">
        <v>3117</v>
      </c>
      <c r="Q867" t="s">
        <v>3111</v>
      </c>
    </row>
    <row r="868" spans="1:17" x14ac:dyDescent="0.25">
      <c r="A868" t="s">
        <v>1201</v>
      </c>
      <c r="C868" t="s">
        <v>303</v>
      </c>
      <c r="D868">
        <v>3371</v>
      </c>
      <c r="E868">
        <v>0</v>
      </c>
      <c r="F868">
        <v>0</v>
      </c>
      <c r="G868">
        <v>1217.71</v>
      </c>
      <c r="H868">
        <v>-1217.71</v>
      </c>
      <c r="I868">
        <v>0</v>
      </c>
      <c r="J868">
        <v>0</v>
      </c>
      <c r="K868">
        <v>3371</v>
      </c>
      <c r="L868">
        <v>3522.6950000000002</v>
      </c>
      <c r="M868">
        <v>3684.7389700000003</v>
      </c>
      <c r="N868">
        <v>3854.2369626200002</v>
      </c>
      <c r="O868" t="s">
        <v>3102</v>
      </c>
      <c r="P868" t="s">
        <v>3117</v>
      </c>
      <c r="Q868" t="s">
        <v>3111</v>
      </c>
    </row>
    <row r="869" spans="1:17" x14ac:dyDescent="0.25">
      <c r="A869" t="s">
        <v>3082</v>
      </c>
      <c r="C869" t="s">
        <v>3043</v>
      </c>
      <c r="D869">
        <v>0</v>
      </c>
      <c r="M869">
        <v>17259030.219999999</v>
      </c>
      <c r="N869">
        <v>9090969.8599999994</v>
      </c>
      <c r="O869" t="s">
        <v>3118</v>
      </c>
      <c r="Q869" t="s">
        <v>3100</v>
      </c>
    </row>
    <row r="870" spans="1:17" x14ac:dyDescent="0.25">
      <c r="A870" t="s">
        <v>3212</v>
      </c>
      <c r="C870" t="s">
        <v>3042</v>
      </c>
      <c r="D870">
        <v>0</v>
      </c>
      <c r="N870">
        <v>14311430.140000001</v>
      </c>
      <c r="O870" t="s">
        <v>3118</v>
      </c>
      <c r="Q870" t="s">
        <v>3102</v>
      </c>
    </row>
    <row r="871" spans="1:17" x14ac:dyDescent="0.25">
      <c r="A871" t="s">
        <v>1202</v>
      </c>
      <c r="C871" t="s">
        <v>1203</v>
      </c>
      <c r="D871">
        <v>1000000</v>
      </c>
      <c r="E871">
        <v>0</v>
      </c>
      <c r="F871">
        <v>0</v>
      </c>
      <c r="G871">
        <v>1217.71</v>
      </c>
      <c r="H871">
        <v>-1217.71</v>
      </c>
      <c r="I871">
        <v>0</v>
      </c>
      <c r="J871">
        <v>-37820</v>
      </c>
      <c r="K871">
        <v>962180</v>
      </c>
      <c r="L871">
        <v>0</v>
      </c>
      <c r="M871">
        <v>0</v>
      </c>
      <c r="O871" t="s">
        <v>3118</v>
      </c>
      <c r="Q871" t="s">
        <v>3213</v>
      </c>
    </row>
    <row r="872" spans="1:17" x14ac:dyDescent="0.25">
      <c r="A872" t="s">
        <v>3008</v>
      </c>
      <c r="C872" t="s">
        <v>1349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L872">
        <v>0</v>
      </c>
      <c r="M872">
        <v>0</v>
      </c>
      <c r="O872" t="s">
        <v>3118</v>
      </c>
      <c r="Q872" t="s">
        <v>3214</v>
      </c>
    </row>
    <row r="873" spans="1:17" x14ac:dyDescent="0.25">
      <c r="A873" t="s">
        <v>1204</v>
      </c>
      <c r="C873" t="s">
        <v>1205</v>
      </c>
      <c r="D873">
        <v>3000000</v>
      </c>
      <c r="E873">
        <v>0</v>
      </c>
      <c r="F873">
        <v>0</v>
      </c>
      <c r="G873">
        <v>1217.71</v>
      </c>
      <c r="H873">
        <v>-1217.71</v>
      </c>
      <c r="I873">
        <v>0</v>
      </c>
      <c r="J873">
        <v>-3000000</v>
      </c>
      <c r="K873">
        <v>0</v>
      </c>
      <c r="L873">
        <v>0</v>
      </c>
      <c r="M873">
        <v>0</v>
      </c>
      <c r="O873" t="s">
        <v>3118</v>
      </c>
      <c r="Q873" t="s">
        <v>3215</v>
      </c>
    </row>
    <row r="874" spans="1:17" x14ac:dyDescent="0.25">
      <c r="A874" t="s">
        <v>3006</v>
      </c>
      <c r="C874" t="s">
        <v>1347</v>
      </c>
      <c r="D874">
        <v>0</v>
      </c>
      <c r="I874">
        <v>0</v>
      </c>
      <c r="J874">
        <v>0</v>
      </c>
      <c r="L874">
        <v>0</v>
      </c>
      <c r="M874">
        <v>0</v>
      </c>
      <c r="N874">
        <v>0</v>
      </c>
      <c r="O874" t="s">
        <v>3118</v>
      </c>
      <c r="Q874" t="s">
        <v>3216</v>
      </c>
    </row>
    <row r="875" spans="1:17" x14ac:dyDescent="0.25">
      <c r="A875" t="s">
        <v>1206</v>
      </c>
      <c r="C875" t="s">
        <v>1207</v>
      </c>
      <c r="D875">
        <v>2220000</v>
      </c>
      <c r="E875">
        <v>0</v>
      </c>
      <c r="F875">
        <v>0</v>
      </c>
      <c r="G875">
        <v>1217.71</v>
      </c>
      <c r="H875">
        <v>-1217.71</v>
      </c>
      <c r="I875">
        <v>0</v>
      </c>
      <c r="J875">
        <v>-2220000</v>
      </c>
      <c r="K875">
        <v>0</v>
      </c>
      <c r="L875">
        <v>2220000</v>
      </c>
      <c r="M875">
        <v>0</v>
      </c>
      <c r="O875" t="s">
        <v>3118</v>
      </c>
      <c r="Q875" t="s">
        <v>3217</v>
      </c>
    </row>
    <row r="876" spans="1:17" x14ac:dyDescent="0.25">
      <c r="A876" t="s">
        <v>1352</v>
      </c>
      <c r="C876" t="s">
        <v>3044</v>
      </c>
      <c r="D876">
        <v>0</v>
      </c>
      <c r="E876">
        <v>0</v>
      </c>
      <c r="F876">
        <v>0</v>
      </c>
      <c r="G876">
        <v>1217.71</v>
      </c>
      <c r="H876">
        <v>-1217.71</v>
      </c>
      <c r="I876">
        <v>0</v>
      </c>
      <c r="J876">
        <v>0</v>
      </c>
      <c r="K876">
        <v>0</v>
      </c>
      <c r="L876">
        <v>0</v>
      </c>
      <c r="M876">
        <v>15605000</v>
      </c>
      <c r="N876">
        <v>14400000</v>
      </c>
      <c r="O876" t="s">
        <v>3118</v>
      </c>
      <c r="Q876" t="s">
        <v>3218</v>
      </c>
    </row>
    <row r="877" spans="1:17" x14ac:dyDescent="0.25">
      <c r="A877" t="s">
        <v>1208</v>
      </c>
      <c r="C877" t="s">
        <v>1209</v>
      </c>
      <c r="D877">
        <v>17000000</v>
      </c>
      <c r="E877">
        <v>0</v>
      </c>
      <c r="F877">
        <v>0</v>
      </c>
      <c r="G877">
        <v>1217.71</v>
      </c>
      <c r="H877">
        <v>-1217.71</v>
      </c>
      <c r="I877">
        <v>0</v>
      </c>
      <c r="J877">
        <v>8110000</v>
      </c>
      <c r="K877">
        <v>25110000</v>
      </c>
      <c r="L877">
        <v>4172137.84</v>
      </c>
      <c r="M877">
        <v>0</v>
      </c>
      <c r="O877" t="s">
        <v>3118</v>
      </c>
      <c r="Q877" t="s">
        <v>3219</v>
      </c>
    </row>
    <row r="878" spans="1:17" x14ac:dyDescent="0.25">
      <c r="A878" t="s">
        <v>1210</v>
      </c>
      <c r="C878" t="s">
        <v>1355</v>
      </c>
      <c r="D878">
        <v>16393450</v>
      </c>
      <c r="E878">
        <v>0</v>
      </c>
      <c r="F878">
        <v>0</v>
      </c>
      <c r="G878">
        <v>1217.71</v>
      </c>
      <c r="H878">
        <v>-1217.71</v>
      </c>
      <c r="I878">
        <v>0</v>
      </c>
      <c r="J878">
        <v>0</v>
      </c>
      <c r="K878">
        <v>16393450</v>
      </c>
      <c r="L878">
        <v>14152231.92</v>
      </c>
      <c r="M878">
        <v>0</v>
      </c>
      <c r="O878" t="s">
        <v>3118</v>
      </c>
      <c r="Q878" t="s">
        <v>3220</v>
      </c>
    </row>
    <row r="879" spans="1:17" x14ac:dyDescent="0.25">
      <c r="A879" t="s">
        <v>1345</v>
      </c>
      <c r="C879" t="s">
        <v>1346</v>
      </c>
      <c r="D879">
        <v>0</v>
      </c>
      <c r="E879">
        <v>0</v>
      </c>
      <c r="F879">
        <v>0</v>
      </c>
      <c r="G879">
        <v>1217.71</v>
      </c>
      <c r="H879">
        <v>-1217.71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 t="s">
        <v>3118</v>
      </c>
      <c r="Q879" t="s">
        <v>3221</v>
      </c>
    </row>
    <row r="880" spans="1:17" x14ac:dyDescent="0.25">
      <c r="A880" t="s">
        <v>1350</v>
      </c>
      <c r="C880" t="s">
        <v>1351</v>
      </c>
      <c r="D880">
        <v>0</v>
      </c>
      <c r="E880">
        <v>0</v>
      </c>
      <c r="F880">
        <v>0</v>
      </c>
      <c r="G880">
        <v>1217.71</v>
      </c>
      <c r="H880">
        <v>-1217.71</v>
      </c>
      <c r="I880">
        <v>0</v>
      </c>
      <c r="J880">
        <v>0</v>
      </c>
      <c r="K880">
        <v>0</v>
      </c>
      <c r="L880">
        <v>14861980.24</v>
      </c>
      <c r="M880">
        <v>2988019.78</v>
      </c>
      <c r="O880" t="s">
        <v>3118</v>
      </c>
      <c r="Q880" t="s">
        <v>3222</v>
      </c>
    </row>
    <row r="881" spans="1:17" x14ac:dyDescent="0.25">
      <c r="A881" t="s">
        <v>1211</v>
      </c>
      <c r="C881" t="s">
        <v>1212</v>
      </c>
      <c r="D881">
        <v>3000000</v>
      </c>
      <c r="E881">
        <v>0</v>
      </c>
      <c r="F881">
        <v>0</v>
      </c>
      <c r="G881">
        <v>1217.71</v>
      </c>
      <c r="H881">
        <v>-1217.71</v>
      </c>
      <c r="I881">
        <v>0</v>
      </c>
      <c r="J881">
        <v>-1384000</v>
      </c>
      <c r="K881">
        <v>1616000</v>
      </c>
      <c r="L881">
        <v>3000000</v>
      </c>
      <c r="M881">
        <v>0</v>
      </c>
      <c r="O881" t="s">
        <v>3118</v>
      </c>
      <c r="Q881" t="s">
        <v>3223</v>
      </c>
    </row>
    <row r="882" spans="1:17" x14ac:dyDescent="0.25">
      <c r="A882" t="s">
        <v>1213</v>
      </c>
      <c r="C882" t="s">
        <v>1214</v>
      </c>
      <c r="D882">
        <v>800000</v>
      </c>
      <c r="E882">
        <v>0</v>
      </c>
      <c r="F882">
        <v>0</v>
      </c>
      <c r="G882">
        <v>1217.71</v>
      </c>
      <c r="H882">
        <v>-1217.71</v>
      </c>
      <c r="I882">
        <v>0</v>
      </c>
      <c r="J882">
        <v>0</v>
      </c>
      <c r="K882">
        <v>800000</v>
      </c>
      <c r="L882">
        <v>0</v>
      </c>
      <c r="M882">
        <v>0</v>
      </c>
      <c r="O882" t="s">
        <v>3118</v>
      </c>
      <c r="Q882" t="s">
        <v>3224</v>
      </c>
    </row>
    <row r="883" spans="1:17" x14ac:dyDescent="0.25">
      <c r="A883" t="s">
        <v>3007</v>
      </c>
      <c r="C883" t="s">
        <v>1348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L883">
        <v>0</v>
      </c>
      <c r="M883">
        <v>0</v>
      </c>
      <c r="N883">
        <v>0</v>
      </c>
      <c r="O883" t="s">
        <v>3118</v>
      </c>
      <c r="Q883" t="s">
        <v>3225</v>
      </c>
    </row>
    <row r="884" spans="1:17" x14ac:dyDescent="0.25">
      <c r="A884" t="s">
        <v>1215</v>
      </c>
      <c r="C884" t="s">
        <v>1216</v>
      </c>
      <c r="D884">
        <v>2127821</v>
      </c>
      <c r="E884">
        <v>0</v>
      </c>
      <c r="F884">
        <v>0</v>
      </c>
      <c r="G884">
        <v>1217.71</v>
      </c>
      <c r="H884">
        <v>-1217.71</v>
      </c>
      <c r="I884">
        <v>0</v>
      </c>
      <c r="J884">
        <v>0</v>
      </c>
      <c r="K884">
        <v>2127821</v>
      </c>
      <c r="L884">
        <v>0</v>
      </c>
      <c r="M884">
        <v>0</v>
      </c>
      <c r="O884" t="s">
        <v>3118</v>
      </c>
      <c r="Q884" t="s">
        <v>3226</v>
      </c>
    </row>
    <row r="885" spans="1:17" x14ac:dyDescent="0.25">
      <c r="A885" t="s">
        <v>1218</v>
      </c>
      <c r="C885" t="s">
        <v>33</v>
      </c>
      <c r="D885">
        <v>-1757550</v>
      </c>
      <c r="E885">
        <v>-474821.9</v>
      </c>
      <c r="F885">
        <v>0</v>
      </c>
      <c r="G885">
        <v>-932309.88</v>
      </c>
      <c r="H885">
        <v>-825240.12</v>
      </c>
      <c r="I885">
        <v>53.04</v>
      </c>
      <c r="J885">
        <v>0</v>
      </c>
      <c r="K885">
        <v>-1757550</v>
      </c>
      <c r="L885">
        <v>-1746650</v>
      </c>
      <c r="M885">
        <v>-1886950</v>
      </c>
      <c r="N885">
        <v>-1989600</v>
      </c>
      <c r="O885" t="s">
        <v>3100</v>
      </c>
      <c r="Q885" t="s">
        <v>3227</v>
      </c>
    </row>
    <row r="886" spans="1:17" x14ac:dyDescent="0.25">
      <c r="A886" t="s">
        <v>1219</v>
      </c>
      <c r="C886" t="s">
        <v>37</v>
      </c>
      <c r="D886">
        <v>-33393460</v>
      </c>
      <c r="E886">
        <v>-16715989.720000001</v>
      </c>
      <c r="F886">
        <v>0</v>
      </c>
      <c r="G886">
        <v>-31038466.530000001</v>
      </c>
      <c r="H886">
        <v>-2354993.4700000002</v>
      </c>
      <c r="I886">
        <v>92.94</v>
      </c>
      <c r="J886">
        <v>0</v>
      </c>
      <c r="K886">
        <v>-43119460</v>
      </c>
      <c r="L886">
        <v>-34933000</v>
      </c>
      <c r="M886">
        <v>-37739000</v>
      </c>
      <c r="N886">
        <v>-39792000</v>
      </c>
      <c r="O886" t="s">
        <v>3100</v>
      </c>
      <c r="Q886" t="s">
        <v>3228</v>
      </c>
    </row>
    <row r="887" spans="1:17" x14ac:dyDescent="0.25">
      <c r="A887" t="s">
        <v>1220</v>
      </c>
      <c r="C887" t="s">
        <v>150</v>
      </c>
      <c r="D887">
        <v>1709823</v>
      </c>
      <c r="E887">
        <v>0</v>
      </c>
      <c r="F887">
        <v>0</v>
      </c>
      <c r="G887">
        <v>1217.71</v>
      </c>
      <c r="H887">
        <v>-1217.71</v>
      </c>
      <c r="I887">
        <v>0</v>
      </c>
      <c r="J887">
        <v>0</v>
      </c>
      <c r="K887">
        <v>1709823</v>
      </c>
      <c r="L887">
        <v>1746650</v>
      </c>
      <c r="M887">
        <v>1886950</v>
      </c>
      <c r="N887">
        <v>1989600</v>
      </c>
      <c r="O887" t="s">
        <v>3102</v>
      </c>
      <c r="P887" t="s">
        <v>3103</v>
      </c>
      <c r="Q887" t="s">
        <v>3111</v>
      </c>
    </row>
    <row r="888" spans="1:17" x14ac:dyDescent="0.25">
      <c r="A888" t="s">
        <v>1221</v>
      </c>
      <c r="C888" t="s">
        <v>151</v>
      </c>
      <c r="D888">
        <v>0</v>
      </c>
      <c r="E888">
        <v>0</v>
      </c>
      <c r="F888">
        <v>0</v>
      </c>
      <c r="G888">
        <v>1217.71</v>
      </c>
      <c r="H888">
        <v>-1217.71</v>
      </c>
      <c r="I888">
        <v>0</v>
      </c>
      <c r="J888">
        <v>16934</v>
      </c>
      <c r="K888">
        <v>16934</v>
      </c>
      <c r="L888">
        <v>17992.375</v>
      </c>
      <c r="M888">
        <v>19251.841250000001</v>
      </c>
      <c r="N888">
        <v>20599.4701375</v>
      </c>
      <c r="O888" t="s">
        <v>3102</v>
      </c>
      <c r="P888" t="s">
        <v>3103</v>
      </c>
      <c r="Q888" t="s">
        <v>3111</v>
      </c>
    </row>
    <row r="889" spans="1:17" x14ac:dyDescent="0.25">
      <c r="A889" t="s">
        <v>1222</v>
      </c>
      <c r="C889" t="s">
        <v>170</v>
      </c>
      <c r="D889">
        <v>0</v>
      </c>
      <c r="E889">
        <v>0</v>
      </c>
      <c r="F889">
        <v>0</v>
      </c>
      <c r="G889">
        <v>1217.71</v>
      </c>
      <c r="H889">
        <v>-1217.71</v>
      </c>
      <c r="I889">
        <v>0</v>
      </c>
      <c r="J889">
        <v>1800</v>
      </c>
      <c r="K889">
        <v>1800</v>
      </c>
      <c r="L889">
        <v>1912.5</v>
      </c>
      <c r="M889">
        <v>2046.375</v>
      </c>
      <c r="N889">
        <v>2189.6212500000001</v>
      </c>
      <c r="O889" t="s">
        <v>3102</v>
      </c>
      <c r="P889" t="s">
        <v>3103</v>
      </c>
      <c r="Q889" t="s">
        <v>3111</v>
      </c>
    </row>
    <row r="890" spans="1:17" x14ac:dyDescent="0.25">
      <c r="A890" t="s">
        <v>1223</v>
      </c>
      <c r="C890" t="s">
        <v>222</v>
      </c>
      <c r="D890">
        <v>47727</v>
      </c>
      <c r="E890">
        <v>0</v>
      </c>
      <c r="F890">
        <v>0</v>
      </c>
      <c r="G890">
        <v>1217.71</v>
      </c>
      <c r="H890">
        <v>-1217.71</v>
      </c>
      <c r="I890">
        <v>0</v>
      </c>
      <c r="J890">
        <v>0</v>
      </c>
      <c r="K890">
        <v>47727</v>
      </c>
      <c r="L890">
        <v>49874.714999999997</v>
      </c>
      <c r="M890">
        <v>52168.951889999997</v>
      </c>
      <c r="N890">
        <v>54568.723676939997</v>
      </c>
      <c r="O890" t="s">
        <v>3102</v>
      </c>
      <c r="P890" t="s">
        <v>3105</v>
      </c>
      <c r="Q890" t="s">
        <v>3229</v>
      </c>
    </row>
    <row r="891" spans="1:17" x14ac:dyDescent="0.25">
      <c r="A891" t="s">
        <v>1224</v>
      </c>
      <c r="C891" t="s">
        <v>223</v>
      </c>
      <c r="D891">
        <v>1000000</v>
      </c>
      <c r="E891">
        <v>0</v>
      </c>
      <c r="F891">
        <v>0</v>
      </c>
      <c r="G891">
        <v>1217.71</v>
      </c>
      <c r="H891">
        <v>-1217.71</v>
      </c>
      <c r="I891">
        <v>0</v>
      </c>
      <c r="J891">
        <v>-247025</v>
      </c>
      <c r="K891">
        <v>752975</v>
      </c>
      <c r="L891">
        <v>0</v>
      </c>
      <c r="M891">
        <v>0</v>
      </c>
      <c r="N891">
        <v>0</v>
      </c>
      <c r="O891" t="s">
        <v>3102</v>
      </c>
      <c r="P891" t="s">
        <v>3105</v>
      </c>
      <c r="Q891" t="s">
        <v>3230</v>
      </c>
    </row>
    <row r="892" spans="1:17" x14ac:dyDescent="0.25">
      <c r="A892" t="s">
        <v>1225</v>
      </c>
      <c r="C892" t="s">
        <v>265</v>
      </c>
      <c r="D892">
        <v>0</v>
      </c>
      <c r="E892">
        <v>0</v>
      </c>
      <c r="F892">
        <v>0</v>
      </c>
      <c r="G892">
        <v>1217.71</v>
      </c>
      <c r="H892">
        <v>-1217.71</v>
      </c>
      <c r="I892">
        <v>0</v>
      </c>
      <c r="J892">
        <v>15000</v>
      </c>
      <c r="K892">
        <v>15000</v>
      </c>
      <c r="L892">
        <v>15937.5</v>
      </c>
      <c r="M892">
        <v>17053.125</v>
      </c>
      <c r="N892">
        <v>18246.84375</v>
      </c>
      <c r="O892" t="s">
        <v>3102</v>
      </c>
      <c r="P892" t="s">
        <v>3110</v>
      </c>
      <c r="Q892" t="s">
        <v>3104</v>
      </c>
    </row>
    <row r="893" spans="1:17" x14ac:dyDescent="0.25">
      <c r="A893" t="s">
        <v>1226</v>
      </c>
      <c r="C893" t="s">
        <v>268</v>
      </c>
      <c r="D893">
        <v>0</v>
      </c>
      <c r="E893">
        <v>0</v>
      </c>
      <c r="F893">
        <v>0</v>
      </c>
      <c r="G893">
        <v>1217.71</v>
      </c>
      <c r="H893">
        <v>-1217.71</v>
      </c>
      <c r="I893">
        <v>0</v>
      </c>
      <c r="J893">
        <v>4000</v>
      </c>
      <c r="K893">
        <v>4000</v>
      </c>
      <c r="L893">
        <v>4250</v>
      </c>
      <c r="M893">
        <v>4547.5</v>
      </c>
      <c r="N893">
        <v>4865.8249999999998</v>
      </c>
      <c r="O893" t="s">
        <v>3102</v>
      </c>
      <c r="P893" t="s">
        <v>3110</v>
      </c>
      <c r="Q893" t="s">
        <v>3104</v>
      </c>
    </row>
    <row r="894" spans="1:17" x14ac:dyDescent="0.25">
      <c r="A894" t="s">
        <v>1227</v>
      </c>
      <c r="C894" t="s">
        <v>291</v>
      </c>
      <c r="D894">
        <v>3371</v>
      </c>
      <c r="E894">
        <v>0</v>
      </c>
      <c r="F894">
        <v>0</v>
      </c>
      <c r="G894">
        <v>1217.71</v>
      </c>
      <c r="H894">
        <v>-1217.71</v>
      </c>
      <c r="I894">
        <v>0</v>
      </c>
      <c r="J894">
        <v>0</v>
      </c>
      <c r="K894">
        <v>3371</v>
      </c>
      <c r="L894">
        <v>3522.6950000000002</v>
      </c>
      <c r="M894">
        <v>3684.7389700000003</v>
      </c>
      <c r="N894">
        <v>3854.2369626200002</v>
      </c>
      <c r="O894" t="s">
        <v>3102</v>
      </c>
      <c r="P894" t="s">
        <v>3117</v>
      </c>
      <c r="Q894" t="s">
        <v>3111</v>
      </c>
    </row>
    <row r="895" spans="1:17" x14ac:dyDescent="0.25">
      <c r="A895" t="s">
        <v>1228</v>
      </c>
      <c r="C895" t="s">
        <v>292</v>
      </c>
      <c r="D895">
        <v>46972</v>
      </c>
      <c r="E895">
        <v>0</v>
      </c>
      <c r="F895">
        <v>0</v>
      </c>
      <c r="G895">
        <v>1217.71</v>
      </c>
      <c r="H895">
        <v>-1217.71</v>
      </c>
      <c r="I895">
        <v>0</v>
      </c>
      <c r="J895">
        <v>0</v>
      </c>
      <c r="K895">
        <v>46972</v>
      </c>
      <c r="L895">
        <v>49085.74</v>
      </c>
      <c r="M895">
        <v>51343.68404</v>
      </c>
      <c r="N895">
        <v>53705.493505840001</v>
      </c>
      <c r="O895" t="s">
        <v>3102</v>
      </c>
      <c r="P895" t="s">
        <v>3117</v>
      </c>
      <c r="Q895" t="s">
        <v>3111</v>
      </c>
    </row>
    <row r="896" spans="1:17" x14ac:dyDescent="0.25">
      <c r="A896" t="s">
        <v>1229</v>
      </c>
      <c r="C896" t="s">
        <v>293</v>
      </c>
      <c r="D896">
        <v>15501</v>
      </c>
      <c r="E896">
        <v>0</v>
      </c>
      <c r="F896">
        <v>0</v>
      </c>
      <c r="G896">
        <v>1217.71</v>
      </c>
      <c r="H896">
        <v>-1217.71</v>
      </c>
      <c r="I896">
        <v>0</v>
      </c>
      <c r="J896">
        <v>0</v>
      </c>
      <c r="K896">
        <v>15501</v>
      </c>
      <c r="L896">
        <v>16198.545</v>
      </c>
      <c r="M896">
        <v>16943.678070000002</v>
      </c>
      <c r="N896">
        <v>17723.08726122</v>
      </c>
      <c r="O896" t="s">
        <v>3102</v>
      </c>
      <c r="P896" t="s">
        <v>3117</v>
      </c>
      <c r="Q896" t="s">
        <v>3111</v>
      </c>
    </row>
    <row r="897" spans="1:17" x14ac:dyDescent="0.25">
      <c r="A897" t="s">
        <v>3094</v>
      </c>
      <c r="C897" t="s">
        <v>3040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-3000000</v>
      </c>
      <c r="M897">
        <v>0</v>
      </c>
      <c r="N897">
        <v>0</v>
      </c>
      <c r="O897" t="s">
        <v>3100</v>
      </c>
      <c r="Q897" t="s">
        <v>3125</v>
      </c>
    </row>
    <row r="898" spans="1:17" x14ac:dyDescent="0.25">
      <c r="A898" t="s">
        <v>3095</v>
      </c>
      <c r="C898" t="s">
        <v>3041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-13000000</v>
      </c>
      <c r="M898">
        <v>-6000000</v>
      </c>
      <c r="N898">
        <v>-7000000</v>
      </c>
      <c r="O898" t="s">
        <v>3100</v>
      </c>
      <c r="Q898" t="s">
        <v>3125</v>
      </c>
    </row>
    <row r="899" spans="1:17" x14ac:dyDescent="0.25">
      <c r="A899" t="s">
        <v>1231</v>
      </c>
      <c r="C899" t="s">
        <v>23</v>
      </c>
      <c r="D899">
        <v>-30535</v>
      </c>
      <c r="E899">
        <v>0</v>
      </c>
      <c r="F899">
        <v>0</v>
      </c>
      <c r="G899">
        <v>0</v>
      </c>
      <c r="H899">
        <v>-30535</v>
      </c>
      <c r="I899">
        <v>0</v>
      </c>
      <c r="J899">
        <v>0</v>
      </c>
      <c r="K899">
        <v>0</v>
      </c>
      <c r="L899">
        <v>-32367.1</v>
      </c>
      <c r="M899">
        <v>-34632.796999999999</v>
      </c>
      <c r="N899">
        <v>-37403.420760000001</v>
      </c>
      <c r="O899" t="s">
        <v>3100</v>
      </c>
      <c r="Q899" t="s">
        <v>3174</v>
      </c>
    </row>
    <row r="900" spans="1:17" x14ac:dyDescent="0.25">
      <c r="A900" t="s">
        <v>1232</v>
      </c>
      <c r="C900" t="s">
        <v>43</v>
      </c>
      <c r="D900">
        <v>-56291</v>
      </c>
      <c r="E900">
        <v>0</v>
      </c>
      <c r="F900">
        <v>0</v>
      </c>
      <c r="G900">
        <v>0</v>
      </c>
      <c r="H900">
        <v>-56291</v>
      </c>
      <c r="I900">
        <v>0</v>
      </c>
      <c r="J900">
        <v>0</v>
      </c>
      <c r="K900">
        <v>-56291</v>
      </c>
      <c r="L900">
        <v>-59668.46</v>
      </c>
      <c r="M900">
        <v>-63845.252200000003</v>
      </c>
      <c r="N900">
        <v>-68952.872375999999</v>
      </c>
      <c r="O900" t="s">
        <v>3100</v>
      </c>
      <c r="Q900" t="s">
        <v>3231</v>
      </c>
    </row>
    <row r="901" spans="1:17" x14ac:dyDescent="0.25">
      <c r="A901" t="s">
        <v>1233</v>
      </c>
      <c r="C901" t="s">
        <v>44</v>
      </c>
      <c r="D901">
        <v>-3611799</v>
      </c>
      <c r="E901">
        <v>0</v>
      </c>
      <c r="F901">
        <v>0</v>
      </c>
      <c r="G901">
        <v>0</v>
      </c>
      <c r="H901">
        <v>-3611799</v>
      </c>
      <c r="I901">
        <v>0</v>
      </c>
      <c r="J901">
        <v>0</v>
      </c>
      <c r="K901">
        <v>-3611799</v>
      </c>
      <c r="L901">
        <v>-3828506.94</v>
      </c>
      <c r="M901">
        <v>-4096502.4257999999</v>
      </c>
      <c r="N901">
        <v>-4424222.619864</v>
      </c>
      <c r="O901" t="s">
        <v>3100</v>
      </c>
      <c r="Q901" t="s">
        <v>3231</v>
      </c>
    </row>
    <row r="902" spans="1:17" x14ac:dyDescent="0.25">
      <c r="A902" t="s">
        <v>1234</v>
      </c>
      <c r="C902" t="s">
        <v>45</v>
      </c>
      <c r="D902">
        <v>-4019609</v>
      </c>
      <c r="E902">
        <v>-115264.58</v>
      </c>
      <c r="F902">
        <v>0</v>
      </c>
      <c r="G902">
        <v>-891425.05</v>
      </c>
      <c r="H902">
        <v>-3128183.95</v>
      </c>
      <c r="I902">
        <v>22.17</v>
      </c>
      <c r="J902">
        <v>0</v>
      </c>
      <c r="K902">
        <v>-4019609</v>
      </c>
      <c r="L902">
        <v>-4260785.54</v>
      </c>
      <c r="M902">
        <v>-4559040.5278000003</v>
      </c>
      <c r="N902">
        <v>-4923763.7700240007</v>
      </c>
      <c r="O902" t="s">
        <v>3100</v>
      </c>
      <c r="Q902" t="s">
        <v>3231</v>
      </c>
    </row>
    <row r="903" spans="1:17" x14ac:dyDescent="0.25">
      <c r="A903" t="s">
        <v>1235</v>
      </c>
      <c r="C903" t="s">
        <v>46</v>
      </c>
      <c r="D903">
        <v>-1374256</v>
      </c>
      <c r="E903">
        <v>-445577.79</v>
      </c>
      <c r="F903">
        <v>0</v>
      </c>
      <c r="G903">
        <v>-2911894.37</v>
      </c>
      <c r="H903">
        <v>1537638.37</v>
      </c>
      <c r="I903">
        <v>211.88</v>
      </c>
      <c r="J903">
        <v>0</v>
      </c>
      <c r="K903">
        <v>-1374256</v>
      </c>
      <c r="L903">
        <v>-1456711.36</v>
      </c>
      <c r="M903">
        <v>-1558681.1552000002</v>
      </c>
      <c r="N903">
        <v>-1683375.6476160001</v>
      </c>
      <c r="O903" t="s">
        <v>3100</v>
      </c>
      <c r="Q903" t="s">
        <v>3232</v>
      </c>
    </row>
    <row r="904" spans="1:17" x14ac:dyDescent="0.25">
      <c r="A904" t="s">
        <v>1236</v>
      </c>
      <c r="C904" t="s">
        <v>47</v>
      </c>
      <c r="D904">
        <v>-145390</v>
      </c>
      <c r="E904">
        <v>5253.04</v>
      </c>
      <c r="F904">
        <v>0</v>
      </c>
      <c r="G904">
        <v>34823.17</v>
      </c>
      <c r="H904">
        <v>-180213.17</v>
      </c>
      <c r="I904">
        <v>-23.95</v>
      </c>
      <c r="J904">
        <v>0</v>
      </c>
      <c r="K904">
        <v>-145390</v>
      </c>
      <c r="L904">
        <v>-154113.4</v>
      </c>
      <c r="M904">
        <v>-164901.33799999999</v>
      </c>
      <c r="N904">
        <v>-178093.44503999999</v>
      </c>
      <c r="O904" t="s">
        <v>3100</v>
      </c>
      <c r="Q904" t="s">
        <v>3231</v>
      </c>
    </row>
    <row r="905" spans="1:17" x14ac:dyDescent="0.25">
      <c r="A905" t="s">
        <v>1237</v>
      </c>
      <c r="C905" t="s">
        <v>48</v>
      </c>
      <c r="D905">
        <v>-17172</v>
      </c>
      <c r="E905">
        <v>-975.62</v>
      </c>
      <c r="F905">
        <v>0</v>
      </c>
      <c r="G905">
        <v>-8489.01</v>
      </c>
      <c r="H905">
        <v>-8682.99</v>
      </c>
      <c r="I905">
        <v>49.43</v>
      </c>
      <c r="J905">
        <v>0</v>
      </c>
      <c r="K905">
        <v>-17172</v>
      </c>
      <c r="L905">
        <v>-18202.32</v>
      </c>
      <c r="M905">
        <v>-19476.482400000001</v>
      </c>
      <c r="N905">
        <v>-21034.600992</v>
      </c>
      <c r="O905" t="s">
        <v>3100</v>
      </c>
      <c r="Q905" t="s">
        <v>3231</v>
      </c>
    </row>
    <row r="906" spans="1:17" x14ac:dyDescent="0.25">
      <c r="A906" t="s">
        <v>1238</v>
      </c>
      <c r="C906" t="s">
        <v>57</v>
      </c>
      <c r="D906">
        <v>-495509</v>
      </c>
      <c r="E906">
        <v>-17545.96</v>
      </c>
      <c r="F906">
        <v>0</v>
      </c>
      <c r="G906">
        <v>-105597.6</v>
      </c>
      <c r="H906">
        <v>-389911.4</v>
      </c>
      <c r="I906">
        <v>21.31</v>
      </c>
      <c r="J906">
        <v>0</v>
      </c>
      <c r="K906">
        <v>-495509</v>
      </c>
      <c r="L906">
        <v>-525239.54</v>
      </c>
      <c r="M906">
        <v>-562006.30780000007</v>
      </c>
      <c r="N906">
        <v>-606966.81242400012</v>
      </c>
      <c r="O906" t="s">
        <v>3100</v>
      </c>
      <c r="Q906" t="s">
        <v>3177</v>
      </c>
    </row>
    <row r="907" spans="1:17" x14ac:dyDescent="0.25">
      <c r="A907" t="s">
        <v>1239</v>
      </c>
      <c r="C907" t="s">
        <v>150</v>
      </c>
      <c r="D907">
        <v>1827794</v>
      </c>
      <c r="E907">
        <v>0</v>
      </c>
      <c r="F907">
        <v>0</v>
      </c>
      <c r="G907">
        <v>1217.71</v>
      </c>
      <c r="H907">
        <v>-1217.71</v>
      </c>
      <c r="I907">
        <v>0</v>
      </c>
      <c r="J907">
        <v>0</v>
      </c>
      <c r="K907">
        <v>1827794</v>
      </c>
      <c r="L907">
        <v>1942031.125</v>
      </c>
      <c r="M907">
        <v>2077973.30375</v>
      </c>
      <c r="N907">
        <v>2223431.4350124998</v>
      </c>
      <c r="O907" t="s">
        <v>3102</v>
      </c>
      <c r="P907" t="s">
        <v>3103</v>
      </c>
      <c r="Q907" t="s">
        <v>3104</v>
      </c>
    </row>
    <row r="908" spans="1:17" x14ac:dyDescent="0.25">
      <c r="A908" t="s">
        <v>1240</v>
      </c>
      <c r="C908" t="s">
        <v>151</v>
      </c>
      <c r="D908">
        <v>84982</v>
      </c>
      <c r="E908">
        <v>0</v>
      </c>
      <c r="F908">
        <v>0</v>
      </c>
      <c r="G908">
        <v>1217.71</v>
      </c>
      <c r="H908">
        <v>-1217.71</v>
      </c>
      <c r="I908">
        <v>0</v>
      </c>
      <c r="J908">
        <v>-51113.639999999985</v>
      </c>
      <c r="K908">
        <v>33868.360000000015</v>
      </c>
      <c r="L908">
        <v>35985.132500000014</v>
      </c>
      <c r="M908">
        <v>38504.091775000015</v>
      </c>
      <c r="N908">
        <v>41199.378199250015</v>
      </c>
      <c r="O908" t="s">
        <v>3102</v>
      </c>
      <c r="P908" t="s">
        <v>3103</v>
      </c>
      <c r="Q908" t="s">
        <v>3104</v>
      </c>
    </row>
    <row r="909" spans="1:17" x14ac:dyDescent="0.25">
      <c r="A909" t="s">
        <v>1241</v>
      </c>
      <c r="C909" t="s">
        <v>152</v>
      </c>
      <c r="D909">
        <v>66300</v>
      </c>
      <c r="E909">
        <v>0</v>
      </c>
      <c r="F909">
        <v>0</v>
      </c>
      <c r="G909">
        <v>1217.71</v>
      </c>
      <c r="H909">
        <v>-1217.71</v>
      </c>
      <c r="I909">
        <v>0</v>
      </c>
      <c r="J909">
        <v>0</v>
      </c>
      <c r="K909">
        <v>66300</v>
      </c>
      <c r="L909">
        <v>70443.75</v>
      </c>
      <c r="M909">
        <v>75374.8125</v>
      </c>
      <c r="N909">
        <v>80651.049375000002</v>
      </c>
      <c r="O909" t="s">
        <v>3102</v>
      </c>
      <c r="P909" t="s">
        <v>3103</v>
      </c>
      <c r="Q909" t="s">
        <v>3104</v>
      </c>
    </row>
    <row r="910" spans="1:17" x14ac:dyDescent="0.25">
      <c r="A910" t="s">
        <v>1242</v>
      </c>
      <c r="C910" t="s">
        <v>153</v>
      </c>
      <c r="D910">
        <v>10893</v>
      </c>
      <c r="E910">
        <v>0</v>
      </c>
      <c r="F910">
        <v>0</v>
      </c>
      <c r="G910">
        <v>1217.71</v>
      </c>
      <c r="H910">
        <v>-1217.71</v>
      </c>
      <c r="I910">
        <v>0</v>
      </c>
      <c r="J910">
        <v>0</v>
      </c>
      <c r="K910">
        <v>10893</v>
      </c>
      <c r="L910">
        <v>11573.8125</v>
      </c>
      <c r="M910">
        <v>12383.979375000001</v>
      </c>
      <c r="N910">
        <v>13250.857931250001</v>
      </c>
      <c r="O910" t="s">
        <v>3102</v>
      </c>
      <c r="P910" t="s">
        <v>3103</v>
      </c>
      <c r="Q910" t="s">
        <v>3104</v>
      </c>
    </row>
    <row r="911" spans="1:17" x14ac:dyDescent="0.25">
      <c r="A911" t="s">
        <v>1243</v>
      </c>
      <c r="C911" t="s">
        <v>155</v>
      </c>
      <c r="D911">
        <v>60349</v>
      </c>
      <c r="E911">
        <v>0</v>
      </c>
      <c r="F911">
        <v>0</v>
      </c>
      <c r="G911">
        <v>1217.71</v>
      </c>
      <c r="H911">
        <v>-1217.71</v>
      </c>
      <c r="I911">
        <v>0</v>
      </c>
      <c r="J911">
        <v>0</v>
      </c>
      <c r="K911">
        <v>60349</v>
      </c>
      <c r="L911">
        <v>64120.8125</v>
      </c>
      <c r="M911">
        <v>68609.269375000003</v>
      </c>
      <c r="N911">
        <v>73411.918231250005</v>
      </c>
      <c r="O911" t="s">
        <v>3102</v>
      </c>
      <c r="P911" t="s">
        <v>3103</v>
      </c>
      <c r="Q911" t="s">
        <v>3104</v>
      </c>
    </row>
    <row r="912" spans="1:17" x14ac:dyDescent="0.25">
      <c r="A912" t="s">
        <v>1244</v>
      </c>
      <c r="C912" t="s">
        <v>156</v>
      </c>
      <c r="D912">
        <v>138573</v>
      </c>
      <c r="E912">
        <v>0</v>
      </c>
      <c r="F912">
        <v>0</v>
      </c>
      <c r="G912">
        <v>1217.71</v>
      </c>
      <c r="H912">
        <v>-1217.71</v>
      </c>
      <c r="I912">
        <v>0</v>
      </c>
      <c r="J912">
        <v>0</v>
      </c>
      <c r="K912">
        <v>138573</v>
      </c>
      <c r="L912">
        <v>147233.8125</v>
      </c>
      <c r="M912">
        <v>157540.17937500001</v>
      </c>
      <c r="N912">
        <v>168567.99193125</v>
      </c>
      <c r="O912" t="s">
        <v>3102</v>
      </c>
      <c r="P912" t="s">
        <v>3103</v>
      </c>
      <c r="Q912" t="s">
        <v>3104</v>
      </c>
    </row>
    <row r="913" spans="1:17" x14ac:dyDescent="0.25">
      <c r="A913" t="s">
        <v>1245</v>
      </c>
      <c r="C913" t="s">
        <v>157</v>
      </c>
      <c r="D913">
        <v>12290</v>
      </c>
      <c r="E913">
        <v>0</v>
      </c>
      <c r="F913">
        <v>0</v>
      </c>
      <c r="G913">
        <v>1217.71</v>
      </c>
      <c r="H913">
        <v>-1217.71</v>
      </c>
      <c r="I913">
        <v>0</v>
      </c>
      <c r="J913">
        <v>11242</v>
      </c>
      <c r="K913">
        <v>23532</v>
      </c>
      <c r="L913">
        <v>25002.75</v>
      </c>
      <c r="M913">
        <v>26752.942500000001</v>
      </c>
      <c r="N913">
        <v>28625.648475000002</v>
      </c>
      <c r="O913" t="s">
        <v>3102</v>
      </c>
      <c r="P913" t="s">
        <v>3103</v>
      </c>
      <c r="Q913" t="s">
        <v>3104</v>
      </c>
    </row>
    <row r="914" spans="1:17" x14ac:dyDescent="0.25">
      <c r="A914" t="s">
        <v>1246</v>
      </c>
      <c r="C914" t="s">
        <v>158</v>
      </c>
      <c r="D914">
        <v>11242</v>
      </c>
      <c r="E914">
        <v>0</v>
      </c>
      <c r="F914">
        <v>0</v>
      </c>
      <c r="G914">
        <v>1217.71</v>
      </c>
      <c r="H914">
        <v>-1217.71</v>
      </c>
      <c r="I914">
        <v>0</v>
      </c>
      <c r="J914">
        <v>-11242</v>
      </c>
      <c r="K914">
        <v>0</v>
      </c>
      <c r="L914">
        <v>0</v>
      </c>
      <c r="M914">
        <v>0</v>
      </c>
      <c r="N914">
        <v>0</v>
      </c>
      <c r="O914" t="s">
        <v>3102</v>
      </c>
      <c r="P914" t="s">
        <v>3103</v>
      </c>
      <c r="Q914" t="s">
        <v>3104</v>
      </c>
    </row>
    <row r="915" spans="1:17" x14ac:dyDescent="0.25">
      <c r="A915" t="s">
        <v>1247</v>
      </c>
      <c r="C915" t="s">
        <v>159</v>
      </c>
      <c r="D915">
        <v>152316</v>
      </c>
      <c r="E915">
        <v>0</v>
      </c>
      <c r="F915">
        <v>0</v>
      </c>
      <c r="G915">
        <v>1217.71</v>
      </c>
      <c r="H915">
        <v>-1217.71</v>
      </c>
      <c r="I915">
        <v>0</v>
      </c>
      <c r="J915">
        <v>0</v>
      </c>
      <c r="K915">
        <v>152316</v>
      </c>
      <c r="L915">
        <v>161835.75</v>
      </c>
      <c r="M915">
        <v>173164.2525</v>
      </c>
      <c r="N915">
        <v>185285.75017499999</v>
      </c>
      <c r="O915" t="s">
        <v>3102</v>
      </c>
      <c r="P915" t="s">
        <v>3103</v>
      </c>
      <c r="Q915" t="s">
        <v>3104</v>
      </c>
    </row>
    <row r="916" spans="1:17" x14ac:dyDescent="0.25">
      <c r="A916" t="s">
        <v>1248</v>
      </c>
      <c r="C916" t="s">
        <v>162</v>
      </c>
      <c r="D916">
        <v>221161</v>
      </c>
      <c r="E916">
        <v>0</v>
      </c>
      <c r="F916">
        <v>0</v>
      </c>
      <c r="G916">
        <v>1217.71</v>
      </c>
      <c r="H916">
        <v>-1217.71</v>
      </c>
      <c r="I916">
        <v>0</v>
      </c>
      <c r="J916">
        <v>0</v>
      </c>
      <c r="K916">
        <v>221161</v>
      </c>
      <c r="L916">
        <v>234983.5625</v>
      </c>
      <c r="M916">
        <v>251432.41187499999</v>
      </c>
      <c r="N916">
        <v>269032.68070625002</v>
      </c>
      <c r="O916" t="s">
        <v>3102</v>
      </c>
      <c r="P916" t="s">
        <v>3103</v>
      </c>
      <c r="Q916" t="s">
        <v>3104</v>
      </c>
    </row>
    <row r="917" spans="1:17" x14ac:dyDescent="0.25">
      <c r="A917" t="s">
        <v>1249</v>
      </c>
      <c r="C917" t="s">
        <v>164</v>
      </c>
      <c r="D917">
        <v>15692</v>
      </c>
      <c r="E917">
        <v>0</v>
      </c>
      <c r="F917">
        <v>0</v>
      </c>
      <c r="G917">
        <v>1217.71</v>
      </c>
      <c r="H917">
        <v>-1217.71</v>
      </c>
      <c r="I917">
        <v>0</v>
      </c>
      <c r="J917">
        <v>0</v>
      </c>
      <c r="K917">
        <v>15692</v>
      </c>
      <c r="L917">
        <v>16672.75</v>
      </c>
      <c r="M917">
        <v>17839.842499999999</v>
      </c>
      <c r="N917">
        <v>19088.631474999998</v>
      </c>
      <c r="O917" t="s">
        <v>3102</v>
      </c>
      <c r="P917" t="s">
        <v>3103</v>
      </c>
      <c r="Q917" t="s">
        <v>3104</v>
      </c>
    </row>
    <row r="918" spans="1:17" x14ac:dyDescent="0.25">
      <c r="A918" t="s">
        <v>1250</v>
      </c>
      <c r="C918" t="s">
        <v>167</v>
      </c>
      <c r="D918">
        <v>562</v>
      </c>
      <c r="E918">
        <v>0</v>
      </c>
      <c r="F918">
        <v>0</v>
      </c>
      <c r="G918">
        <v>1217.71</v>
      </c>
      <c r="H918">
        <v>-1217.71</v>
      </c>
      <c r="I918">
        <v>0</v>
      </c>
      <c r="J918">
        <v>0</v>
      </c>
      <c r="K918">
        <v>562</v>
      </c>
      <c r="L918">
        <v>597.125</v>
      </c>
      <c r="M918">
        <v>638.92375000000004</v>
      </c>
      <c r="N918">
        <v>683.64841250000006</v>
      </c>
      <c r="O918" t="s">
        <v>3102</v>
      </c>
      <c r="P918" t="s">
        <v>3103</v>
      </c>
      <c r="Q918" t="s">
        <v>3104</v>
      </c>
    </row>
    <row r="919" spans="1:17" x14ac:dyDescent="0.25">
      <c r="A919" t="s">
        <v>1251</v>
      </c>
      <c r="C919" t="s">
        <v>168</v>
      </c>
      <c r="D919">
        <v>134382</v>
      </c>
      <c r="E919">
        <v>0</v>
      </c>
      <c r="F919">
        <v>0</v>
      </c>
      <c r="G919">
        <v>1217.71</v>
      </c>
      <c r="H919">
        <v>-1217.71</v>
      </c>
      <c r="I919">
        <v>0</v>
      </c>
      <c r="J919">
        <v>0</v>
      </c>
      <c r="K919">
        <v>134382</v>
      </c>
      <c r="L919">
        <v>142780.875</v>
      </c>
      <c r="M919">
        <v>152775.53625</v>
      </c>
      <c r="N919">
        <v>163469.8237875</v>
      </c>
      <c r="O919" t="s">
        <v>3102</v>
      </c>
      <c r="P919" t="s">
        <v>3103</v>
      </c>
      <c r="Q919" t="s">
        <v>3104</v>
      </c>
    </row>
    <row r="920" spans="1:17" x14ac:dyDescent="0.25">
      <c r="A920" t="s">
        <v>1252</v>
      </c>
      <c r="C920" t="s">
        <v>169</v>
      </c>
      <c r="D920">
        <v>402115</v>
      </c>
      <c r="E920">
        <v>0</v>
      </c>
      <c r="F920">
        <v>0</v>
      </c>
      <c r="G920">
        <v>1217.71</v>
      </c>
      <c r="H920">
        <v>-1217.71</v>
      </c>
      <c r="I920">
        <v>0</v>
      </c>
      <c r="J920">
        <v>0</v>
      </c>
      <c r="K920">
        <v>402115</v>
      </c>
      <c r="L920">
        <v>427247.1875</v>
      </c>
      <c r="M920">
        <v>457154.49062499998</v>
      </c>
      <c r="N920">
        <v>489155.30496874999</v>
      </c>
      <c r="O920" t="s">
        <v>3102</v>
      </c>
      <c r="P920" t="s">
        <v>3103</v>
      </c>
      <c r="Q920" t="s">
        <v>3104</v>
      </c>
    </row>
    <row r="921" spans="1:17" x14ac:dyDescent="0.25">
      <c r="A921" t="s">
        <v>1253</v>
      </c>
      <c r="C921" t="s">
        <v>170</v>
      </c>
      <c r="D921">
        <v>8925</v>
      </c>
      <c r="E921">
        <v>0</v>
      </c>
      <c r="F921">
        <v>0</v>
      </c>
      <c r="G921">
        <v>1217.71</v>
      </c>
      <c r="H921">
        <v>-1217.71</v>
      </c>
      <c r="I921">
        <v>0</v>
      </c>
      <c r="J921">
        <v>0</v>
      </c>
      <c r="K921">
        <v>8925</v>
      </c>
      <c r="L921">
        <v>9482.8125</v>
      </c>
      <c r="M921">
        <v>10146.609375</v>
      </c>
      <c r="N921">
        <v>10856.872031250001</v>
      </c>
      <c r="O921" t="s">
        <v>3102</v>
      </c>
      <c r="P921" t="s">
        <v>3103</v>
      </c>
      <c r="Q921" t="s">
        <v>3104</v>
      </c>
    </row>
    <row r="922" spans="1:17" x14ac:dyDescent="0.25">
      <c r="A922" t="s">
        <v>1254</v>
      </c>
      <c r="C922" t="s">
        <v>173</v>
      </c>
      <c r="D922">
        <v>17907</v>
      </c>
      <c r="E922">
        <v>0</v>
      </c>
      <c r="F922">
        <v>0</v>
      </c>
      <c r="G922">
        <v>1217.71</v>
      </c>
      <c r="H922">
        <v>-1217.71</v>
      </c>
      <c r="I922">
        <v>0</v>
      </c>
      <c r="J922">
        <v>0</v>
      </c>
      <c r="K922">
        <v>17907</v>
      </c>
      <c r="L922">
        <v>19026.1875</v>
      </c>
      <c r="M922">
        <v>20358.020625000001</v>
      </c>
      <c r="N922">
        <v>21783.082068750002</v>
      </c>
      <c r="O922" t="s">
        <v>3102</v>
      </c>
      <c r="P922" t="s">
        <v>3103</v>
      </c>
      <c r="Q922" t="s">
        <v>3111</v>
      </c>
    </row>
    <row r="923" spans="1:17" x14ac:dyDescent="0.25">
      <c r="A923" t="s">
        <v>1255</v>
      </c>
      <c r="C923" t="s">
        <v>174</v>
      </c>
      <c r="D923">
        <v>14818</v>
      </c>
      <c r="E923">
        <v>0</v>
      </c>
      <c r="F923">
        <v>0</v>
      </c>
      <c r="G923">
        <v>1217.71</v>
      </c>
      <c r="H923">
        <v>-1217.71</v>
      </c>
      <c r="I923">
        <v>0</v>
      </c>
      <c r="J923">
        <v>0</v>
      </c>
      <c r="K923">
        <v>14818</v>
      </c>
      <c r="L923">
        <v>15744.125</v>
      </c>
      <c r="M923">
        <v>16846.213749999999</v>
      </c>
      <c r="N923">
        <v>18025.448712499998</v>
      </c>
      <c r="O923" t="s">
        <v>3102</v>
      </c>
      <c r="P923" t="s">
        <v>3103</v>
      </c>
      <c r="Q923" t="s">
        <v>3111</v>
      </c>
    </row>
    <row r="924" spans="1:17" x14ac:dyDescent="0.25">
      <c r="A924" t="s">
        <v>1256</v>
      </c>
      <c r="C924" t="s">
        <v>175</v>
      </c>
      <c r="D924">
        <v>31326</v>
      </c>
      <c r="E924">
        <v>0</v>
      </c>
      <c r="F924">
        <v>0</v>
      </c>
      <c r="G924">
        <v>1217.71</v>
      </c>
      <c r="H924">
        <v>-1217.71</v>
      </c>
      <c r="I924">
        <v>0</v>
      </c>
      <c r="J924">
        <v>0</v>
      </c>
      <c r="K924">
        <v>31326</v>
      </c>
      <c r="L924">
        <v>33283.875</v>
      </c>
      <c r="M924">
        <v>35613.746249999997</v>
      </c>
      <c r="N924">
        <v>38106.7084875</v>
      </c>
      <c r="O924" t="s">
        <v>3102</v>
      </c>
      <c r="P924" t="s">
        <v>3103</v>
      </c>
      <c r="Q924" t="s">
        <v>3111</v>
      </c>
    </row>
    <row r="925" spans="1:17" x14ac:dyDescent="0.25">
      <c r="A925" t="s">
        <v>1257</v>
      </c>
      <c r="C925" t="s">
        <v>215</v>
      </c>
      <c r="D925">
        <v>46033</v>
      </c>
      <c r="E925">
        <v>0</v>
      </c>
      <c r="F925">
        <v>0</v>
      </c>
      <c r="G925">
        <v>1217.71</v>
      </c>
      <c r="H925">
        <v>-1217.71</v>
      </c>
      <c r="I925">
        <v>0</v>
      </c>
      <c r="J925">
        <v>-46033</v>
      </c>
      <c r="K925">
        <v>0</v>
      </c>
      <c r="M925">
        <v>0</v>
      </c>
      <c r="O925" t="s">
        <v>3102</v>
      </c>
      <c r="P925" t="s">
        <v>3105</v>
      </c>
      <c r="Q925" t="s">
        <v>3104</v>
      </c>
    </row>
    <row r="926" spans="1:17" x14ac:dyDescent="0.25">
      <c r="A926" t="s">
        <v>1258</v>
      </c>
      <c r="C926" t="s">
        <v>236</v>
      </c>
      <c r="D926">
        <v>636000</v>
      </c>
      <c r="E926">
        <v>0</v>
      </c>
      <c r="F926">
        <v>0</v>
      </c>
      <c r="G926">
        <v>1217.71</v>
      </c>
      <c r="H926">
        <v>-1217.71</v>
      </c>
      <c r="I926">
        <v>0</v>
      </c>
      <c r="J926">
        <v>0</v>
      </c>
      <c r="K926">
        <v>636000</v>
      </c>
      <c r="L926">
        <v>664620</v>
      </c>
      <c r="M926">
        <v>695192.52</v>
      </c>
      <c r="N926">
        <v>727171.37592000002</v>
      </c>
      <c r="O926" t="s">
        <v>3102</v>
      </c>
      <c r="P926" t="s">
        <v>3105</v>
      </c>
      <c r="Q926" t="s">
        <v>3233</v>
      </c>
    </row>
    <row r="927" spans="1:17" x14ac:dyDescent="0.25">
      <c r="A927" t="s">
        <v>1259</v>
      </c>
      <c r="C927" t="s">
        <v>265</v>
      </c>
      <c r="D927">
        <v>33129</v>
      </c>
      <c r="E927">
        <v>0</v>
      </c>
      <c r="F927">
        <v>0</v>
      </c>
      <c r="G927">
        <v>1217.71</v>
      </c>
      <c r="H927">
        <v>-1217.71</v>
      </c>
      <c r="I927">
        <v>0</v>
      </c>
      <c r="J927">
        <v>0</v>
      </c>
      <c r="K927">
        <v>33129</v>
      </c>
      <c r="L927">
        <v>34619.805</v>
      </c>
      <c r="M927">
        <v>36212.316030000002</v>
      </c>
      <c r="N927">
        <v>37878.082567379999</v>
      </c>
      <c r="O927" t="s">
        <v>3102</v>
      </c>
      <c r="P927" t="s">
        <v>3110</v>
      </c>
      <c r="Q927" t="s">
        <v>3104</v>
      </c>
    </row>
    <row r="928" spans="1:17" x14ac:dyDescent="0.25">
      <c r="A928" t="s">
        <v>1260</v>
      </c>
      <c r="C928" t="s">
        <v>268</v>
      </c>
      <c r="D928">
        <v>76213</v>
      </c>
      <c r="E928">
        <v>0</v>
      </c>
      <c r="F928">
        <v>0</v>
      </c>
      <c r="G928">
        <v>1217.71</v>
      </c>
      <c r="H928">
        <v>-1217.71</v>
      </c>
      <c r="I928">
        <v>0</v>
      </c>
      <c r="J928">
        <v>0</v>
      </c>
      <c r="K928">
        <v>76213</v>
      </c>
      <c r="L928">
        <v>79642.585000000006</v>
      </c>
      <c r="M928">
        <v>83306.143910000013</v>
      </c>
      <c r="N928">
        <v>87138.22652986001</v>
      </c>
      <c r="O928" t="s">
        <v>3102</v>
      </c>
      <c r="P928" t="s">
        <v>3110</v>
      </c>
      <c r="Q928" t="s">
        <v>3104</v>
      </c>
    </row>
    <row r="929" spans="1:17" x14ac:dyDescent="0.25">
      <c r="A929" t="s">
        <v>1261</v>
      </c>
      <c r="C929" t="s">
        <v>273</v>
      </c>
      <c r="D929">
        <v>4355626</v>
      </c>
      <c r="E929">
        <v>0</v>
      </c>
      <c r="F929">
        <v>0</v>
      </c>
      <c r="G929">
        <v>1217.71</v>
      </c>
      <c r="H929">
        <v>-1217.71</v>
      </c>
      <c r="I929">
        <v>0</v>
      </c>
      <c r="J929">
        <v>344539</v>
      </c>
      <c r="K929">
        <v>4700165</v>
      </c>
      <c r="L929">
        <v>4982174.9000000004</v>
      </c>
      <c r="M929">
        <v>5330927.1430000002</v>
      </c>
      <c r="N929">
        <v>5757401.3144399999</v>
      </c>
      <c r="O929" t="s">
        <v>3102</v>
      </c>
      <c r="P929" t="s">
        <v>3110</v>
      </c>
      <c r="Q929" t="s">
        <v>3106</v>
      </c>
    </row>
    <row r="930" spans="1:17" x14ac:dyDescent="0.25">
      <c r="A930" t="s">
        <v>1262</v>
      </c>
      <c r="C930" t="s">
        <v>281</v>
      </c>
      <c r="D930">
        <v>8268000</v>
      </c>
      <c r="E930">
        <v>0</v>
      </c>
      <c r="F930">
        <v>0</v>
      </c>
      <c r="G930">
        <v>1217.71</v>
      </c>
      <c r="H930">
        <v>-1217.71</v>
      </c>
      <c r="I930">
        <v>0</v>
      </c>
      <c r="J930">
        <v>0</v>
      </c>
      <c r="K930">
        <v>8268000</v>
      </c>
      <c r="L930">
        <v>8764080</v>
      </c>
      <c r="M930">
        <v>9377565.5999999996</v>
      </c>
      <c r="N930">
        <v>10127770.847999999</v>
      </c>
      <c r="O930" t="s">
        <v>3102</v>
      </c>
      <c r="P930" t="s">
        <v>3234</v>
      </c>
      <c r="Q930" t="s">
        <v>3185</v>
      </c>
    </row>
    <row r="931" spans="1:17" x14ac:dyDescent="0.25">
      <c r="A931" t="s">
        <v>1263</v>
      </c>
      <c r="C931" t="s">
        <v>292</v>
      </c>
      <c r="D931">
        <v>3371</v>
      </c>
      <c r="E931">
        <v>0</v>
      </c>
      <c r="F931">
        <v>0</v>
      </c>
      <c r="G931">
        <v>1217.71</v>
      </c>
      <c r="H931">
        <v>-1217.71</v>
      </c>
      <c r="I931">
        <v>0</v>
      </c>
      <c r="J931">
        <v>0</v>
      </c>
      <c r="K931">
        <v>3371</v>
      </c>
      <c r="L931">
        <v>3522.6950000000002</v>
      </c>
      <c r="M931">
        <v>3684.7389700000003</v>
      </c>
      <c r="N931">
        <v>3854.2369626200002</v>
      </c>
      <c r="O931" t="s">
        <v>3102</v>
      </c>
      <c r="P931" t="s">
        <v>3117</v>
      </c>
      <c r="Q931" t="s">
        <v>3111</v>
      </c>
    </row>
    <row r="932" spans="1:17" x14ac:dyDescent="0.25">
      <c r="A932" t="s">
        <v>1264</v>
      </c>
      <c r="C932" t="s">
        <v>293</v>
      </c>
      <c r="D932">
        <v>5077</v>
      </c>
      <c r="E932">
        <v>0</v>
      </c>
      <c r="F932">
        <v>0</v>
      </c>
      <c r="G932">
        <v>1217.71</v>
      </c>
      <c r="H932">
        <v>-1217.71</v>
      </c>
      <c r="I932">
        <v>0</v>
      </c>
      <c r="J932">
        <v>0</v>
      </c>
      <c r="K932">
        <v>5077</v>
      </c>
      <c r="L932">
        <v>5305.4650000000001</v>
      </c>
      <c r="M932">
        <v>5549.5163899999998</v>
      </c>
      <c r="N932">
        <v>5804.7941439400001</v>
      </c>
      <c r="O932" t="s">
        <v>3102</v>
      </c>
      <c r="P932" t="s">
        <v>3117</v>
      </c>
      <c r="Q932" t="s">
        <v>3111</v>
      </c>
    </row>
    <row r="933" spans="1:17" x14ac:dyDescent="0.25">
      <c r="A933" t="s">
        <v>1265</v>
      </c>
      <c r="C933" t="s">
        <v>294</v>
      </c>
      <c r="D933">
        <v>526309</v>
      </c>
      <c r="E933">
        <v>0</v>
      </c>
      <c r="F933">
        <v>0</v>
      </c>
      <c r="G933">
        <v>1217.71</v>
      </c>
      <c r="H933">
        <v>-1217.71</v>
      </c>
      <c r="I933">
        <v>0</v>
      </c>
      <c r="J933">
        <v>0</v>
      </c>
      <c r="K933">
        <v>526309</v>
      </c>
      <c r="L933">
        <v>549992.90500000003</v>
      </c>
      <c r="M933">
        <v>575292.57863</v>
      </c>
      <c r="N933">
        <v>601756.03724698001</v>
      </c>
      <c r="O933" t="s">
        <v>3102</v>
      </c>
      <c r="P933" t="s">
        <v>3117</v>
      </c>
      <c r="Q933" t="s">
        <v>3111</v>
      </c>
    </row>
    <row r="934" spans="1:17" x14ac:dyDescent="0.25">
      <c r="A934" t="s">
        <v>1266</v>
      </c>
      <c r="C934" t="s">
        <v>296</v>
      </c>
      <c r="D934">
        <v>25648</v>
      </c>
      <c r="E934">
        <v>0</v>
      </c>
      <c r="F934">
        <v>0</v>
      </c>
      <c r="G934">
        <v>1217.71</v>
      </c>
      <c r="H934">
        <v>-1217.71</v>
      </c>
      <c r="I934">
        <v>0</v>
      </c>
      <c r="J934">
        <v>0</v>
      </c>
      <c r="K934">
        <v>25648</v>
      </c>
      <c r="L934">
        <v>26802.16</v>
      </c>
      <c r="M934">
        <v>28035.059359999999</v>
      </c>
      <c r="N934">
        <v>29324.672090559998</v>
      </c>
      <c r="O934" t="s">
        <v>3102</v>
      </c>
      <c r="P934" t="s">
        <v>3117</v>
      </c>
      <c r="Q934" t="s">
        <v>3111</v>
      </c>
    </row>
    <row r="935" spans="1:17" x14ac:dyDescent="0.25">
      <c r="A935" t="s">
        <v>1267</v>
      </c>
      <c r="C935" t="s">
        <v>297</v>
      </c>
      <c r="D935">
        <v>116115</v>
      </c>
      <c r="E935">
        <v>0</v>
      </c>
      <c r="F935">
        <v>0</v>
      </c>
      <c r="G935">
        <v>1217.71</v>
      </c>
      <c r="H935">
        <v>-1217.71</v>
      </c>
      <c r="I935">
        <v>0</v>
      </c>
      <c r="J935">
        <v>0</v>
      </c>
      <c r="K935">
        <v>116115</v>
      </c>
      <c r="L935">
        <v>121340.175</v>
      </c>
      <c r="M935">
        <v>126921.82305000001</v>
      </c>
      <c r="N935">
        <v>132760.2269103</v>
      </c>
      <c r="O935" t="s">
        <v>3102</v>
      </c>
      <c r="P935" t="s">
        <v>3117</v>
      </c>
      <c r="Q935" t="s">
        <v>3111</v>
      </c>
    </row>
    <row r="936" spans="1:17" x14ac:dyDescent="0.25">
      <c r="A936" t="s">
        <v>3089</v>
      </c>
      <c r="C936" t="s">
        <v>1271</v>
      </c>
      <c r="O936" t="s">
        <v>3118</v>
      </c>
      <c r="Q936" t="s">
        <v>3100</v>
      </c>
    </row>
    <row r="937" spans="1:17" x14ac:dyDescent="0.25">
      <c r="A937" t="s">
        <v>3088</v>
      </c>
      <c r="C937" t="s">
        <v>3046</v>
      </c>
      <c r="O937" t="s">
        <v>3118</v>
      </c>
      <c r="Q937" t="s">
        <v>3102</v>
      </c>
    </row>
    <row r="938" spans="1:17" x14ac:dyDescent="0.25">
      <c r="A938" t="s">
        <v>3087</v>
      </c>
      <c r="C938" t="s">
        <v>3048</v>
      </c>
      <c r="L938">
        <v>800000</v>
      </c>
      <c r="O938" t="s">
        <v>3118</v>
      </c>
      <c r="Q938" t="s">
        <v>3137</v>
      </c>
    </row>
    <row r="939" spans="1:17" x14ac:dyDescent="0.25">
      <c r="A939" t="s">
        <v>3090</v>
      </c>
      <c r="C939" t="s">
        <v>3049</v>
      </c>
      <c r="D939">
        <v>0</v>
      </c>
      <c r="K939">
        <v>0</v>
      </c>
      <c r="L939">
        <v>0</v>
      </c>
      <c r="M939">
        <v>0</v>
      </c>
      <c r="N939">
        <v>1500000</v>
      </c>
      <c r="O939" t="s">
        <v>3118</v>
      </c>
      <c r="Q939" t="s">
        <v>3235</v>
      </c>
    </row>
    <row r="940" spans="1:17" x14ac:dyDescent="0.25">
      <c r="A940" t="s">
        <v>3091</v>
      </c>
      <c r="C940" t="s">
        <v>1354</v>
      </c>
      <c r="D940">
        <v>0</v>
      </c>
      <c r="J940">
        <v>0</v>
      </c>
      <c r="K940">
        <v>0</v>
      </c>
      <c r="L940">
        <v>16000000</v>
      </c>
      <c r="M940">
        <v>6000000</v>
      </c>
      <c r="N940">
        <v>7000000</v>
      </c>
      <c r="O940" t="s">
        <v>3118</v>
      </c>
      <c r="Q940" t="s">
        <v>3236</v>
      </c>
    </row>
    <row r="941" spans="1:17" x14ac:dyDescent="0.25">
      <c r="A941" t="s">
        <v>1268</v>
      </c>
      <c r="B941" t="s">
        <v>3036</v>
      </c>
      <c r="C941" t="s">
        <v>1269</v>
      </c>
      <c r="D941">
        <v>2000000</v>
      </c>
      <c r="E941">
        <v>0</v>
      </c>
      <c r="F941">
        <v>0</v>
      </c>
      <c r="G941">
        <v>1217.71</v>
      </c>
      <c r="H941">
        <v>-1217.71</v>
      </c>
      <c r="I941">
        <v>0</v>
      </c>
      <c r="J941">
        <v>-787662.5</v>
      </c>
      <c r="K941">
        <v>1212337.5</v>
      </c>
      <c r="L941">
        <v>1200000</v>
      </c>
      <c r="M941">
        <v>0</v>
      </c>
      <c r="O941" t="s">
        <v>3118</v>
      </c>
      <c r="Q941" t="s">
        <v>3237</v>
      </c>
    </row>
    <row r="942" spans="1:17" x14ac:dyDescent="0.25">
      <c r="A942" t="s">
        <v>1270</v>
      </c>
      <c r="B942" t="s">
        <v>3045</v>
      </c>
      <c r="C942" t="s">
        <v>1271</v>
      </c>
      <c r="D942">
        <v>3000000</v>
      </c>
      <c r="E942">
        <v>0</v>
      </c>
      <c r="F942">
        <v>0</v>
      </c>
      <c r="G942">
        <v>1217.71</v>
      </c>
      <c r="H942">
        <v>-1217.71</v>
      </c>
      <c r="I942">
        <v>0</v>
      </c>
      <c r="J942">
        <v>0</v>
      </c>
      <c r="K942">
        <v>3000000</v>
      </c>
      <c r="L942">
        <v>1500000</v>
      </c>
      <c r="M942">
        <v>1000000</v>
      </c>
      <c r="N942">
        <v>4000000</v>
      </c>
      <c r="O942" t="s">
        <v>3118</v>
      </c>
      <c r="Q942" t="s">
        <v>3238</v>
      </c>
    </row>
    <row r="943" spans="1:17" x14ac:dyDescent="0.25">
      <c r="A943" t="s">
        <v>1273</v>
      </c>
      <c r="C943" t="s">
        <v>53</v>
      </c>
      <c r="D943">
        <v>0</v>
      </c>
      <c r="E943">
        <v>0</v>
      </c>
      <c r="F943">
        <v>0</v>
      </c>
      <c r="G943">
        <v>1217.71</v>
      </c>
      <c r="H943">
        <v>-1217.71</v>
      </c>
      <c r="I943">
        <v>0</v>
      </c>
      <c r="J943">
        <v>0</v>
      </c>
      <c r="K943">
        <v>0</v>
      </c>
      <c r="L943">
        <v>0</v>
      </c>
      <c r="M943">
        <v>0</v>
      </c>
      <c r="O943" t="s">
        <v>3100</v>
      </c>
      <c r="Q943" t="s">
        <v>3239</v>
      </c>
    </row>
    <row r="944" spans="1:17" x14ac:dyDescent="0.25">
      <c r="A944" t="s">
        <v>1274</v>
      </c>
      <c r="C944" t="s">
        <v>54</v>
      </c>
      <c r="D944">
        <v>0</v>
      </c>
      <c r="E944">
        <v>0</v>
      </c>
      <c r="F944">
        <v>0</v>
      </c>
      <c r="G944">
        <v>1217.71</v>
      </c>
      <c r="H944">
        <v>-1217.71</v>
      </c>
      <c r="I944">
        <v>0</v>
      </c>
      <c r="J944">
        <v>0</v>
      </c>
      <c r="K944">
        <v>0</v>
      </c>
      <c r="L944">
        <v>0</v>
      </c>
      <c r="M944">
        <v>0</v>
      </c>
      <c r="O944" t="s">
        <v>3100</v>
      </c>
      <c r="Q944" t="s">
        <v>3239</v>
      </c>
    </row>
    <row r="945" spans="1:17" x14ac:dyDescent="0.25">
      <c r="A945" t="s">
        <v>1275</v>
      </c>
      <c r="C945" t="s">
        <v>61</v>
      </c>
      <c r="D945">
        <v>-315185</v>
      </c>
      <c r="E945">
        <v>0</v>
      </c>
      <c r="F945">
        <v>0</v>
      </c>
      <c r="G945">
        <v>1217.71</v>
      </c>
      <c r="H945">
        <v>-1217.71</v>
      </c>
      <c r="I945">
        <v>0</v>
      </c>
      <c r="J945">
        <v>315185</v>
      </c>
      <c r="K945">
        <v>0</v>
      </c>
      <c r="L945">
        <v>0</v>
      </c>
      <c r="M945">
        <v>0</v>
      </c>
      <c r="O945" t="s">
        <v>3100</v>
      </c>
      <c r="Q945" t="s">
        <v>3177</v>
      </c>
    </row>
    <row r="946" spans="1:17" x14ac:dyDescent="0.25">
      <c r="A946" t="s">
        <v>1276</v>
      </c>
      <c r="C946" t="s">
        <v>68</v>
      </c>
      <c r="D946">
        <v>-1696600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-403536</v>
      </c>
      <c r="L946">
        <v>-421695.12</v>
      </c>
      <c r="M946">
        <v>-441093.09551999997</v>
      </c>
      <c r="N946">
        <v>-461383.37791391998</v>
      </c>
      <c r="O946" t="s">
        <v>3100</v>
      </c>
      <c r="Q946" t="s">
        <v>3240</v>
      </c>
    </row>
    <row r="947" spans="1:17" x14ac:dyDescent="0.25">
      <c r="A947" t="s">
        <v>1277</v>
      </c>
      <c r="C947" t="s">
        <v>73</v>
      </c>
      <c r="O947" t="s">
        <v>3100</v>
      </c>
      <c r="Q947" t="s">
        <v>3121</v>
      </c>
    </row>
    <row r="948" spans="1:17" x14ac:dyDescent="0.25">
      <c r="A948" t="s">
        <v>1278</v>
      </c>
      <c r="C948" t="s">
        <v>150</v>
      </c>
      <c r="D948">
        <v>4209658</v>
      </c>
      <c r="E948">
        <v>0</v>
      </c>
      <c r="F948">
        <v>0</v>
      </c>
      <c r="G948">
        <v>1217.71</v>
      </c>
      <c r="H948">
        <v>-1217.71</v>
      </c>
      <c r="I948">
        <v>0</v>
      </c>
      <c r="J948">
        <v>0</v>
      </c>
      <c r="K948">
        <v>4209658</v>
      </c>
      <c r="L948">
        <v>4472761.625</v>
      </c>
      <c r="M948">
        <v>4785854.9387499997</v>
      </c>
      <c r="N948">
        <v>5120864.7844624994</v>
      </c>
      <c r="O948" t="s">
        <v>3102</v>
      </c>
      <c r="P948" t="s">
        <v>3103</v>
      </c>
      <c r="Q948" t="s">
        <v>3104</v>
      </c>
    </row>
    <row r="949" spans="1:17" x14ac:dyDescent="0.25">
      <c r="A949" t="s">
        <v>1279</v>
      </c>
      <c r="C949" t="s">
        <v>151</v>
      </c>
      <c r="D949">
        <v>194892</v>
      </c>
      <c r="E949">
        <v>0</v>
      </c>
      <c r="F949">
        <v>0</v>
      </c>
      <c r="G949">
        <v>1217.71</v>
      </c>
      <c r="H949">
        <v>-1217.71</v>
      </c>
      <c r="I949">
        <v>0</v>
      </c>
      <c r="J949">
        <v>-59418.559999999998</v>
      </c>
      <c r="K949">
        <v>135473.44</v>
      </c>
      <c r="L949">
        <v>143940.53</v>
      </c>
      <c r="M949">
        <v>154016.3671</v>
      </c>
      <c r="N949">
        <v>164797.512797</v>
      </c>
      <c r="O949" t="s">
        <v>3102</v>
      </c>
      <c r="P949" t="s">
        <v>3103</v>
      </c>
      <c r="Q949" t="s">
        <v>3104</v>
      </c>
    </row>
    <row r="950" spans="1:17" x14ac:dyDescent="0.25">
      <c r="A950" t="s">
        <v>1280</v>
      </c>
      <c r="C950" t="s">
        <v>152</v>
      </c>
      <c r="D950">
        <v>28200</v>
      </c>
      <c r="E950">
        <v>0</v>
      </c>
      <c r="F950">
        <v>0</v>
      </c>
      <c r="G950">
        <v>1217.71</v>
      </c>
      <c r="H950">
        <v>-1217.71</v>
      </c>
      <c r="I950">
        <v>0</v>
      </c>
      <c r="J950">
        <v>0</v>
      </c>
      <c r="K950">
        <v>28200</v>
      </c>
      <c r="L950">
        <v>29962.5</v>
      </c>
      <c r="M950">
        <v>32059.875</v>
      </c>
      <c r="N950">
        <v>34304.066250000003</v>
      </c>
      <c r="O950" t="s">
        <v>3102</v>
      </c>
      <c r="P950" t="s">
        <v>3103</v>
      </c>
      <c r="Q950" t="s">
        <v>3104</v>
      </c>
    </row>
    <row r="951" spans="1:17" x14ac:dyDescent="0.25">
      <c r="A951" t="s">
        <v>1281</v>
      </c>
      <c r="C951" t="s">
        <v>153</v>
      </c>
      <c r="D951">
        <v>0</v>
      </c>
      <c r="E951">
        <v>0</v>
      </c>
      <c r="F951">
        <v>0</v>
      </c>
      <c r="G951">
        <v>1217.71</v>
      </c>
      <c r="H951">
        <v>-1217.71</v>
      </c>
      <c r="I951">
        <v>0</v>
      </c>
      <c r="J951">
        <v>12000</v>
      </c>
      <c r="K951">
        <v>12000</v>
      </c>
      <c r="L951">
        <v>12750</v>
      </c>
      <c r="M951">
        <v>13642.5</v>
      </c>
      <c r="N951">
        <v>14597.475</v>
      </c>
      <c r="O951" t="s">
        <v>3102</v>
      </c>
      <c r="P951" t="s">
        <v>3103</v>
      </c>
      <c r="Q951" t="s">
        <v>3104</v>
      </c>
    </row>
    <row r="952" spans="1:17" x14ac:dyDescent="0.25">
      <c r="A952" t="s">
        <v>1282</v>
      </c>
      <c r="C952" t="s">
        <v>154</v>
      </c>
      <c r="D952">
        <v>6420</v>
      </c>
      <c r="E952">
        <v>0</v>
      </c>
      <c r="F952">
        <v>0</v>
      </c>
      <c r="G952">
        <v>1217.71</v>
      </c>
      <c r="H952">
        <v>-1217.71</v>
      </c>
      <c r="I952">
        <v>0</v>
      </c>
      <c r="J952">
        <v>0</v>
      </c>
      <c r="K952">
        <v>6420</v>
      </c>
      <c r="L952">
        <v>6821.25</v>
      </c>
      <c r="M952">
        <v>7298.7375000000002</v>
      </c>
      <c r="N952">
        <v>7809.6491249999999</v>
      </c>
      <c r="O952" t="s">
        <v>3102</v>
      </c>
      <c r="P952" t="s">
        <v>3103</v>
      </c>
      <c r="Q952" t="s">
        <v>3104</v>
      </c>
    </row>
    <row r="953" spans="1:17" x14ac:dyDescent="0.25">
      <c r="A953" t="s">
        <v>1283</v>
      </c>
      <c r="C953" t="s">
        <v>155</v>
      </c>
      <c r="D953">
        <v>138400</v>
      </c>
      <c r="E953">
        <v>0</v>
      </c>
      <c r="F953">
        <v>0</v>
      </c>
      <c r="G953">
        <v>1217.71</v>
      </c>
      <c r="H953">
        <v>-1217.71</v>
      </c>
      <c r="I953">
        <v>0</v>
      </c>
      <c r="J953">
        <v>0</v>
      </c>
      <c r="K953">
        <v>138400</v>
      </c>
      <c r="L953">
        <v>147050</v>
      </c>
      <c r="M953">
        <v>157343.5</v>
      </c>
      <c r="N953">
        <v>168357.54500000001</v>
      </c>
      <c r="O953" t="s">
        <v>3102</v>
      </c>
      <c r="P953" t="s">
        <v>3103</v>
      </c>
      <c r="Q953" t="s">
        <v>3104</v>
      </c>
    </row>
    <row r="954" spans="1:17" x14ac:dyDescent="0.25">
      <c r="A954" t="s">
        <v>1284</v>
      </c>
      <c r="C954" t="s">
        <v>156</v>
      </c>
      <c r="D954">
        <v>185604</v>
      </c>
      <c r="E954">
        <v>0</v>
      </c>
      <c r="F954">
        <v>0</v>
      </c>
      <c r="G954">
        <v>1217.71</v>
      </c>
      <c r="H954">
        <v>-1217.71</v>
      </c>
      <c r="I954">
        <v>0</v>
      </c>
      <c r="J954">
        <v>0</v>
      </c>
      <c r="K954">
        <v>185604</v>
      </c>
      <c r="L954">
        <v>197204.25</v>
      </c>
      <c r="M954">
        <v>211008.54749999999</v>
      </c>
      <c r="N954">
        <v>225779.14582499999</v>
      </c>
      <c r="O954" t="s">
        <v>3102</v>
      </c>
      <c r="P954" t="s">
        <v>3103</v>
      </c>
      <c r="Q954" t="s">
        <v>3104</v>
      </c>
    </row>
    <row r="955" spans="1:17" x14ac:dyDescent="0.25">
      <c r="A955" t="s">
        <v>1285</v>
      </c>
      <c r="C955" t="s">
        <v>157</v>
      </c>
      <c r="D955">
        <v>416905</v>
      </c>
      <c r="E955">
        <v>0</v>
      </c>
      <c r="F955">
        <v>0</v>
      </c>
      <c r="G955">
        <v>1217.71</v>
      </c>
      <c r="H955">
        <v>-1217.71</v>
      </c>
      <c r="I955">
        <v>0</v>
      </c>
      <c r="J955">
        <v>-40000</v>
      </c>
      <c r="K955">
        <v>376905</v>
      </c>
      <c r="L955">
        <v>400461.5625</v>
      </c>
      <c r="M955">
        <v>428493.87187500001</v>
      </c>
      <c r="N955">
        <v>458488.44290625001</v>
      </c>
      <c r="O955" t="s">
        <v>3102</v>
      </c>
      <c r="P955" t="s">
        <v>3103</v>
      </c>
      <c r="Q955" t="s">
        <v>3104</v>
      </c>
    </row>
    <row r="956" spans="1:17" x14ac:dyDescent="0.25">
      <c r="A956" t="s">
        <v>1286</v>
      </c>
      <c r="C956" t="s">
        <v>159</v>
      </c>
      <c r="D956">
        <v>350805</v>
      </c>
      <c r="E956">
        <v>0</v>
      </c>
      <c r="F956">
        <v>0</v>
      </c>
      <c r="G956">
        <v>1217.71</v>
      </c>
      <c r="H956">
        <v>-1217.71</v>
      </c>
      <c r="I956">
        <v>0</v>
      </c>
      <c r="J956">
        <v>0</v>
      </c>
      <c r="K956">
        <v>350805</v>
      </c>
      <c r="L956">
        <v>372730.3125</v>
      </c>
      <c r="M956">
        <v>398821.43437500001</v>
      </c>
      <c r="N956">
        <v>426738.93478125002</v>
      </c>
      <c r="O956" t="s">
        <v>3102</v>
      </c>
      <c r="P956" t="s">
        <v>3103</v>
      </c>
      <c r="Q956" t="s">
        <v>3104</v>
      </c>
    </row>
    <row r="957" spans="1:17" x14ac:dyDescent="0.25">
      <c r="A957" t="s">
        <v>1287</v>
      </c>
      <c r="C957" t="s">
        <v>161</v>
      </c>
      <c r="D957">
        <v>37996</v>
      </c>
      <c r="E957">
        <v>0</v>
      </c>
      <c r="F957">
        <v>0</v>
      </c>
      <c r="G957">
        <v>1217.71</v>
      </c>
      <c r="H957">
        <v>-1217.71</v>
      </c>
      <c r="I957">
        <v>0</v>
      </c>
      <c r="J957">
        <v>0</v>
      </c>
      <c r="K957">
        <v>37996</v>
      </c>
      <c r="L957">
        <v>40370.75</v>
      </c>
      <c r="M957">
        <v>43196.702499999999</v>
      </c>
      <c r="N957">
        <v>46220.471675000001</v>
      </c>
      <c r="O957" t="s">
        <v>3102</v>
      </c>
      <c r="P957" t="s">
        <v>3103</v>
      </c>
      <c r="Q957" t="s">
        <v>3104</v>
      </c>
    </row>
    <row r="958" spans="1:17" x14ac:dyDescent="0.25">
      <c r="A958" t="s">
        <v>1288</v>
      </c>
      <c r="C958" t="s">
        <v>162</v>
      </c>
      <c r="D958">
        <v>50197</v>
      </c>
      <c r="E958">
        <v>0</v>
      </c>
      <c r="F958">
        <v>0</v>
      </c>
      <c r="G958">
        <v>1217.71</v>
      </c>
      <c r="H958">
        <v>-1217.71</v>
      </c>
      <c r="I958">
        <v>0</v>
      </c>
      <c r="J958">
        <v>40000</v>
      </c>
      <c r="K958">
        <v>90197</v>
      </c>
      <c r="L958">
        <v>95834.3125</v>
      </c>
      <c r="M958">
        <v>102542.714375</v>
      </c>
      <c r="N958">
        <v>109720.70438124999</v>
      </c>
      <c r="O958" t="s">
        <v>3102</v>
      </c>
      <c r="P958" t="s">
        <v>3103</v>
      </c>
      <c r="Q958" t="s">
        <v>3104</v>
      </c>
    </row>
    <row r="959" spans="1:17" x14ac:dyDescent="0.25">
      <c r="A959" t="s">
        <v>1289</v>
      </c>
      <c r="C959" t="s">
        <v>167</v>
      </c>
      <c r="D959">
        <v>1910</v>
      </c>
      <c r="E959">
        <v>0</v>
      </c>
      <c r="F959">
        <v>0</v>
      </c>
      <c r="G959">
        <v>1217.71</v>
      </c>
      <c r="H959">
        <v>-1217.71</v>
      </c>
      <c r="I959">
        <v>0</v>
      </c>
      <c r="J959">
        <v>0</v>
      </c>
      <c r="K959">
        <v>1910</v>
      </c>
      <c r="L959">
        <v>2029.375</v>
      </c>
      <c r="M959">
        <v>2171.4312500000001</v>
      </c>
      <c r="N959">
        <v>2323.4314374999999</v>
      </c>
      <c r="O959" t="s">
        <v>3102</v>
      </c>
      <c r="P959" t="s">
        <v>3103</v>
      </c>
      <c r="Q959" t="s">
        <v>3104</v>
      </c>
    </row>
    <row r="960" spans="1:17" x14ac:dyDescent="0.25">
      <c r="A960" t="s">
        <v>1290</v>
      </c>
      <c r="C960" t="s">
        <v>168</v>
      </c>
      <c r="D960">
        <v>134382</v>
      </c>
      <c r="E960">
        <v>0</v>
      </c>
      <c r="F960">
        <v>0</v>
      </c>
      <c r="G960">
        <v>1217.71</v>
      </c>
      <c r="H960">
        <v>-1217.71</v>
      </c>
      <c r="I960">
        <v>0</v>
      </c>
      <c r="J960">
        <v>102160.79999999999</v>
      </c>
      <c r="K960">
        <v>236542.8</v>
      </c>
      <c r="L960">
        <v>251326.72499999998</v>
      </c>
      <c r="M960">
        <v>268919.59574999998</v>
      </c>
      <c r="N960">
        <v>287743.96745249996</v>
      </c>
      <c r="O960" t="s">
        <v>3102</v>
      </c>
      <c r="P960" t="s">
        <v>3103</v>
      </c>
      <c r="Q960" t="s">
        <v>3104</v>
      </c>
    </row>
    <row r="961" spans="1:17" x14ac:dyDescent="0.25">
      <c r="A961" t="s">
        <v>1291</v>
      </c>
      <c r="C961" t="s">
        <v>169</v>
      </c>
      <c r="D961">
        <v>926125</v>
      </c>
      <c r="E961">
        <v>0</v>
      </c>
      <c r="F961">
        <v>0</v>
      </c>
      <c r="G961">
        <v>1217.71</v>
      </c>
      <c r="H961">
        <v>-1217.71</v>
      </c>
      <c r="I961">
        <v>0</v>
      </c>
      <c r="J961">
        <v>0</v>
      </c>
      <c r="K961">
        <v>926125</v>
      </c>
      <c r="L961">
        <v>984007.8125</v>
      </c>
      <c r="M961">
        <v>1052888.359375</v>
      </c>
      <c r="N961">
        <v>1126590.5445312499</v>
      </c>
      <c r="O961" t="s">
        <v>3102</v>
      </c>
      <c r="P961" t="s">
        <v>3103</v>
      </c>
      <c r="Q961" t="s">
        <v>3104</v>
      </c>
    </row>
    <row r="962" spans="1:17" x14ac:dyDescent="0.25">
      <c r="A962" t="s">
        <v>1292</v>
      </c>
      <c r="C962" t="s">
        <v>170</v>
      </c>
      <c r="D962">
        <v>30345</v>
      </c>
      <c r="E962">
        <v>0</v>
      </c>
      <c r="F962">
        <v>0</v>
      </c>
      <c r="G962">
        <v>1217.71</v>
      </c>
      <c r="H962">
        <v>-1217.71</v>
      </c>
      <c r="I962">
        <v>0</v>
      </c>
      <c r="J962">
        <v>0</v>
      </c>
      <c r="K962">
        <v>30345</v>
      </c>
      <c r="L962">
        <v>32241.5625</v>
      </c>
      <c r="M962">
        <v>34498.471875000003</v>
      </c>
      <c r="N962">
        <v>36913.364906250004</v>
      </c>
      <c r="O962" t="s">
        <v>3102</v>
      </c>
      <c r="P962" t="s">
        <v>3103</v>
      </c>
      <c r="Q962" t="s">
        <v>3104</v>
      </c>
    </row>
    <row r="963" spans="1:17" x14ac:dyDescent="0.25">
      <c r="A963" t="s">
        <v>1293</v>
      </c>
      <c r="C963" t="s">
        <v>173</v>
      </c>
      <c r="D963">
        <v>82612</v>
      </c>
      <c r="E963">
        <v>0</v>
      </c>
      <c r="F963">
        <v>0</v>
      </c>
      <c r="G963">
        <v>1217.71</v>
      </c>
      <c r="H963">
        <v>-1217.71</v>
      </c>
      <c r="I963">
        <v>0</v>
      </c>
      <c r="J963">
        <v>0</v>
      </c>
      <c r="K963">
        <v>82612</v>
      </c>
      <c r="L963">
        <v>87775.25</v>
      </c>
      <c r="M963">
        <v>93919.517500000002</v>
      </c>
      <c r="N963">
        <v>100493.88372500001</v>
      </c>
      <c r="O963" t="s">
        <v>3102</v>
      </c>
      <c r="P963" t="s">
        <v>3103</v>
      </c>
      <c r="Q963" t="s">
        <v>3111</v>
      </c>
    </row>
    <row r="964" spans="1:17" x14ac:dyDescent="0.25">
      <c r="A964" t="s">
        <v>1294</v>
      </c>
      <c r="C964" t="s">
        <v>174</v>
      </c>
      <c r="D964">
        <v>107209</v>
      </c>
      <c r="E964">
        <v>0</v>
      </c>
      <c r="F964">
        <v>0</v>
      </c>
      <c r="G964">
        <v>1217.71</v>
      </c>
      <c r="H964">
        <v>-1217.71</v>
      </c>
      <c r="I964">
        <v>0</v>
      </c>
      <c r="J964">
        <v>0</v>
      </c>
      <c r="K964">
        <v>107209</v>
      </c>
      <c r="L964">
        <v>113909.5625</v>
      </c>
      <c r="M964">
        <v>121883.231875</v>
      </c>
      <c r="N964">
        <v>130415.05810625</v>
      </c>
      <c r="O964" t="s">
        <v>3102</v>
      </c>
      <c r="P964" t="s">
        <v>3103</v>
      </c>
      <c r="Q964" t="s">
        <v>3111</v>
      </c>
    </row>
    <row r="965" spans="1:17" x14ac:dyDescent="0.25">
      <c r="A965" t="s">
        <v>1295</v>
      </c>
      <c r="C965" t="s">
        <v>175</v>
      </c>
      <c r="D965">
        <v>53913</v>
      </c>
      <c r="E965">
        <v>0</v>
      </c>
      <c r="F965">
        <v>0</v>
      </c>
      <c r="G965">
        <v>1217.71</v>
      </c>
      <c r="H965">
        <v>-1217.71</v>
      </c>
      <c r="I965">
        <v>0</v>
      </c>
      <c r="J965">
        <v>0</v>
      </c>
      <c r="K965">
        <v>53913</v>
      </c>
      <c r="L965">
        <v>57282.5625</v>
      </c>
      <c r="M965">
        <v>61292.341874999998</v>
      </c>
      <c r="N965">
        <v>65582.805806249991</v>
      </c>
      <c r="O965" t="s">
        <v>3102</v>
      </c>
      <c r="P965" t="s">
        <v>3103</v>
      </c>
      <c r="Q965" t="s">
        <v>3111</v>
      </c>
    </row>
    <row r="966" spans="1:17" x14ac:dyDescent="0.25">
      <c r="A966" t="s">
        <v>1296</v>
      </c>
      <c r="C966" t="s">
        <v>265</v>
      </c>
      <c r="D966">
        <v>56387</v>
      </c>
      <c r="E966">
        <v>0</v>
      </c>
      <c r="F966">
        <v>0</v>
      </c>
      <c r="G966">
        <v>1217.71</v>
      </c>
      <c r="H966">
        <v>-1217.71</v>
      </c>
      <c r="I966">
        <v>0</v>
      </c>
      <c r="J966">
        <v>0</v>
      </c>
      <c r="K966">
        <v>56387</v>
      </c>
      <c r="L966">
        <v>58924.415000000001</v>
      </c>
      <c r="M966">
        <v>61634.938090000003</v>
      </c>
      <c r="N966">
        <v>64470.145242140003</v>
      </c>
      <c r="O966" t="s">
        <v>3102</v>
      </c>
      <c r="P966" t="s">
        <v>3110</v>
      </c>
      <c r="Q966" t="s">
        <v>3104</v>
      </c>
    </row>
    <row r="967" spans="1:17" x14ac:dyDescent="0.25">
      <c r="A967" t="s">
        <v>1297</v>
      </c>
      <c r="C967" t="s">
        <v>268</v>
      </c>
      <c r="D967">
        <v>13448</v>
      </c>
      <c r="E967">
        <v>0</v>
      </c>
      <c r="F967">
        <v>0</v>
      </c>
      <c r="G967">
        <v>1217.71</v>
      </c>
      <c r="H967">
        <v>-1217.71</v>
      </c>
      <c r="I967">
        <v>0</v>
      </c>
      <c r="J967">
        <v>36267</v>
      </c>
      <c r="K967">
        <v>49715</v>
      </c>
      <c r="L967">
        <v>51952.175000000003</v>
      </c>
      <c r="M967">
        <v>54341.975050000001</v>
      </c>
      <c r="N967">
        <v>56841.705902300004</v>
      </c>
      <c r="O967" t="s">
        <v>3102</v>
      </c>
      <c r="P967" t="s">
        <v>3110</v>
      </c>
      <c r="Q967" t="s">
        <v>3104</v>
      </c>
    </row>
    <row r="968" spans="1:17" x14ac:dyDescent="0.25">
      <c r="A968" t="s">
        <v>1298</v>
      </c>
      <c r="C968" t="s">
        <v>288</v>
      </c>
      <c r="D968">
        <v>0</v>
      </c>
      <c r="E968">
        <v>0</v>
      </c>
      <c r="F968">
        <v>0</v>
      </c>
      <c r="G968">
        <v>1217.71</v>
      </c>
      <c r="H968">
        <v>-1217.71</v>
      </c>
      <c r="I968">
        <v>0</v>
      </c>
      <c r="J968">
        <v>0</v>
      </c>
      <c r="K968">
        <v>0</v>
      </c>
      <c r="L968">
        <v>0</v>
      </c>
      <c r="M968">
        <v>0</v>
      </c>
      <c r="O968" t="s">
        <v>3102</v>
      </c>
      <c r="P968" t="s">
        <v>3186</v>
      </c>
      <c r="Q968" t="s">
        <v>3241</v>
      </c>
    </row>
    <row r="969" spans="1:17" x14ac:dyDescent="0.25">
      <c r="A969" t="s">
        <v>1299</v>
      </c>
      <c r="C969" t="s">
        <v>292</v>
      </c>
      <c r="D969">
        <v>3371</v>
      </c>
      <c r="E969">
        <v>0</v>
      </c>
      <c r="F969">
        <v>0</v>
      </c>
      <c r="G969">
        <v>1217.71</v>
      </c>
      <c r="H969">
        <v>-1217.71</v>
      </c>
      <c r="I969">
        <v>0</v>
      </c>
      <c r="J969">
        <v>0</v>
      </c>
      <c r="K969">
        <v>3371</v>
      </c>
      <c r="L969">
        <v>3522.6950000000002</v>
      </c>
      <c r="M969">
        <v>3684.7389700000003</v>
      </c>
      <c r="N969">
        <v>3854.2369626200002</v>
      </c>
      <c r="O969" t="s">
        <v>3102</v>
      </c>
      <c r="P969" t="s">
        <v>3117</v>
      </c>
      <c r="Q969" t="s">
        <v>3111</v>
      </c>
    </row>
    <row r="970" spans="1:17" x14ac:dyDescent="0.25">
      <c r="A970" t="s">
        <v>1300</v>
      </c>
      <c r="C970" t="s">
        <v>293</v>
      </c>
      <c r="D970">
        <v>7219</v>
      </c>
      <c r="E970">
        <v>0</v>
      </c>
      <c r="F970">
        <v>0</v>
      </c>
      <c r="G970">
        <v>1217.71</v>
      </c>
      <c r="H970">
        <v>-1217.71</v>
      </c>
      <c r="I970">
        <v>0</v>
      </c>
      <c r="J970">
        <v>0</v>
      </c>
      <c r="K970">
        <v>7219</v>
      </c>
      <c r="L970">
        <v>7543.8549999999996</v>
      </c>
      <c r="M970">
        <v>7890.8723299999992</v>
      </c>
      <c r="N970">
        <v>8253.852457179999</v>
      </c>
      <c r="O970" t="s">
        <v>3102</v>
      </c>
      <c r="P970" t="s">
        <v>3117</v>
      </c>
      <c r="Q970" t="s">
        <v>3111</v>
      </c>
    </row>
    <row r="971" spans="1:17" x14ac:dyDescent="0.25">
      <c r="A971" t="s">
        <v>1301</v>
      </c>
      <c r="C971" t="s">
        <v>297</v>
      </c>
      <c r="D971">
        <v>3371</v>
      </c>
      <c r="E971">
        <v>0</v>
      </c>
      <c r="F971">
        <v>0</v>
      </c>
      <c r="G971">
        <v>1217.71</v>
      </c>
      <c r="H971">
        <v>-1217.71</v>
      </c>
      <c r="I971">
        <v>0</v>
      </c>
      <c r="J971">
        <v>0</v>
      </c>
      <c r="K971">
        <v>3371</v>
      </c>
      <c r="L971">
        <v>3522.6950000000002</v>
      </c>
      <c r="M971">
        <v>3684.7389700000003</v>
      </c>
      <c r="N971">
        <v>3854.2369626200002</v>
      </c>
      <c r="O971" t="s">
        <v>3102</v>
      </c>
      <c r="P971" t="s">
        <v>3117</v>
      </c>
      <c r="Q971" t="s">
        <v>3111</v>
      </c>
    </row>
    <row r="972" spans="1:17" x14ac:dyDescent="0.25">
      <c r="A972" t="s">
        <v>1303</v>
      </c>
      <c r="C972" t="s">
        <v>52</v>
      </c>
      <c r="D972">
        <v>0</v>
      </c>
      <c r="E972">
        <v>0</v>
      </c>
      <c r="F972">
        <v>0</v>
      </c>
      <c r="G972">
        <v>1217.71</v>
      </c>
      <c r="H972">
        <v>-1217.71</v>
      </c>
      <c r="I972">
        <v>0</v>
      </c>
      <c r="J972">
        <v>0</v>
      </c>
      <c r="K972">
        <v>0</v>
      </c>
      <c r="L972">
        <v>0</v>
      </c>
      <c r="M972">
        <v>0</v>
      </c>
      <c r="O972" t="s">
        <v>3100</v>
      </c>
      <c r="Q972" t="s">
        <v>3242</v>
      </c>
    </row>
    <row r="973" spans="1:17" x14ac:dyDescent="0.25">
      <c r="A973" t="s">
        <v>1304</v>
      </c>
      <c r="C973" t="s">
        <v>60</v>
      </c>
      <c r="D973">
        <v>-88683</v>
      </c>
      <c r="E973">
        <v>0</v>
      </c>
      <c r="F973">
        <v>0</v>
      </c>
      <c r="G973">
        <v>1217.71</v>
      </c>
      <c r="H973">
        <v>-1217.71</v>
      </c>
      <c r="I973">
        <v>0</v>
      </c>
      <c r="J973">
        <v>88683</v>
      </c>
      <c r="K973">
        <v>0</v>
      </c>
      <c r="L973">
        <v>0</v>
      </c>
      <c r="M973">
        <v>0</v>
      </c>
      <c r="O973" t="s">
        <v>3100</v>
      </c>
      <c r="Q973" t="s">
        <v>3177</v>
      </c>
    </row>
    <row r="974" spans="1:17" x14ac:dyDescent="0.25">
      <c r="A974" t="s">
        <v>1305</v>
      </c>
      <c r="C974" t="s">
        <v>68</v>
      </c>
      <c r="D974">
        <v>-781881</v>
      </c>
      <c r="E974">
        <v>-781881</v>
      </c>
      <c r="F974">
        <v>-781881</v>
      </c>
      <c r="G974">
        <v>-781881</v>
      </c>
      <c r="H974">
        <v>-781881</v>
      </c>
      <c r="I974">
        <v>-781881</v>
      </c>
      <c r="J974">
        <v>-781881</v>
      </c>
      <c r="K974">
        <v>-261169</v>
      </c>
      <c r="L974">
        <v>-272921.60499999998</v>
      </c>
      <c r="M974">
        <v>-285475.99883</v>
      </c>
      <c r="N974">
        <v>-298607.89477617998</v>
      </c>
      <c r="O974" t="s">
        <v>3100</v>
      </c>
      <c r="Q974" t="s">
        <v>3240</v>
      </c>
    </row>
    <row r="975" spans="1:17" x14ac:dyDescent="0.25">
      <c r="A975" t="s">
        <v>1306</v>
      </c>
      <c r="C975" t="s">
        <v>150</v>
      </c>
      <c r="D975">
        <v>1598343</v>
      </c>
      <c r="E975">
        <v>0</v>
      </c>
      <c r="F975">
        <v>0</v>
      </c>
      <c r="G975">
        <v>1217.71</v>
      </c>
      <c r="H975">
        <v>-1217.71</v>
      </c>
      <c r="I975">
        <v>0</v>
      </c>
      <c r="J975">
        <v>0</v>
      </c>
      <c r="K975">
        <v>1598343</v>
      </c>
      <c r="L975">
        <v>1698239.4375</v>
      </c>
      <c r="M975">
        <v>1817116.1981250001</v>
      </c>
      <c r="N975">
        <v>1944314.3319937501</v>
      </c>
      <c r="O975" t="s">
        <v>3102</v>
      </c>
      <c r="P975" t="s">
        <v>3103</v>
      </c>
      <c r="Q975" t="s">
        <v>3104</v>
      </c>
    </row>
    <row r="976" spans="1:17" x14ac:dyDescent="0.25">
      <c r="A976" t="s">
        <v>1307</v>
      </c>
      <c r="C976" t="s">
        <v>151</v>
      </c>
      <c r="D976">
        <v>72197</v>
      </c>
      <c r="E976">
        <v>0</v>
      </c>
      <c r="F976">
        <v>0</v>
      </c>
      <c r="G976">
        <v>1217.71</v>
      </c>
      <c r="H976">
        <v>-1217.71</v>
      </c>
      <c r="I976">
        <v>0</v>
      </c>
      <c r="J976">
        <v>-21394.460000000006</v>
      </c>
      <c r="K976">
        <v>50802.539999999994</v>
      </c>
      <c r="L976">
        <v>53977.698749999996</v>
      </c>
      <c r="M976">
        <v>57756.137662499998</v>
      </c>
      <c r="N976">
        <v>61799.067298874994</v>
      </c>
      <c r="O976" t="s">
        <v>3102</v>
      </c>
      <c r="P976" t="s">
        <v>3103</v>
      </c>
      <c r="Q976" t="s">
        <v>3104</v>
      </c>
    </row>
    <row r="977" spans="1:17" x14ac:dyDescent="0.25">
      <c r="A977" t="s">
        <v>1308</v>
      </c>
      <c r="C977" t="s">
        <v>155</v>
      </c>
      <c r="D977">
        <v>51270</v>
      </c>
      <c r="E977">
        <v>0</v>
      </c>
      <c r="F977">
        <v>0</v>
      </c>
      <c r="G977">
        <v>1217.71</v>
      </c>
      <c r="H977">
        <v>-1217.71</v>
      </c>
      <c r="I977">
        <v>0</v>
      </c>
      <c r="J977">
        <v>0</v>
      </c>
      <c r="K977">
        <v>51270</v>
      </c>
      <c r="L977">
        <v>54474.375</v>
      </c>
      <c r="M977">
        <v>58287.581250000003</v>
      </c>
      <c r="N977">
        <v>62367.711937500004</v>
      </c>
      <c r="O977" t="s">
        <v>3102</v>
      </c>
      <c r="P977" t="s">
        <v>3103</v>
      </c>
      <c r="Q977" t="s">
        <v>3104</v>
      </c>
    </row>
    <row r="978" spans="1:17" x14ac:dyDescent="0.25">
      <c r="A978" t="s">
        <v>1309</v>
      </c>
      <c r="C978" t="s">
        <v>157</v>
      </c>
      <c r="D978">
        <v>75281</v>
      </c>
      <c r="E978">
        <v>0</v>
      </c>
      <c r="F978">
        <v>0</v>
      </c>
      <c r="G978">
        <v>1217.71</v>
      </c>
      <c r="H978">
        <v>-1217.71</v>
      </c>
      <c r="I978">
        <v>0</v>
      </c>
      <c r="J978">
        <v>-10000</v>
      </c>
      <c r="K978">
        <v>65281</v>
      </c>
      <c r="L978">
        <v>69361.0625</v>
      </c>
      <c r="M978">
        <v>74216.336874999994</v>
      </c>
      <c r="N978">
        <v>79411.480456249992</v>
      </c>
      <c r="O978" t="s">
        <v>3102</v>
      </c>
      <c r="P978" t="s">
        <v>3103</v>
      </c>
      <c r="Q978" t="s">
        <v>3104</v>
      </c>
    </row>
    <row r="979" spans="1:17" x14ac:dyDescent="0.25">
      <c r="A979" t="s">
        <v>1310</v>
      </c>
      <c r="C979" t="s">
        <v>159</v>
      </c>
      <c r="D979">
        <v>129955</v>
      </c>
      <c r="E979">
        <v>0</v>
      </c>
      <c r="F979">
        <v>0</v>
      </c>
      <c r="G979">
        <v>1217.71</v>
      </c>
      <c r="H979">
        <v>-1217.71</v>
      </c>
      <c r="I979">
        <v>0</v>
      </c>
      <c r="J979">
        <v>0</v>
      </c>
      <c r="K979">
        <v>129955</v>
      </c>
      <c r="L979">
        <v>138077.1875</v>
      </c>
      <c r="M979">
        <v>147742.59062500001</v>
      </c>
      <c r="N979">
        <v>158084.57196875001</v>
      </c>
      <c r="O979" t="s">
        <v>3102</v>
      </c>
      <c r="P979" t="s">
        <v>3103</v>
      </c>
      <c r="Q979" t="s">
        <v>3104</v>
      </c>
    </row>
    <row r="980" spans="1:17" x14ac:dyDescent="0.25">
      <c r="A980" t="s">
        <v>1311</v>
      </c>
      <c r="C980" t="s">
        <v>161</v>
      </c>
      <c r="D980">
        <v>22568</v>
      </c>
      <c r="E980">
        <v>0</v>
      </c>
      <c r="F980">
        <v>0</v>
      </c>
      <c r="G980">
        <v>1217.71</v>
      </c>
      <c r="H980">
        <v>-1217.71</v>
      </c>
      <c r="I980">
        <v>0</v>
      </c>
      <c r="J980">
        <v>0</v>
      </c>
      <c r="K980">
        <v>22568</v>
      </c>
      <c r="L980">
        <v>23978.5</v>
      </c>
      <c r="M980">
        <v>25656.994999999999</v>
      </c>
      <c r="N980">
        <v>27452.984649999999</v>
      </c>
      <c r="O980" t="s">
        <v>3102</v>
      </c>
      <c r="P980" t="s">
        <v>3103</v>
      </c>
      <c r="Q980" t="s">
        <v>3104</v>
      </c>
    </row>
    <row r="981" spans="1:17" x14ac:dyDescent="0.25">
      <c r="A981" t="s">
        <v>1312</v>
      </c>
      <c r="C981" t="s">
        <v>162</v>
      </c>
      <c r="D981">
        <v>0</v>
      </c>
      <c r="E981">
        <v>0</v>
      </c>
      <c r="F981">
        <v>0</v>
      </c>
      <c r="G981">
        <v>1217.71</v>
      </c>
      <c r="H981">
        <v>-1217.71</v>
      </c>
      <c r="I981">
        <v>0</v>
      </c>
      <c r="J981">
        <v>10000</v>
      </c>
      <c r="K981">
        <v>10000</v>
      </c>
      <c r="L981">
        <v>10625</v>
      </c>
      <c r="M981">
        <v>11368.75</v>
      </c>
      <c r="N981">
        <v>12164.5625</v>
      </c>
      <c r="O981" t="s">
        <v>3102</v>
      </c>
      <c r="P981" t="s">
        <v>3103</v>
      </c>
      <c r="Q981" t="s">
        <v>3104</v>
      </c>
    </row>
    <row r="982" spans="1:17" x14ac:dyDescent="0.25">
      <c r="A982" t="s">
        <v>1313</v>
      </c>
      <c r="C982" t="s">
        <v>167</v>
      </c>
      <c r="D982">
        <v>674</v>
      </c>
      <c r="E982">
        <v>0</v>
      </c>
      <c r="F982">
        <v>0</v>
      </c>
      <c r="G982">
        <v>1217.71</v>
      </c>
      <c r="H982">
        <v>-1217.71</v>
      </c>
      <c r="I982">
        <v>0</v>
      </c>
      <c r="J982">
        <v>0</v>
      </c>
      <c r="K982">
        <v>674</v>
      </c>
      <c r="L982">
        <v>716.125</v>
      </c>
      <c r="M982">
        <v>766.25374999999997</v>
      </c>
      <c r="N982">
        <v>819.89151249999998</v>
      </c>
      <c r="O982" t="s">
        <v>3102</v>
      </c>
      <c r="P982" t="s">
        <v>3103</v>
      </c>
      <c r="Q982" t="s">
        <v>3104</v>
      </c>
    </row>
    <row r="983" spans="1:17" x14ac:dyDescent="0.25">
      <c r="A983" t="s">
        <v>1314</v>
      </c>
      <c r="C983" t="s">
        <v>168</v>
      </c>
      <c r="D983">
        <v>67191</v>
      </c>
      <c r="E983">
        <v>0</v>
      </c>
      <c r="F983">
        <v>0</v>
      </c>
      <c r="G983">
        <v>1217.71</v>
      </c>
      <c r="H983">
        <v>-1217.71</v>
      </c>
      <c r="I983">
        <v>0</v>
      </c>
      <c r="J983">
        <v>0</v>
      </c>
      <c r="K983">
        <v>67191</v>
      </c>
      <c r="L983">
        <v>71390.4375</v>
      </c>
      <c r="M983">
        <v>76387.768125000002</v>
      </c>
      <c r="N983">
        <v>81734.911893750002</v>
      </c>
      <c r="O983" t="s">
        <v>3102</v>
      </c>
      <c r="P983" t="s">
        <v>3103</v>
      </c>
      <c r="Q983" t="s">
        <v>3104</v>
      </c>
    </row>
    <row r="984" spans="1:17" x14ac:dyDescent="0.25">
      <c r="A984" t="s">
        <v>1315</v>
      </c>
      <c r="C984" t="s">
        <v>169</v>
      </c>
      <c r="D984">
        <v>343082</v>
      </c>
      <c r="E984">
        <v>0</v>
      </c>
      <c r="F984">
        <v>0</v>
      </c>
      <c r="G984">
        <v>1217.71</v>
      </c>
      <c r="H984">
        <v>-1217.71</v>
      </c>
      <c r="I984">
        <v>0</v>
      </c>
      <c r="J984">
        <v>0</v>
      </c>
      <c r="K984">
        <v>343082</v>
      </c>
      <c r="L984">
        <v>364524.625</v>
      </c>
      <c r="M984">
        <v>390041.34875</v>
      </c>
      <c r="N984">
        <v>417344.24316250003</v>
      </c>
      <c r="O984" t="s">
        <v>3102</v>
      </c>
      <c r="P984" t="s">
        <v>3103</v>
      </c>
      <c r="Q984" t="s">
        <v>3104</v>
      </c>
    </row>
    <row r="985" spans="1:17" x14ac:dyDescent="0.25">
      <c r="A985" t="s">
        <v>1316</v>
      </c>
      <c r="C985" t="s">
        <v>170</v>
      </c>
      <c r="D985">
        <v>12495</v>
      </c>
      <c r="E985">
        <v>0</v>
      </c>
      <c r="F985">
        <v>0</v>
      </c>
      <c r="G985">
        <v>1217.71</v>
      </c>
      <c r="H985">
        <v>-1217.71</v>
      </c>
      <c r="I985">
        <v>0</v>
      </c>
      <c r="J985">
        <v>0</v>
      </c>
      <c r="K985">
        <v>12495</v>
      </c>
      <c r="L985">
        <v>13275.9375</v>
      </c>
      <c r="M985">
        <v>14205.253124999999</v>
      </c>
      <c r="N985">
        <v>15199.620843749999</v>
      </c>
      <c r="O985" t="s">
        <v>3102</v>
      </c>
      <c r="P985" t="s">
        <v>3103</v>
      </c>
      <c r="Q985" t="s">
        <v>3104</v>
      </c>
    </row>
    <row r="986" spans="1:17" x14ac:dyDescent="0.25">
      <c r="A986" t="s">
        <v>1317</v>
      </c>
      <c r="C986" t="s">
        <v>173</v>
      </c>
      <c r="D986">
        <v>30119</v>
      </c>
      <c r="E986">
        <v>0</v>
      </c>
      <c r="F986">
        <v>0</v>
      </c>
      <c r="G986">
        <v>1217.71</v>
      </c>
      <c r="H986">
        <v>-1217.71</v>
      </c>
      <c r="I986">
        <v>0</v>
      </c>
      <c r="J986">
        <v>0</v>
      </c>
      <c r="K986">
        <v>30119</v>
      </c>
      <c r="L986">
        <v>32001.4375</v>
      </c>
      <c r="M986">
        <v>34241.538124999999</v>
      </c>
      <c r="N986">
        <v>36638.445793749997</v>
      </c>
      <c r="O986" t="s">
        <v>3102</v>
      </c>
      <c r="P986" t="s">
        <v>3103</v>
      </c>
      <c r="Q986" t="s">
        <v>3111</v>
      </c>
    </row>
    <row r="987" spans="1:17" x14ac:dyDescent="0.25">
      <c r="A987" t="s">
        <v>1318</v>
      </c>
      <c r="C987" t="s">
        <v>174</v>
      </c>
      <c r="D987">
        <v>42336</v>
      </c>
      <c r="E987">
        <v>0</v>
      </c>
      <c r="F987">
        <v>0</v>
      </c>
      <c r="G987">
        <v>1217.71</v>
      </c>
      <c r="H987">
        <v>-1217.71</v>
      </c>
      <c r="I987">
        <v>0</v>
      </c>
      <c r="J987">
        <v>0</v>
      </c>
      <c r="K987">
        <v>42336</v>
      </c>
      <c r="L987">
        <v>44982</v>
      </c>
      <c r="M987">
        <v>48130.74</v>
      </c>
      <c r="N987">
        <v>51499.891799999998</v>
      </c>
      <c r="O987" t="s">
        <v>3102</v>
      </c>
      <c r="P987" t="s">
        <v>3103</v>
      </c>
      <c r="Q987" t="s">
        <v>3111</v>
      </c>
    </row>
    <row r="988" spans="1:17" x14ac:dyDescent="0.25">
      <c r="A988" t="s">
        <v>1319</v>
      </c>
      <c r="C988" t="s">
        <v>175</v>
      </c>
      <c r="D988">
        <v>28718</v>
      </c>
      <c r="E988">
        <v>0</v>
      </c>
      <c r="F988">
        <v>0</v>
      </c>
      <c r="G988">
        <v>1217.71</v>
      </c>
      <c r="H988">
        <v>-1217.71</v>
      </c>
      <c r="I988">
        <v>0</v>
      </c>
      <c r="J988">
        <v>0</v>
      </c>
      <c r="K988">
        <v>28718</v>
      </c>
      <c r="L988">
        <v>30512.875</v>
      </c>
      <c r="M988">
        <v>32648.776249999999</v>
      </c>
      <c r="N988">
        <v>34934.190587500001</v>
      </c>
      <c r="O988" t="s">
        <v>3102</v>
      </c>
      <c r="P988" t="s">
        <v>3103</v>
      </c>
      <c r="Q988" t="s">
        <v>3111</v>
      </c>
    </row>
    <row r="989" spans="1:17" x14ac:dyDescent="0.25">
      <c r="A989" t="s">
        <v>1320</v>
      </c>
      <c r="C989" t="s">
        <v>265</v>
      </c>
      <c r="D989">
        <v>50136</v>
      </c>
      <c r="E989">
        <v>0</v>
      </c>
      <c r="F989">
        <v>0</v>
      </c>
      <c r="G989">
        <v>1217.71</v>
      </c>
      <c r="H989">
        <v>-1217.71</v>
      </c>
      <c r="I989">
        <v>0</v>
      </c>
      <c r="J989">
        <v>0</v>
      </c>
      <c r="K989">
        <v>50136</v>
      </c>
      <c r="L989">
        <v>52392.12</v>
      </c>
      <c r="M989">
        <v>54802.157520000001</v>
      </c>
      <c r="N989">
        <v>57323.056765920002</v>
      </c>
      <c r="O989" t="s">
        <v>3102</v>
      </c>
      <c r="P989" t="s">
        <v>3110</v>
      </c>
      <c r="Q989" t="s">
        <v>3104</v>
      </c>
    </row>
    <row r="990" spans="1:17" x14ac:dyDescent="0.25">
      <c r="A990" t="s">
        <v>1321</v>
      </c>
      <c r="C990" t="s">
        <v>268</v>
      </c>
      <c r="D990">
        <v>11957</v>
      </c>
      <c r="E990">
        <v>0</v>
      </c>
      <c r="F990">
        <v>0</v>
      </c>
      <c r="G990">
        <v>1217.71</v>
      </c>
      <c r="H990">
        <v>-1217.71</v>
      </c>
      <c r="I990">
        <v>0</v>
      </c>
      <c r="J990">
        <v>-10000</v>
      </c>
      <c r="K990">
        <v>1957</v>
      </c>
      <c r="L990">
        <v>2045.0650000000001</v>
      </c>
      <c r="M990">
        <v>2139.1379900000002</v>
      </c>
      <c r="N990">
        <v>2237.5383375400002</v>
      </c>
      <c r="O990" t="s">
        <v>3102</v>
      </c>
      <c r="P990" t="s">
        <v>3110</v>
      </c>
      <c r="Q990" t="s">
        <v>3104</v>
      </c>
    </row>
    <row r="993" spans="14:14" x14ac:dyDescent="0.25">
      <c r="N993">
        <v>-20114016.205975369</v>
      </c>
    </row>
    <row r="994" spans="14:14" x14ac:dyDescent="0.25">
      <c r="N994">
        <v>37855262.600053877</v>
      </c>
    </row>
    <row r="995" spans="14:14" x14ac:dyDescent="0.25">
      <c r="N995">
        <v>57969278.806029245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23"/>
  <sheetViews>
    <sheetView workbookViewId="0">
      <selection activeCell="E25" sqref="E25"/>
    </sheetView>
  </sheetViews>
  <sheetFormatPr defaultRowHeight="15" x14ac:dyDescent="0.25"/>
  <cols>
    <col min="1" max="1" width="28.7109375" bestFit="1" customWidth="1"/>
    <col min="2" max="4" width="32.42578125" style="67" customWidth="1"/>
    <col min="5" max="5" width="14.28515625" style="67" bestFit="1" customWidth="1"/>
    <col min="6" max="6" width="14.28515625" style="67" customWidth="1"/>
    <col min="7" max="7" width="14.28515625" style="67" bestFit="1" customWidth="1"/>
    <col min="8" max="8" width="12.28515625" style="67" bestFit="1" customWidth="1"/>
    <col min="9" max="9" width="14.28515625" style="67" bestFit="1" customWidth="1"/>
    <col min="10" max="10" width="11.42578125" style="67" bestFit="1" customWidth="1"/>
    <col min="11" max="11" width="8.85546875" style="67"/>
  </cols>
  <sheetData>
    <row r="3" spans="1:10" x14ac:dyDescent="0.25">
      <c r="A3" s="252" t="s">
        <v>3244</v>
      </c>
      <c r="B3" s="67" t="s">
        <v>3247</v>
      </c>
      <c r="C3" s="67" t="s">
        <v>3248</v>
      </c>
      <c r="D3" s="67" t="s">
        <v>3249</v>
      </c>
    </row>
    <row r="4" spans="1:10" x14ac:dyDescent="0.25">
      <c r="A4" s="253" t="s">
        <v>3100</v>
      </c>
      <c r="B4" s="67">
        <v>-282317026.79799992</v>
      </c>
      <c r="C4" s="67">
        <v>-286963960.56374812</v>
      </c>
      <c r="D4" s="67">
        <v>-304169672.4377628</v>
      </c>
    </row>
    <row r="5" spans="1:10" x14ac:dyDescent="0.25">
      <c r="A5" s="254">
        <v>0</v>
      </c>
      <c r="B5" s="67">
        <v>-282317026.79799992</v>
      </c>
      <c r="C5" s="67">
        <v>-286963960.56374812</v>
      </c>
      <c r="D5" s="67">
        <v>-304169672.4377628</v>
      </c>
    </row>
    <row r="6" spans="1:10" x14ac:dyDescent="0.25">
      <c r="A6" s="253" t="s">
        <v>3102</v>
      </c>
      <c r="B6" s="67">
        <v>220644153.83742499</v>
      </c>
      <c r="C6" s="67">
        <v>231172725.95339149</v>
      </c>
      <c r="D6" s="67">
        <v>243731145.18024364</v>
      </c>
    </row>
    <row r="7" spans="1:10" x14ac:dyDescent="0.25">
      <c r="A7" s="254" t="s">
        <v>3186</v>
      </c>
      <c r="B7" s="67">
        <v>6099771.5899999999</v>
      </c>
      <c r="C7" s="67">
        <v>6374261.3115499998</v>
      </c>
      <c r="D7" s="67">
        <v>6661103.0705697499</v>
      </c>
      <c r="E7" s="67">
        <f>Summary!D42</f>
        <v>6099771.5899999999</v>
      </c>
      <c r="F7" s="67">
        <f>E7-GETPIVOTDATA("Sum of Draft Annual Budget 2020/21",$A$3,"e/i/c","2","summary type","Bad Debts Written off")</f>
        <v>0</v>
      </c>
      <c r="G7" s="67">
        <f>Summary!E42</f>
        <v>6374261.3115499998</v>
      </c>
      <c r="H7" s="67">
        <f>G7-GETPIVOTDATA("Sum of Draft Annual Budget 2021/22",$A$3,"e/i/c","2","summary type","Bad Debts Written off")</f>
        <v>0</v>
      </c>
      <c r="I7" s="67">
        <f>Summary!F42</f>
        <v>6661103.0705697499</v>
      </c>
      <c r="J7" s="67">
        <f>I7-GETPIVOTDATA("Sum of Draft Annual Budget 2022/23",$A$3,"e/i/c","2","summary type","Bad Debts Written off")</f>
        <v>0</v>
      </c>
    </row>
    <row r="8" spans="1:10" x14ac:dyDescent="0.25">
      <c r="A8" s="254" t="s">
        <v>3234</v>
      </c>
      <c r="B8" s="67">
        <v>8937708</v>
      </c>
      <c r="C8" s="67">
        <v>9402468.8159999996</v>
      </c>
      <c r="D8" s="67">
        <v>10239288.540624</v>
      </c>
      <c r="E8" s="67">
        <f>Summary!D39</f>
        <v>8937708</v>
      </c>
      <c r="F8" s="67">
        <f>E8-GETPIVOTDATA("Sum of Draft Annual Budget 2020/21",$A$3,"e/i/c","2","summary type","Bulk Purchases")</f>
        <v>0</v>
      </c>
      <c r="G8" s="67">
        <f>Summary!E39</f>
        <v>9402468.8159999996</v>
      </c>
      <c r="H8" s="67">
        <f>G8-GETPIVOTDATA("Sum of Draft Annual Budget 2021/22",$A$3,"e/i/c","2","summary type","Bulk Purchases")</f>
        <v>0</v>
      </c>
      <c r="I8" s="67">
        <f>Summary!F39</f>
        <v>10239288.540624</v>
      </c>
      <c r="J8" s="67">
        <f>I8-GETPIVOTDATA("Sum of Draft Annual Budget 2022/23",$A$3,"e/i/c","2","summary type","Bulk Purchases")</f>
        <v>0</v>
      </c>
    </row>
    <row r="9" spans="1:10" x14ac:dyDescent="0.25">
      <c r="A9" s="254" t="s">
        <v>3105</v>
      </c>
      <c r="B9" s="67">
        <v>30390733.540000007</v>
      </c>
      <c r="C9" s="67">
        <v>30742887.282839995</v>
      </c>
      <c r="D9" s="67">
        <v>30578238.097850639</v>
      </c>
      <c r="E9" s="67">
        <f>Summary!D36</f>
        <v>30390733.539999999</v>
      </c>
      <c r="F9" s="67">
        <f>E9-GETPIVOTDATA("Sum of Draft Annual Budget 2020/21",$A$3,"e/i/c","2","summary type","Contracted Services")</f>
        <v>0</v>
      </c>
      <c r="G9" s="67">
        <f>Summary!E36</f>
        <v>30742887.282839999</v>
      </c>
      <c r="H9" s="67">
        <f>G9-GETPIVOTDATA("Sum of Draft Annual Budget 2021/22",$A$3,"e/i/c","2","summary type","Contracted Services")</f>
        <v>0</v>
      </c>
      <c r="I9" s="67">
        <f>Summary!F36</f>
        <v>30578238.097850636</v>
      </c>
      <c r="J9" s="67">
        <f>I9-GETPIVOTDATA("Sum of Draft Annual Budget 2022/23",$A$3,"e/i/c","2","summary type","Contracted Services")</f>
        <v>0</v>
      </c>
    </row>
    <row r="10" spans="1:10" x14ac:dyDescent="0.25">
      <c r="A10" s="254" t="s">
        <v>3117</v>
      </c>
      <c r="B10" s="67">
        <v>15818385.150150025</v>
      </c>
      <c r="C10" s="67">
        <v>16545851.344416924</v>
      </c>
      <c r="D10" s="67">
        <v>17306772.905101303</v>
      </c>
      <c r="E10" s="67">
        <f>Summary!D43</f>
        <v>15818385.15015002</v>
      </c>
      <c r="F10" s="67">
        <f>E10-GETPIVOTDATA("Sum of Draft Annual Budget 2020/21",$A$3,"e/i/c","2","summary type","Depreciation &amp; Amortisation")</f>
        <v>0</v>
      </c>
      <c r="G10" s="67">
        <f>Summary!E43</f>
        <v>16545851.344416924</v>
      </c>
      <c r="H10" s="67">
        <f>G10-GETPIVOTDATA("Sum of Draft Annual Budget 2021/22",$A$3,"e/i/c","2","summary type","Depreciation &amp; Amortisation")</f>
        <v>0</v>
      </c>
      <c r="I10" s="67">
        <f>Summary!F43</f>
        <v>17306772.905101303</v>
      </c>
      <c r="J10" s="67">
        <f>I10-GETPIVOTDATA("Sum of Draft Annual Budget 2022/23",$A$3,"e/i/c","2","summary type","Depreciation &amp; Amortisation")</f>
        <v>0</v>
      </c>
    </row>
    <row r="11" spans="1:10" x14ac:dyDescent="0.25">
      <c r="A11" s="254" t="s">
        <v>3103</v>
      </c>
      <c r="B11" s="67">
        <v>98165142.058124989</v>
      </c>
      <c r="C11" s="67">
        <v>105054736.50219366</v>
      </c>
      <c r="D11" s="67">
        <v>112379131.55734734</v>
      </c>
      <c r="E11" s="67">
        <f>Summary!D34</f>
        <v>98165142.058125004</v>
      </c>
      <c r="F11" s="67">
        <f>E11-GETPIVOTDATA("Sum of Draft Annual Budget 2020/21",$A$3,"e/i/c","2","summary type","Employee Related Cost")</f>
        <v>0</v>
      </c>
      <c r="G11" s="67">
        <f>Summary!E34</f>
        <v>105054736.50219372</v>
      </c>
      <c r="H11" s="67">
        <f>G11-GETPIVOTDATA("Sum of Draft Annual Budget 2021/22",$A$3,"e/i/c","2","summary type","Employee Related Cost")</f>
        <v>0</v>
      </c>
      <c r="I11" s="67">
        <f>Summary!F34</f>
        <v>112379131.55734733</v>
      </c>
      <c r="J11" s="67">
        <f>I11-GETPIVOTDATA("Sum of Draft Annual Budget 2022/23",$A$3,"e/i/c","2","summary type","Employee Related Cost")</f>
        <v>0</v>
      </c>
    </row>
    <row r="12" spans="1:10" x14ac:dyDescent="0.25">
      <c r="A12" s="254" t="s">
        <v>3189</v>
      </c>
      <c r="B12" s="67">
        <v>1311773.8700000001</v>
      </c>
      <c r="C12" s="67">
        <v>1370803.6941500001</v>
      </c>
      <c r="D12" s="67">
        <v>1432489.8603867502</v>
      </c>
      <c r="E12" s="67">
        <f>Summary!D40</f>
        <v>1311773.8700000001</v>
      </c>
      <c r="F12" s="67">
        <f>E12-GETPIVOTDATA("Sum of Draft Annual Budget 2020/21",$A$3,"e/i/c","2","summary type","Interest Divid &amp; rent lan")</f>
        <v>0</v>
      </c>
      <c r="G12" s="67">
        <f>Summary!E40</f>
        <v>1370803.6941500001</v>
      </c>
      <c r="H12" s="67">
        <f>G12-GETPIVOTDATA("Sum of Draft Annual Budget 2021/22",$A$3,"e/i/c","2","summary type","Interest Divid &amp; rent lan")</f>
        <v>0</v>
      </c>
      <c r="I12" s="67">
        <f>Summary!F40</f>
        <v>1432489.8603867502</v>
      </c>
      <c r="J12" s="67">
        <f>I12-GETPIVOTDATA("Sum of Draft Annual Budget 2022/23",$A$3,"e/i/c","2","summary type","Interest Divid &amp; rent lan")</f>
        <v>0</v>
      </c>
    </row>
    <row r="13" spans="1:10" x14ac:dyDescent="0.25">
      <c r="A13" s="254" t="s">
        <v>3114</v>
      </c>
      <c r="B13" s="67">
        <v>5514217.0250000004</v>
      </c>
      <c r="C13" s="67">
        <v>5766230.2808200009</v>
      </c>
      <c r="D13" s="67">
        <v>6029762.3136778697</v>
      </c>
      <c r="E13" s="67">
        <f>Summary!D38</f>
        <v>5514217.0250000004</v>
      </c>
      <c r="F13" s="67">
        <f>E13-GETPIVOTDATA("Sum of Draft Annual Budget 2020/21",$A$3,"e/i/c","2","summary type","Inventory")</f>
        <v>0</v>
      </c>
      <c r="G13" s="67">
        <f>Summary!E38</f>
        <v>5766230.28082</v>
      </c>
      <c r="H13" s="67">
        <f>G13-GETPIVOTDATA("Sum of Draft Annual Budget 2021/22",$A$3,"e/i/c","2","summary type","Inventory")</f>
        <v>0</v>
      </c>
      <c r="I13" s="67">
        <f>Summary!F38</f>
        <v>6029762.3136778707</v>
      </c>
      <c r="J13" s="67">
        <f>I13-GETPIVOTDATA("Sum of Draft Annual Budget 2022/23",$A$3,"e/i/c","2","summary type","Inventory")</f>
        <v>0</v>
      </c>
    </row>
    <row r="14" spans="1:10" x14ac:dyDescent="0.25">
      <c r="A14" s="254" t="s">
        <v>3115</v>
      </c>
      <c r="B14" s="67">
        <v>2974441.7250000001</v>
      </c>
      <c r="C14" s="67">
        <v>3111266.0443500001</v>
      </c>
      <c r="D14" s="67">
        <v>3254384.2823901</v>
      </c>
      <c r="E14" s="67">
        <f>Summary!D41</f>
        <v>2974441.7250000001</v>
      </c>
      <c r="F14" s="67">
        <f>E14-GETPIVOTDATA("Sum of Draft Annual Budget 2020/21",$A$3,"e/i/c","2","summary type","Operating Lease ")</f>
        <v>0</v>
      </c>
      <c r="G14" s="67">
        <f>Summary!E41</f>
        <v>3111266.0443500001</v>
      </c>
      <c r="H14" s="67">
        <f>G14-GETPIVOTDATA("Sum of Draft Annual Budget 2021/22",$A$3,"e/i/c","2","summary type","Operating Lease ")</f>
        <v>0</v>
      </c>
      <c r="I14" s="67">
        <f>Summary!F41</f>
        <v>3254384.2823901</v>
      </c>
      <c r="J14" s="67">
        <f>I14-GETPIVOTDATA("Sum of Draft Annual Budget 2022/23",$A$3,"e/i/c","2","summary type","Operating Lease ")</f>
        <v>0</v>
      </c>
    </row>
    <row r="15" spans="1:10" x14ac:dyDescent="0.25">
      <c r="A15" s="254" t="s">
        <v>3110</v>
      </c>
      <c r="B15" s="67">
        <v>36421729.941649988</v>
      </c>
      <c r="C15" s="67">
        <v>36743252.173945911</v>
      </c>
      <c r="D15" s="67">
        <v>38664738.253952123</v>
      </c>
      <c r="E15" s="67">
        <f>Summary!D37</f>
        <v>36421729.941649996</v>
      </c>
      <c r="F15" s="67">
        <f>E15-GETPIVOTDATA("Sum of Draft Annual Budget 2020/21",$A$3,"e/i/c","2","summary type","Operational Cost")</f>
        <v>0</v>
      </c>
      <c r="G15" s="67">
        <f>Summary!E37</f>
        <v>36743252.173945904</v>
      </c>
      <c r="H15" s="67">
        <f>G15-GETPIVOTDATA("Sum of Draft Annual Budget 2021/22",$A$3,"e/i/c","2","summary type","Operational Cost")</f>
        <v>0</v>
      </c>
      <c r="I15" s="67">
        <f>Summary!F37</f>
        <v>38664738.253952101</v>
      </c>
      <c r="J15" s="67">
        <f>I15-GETPIVOTDATA("Sum of Draft Annual Budget 2022/23",$A$3,"e/i/c","2","summary type","Operational Cost")</f>
        <v>0</v>
      </c>
    </row>
    <row r="16" spans="1:10" x14ac:dyDescent="0.25">
      <c r="A16" s="254" t="s">
        <v>3161</v>
      </c>
      <c r="B16" s="67">
        <v>15010250.9375</v>
      </c>
      <c r="C16" s="67">
        <v>16060968.503124999</v>
      </c>
      <c r="D16" s="67">
        <v>17185236.298343752</v>
      </c>
      <c r="E16" s="67">
        <f>Summary!D35</f>
        <v>15010250.9375</v>
      </c>
      <c r="F16" s="67">
        <f>E16-GETPIVOTDATA("Sum of Draft Annual Budget 2020/21",$A$3,"e/i/c","2","summary type","Remuneration of Councillors")</f>
        <v>0</v>
      </c>
      <c r="G16" s="67">
        <f>Summary!E35</f>
        <v>16060968.503125001</v>
      </c>
      <c r="H16" s="67">
        <f>G16-GETPIVOTDATA("Sum of Draft Annual Budget 2021/22",$A$3,"e/i/c","2","summary type","Remuneration of Councillors")</f>
        <v>0</v>
      </c>
      <c r="I16" s="67">
        <f>Summary!F35</f>
        <v>17185236.298343748</v>
      </c>
      <c r="J16" s="67">
        <f>I16-GETPIVOTDATA("Sum of Draft Annual Budget 2022/23",$A$3,"e/i/c","2","summary type","Remuneration of Councillors")</f>
        <v>0</v>
      </c>
    </row>
    <row r="17" spans="1:10" x14ac:dyDescent="0.25">
      <c r="A17" s="253" t="s">
        <v>3137</v>
      </c>
      <c r="B17" s="67">
        <v>250000</v>
      </c>
      <c r="C17" s="67">
        <v>261500</v>
      </c>
      <c r="D17" s="67">
        <v>273529</v>
      </c>
    </row>
    <row r="18" spans="1:10" x14ac:dyDescent="0.25">
      <c r="A18" s="254" t="s">
        <v>3138</v>
      </c>
      <c r="B18" s="67">
        <v>250000</v>
      </c>
      <c r="C18" s="67">
        <v>261500</v>
      </c>
      <c r="D18" s="67">
        <v>273529</v>
      </c>
    </row>
    <row r="19" spans="1:10" x14ac:dyDescent="0.25">
      <c r="A19" s="253" t="s">
        <v>3118</v>
      </c>
      <c r="B19" s="67">
        <v>61599350</v>
      </c>
      <c r="C19" s="67">
        <v>55851049.780000001</v>
      </c>
      <c r="D19" s="67">
        <v>60591560</v>
      </c>
    </row>
    <row r="20" spans="1:10" x14ac:dyDescent="0.25">
      <c r="A20" s="254">
        <v>0</v>
      </c>
      <c r="B20" s="67">
        <v>61599350</v>
      </c>
      <c r="C20" s="67">
        <v>55851049.780000001</v>
      </c>
      <c r="D20" s="67">
        <v>60591560</v>
      </c>
      <c r="E20" s="67">
        <f>Summary!D48</f>
        <v>61599350</v>
      </c>
      <c r="F20" s="67">
        <f>E20-GETPIVOTDATA("Sum of Draft Annual Budget 2020/21",$A$3,"e/i/c","6","summary type",0)</f>
        <v>0</v>
      </c>
      <c r="G20" s="67">
        <f>'Executive Summary'!E12</f>
        <v>55851049.780000001</v>
      </c>
      <c r="H20" s="67">
        <f>G20-GETPIVOTDATA("Sum of Draft Annual Budget 2021/22",$A$3,"e/i/c","6","summary type",0)</f>
        <v>0</v>
      </c>
      <c r="I20" s="67">
        <f>Summary!F48</f>
        <v>60591560</v>
      </c>
      <c r="J20" s="67">
        <f>I20-GETPIVOTDATA("Sum of Draft Annual Budget 2022/23",$A$3,"e/i/c","6","summary type",0)</f>
        <v>0</v>
      </c>
    </row>
    <row r="21" spans="1:10" x14ac:dyDescent="0.25">
      <c r="A21" s="253" t="s">
        <v>3245</v>
      </c>
    </row>
    <row r="22" spans="1:10" x14ac:dyDescent="0.25">
      <c r="A22" s="254" t="s">
        <v>3245</v>
      </c>
    </row>
    <row r="23" spans="1:10" x14ac:dyDescent="0.25">
      <c r="A23" s="253" t="s">
        <v>3246</v>
      </c>
      <c r="B23" s="67">
        <v>176477.03942508996</v>
      </c>
      <c r="C23" s="67">
        <v>321315.1696433574</v>
      </c>
      <c r="D23" s="67">
        <v>426561.74248087406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tabSelected="1" topLeftCell="A2" zoomScaleNormal="100" workbookViewId="0">
      <selection activeCell="B6" sqref="B6"/>
    </sheetView>
  </sheetViews>
  <sheetFormatPr defaultColWidth="9.140625" defaultRowHeight="14.25" x14ac:dyDescent="0.2"/>
  <cols>
    <col min="1" max="1" width="40.7109375" style="1" customWidth="1"/>
    <col min="2" max="2" width="17.42578125" style="178" bestFit="1" customWidth="1"/>
    <col min="3" max="3" width="17" style="37" customWidth="1"/>
    <col min="4" max="5" width="17.42578125" style="37" bestFit="1" customWidth="1"/>
    <col min="6" max="6" width="17.5703125" style="37" customWidth="1"/>
    <col min="7" max="16384" width="9.140625" style="1"/>
  </cols>
  <sheetData>
    <row r="1" spans="1:6" s="2" customFormat="1" ht="15.75" hidden="1" thickBot="1" x14ac:dyDescent="0.3">
      <c r="A1" s="10" t="s">
        <v>1332</v>
      </c>
      <c r="B1" s="163"/>
      <c r="C1" s="164"/>
      <c r="D1" s="164"/>
      <c r="E1" s="165"/>
      <c r="F1" s="38"/>
    </row>
    <row r="2" spans="1:6" s="2" customFormat="1" ht="15" customHeight="1" thickBot="1" x14ac:dyDescent="0.3">
      <c r="A2" s="240" t="s">
        <v>1332</v>
      </c>
      <c r="B2" s="241"/>
      <c r="C2" s="242"/>
      <c r="D2" s="242"/>
      <c r="E2" s="242"/>
      <c r="F2" s="242"/>
    </row>
    <row r="3" spans="1:6" s="2" customFormat="1" ht="60.75" thickBot="1" x14ac:dyDescent="0.3">
      <c r="A3" s="11" t="s">
        <v>1328</v>
      </c>
      <c r="B3" s="166" t="s">
        <v>1336</v>
      </c>
      <c r="C3" s="154" t="s">
        <v>3012</v>
      </c>
      <c r="D3" s="41" t="s">
        <v>3013</v>
      </c>
      <c r="E3" s="137" t="s">
        <v>3014</v>
      </c>
      <c r="F3" s="41" t="s">
        <v>3015</v>
      </c>
    </row>
    <row r="4" spans="1:6" s="2" customFormat="1" ht="15" x14ac:dyDescent="0.25">
      <c r="A4" s="15"/>
      <c r="B4" s="167"/>
      <c r="C4" s="168"/>
      <c r="D4" s="169"/>
      <c r="E4" s="170"/>
      <c r="F4" s="149"/>
    </row>
    <row r="5" spans="1:6" x14ac:dyDescent="0.2">
      <c r="A5" s="16" t="s">
        <v>39</v>
      </c>
      <c r="B5" s="171">
        <f>Summary!B29</f>
        <v>-181299010</v>
      </c>
      <c r="C5" s="171">
        <f>Summary!C29</f>
        <v>-191025010</v>
      </c>
      <c r="D5" s="171">
        <f>Summary!D29</f>
        <v>-205424000</v>
      </c>
      <c r="E5" s="171">
        <f>Summary!E29</f>
        <v>-205968000</v>
      </c>
      <c r="F5" s="171">
        <f>Summary!F29</f>
        <v>-216243000</v>
      </c>
    </row>
    <row r="6" spans="1:6" x14ac:dyDescent="0.2">
      <c r="A6" s="16" t="s">
        <v>1334</v>
      </c>
      <c r="B6" s="171">
        <f>Summary!B30</f>
        <v>-79690823</v>
      </c>
      <c r="C6" s="171">
        <f>Summary!C30</f>
        <v>-75532626</v>
      </c>
      <c r="D6" s="171">
        <f>Summary!D30</f>
        <v>-77069503.798000038</v>
      </c>
      <c r="E6" s="171">
        <f>Summary!E30</f>
        <v>-81317275.563748002</v>
      </c>
      <c r="F6" s="171">
        <f>Summary!F30</f>
        <v>-88353234.437762737</v>
      </c>
    </row>
    <row r="7" spans="1:6" x14ac:dyDescent="0.2">
      <c r="A7" s="16"/>
      <c r="B7" s="171"/>
      <c r="C7" s="172"/>
      <c r="D7" s="46"/>
      <c r="E7" s="172"/>
      <c r="F7" s="46"/>
    </row>
    <row r="8" spans="1:6" ht="15" x14ac:dyDescent="0.25">
      <c r="A8" s="18" t="s">
        <v>1335</v>
      </c>
      <c r="B8" s="173">
        <f>SUM(B5:B7)</f>
        <v>-260989833</v>
      </c>
      <c r="C8" s="173">
        <f>C5+C6</f>
        <v>-266557636</v>
      </c>
      <c r="D8" s="173">
        <f>D5+D6</f>
        <v>-282493503.79800004</v>
      </c>
      <c r="E8" s="173">
        <f t="shared" ref="E8:F8" si="0">E5+E6</f>
        <v>-287285275.563748</v>
      </c>
      <c r="F8" s="173">
        <f t="shared" si="0"/>
        <v>-304596234.43776274</v>
      </c>
    </row>
    <row r="9" spans="1:6" s="2" customFormat="1" ht="15" x14ac:dyDescent="0.25">
      <c r="A9" s="16"/>
      <c r="B9" s="171"/>
      <c r="C9" s="172"/>
      <c r="D9" s="46"/>
      <c r="E9" s="172"/>
      <c r="F9" s="150"/>
    </row>
    <row r="10" spans="1:6" x14ac:dyDescent="0.2">
      <c r="A10" s="16" t="s">
        <v>305</v>
      </c>
      <c r="B10" s="171">
        <f>Summary!B46</f>
        <v>205548562</v>
      </c>
      <c r="C10" s="171">
        <f>Summary!C46</f>
        <v>212252851.33000001</v>
      </c>
      <c r="D10" s="171">
        <f>Summary!D46</f>
        <v>220894153.83742505</v>
      </c>
      <c r="E10" s="171">
        <f>Summary!E46</f>
        <v>231434225.95339152</v>
      </c>
      <c r="F10" s="171">
        <f>Summary!F46</f>
        <v>244004674.18024355</v>
      </c>
    </row>
    <row r="11" spans="1:6" x14ac:dyDescent="0.2">
      <c r="A11" s="16"/>
      <c r="B11" s="171"/>
      <c r="C11" s="172"/>
      <c r="D11" s="46"/>
      <c r="E11" s="172"/>
      <c r="F11" s="46"/>
    </row>
    <row r="12" spans="1:6" x14ac:dyDescent="0.2">
      <c r="A12" s="16" t="s">
        <v>320</v>
      </c>
      <c r="B12" s="171">
        <f>Summary!B48</f>
        <v>55441271</v>
      </c>
      <c r="C12" s="171">
        <f>Summary!C48</f>
        <v>54304784.5</v>
      </c>
      <c r="D12" s="171">
        <f>Summary!D48</f>
        <v>61599350</v>
      </c>
      <c r="E12" s="171">
        <f>Summary!E48</f>
        <v>55851049.780000001</v>
      </c>
      <c r="F12" s="171">
        <f>Summary!F48</f>
        <v>60591560</v>
      </c>
    </row>
    <row r="13" spans="1:6" x14ac:dyDescent="0.2">
      <c r="A13" s="16"/>
      <c r="B13" s="171"/>
      <c r="C13" s="172"/>
      <c r="D13" s="46"/>
      <c r="E13" s="172"/>
      <c r="F13" s="46"/>
    </row>
    <row r="14" spans="1:6" ht="15" x14ac:dyDescent="0.25">
      <c r="A14" s="18" t="s">
        <v>1330</v>
      </c>
      <c r="B14" s="173">
        <f>SUM(B10:B13)</f>
        <v>260989833</v>
      </c>
      <c r="C14" s="173">
        <f t="shared" ref="C14:F14" si="1">SUM(C10:C13)</f>
        <v>266557635.83000001</v>
      </c>
      <c r="D14" s="173">
        <f t="shared" si="1"/>
        <v>282493503.83742505</v>
      </c>
      <c r="E14" s="173">
        <f t="shared" si="1"/>
        <v>287285275.73339152</v>
      </c>
      <c r="F14" s="173">
        <f t="shared" si="1"/>
        <v>304596234.18024355</v>
      </c>
    </row>
    <row r="15" spans="1:6" s="2" customFormat="1" ht="15" x14ac:dyDescent="0.25">
      <c r="A15" s="18"/>
      <c r="B15" s="173"/>
      <c r="C15" s="174"/>
      <c r="D15" s="150"/>
      <c r="E15" s="174"/>
      <c r="F15" s="150"/>
    </row>
    <row r="16" spans="1:6" s="2" customFormat="1" ht="15" x14ac:dyDescent="0.25">
      <c r="A16" s="18" t="s">
        <v>1331</v>
      </c>
      <c r="B16" s="173">
        <f>B8+B14</f>
        <v>0</v>
      </c>
      <c r="C16" s="173">
        <f>C8+C14</f>
        <v>-0.16999998688697815</v>
      </c>
      <c r="D16" s="173">
        <f>D8+D14</f>
        <v>3.9425015449523926E-2</v>
      </c>
      <c r="E16" s="173">
        <f>E8+E14</f>
        <v>0.16964352130889893</v>
      </c>
      <c r="F16" s="173">
        <f>F8+F14</f>
        <v>-0.2575191855430603</v>
      </c>
    </row>
    <row r="17" spans="1:6" s="2" customFormat="1" ht="15.75" thickBot="1" x14ac:dyDescent="0.3">
      <c r="A17" s="19"/>
      <c r="B17" s="175"/>
      <c r="C17" s="176"/>
      <c r="D17" s="177"/>
      <c r="E17" s="176"/>
      <c r="F17" s="151"/>
    </row>
  </sheetData>
  <pageMargins left="0.7" right="0.7" top="0.75" bottom="0.75" header="0.3" footer="0.3"/>
  <pageSetup scale="89" orientation="landscape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3059"/>
  <sheetViews>
    <sheetView workbookViewId="0">
      <selection activeCell="D901" sqref="D901"/>
    </sheetView>
  </sheetViews>
  <sheetFormatPr defaultRowHeight="15" x14ac:dyDescent="0.25"/>
  <cols>
    <col min="1" max="1" width="27.28515625" customWidth="1"/>
    <col min="2" max="2" width="13.42578125" customWidth="1"/>
    <col min="3" max="3" width="42.42578125" customWidth="1"/>
    <col min="4" max="4" width="27.28515625" style="67" customWidth="1"/>
    <col min="5" max="10" width="4.28515625" customWidth="1"/>
    <col min="11" max="14" width="27.28515625" style="249" customWidth="1"/>
    <col min="16" max="16" width="24.5703125" bestFit="1" customWidth="1"/>
  </cols>
  <sheetData>
    <row r="1" spans="1:16" ht="30" x14ac:dyDescent="0.25">
      <c r="A1" t="s">
        <v>0</v>
      </c>
      <c r="B1" t="s">
        <v>1356</v>
      </c>
      <c r="C1" t="s">
        <v>1</v>
      </c>
      <c r="D1" s="67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1322</v>
      </c>
      <c r="K1" s="249" t="s">
        <v>3012</v>
      </c>
      <c r="L1" s="249" t="s">
        <v>3013</v>
      </c>
      <c r="M1" s="249" t="s">
        <v>3014</v>
      </c>
      <c r="N1" s="249" t="s">
        <v>3015</v>
      </c>
      <c r="O1" s="249" t="s">
        <v>3096</v>
      </c>
      <c r="P1" s="249" t="s">
        <v>3243</v>
      </c>
    </row>
    <row r="2" spans="1:16" hidden="1" x14ac:dyDescent="0.25">
      <c r="A2" t="s">
        <v>322</v>
      </c>
      <c r="C2" t="s">
        <v>89</v>
      </c>
      <c r="D2" s="67">
        <v>-276424</v>
      </c>
      <c r="E2">
        <v>0</v>
      </c>
      <c r="F2">
        <v>0</v>
      </c>
      <c r="G2">
        <v>-712288.67</v>
      </c>
      <c r="H2">
        <v>435864.67</v>
      </c>
      <c r="I2">
        <v>257.67</v>
      </c>
      <c r="J2">
        <v>276424</v>
      </c>
      <c r="K2" s="249">
        <v>0</v>
      </c>
      <c r="L2" s="249">
        <v>-1000000</v>
      </c>
      <c r="M2" s="249">
        <v>-1046000</v>
      </c>
      <c r="N2" s="249">
        <v>-1094116</v>
      </c>
      <c r="O2" t="str">
        <f>MID(A2,5,1)</f>
        <v>1</v>
      </c>
      <c r="P2">
        <f t="shared" ref="P2:P65" si="0">VLOOKUP(A2,bud_321,16,FALSE)</f>
        <v>0</v>
      </c>
    </row>
    <row r="3" spans="1:16" hidden="1" x14ac:dyDescent="0.25">
      <c r="A3" t="s">
        <v>323</v>
      </c>
      <c r="C3" t="s">
        <v>116</v>
      </c>
      <c r="D3" s="67">
        <v>745888</v>
      </c>
      <c r="E3">
        <v>71806.25</v>
      </c>
      <c r="F3">
        <v>0</v>
      </c>
      <c r="G3">
        <v>430837.5</v>
      </c>
      <c r="H3">
        <v>315050.5</v>
      </c>
      <c r="I3">
        <v>57.761688081856796</v>
      </c>
      <c r="J3">
        <v>0</v>
      </c>
      <c r="K3" s="249">
        <v>745888</v>
      </c>
      <c r="L3" s="249">
        <v>792506</v>
      </c>
      <c r="M3" s="249">
        <v>847981.42</v>
      </c>
      <c r="N3" s="249">
        <v>907340.11940000008</v>
      </c>
      <c r="O3" t="str">
        <f t="shared" ref="O3:O66" si="1">MID(A3,5,1)</f>
        <v>2</v>
      </c>
      <c r="P3" t="str">
        <f t="shared" si="0"/>
        <v>Employee Related Cost</v>
      </c>
    </row>
    <row r="4" spans="1:16" hidden="1" x14ac:dyDescent="0.25">
      <c r="A4" t="s">
        <v>324</v>
      </c>
      <c r="C4" t="s">
        <v>117</v>
      </c>
      <c r="D4" s="67">
        <v>37294</v>
      </c>
      <c r="E4">
        <v>0</v>
      </c>
      <c r="F4">
        <v>0</v>
      </c>
      <c r="G4">
        <v>0</v>
      </c>
      <c r="H4">
        <v>37294</v>
      </c>
      <c r="I4">
        <v>0</v>
      </c>
      <c r="J4">
        <v>0</v>
      </c>
      <c r="K4" s="249">
        <v>37294</v>
      </c>
      <c r="L4" s="249">
        <v>39624.875</v>
      </c>
      <c r="M4" s="249">
        <v>42398.616249999999</v>
      </c>
      <c r="N4" s="249">
        <v>45366.519387499997</v>
      </c>
      <c r="O4" t="str">
        <f t="shared" si="1"/>
        <v>2</v>
      </c>
      <c r="P4" t="str">
        <f t="shared" si="0"/>
        <v>Employee Related Cost</v>
      </c>
    </row>
    <row r="5" spans="1:16" hidden="1" x14ac:dyDescent="0.25">
      <c r="A5" t="s">
        <v>325</v>
      </c>
      <c r="C5" t="s">
        <v>118</v>
      </c>
      <c r="D5" s="67">
        <v>40000</v>
      </c>
      <c r="E5">
        <v>3333.33</v>
      </c>
      <c r="F5">
        <v>0</v>
      </c>
      <c r="G5">
        <v>19999.98</v>
      </c>
      <c r="H5">
        <v>20000.02</v>
      </c>
      <c r="I5">
        <v>49.999949999999998</v>
      </c>
      <c r="J5">
        <v>0</v>
      </c>
      <c r="K5" s="249">
        <v>40000</v>
      </c>
      <c r="L5" s="249">
        <v>42500</v>
      </c>
      <c r="M5" s="249">
        <v>45475</v>
      </c>
      <c r="N5" s="249">
        <v>48658.25</v>
      </c>
      <c r="O5" t="str">
        <f t="shared" si="1"/>
        <v>2</v>
      </c>
      <c r="P5" t="str">
        <f t="shared" si="0"/>
        <v>Employee Related Cost</v>
      </c>
    </row>
    <row r="6" spans="1:16" hidden="1" x14ac:dyDescent="0.25">
      <c r="A6" t="s">
        <v>326</v>
      </c>
      <c r="C6" t="s">
        <v>119</v>
      </c>
      <c r="D6" s="67">
        <v>147584</v>
      </c>
      <c r="E6">
        <v>0</v>
      </c>
      <c r="F6">
        <v>0</v>
      </c>
      <c r="G6">
        <v>0</v>
      </c>
      <c r="H6">
        <v>147584</v>
      </c>
      <c r="I6">
        <v>0</v>
      </c>
      <c r="J6">
        <v>0</v>
      </c>
      <c r="K6" s="249">
        <v>147584</v>
      </c>
      <c r="L6" s="249">
        <v>156808</v>
      </c>
      <c r="M6" s="249">
        <v>167784.56</v>
      </c>
      <c r="N6" s="249">
        <v>179529.4792</v>
      </c>
      <c r="O6" t="str">
        <f t="shared" si="1"/>
        <v>2</v>
      </c>
      <c r="P6" t="str">
        <f t="shared" si="0"/>
        <v>Employee Related Cost</v>
      </c>
    </row>
    <row r="7" spans="1:16" hidden="1" x14ac:dyDescent="0.25">
      <c r="A7" t="s">
        <v>327</v>
      </c>
      <c r="C7" t="s">
        <v>120</v>
      </c>
      <c r="D7" s="67">
        <v>15692</v>
      </c>
      <c r="E7">
        <v>0</v>
      </c>
      <c r="F7">
        <v>0</v>
      </c>
      <c r="G7">
        <v>0</v>
      </c>
      <c r="H7">
        <v>15692</v>
      </c>
      <c r="I7">
        <v>0</v>
      </c>
      <c r="J7">
        <v>0</v>
      </c>
      <c r="K7" s="249">
        <v>15692</v>
      </c>
      <c r="L7" s="249">
        <v>16672.75</v>
      </c>
      <c r="M7" s="249">
        <v>17839.842499999999</v>
      </c>
      <c r="N7" s="249">
        <v>19088.631474999998</v>
      </c>
      <c r="O7" t="str">
        <f t="shared" si="1"/>
        <v>2</v>
      </c>
      <c r="P7" t="str">
        <f t="shared" si="0"/>
        <v>Employee Related Cost</v>
      </c>
    </row>
    <row r="8" spans="1:16" hidden="1" x14ac:dyDescent="0.25">
      <c r="A8" t="s">
        <v>328</v>
      </c>
      <c r="C8" t="s">
        <v>121</v>
      </c>
      <c r="D8" s="67">
        <v>20876</v>
      </c>
      <c r="E8">
        <v>0</v>
      </c>
      <c r="F8">
        <v>0</v>
      </c>
      <c r="G8">
        <v>0</v>
      </c>
      <c r="H8">
        <v>20876</v>
      </c>
      <c r="I8">
        <v>0</v>
      </c>
      <c r="J8">
        <v>-20876</v>
      </c>
      <c r="K8" s="249">
        <v>0</v>
      </c>
      <c r="L8" s="249">
        <v>0</v>
      </c>
      <c r="M8" s="249">
        <v>0</v>
      </c>
      <c r="O8" t="str">
        <f t="shared" si="1"/>
        <v>2</v>
      </c>
      <c r="P8" t="str">
        <f t="shared" si="0"/>
        <v>Employee Related Cost</v>
      </c>
    </row>
    <row r="9" spans="1:16" hidden="1" x14ac:dyDescent="0.25">
      <c r="A9" t="s">
        <v>329</v>
      </c>
      <c r="C9" t="s">
        <v>150</v>
      </c>
      <c r="D9" s="67">
        <v>5188430</v>
      </c>
      <c r="E9">
        <v>498043.44</v>
      </c>
      <c r="F9">
        <v>0</v>
      </c>
      <c r="G9">
        <v>2905499.61</v>
      </c>
      <c r="H9">
        <v>2282930.39</v>
      </c>
      <c r="I9">
        <v>55.999591591290624</v>
      </c>
      <c r="J9">
        <v>0</v>
      </c>
      <c r="K9" s="249">
        <v>5188430</v>
      </c>
      <c r="L9" s="249">
        <v>5512706.875</v>
      </c>
      <c r="M9" s="249">
        <v>5898596.3562500002</v>
      </c>
      <c r="N9" s="249">
        <v>6311498.1011875002</v>
      </c>
      <c r="O9" t="str">
        <f t="shared" si="1"/>
        <v>2</v>
      </c>
      <c r="P9" t="str">
        <f t="shared" si="0"/>
        <v>Employee Related Cost</v>
      </c>
    </row>
    <row r="10" spans="1:16" hidden="1" x14ac:dyDescent="0.25">
      <c r="A10" t="s">
        <v>330</v>
      </c>
      <c r="C10" t="s">
        <v>151</v>
      </c>
      <c r="D10" s="67">
        <v>258705</v>
      </c>
      <c r="E10">
        <v>252230.43</v>
      </c>
      <c r="F10">
        <v>0</v>
      </c>
      <c r="G10">
        <v>426408.16</v>
      </c>
      <c r="H10">
        <v>-167703.15999999997</v>
      </c>
      <c r="I10">
        <v>164.82408921358302</v>
      </c>
      <c r="J10">
        <v>-39791.380000000005</v>
      </c>
      <c r="K10" s="249">
        <v>218913.62</v>
      </c>
      <c r="L10" s="249">
        <v>232595.72125</v>
      </c>
      <c r="M10" s="249">
        <v>248877.4217375</v>
      </c>
      <c r="N10" s="249">
        <v>266298.84125912498</v>
      </c>
      <c r="O10" t="str">
        <f t="shared" si="1"/>
        <v>2</v>
      </c>
      <c r="P10" t="str">
        <f t="shared" si="0"/>
        <v>Employee Related Cost</v>
      </c>
    </row>
    <row r="11" spans="1:16" hidden="1" x14ac:dyDescent="0.25">
      <c r="A11" t="s">
        <v>331</v>
      </c>
      <c r="C11" t="s">
        <v>152</v>
      </c>
      <c r="D11" s="67">
        <v>38100</v>
      </c>
      <c r="E11">
        <v>3172.75</v>
      </c>
      <c r="F11">
        <v>0</v>
      </c>
      <c r="G11">
        <v>19036.5</v>
      </c>
      <c r="H11">
        <v>19063.5</v>
      </c>
      <c r="I11">
        <v>49.964566929133859</v>
      </c>
      <c r="J11">
        <v>0</v>
      </c>
      <c r="K11" s="249">
        <v>38100</v>
      </c>
      <c r="L11" s="249">
        <v>40481.25</v>
      </c>
      <c r="M11" s="249">
        <v>43314.9375</v>
      </c>
      <c r="N11" s="249">
        <v>46346.983124999999</v>
      </c>
      <c r="O11" t="str">
        <f t="shared" si="1"/>
        <v>2</v>
      </c>
      <c r="P11" t="str">
        <f t="shared" si="0"/>
        <v>Employee Related Cost</v>
      </c>
    </row>
    <row r="12" spans="1:16" hidden="1" x14ac:dyDescent="0.25">
      <c r="A12" t="s">
        <v>332</v>
      </c>
      <c r="C12" t="s">
        <v>153</v>
      </c>
      <c r="D12" s="67">
        <v>10893</v>
      </c>
      <c r="E12">
        <v>0</v>
      </c>
      <c r="F12">
        <v>0</v>
      </c>
      <c r="G12">
        <v>0</v>
      </c>
      <c r="H12">
        <v>10893</v>
      </c>
      <c r="I12">
        <v>0</v>
      </c>
      <c r="J12">
        <v>0</v>
      </c>
      <c r="K12" s="249">
        <v>10893</v>
      </c>
      <c r="L12" s="249">
        <v>11573.8125</v>
      </c>
      <c r="M12" s="249">
        <v>12383.979375000001</v>
      </c>
      <c r="N12" s="249">
        <v>13250.857931250001</v>
      </c>
      <c r="O12" t="str">
        <f t="shared" si="1"/>
        <v>2</v>
      </c>
      <c r="P12" t="str">
        <f t="shared" si="0"/>
        <v>Employee Related Cost</v>
      </c>
    </row>
    <row r="13" spans="1:16" hidden="1" x14ac:dyDescent="0.25">
      <c r="A13" t="s">
        <v>333</v>
      </c>
      <c r="C13" t="s">
        <v>155</v>
      </c>
      <c r="D13" s="67">
        <v>183716</v>
      </c>
      <c r="E13">
        <v>0</v>
      </c>
      <c r="F13">
        <v>0</v>
      </c>
      <c r="G13">
        <v>0</v>
      </c>
      <c r="H13">
        <v>183716</v>
      </c>
      <c r="I13">
        <v>0</v>
      </c>
      <c r="J13">
        <v>0</v>
      </c>
      <c r="K13" s="249">
        <v>183716</v>
      </c>
      <c r="L13" s="249">
        <v>195198.25</v>
      </c>
      <c r="M13" s="249">
        <v>208862.1275</v>
      </c>
      <c r="N13" s="249">
        <v>223482.476425</v>
      </c>
      <c r="O13" t="str">
        <f t="shared" si="1"/>
        <v>2</v>
      </c>
      <c r="P13" t="str">
        <f t="shared" si="0"/>
        <v>Employee Related Cost</v>
      </c>
    </row>
    <row r="14" spans="1:16" hidden="1" x14ac:dyDescent="0.25">
      <c r="A14" t="s">
        <v>334</v>
      </c>
      <c r="C14" t="s">
        <v>156</v>
      </c>
      <c r="D14" s="67">
        <v>138573</v>
      </c>
      <c r="E14">
        <v>13313.45</v>
      </c>
      <c r="F14">
        <v>0</v>
      </c>
      <c r="G14">
        <v>79880.7</v>
      </c>
      <c r="H14">
        <v>58692.3</v>
      </c>
      <c r="I14">
        <v>57.645212270788683</v>
      </c>
      <c r="J14">
        <v>0</v>
      </c>
      <c r="K14" s="249">
        <v>138573</v>
      </c>
      <c r="L14" s="249">
        <v>147233.8125</v>
      </c>
      <c r="M14" s="249">
        <v>157540.17937500001</v>
      </c>
      <c r="N14" s="249">
        <v>168567.99193125</v>
      </c>
      <c r="O14" t="str">
        <f t="shared" si="1"/>
        <v>2</v>
      </c>
      <c r="P14" t="str">
        <f t="shared" si="0"/>
        <v>Employee Related Cost</v>
      </c>
    </row>
    <row r="15" spans="1:16" hidden="1" x14ac:dyDescent="0.25">
      <c r="A15" t="s">
        <v>335</v>
      </c>
      <c r="C15" t="s">
        <v>157</v>
      </c>
      <c r="D15" s="67">
        <v>97631</v>
      </c>
      <c r="E15">
        <v>43288.32</v>
      </c>
      <c r="F15">
        <v>0</v>
      </c>
      <c r="G15">
        <v>120401.67</v>
      </c>
      <c r="H15">
        <v>-22770.67</v>
      </c>
      <c r="I15">
        <v>123.32319652569367</v>
      </c>
      <c r="J15">
        <v>150000</v>
      </c>
      <c r="K15" s="249">
        <v>247631</v>
      </c>
      <c r="L15" s="249">
        <v>263107.9375</v>
      </c>
      <c r="M15" s="249">
        <v>281525.49312499998</v>
      </c>
      <c r="N15" s="249">
        <v>301232.27764374996</v>
      </c>
      <c r="O15" t="str">
        <f t="shared" si="1"/>
        <v>2</v>
      </c>
      <c r="P15" t="str">
        <f t="shared" si="0"/>
        <v>Employee Related Cost</v>
      </c>
    </row>
    <row r="16" spans="1:16" hidden="1" x14ac:dyDescent="0.25">
      <c r="A16" t="s">
        <v>336</v>
      </c>
      <c r="C16" t="s">
        <v>158</v>
      </c>
      <c r="D16" s="67">
        <v>11138</v>
      </c>
      <c r="E16">
        <v>0</v>
      </c>
      <c r="F16">
        <v>0</v>
      </c>
      <c r="G16">
        <v>56328.93</v>
      </c>
      <c r="H16">
        <v>-45190.93</v>
      </c>
      <c r="I16">
        <v>505.73648769976654</v>
      </c>
      <c r="J16">
        <v>60000</v>
      </c>
      <c r="K16" s="249">
        <v>71138</v>
      </c>
      <c r="L16" s="249">
        <v>75584.125</v>
      </c>
      <c r="M16" s="249">
        <v>80875.013749999998</v>
      </c>
      <c r="N16" s="249">
        <v>86536.264712499993</v>
      </c>
      <c r="O16" t="str">
        <f t="shared" si="1"/>
        <v>2</v>
      </c>
      <c r="P16" t="str">
        <f t="shared" si="0"/>
        <v>Employee Related Cost</v>
      </c>
    </row>
    <row r="17" spans="1:16" hidden="1" x14ac:dyDescent="0.25">
      <c r="A17" t="s">
        <v>337</v>
      </c>
      <c r="C17" t="s">
        <v>159</v>
      </c>
      <c r="D17" s="67">
        <v>425436</v>
      </c>
      <c r="E17">
        <v>0</v>
      </c>
      <c r="F17">
        <v>0</v>
      </c>
      <c r="G17">
        <v>0</v>
      </c>
      <c r="H17">
        <v>425436</v>
      </c>
      <c r="I17">
        <v>0</v>
      </c>
      <c r="J17">
        <v>0</v>
      </c>
      <c r="K17" s="249">
        <v>425436</v>
      </c>
      <c r="L17" s="249">
        <v>452025.75</v>
      </c>
      <c r="M17" s="249">
        <v>483667.55249999999</v>
      </c>
      <c r="N17" s="249">
        <v>517524.28117500001</v>
      </c>
      <c r="O17" t="str">
        <f t="shared" si="1"/>
        <v>2</v>
      </c>
      <c r="P17" t="str">
        <f t="shared" si="0"/>
        <v>Employee Related Cost</v>
      </c>
    </row>
    <row r="18" spans="1:16" hidden="1" x14ac:dyDescent="0.25">
      <c r="A18" t="s">
        <v>338</v>
      </c>
      <c r="C18" t="s">
        <v>161</v>
      </c>
      <c r="D18" s="67">
        <v>71952</v>
      </c>
      <c r="E18">
        <v>0</v>
      </c>
      <c r="F18">
        <v>0</v>
      </c>
      <c r="G18">
        <v>64501.53</v>
      </c>
      <c r="H18">
        <v>7450.4700000000012</v>
      </c>
      <c r="I18">
        <v>89.645221814543035</v>
      </c>
      <c r="J18">
        <v>0</v>
      </c>
      <c r="K18" s="249">
        <v>71952</v>
      </c>
      <c r="L18" s="249">
        <v>76449</v>
      </c>
      <c r="M18" s="249">
        <v>81800.429999999993</v>
      </c>
      <c r="N18" s="249">
        <v>87526.460099999997</v>
      </c>
      <c r="O18" t="str">
        <f t="shared" si="1"/>
        <v>2</v>
      </c>
      <c r="P18" t="str">
        <f t="shared" si="0"/>
        <v>Employee Related Cost</v>
      </c>
    </row>
    <row r="19" spans="1:16" hidden="1" x14ac:dyDescent="0.25">
      <c r="A19" t="s">
        <v>339</v>
      </c>
      <c r="C19" t="s">
        <v>162</v>
      </c>
      <c r="D19" s="67">
        <v>0</v>
      </c>
      <c r="E19">
        <v>956.72</v>
      </c>
      <c r="F19">
        <v>0</v>
      </c>
      <c r="G19">
        <v>1733.61</v>
      </c>
      <c r="H19">
        <v>-1733.61</v>
      </c>
      <c r="I19">
        <v>0</v>
      </c>
      <c r="J19">
        <v>4000</v>
      </c>
      <c r="K19" s="249">
        <v>4000</v>
      </c>
      <c r="L19" s="249">
        <v>4250</v>
      </c>
      <c r="M19" s="249">
        <v>4547.5</v>
      </c>
      <c r="N19" s="249">
        <v>4865.8249999999998</v>
      </c>
      <c r="O19" t="str">
        <f t="shared" si="1"/>
        <v>2</v>
      </c>
      <c r="P19" t="str">
        <f t="shared" si="0"/>
        <v>Employee Related Cost</v>
      </c>
    </row>
    <row r="20" spans="1:16" hidden="1" x14ac:dyDescent="0.25">
      <c r="A20" t="s">
        <v>340</v>
      </c>
      <c r="C20" t="s">
        <v>163</v>
      </c>
      <c r="D20" s="67">
        <v>17000</v>
      </c>
      <c r="E20">
        <v>0</v>
      </c>
      <c r="F20">
        <v>0</v>
      </c>
      <c r="G20">
        <v>0</v>
      </c>
      <c r="H20">
        <v>17000</v>
      </c>
      <c r="I20">
        <v>0</v>
      </c>
      <c r="J20">
        <v>-10000</v>
      </c>
      <c r="K20" s="249">
        <v>7000</v>
      </c>
      <c r="L20" s="249">
        <v>7437.5</v>
      </c>
      <c r="M20" s="249">
        <v>7958.125</v>
      </c>
      <c r="N20" s="249">
        <v>8515.1937500000004</v>
      </c>
      <c r="O20" t="str">
        <f t="shared" si="1"/>
        <v>2</v>
      </c>
      <c r="P20" t="str">
        <f t="shared" si="0"/>
        <v>Employee Related Cost</v>
      </c>
    </row>
    <row r="21" spans="1:16" hidden="1" x14ac:dyDescent="0.25">
      <c r="A21" t="s">
        <v>341</v>
      </c>
      <c r="C21" t="s">
        <v>164</v>
      </c>
      <c r="D21" s="67">
        <v>36468</v>
      </c>
      <c r="E21">
        <v>1307.7</v>
      </c>
      <c r="F21">
        <v>0</v>
      </c>
      <c r="G21">
        <v>7846.2</v>
      </c>
      <c r="H21">
        <v>28621.8</v>
      </c>
      <c r="I21">
        <v>21.515301085883515</v>
      </c>
      <c r="J21">
        <v>0</v>
      </c>
      <c r="K21" s="249">
        <v>36468</v>
      </c>
      <c r="L21" s="249">
        <v>38747.25</v>
      </c>
      <c r="M21" s="249">
        <v>41459.557500000003</v>
      </c>
      <c r="N21" s="249">
        <v>44361.726525000005</v>
      </c>
      <c r="O21" t="str">
        <f t="shared" si="1"/>
        <v>2</v>
      </c>
      <c r="P21" t="str">
        <f t="shared" si="0"/>
        <v>Employee Related Cost</v>
      </c>
    </row>
    <row r="22" spans="1:16" hidden="1" x14ac:dyDescent="0.25">
      <c r="A22" t="s">
        <v>342</v>
      </c>
      <c r="C22" t="s">
        <v>167</v>
      </c>
      <c r="D22" s="67">
        <v>3371</v>
      </c>
      <c r="E22">
        <v>274.94</v>
      </c>
      <c r="F22">
        <v>0</v>
      </c>
      <c r="G22">
        <v>1603.04</v>
      </c>
      <c r="H22">
        <v>1767.96</v>
      </c>
      <c r="I22">
        <v>47.553841590032633</v>
      </c>
      <c r="K22" s="249">
        <v>3371</v>
      </c>
      <c r="L22" s="249">
        <v>3581.6875</v>
      </c>
      <c r="M22" s="249">
        <v>3832.4056249999999</v>
      </c>
      <c r="N22" s="249">
        <v>4100.67401875</v>
      </c>
      <c r="O22" t="str">
        <f t="shared" si="1"/>
        <v>2</v>
      </c>
      <c r="P22" t="str">
        <f t="shared" si="0"/>
        <v>Employee Related Cost</v>
      </c>
    </row>
    <row r="23" spans="1:16" hidden="1" x14ac:dyDescent="0.25">
      <c r="A23" t="s">
        <v>343</v>
      </c>
      <c r="C23" t="s">
        <v>168</v>
      </c>
      <c r="D23" s="67">
        <v>1293797</v>
      </c>
      <c r="E23">
        <v>50940.15</v>
      </c>
      <c r="F23">
        <v>0</v>
      </c>
      <c r="G23">
        <v>363987.45</v>
      </c>
      <c r="H23">
        <v>929809.55</v>
      </c>
      <c r="I23">
        <v>28.133273612475527</v>
      </c>
      <c r="J23">
        <v>-500000</v>
      </c>
      <c r="K23" s="249">
        <v>793797</v>
      </c>
      <c r="L23" s="249">
        <v>843409.3125</v>
      </c>
      <c r="M23" s="249">
        <v>902447.96437499998</v>
      </c>
      <c r="N23" s="249">
        <v>965619.32188125001</v>
      </c>
      <c r="O23" t="str">
        <f t="shared" si="1"/>
        <v>2</v>
      </c>
      <c r="P23" t="str">
        <f t="shared" si="0"/>
        <v>Employee Related Cost</v>
      </c>
    </row>
    <row r="24" spans="1:16" hidden="1" x14ac:dyDescent="0.25">
      <c r="A24" t="s">
        <v>344</v>
      </c>
      <c r="C24" t="s">
        <v>169</v>
      </c>
      <c r="D24" s="67">
        <v>1123150</v>
      </c>
      <c r="E24">
        <v>105476.44</v>
      </c>
      <c r="F24">
        <v>0</v>
      </c>
      <c r="G24">
        <v>617398.25</v>
      </c>
      <c r="H24">
        <v>505751.75</v>
      </c>
      <c r="I24">
        <v>54.970239950140233</v>
      </c>
      <c r="K24" s="249">
        <v>1123150</v>
      </c>
      <c r="L24" s="249">
        <v>1193346.875</v>
      </c>
      <c r="M24" s="249">
        <v>1276881.15625</v>
      </c>
      <c r="N24" s="249">
        <v>1366262.8371875</v>
      </c>
      <c r="O24" t="str">
        <f t="shared" si="1"/>
        <v>2</v>
      </c>
      <c r="P24" t="str">
        <f t="shared" si="0"/>
        <v>Employee Related Cost</v>
      </c>
    </row>
    <row r="25" spans="1:16" hidden="1" x14ac:dyDescent="0.25">
      <c r="A25" t="s">
        <v>345</v>
      </c>
      <c r="C25" t="s">
        <v>170</v>
      </c>
      <c r="D25" s="67">
        <v>49980</v>
      </c>
      <c r="E25">
        <v>4377.84</v>
      </c>
      <c r="F25">
        <v>0</v>
      </c>
      <c r="G25">
        <v>25698.48</v>
      </c>
      <c r="H25">
        <v>24281.52</v>
      </c>
      <c r="I25">
        <v>51.417527010804321</v>
      </c>
      <c r="K25" s="249">
        <v>49980</v>
      </c>
      <c r="L25" s="249">
        <v>53103.75</v>
      </c>
      <c r="M25" s="249">
        <v>56821.012499999997</v>
      </c>
      <c r="N25" s="249">
        <v>60798.483374999996</v>
      </c>
      <c r="O25" t="str">
        <f t="shared" si="1"/>
        <v>2</v>
      </c>
      <c r="P25" t="str">
        <f t="shared" si="0"/>
        <v>Employee Related Cost</v>
      </c>
    </row>
    <row r="26" spans="1:16" hidden="1" x14ac:dyDescent="0.25">
      <c r="A26" t="s">
        <v>346</v>
      </c>
      <c r="C26" t="s">
        <v>173</v>
      </c>
      <c r="D26" s="67">
        <v>112883</v>
      </c>
      <c r="E26">
        <v>0</v>
      </c>
      <c r="F26">
        <v>0</v>
      </c>
      <c r="G26">
        <v>0</v>
      </c>
      <c r="H26">
        <v>112883</v>
      </c>
      <c r="I26">
        <v>0</v>
      </c>
      <c r="K26" s="249">
        <v>112883</v>
      </c>
      <c r="L26" s="249">
        <v>119938.1875</v>
      </c>
      <c r="M26" s="249">
        <v>128333.860625</v>
      </c>
      <c r="N26" s="249">
        <v>137317.23086874999</v>
      </c>
      <c r="O26" t="str">
        <f t="shared" si="1"/>
        <v>2</v>
      </c>
      <c r="P26" t="str">
        <f t="shared" si="0"/>
        <v>Employee Related Cost</v>
      </c>
    </row>
    <row r="27" spans="1:16" hidden="1" x14ac:dyDescent="0.25">
      <c r="A27" t="s">
        <v>347</v>
      </c>
      <c r="C27" t="s">
        <v>174</v>
      </c>
      <c r="D27" s="67">
        <v>142433</v>
      </c>
      <c r="E27">
        <v>0</v>
      </c>
      <c r="F27">
        <v>0</v>
      </c>
      <c r="G27">
        <v>0</v>
      </c>
      <c r="H27">
        <v>142433</v>
      </c>
      <c r="I27">
        <v>0</v>
      </c>
      <c r="K27" s="249">
        <v>142433</v>
      </c>
      <c r="L27" s="249">
        <v>151335.0625</v>
      </c>
      <c r="M27" s="249">
        <v>161928.516875</v>
      </c>
      <c r="N27" s="249">
        <v>173263.51305625</v>
      </c>
      <c r="O27" t="str">
        <f t="shared" si="1"/>
        <v>2</v>
      </c>
      <c r="P27" t="str">
        <f t="shared" si="0"/>
        <v>Employee Related Cost</v>
      </c>
    </row>
    <row r="28" spans="1:16" hidden="1" x14ac:dyDescent="0.25">
      <c r="A28" t="s">
        <v>1391</v>
      </c>
      <c r="C28" t="s">
        <v>1392</v>
      </c>
      <c r="D28" s="67">
        <v>0</v>
      </c>
      <c r="E28">
        <v>0</v>
      </c>
      <c r="F28">
        <v>0</v>
      </c>
      <c r="G28">
        <v>0</v>
      </c>
      <c r="H28">
        <v>0</v>
      </c>
      <c r="J28">
        <v>350000</v>
      </c>
      <c r="K28" s="249">
        <v>350000</v>
      </c>
      <c r="L28" s="249">
        <v>371875</v>
      </c>
      <c r="M28" s="249">
        <v>397906.25</v>
      </c>
      <c r="N28" s="249">
        <v>425759.6875</v>
      </c>
      <c r="O28" t="str">
        <f t="shared" si="1"/>
        <v>2</v>
      </c>
      <c r="P28" t="str">
        <f t="shared" si="0"/>
        <v>Employee Related Cost</v>
      </c>
    </row>
    <row r="29" spans="1:16" hidden="1" x14ac:dyDescent="0.25">
      <c r="A29" t="s">
        <v>348</v>
      </c>
      <c r="C29" t="s">
        <v>175</v>
      </c>
      <c r="D29" s="67">
        <v>79236</v>
      </c>
      <c r="E29">
        <v>0</v>
      </c>
      <c r="F29">
        <v>0</v>
      </c>
      <c r="G29">
        <v>0</v>
      </c>
      <c r="H29">
        <v>79236</v>
      </c>
      <c r="I29">
        <v>0</v>
      </c>
      <c r="J29">
        <v>0</v>
      </c>
      <c r="K29" s="249">
        <v>79236</v>
      </c>
      <c r="L29" s="249">
        <v>84188.25</v>
      </c>
      <c r="M29" s="249">
        <v>90081.427500000005</v>
      </c>
      <c r="N29" s="249">
        <v>96387.127425000013</v>
      </c>
      <c r="O29" t="str">
        <f t="shared" si="1"/>
        <v>2</v>
      </c>
      <c r="P29" t="str">
        <f t="shared" si="0"/>
        <v>Employee Related Cost</v>
      </c>
    </row>
    <row r="30" spans="1:16" hidden="1" x14ac:dyDescent="0.25">
      <c r="A30" t="s">
        <v>349</v>
      </c>
      <c r="C30" t="s">
        <v>216</v>
      </c>
      <c r="D30" s="67">
        <v>8639351</v>
      </c>
      <c r="E30">
        <v>650483.55000000005</v>
      </c>
      <c r="F30">
        <v>0</v>
      </c>
      <c r="G30">
        <v>3552775.02</v>
      </c>
      <c r="H30">
        <v>5086575.9800000004</v>
      </c>
      <c r="I30">
        <v>41.123170247394739</v>
      </c>
      <c r="J30">
        <v>0</v>
      </c>
      <c r="K30" s="249">
        <v>8639351</v>
      </c>
      <c r="L30" s="249">
        <v>9028121.7949999999</v>
      </c>
      <c r="M30" s="249">
        <v>9443415.3975699991</v>
      </c>
      <c r="N30" s="249">
        <v>9877812.5058582183</v>
      </c>
      <c r="O30" t="str">
        <f t="shared" si="1"/>
        <v>2</v>
      </c>
      <c r="P30" t="str">
        <f t="shared" si="0"/>
        <v>Contracted Services</v>
      </c>
    </row>
    <row r="31" spans="1:16" hidden="1" x14ac:dyDescent="0.25">
      <c r="A31" t="s">
        <v>350</v>
      </c>
      <c r="C31" t="s">
        <v>234</v>
      </c>
      <c r="D31" s="67">
        <v>400000</v>
      </c>
      <c r="E31">
        <v>42566.65</v>
      </c>
      <c r="F31">
        <v>27772</v>
      </c>
      <c r="G31">
        <v>300133.27</v>
      </c>
      <c r="H31">
        <v>99866.73</v>
      </c>
      <c r="I31">
        <v>75.03</v>
      </c>
      <c r="J31">
        <v>0</v>
      </c>
      <c r="K31" s="249">
        <v>400000</v>
      </c>
      <c r="L31" s="249">
        <v>400000</v>
      </c>
      <c r="M31" s="249">
        <v>418400</v>
      </c>
      <c r="N31" s="249">
        <v>437646.4</v>
      </c>
      <c r="O31" t="str">
        <f t="shared" si="1"/>
        <v>2</v>
      </c>
      <c r="P31" t="str">
        <f t="shared" si="0"/>
        <v>Contracted Services</v>
      </c>
    </row>
    <row r="32" spans="1:16" hidden="1" x14ac:dyDescent="0.25">
      <c r="A32" t="s">
        <v>351</v>
      </c>
      <c r="C32" t="s">
        <v>234</v>
      </c>
      <c r="D32" s="67">
        <v>150000</v>
      </c>
      <c r="E32">
        <v>0</v>
      </c>
      <c r="F32">
        <v>66000</v>
      </c>
      <c r="G32">
        <v>49410</v>
      </c>
      <c r="H32">
        <v>100590</v>
      </c>
      <c r="I32">
        <v>32.94</v>
      </c>
      <c r="J32">
        <v>0</v>
      </c>
      <c r="K32" s="249">
        <v>150000</v>
      </c>
      <c r="L32" s="249">
        <v>156750</v>
      </c>
      <c r="M32" s="249">
        <v>163960.5</v>
      </c>
      <c r="N32" s="249">
        <v>171502.68299999999</v>
      </c>
      <c r="O32" t="str">
        <f t="shared" si="1"/>
        <v>2</v>
      </c>
      <c r="P32" t="str">
        <f t="shared" si="0"/>
        <v>Contracted Services</v>
      </c>
    </row>
    <row r="33" spans="1:16" hidden="1" x14ac:dyDescent="0.25">
      <c r="A33" t="s">
        <v>352</v>
      </c>
      <c r="C33" t="s">
        <v>235</v>
      </c>
      <c r="D33" s="67">
        <v>200000</v>
      </c>
      <c r="E33">
        <v>0</v>
      </c>
      <c r="F33">
        <v>0</v>
      </c>
      <c r="G33">
        <v>70483.69</v>
      </c>
      <c r="H33">
        <v>129516.31</v>
      </c>
      <c r="I33">
        <v>35.24</v>
      </c>
      <c r="J33">
        <v>0</v>
      </c>
      <c r="K33" s="249">
        <v>200000</v>
      </c>
      <c r="L33" s="249">
        <v>209000</v>
      </c>
      <c r="M33" s="249">
        <v>218614</v>
      </c>
      <c r="N33" s="249">
        <v>228670.24400000001</v>
      </c>
      <c r="O33" t="str">
        <f t="shared" si="1"/>
        <v>2</v>
      </c>
      <c r="P33" t="str">
        <f t="shared" si="0"/>
        <v>Contracted Services</v>
      </c>
    </row>
    <row r="34" spans="1:16" hidden="1" x14ac:dyDescent="0.25">
      <c r="A34" t="s">
        <v>353</v>
      </c>
      <c r="C34" t="s">
        <v>250</v>
      </c>
      <c r="D34" s="67">
        <v>689000</v>
      </c>
      <c r="E34">
        <v>0</v>
      </c>
      <c r="F34">
        <v>0</v>
      </c>
      <c r="G34">
        <v>132072.35999999999</v>
      </c>
      <c r="H34">
        <v>556927.64</v>
      </c>
      <c r="I34">
        <v>19.168702467343977</v>
      </c>
      <c r="J34">
        <v>0</v>
      </c>
      <c r="K34" s="249">
        <v>689000</v>
      </c>
      <c r="L34" s="249">
        <v>720005</v>
      </c>
      <c r="M34" s="249">
        <v>753125.23</v>
      </c>
      <c r="N34" s="249">
        <v>787768.99057999998</v>
      </c>
      <c r="O34" t="str">
        <f t="shared" si="1"/>
        <v>2</v>
      </c>
      <c r="P34" t="str">
        <f t="shared" si="0"/>
        <v>Operational Cost</v>
      </c>
    </row>
    <row r="35" spans="1:16" hidden="1" x14ac:dyDescent="0.25">
      <c r="A35" t="s">
        <v>354</v>
      </c>
      <c r="C35" t="s">
        <v>251</v>
      </c>
      <c r="D35" s="67">
        <v>707862</v>
      </c>
      <c r="E35">
        <v>142631.6</v>
      </c>
      <c r="F35">
        <v>0</v>
      </c>
      <c r="G35">
        <v>479164.38</v>
      </c>
      <c r="H35">
        <v>228697.62</v>
      </c>
      <c r="I35">
        <v>67.691778906057962</v>
      </c>
      <c r="J35">
        <v>0</v>
      </c>
      <c r="K35" s="249">
        <v>707862</v>
      </c>
      <c r="L35" s="249">
        <v>739715.79</v>
      </c>
      <c r="M35" s="249">
        <v>773742.71634000004</v>
      </c>
      <c r="N35" s="249">
        <v>809334.88129163999</v>
      </c>
      <c r="O35" t="str">
        <f t="shared" si="1"/>
        <v>2</v>
      </c>
      <c r="P35" t="str">
        <f t="shared" si="0"/>
        <v>Operational Cost</v>
      </c>
    </row>
    <row r="36" spans="1:16" hidden="1" x14ac:dyDescent="0.25">
      <c r="A36" t="s">
        <v>355</v>
      </c>
      <c r="C36" t="s">
        <v>253</v>
      </c>
      <c r="D36" s="67">
        <v>2000</v>
      </c>
      <c r="E36">
        <v>0</v>
      </c>
      <c r="F36">
        <v>0</v>
      </c>
      <c r="G36">
        <v>426.95</v>
      </c>
      <c r="H36">
        <v>1573.05</v>
      </c>
      <c r="I36">
        <v>21.3475</v>
      </c>
      <c r="J36">
        <v>0</v>
      </c>
      <c r="K36" s="249">
        <v>2000</v>
      </c>
      <c r="L36" s="249">
        <v>2090</v>
      </c>
      <c r="M36" s="249">
        <v>2186.14</v>
      </c>
      <c r="N36" s="249">
        <v>2286.70244</v>
      </c>
      <c r="O36" t="str">
        <f t="shared" si="1"/>
        <v>2</v>
      </c>
      <c r="P36" t="str">
        <f t="shared" si="0"/>
        <v>Operational Cost</v>
      </c>
    </row>
    <row r="37" spans="1:16" hidden="1" x14ac:dyDescent="0.25">
      <c r="A37" t="s">
        <v>356</v>
      </c>
      <c r="C37" t="s">
        <v>259</v>
      </c>
      <c r="D37" s="67">
        <v>234398</v>
      </c>
      <c r="E37">
        <v>0</v>
      </c>
      <c r="F37">
        <v>0</v>
      </c>
      <c r="G37">
        <v>124894.9</v>
      </c>
      <c r="H37">
        <v>109503.1</v>
      </c>
      <c r="I37">
        <v>53.283261802575112</v>
      </c>
      <c r="J37">
        <v>-50000</v>
      </c>
      <c r="K37" s="249">
        <v>184398</v>
      </c>
      <c r="L37" s="249">
        <v>192695.91</v>
      </c>
      <c r="M37" s="249">
        <v>201559.92186</v>
      </c>
      <c r="N37" s="249">
        <v>210831.67826556001</v>
      </c>
      <c r="O37" t="str">
        <f t="shared" si="1"/>
        <v>2</v>
      </c>
      <c r="P37" t="str">
        <f t="shared" si="0"/>
        <v>Operational Cost</v>
      </c>
    </row>
    <row r="38" spans="1:16" hidden="1" x14ac:dyDescent="0.25">
      <c r="A38" t="s">
        <v>357</v>
      </c>
      <c r="C38" t="s">
        <v>265</v>
      </c>
      <c r="D38" s="67">
        <v>0</v>
      </c>
      <c r="E38">
        <v>8906.7099999999991</v>
      </c>
      <c r="F38">
        <v>0</v>
      </c>
      <c r="G38">
        <v>41524.839999999997</v>
      </c>
      <c r="H38">
        <v>-41524.839999999997</v>
      </c>
      <c r="I38">
        <v>0</v>
      </c>
      <c r="J38">
        <v>0</v>
      </c>
      <c r="K38" s="249">
        <v>0</v>
      </c>
      <c r="L38" s="249">
        <v>0</v>
      </c>
      <c r="M38" s="249">
        <v>0</v>
      </c>
      <c r="N38" s="249">
        <v>0</v>
      </c>
      <c r="O38" t="str">
        <f t="shared" si="1"/>
        <v>2</v>
      </c>
      <c r="P38" t="str">
        <f t="shared" si="0"/>
        <v>Operational Cost</v>
      </c>
    </row>
    <row r="39" spans="1:16" hidden="1" x14ac:dyDescent="0.25">
      <c r="A39" t="s">
        <v>3016</v>
      </c>
      <c r="C39" t="s">
        <v>3017</v>
      </c>
      <c r="L39" s="249">
        <v>0</v>
      </c>
      <c r="M39" s="249">
        <v>0</v>
      </c>
      <c r="N39" s="249">
        <v>0</v>
      </c>
      <c r="O39" t="str">
        <f t="shared" si="1"/>
        <v>2</v>
      </c>
      <c r="P39" t="str">
        <f t="shared" si="0"/>
        <v>Operational Cost</v>
      </c>
    </row>
    <row r="40" spans="1:16" hidden="1" x14ac:dyDescent="0.25">
      <c r="A40" t="s">
        <v>358</v>
      </c>
      <c r="C40" t="s">
        <v>268</v>
      </c>
      <c r="D40" s="67">
        <v>175000</v>
      </c>
      <c r="E40">
        <v>8953.15</v>
      </c>
      <c r="F40">
        <v>0</v>
      </c>
      <c r="G40">
        <v>25501.31</v>
      </c>
      <c r="H40">
        <v>149498.69</v>
      </c>
      <c r="I40">
        <v>14.572177142857143</v>
      </c>
      <c r="J40">
        <v>-49499</v>
      </c>
      <c r="K40" s="249">
        <v>125501</v>
      </c>
      <c r="L40" s="249">
        <v>131148.54500000001</v>
      </c>
      <c r="M40" s="249">
        <v>137181.37807000001</v>
      </c>
      <c r="N40" s="249">
        <v>143491.72146122</v>
      </c>
      <c r="O40" t="str">
        <f t="shared" si="1"/>
        <v>2</v>
      </c>
      <c r="P40" t="str">
        <f t="shared" si="0"/>
        <v>Operational Cost</v>
      </c>
    </row>
    <row r="41" spans="1:16" hidden="1" x14ac:dyDescent="0.25">
      <c r="A41" t="s">
        <v>359</v>
      </c>
      <c r="C41" t="s">
        <v>268</v>
      </c>
      <c r="D41" s="67">
        <v>254263</v>
      </c>
      <c r="E41">
        <v>0</v>
      </c>
      <c r="F41">
        <v>33225.660000000003</v>
      </c>
      <c r="G41">
        <v>138103.96</v>
      </c>
      <c r="H41">
        <v>116159.04000000001</v>
      </c>
      <c r="I41">
        <v>54.315397836098846</v>
      </c>
      <c r="J41">
        <v>0</v>
      </c>
      <c r="K41" s="249">
        <v>254263</v>
      </c>
      <c r="L41" s="249">
        <v>265704.83500000002</v>
      </c>
      <c r="M41" s="249">
        <v>277927.25741000002</v>
      </c>
      <c r="N41" s="249">
        <v>290711.91125086002</v>
      </c>
      <c r="O41" t="str">
        <f t="shared" si="1"/>
        <v>2</v>
      </c>
      <c r="P41" t="str">
        <f t="shared" si="0"/>
        <v>Operational Cost</v>
      </c>
    </row>
    <row r="42" spans="1:16" hidden="1" x14ac:dyDescent="0.25">
      <c r="A42" t="s">
        <v>3018</v>
      </c>
      <c r="C42" t="s">
        <v>3019</v>
      </c>
      <c r="L42" s="249">
        <v>0</v>
      </c>
      <c r="N42" s="249">
        <v>0</v>
      </c>
      <c r="O42" t="str">
        <f t="shared" si="1"/>
        <v>2</v>
      </c>
      <c r="P42" t="str">
        <f t="shared" si="0"/>
        <v>Operational Cost</v>
      </c>
    </row>
    <row r="43" spans="1:16" hidden="1" x14ac:dyDescent="0.25">
      <c r="A43" t="s">
        <v>3020</v>
      </c>
      <c r="C43" t="s">
        <v>3021</v>
      </c>
      <c r="L43" s="249">
        <v>0</v>
      </c>
      <c r="N43" s="249">
        <v>0</v>
      </c>
      <c r="O43" t="str">
        <f t="shared" si="1"/>
        <v>2</v>
      </c>
      <c r="P43" t="str">
        <f t="shared" si="0"/>
        <v>Operational Cost</v>
      </c>
    </row>
    <row r="44" spans="1:16" hidden="1" x14ac:dyDescent="0.25">
      <c r="A44" t="s">
        <v>3022</v>
      </c>
      <c r="C44" t="s">
        <v>3028</v>
      </c>
      <c r="L44" s="249">
        <v>0</v>
      </c>
      <c r="N44" s="249">
        <v>0</v>
      </c>
      <c r="O44" t="str">
        <f t="shared" si="1"/>
        <v>2</v>
      </c>
      <c r="P44" t="str">
        <f t="shared" si="0"/>
        <v>Operational Cost</v>
      </c>
    </row>
    <row r="45" spans="1:16" hidden="1" x14ac:dyDescent="0.25">
      <c r="A45" t="s">
        <v>3023</v>
      </c>
      <c r="C45" t="s">
        <v>269</v>
      </c>
      <c r="L45" s="249">
        <v>0</v>
      </c>
      <c r="N45" s="249">
        <v>0</v>
      </c>
      <c r="O45" t="str">
        <f t="shared" si="1"/>
        <v>2</v>
      </c>
      <c r="P45" t="str">
        <f t="shared" si="0"/>
        <v>Operational Cost</v>
      </c>
    </row>
    <row r="46" spans="1:16" hidden="1" x14ac:dyDescent="0.25">
      <c r="A46" t="s">
        <v>3024</v>
      </c>
      <c r="C46" t="s">
        <v>3029</v>
      </c>
      <c r="L46" s="249">
        <v>0</v>
      </c>
      <c r="N46" s="249">
        <v>0</v>
      </c>
      <c r="O46" t="str">
        <f t="shared" si="1"/>
        <v>2</v>
      </c>
      <c r="P46" t="str">
        <f t="shared" si="0"/>
        <v>Operational Cost</v>
      </c>
    </row>
    <row r="47" spans="1:16" hidden="1" x14ac:dyDescent="0.25">
      <c r="A47" t="s">
        <v>3025</v>
      </c>
      <c r="C47" t="s">
        <v>3030</v>
      </c>
      <c r="L47" s="249">
        <v>0</v>
      </c>
      <c r="N47" s="249">
        <v>0</v>
      </c>
      <c r="O47" t="str">
        <f t="shared" si="1"/>
        <v>2</v>
      </c>
      <c r="P47" t="str">
        <f t="shared" si="0"/>
        <v>Operational Cost</v>
      </c>
    </row>
    <row r="48" spans="1:16" hidden="1" x14ac:dyDescent="0.25">
      <c r="A48" t="s">
        <v>3026</v>
      </c>
      <c r="C48" t="s">
        <v>3031</v>
      </c>
      <c r="L48" s="249">
        <v>0</v>
      </c>
      <c r="N48" s="249">
        <v>0</v>
      </c>
      <c r="O48" t="str">
        <f t="shared" si="1"/>
        <v>2</v>
      </c>
      <c r="P48" t="str">
        <f t="shared" si="0"/>
        <v>Operational Cost</v>
      </c>
    </row>
    <row r="49" spans="1:16" hidden="1" x14ac:dyDescent="0.25">
      <c r="A49" t="s">
        <v>3027</v>
      </c>
      <c r="C49" t="s">
        <v>3032</v>
      </c>
      <c r="L49" s="249">
        <v>0</v>
      </c>
      <c r="N49" s="249">
        <v>0</v>
      </c>
      <c r="O49" t="str">
        <f t="shared" si="1"/>
        <v>2</v>
      </c>
      <c r="P49" t="str">
        <f t="shared" si="0"/>
        <v>Operational Cost</v>
      </c>
    </row>
    <row r="50" spans="1:16" hidden="1" x14ac:dyDescent="0.25">
      <c r="A50" t="s">
        <v>360</v>
      </c>
      <c r="C50" t="s">
        <v>270</v>
      </c>
      <c r="D50" s="67">
        <v>636000</v>
      </c>
      <c r="E50">
        <v>136630</v>
      </c>
      <c r="F50">
        <v>0</v>
      </c>
      <c r="G50">
        <v>609748</v>
      </c>
      <c r="H50">
        <v>26252</v>
      </c>
      <c r="I50">
        <v>95.872327044025155</v>
      </c>
      <c r="J50">
        <v>650000</v>
      </c>
      <c r="K50" s="249">
        <v>1286000</v>
      </c>
      <c r="L50" s="249">
        <v>650000</v>
      </c>
      <c r="M50" s="249">
        <v>679900</v>
      </c>
      <c r="N50" s="249">
        <v>711175.4</v>
      </c>
      <c r="O50" t="str">
        <f t="shared" si="1"/>
        <v>2</v>
      </c>
      <c r="P50" t="str">
        <f t="shared" si="0"/>
        <v>Operational Cost</v>
      </c>
    </row>
    <row r="51" spans="1:16" hidden="1" x14ac:dyDescent="0.25">
      <c r="A51" t="s">
        <v>361</v>
      </c>
      <c r="C51" t="s">
        <v>271</v>
      </c>
      <c r="D51" s="67">
        <v>129035</v>
      </c>
      <c r="E51">
        <v>0</v>
      </c>
      <c r="F51">
        <v>0</v>
      </c>
      <c r="G51">
        <v>44880.94</v>
      </c>
      <c r="H51">
        <v>84154.06</v>
      </c>
      <c r="I51">
        <v>34.781989382725619</v>
      </c>
      <c r="J51">
        <v>0</v>
      </c>
      <c r="K51" s="249">
        <v>129035</v>
      </c>
      <c r="L51" s="249">
        <v>134841.57500000001</v>
      </c>
      <c r="M51" s="249">
        <v>141044.28745</v>
      </c>
      <c r="N51" s="249">
        <v>147532.32467269999</v>
      </c>
      <c r="O51" t="str">
        <f t="shared" si="1"/>
        <v>2</v>
      </c>
      <c r="P51" t="str">
        <f t="shared" si="0"/>
        <v>Operational Cost</v>
      </c>
    </row>
    <row r="52" spans="1:16" hidden="1" x14ac:dyDescent="0.25">
      <c r="A52" t="s">
        <v>362</v>
      </c>
      <c r="C52" t="s">
        <v>276</v>
      </c>
      <c r="D52" s="67">
        <v>659231</v>
      </c>
      <c r="E52">
        <v>0</v>
      </c>
      <c r="F52">
        <v>0</v>
      </c>
      <c r="G52">
        <v>165938.96</v>
      </c>
      <c r="H52">
        <v>493292.04</v>
      </c>
      <c r="I52">
        <v>25.17</v>
      </c>
      <c r="J52">
        <v>0</v>
      </c>
      <c r="K52" s="249">
        <v>659231</v>
      </c>
      <c r="L52" s="249">
        <v>688896.39500000002</v>
      </c>
      <c r="M52" s="249">
        <v>720585.62916999997</v>
      </c>
      <c r="N52" s="249">
        <v>753732.56811181991</v>
      </c>
      <c r="O52" t="str">
        <f t="shared" si="1"/>
        <v>2</v>
      </c>
      <c r="P52" t="str">
        <f t="shared" si="0"/>
        <v>Inventory</v>
      </c>
    </row>
    <row r="53" spans="1:16" hidden="1" x14ac:dyDescent="0.25">
      <c r="A53" t="s">
        <v>363</v>
      </c>
      <c r="C53" t="s">
        <v>277</v>
      </c>
      <c r="D53" s="67">
        <v>530000</v>
      </c>
      <c r="E53">
        <v>26608.560000000001</v>
      </c>
      <c r="F53">
        <v>0</v>
      </c>
      <c r="G53">
        <v>239859.36</v>
      </c>
      <c r="H53">
        <v>290140.64</v>
      </c>
      <c r="I53">
        <v>45.25</v>
      </c>
      <c r="J53">
        <v>0</v>
      </c>
      <c r="K53" s="249">
        <v>530000</v>
      </c>
      <c r="L53" s="249">
        <v>553850</v>
      </c>
      <c r="M53" s="249">
        <v>579327.1</v>
      </c>
      <c r="N53" s="249">
        <v>605976.14659999998</v>
      </c>
      <c r="O53" t="str">
        <f t="shared" si="1"/>
        <v>2</v>
      </c>
      <c r="P53" t="str">
        <f t="shared" si="0"/>
        <v>Inventory</v>
      </c>
    </row>
    <row r="54" spans="1:16" hidden="1" x14ac:dyDescent="0.25">
      <c r="A54" t="s">
        <v>364</v>
      </c>
      <c r="C54" t="s">
        <v>278</v>
      </c>
      <c r="D54" s="67">
        <v>53000</v>
      </c>
      <c r="E54">
        <v>0</v>
      </c>
      <c r="F54">
        <v>0</v>
      </c>
      <c r="G54">
        <v>769.7</v>
      </c>
      <c r="H54">
        <v>52230.3</v>
      </c>
      <c r="I54">
        <v>1.45</v>
      </c>
      <c r="J54">
        <v>-40000</v>
      </c>
      <c r="K54" s="249">
        <v>13000</v>
      </c>
      <c r="L54" s="249">
        <v>53000</v>
      </c>
      <c r="M54" s="249">
        <v>55438</v>
      </c>
      <c r="N54" s="249">
        <v>57988.148000000001</v>
      </c>
      <c r="O54" t="str">
        <f t="shared" si="1"/>
        <v>2</v>
      </c>
      <c r="P54" t="str">
        <f t="shared" si="0"/>
        <v>Inventory</v>
      </c>
    </row>
    <row r="55" spans="1:16" x14ac:dyDescent="0.25">
      <c r="A55" t="s">
        <v>3073</v>
      </c>
      <c r="C55" t="s">
        <v>3056</v>
      </c>
      <c r="D55" s="67">
        <v>0</v>
      </c>
      <c r="K55" s="249">
        <v>0</v>
      </c>
      <c r="L55" s="249">
        <v>2400000</v>
      </c>
      <c r="M55" s="249">
        <v>2510400</v>
      </c>
      <c r="N55" s="249">
        <v>2625878.4</v>
      </c>
      <c r="O55" t="str">
        <f t="shared" si="1"/>
        <v>2</v>
      </c>
      <c r="P55" t="str">
        <f t="shared" si="0"/>
        <v xml:space="preserve">Operating Lease </v>
      </c>
    </row>
    <row r="56" spans="1:16" hidden="1" x14ac:dyDescent="0.25">
      <c r="A56" t="s">
        <v>365</v>
      </c>
      <c r="C56" t="s">
        <v>286</v>
      </c>
      <c r="D56" s="67">
        <v>400000</v>
      </c>
      <c r="E56">
        <v>44113.22</v>
      </c>
      <c r="F56">
        <v>0</v>
      </c>
      <c r="G56">
        <v>246703.31</v>
      </c>
      <c r="H56">
        <v>153296.69</v>
      </c>
      <c r="I56">
        <v>61.67</v>
      </c>
      <c r="J56">
        <v>0</v>
      </c>
      <c r="K56" s="249">
        <v>400000</v>
      </c>
      <c r="L56" s="249">
        <v>418000</v>
      </c>
      <c r="M56" s="249">
        <v>437228</v>
      </c>
      <c r="N56" s="249">
        <v>457340.48800000001</v>
      </c>
      <c r="O56" t="str">
        <f t="shared" si="1"/>
        <v>2</v>
      </c>
      <c r="P56" t="str">
        <f t="shared" si="0"/>
        <v xml:space="preserve">Operating Lease </v>
      </c>
    </row>
    <row r="57" spans="1:16" hidden="1" x14ac:dyDescent="0.25">
      <c r="A57" t="s">
        <v>366</v>
      </c>
      <c r="C57" t="s">
        <v>286</v>
      </c>
      <c r="D57" s="67">
        <v>149705</v>
      </c>
      <c r="E57">
        <v>0</v>
      </c>
      <c r="F57">
        <v>0</v>
      </c>
      <c r="G57">
        <v>0</v>
      </c>
      <c r="H57">
        <v>149705</v>
      </c>
      <c r="I57">
        <v>0</v>
      </c>
      <c r="J57">
        <v>0</v>
      </c>
      <c r="K57" s="249">
        <v>149705</v>
      </c>
      <c r="L57" s="249">
        <v>156441.72500000001</v>
      </c>
      <c r="M57" s="249">
        <v>163638.04435000001</v>
      </c>
      <c r="N57" s="249">
        <v>171165.3943901</v>
      </c>
      <c r="O57" t="str">
        <f t="shared" si="1"/>
        <v>2</v>
      </c>
      <c r="P57" t="str">
        <f t="shared" si="0"/>
        <v xml:space="preserve">Operating Lease </v>
      </c>
    </row>
    <row r="58" spans="1:16" hidden="1" x14ac:dyDescent="0.25">
      <c r="A58" t="s">
        <v>367</v>
      </c>
      <c r="C58" t="s">
        <v>291</v>
      </c>
      <c r="D58" s="67">
        <v>19193</v>
      </c>
      <c r="E58">
        <v>2808.4</v>
      </c>
      <c r="F58">
        <v>0</v>
      </c>
      <c r="G58">
        <v>8600.0499999999993</v>
      </c>
      <c r="H58">
        <v>10592.95</v>
      </c>
      <c r="I58">
        <v>44.8</v>
      </c>
      <c r="J58">
        <v>790000</v>
      </c>
      <c r="K58" s="249">
        <v>809193</v>
      </c>
      <c r="L58" s="249">
        <v>845606.68500000006</v>
      </c>
      <c r="M58" s="249">
        <v>884504.5925100001</v>
      </c>
      <c r="N58" s="249">
        <v>925191.80376546015</v>
      </c>
      <c r="O58" t="str">
        <f t="shared" si="1"/>
        <v>2</v>
      </c>
      <c r="P58" t="str">
        <f t="shared" si="0"/>
        <v>Depreciation &amp; Amortisation</v>
      </c>
    </row>
    <row r="59" spans="1:16" hidden="1" x14ac:dyDescent="0.25">
      <c r="A59" t="s">
        <v>368</v>
      </c>
      <c r="C59" t="s">
        <v>292</v>
      </c>
      <c r="D59" s="67">
        <v>3371</v>
      </c>
      <c r="E59">
        <v>9921.94</v>
      </c>
      <c r="F59">
        <v>0</v>
      </c>
      <c r="G59">
        <v>32271.75</v>
      </c>
      <c r="H59">
        <v>-28900.75</v>
      </c>
      <c r="I59">
        <v>957.33</v>
      </c>
      <c r="J59">
        <v>0</v>
      </c>
      <c r="K59" s="249">
        <v>3371</v>
      </c>
      <c r="L59" s="249">
        <v>3522.6950000000002</v>
      </c>
      <c r="M59" s="249">
        <v>3684.7389700000003</v>
      </c>
      <c r="N59" s="249">
        <v>3854.2369626200002</v>
      </c>
      <c r="O59" t="str">
        <f t="shared" si="1"/>
        <v>2</v>
      </c>
      <c r="P59" t="str">
        <f t="shared" si="0"/>
        <v>Depreciation &amp; Amortisation</v>
      </c>
    </row>
    <row r="60" spans="1:16" hidden="1" x14ac:dyDescent="0.25">
      <c r="A60" t="s">
        <v>369</v>
      </c>
      <c r="C60" t="s">
        <v>293</v>
      </c>
      <c r="D60" s="67">
        <v>3371</v>
      </c>
      <c r="E60">
        <v>53495.18</v>
      </c>
      <c r="F60">
        <v>0</v>
      </c>
      <c r="G60">
        <v>126598.65</v>
      </c>
      <c r="H60">
        <v>-123227.65</v>
      </c>
      <c r="I60">
        <v>999.99</v>
      </c>
      <c r="J60">
        <v>0</v>
      </c>
      <c r="K60" s="249">
        <v>3371</v>
      </c>
      <c r="L60" s="249">
        <v>3522.6950000000002</v>
      </c>
      <c r="M60" s="249">
        <v>3684.7389700000003</v>
      </c>
      <c r="N60" s="249">
        <v>3854.2369626200002</v>
      </c>
      <c r="O60" t="str">
        <f t="shared" si="1"/>
        <v>2</v>
      </c>
      <c r="P60" t="str">
        <f t="shared" si="0"/>
        <v>Depreciation &amp; Amortisation</v>
      </c>
    </row>
    <row r="61" spans="1:16" hidden="1" x14ac:dyDescent="0.25">
      <c r="A61" t="s">
        <v>370</v>
      </c>
      <c r="C61" t="s">
        <v>296</v>
      </c>
      <c r="D61" s="67">
        <v>5618</v>
      </c>
      <c r="E61">
        <v>220.9</v>
      </c>
      <c r="F61">
        <v>0</v>
      </c>
      <c r="G61">
        <v>618.51</v>
      </c>
      <c r="H61">
        <v>4999.49</v>
      </c>
      <c r="I61">
        <v>11</v>
      </c>
      <c r="J61">
        <v>0</v>
      </c>
      <c r="K61" s="249">
        <v>5618</v>
      </c>
      <c r="L61" s="249">
        <v>5870.81</v>
      </c>
      <c r="M61" s="249">
        <v>6140.86726</v>
      </c>
      <c r="N61" s="249">
        <v>6423.3471539599996</v>
      </c>
      <c r="O61" t="str">
        <f t="shared" si="1"/>
        <v>2</v>
      </c>
      <c r="P61" t="str">
        <f t="shared" si="0"/>
        <v>Depreciation &amp; Amortisation</v>
      </c>
    </row>
    <row r="62" spans="1:16" hidden="1" x14ac:dyDescent="0.25">
      <c r="A62" t="s">
        <v>371</v>
      </c>
      <c r="C62" t="s">
        <v>297</v>
      </c>
      <c r="D62" s="67">
        <v>52313</v>
      </c>
      <c r="E62">
        <v>22667.22</v>
      </c>
      <c r="F62">
        <v>0</v>
      </c>
      <c r="G62">
        <v>55785.81</v>
      </c>
      <c r="H62">
        <v>-3472.81</v>
      </c>
      <c r="I62">
        <v>106.63</v>
      </c>
      <c r="J62">
        <v>0</v>
      </c>
      <c r="K62" s="249">
        <v>52313</v>
      </c>
      <c r="L62" s="249">
        <v>54667.084999999999</v>
      </c>
      <c r="M62" s="249">
        <v>57181.770909999999</v>
      </c>
      <c r="N62" s="249">
        <v>59812.132371859996</v>
      </c>
      <c r="O62" t="str">
        <f t="shared" si="1"/>
        <v>2</v>
      </c>
      <c r="P62" t="str">
        <f t="shared" si="0"/>
        <v>Depreciation &amp; Amortisation</v>
      </c>
    </row>
    <row r="63" spans="1:16" hidden="1" x14ac:dyDescent="0.25">
      <c r="A63" t="s">
        <v>372</v>
      </c>
      <c r="C63" t="s">
        <v>298</v>
      </c>
      <c r="D63" s="67">
        <v>0</v>
      </c>
      <c r="E63">
        <v>4578.74</v>
      </c>
      <c r="F63">
        <v>0</v>
      </c>
      <c r="G63">
        <v>11446.86</v>
      </c>
      <c r="H63">
        <v>-11446.86</v>
      </c>
      <c r="I63">
        <v>0</v>
      </c>
      <c r="J63">
        <v>0</v>
      </c>
      <c r="K63" s="249">
        <v>0</v>
      </c>
      <c r="L63" s="249">
        <v>0</v>
      </c>
      <c r="M63" s="249">
        <v>0</v>
      </c>
      <c r="N63" s="249">
        <v>0</v>
      </c>
      <c r="O63" t="str">
        <f t="shared" si="1"/>
        <v>2</v>
      </c>
      <c r="P63" t="str">
        <f t="shared" si="0"/>
        <v>Depreciation &amp; Amortisation</v>
      </c>
    </row>
    <row r="64" spans="1:16" hidden="1" x14ac:dyDescent="0.25">
      <c r="A64" t="s">
        <v>373</v>
      </c>
      <c r="C64" t="s">
        <v>299</v>
      </c>
      <c r="D64" s="67">
        <v>41469</v>
      </c>
      <c r="E64">
        <v>0</v>
      </c>
      <c r="F64">
        <v>0</v>
      </c>
      <c r="G64">
        <v>0</v>
      </c>
      <c r="H64">
        <v>41469</v>
      </c>
      <c r="I64">
        <v>0</v>
      </c>
      <c r="J64">
        <v>0</v>
      </c>
      <c r="K64" s="249">
        <v>41469</v>
      </c>
      <c r="L64" s="249">
        <v>43335.105000000003</v>
      </c>
      <c r="M64" s="249">
        <v>45328.519830000005</v>
      </c>
      <c r="N64" s="249">
        <v>47413.631742180005</v>
      </c>
      <c r="O64" t="str">
        <f t="shared" si="1"/>
        <v>2</v>
      </c>
      <c r="P64" t="str">
        <f t="shared" si="0"/>
        <v>Depreciation &amp; Amortisation</v>
      </c>
    </row>
    <row r="65" spans="1:16" hidden="1" x14ac:dyDescent="0.25">
      <c r="A65" t="s">
        <v>374</v>
      </c>
      <c r="C65" t="s">
        <v>300</v>
      </c>
      <c r="D65" s="67">
        <v>113175</v>
      </c>
      <c r="E65">
        <v>16557.72</v>
      </c>
      <c r="F65">
        <v>0</v>
      </c>
      <c r="G65">
        <v>33128.800000000003</v>
      </c>
      <c r="H65">
        <v>80046.2</v>
      </c>
      <c r="I65">
        <v>29.27</v>
      </c>
      <c r="J65">
        <v>0</v>
      </c>
      <c r="K65" s="249">
        <v>113175</v>
      </c>
      <c r="L65" s="249">
        <v>118267.875</v>
      </c>
      <c r="M65" s="249">
        <v>123708.19725</v>
      </c>
      <c r="N65" s="249">
        <v>129398.77432349999</v>
      </c>
      <c r="O65" t="str">
        <f t="shared" si="1"/>
        <v>2</v>
      </c>
      <c r="P65" t="str">
        <f t="shared" si="0"/>
        <v>Depreciation &amp; Amortisation</v>
      </c>
    </row>
    <row r="66" spans="1:16" hidden="1" x14ac:dyDescent="0.25">
      <c r="A66" t="s">
        <v>375</v>
      </c>
      <c r="C66" t="s">
        <v>303</v>
      </c>
      <c r="D66" s="67">
        <v>74216</v>
      </c>
      <c r="E66">
        <v>12908.16</v>
      </c>
      <c r="F66">
        <v>0</v>
      </c>
      <c r="G66">
        <v>30406.99</v>
      </c>
      <c r="H66">
        <v>43809.01</v>
      </c>
      <c r="I66">
        <v>40.97</v>
      </c>
      <c r="J66">
        <v>0</v>
      </c>
      <c r="K66" s="249">
        <v>74216</v>
      </c>
      <c r="L66" s="249">
        <v>77555.72</v>
      </c>
      <c r="M66" s="249">
        <v>81123.283120000007</v>
      </c>
      <c r="N66" s="249">
        <v>84854.954143520008</v>
      </c>
      <c r="O66" t="str">
        <f t="shared" si="1"/>
        <v>2</v>
      </c>
      <c r="P66" t="str">
        <f t="shared" ref="P66:P129" si="2">VLOOKUP(A66,bud_321,16,FALSE)</f>
        <v>Depreciation &amp; Amortisation</v>
      </c>
    </row>
    <row r="67" spans="1:16" hidden="1" x14ac:dyDescent="0.25">
      <c r="A67" t="s">
        <v>1337</v>
      </c>
      <c r="C67" t="s">
        <v>1338</v>
      </c>
      <c r="D67" s="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 s="249">
        <v>0</v>
      </c>
      <c r="L67" s="249">
        <v>0</v>
      </c>
      <c r="M67" s="249">
        <v>2000000</v>
      </c>
      <c r="N67" s="249">
        <v>700000</v>
      </c>
      <c r="O67" t="str">
        <f t="shared" ref="O67:O130" si="3">MID(A67,5,1)</f>
        <v>6</v>
      </c>
      <c r="P67">
        <f t="shared" si="2"/>
        <v>0</v>
      </c>
    </row>
    <row r="68" spans="1:16" hidden="1" x14ac:dyDescent="0.25">
      <c r="A68" t="s">
        <v>376</v>
      </c>
      <c r="C68" t="s">
        <v>377</v>
      </c>
      <c r="D68" s="67">
        <v>250000</v>
      </c>
      <c r="E68">
        <v>0</v>
      </c>
      <c r="F68">
        <v>0</v>
      </c>
      <c r="G68">
        <v>0</v>
      </c>
      <c r="H68">
        <v>250000</v>
      </c>
      <c r="I68">
        <v>0</v>
      </c>
      <c r="J68">
        <v>0</v>
      </c>
      <c r="K68" s="249">
        <v>250000</v>
      </c>
      <c r="L68" s="249">
        <v>300000</v>
      </c>
      <c r="M68" s="249">
        <v>0</v>
      </c>
      <c r="N68" s="249">
        <v>315000</v>
      </c>
      <c r="O68" t="str">
        <f t="shared" si="3"/>
        <v>6</v>
      </c>
      <c r="P68">
        <f t="shared" si="2"/>
        <v>0</v>
      </c>
    </row>
    <row r="69" spans="1:16" hidden="1" x14ac:dyDescent="0.25">
      <c r="A69" t="s">
        <v>379</v>
      </c>
      <c r="C69" t="s">
        <v>76</v>
      </c>
      <c r="D69" s="67">
        <v>-204317</v>
      </c>
      <c r="E69">
        <v>0</v>
      </c>
      <c r="F69">
        <v>0</v>
      </c>
      <c r="G69">
        <v>-70522.350000000006</v>
      </c>
      <c r="H69">
        <v>-133794.65</v>
      </c>
      <c r="I69">
        <v>34.51</v>
      </c>
      <c r="J69">
        <v>0</v>
      </c>
      <c r="K69" s="249">
        <v>-204317</v>
      </c>
      <c r="L69" s="249">
        <v>-213511.26500000001</v>
      </c>
      <c r="M69" s="249">
        <v>-223332.78319000002</v>
      </c>
      <c r="N69" s="249">
        <v>-233606.09121674002</v>
      </c>
      <c r="O69" t="str">
        <f t="shared" si="3"/>
        <v>1</v>
      </c>
      <c r="P69">
        <f t="shared" si="2"/>
        <v>0</v>
      </c>
    </row>
    <row r="70" spans="1:16" hidden="1" x14ac:dyDescent="0.25">
      <c r="A70" t="s">
        <v>380</v>
      </c>
      <c r="C70" t="s">
        <v>150</v>
      </c>
      <c r="D70" s="67">
        <v>1546512</v>
      </c>
      <c r="E70">
        <v>128292.72</v>
      </c>
      <c r="F70">
        <v>0</v>
      </c>
      <c r="G70">
        <v>762945.09</v>
      </c>
      <c r="H70">
        <v>783566.91</v>
      </c>
      <c r="I70">
        <v>49.33</v>
      </c>
      <c r="J70">
        <v>0</v>
      </c>
      <c r="K70" s="249">
        <v>1546512</v>
      </c>
      <c r="L70" s="249">
        <v>1643169</v>
      </c>
      <c r="M70" s="249">
        <v>1758190.83</v>
      </c>
      <c r="N70" s="249">
        <v>1881264.1881000001</v>
      </c>
      <c r="O70" t="str">
        <f t="shared" si="3"/>
        <v>2</v>
      </c>
      <c r="P70" t="str">
        <f t="shared" si="2"/>
        <v>Employee Related Cost</v>
      </c>
    </row>
    <row r="71" spans="1:16" hidden="1" x14ac:dyDescent="0.25">
      <c r="A71" t="s">
        <v>381</v>
      </c>
      <c r="C71" t="s">
        <v>151</v>
      </c>
      <c r="D71" s="67">
        <v>70585</v>
      </c>
      <c r="E71">
        <v>33868.36</v>
      </c>
      <c r="F71">
        <v>0</v>
      </c>
      <c r="G71">
        <v>128290.03</v>
      </c>
      <c r="H71">
        <v>-57705.03</v>
      </c>
      <c r="I71">
        <v>181.75</v>
      </c>
      <c r="J71">
        <v>-36716.639999999999</v>
      </c>
      <c r="K71" s="249">
        <v>33868.36</v>
      </c>
      <c r="L71" s="249">
        <v>35985.1325</v>
      </c>
      <c r="M71" s="249">
        <v>38504.091775000001</v>
      </c>
      <c r="N71" s="249">
        <v>41199.378199250001</v>
      </c>
      <c r="O71" t="str">
        <f t="shared" si="3"/>
        <v>2</v>
      </c>
      <c r="P71" t="str">
        <f t="shared" si="2"/>
        <v>Employee Related Cost</v>
      </c>
    </row>
    <row r="72" spans="1:16" hidden="1" x14ac:dyDescent="0.25">
      <c r="A72" t="s">
        <v>382</v>
      </c>
      <c r="C72" t="s">
        <v>152</v>
      </c>
      <c r="D72" s="67">
        <v>52200</v>
      </c>
      <c r="E72">
        <v>4345.5</v>
      </c>
      <c r="F72">
        <v>0</v>
      </c>
      <c r="G72">
        <v>26073</v>
      </c>
      <c r="H72">
        <v>26127</v>
      </c>
      <c r="I72">
        <v>49.94</v>
      </c>
      <c r="J72">
        <v>0</v>
      </c>
      <c r="K72" s="249">
        <v>52200</v>
      </c>
      <c r="L72" s="249">
        <v>55462.5</v>
      </c>
      <c r="M72" s="249">
        <v>59344.875</v>
      </c>
      <c r="N72" s="249">
        <v>63499.016250000001</v>
      </c>
      <c r="O72" t="str">
        <f t="shared" si="3"/>
        <v>2</v>
      </c>
      <c r="P72" t="str">
        <f t="shared" si="2"/>
        <v>Employee Related Cost</v>
      </c>
    </row>
    <row r="73" spans="1:16" hidden="1" x14ac:dyDescent="0.25">
      <c r="A73" t="s">
        <v>383</v>
      </c>
      <c r="C73" t="s">
        <v>153</v>
      </c>
      <c r="D73" s="67">
        <v>10893</v>
      </c>
      <c r="E73">
        <v>907.77</v>
      </c>
      <c r="F73">
        <v>0</v>
      </c>
      <c r="G73">
        <v>5446.62</v>
      </c>
      <c r="H73">
        <v>5446.38</v>
      </c>
      <c r="I73">
        <v>50</v>
      </c>
      <c r="J73">
        <v>0</v>
      </c>
      <c r="K73" s="249">
        <v>10893</v>
      </c>
      <c r="L73" s="249">
        <v>11573.8125</v>
      </c>
      <c r="M73" s="249">
        <v>12383.979375000001</v>
      </c>
      <c r="N73" s="249">
        <v>13250.857931250001</v>
      </c>
      <c r="O73" t="str">
        <f t="shared" si="3"/>
        <v>2</v>
      </c>
      <c r="P73" t="str">
        <f t="shared" si="2"/>
        <v>Employee Related Cost</v>
      </c>
    </row>
    <row r="74" spans="1:16" hidden="1" x14ac:dyDescent="0.25">
      <c r="A74" t="s">
        <v>384</v>
      </c>
      <c r="C74" t="s">
        <v>155</v>
      </c>
      <c r="D74" s="67">
        <v>50125</v>
      </c>
      <c r="E74">
        <v>0</v>
      </c>
      <c r="F74">
        <v>0</v>
      </c>
      <c r="G74">
        <v>0</v>
      </c>
      <c r="H74">
        <v>50125</v>
      </c>
      <c r="I74">
        <v>0</v>
      </c>
      <c r="J74">
        <v>0</v>
      </c>
      <c r="K74" s="249">
        <v>50125</v>
      </c>
      <c r="L74" s="249">
        <v>53257.8125</v>
      </c>
      <c r="M74" s="249">
        <v>56985.859375</v>
      </c>
      <c r="N74" s="249">
        <v>60974.869531249999</v>
      </c>
      <c r="O74" t="str">
        <f t="shared" si="3"/>
        <v>2</v>
      </c>
      <c r="P74" t="str">
        <f t="shared" si="2"/>
        <v>Employee Related Cost</v>
      </c>
    </row>
    <row r="75" spans="1:16" hidden="1" x14ac:dyDescent="0.25">
      <c r="A75" t="s">
        <v>385</v>
      </c>
      <c r="C75" t="s">
        <v>156</v>
      </c>
      <c r="D75" s="67">
        <v>330862</v>
      </c>
      <c r="E75">
        <v>28101.08</v>
      </c>
      <c r="F75">
        <v>0</v>
      </c>
      <c r="G75">
        <v>166996.79999999999</v>
      </c>
      <c r="H75">
        <v>163865.20000000001</v>
      </c>
      <c r="I75">
        <v>50.47</v>
      </c>
      <c r="J75">
        <v>0</v>
      </c>
      <c r="K75" s="249">
        <v>330862</v>
      </c>
      <c r="L75" s="249">
        <v>351540.875</v>
      </c>
      <c r="M75" s="249">
        <v>376148.73625000002</v>
      </c>
      <c r="N75" s="249">
        <v>402479.1477875</v>
      </c>
      <c r="O75" t="str">
        <f t="shared" si="3"/>
        <v>2</v>
      </c>
      <c r="P75" t="str">
        <f t="shared" si="2"/>
        <v>Employee Related Cost</v>
      </c>
    </row>
    <row r="76" spans="1:16" hidden="1" x14ac:dyDescent="0.25">
      <c r="A76" t="s">
        <v>386</v>
      </c>
      <c r="C76" t="s">
        <v>157</v>
      </c>
      <c r="D76" s="67">
        <v>5418</v>
      </c>
      <c r="E76">
        <v>0</v>
      </c>
      <c r="F76">
        <v>0</v>
      </c>
      <c r="G76">
        <v>0</v>
      </c>
      <c r="H76">
        <v>5418</v>
      </c>
      <c r="I76">
        <v>0</v>
      </c>
      <c r="J76">
        <v>0</v>
      </c>
      <c r="K76" s="249">
        <v>5418</v>
      </c>
      <c r="L76" s="249">
        <v>5756.625</v>
      </c>
      <c r="M76" s="249">
        <v>6159.5887499999999</v>
      </c>
      <c r="N76" s="249">
        <v>6590.7599625000003</v>
      </c>
      <c r="O76" t="str">
        <f t="shared" si="3"/>
        <v>2</v>
      </c>
      <c r="P76" t="str">
        <f t="shared" si="2"/>
        <v>Employee Related Cost</v>
      </c>
    </row>
    <row r="77" spans="1:16" hidden="1" x14ac:dyDescent="0.25">
      <c r="A77" t="s">
        <v>387</v>
      </c>
      <c r="C77" t="s">
        <v>158</v>
      </c>
      <c r="D77" s="67">
        <v>11405</v>
      </c>
      <c r="E77">
        <v>-800</v>
      </c>
      <c r="F77">
        <v>0</v>
      </c>
      <c r="G77">
        <v>26999.64</v>
      </c>
      <c r="H77">
        <v>-15594.64</v>
      </c>
      <c r="I77">
        <v>236.73</v>
      </c>
      <c r="J77">
        <v>30000</v>
      </c>
      <c r="K77" s="249">
        <v>41405</v>
      </c>
      <c r="L77" s="249">
        <v>43992.8125</v>
      </c>
      <c r="M77" s="249">
        <v>47072.309374999997</v>
      </c>
      <c r="N77" s="249">
        <v>50367.371031249997</v>
      </c>
      <c r="O77" t="str">
        <f t="shared" si="3"/>
        <v>2</v>
      </c>
      <c r="P77" t="str">
        <f t="shared" si="2"/>
        <v>Employee Related Cost</v>
      </c>
    </row>
    <row r="78" spans="1:16" hidden="1" x14ac:dyDescent="0.25">
      <c r="A78" t="s">
        <v>388</v>
      </c>
      <c r="C78" t="s">
        <v>159</v>
      </c>
      <c r="D78" s="67">
        <v>125876</v>
      </c>
      <c r="E78">
        <v>0</v>
      </c>
      <c r="F78">
        <v>0</v>
      </c>
      <c r="G78">
        <v>0</v>
      </c>
      <c r="H78">
        <v>125876</v>
      </c>
      <c r="I78">
        <v>0</v>
      </c>
      <c r="J78">
        <v>0</v>
      </c>
      <c r="K78" s="249">
        <v>125876</v>
      </c>
      <c r="L78" s="249">
        <v>133743.25</v>
      </c>
      <c r="M78" s="249">
        <v>143105.2775</v>
      </c>
      <c r="N78" s="249">
        <v>153122.64692500001</v>
      </c>
      <c r="O78" t="str">
        <f t="shared" si="3"/>
        <v>2</v>
      </c>
      <c r="P78" t="str">
        <f t="shared" si="2"/>
        <v>Employee Related Cost</v>
      </c>
    </row>
    <row r="79" spans="1:16" hidden="1" x14ac:dyDescent="0.25">
      <c r="A79" t="s">
        <v>389</v>
      </c>
      <c r="C79" t="s">
        <v>164</v>
      </c>
      <c r="D79" s="67">
        <v>15692</v>
      </c>
      <c r="E79">
        <v>1307.7</v>
      </c>
      <c r="F79">
        <v>0</v>
      </c>
      <c r="G79">
        <v>7846.2</v>
      </c>
      <c r="H79">
        <v>7845.8</v>
      </c>
      <c r="I79">
        <v>50</v>
      </c>
      <c r="J79">
        <v>0</v>
      </c>
      <c r="K79" s="249">
        <v>15692</v>
      </c>
      <c r="L79" s="249">
        <v>16672.75</v>
      </c>
      <c r="M79" s="249">
        <v>17839.842499999999</v>
      </c>
      <c r="N79" s="249">
        <v>19088.631474999998</v>
      </c>
      <c r="O79" t="str">
        <f t="shared" si="3"/>
        <v>2</v>
      </c>
      <c r="P79" t="str">
        <f t="shared" si="2"/>
        <v>Employee Related Cost</v>
      </c>
    </row>
    <row r="80" spans="1:16" hidden="1" x14ac:dyDescent="0.25">
      <c r="A80" t="s">
        <v>390</v>
      </c>
      <c r="C80" t="s">
        <v>167</v>
      </c>
      <c r="D80" s="67">
        <v>449</v>
      </c>
      <c r="E80">
        <v>37.28</v>
      </c>
      <c r="F80">
        <v>0</v>
      </c>
      <c r="G80">
        <v>223.68</v>
      </c>
      <c r="H80">
        <v>225.32</v>
      </c>
      <c r="I80">
        <v>49.81</v>
      </c>
      <c r="J80">
        <v>0</v>
      </c>
      <c r="K80" s="249">
        <v>449</v>
      </c>
      <c r="L80" s="249">
        <v>477.0625</v>
      </c>
      <c r="M80" s="249">
        <v>510.45687499999997</v>
      </c>
      <c r="N80" s="249">
        <v>546.18885624999996</v>
      </c>
      <c r="O80" t="str">
        <f t="shared" si="3"/>
        <v>2</v>
      </c>
      <c r="P80" t="str">
        <f t="shared" si="2"/>
        <v>Employee Related Cost</v>
      </c>
    </row>
    <row r="81" spans="1:16" hidden="1" x14ac:dyDescent="0.25">
      <c r="A81" t="s">
        <v>391</v>
      </c>
      <c r="C81" t="s">
        <v>168</v>
      </c>
      <c r="D81" s="67">
        <v>215633</v>
      </c>
      <c r="E81">
        <v>9751.2000000000007</v>
      </c>
      <c r="F81">
        <v>0</v>
      </c>
      <c r="G81">
        <v>57466.8</v>
      </c>
      <c r="H81">
        <v>158166.20000000001</v>
      </c>
      <c r="I81">
        <v>26.65</v>
      </c>
      <c r="J81">
        <v>0</v>
      </c>
      <c r="K81" s="249">
        <v>215633</v>
      </c>
      <c r="L81" s="249">
        <v>229110.0625</v>
      </c>
      <c r="M81" s="249">
        <v>245147.766875</v>
      </c>
      <c r="N81" s="249">
        <v>262308.11055624997</v>
      </c>
      <c r="O81" t="str">
        <f t="shared" si="3"/>
        <v>2</v>
      </c>
      <c r="P81" t="str">
        <f t="shared" si="2"/>
        <v>Employee Related Cost</v>
      </c>
    </row>
    <row r="82" spans="1:16" hidden="1" x14ac:dyDescent="0.25">
      <c r="A82" t="s">
        <v>392</v>
      </c>
      <c r="C82" t="s">
        <v>169</v>
      </c>
      <c r="D82" s="67">
        <v>332313</v>
      </c>
      <c r="E82">
        <v>24387.23</v>
      </c>
      <c r="F82">
        <v>0</v>
      </c>
      <c r="G82">
        <v>144975.98000000001</v>
      </c>
      <c r="H82">
        <v>187337.02</v>
      </c>
      <c r="I82">
        <v>43.62</v>
      </c>
      <c r="J82">
        <v>0</v>
      </c>
      <c r="K82" s="249">
        <v>332313</v>
      </c>
      <c r="L82" s="249">
        <v>353082.5625</v>
      </c>
      <c r="M82" s="249">
        <v>377798.34187499998</v>
      </c>
      <c r="N82" s="249">
        <v>404244.22580625</v>
      </c>
      <c r="O82" t="str">
        <f t="shared" si="3"/>
        <v>2</v>
      </c>
      <c r="P82" t="str">
        <f t="shared" si="2"/>
        <v>Employee Related Cost</v>
      </c>
    </row>
    <row r="83" spans="1:16" hidden="1" x14ac:dyDescent="0.25">
      <c r="A83" t="s">
        <v>393</v>
      </c>
      <c r="C83" t="s">
        <v>170</v>
      </c>
      <c r="D83" s="67">
        <v>7140</v>
      </c>
      <c r="E83">
        <v>594.88</v>
      </c>
      <c r="F83">
        <v>0</v>
      </c>
      <c r="G83">
        <v>3569.28</v>
      </c>
      <c r="H83">
        <v>3570.72</v>
      </c>
      <c r="I83">
        <v>49.98</v>
      </c>
      <c r="J83">
        <v>0</v>
      </c>
      <c r="K83" s="249">
        <v>7140</v>
      </c>
      <c r="L83" s="249">
        <v>7586.25</v>
      </c>
      <c r="M83" s="249">
        <v>8117.2875000000004</v>
      </c>
      <c r="N83" s="249">
        <v>8685.497625</v>
      </c>
      <c r="O83" t="str">
        <f t="shared" si="3"/>
        <v>2</v>
      </c>
      <c r="P83" t="str">
        <f t="shared" si="2"/>
        <v>Employee Related Cost</v>
      </c>
    </row>
    <row r="84" spans="1:16" hidden="1" x14ac:dyDescent="0.25">
      <c r="A84" t="s">
        <v>394</v>
      </c>
      <c r="C84" t="s">
        <v>173</v>
      </c>
      <c r="D84" s="67">
        <v>8010</v>
      </c>
      <c r="E84">
        <v>0</v>
      </c>
      <c r="F84">
        <v>0</v>
      </c>
      <c r="G84">
        <v>0</v>
      </c>
      <c r="H84">
        <v>8010</v>
      </c>
      <c r="I84">
        <v>0</v>
      </c>
      <c r="J84">
        <v>0</v>
      </c>
      <c r="K84" s="249">
        <v>8010</v>
      </c>
      <c r="L84" s="249">
        <v>8510.625</v>
      </c>
      <c r="M84" s="249">
        <v>9106.3687499999996</v>
      </c>
      <c r="N84" s="249">
        <v>9743.8145624999997</v>
      </c>
      <c r="O84" t="str">
        <f t="shared" si="3"/>
        <v>2</v>
      </c>
      <c r="P84" t="str">
        <f t="shared" si="2"/>
        <v>Employee Related Cost</v>
      </c>
    </row>
    <row r="85" spans="1:16" hidden="1" x14ac:dyDescent="0.25">
      <c r="A85" t="s">
        <v>395</v>
      </c>
      <c r="C85" t="s">
        <v>174</v>
      </c>
      <c r="D85" s="67">
        <v>9043</v>
      </c>
      <c r="E85">
        <v>0</v>
      </c>
      <c r="F85">
        <v>0</v>
      </c>
      <c r="G85">
        <v>0</v>
      </c>
      <c r="H85">
        <v>9043</v>
      </c>
      <c r="I85">
        <v>0</v>
      </c>
      <c r="J85">
        <v>0</v>
      </c>
      <c r="K85" s="249">
        <v>9043</v>
      </c>
      <c r="L85" s="249">
        <v>9608.1875</v>
      </c>
      <c r="M85" s="249">
        <v>10280.760625000001</v>
      </c>
      <c r="N85" s="249">
        <v>11000.413868750002</v>
      </c>
      <c r="O85" t="str">
        <f t="shared" si="3"/>
        <v>2</v>
      </c>
      <c r="P85" t="str">
        <f t="shared" si="2"/>
        <v>Employee Related Cost</v>
      </c>
    </row>
    <row r="86" spans="1:16" hidden="1" x14ac:dyDescent="0.25">
      <c r="A86" t="s">
        <v>396</v>
      </c>
      <c r="C86" t="s">
        <v>175</v>
      </c>
      <c r="D86" s="67">
        <v>14441</v>
      </c>
      <c r="E86">
        <v>0</v>
      </c>
      <c r="F86">
        <v>0</v>
      </c>
      <c r="G86">
        <v>0</v>
      </c>
      <c r="H86">
        <v>14441</v>
      </c>
      <c r="I86">
        <v>0</v>
      </c>
      <c r="J86">
        <v>0</v>
      </c>
      <c r="K86" s="249">
        <v>14441</v>
      </c>
      <c r="L86" s="249">
        <v>15343.5625</v>
      </c>
      <c r="M86" s="249">
        <v>16417.611874999999</v>
      </c>
      <c r="N86" s="249">
        <v>17566.844706249998</v>
      </c>
      <c r="O86" t="str">
        <f t="shared" si="3"/>
        <v>2</v>
      </c>
      <c r="P86" t="str">
        <f t="shared" si="2"/>
        <v>Employee Related Cost</v>
      </c>
    </row>
    <row r="87" spans="1:16" hidden="1" x14ac:dyDescent="0.25">
      <c r="A87" t="s">
        <v>397</v>
      </c>
      <c r="C87" t="s">
        <v>211</v>
      </c>
      <c r="D87" s="67">
        <v>1000000</v>
      </c>
      <c r="E87">
        <v>406934.52</v>
      </c>
      <c r="F87">
        <v>0</v>
      </c>
      <c r="G87">
        <v>1406934.52</v>
      </c>
      <c r="H87">
        <v>-406934.52</v>
      </c>
      <c r="I87">
        <v>140.69</v>
      </c>
      <c r="J87">
        <v>1000000</v>
      </c>
      <c r="K87" s="249">
        <v>2000000</v>
      </c>
      <c r="L87" s="249">
        <v>400000</v>
      </c>
      <c r="M87" s="249">
        <v>418400</v>
      </c>
      <c r="N87" s="249">
        <v>437646.4</v>
      </c>
      <c r="O87" t="str">
        <f t="shared" si="3"/>
        <v>2</v>
      </c>
      <c r="P87" t="str">
        <f t="shared" si="2"/>
        <v>Contracted Services</v>
      </c>
    </row>
    <row r="88" spans="1:16" hidden="1" x14ac:dyDescent="0.25">
      <c r="A88" t="s">
        <v>398</v>
      </c>
      <c r="C88" t="s">
        <v>211</v>
      </c>
      <c r="D88" s="67">
        <v>117299</v>
      </c>
      <c r="E88">
        <v>0</v>
      </c>
      <c r="F88">
        <v>0</v>
      </c>
      <c r="G88">
        <v>0</v>
      </c>
      <c r="H88">
        <v>117299</v>
      </c>
      <c r="I88">
        <v>0</v>
      </c>
      <c r="J88">
        <v>0</v>
      </c>
      <c r="K88" s="249">
        <v>117299</v>
      </c>
      <c r="L88" s="249">
        <v>122577.455</v>
      </c>
      <c r="M88" s="249">
        <v>128216.01793</v>
      </c>
      <c r="N88" s="249">
        <v>134113.95475477999</v>
      </c>
      <c r="O88" t="str">
        <f t="shared" si="3"/>
        <v>2</v>
      </c>
      <c r="P88" t="str">
        <f t="shared" si="2"/>
        <v>Contracted Services</v>
      </c>
    </row>
    <row r="89" spans="1:16" hidden="1" x14ac:dyDescent="0.25">
      <c r="A89" t="s">
        <v>399</v>
      </c>
      <c r="B89" t="s">
        <v>1371</v>
      </c>
      <c r="C89" t="s">
        <v>230</v>
      </c>
      <c r="D89" s="67">
        <v>400000</v>
      </c>
      <c r="E89">
        <v>0</v>
      </c>
      <c r="F89">
        <v>152176</v>
      </c>
      <c r="G89">
        <v>248182.39999999999</v>
      </c>
      <c r="H89">
        <v>151817.60000000001</v>
      </c>
      <c r="I89">
        <v>62.0456</v>
      </c>
      <c r="J89">
        <v>150000</v>
      </c>
      <c r="K89" s="249">
        <v>550000</v>
      </c>
      <c r="L89" s="249">
        <v>424000</v>
      </c>
      <c r="M89" s="249">
        <v>443504</v>
      </c>
      <c r="N89" s="249">
        <v>463905.18400000001</v>
      </c>
      <c r="O89" t="str">
        <f t="shared" si="3"/>
        <v>2</v>
      </c>
      <c r="P89" t="str">
        <f t="shared" si="2"/>
        <v>Contracted Services</v>
      </c>
    </row>
    <row r="90" spans="1:16" hidden="1" x14ac:dyDescent="0.25">
      <c r="A90" t="s">
        <v>400</v>
      </c>
      <c r="C90" t="s">
        <v>231</v>
      </c>
      <c r="D90" s="67">
        <v>150000</v>
      </c>
      <c r="E90">
        <v>0</v>
      </c>
      <c r="F90">
        <v>0</v>
      </c>
      <c r="G90">
        <v>0</v>
      </c>
      <c r="H90">
        <v>150000</v>
      </c>
      <c r="I90">
        <v>0</v>
      </c>
      <c r="J90">
        <v>-100000</v>
      </c>
      <c r="K90" s="249">
        <v>50000</v>
      </c>
      <c r="L90" s="249">
        <v>52250</v>
      </c>
      <c r="M90" s="249">
        <v>54653.5</v>
      </c>
      <c r="N90" s="249">
        <v>57167.561000000002</v>
      </c>
      <c r="O90" t="str">
        <f t="shared" si="3"/>
        <v>2</v>
      </c>
      <c r="P90" t="str">
        <f t="shared" si="2"/>
        <v>Contracted Services</v>
      </c>
    </row>
    <row r="91" spans="1:16" hidden="1" x14ac:dyDescent="0.25">
      <c r="A91" t="s">
        <v>401</v>
      </c>
      <c r="C91" t="s">
        <v>232</v>
      </c>
      <c r="D91" s="67">
        <v>700000</v>
      </c>
      <c r="E91">
        <v>0</v>
      </c>
      <c r="F91">
        <v>0</v>
      </c>
      <c r="G91">
        <v>0</v>
      </c>
      <c r="H91">
        <v>700000</v>
      </c>
      <c r="I91">
        <v>0</v>
      </c>
      <c r="J91">
        <v>-700000</v>
      </c>
      <c r="K91" s="249">
        <v>0</v>
      </c>
      <c r="L91" s="249">
        <v>0</v>
      </c>
      <c r="M91" s="249">
        <v>0</v>
      </c>
      <c r="N91" s="249">
        <v>0</v>
      </c>
      <c r="O91" t="str">
        <f t="shared" si="3"/>
        <v>2</v>
      </c>
      <c r="P91" t="str">
        <f t="shared" si="2"/>
        <v>Contracted Services</v>
      </c>
    </row>
    <row r="92" spans="1:16" x14ac:dyDescent="0.25">
      <c r="A92" t="s">
        <v>3074</v>
      </c>
      <c r="C92" t="s">
        <v>3039</v>
      </c>
      <c r="L92" s="249">
        <v>213511.26500000001</v>
      </c>
      <c r="M92" s="249">
        <v>223332.78319000002</v>
      </c>
      <c r="N92" s="249">
        <v>233606.09121674002</v>
      </c>
      <c r="O92" t="str">
        <f t="shared" si="3"/>
        <v>2</v>
      </c>
      <c r="P92" t="str">
        <f t="shared" si="2"/>
        <v>Operational Cost</v>
      </c>
    </row>
    <row r="93" spans="1:16" hidden="1" x14ac:dyDescent="0.25">
      <c r="A93" t="s">
        <v>402</v>
      </c>
      <c r="C93" t="s">
        <v>242</v>
      </c>
      <c r="D93" s="67">
        <v>63600</v>
      </c>
      <c r="E93">
        <v>0</v>
      </c>
      <c r="F93">
        <v>0</v>
      </c>
      <c r="G93">
        <v>0</v>
      </c>
      <c r="H93">
        <v>63600</v>
      </c>
      <c r="I93">
        <v>0</v>
      </c>
      <c r="J93">
        <v>0</v>
      </c>
      <c r="K93" s="249">
        <v>63600</v>
      </c>
      <c r="L93" s="249">
        <v>66462</v>
      </c>
      <c r="M93" s="249">
        <v>69519.251999999993</v>
      </c>
      <c r="N93" s="249">
        <v>72717.137591999999</v>
      </c>
      <c r="O93" t="str">
        <f t="shared" si="3"/>
        <v>2</v>
      </c>
      <c r="P93" t="str">
        <f t="shared" si="2"/>
        <v>Operational Cost</v>
      </c>
    </row>
    <row r="94" spans="1:16" hidden="1" x14ac:dyDescent="0.25">
      <c r="A94" t="s">
        <v>403</v>
      </c>
      <c r="C94" t="s">
        <v>243</v>
      </c>
      <c r="D94" s="67">
        <v>100000</v>
      </c>
      <c r="E94">
        <v>0</v>
      </c>
      <c r="F94">
        <v>23350.09</v>
      </c>
      <c r="G94">
        <v>89474.35</v>
      </c>
      <c r="H94">
        <v>10525.649999999994</v>
      </c>
      <c r="I94">
        <v>89.474350000000001</v>
      </c>
      <c r="J94">
        <v>30000</v>
      </c>
      <c r="K94" s="249">
        <v>130000</v>
      </c>
      <c r="L94" s="249">
        <v>135850</v>
      </c>
      <c r="M94" s="249">
        <v>142099.1</v>
      </c>
      <c r="N94" s="249">
        <v>148635.6586</v>
      </c>
      <c r="O94" t="str">
        <f t="shared" si="3"/>
        <v>2</v>
      </c>
      <c r="P94" t="str">
        <f t="shared" si="2"/>
        <v>Operational Cost</v>
      </c>
    </row>
    <row r="95" spans="1:16" hidden="1" x14ac:dyDescent="0.25">
      <c r="A95" t="s">
        <v>404</v>
      </c>
      <c r="C95" t="s">
        <v>247</v>
      </c>
      <c r="D95" s="67">
        <v>500000</v>
      </c>
      <c r="E95">
        <v>0</v>
      </c>
      <c r="F95">
        <v>0</v>
      </c>
      <c r="G95">
        <v>405182.32</v>
      </c>
      <c r="H95">
        <v>94817.68</v>
      </c>
      <c r="I95">
        <v>81.036463999999995</v>
      </c>
      <c r="J95">
        <v>0</v>
      </c>
      <c r="K95" s="249">
        <v>500000</v>
      </c>
      <c r="L95" s="249">
        <v>522500</v>
      </c>
      <c r="M95" s="249">
        <v>546535</v>
      </c>
      <c r="N95" s="249">
        <v>571675.61</v>
      </c>
      <c r="O95" t="str">
        <f t="shared" si="3"/>
        <v>2</v>
      </c>
      <c r="P95" t="str">
        <f t="shared" si="2"/>
        <v>Operational Cost</v>
      </c>
    </row>
    <row r="96" spans="1:16" hidden="1" x14ac:dyDescent="0.25">
      <c r="A96" t="s">
        <v>405</v>
      </c>
      <c r="C96" t="s">
        <v>247</v>
      </c>
      <c r="D96" s="67">
        <v>53287</v>
      </c>
      <c r="E96">
        <v>0</v>
      </c>
      <c r="F96">
        <v>0</v>
      </c>
      <c r="G96">
        <v>0</v>
      </c>
      <c r="H96">
        <v>53287</v>
      </c>
      <c r="I96">
        <v>0</v>
      </c>
      <c r="J96">
        <v>0</v>
      </c>
      <c r="K96" s="249">
        <v>53287</v>
      </c>
      <c r="L96" s="249">
        <v>55684.915000000001</v>
      </c>
      <c r="M96" s="249">
        <v>58246.421090000003</v>
      </c>
      <c r="N96" s="249">
        <v>60925.756460140001</v>
      </c>
      <c r="O96" t="str">
        <f t="shared" si="3"/>
        <v>2</v>
      </c>
      <c r="P96" t="str">
        <f t="shared" si="2"/>
        <v>Operational Cost</v>
      </c>
    </row>
    <row r="97" spans="1:16" hidden="1" x14ac:dyDescent="0.25">
      <c r="A97" t="s">
        <v>406</v>
      </c>
      <c r="C97" t="s">
        <v>261</v>
      </c>
      <c r="D97" s="67">
        <v>1049400</v>
      </c>
      <c r="E97">
        <v>0</v>
      </c>
      <c r="F97">
        <v>0</v>
      </c>
      <c r="G97">
        <v>914865</v>
      </c>
      <c r="H97">
        <v>134535</v>
      </c>
      <c r="I97">
        <v>87.179817038307604</v>
      </c>
      <c r="J97">
        <v>0</v>
      </c>
      <c r="K97" s="249">
        <v>1049400</v>
      </c>
      <c r="L97" s="249">
        <v>1096623</v>
      </c>
      <c r="M97" s="249">
        <v>1147067.6580000001</v>
      </c>
      <c r="N97" s="249">
        <v>1199832.770268</v>
      </c>
      <c r="O97" t="str">
        <f t="shared" si="3"/>
        <v>2</v>
      </c>
      <c r="P97" t="str">
        <f t="shared" si="2"/>
        <v>Operational Cost</v>
      </c>
    </row>
    <row r="98" spans="1:16" hidden="1" x14ac:dyDescent="0.25">
      <c r="A98" t="s">
        <v>407</v>
      </c>
      <c r="C98" t="s">
        <v>261</v>
      </c>
      <c r="D98" s="67">
        <v>7553</v>
      </c>
      <c r="E98">
        <v>0</v>
      </c>
      <c r="F98">
        <v>0</v>
      </c>
      <c r="G98">
        <v>5868.7</v>
      </c>
      <c r="H98">
        <v>1684.3000000000002</v>
      </c>
      <c r="I98">
        <v>77.700251555673233</v>
      </c>
      <c r="J98">
        <v>0</v>
      </c>
      <c r="K98" s="249">
        <v>7553</v>
      </c>
      <c r="L98" s="249">
        <v>7892.8850000000002</v>
      </c>
      <c r="M98" s="249">
        <v>8255.9577100000006</v>
      </c>
      <c r="N98" s="249">
        <v>8635.7317646600004</v>
      </c>
      <c r="O98" t="str">
        <f t="shared" si="3"/>
        <v>2</v>
      </c>
      <c r="P98" t="str">
        <f t="shared" si="2"/>
        <v>Operational Cost</v>
      </c>
    </row>
    <row r="99" spans="1:16" hidden="1" x14ac:dyDescent="0.25">
      <c r="A99" t="s">
        <v>408</v>
      </c>
      <c r="B99" t="s">
        <v>1372</v>
      </c>
      <c r="C99" t="s">
        <v>263</v>
      </c>
      <c r="D99" s="67">
        <v>689000</v>
      </c>
      <c r="E99">
        <v>0</v>
      </c>
      <c r="F99">
        <v>15033.18</v>
      </c>
      <c r="G99">
        <v>337514.89</v>
      </c>
      <c r="H99">
        <v>351485.11</v>
      </c>
      <c r="I99">
        <v>48.986195936139332</v>
      </c>
      <c r="J99">
        <v>50000</v>
      </c>
      <c r="K99" s="249">
        <v>739000</v>
      </c>
      <c r="L99" s="249">
        <v>772255</v>
      </c>
      <c r="M99" s="249">
        <v>807778.73</v>
      </c>
      <c r="N99" s="249">
        <v>844936.55157999997</v>
      </c>
      <c r="O99" t="str">
        <f t="shared" si="3"/>
        <v>2</v>
      </c>
      <c r="P99" t="str">
        <f t="shared" si="2"/>
        <v>Operational Cost</v>
      </c>
    </row>
    <row r="100" spans="1:16" hidden="1" x14ac:dyDescent="0.25">
      <c r="A100" t="s">
        <v>409</v>
      </c>
      <c r="C100" t="s">
        <v>265</v>
      </c>
      <c r="D100" s="67">
        <v>164046</v>
      </c>
      <c r="E100">
        <v>1910.89</v>
      </c>
      <c r="F100">
        <v>0</v>
      </c>
      <c r="G100">
        <v>11043.15</v>
      </c>
      <c r="H100">
        <v>153002.85</v>
      </c>
      <c r="I100">
        <v>6.731739877839142</v>
      </c>
      <c r="J100">
        <v>-100000</v>
      </c>
      <c r="K100" s="249">
        <v>64046</v>
      </c>
      <c r="L100" s="249">
        <v>66928.070000000007</v>
      </c>
      <c r="M100" s="249">
        <v>70006.76122</v>
      </c>
      <c r="N100" s="249">
        <v>73227.072236120002</v>
      </c>
      <c r="O100" t="str">
        <f t="shared" si="3"/>
        <v>2</v>
      </c>
      <c r="P100" t="str">
        <f t="shared" si="2"/>
        <v>Operational Cost</v>
      </c>
    </row>
    <row r="101" spans="1:16" hidden="1" x14ac:dyDescent="0.25">
      <c r="A101" t="s">
        <v>410</v>
      </c>
      <c r="C101" t="s">
        <v>268</v>
      </c>
      <c r="D101" s="67">
        <v>0</v>
      </c>
      <c r="E101">
        <v>6776.37</v>
      </c>
      <c r="F101">
        <v>0</v>
      </c>
      <c r="G101">
        <v>46729.41</v>
      </c>
      <c r="H101">
        <v>-46729.41</v>
      </c>
      <c r="I101">
        <v>0</v>
      </c>
      <c r="J101">
        <v>100000</v>
      </c>
      <c r="K101" s="249">
        <v>100000</v>
      </c>
      <c r="L101" s="249">
        <v>104500</v>
      </c>
      <c r="M101" s="249">
        <v>109307</v>
      </c>
      <c r="N101" s="249">
        <v>114335.122</v>
      </c>
      <c r="O101" t="str">
        <f t="shared" si="3"/>
        <v>2</v>
      </c>
      <c r="P101" t="str">
        <f t="shared" si="2"/>
        <v>Operational Cost</v>
      </c>
    </row>
    <row r="102" spans="1:16" hidden="1" x14ac:dyDescent="0.25">
      <c r="A102" t="s">
        <v>411</v>
      </c>
      <c r="C102" t="s">
        <v>268</v>
      </c>
      <c r="D102" s="67">
        <v>105300</v>
      </c>
      <c r="E102">
        <v>716.53</v>
      </c>
      <c r="F102">
        <v>0</v>
      </c>
      <c r="G102">
        <v>23427.25</v>
      </c>
      <c r="H102">
        <v>81872.75</v>
      </c>
      <c r="I102">
        <v>22.248100664767332</v>
      </c>
      <c r="J102">
        <v>-30000</v>
      </c>
      <c r="K102" s="249">
        <v>75300</v>
      </c>
      <c r="L102" s="249">
        <v>78688.5</v>
      </c>
      <c r="M102" s="249">
        <v>82308.171000000002</v>
      </c>
      <c r="N102" s="249">
        <v>86094.346866000007</v>
      </c>
      <c r="O102" t="str">
        <f t="shared" si="3"/>
        <v>2</v>
      </c>
      <c r="P102" t="str">
        <f t="shared" si="2"/>
        <v>Operational Cost</v>
      </c>
    </row>
    <row r="103" spans="1:16" hidden="1" x14ac:dyDescent="0.25">
      <c r="A103" t="s">
        <v>412</v>
      </c>
      <c r="C103" t="s">
        <v>269</v>
      </c>
      <c r="D103" s="67">
        <v>80000</v>
      </c>
      <c r="E103">
        <v>6500</v>
      </c>
      <c r="F103">
        <v>0</v>
      </c>
      <c r="G103">
        <v>39650</v>
      </c>
      <c r="H103">
        <v>40350</v>
      </c>
      <c r="I103">
        <v>49.5625</v>
      </c>
      <c r="J103">
        <v>0</v>
      </c>
      <c r="K103" s="249">
        <v>80000</v>
      </c>
      <c r="L103" s="249">
        <v>83600</v>
      </c>
      <c r="M103" s="249">
        <v>87445.6</v>
      </c>
      <c r="N103" s="249">
        <v>91468.097600000008</v>
      </c>
      <c r="O103" t="str">
        <f t="shared" si="3"/>
        <v>2</v>
      </c>
      <c r="P103" t="str">
        <f t="shared" si="2"/>
        <v>Operational Cost</v>
      </c>
    </row>
    <row r="104" spans="1:16" hidden="1" x14ac:dyDescent="0.25">
      <c r="A104" t="s">
        <v>413</v>
      </c>
      <c r="C104" t="s">
        <v>269</v>
      </c>
      <c r="D104" s="67">
        <v>60000</v>
      </c>
      <c r="E104">
        <v>0</v>
      </c>
      <c r="F104">
        <v>6800</v>
      </c>
      <c r="G104">
        <v>40770.68</v>
      </c>
      <c r="H104">
        <v>19229.32</v>
      </c>
      <c r="I104">
        <v>67.951133333333331</v>
      </c>
      <c r="J104">
        <v>0</v>
      </c>
      <c r="K104" s="249">
        <v>60000</v>
      </c>
      <c r="L104" s="249">
        <v>62700</v>
      </c>
      <c r="M104" s="249">
        <v>65584.2</v>
      </c>
      <c r="N104" s="249">
        <v>68601.073199999999</v>
      </c>
      <c r="O104" t="str">
        <f t="shared" si="3"/>
        <v>2</v>
      </c>
      <c r="P104" t="str">
        <f t="shared" si="2"/>
        <v>Operational Cost</v>
      </c>
    </row>
    <row r="105" spans="1:16" hidden="1" x14ac:dyDescent="0.25">
      <c r="A105" t="s">
        <v>414</v>
      </c>
      <c r="C105" t="s">
        <v>292</v>
      </c>
      <c r="D105" s="67">
        <v>3371</v>
      </c>
      <c r="E105">
        <v>1549.14</v>
      </c>
      <c r="F105">
        <v>0</v>
      </c>
      <c r="G105">
        <v>4306.75</v>
      </c>
      <c r="H105">
        <v>-935.75</v>
      </c>
      <c r="I105">
        <v>127.75</v>
      </c>
      <c r="J105">
        <v>0</v>
      </c>
      <c r="K105" s="249">
        <v>3371</v>
      </c>
      <c r="L105" s="249">
        <v>3522.6950000000002</v>
      </c>
      <c r="M105" s="249">
        <v>3684.7389700000003</v>
      </c>
      <c r="N105" s="249">
        <v>3854.2369626200002</v>
      </c>
      <c r="O105" t="str">
        <f t="shared" si="3"/>
        <v>2</v>
      </c>
      <c r="P105" t="str">
        <f t="shared" si="2"/>
        <v>Depreciation &amp; Amortisation</v>
      </c>
    </row>
    <row r="106" spans="1:16" hidden="1" x14ac:dyDescent="0.25">
      <c r="A106" t="s">
        <v>415</v>
      </c>
      <c r="C106" t="s">
        <v>293</v>
      </c>
      <c r="D106" s="67">
        <v>11148</v>
      </c>
      <c r="E106">
        <v>2594.58</v>
      </c>
      <c r="F106">
        <v>0</v>
      </c>
      <c r="G106">
        <v>5509.33</v>
      </c>
      <c r="H106">
        <v>5638.67</v>
      </c>
      <c r="I106">
        <v>49.41</v>
      </c>
      <c r="J106">
        <v>0</v>
      </c>
      <c r="K106" s="249">
        <v>11148</v>
      </c>
      <c r="L106" s="249">
        <v>11649.66</v>
      </c>
      <c r="M106" s="249">
        <v>12185.54436</v>
      </c>
      <c r="N106" s="249">
        <v>12746.07940056</v>
      </c>
      <c r="O106" t="str">
        <f t="shared" si="3"/>
        <v>2</v>
      </c>
      <c r="P106" t="str">
        <f t="shared" si="2"/>
        <v>Depreciation &amp; Amortisation</v>
      </c>
    </row>
    <row r="107" spans="1:16" hidden="1" x14ac:dyDescent="0.25">
      <c r="A107" t="s">
        <v>416</v>
      </c>
      <c r="C107" t="s">
        <v>417</v>
      </c>
      <c r="D107" s="67">
        <v>50000</v>
      </c>
      <c r="E107">
        <v>0</v>
      </c>
      <c r="F107">
        <v>0</v>
      </c>
      <c r="G107">
        <v>28720</v>
      </c>
      <c r="H107">
        <v>21280</v>
      </c>
      <c r="I107">
        <v>57.44</v>
      </c>
      <c r="J107">
        <v>-21280</v>
      </c>
      <c r="K107" s="249">
        <v>28720</v>
      </c>
      <c r="L107" s="249">
        <v>53000</v>
      </c>
      <c r="M107" s="249">
        <v>53000</v>
      </c>
      <c r="N107" s="249">
        <v>0</v>
      </c>
      <c r="O107" t="str">
        <f t="shared" si="3"/>
        <v>6</v>
      </c>
      <c r="P107">
        <f t="shared" si="2"/>
        <v>0</v>
      </c>
    </row>
    <row r="108" spans="1:16" hidden="1" x14ac:dyDescent="0.25">
      <c r="A108" t="s">
        <v>419</v>
      </c>
      <c r="C108" t="s">
        <v>150</v>
      </c>
      <c r="D108" s="67">
        <v>921699</v>
      </c>
      <c r="E108">
        <v>85296.76</v>
      </c>
      <c r="F108">
        <v>0</v>
      </c>
      <c r="G108">
        <v>503290.41</v>
      </c>
      <c r="H108">
        <v>418408.59</v>
      </c>
      <c r="I108">
        <v>54.6</v>
      </c>
      <c r="J108">
        <v>0</v>
      </c>
      <c r="K108" s="249">
        <v>921699</v>
      </c>
      <c r="L108" s="249">
        <v>979305.1875</v>
      </c>
      <c r="M108" s="249">
        <v>1047856.550625</v>
      </c>
      <c r="N108" s="249">
        <v>1121206.5091687501</v>
      </c>
      <c r="O108" t="str">
        <f t="shared" si="3"/>
        <v>2</v>
      </c>
      <c r="P108" t="str">
        <f t="shared" si="2"/>
        <v>Employee Related Cost</v>
      </c>
    </row>
    <row r="109" spans="1:16" hidden="1" x14ac:dyDescent="0.25">
      <c r="A109" t="s">
        <v>420</v>
      </c>
      <c r="C109" t="s">
        <v>151</v>
      </c>
      <c r="D109" s="67">
        <v>41388</v>
      </c>
      <c r="E109">
        <v>21167.72</v>
      </c>
      <c r="F109">
        <v>0</v>
      </c>
      <c r="G109">
        <v>103575.6</v>
      </c>
      <c r="H109">
        <v>-62187.6</v>
      </c>
      <c r="I109">
        <v>250.25</v>
      </c>
      <c r="J109">
        <v>-20220.28</v>
      </c>
      <c r="K109" s="249">
        <v>21167.72</v>
      </c>
      <c r="L109" s="249">
        <v>22490.702499999999</v>
      </c>
      <c r="M109" s="249">
        <v>24065.051674999999</v>
      </c>
      <c r="N109" s="249">
        <v>25749.605292249998</v>
      </c>
      <c r="O109" t="str">
        <f t="shared" si="3"/>
        <v>2</v>
      </c>
      <c r="P109" t="str">
        <f t="shared" si="2"/>
        <v>Employee Related Cost</v>
      </c>
    </row>
    <row r="110" spans="1:16" hidden="1" x14ac:dyDescent="0.25">
      <c r="A110" t="s">
        <v>421</v>
      </c>
      <c r="C110" t="s">
        <v>152</v>
      </c>
      <c r="D110" s="67">
        <v>38100</v>
      </c>
      <c r="E110">
        <v>3172.75</v>
      </c>
      <c r="F110">
        <v>0</v>
      </c>
      <c r="G110">
        <v>19036.5</v>
      </c>
      <c r="H110">
        <v>19063.5</v>
      </c>
      <c r="I110">
        <v>49.96</v>
      </c>
      <c r="J110">
        <v>0</v>
      </c>
      <c r="K110" s="249">
        <v>38100</v>
      </c>
      <c r="L110" s="249">
        <v>40481.25</v>
      </c>
      <c r="M110" s="249">
        <v>43314.9375</v>
      </c>
      <c r="N110" s="249">
        <v>46346.983124999999</v>
      </c>
      <c r="O110" t="str">
        <f t="shared" si="3"/>
        <v>2</v>
      </c>
      <c r="P110" t="str">
        <f t="shared" si="2"/>
        <v>Employee Related Cost</v>
      </c>
    </row>
    <row r="111" spans="1:16" hidden="1" x14ac:dyDescent="0.25">
      <c r="A111" t="s">
        <v>422</v>
      </c>
      <c r="C111" t="s">
        <v>153</v>
      </c>
      <c r="D111" s="67">
        <v>10893</v>
      </c>
      <c r="E111">
        <v>907.77</v>
      </c>
      <c r="F111">
        <v>0</v>
      </c>
      <c r="G111">
        <v>5446.62</v>
      </c>
      <c r="H111">
        <v>5446.38</v>
      </c>
      <c r="I111">
        <v>50</v>
      </c>
      <c r="J111">
        <v>0</v>
      </c>
      <c r="K111" s="249">
        <v>10893</v>
      </c>
      <c r="L111" s="249">
        <v>11573.8125</v>
      </c>
      <c r="M111" s="249">
        <v>12383.979375000001</v>
      </c>
      <c r="N111" s="249">
        <v>13250.857931250001</v>
      </c>
      <c r="O111" t="str">
        <f t="shared" si="3"/>
        <v>2</v>
      </c>
      <c r="P111" t="str">
        <f t="shared" si="2"/>
        <v>Employee Related Cost</v>
      </c>
    </row>
    <row r="112" spans="1:16" hidden="1" x14ac:dyDescent="0.25">
      <c r="A112" t="s">
        <v>423</v>
      </c>
      <c r="C112" t="s">
        <v>155</v>
      </c>
      <c r="D112" s="67">
        <v>29391</v>
      </c>
      <c r="E112">
        <v>0</v>
      </c>
      <c r="F112">
        <v>0</v>
      </c>
      <c r="G112">
        <v>0</v>
      </c>
      <c r="H112">
        <v>29391</v>
      </c>
      <c r="I112">
        <v>0</v>
      </c>
      <c r="J112">
        <v>0</v>
      </c>
      <c r="K112" s="249">
        <v>29391</v>
      </c>
      <c r="L112" s="249">
        <v>31227.9375</v>
      </c>
      <c r="M112" s="249">
        <v>33413.893125000002</v>
      </c>
      <c r="N112" s="249">
        <v>35752.865643750003</v>
      </c>
      <c r="O112" t="str">
        <f t="shared" si="3"/>
        <v>2</v>
      </c>
      <c r="P112" t="str">
        <f t="shared" si="2"/>
        <v>Employee Related Cost</v>
      </c>
    </row>
    <row r="113" spans="1:16" hidden="1" x14ac:dyDescent="0.25">
      <c r="A113" t="s">
        <v>424</v>
      </c>
      <c r="C113" t="s">
        <v>156</v>
      </c>
      <c r="D113" s="67">
        <v>153077</v>
      </c>
      <c r="E113">
        <v>13001.46</v>
      </c>
      <c r="F113">
        <v>0</v>
      </c>
      <c r="G113">
        <v>77094.720000000001</v>
      </c>
      <c r="H113">
        <v>75982.28</v>
      </c>
      <c r="I113">
        <v>50.36</v>
      </c>
      <c r="J113">
        <v>0</v>
      </c>
      <c r="K113" s="249">
        <v>153077</v>
      </c>
      <c r="L113" s="249">
        <v>162644.3125</v>
      </c>
      <c r="M113" s="249">
        <v>174029.41437499999</v>
      </c>
      <c r="N113" s="249">
        <v>186211.47338124999</v>
      </c>
      <c r="O113" t="str">
        <f t="shared" si="3"/>
        <v>2</v>
      </c>
      <c r="P113" t="str">
        <f t="shared" si="2"/>
        <v>Employee Related Cost</v>
      </c>
    </row>
    <row r="114" spans="1:16" hidden="1" x14ac:dyDescent="0.25">
      <c r="A114" t="s">
        <v>425</v>
      </c>
      <c r="C114" t="s">
        <v>158</v>
      </c>
      <c r="D114" s="67">
        <v>12246</v>
      </c>
      <c r="E114">
        <v>0</v>
      </c>
      <c r="F114">
        <v>0</v>
      </c>
      <c r="G114">
        <v>0</v>
      </c>
      <c r="H114">
        <v>12246</v>
      </c>
      <c r="I114">
        <v>0</v>
      </c>
      <c r="J114">
        <v>-12246</v>
      </c>
      <c r="K114" s="249">
        <v>0</v>
      </c>
      <c r="L114" s="249">
        <v>0</v>
      </c>
      <c r="M114" s="249">
        <v>0</v>
      </c>
      <c r="N114" s="249">
        <v>0</v>
      </c>
      <c r="O114" t="str">
        <f t="shared" si="3"/>
        <v>2</v>
      </c>
      <c r="P114" t="str">
        <f t="shared" si="2"/>
        <v>Employee Related Cost</v>
      </c>
    </row>
    <row r="115" spans="1:16" hidden="1" x14ac:dyDescent="0.25">
      <c r="A115" t="s">
        <v>426</v>
      </c>
      <c r="C115" t="s">
        <v>159</v>
      </c>
      <c r="D115" s="67">
        <v>73808</v>
      </c>
      <c r="E115">
        <v>0</v>
      </c>
      <c r="F115">
        <v>0</v>
      </c>
      <c r="G115">
        <v>0</v>
      </c>
      <c r="H115">
        <v>73808</v>
      </c>
      <c r="I115">
        <v>0</v>
      </c>
      <c r="J115">
        <v>17447</v>
      </c>
      <c r="K115" s="249">
        <v>91255</v>
      </c>
      <c r="L115" s="249">
        <v>96958.4375</v>
      </c>
      <c r="M115" s="249">
        <v>103745.528125</v>
      </c>
      <c r="N115" s="249">
        <v>111007.71509375</v>
      </c>
      <c r="O115" t="str">
        <f t="shared" si="3"/>
        <v>2</v>
      </c>
      <c r="P115" t="str">
        <f t="shared" si="2"/>
        <v>Employee Related Cost</v>
      </c>
    </row>
    <row r="116" spans="1:16" hidden="1" x14ac:dyDescent="0.25">
      <c r="A116" t="s">
        <v>427</v>
      </c>
      <c r="C116" t="s">
        <v>164</v>
      </c>
      <c r="D116" s="67">
        <v>15692</v>
      </c>
      <c r="E116">
        <v>1307.7</v>
      </c>
      <c r="F116">
        <v>0</v>
      </c>
      <c r="G116">
        <v>7846.2</v>
      </c>
      <c r="H116">
        <v>7845.8</v>
      </c>
      <c r="I116">
        <v>50</v>
      </c>
      <c r="J116">
        <v>0</v>
      </c>
      <c r="K116" s="249">
        <v>15692</v>
      </c>
      <c r="L116" s="249">
        <v>16672.75</v>
      </c>
      <c r="M116" s="249">
        <v>17839.842499999999</v>
      </c>
      <c r="N116" s="249">
        <v>19088.631474999998</v>
      </c>
      <c r="O116" t="str">
        <f t="shared" si="3"/>
        <v>2</v>
      </c>
      <c r="P116" t="str">
        <f t="shared" si="2"/>
        <v>Employee Related Cost</v>
      </c>
    </row>
    <row r="117" spans="1:16" hidden="1" x14ac:dyDescent="0.25">
      <c r="A117" t="s">
        <v>428</v>
      </c>
      <c r="C117" t="s">
        <v>167</v>
      </c>
      <c r="D117" s="67">
        <v>225</v>
      </c>
      <c r="E117">
        <v>23.3</v>
      </c>
      <c r="F117">
        <v>0</v>
      </c>
      <c r="G117">
        <v>139.80000000000001</v>
      </c>
      <c r="H117">
        <v>85.2</v>
      </c>
      <c r="I117">
        <v>62.13</v>
      </c>
      <c r="J117">
        <v>0</v>
      </c>
      <c r="K117" s="249">
        <v>225</v>
      </c>
      <c r="L117" s="249">
        <v>239.0625</v>
      </c>
      <c r="M117" s="249">
        <v>255.796875</v>
      </c>
      <c r="N117" s="249">
        <v>273.70265625000002</v>
      </c>
      <c r="O117" t="str">
        <f t="shared" si="3"/>
        <v>2</v>
      </c>
      <c r="P117" t="str">
        <f t="shared" si="2"/>
        <v>Employee Related Cost</v>
      </c>
    </row>
    <row r="118" spans="1:16" hidden="1" x14ac:dyDescent="0.25">
      <c r="A118" t="s">
        <v>429</v>
      </c>
      <c r="C118" t="s">
        <v>168</v>
      </c>
      <c r="D118" s="67">
        <v>107816</v>
      </c>
      <c r="E118">
        <v>8948.4</v>
      </c>
      <c r="F118">
        <v>0</v>
      </c>
      <c r="G118">
        <v>53690.400000000001</v>
      </c>
      <c r="H118">
        <v>54125.599999999999</v>
      </c>
      <c r="I118">
        <v>49.79</v>
      </c>
      <c r="J118">
        <v>0</v>
      </c>
      <c r="K118" s="249">
        <v>107816</v>
      </c>
      <c r="L118" s="249">
        <v>114554.5</v>
      </c>
      <c r="M118" s="249">
        <v>122573.315</v>
      </c>
      <c r="N118" s="249">
        <v>131153.44705000002</v>
      </c>
      <c r="O118" t="str">
        <f t="shared" si="3"/>
        <v>2</v>
      </c>
      <c r="P118" t="str">
        <f t="shared" si="2"/>
        <v>Employee Related Cost</v>
      </c>
    </row>
    <row r="119" spans="1:16" hidden="1" x14ac:dyDescent="0.25">
      <c r="A119" t="s">
        <v>430</v>
      </c>
      <c r="C119" t="s">
        <v>169</v>
      </c>
      <c r="D119" s="67">
        <v>194854</v>
      </c>
      <c r="E119">
        <v>16282.23</v>
      </c>
      <c r="F119">
        <v>0</v>
      </c>
      <c r="G119">
        <v>96143.39</v>
      </c>
      <c r="H119">
        <v>98710.61</v>
      </c>
      <c r="I119">
        <v>49.34</v>
      </c>
      <c r="J119">
        <v>0</v>
      </c>
      <c r="K119" s="249">
        <v>194854</v>
      </c>
      <c r="L119" s="249">
        <v>207032.375</v>
      </c>
      <c r="M119" s="249">
        <v>221524.64124999999</v>
      </c>
      <c r="N119" s="249">
        <v>237031.36613749998</v>
      </c>
      <c r="O119" t="str">
        <f t="shared" si="3"/>
        <v>2</v>
      </c>
      <c r="P119" t="str">
        <f t="shared" si="2"/>
        <v>Employee Related Cost</v>
      </c>
    </row>
    <row r="120" spans="1:16" hidden="1" x14ac:dyDescent="0.25">
      <c r="A120" t="s">
        <v>431</v>
      </c>
      <c r="C120" t="s">
        <v>170</v>
      </c>
      <c r="D120" s="67">
        <v>3570</v>
      </c>
      <c r="E120">
        <v>371.8</v>
      </c>
      <c r="F120">
        <v>0</v>
      </c>
      <c r="G120">
        <v>2230.8000000000002</v>
      </c>
      <c r="H120">
        <v>1339.2</v>
      </c>
      <c r="I120">
        <v>62.48</v>
      </c>
      <c r="J120">
        <v>0</v>
      </c>
      <c r="K120" s="249">
        <v>3570</v>
      </c>
      <c r="L120" s="249">
        <v>3793.125</v>
      </c>
      <c r="M120" s="249">
        <v>4058.6437500000002</v>
      </c>
      <c r="N120" s="249">
        <v>4342.7488125</v>
      </c>
      <c r="O120" t="str">
        <f t="shared" si="3"/>
        <v>2</v>
      </c>
      <c r="P120" t="str">
        <f t="shared" si="2"/>
        <v>Employee Related Cost</v>
      </c>
    </row>
    <row r="121" spans="1:16" hidden="1" x14ac:dyDescent="0.25">
      <c r="A121" t="s">
        <v>432</v>
      </c>
      <c r="C121" t="s">
        <v>173</v>
      </c>
      <c r="D121" s="67">
        <v>3453</v>
      </c>
      <c r="E121">
        <v>0</v>
      </c>
      <c r="F121">
        <v>0</v>
      </c>
      <c r="G121">
        <v>0</v>
      </c>
      <c r="H121">
        <v>3453</v>
      </c>
      <c r="I121">
        <v>0</v>
      </c>
      <c r="J121">
        <v>0</v>
      </c>
      <c r="K121" s="249">
        <v>3453</v>
      </c>
      <c r="L121" s="249">
        <v>3668.8125</v>
      </c>
      <c r="M121" s="249">
        <v>3925.629375</v>
      </c>
      <c r="N121" s="249">
        <v>4200.4234312500002</v>
      </c>
      <c r="O121" t="str">
        <f t="shared" si="3"/>
        <v>2</v>
      </c>
      <c r="P121" t="str">
        <f t="shared" si="2"/>
        <v>Employee Related Cost</v>
      </c>
    </row>
    <row r="122" spans="1:16" hidden="1" x14ac:dyDescent="0.25">
      <c r="A122" t="s">
        <v>433</v>
      </c>
      <c r="C122" t="s">
        <v>174</v>
      </c>
      <c r="D122" s="67">
        <v>1415</v>
      </c>
      <c r="E122">
        <v>0</v>
      </c>
      <c r="F122">
        <v>0</v>
      </c>
      <c r="G122">
        <v>0</v>
      </c>
      <c r="H122">
        <v>1415</v>
      </c>
      <c r="I122">
        <v>0</v>
      </c>
      <c r="J122">
        <v>0</v>
      </c>
      <c r="K122" s="249">
        <v>1415</v>
      </c>
      <c r="L122" s="249">
        <v>1503.4375</v>
      </c>
      <c r="M122" s="249">
        <v>1608.6781249999999</v>
      </c>
      <c r="N122" s="249">
        <v>1721.2855937499999</v>
      </c>
      <c r="O122" t="str">
        <f t="shared" si="3"/>
        <v>2</v>
      </c>
      <c r="P122" t="str">
        <f t="shared" si="2"/>
        <v>Employee Related Cost</v>
      </c>
    </row>
    <row r="123" spans="1:16" hidden="1" x14ac:dyDescent="0.25">
      <c r="A123" t="s">
        <v>434</v>
      </c>
      <c r="C123" t="s">
        <v>175</v>
      </c>
      <c r="D123" s="67">
        <v>9596</v>
      </c>
      <c r="E123">
        <v>0</v>
      </c>
      <c r="F123">
        <v>0</v>
      </c>
      <c r="G123">
        <v>0</v>
      </c>
      <c r="H123">
        <v>9596</v>
      </c>
      <c r="I123">
        <v>0</v>
      </c>
      <c r="J123">
        <v>0</v>
      </c>
      <c r="K123" s="249">
        <v>9596</v>
      </c>
      <c r="L123" s="249">
        <v>10195.75</v>
      </c>
      <c r="M123" s="249">
        <v>10909.452499999999</v>
      </c>
      <c r="N123" s="249">
        <v>11673.114174999999</v>
      </c>
      <c r="O123" t="str">
        <f t="shared" si="3"/>
        <v>2</v>
      </c>
      <c r="P123" t="str">
        <f t="shared" si="2"/>
        <v>Employee Related Cost</v>
      </c>
    </row>
    <row r="124" spans="1:16" hidden="1" x14ac:dyDescent="0.25">
      <c r="A124" t="s">
        <v>435</v>
      </c>
      <c r="B124" t="s">
        <v>1364</v>
      </c>
      <c r="C124" t="s">
        <v>233</v>
      </c>
      <c r="D124" s="67">
        <v>84047</v>
      </c>
      <c r="E124">
        <v>0</v>
      </c>
      <c r="F124">
        <v>0</v>
      </c>
      <c r="G124">
        <v>28976.22</v>
      </c>
      <c r="H124">
        <v>55070.78</v>
      </c>
      <c r="I124">
        <v>34.47</v>
      </c>
      <c r="J124">
        <v>0</v>
      </c>
      <c r="K124" s="249">
        <v>84047</v>
      </c>
      <c r="L124" s="249">
        <v>87829.115000000005</v>
      </c>
      <c r="M124" s="249">
        <v>91869.254290000012</v>
      </c>
      <c r="N124" s="249">
        <v>96095.239987340014</v>
      </c>
      <c r="O124" t="str">
        <f t="shared" si="3"/>
        <v>2</v>
      </c>
      <c r="P124" t="str">
        <f t="shared" si="2"/>
        <v>Contracted Services</v>
      </c>
    </row>
    <row r="125" spans="1:16" hidden="1" x14ac:dyDescent="0.25">
      <c r="A125" t="s">
        <v>436</v>
      </c>
      <c r="B125" t="s">
        <v>1365</v>
      </c>
      <c r="C125" t="s">
        <v>235</v>
      </c>
      <c r="D125" s="67">
        <v>400000</v>
      </c>
      <c r="E125">
        <v>195500</v>
      </c>
      <c r="F125">
        <v>0</v>
      </c>
      <c r="G125">
        <v>446611.24</v>
      </c>
      <c r="H125">
        <v>13388.76</v>
      </c>
      <c r="I125">
        <v>97.08</v>
      </c>
      <c r="J125">
        <v>60000.000000000116</v>
      </c>
      <c r="K125" s="249">
        <v>460000.00000000012</v>
      </c>
      <c r="L125" s="249">
        <v>800000</v>
      </c>
      <c r="M125" s="249">
        <v>836800</v>
      </c>
      <c r="N125" s="249">
        <v>875292.8</v>
      </c>
      <c r="O125" t="str">
        <f t="shared" si="3"/>
        <v>2</v>
      </c>
      <c r="P125" t="str">
        <f t="shared" si="2"/>
        <v>Contracted Services</v>
      </c>
    </row>
    <row r="126" spans="1:16" hidden="1" x14ac:dyDescent="0.25">
      <c r="A126" t="s">
        <v>437</v>
      </c>
      <c r="B126" t="s">
        <v>1366</v>
      </c>
      <c r="C126" t="s">
        <v>235</v>
      </c>
      <c r="D126" s="67">
        <v>600000</v>
      </c>
      <c r="E126">
        <v>52764</v>
      </c>
      <c r="F126">
        <v>0</v>
      </c>
      <c r="G126">
        <v>347609.27</v>
      </c>
      <c r="H126">
        <v>192390.73</v>
      </c>
      <c r="I126">
        <v>64.37</v>
      </c>
      <c r="J126">
        <v>-60000.000000000116</v>
      </c>
      <c r="K126" s="249">
        <v>539999.99999999988</v>
      </c>
      <c r="L126" s="249">
        <v>700000</v>
      </c>
      <c r="M126" s="249">
        <v>732200</v>
      </c>
      <c r="N126" s="249">
        <v>765881.2</v>
      </c>
      <c r="O126" t="str">
        <f t="shared" si="3"/>
        <v>2</v>
      </c>
      <c r="P126" t="str">
        <f t="shared" si="2"/>
        <v>Contracted Services</v>
      </c>
    </row>
    <row r="127" spans="1:16" hidden="1" x14ac:dyDescent="0.25">
      <c r="A127" t="s">
        <v>438</v>
      </c>
      <c r="C127" t="s">
        <v>249</v>
      </c>
      <c r="D127" s="67">
        <v>1497385</v>
      </c>
      <c r="E127">
        <v>1877.85</v>
      </c>
      <c r="F127">
        <v>0</v>
      </c>
      <c r="G127">
        <v>747953.79</v>
      </c>
      <c r="H127">
        <v>749431.21</v>
      </c>
      <c r="I127">
        <v>49.95</v>
      </c>
      <c r="J127">
        <v>200000</v>
      </c>
      <c r="K127" s="249">
        <v>1697385</v>
      </c>
      <c r="L127" s="249">
        <v>1700000</v>
      </c>
      <c r="M127" s="249">
        <v>1778200</v>
      </c>
      <c r="N127" s="249">
        <v>1859997.2</v>
      </c>
      <c r="O127" t="str">
        <f t="shared" si="3"/>
        <v>2</v>
      </c>
      <c r="P127" t="str">
        <f t="shared" si="2"/>
        <v>Operational Cost</v>
      </c>
    </row>
    <row r="128" spans="1:16" hidden="1" x14ac:dyDescent="0.25">
      <c r="A128" t="s">
        <v>439</v>
      </c>
      <c r="C128" t="s">
        <v>265</v>
      </c>
      <c r="D128" s="67">
        <v>0</v>
      </c>
      <c r="E128">
        <v>1248.05</v>
      </c>
      <c r="F128">
        <v>0</v>
      </c>
      <c r="G128">
        <v>7193.06</v>
      </c>
      <c r="H128">
        <v>-7193.06</v>
      </c>
      <c r="I128">
        <v>0</v>
      </c>
      <c r="J128">
        <v>15000</v>
      </c>
      <c r="K128" s="249">
        <v>15000</v>
      </c>
      <c r="L128" s="249">
        <v>15675</v>
      </c>
      <c r="M128" s="249">
        <v>16396.05</v>
      </c>
      <c r="N128" s="249">
        <v>17150.2683</v>
      </c>
      <c r="O128" t="str">
        <f t="shared" si="3"/>
        <v>2</v>
      </c>
      <c r="P128" t="str">
        <f t="shared" si="2"/>
        <v>Operational Cost</v>
      </c>
    </row>
    <row r="129" spans="1:16" hidden="1" x14ac:dyDescent="0.25">
      <c r="A129" t="s">
        <v>440</v>
      </c>
      <c r="C129" t="s">
        <v>268</v>
      </c>
      <c r="D129" s="67">
        <v>0</v>
      </c>
      <c r="E129">
        <v>0</v>
      </c>
      <c r="F129">
        <v>0</v>
      </c>
      <c r="G129">
        <v>14967.14</v>
      </c>
      <c r="H129">
        <v>-14967.14</v>
      </c>
      <c r="I129">
        <v>0</v>
      </c>
      <c r="J129">
        <v>35000</v>
      </c>
      <c r="K129" s="249">
        <v>35000</v>
      </c>
      <c r="L129" s="249">
        <v>36575</v>
      </c>
      <c r="M129" s="249">
        <v>38257.449999999997</v>
      </c>
      <c r="N129" s="249">
        <v>40017.292699999998</v>
      </c>
      <c r="O129" t="str">
        <f t="shared" si="3"/>
        <v>2</v>
      </c>
      <c r="P129" t="str">
        <f t="shared" si="2"/>
        <v>Operational Cost</v>
      </c>
    </row>
    <row r="130" spans="1:16" hidden="1" x14ac:dyDescent="0.25">
      <c r="A130" t="s">
        <v>441</v>
      </c>
      <c r="C130" t="s">
        <v>291</v>
      </c>
      <c r="D130" s="67">
        <v>3371</v>
      </c>
      <c r="E130">
        <v>9285.52</v>
      </c>
      <c r="F130">
        <v>0</v>
      </c>
      <c r="G130">
        <v>25943.09</v>
      </c>
      <c r="H130">
        <v>-22572.09</v>
      </c>
      <c r="I130">
        <v>769.59</v>
      </c>
      <c r="J130">
        <v>0</v>
      </c>
      <c r="K130" s="249">
        <v>3371</v>
      </c>
      <c r="L130" s="249">
        <v>3522.6950000000002</v>
      </c>
      <c r="M130" s="249">
        <v>3684.7389700000003</v>
      </c>
      <c r="N130" s="249">
        <v>3854.2369626200002</v>
      </c>
      <c r="O130" t="str">
        <f t="shared" si="3"/>
        <v>2</v>
      </c>
      <c r="P130" t="str">
        <f t="shared" ref="P130:P193" si="4">VLOOKUP(A130,bud_321,16,FALSE)</f>
        <v>Depreciation &amp; Amortisation</v>
      </c>
    </row>
    <row r="131" spans="1:16" hidden="1" x14ac:dyDescent="0.25">
      <c r="A131" t="s">
        <v>442</v>
      </c>
      <c r="C131" t="s">
        <v>292</v>
      </c>
      <c r="D131" s="67">
        <v>92300</v>
      </c>
      <c r="E131">
        <v>50623.56</v>
      </c>
      <c r="F131">
        <v>0</v>
      </c>
      <c r="G131">
        <v>134807.10999999999</v>
      </c>
      <c r="H131">
        <v>-42507.11</v>
      </c>
      <c r="I131">
        <v>146.05000000000001</v>
      </c>
      <c r="J131">
        <v>0</v>
      </c>
      <c r="K131" s="249">
        <v>92300</v>
      </c>
      <c r="L131" s="249">
        <v>96453.5</v>
      </c>
      <c r="M131" s="249">
        <v>100890.361</v>
      </c>
      <c r="N131" s="249">
        <v>105531.317606</v>
      </c>
      <c r="O131" t="str">
        <f t="shared" ref="O131:O194" si="5">MID(A131,5,1)</f>
        <v>2</v>
      </c>
      <c r="P131" t="str">
        <f t="shared" si="4"/>
        <v>Depreciation &amp; Amortisation</v>
      </c>
    </row>
    <row r="132" spans="1:16" hidden="1" x14ac:dyDescent="0.25">
      <c r="A132" t="s">
        <v>443</v>
      </c>
      <c r="C132" t="s">
        <v>293</v>
      </c>
      <c r="D132" s="67">
        <v>438975</v>
      </c>
      <c r="E132">
        <v>131600.20000000001</v>
      </c>
      <c r="F132">
        <v>0</v>
      </c>
      <c r="G132">
        <v>263250.40000000002</v>
      </c>
      <c r="H132">
        <v>175724.6</v>
      </c>
      <c r="I132">
        <v>59.96</v>
      </c>
      <c r="J132">
        <v>0</v>
      </c>
      <c r="K132" s="249">
        <v>438975</v>
      </c>
      <c r="L132" s="249">
        <v>458728.875</v>
      </c>
      <c r="M132" s="249">
        <v>479830.40324999997</v>
      </c>
      <c r="N132" s="249">
        <v>501902.60179949994</v>
      </c>
      <c r="O132" t="str">
        <f t="shared" si="5"/>
        <v>2</v>
      </c>
      <c r="P132" t="str">
        <f t="shared" si="4"/>
        <v>Depreciation &amp; Amortisation</v>
      </c>
    </row>
    <row r="133" spans="1:16" x14ac:dyDescent="0.25">
      <c r="A133" t="s">
        <v>3075</v>
      </c>
      <c r="C133" t="s">
        <v>1367</v>
      </c>
      <c r="D133" s="67">
        <v>0</v>
      </c>
      <c r="E133">
        <v>0</v>
      </c>
      <c r="F133">
        <v>0</v>
      </c>
      <c r="G133">
        <v>0</v>
      </c>
      <c r="H133">
        <v>0</v>
      </c>
      <c r="K133" s="249">
        <v>0</v>
      </c>
      <c r="L133" s="249">
        <v>2000000</v>
      </c>
      <c r="M133" s="249">
        <v>500000</v>
      </c>
      <c r="N133" s="249">
        <v>500000</v>
      </c>
      <c r="O133" t="str">
        <f t="shared" si="5"/>
        <v>6</v>
      </c>
      <c r="P133">
        <f t="shared" si="4"/>
        <v>0</v>
      </c>
    </row>
    <row r="134" spans="1:16" hidden="1" x14ac:dyDescent="0.25">
      <c r="A134" t="s">
        <v>444</v>
      </c>
      <c r="C134" t="s">
        <v>445</v>
      </c>
      <c r="D134" s="67">
        <v>600000</v>
      </c>
      <c r="E134">
        <v>0</v>
      </c>
      <c r="F134">
        <v>0</v>
      </c>
      <c r="G134">
        <v>79951.679999999993</v>
      </c>
      <c r="H134">
        <v>520048.32</v>
      </c>
      <c r="I134">
        <v>13.32</v>
      </c>
      <c r="J134">
        <v>0</v>
      </c>
      <c r="K134" s="249">
        <v>600000</v>
      </c>
      <c r="L134" s="249">
        <v>0</v>
      </c>
      <c r="M134" s="249">
        <v>0</v>
      </c>
      <c r="N134" s="249">
        <v>0</v>
      </c>
      <c r="O134" t="str">
        <f t="shared" si="5"/>
        <v>6</v>
      </c>
      <c r="P134">
        <f t="shared" si="4"/>
        <v>0</v>
      </c>
    </row>
    <row r="135" spans="1:16" hidden="1" x14ac:dyDescent="0.25">
      <c r="A135" t="s">
        <v>446</v>
      </c>
      <c r="C135" t="s">
        <v>3033</v>
      </c>
      <c r="D135" s="67">
        <v>1100000</v>
      </c>
      <c r="E135">
        <v>196880</v>
      </c>
      <c r="F135">
        <v>0</v>
      </c>
      <c r="G135">
        <v>567480</v>
      </c>
      <c r="H135">
        <v>532520</v>
      </c>
      <c r="I135">
        <v>51.58</v>
      </c>
      <c r="J135">
        <v>0</v>
      </c>
      <c r="K135" s="249">
        <v>1100000</v>
      </c>
      <c r="L135" s="249">
        <v>600000</v>
      </c>
      <c r="M135" s="249">
        <v>636000</v>
      </c>
      <c r="N135" s="249">
        <v>674160</v>
      </c>
      <c r="O135" t="str">
        <f t="shared" si="5"/>
        <v>6</v>
      </c>
      <c r="P135">
        <f t="shared" si="4"/>
        <v>0</v>
      </c>
    </row>
    <row r="136" spans="1:16" hidden="1" x14ac:dyDescent="0.25">
      <c r="A136" t="s">
        <v>449</v>
      </c>
      <c r="C136" t="s">
        <v>150</v>
      </c>
      <c r="D136" s="67">
        <v>1238187</v>
      </c>
      <c r="E136">
        <v>102521.85</v>
      </c>
      <c r="F136">
        <v>0</v>
      </c>
      <c r="G136">
        <v>626003.01</v>
      </c>
      <c r="H136">
        <v>612183.99</v>
      </c>
      <c r="I136">
        <v>50.55</v>
      </c>
      <c r="J136">
        <v>0</v>
      </c>
      <c r="K136" s="249">
        <v>1238187</v>
      </c>
      <c r="L136" s="249">
        <v>1315573.6875</v>
      </c>
      <c r="M136" s="249">
        <v>1407663.8456250001</v>
      </c>
      <c r="N136" s="249">
        <v>1506200.3148187501</v>
      </c>
      <c r="O136" t="str">
        <f t="shared" si="5"/>
        <v>2</v>
      </c>
      <c r="P136" t="str">
        <f t="shared" si="4"/>
        <v>Employee Related Cost</v>
      </c>
    </row>
    <row r="137" spans="1:16" hidden="1" x14ac:dyDescent="0.25">
      <c r="A137" t="s">
        <v>450</v>
      </c>
      <c r="C137" t="s">
        <v>151</v>
      </c>
      <c r="D137" s="67">
        <v>56405</v>
      </c>
      <c r="E137">
        <v>25401.27</v>
      </c>
      <c r="F137">
        <v>0</v>
      </c>
      <c r="G137">
        <v>102844.51</v>
      </c>
      <c r="H137">
        <v>-46439.51</v>
      </c>
      <c r="I137">
        <v>182.33</v>
      </c>
      <c r="J137">
        <v>-31003.73000000001</v>
      </c>
      <c r="K137" s="249">
        <v>25401.26999999999</v>
      </c>
      <c r="L137" s="249">
        <v>26988.849374999991</v>
      </c>
      <c r="M137" s="249">
        <v>28878.068831249991</v>
      </c>
      <c r="N137" s="249">
        <v>30899.53364943749</v>
      </c>
      <c r="O137" t="str">
        <f t="shared" si="5"/>
        <v>2</v>
      </c>
      <c r="P137" t="str">
        <f t="shared" si="4"/>
        <v>Employee Related Cost</v>
      </c>
    </row>
    <row r="138" spans="1:16" hidden="1" x14ac:dyDescent="0.25">
      <c r="A138" t="s">
        <v>451</v>
      </c>
      <c r="C138" t="s">
        <v>152</v>
      </c>
      <c r="D138" s="67">
        <v>52200</v>
      </c>
      <c r="E138">
        <v>4346.09</v>
      </c>
      <c r="F138">
        <v>0</v>
      </c>
      <c r="G138">
        <v>26076.54</v>
      </c>
      <c r="H138">
        <v>26123.46</v>
      </c>
      <c r="I138">
        <v>49.95</v>
      </c>
      <c r="J138">
        <v>0</v>
      </c>
      <c r="K138" s="249">
        <v>52200</v>
      </c>
      <c r="L138" s="249">
        <v>55462.5</v>
      </c>
      <c r="M138" s="249">
        <v>59344.875</v>
      </c>
      <c r="N138" s="249">
        <v>63499.016250000001</v>
      </c>
      <c r="O138" t="str">
        <f t="shared" si="5"/>
        <v>2</v>
      </c>
      <c r="P138" t="str">
        <f t="shared" si="4"/>
        <v>Employee Related Cost</v>
      </c>
    </row>
    <row r="139" spans="1:16" hidden="1" x14ac:dyDescent="0.25">
      <c r="A139" t="s">
        <v>452</v>
      </c>
      <c r="C139" t="s">
        <v>153</v>
      </c>
      <c r="D139" s="67">
        <v>10893</v>
      </c>
      <c r="E139">
        <v>0</v>
      </c>
      <c r="F139">
        <v>0</v>
      </c>
      <c r="G139">
        <v>0</v>
      </c>
      <c r="H139">
        <v>10893</v>
      </c>
      <c r="I139">
        <v>0</v>
      </c>
      <c r="J139">
        <v>0</v>
      </c>
      <c r="K139" s="249">
        <v>10893</v>
      </c>
      <c r="L139" s="249">
        <v>11573.8125</v>
      </c>
      <c r="M139" s="249">
        <v>12383.979375000001</v>
      </c>
      <c r="N139" s="249">
        <v>13250.857931250001</v>
      </c>
      <c r="O139" t="str">
        <f t="shared" si="5"/>
        <v>2</v>
      </c>
      <c r="P139" t="str">
        <f t="shared" si="4"/>
        <v>Employee Related Cost</v>
      </c>
    </row>
    <row r="140" spans="1:16" hidden="1" x14ac:dyDescent="0.25">
      <c r="A140" t="s">
        <v>453</v>
      </c>
      <c r="C140" t="s">
        <v>155</v>
      </c>
      <c r="D140" s="67">
        <v>40056</v>
      </c>
      <c r="E140">
        <v>0</v>
      </c>
      <c r="F140">
        <v>0</v>
      </c>
      <c r="G140">
        <v>0</v>
      </c>
      <c r="H140">
        <v>40056</v>
      </c>
      <c r="I140">
        <v>0</v>
      </c>
      <c r="J140">
        <v>0</v>
      </c>
      <c r="K140" s="249">
        <v>40056</v>
      </c>
      <c r="L140" s="249">
        <v>42559.5</v>
      </c>
      <c r="M140" s="249">
        <v>45538.665000000001</v>
      </c>
      <c r="N140" s="249">
        <v>48726.371550000003</v>
      </c>
      <c r="O140" t="str">
        <f t="shared" si="5"/>
        <v>2</v>
      </c>
      <c r="P140" t="str">
        <f t="shared" si="4"/>
        <v>Employee Related Cost</v>
      </c>
    </row>
    <row r="141" spans="1:16" hidden="1" x14ac:dyDescent="0.25">
      <c r="A141" t="s">
        <v>454</v>
      </c>
      <c r="C141" t="s">
        <v>156</v>
      </c>
      <c r="D141" s="67">
        <v>300547</v>
      </c>
      <c r="E141">
        <v>25276.16</v>
      </c>
      <c r="F141">
        <v>0</v>
      </c>
      <c r="G141">
        <v>150624.94</v>
      </c>
      <c r="H141">
        <v>149922.06</v>
      </c>
      <c r="I141">
        <v>50.11</v>
      </c>
      <c r="J141">
        <v>0</v>
      </c>
      <c r="K141" s="249">
        <v>300547</v>
      </c>
      <c r="L141" s="249">
        <v>319331.1875</v>
      </c>
      <c r="M141" s="249">
        <v>341684.37062499998</v>
      </c>
      <c r="N141" s="249">
        <v>365602.27656874998</v>
      </c>
      <c r="O141" t="str">
        <f t="shared" si="5"/>
        <v>2</v>
      </c>
      <c r="P141" t="str">
        <f t="shared" si="4"/>
        <v>Employee Related Cost</v>
      </c>
    </row>
    <row r="142" spans="1:16" hidden="1" x14ac:dyDescent="0.25">
      <c r="A142" t="s">
        <v>455</v>
      </c>
      <c r="C142" t="s">
        <v>158</v>
      </c>
      <c r="D142" s="67">
        <v>11405</v>
      </c>
      <c r="E142">
        <v>0</v>
      </c>
      <c r="F142">
        <v>0</v>
      </c>
      <c r="G142">
        <v>0</v>
      </c>
      <c r="H142">
        <v>11405</v>
      </c>
      <c r="I142">
        <v>0</v>
      </c>
      <c r="J142">
        <v>0</v>
      </c>
      <c r="K142" s="249">
        <v>11405</v>
      </c>
      <c r="L142" s="249">
        <v>12117.8125</v>
      </c>
      <c r="M142" s="249">
        <v>12966.059375000001</v>
      </c>
      <c r="N142" s="249">
        <v>13873.683531250001</v>
      </c>
      <c r="O142" t="str">
        <f t="shared" si="5"/>
        <v>2</v>
      </c>
      <c r="P142" t="str">
        <f t="shared" si="4"/>
        <v>Employee Related Cost</v>
      </c>
    </row>
    <row r="143" spans="1:16" hidden="1" x14ac:dyDescent="0.25">
      <c r="A143" t="s">
        <v>456</v>
      </c>
      <c r="C143" t="s">
        <v>159</v>
      </c>
      <c r="D143" s="67">
        <v>100182</v>
      </c>
      <c r="E143">
        <v>0</v>
      </c>
      <c r="F143">
        <v>0</v>
      </c>
      <c r="G143">
        <v>0</v>
      </c>
      <c r="H143">
        <v>100182</v>
      </c>
      <c r="I143">
        <v>0</v>
      </c>
      <c r="J143">
        <v>0</v>
      </c>
      <c r="K143" s="249">
        <v>100182</v>
      </c>
      <c r="L143" s="249">
        <v>106443.375</v>
      </c>
      <c r="M143" s="249">
        <v>113894.41125</v>
      </c>
      <c r="N143" s="249">
        <v>121867.0200375</v>
      </c>
      <c r="O143" t="str">
        <f t="shared" si="5"/>
        <v>2</v>
      </c>
      <c r="P143" t="str">
        <f t="shared" si="4"/>
        <v>Employee Related Cost</v>
      </c>
    </row>
    <row r="144" spans="1:16" hidden="1" x14ac:dyDescent="0.25">
      <c r="A144" t="s">
        <v>457</v>
      </c>
      <c r="C144" t="s">
        <v>161</v>
      </c>
      <c r="D144" s="67">
        <v>24284</v>
      </c>
      <c r="E144">
        <v>0</v>
      </c>
      <c r="F144">
        <v>0</v>
      </c>
      <c r="G144">
        <v>0</v>
      </c>
      <c r="H144">
        <v>24284</v>
      </c>
      <c r="I144">
        <v>0</v>
      </c>
      <c r="J144">
        <v>0</v>
      </c>
      <c r="K144" s="249">
        <v>24284</v>
      </c>
      <c r="L144" s="249">
        <v>25801.75</v>
      </c>
      <c r="M144" s="249">
        <v>27607.872500000001</v>
      </c>
      <c r="N144" s="249">
        <v>29540.423575000001</v>
      </c>
      <c r="O144" t="str">
        <f t="shared" si="5"/>
        <v>2</v>
      </c>
      <c r="P144" t="str">
        <f t="shared" si="4"/>
        <v>Employee Related Cost</v>
      </c>
    </row>
    <row r="145" spans="1:16" hidden="1" x14ac:dyDescent="0.25">
      <c r="A145" t="s">
        <v>458</v>
      </c>
      <c r="C145" t="s">
        <v>164</v>
      </c>
      <c r="D145" s="67">
        <v>15692</v>
      </c>
      <c r="E145">
        <v>1307.7</v>
      </c>
      <c r="F145">
        <v>0</v>
      </c>
      <c r="G145">
        <v>7846.2</v>
      </c>
      <c r="H145">
        <v>7845.8</v>
      </c>
      <c r="I145">
        <v>50</v>
      </c>
      <c r="J145">
        <v>0</v>
      </c>
      <c r="K145" s="249">
        <v>15692</v>
      </c>
      <c r="L145" s="249">
        <v>16672.75</v>
      </c>
      <c r="M145" s="249">
        <v>17839.842499999999</v>
      </c>
      <c r="N145" s="249">
        <v>19088.631474999998</v>
      </c>
      <c r="O145" t="str">
        <f t="shared" si="5"/>
        <v>2</v>
      </c>
      <c r="P145" t="str">
        <f t="shared" si="4"/>
        <v>Employee Related Cost</v>
      </c>
    </row>
    <row r="146" spans="1:16" hidden="1" x14ac:dyDescent="0.25">
      <c r="A146" t="s">
        <v>459</v>
      </c>
      <c r="C146" t="s">
        <v>167</v>
      </c>
      <c r="D146" s="67">
        <v>337</v>
      </c>
      <c r="E146">
        <v>27.96</v>
      </c>
      <c r="F146">
        <v>0</v>
      </c>
      <c r="G146">
        <v>167.76</v>
      </c>
      <c r="H146">
        <v>169.24</v>
      </c>
      <c r="I146">
        <v>49.78</v>
      </c>
      <c r="J146">
        <v>0</v>
      </c>
      <c r="K146" s="249">
        <v>337</v>
      </c>
      <c r="L146" s="249">
        <v>358.0625</v>
      </c>
      <c r="M146" s="249">
        <v>383.12687499999998</v>
      </c>
      <c r="N146" s="249">
        <v>409.94575624999999</v>
      </c>
      <c r="O146" t="str">
        <f t="shared" si="5"/>
        <v>2</v>
      </c>
      <c r="P146" t="str">
        <f t="shared" si="4"/>
        <v>Employee Related Cost</v>
      </c>
    </row>
    <row r="147" spans="1:16" hidden="1" x14ac:dyDescent="0.25">
      <c r="A147" t="s">
        <v>460</v>
      </c>
      <c r="C147" t="s">
        <v>168</v>
      </c>
      <c r="D147" s="67">
        <v>161725</v>
      </c>
      <c r="E147">
        <v>7625.4</v>
      </c>
      <c r="F147">
        <v>0</v>
      </c>
      <c r="G147">
        <v>45752.4</v>
      </c>
      <c r="H147">
        <v>115972.6</v>
      </c>
      <c r="I147">
        <v>28.29</v>
      </c>
      <c r="J147">
        <v>0</v>
      </c>
      <c r="K147" s="249">
        <v>161725</v>
      </c>
      <c r="L147" s="249">
        <v>171832.8125</v>
      </c>
      <c r="M147" s="249">
        <v>183861.109375</v>
      </c>
      <c r="N147" s="249">
        <v>196731.38703124999</v>
      </c>
      <c r="O147" t="str">
        <f t="shared" si="5"/>
        <v>2</v>
      </c>
      <c r="P147" t="str">
        <f t="shared" si="4"/>
        <v>Employee Related Cost</v>
      </c>
    </row>
    <row r="148" spans="1:16" hidden="1" x14ac:dyDescent="0.25">
      <c r="A148" t="s">
        <v>461</v>
      </c>
      <c r="C148" t="s">
        <v>169</v>
      </c>
      <c r="D148" s="67">
        <v>264481</v>
      </c>
      <c r="E148">
        <v>20617.39</v>
      </c>
      <c r="F148">
        <v>0</v>
      </c>
      <c r="G148">
        <v>122932.35</v>
      </c>
      <c r="H148">
        <v>141548.65</v>
      </c>
      <c r="I148">
        <v>46.48</v>
      </c>
      <c r="J148">
        <v>0</v>
      </c>
      <c r="K148" s="249">
        <v>264481</v>
      </c>
      <c r="L148" s="249">
        <v>281011.0625</v>
      </c>
      <c r="M148" s="249">
        <v>300681.83687499998</v>
      </c>
      <c r="N148" s="249">
        <v>321729.56545624998</v>
      </c>
      <c r="O148" t="str">
        <f t="shared" si="5"/>
        <v>2</v>
      </c>
      <c r="P148" t="str">
        <f t="shared" si="4"/>
        <v>Employee Related Cost</v>
      </c>
    </row>
    <row r="149" spans="1:16" hidden="1" x14ac:dyDescent="0.25">
      <c r="A149" t="s">
        <v>462</v>
      </c>
      <c r="C149" t="s">
        <v>170</v>
      </c>
      <c r="D149" s="67">
        <v>5355</v>
      </c>
      <c r="E149">
        <v>446.16</v>
      </c>
      <c r="F149">
        <v>0</v>
      </c>
      <c r="G149">
        <v>2826.96</v>
      </c>
      <c r="H149">
        <v>2528.04</v>
      </c>
      <c r="I149">
        <v>52.79</v>
      </c>
      <c r="J149">
        <v>0</v>
      </c>
      <c r="K149" s="249">
        <v>5355</v>
      </c>
      <c r="L149" s="249">
        <v>5689.6875</v>
      </c>
      <c r="M149" s="249">
        <v>6087.9656249999998</v>
      </c>
      <c r="N149" s="249">
        <v>6514.12321875</v>
      </c>
      <c r="O149" t="str">
        <f t="shared" si="5"/>
        <v>2</v>
      </c>
      <c r="P149" t="str">
        <f t="shared" si="4"/>
        <v>Employee Related Cost</v>
      </c>
    </row>
    <row r="150" spans="1:16" hidden="1" x14ac:dyDescent="0.25">
      <c r="A150" t="s">
        <v>463</v>
      </c>
      <c r="C150" t="s">
        <v>173</v>
      </c>
      <c r="D150" s="67">
        <v>16993</v>
      </c>
      <c r="E150">
        <v>0</v>
      </c>
      <c r="F150">
        <v>0</v>
      </c>
      <c r="G150">
        <v>0</v>
      </c>
      <c r="H150">
        <v>16993</v>
      </c>
      <c r="I150">
        <v>0</v>
      </c>
      <c r="J150">
        <v>0</v>
      </c>
      <c r="K150" s="249">
        <v>16993</v>
      </c>
      <c r="L150" s="249">
        <v>18055.0625</v>
      </c>
      <c r="M150" s="249">
        <v>19318.916874999999</v>
      </c>
      <c r="N150" s="249">
        <v>20671.241056250001</v>
      </c>
      <c r="O150" t="str">
        <f t="shared" si="5"/>
        <v>2</v>
      </c>
      <c r="P150" t="str">
        <f t="shared" si="4"/>
        <v>Employee Related Cost</v>
      </c>
    </row>
    <row r="151" spans="1:16" hidden="1" x14ac:dyDescent="0.25">
      <c r="A151" t="s">
        <v>464</v>
      </c>
      <c r="C151" t="s">
        <v>174</v>
      </c>
      <c r="D151" s="67">
        <v>17974</v>
      </c>
      <c r="E151">
        <v>0</v>
      </c>
      <c r="F151">
        <v>0</v>
      </c>
      <c r="G151">
        <v>0</v>
      </c>
      <c r="H151">
        <v>17974</v>
      </c>
      <c r="I151">
        <v>0</v>
      </c>
      <c r="J151">
        <v>0</v>
      </c>
      <c r="K151" s="249">
        <v>17974</v>
      </c>
      <c r="L151" s="249">
        <v>19097.375</v>
      </c>
      <c r="M151" s="249">
        <v>20434.19125</v>
      </c>
      <c r="N151" s="249">
        <v>21864.5846375</v>
      </c>
      <c r="O151" t="str">
        <f t="shared" si="5"/>
        <v>2</v>
      </c>
      <c r="P151" t="str">
        <f t="shared" si="4"/>
        <v>Employee Related Cost</v>
      </c>
    </row>
    <row r="152" spans="1:16" hidden="1" x14ac:dyDescent="0.25">
      <c r="A152" t="s">
        <v>465</v>
      </c>
      <c r="C152" t="s">
        <v>175</v>
      </c>
      <c r="D152" s="67">
        <v>13156</v>
      </c>
      <c r="E152">
        <v>0</v>
      </c>
      <c r="F152">
        <v>0</v>
      </c>
      <c r="G152">
        <v>0</v>
      </c>
      <c r="H152">
        <v>13156</v>
      </c>
      <c r="I152">
        <v>0</v>
      </c>
      <c r="J152">
        <v>0</v>
      </c>
      <c r="K152" s="249">
        <v>13156</v>
      </c>
      <c r="L152" s="249">
        <v>13978.25</v>
      </c>
      <c r="M152" s="249">
        <v>14956.727500000001</v>
      </c>
      <c r="N152" s="249">
        <v>16003.698425</v>
      </c>
      <c r="O152" t="str">
        <f t="shared" si="5"/>
        <v>2</v>
      </c>
      <c r="P152" t="str">
        <f t="shared" si="4"/>
        <v>Employee Related Cost</v>
      </c>
    </row>
    <row r="153" spans="1:16" hidden="1" x14ac:dyDescent="0.25">
      <c r="A153" t="s">
        <v>466</v>
      </c>
      <c r="C153" t="s">
        <v>263</v>
      </c>
      <c r="D153" s="67">
        <v>424000</v>
      </c>
      <c r="E153">
        <v>0</v>
      </c>
      <c r="F153">
        <v>0</v>
      </c>
      <c r="G153">
        <v>143900</v>
      </c>
      <c r="H153">
        <v>280100</v>
      </c>
      <c r="I153">
        <v>33.938679245283019</v>
      </c>
      <c r="J153">
        <v>200000</v>
      </c>
      <c r="K153" s="249">
        <v>624000</v>
      </c>
      <c r="L153" s="249">
        <v>652080</v>
      </c>
      <c r="M153" s="249">
        <v>682075.68</v>
      </c>
      <c r="N153" s="249">
        <v>713451.16128</v>
      </c>
      <c r="O153" t="str">
        <f t="shared" si="5"/>
        <v>2</v>
      </c>
      <c r="P153" t="str">
        <f t="shared" si="4"/>
        <v>Operational Cost</v>
      </c>
    </row>
    <row r="154" spans="1:16" hidden="1" x14ac:dyDescent="0.25">
      <c r="A154" t="s">
        <v>467</v>
      </c>
      <c r="C154" t="s">
        <v>263</v>
      </c>
      <c r="D154" s="67">
        <v>1219000</v>
      </c>
      <c r="E154">
        <v>93150</v>
      </c>
      <c r="F154">
        <v>45152.17</v>
      </c>
      <c r="G154">
        <v>989056.15</v>
      </c>
      <c r="H154">
        <v>229943.84999999998</v>
      </c>
      <c r="I154">
        <v>81.136681706316665</v>
      </c>
      <c r="J154">
        <v>-200000</v>
      </c>
      <c r="K154" s="249">
        <v>1019000</v>
      </c>
      <c r="L154" s="249">
        <v>1064855</v>
      </c>
      <c r="M154" s="249">
        <v>1113838.33</v>
      </c>
      <c r="N154" s="249">
        <v>1165074.8931800001</v>
      </c>
      <c r="O154" t="str">
        <f t="shared" si="5"/>
        <v>2</v>
      </c>
      <c r="P154" t="str">
        <f t="shared" si="4"/>
        <v>Operational Cost</v>
      </c>
    </row>
    <row r="155" spans="1:16" hidden="1" x14ac:dyDescent="0.25">
      <c r="A155" t="s">
        <v>468</v>
      </c>
      <c r="C155" t="s">
        <v>264</v>
      </c>
      <c r="D155" s="67">
        <v>2304000</v>
      </c>
      <c r="E155">
        <v>0</v>
      </c>
      <c r="F155">
        <v>0</v>
      </c>
      <c r="G155">
        <v>943200</v>
      </c>
      <c r="H155">
        <v>1360800</v>
      </c>
      <c r="I155">
        <v>40.9375</v>
      </c>
      <c r="J155">
        <v>0</v>
      </c>
      <c r="K155" s="249">
        <v>2304000</v>
      </c>
      <c r="L155" s="249">
        <v>2304000</v>
      </c>
      <c r="M155" s="249">
        <v>2409984</v>
      </c>
      <c r="N155" s="249">
        <v>2520843.264</v>
      </c>
      <c r="O155" t="str">
        <f t="shared" si="5"/>
        <v>2</v>
      </c>
      <c r="P155" t="str">
        <f t="shared" si="4"/>
        <v>Operational Cost</v>
      </c>
    </row>
    <row r="156" spans="1:16" hidden="1" x14ac:dyDescent="0.25">
      <c r="A156" t="s">
        <v>469</v>
      </c>
      <c r="C156" t="s">
        <v>265</v>
      </c>
      <c r="D156" s="67">
        <v>0</v>
      </c>
      <c r="E156">
        <v>1596.75</v>
      </c>
      <c r="F156">
        <v>0</v>
      </c>
      <c r="G156">
        <v>9006.24</v>
      </c>
      <c r="H156">
        <v>-9006.24</v>
      </c>
      <c r="I156">
        <v>0</v>
      </c>
      <c r="J156">
        <v>20000</v>
      </c>
      <c r="K156" s="249">
        <v>20000</v>
      </c>
      <c r="L156" s="249">
        <v>20900</v>
      </c>
      <c r="M156" s="249">
        <v>21861.4</v>
      </c>
      <c r="N156" s="249">
        <v>22867.024400000002</v>
      </c>
      <c r="O156" t="str">
        <f t="shared" si="5"/>
        <v>2</v>
      </c>
      <c r="P156" t="str">
        <f t="shared" si="4"/>
        <v>Operational Cost</v>
      </c>
    </row>
    <row r="157" spans="1:16" hidden="1" x14ac:dyDescent="0.25">
      <c r="A157" t="s">
        <v>470</v>
      </c>
      <c r="C157" t="s">
        <v>267</v>
      </c>
      <c r="D157" s="67">
        <v>700000</v>
      </c>
      <c r="E157">
        <v>0</v>
      </c>
      <c r="F157">
        <v>0</v>
      </c>
      <c r="G157">
        <v>220620</v>
      </c>
      <c r="H157">
        <v>479380</v>
      </c>
      <c r="I157">
        <v>31.517142857142854</v>
      </c>
      <c r="J157">
        <v>0</v>
      </c>
      <c r="K157" s="249">
        <v>700000</v>
      </c>
      <c r="L157" s="249">
        <v>731500</v>
      </c>
      <c r="M157" s="249">
        <v>765149</v>
      </c>
      <c r="N157" s="249">
        <v>800345.85400000005</v>
      </c>
      <c r="O157" t="str">
        <f t="shared" si="5"/>
        <v>2</v>
      </c>
      <c r="P157" t="str">
        <f t="shared" si="4"/>
        <v>Operational Cost</v>
      </c>
    </row>
    <row r="158" spans="1:16" hidden="1" x14ac:dyDescent="0.25">
      <c r="A158" t="s">
        <v>471</v>
      </c>
      <c r="C158" t="s">
        <v>268</v>
      </c>
      <c r="D158" s="67">
        <v>0</v>
      </c>
      <c r="E158">
        <v>18839.46</v>
      </c>
      <c r="F158">
        <v>0</v>
      </c>
      <c r="G158">
        <v>70159.350000000006</v>
      </c>
      <c r="H158">
        <v>-70159.350000000006</v>
      </c>
      <c r="I158">
        <v>0</v>
      </c>
      <c r="J158">
        <v>140000</v>
      </c>
      <c r="K158" s="249">
        <v>140000</v>
      </c>
      <c r="L158" s="249">
        <v>146300</v>
      </c>
      <c r="M158" s="249">
        <v>153029.79999999999</v>
      </c>
      <c r="N158" s="249">
        <v>160069.17079999999</v>
      </c>
      <c r="O158" t="str">
        <f t="shared" si="5"/>
        <v>2</v>
      </c>
      <c r="P158" t="str">
        <f t="shared" si="4"/>
        <v>Operational Cost</v>
      </c>
    </row>
    <row r="159" spans="1:16" hidden="1" x14ac:dyDescent="0.25">
      <c r="A159" t="s">
        <v>472</v>
      </c>
      <c r="C159" t="s">
        <v>292</v>
      </c>
      <c r="D159" s="67">
        <v>620</v>
      </c>
      <c r="E159">
        <v>1286.54</v>
      </c>
      <c r="F159">
        <v>0</v>
      </c>
      <c r="G159">
        <v>3404.15</v>
      </c>
      <c r="H159">
        <v>-2784.15</v>
      </c>
      <c r="I159">
        <v>549.04999999999995</v>
      </c>
      <c r="J159">
        <v>0</v>
      </c>
      <c r="K159" s="249">
        <v>620</v>
      </c>
      <c r="L159" s="249">
        <v>647.9</v>
      </c>
      <c r="M159" s="249">
        <v>677.70339999999999</v>
      </c>
      <c r="N159" s="249">
        <v>708.87775639999995</v>
      </c>
      <c r="O159" t="str">
        <f t="shared" si="5"/>
        <v>2</v>
      </c>
      <c r="P159" t="str">
        <f t="shared" si="4"/>
        <v>Depreciation &amp; Amortisation</v>
      </c>
    </row>
    <row r="160" spans="1:16" hidden="1" x14ac:dyDescent="0.25">
      <c r="A160" t="s">
        <v>473</v>
      </c>
      <c r="C160" t="s">
        <v>293</v>
      </c>
      <c r="D160" s="67">
        <v>39428</v>
      </c>
      <c r="E160">
        <v>6492.48</v>
      </c>
      <c r="F160">
        <v>0</v>
      </c>
      <c r="G160">
        <v>14376.42</v>
      </c>
      <c r="H160">
        <v>25051.58</v>
      </c>
      <c r="I160">
        <v>36.46</v>
      </c>
      <c r="J160">
        <v>0</v>
      </c>
      <c r="K160" s="249">
        <v>39428</v>
      </c>
      <c r="L160" s="249">
        <v>41202.26</v>
      </c>
      <c r="M160" s="249">
        <v>43097.563959999999</v>
      </c>
      <c r="N160" s="249">
        <v>45080.051902159998</v>
      </c>
      <c r="O160" t="str">
        <f t="shared" si="5"/>
        <v>2</v>
      </c>
      <c r="P160" t="str">
        <f t="shared" si="4"/>
        <v>Depreciation &amp; Amortisation</v>
      </c>
    </row>
    <row r="161" spans="1:16" hidden="1" x14ac:dyDescent="0.25">
      <c r="A161" t="s">
        <v>474</v>
      </c>
      <c r="C161" t="s">
        <v>297</v>
      </c>
      <c r="D161" s="67">
        <v>184915</v>
      </c>
      <c r="E161">
        <v>0</v>
      </c>
      <c r="F161">
        <v>0</v>
      </c>
      <c r="G161">
        <v>16884.22</v>
      </c>
      <c r="H161">
        <v>168030.78</v>
      </c>
      <c r="I161">
        <v>9.1300000000000008</v>
      </c>
      <c r="J161">
        <v>0</v>
      </c>
      <c r="K161" s="249">
        <v>184915</v>
      </c>
      <c r="L161" s="249">
        <v>193236.17499999999</v>
      </c>
      <c r="M161" s="249">
        <v>202125.03904999999</v>
      </c>
      <c r="N161" s="249">
        <v>211422.79084629999</v>
      </c>
      <c r="O161" t="str">
        <f t="shared" si="5"/>
        <v>2</v>
      </c>
      <c r="P161" t="str">
        <f t="shared" si="4"/>
        <v>Depreciation &amp; Amortisation</v>
      </c>
    </row>
    <row r="162" spans="1:16" hidden="1" x14ac:dyDescent="0.25">
      <c r="A162" t="s">
        <v>475</v>
      </c>
      <c r="C162" t="s">
        <v>298</v>
      </c>
      <c r="D162" s="67">
        <v>0</v>
      </c>
      <c r="E162">
        <v>26288.98</v>
      </c>
      <c r="F162">
        <v>0</v>
      </c>
      <c r="G162">
        <v>52577.96</v>
      </c>
      <c r="H162">
        <v>-52577.96</v>
      </c>
      <c r="I162">
        <v>0</v>
      </c>
      <c r="J162">
        <v>0</v>
      </c>
      <c r="K162" s="249">
        <v>0</v>
      </c>
      <c r="L162" s="249">
        <v>0</v>
      </c>
      <c r="M162" s="249">
        <v>0</v>
      </c>
      <c r="O162" t="str">
        <f t="shared" si="5"/>
        <v>2</v>
      </c>
      <c r="P162" t="str">
        <f t="shared" si="4"/>
        <v>Depreciation &amp; Amortisation</v>
      </c>
    </row>
    <row r="163" spans="1:16" hidden="1" x14ac:dyDescent="0.25">
      <c r="A163" t="s">
        <v>2335</v>
      </c>
      <c r="C163" t="s">
        <v>2336</v>
      </c>
      <c r="D163" s="67">
        <v>0</v>
      </c>
      <c r="L163" s="249">
        <v>250000</v>
      </c>
      <c r="M163" s="249">
        <v>261500</v>
      </c>
      <c r="N163" s="249">
        <v>273529</v>
      </c>
      <c r="O163" t="str">
        <f t="shared" si="5"/>
        <v>3</v>
      </c>
      <c r="P163" t="str">
        <f t="shared" si="4"/>
        <v xml:space="preserve">Loss on disposal of asset </v>
      </c>
    </row>
    <row r="164" spans="1:16" hidden="1" x14ac:dyDescent="0.25">
      <c r="A164" t="s">
        <v>477</v>
      </c>
      <c r="C164" t="s">
        <v>124</v>
      </c>
      <c r="D164" s="67">
        <v>928990</v>
      </c>
      <c r="E164">
        <v>0</v>
      </c>
      <c r="F164">
        <v>0</v>
      </c>
      <c r="G164">
        <v>0</v>
      </c>
      <c r="H164">
        <v>928990</v>
      </c>
      <c r="I164">
        <v>0</v>
      </c>
      <c r="J164">
        <v>-464495</v>
      </c>
      <c r="K164" s="249">
        <v>464495</v>
      </c>
      <c r="L164" s="249">
        <v>493525.9375</v>
      </c>
      <c r="M164" s="249">
        <v>528072.75312500005</v>
      </c>
      <c r="N164" s="249">
        <v>565037.84584375005</v>
      </c>
      <c r="O164" t="str">
        <f t="shared" si="5"/>
        <v>2</v>
      </c>
      <c r="P164" t="str">
        <f t="shared" si="4"/>
        <v>Employee Related Cost</v>
      </c>
    </row>
    <row r="165" spans="1:16" hidden="1" x14ac:dyDescent="0.25">
      <c r="A165" t="s">
        <v>478</v>
      </c>
      <c r="C165" t="s">
        <v>125</v>
      </c>
      <c r="D165" s="67">
        <v>46450</v>
      </c>
      <c r="E165">
        <v>0</v>
      </c>
      <c r="F165">
        <v>0</v>
      </c>
      <c r="G165">
        <v>0</v>
      </c>
      <c r="H165">
        <v>928990</v>
      </c>
      <c r="I165">
        <v>0</v>
      </c>
      <c r="J165">
        <v>-23225</v>
      </c>
      <c r="K165" s="249">
        <v>23225</v>
      </c>
      <c r="L165" s="249">
        <v>24676.5625</v>
      </c>
      <c r="M165" s="249">
        <v>26403.921875</v>
      </c>
      <c r="N165" s="249">
        <v>28252.196406250001</v>
      </c>
      <c r="O165" t="str">
        <f t="shared" si="5"/>
        <v>2</v>
      </c>
      <c r="P165" t="str">
        <f t="shared" si="4"/>
        <v>Employee Related Cost</v>
      </c>
    </row>
    <row r="166" spans="1:16" hidden="1" x14ac:dyDescent="0.25">
      <c r="A166" t="s">
        <v>479</v>
      </c>
      <c r="C166" t="s">
        <v>126</v>
      </c>
      <c r="D166" s="67">
        <v>40000</v>
      </c>
      <c r="E166">
        <v>0</v>
      </c>
      <c r="F166">
        <v>0</v>
      </c>
      <c r="G166">
        <v>0</v>
      </c>
      <c r="H166">
        <v>928990</v>
      </c>
      <c r="I166">
        <v>0</v>
      </c>
      <c r="J166">
        <v>-20000</v>
      </c>
      <c r="K166" s="249">
        <v>20000</v>
      </c>
      <c r="L166" s="249">
        <v>21250</v>
      </c>
      <c r="M166" s="249">
        <v>22737.5</v>
      </c>
      <c r="N166" s="249">
        <v>24329.125</v>
      </c>
      <c r="O166" t="str">
        <f t="shared" si="5"/>
        <v>2</v>
      </c>
      <c r="P166" t="str">
        <f t="shared" si="4"/>
        <v>Employee Related Cost</v>
      </c>
    </row>
    <row r="167" spans="1:16" hidden="1" x14ac:dyDescent="0.25">
      <c r="A167" t="s">
        <v>480</v>
      </c>
      <c r="C167" t="s">
        <v>127</v>
      </c>
      <c r="D167" s="67">
        <v>17000</v>
      </c>
      <c r="E167">
        <v>0</v>
      </c>
      <c r="F167">
        <v>0</v>
      </c>
      <c r="G167">
        <v>0</v>
      </c>
      <c r="H167">
        <v>928990</v>
      </c>
      <c r="I167">
        <v>0</v>
      </c>
      <c r="J167">
        <v>-8500</v>
      </c>
      <c r="K167" s="249">
        <v>8500</v>
      </c>
      <c r="L167" s="249">
        <v>9031.25</v>
      </c>
      <c r="M167" s="249">
        <v>9663.4375</v>
      </c>
      <c r="N167" s="249">
        <v>10339.878124999999</v>
      </c>
      <c r="O167" t="str">
        <f t="shared" si="5"/>
        <v>2</v>
      </c>
      <c r="P167" t="str">
        <f t="shared" si="4"/>
        <v>Employee Related Cost</v>
      </c>
    </row>
    <row r="168" spans="1:16" hidden="1" x14ac:dyDescent="0.25">
      <c r="A168" t="s">
        <v>481</v>
      </c>
      <c r="C168" t="s">
        <v>128</v>
      </c>
      <c r="D168" s="67">
        <v>18580</v>
      </c>
      <c r="E168">
        <v>0</v>
      </c>
      <c r="F168">
        <v>0</v>
      </c>
      <c r="G168">
        <v>0</v>
      </c>
      <c r="H168">
        <v>928990</v>
      </c>
      <c r="I168">
        <v>0</v>
      </c>
      <c r="J168">
        <v>-18580</v>
      </c>
      <c r="K168" s="249">
        <v>0</v>
      </c>
      <c r="L168" s="249">
        <v>0</v>
      </c>
      <c r="M168" s="249">
        <v>0</v>
      </c>
      <c r="N168" s="249">
        <v>0</v>
      </c>
      <c r="O168" t="str">
        <f t="shared" si="5"/>
        <v>2</v>
      </c>
      <c r="P168" t="str">
        <f t="shared" si="4"/>
        <v>Employee Related Cost</v>
      </c>
    </row>
    <row r="169" spans="1:16" hidden="1" x14ac:dyDescent="0.25">
      <c r="A169" t="s">
        <v>482</v>
      </c>
      <c r="C169" t="s">
        <v>150</v>
      </c>
      <c r="D169" s="67">
        <v>627000</v>
      </c>
      <c r="E169">
        <v>0</v>
      </c>
      <c r="F169">
        <v>0</v>
      </c>
      <c r="G169">
        <v>0</v>
      </c>
      <c r="H169">
        <v>928990</v>
      </c>
      <c r="I169">
        <v>0</v>
      </c>
      <c r="J169">
        <v>0</v>
      </c>
      <c r="K169" s="249">
        <v>627000</v>
      </c>
      <c r="L169" s="249">
        <v>666187.5</v>
      </c>
      <c r="M169" s="249">
        <v>712820.625</v>
      </c>
      <c r="N169" s="249">
        <v>762718.06874999998</v>
      </c>
      <c r="O169" t="str">
        <f t="shared" si="5"/>
        <v>2</v>
      </c>
      <c r="P169" t="str">
        <f t="shared" si="4"/>
        <v>Employee Related Cost</v>
      </c>
    </row>
    <row r="170" spans="1:16" hidden="1" x14ac:dyDescent="0.25">
      <c r="A170" t="s">
        <v>483</v>
      </c>
      <c r="C170" t="s">
        <v>151</v>
      </c>
      <c r="D170" s="67">
        <v>29299</v>
      </c>
      <c r="E170">
        <v>0</v>
      </c>
      <c r="F170">
        <v>0</v>
      </c>
      <c r="G170">
        <v>0</v>
      </c>
      <c r="H170">
        <v>928990</v>
      </c>
      <c r="I170">
        <v>0</v>
      </c>
      <c r="J170">
        <v>-12364.82</v>
      </c>
      <c r="K170" s="249">
        <v>16934.18</v>
      </c>
      <c r="L170" s="249">
        <v>17992.56625</v>
      </c>
      <c r="M170" s="249">
        <v>19252.0458875</v>
      </c>
      <c r="N170" s="249">
        <v>20599.689099625</v>
      </c>
      <c r="O170" t="str">
        <f t="shared" si="5"/>
        <v>2</v>
      </c>
      <c r="P170" t="str">
        <f t="shared" si="4"/>
        <v>Employee Related Cost</v>
      </c>
    </row>
    <row r="171" spans="1:16" hidden="1" x14ac:dyDescent="0.25">
      <c r="A171" t="s">
        <v>484</v>
      </c>
      <c r="C171" t="s">
        <v>152</v>
      </c>
      <c r="D171" s="67">
        <v>24000</v>
      </c>
      <c r="E171">
        <v>0</v>
      </c>
      <c r="F171">
        <v>0</v>
      </c>
      <c r="G171">
        <v>0</v>
      </c>
      <c r="H171">
        <v>928990</v>
      </c>
      <c r="I171">
        <v>0</v>
      </c>
      <c r="J171">
        <v>0</v>
      </c>
      <c r="K171" s="249">
        <v>24000</v>
      </c>
      <c r="L171" s="249">
        <v>25500</v>
      </c>
      <c r="M171" s="249">
        <v>27285</v>
      </c>
      <c r="N171" s="249">
        <v>29194.95</v>
      </c>
      <c r="O171" t="str">
        <f t="shared" si="5"/>
        <v>2</v>
      </c>
      <c r="P171" t="str">
        <f t="shared" si="4"/>
        <v>Employee Related Cost</v>
      </c>
    </row>
    <row r="172" spans="1:16" hidden="1" x14ac:dyDescent="0.25">
      <c r="A172" t="s">
        <v>485</v>
      </c>
      <c r="C172" t="s">
        <v>153</v>
      </c>
      <c r="D172" s="67">
        <v>10893</v>
      </c>
      <c r="E172">
        <v>0</v>
      </c>
      <c r="F172">
        <v>0</v>
      </c>
      <c r="G172">
        <v>0</v>
      </c>
      <c r="H172">
        <v>928990</v>
      </c>
      <c r="I172">
        <v>0</v>
      </c>
      <c r="J172">
        <v>0</v>
      </c>
      <c r="K172" s="249">
        <v>10893</v>
      </c>
      <c r="L172" s="249">
        <v>11573.8125</v>
      </c>
      <c r="M172" s="249">
        <v>12383.979375000001</v>
      </c>
      <c r="N172" s="249">
        <v>13250.857931250001</v>
      </c>
      <c r="O172" t="str">
        <f t="shared" si="5"/>
        <v>2</v>
      </c>
      <c r="P172" t="str">
        <f t="shared" si="4"/>
        <v>Employee Related Cost</v>
      </c>
    </row>
    <row r="173" spans="1:16" hidden="1" x14ac:dyDescent="0.25">
      <c r="A173" t="s">
        <v>486</v>
      </c>
      <c r="C173" t="s">
        <v>155</v>
      </c>
      <c r="D173" s="67">
        <v>20806</v>
      </c>
      <c r="E173">
        <v>0</v>
      </c>
      <c r="F173">
        <v>0</v>
      </c>
      <c r="G173">
        <v>0</v>
      </c>
      <c r="H173">
        <v>928990</v>
      </c>
      <c r="I173">
        <v>0</v>
      </c>
      <c r="J173">
        <v>0</v>
      </c>
      <c r="K173" s="249">
        <v>20806</v>
      </c>
      <c r="L173" s="249">
        <v>22106.375</v>
      </c>
      <c r="M173" s="249">
        <v>23653.821250000001</v>
      </c>
      <c r="N173" s="249">
        <v>25309.588737500002</v>
      </c>
      <c r="O173" t="str">
        <f t="shared" si="5"/>
        <v>2</v>
      </c>
      <c r="P173" t="str">
        <f t="shared" si="4"/>
        <v>Employee Related Cost</v>
      </c>
    </row>
    <row r="174" spans="1:16" hidden="1" x14ac:dyDescent="0.25">
      <c r="A174" t="s">
        <v>487</v>
      </c>
      <c r="C174" t="s">
        <v>156</v>
      </c>
      <c r="D174" s="67">
        <v>156750</v>
      </c>
      <c r="E174">
        <v>0</v>
      </c>
      <c r="F174">
        <v>0</v>
      </c>
      <c r="G174">
        <v>0</v>
      </c>
      <c r="H174">
        <v>928990</v>
      </c>
      <c r="I174">
        <v>0</v>
      </c>
      <c r="J174">
        <v>0</v>
      </c>
      <c r="K174" s="249">
        <v>156750</v>
      </c>
      <c r="L174" s="249">
        <v>166546.875</v>
      </c>
      <c r="M174" s="249">
        <v>178205.15625</v>
      </c>
      <c r="N174" s="249">
        <v>190679.51718749999</v>
      </c>
      <c r="O174" t="str">
        <f t="shared" si="5"/>
        <v>2</v>
      </c>
      <c r="P174" t="str">
        <f t="shared" si="4"/>
        <v>Employee Related Cost</v>
      </c>
    </row>
    <row r="175" spans="1:16" hidden="1" x14ac:dyDescent="0.25">
      <c r="A175" t="s">
        <v>488</v>
      </c>
      <c r="C175" t="s">
        <v>158</v>
      </c>
      <c r="D175" s="67">
        <v>12657</v>
      </c>
      <c r="E175">
        <v>0</v>
      </c>
      <c r="F175">
        <v>0</v>
      </c>
      <c r="G175">
        <v>0</v>
      </c>
      <c r="H175">
        <v>928990</v>
      </c>
      <c r="I175">
        <v>0</v>
      </c>
      <c r="J175">
        <v>-12657</v>
      </c>
      <c r="K175" s="249">
        <v>0</v>
      </c>
      <c r="L175" s="249">
        <v>0</v>
      </c>
      <c r="M175" s="249">
        <v>0</v>
      </c>
      <c r="N175" s="249">
        <v>0</v>
      </c>
      <c r="O175" t="str">
        <f t="shared" si="5"/>
        <v>2</v>
      </c>
      <c r="P175" t="str">
        <f t="shared" si="4"/>
        <v>Employee Related Cost</v>
      </c>
    </row>
    <row r="176" spans="1:16" hidden="1" x14ac:dyDescent="0.25">
      <c r="A176" t="s">
        <v>489</v>
      </c>
      <c r="C176" t="s">
        <v>159</v>
      </c>
      <c r="D176" s="67">
        <v>52250</v>
      </c>
      <c r="E176">
        <v>0</v>
      </c>
      <c r="F176">
        <v>0</v>
      </c>
      <c r="G176">
        <v>0</v>
      </c>
      <c r="H176">
        <v>928990</v>
      </c>
      <c r="I176">
        <v>0</v>
      </c>
      <c r="J176">
        <v>0</v>
      </c>
      <c r="K176" s="249">
        <v>52250</v>
      </c>
      <c r="L176" s="249">
        <v>55515.625</v>
      </c>
      <c r="M176" s="249">
        <v>59401.71875</v>
      </c>
      <c r="N176" s="249">
        <v>63559.839062500003</v>
      </c>
      <c r="O176" t="str">
        <f t="shared" si="5"/>
        <v>2</v>
      </c>
      <c r="P176" t="str">
        <f t="shared" si="4"/>
        <v>Employee Related Cost</v>
      </c>
    </row>
    <row r="177" spans="1:16" hidden="1" x14ac:dyDescent="0.25">
      <c r="A177" t="s">
        <v>490</v>
      </c>
      <c r="C177" t="s">
        <v>163</v>
      </c>
      <c r="D177" s="67">
        <v>15692</v>
      </c>
      <c r="E177">
        <v>0</v>
      </c>
      <c r="F177">
        <v>0</v>
      </c>
      <c r="G177">
        <v>0</v>
      </c>
      <c r="H177">
        <v>928990</v>
      </c>
      <c r="I177">
        <v>0</v>
      </c>
      <c r="J177">
        <v>0</v>
      </c>
      <c r="K177" s="249">
        <v>15692</v>
      </c>
      <c r="L177" s="249">
        <v>16672.75</v>
      </c>
      <c r="M177" s="249">
        <v>17839.842499999999</v>
      </c>
      <c r="N177" s="249">
        <v>19088.631474999998</v>
      </c>
      <c r="O177" t="str">
        <f t="shared" si="5"/>
        <v>2</v>
      </c>
      <c r="P177" t="str">
        <f t="shared" si="4"/>
        <v>Employee Related Cost</v>
      </c>
    </row>
    <row r="178" spans="1:16" hidden="1" x14ac:dyDescent="0.25">
      <c r="A178" t="s">
        <v>491</v>
      </c>
      <c r="C178" t="s">
        <v>164</v>
      </c>
      <c r="D178" s="67">
        <v>37160</v>
      </c>
      <c r="E178">
        <v>0</v>
      </c>
      <c r="F178">
        <v>0</v>
      </c>
      <c r="G178">
        <v>0</v>
      </c>
      <c r="H178">
        <v>928990</v>
      </c>
      <c r="I178">
        <v>0</v>
      </c>
      <c r="J178">
        <v>0</v>
      </c>
      <c r="K178" s="249">
        <v>37160</v>
      </c>
      <c r="L178" s="249">
        <v>39482.5</v>
      </c>
      <c r="M178" s="249">
        <v>42246.275000000001</v>
      </c>
      <c r="N178" s="249">
        <v>45203.51425</v>
      </c>
      <c r="O178" t="str">
        <f t="shared" si="5"/>
        <v>2</v>
      </c>
      <c r="P178" t="str">
        <f t="shared" si="4"/>
        <v>Employee Related Cost</v>
      </c>
    </row>
    <row r="179" spans="1:16" hidden="1" x14ac:dyDescent="0.25">
      <c r="A179" t="s">
        <v>492</v>
      </c>
      <c r="C179" t="s">
        <v>167</v>
      </c>
      <c r="D179" s="67">
        <v>112</v>
      </c>
      <c r="E179">
        <v>0</v>
      </c>
      <c r="F179">
        <v>0</v>
      </c>
      <c r="G179">
        <v>0</v>
      </c>
      <c r="H179">
        <v>928990</v>
      </c>
      <c r="I179">
        <v>0</v>
      </c>
      <c r="J179">
        <v>188</v>
      </c>
      <c r="K179" s="249">
        <v>300</v>
      </c>
      <c r="L179" s="249">
        <v>318.75</v>
      </c>
      <c r="M179" s="249">
        <v>341.0625</v>
      </c>
      <c r="N179" s="249">
        <v>364.93687499999999</v>
      </c>
      <c r="O179" t="str">
        <f t="shared" si="5"/>
        <v>2</v>
      </c>
      <c r="P179" t="str">
        <f t="shared" si="4"/>
        <v>Employee Related Cost</v>
      </c>
    </row>
    <row r="180" spans="1:16" hidden="1" x14ac:dyDescent="0.25">
      <c r="A180" t="s">
        <v>493</v>
      </c>
      <c r="C180" t="s">
        <v>168</v>
      </c>
      <c r="D180" s="67">
        <v>53908</v>
      </c>
      <c r="E180">
        <v>0</v>
      </c>
      <c r="F180">
        <v>0</v>
      </c>
      <c r="G180">
        <v>0</v>
      </c>
      <c r="H180">
        <v>928990</v>
      </c>
      <c r="I180">
        <v>0</v>
      </c>
      <c r="J180">
        <v>0</v>
      </c>
      <c r="K180" s="249">
        <v>53908</v>
      </c>
      <c r="L180" s="249">
        <v>57277.25</v>
      </c>
      <c r="M180" s="249">
        <v>61286.657500000001</v>
      </c>
      <c r="N180" s="249">
        <v>65576.723525000009</v>
      </c>
      <c r="O180" t="str">
        <f t="shared" si="5"/>
        <v>2</v>
      </c>
      <c r="P180" t="str">
        <f t="shared" si="4"/>
        <v>Employee Related Cost</v>
      </c>
    </row>
    <row r="181" spans="1:16" hidden="1" x14ac:dyDescent="0.25">
      <c r="A181" t="s">
        <v>494</v>
      </c>
      <c r="C181" t="s">
        <v>169</v>
      </c>
      <c r="D181" s="67">
        <v>137940</v>
      </c>
      <c r="E181">
        <v>0</v>
      </c>
      <c r="F181">
        <v>0</v>
      </c>
      <c r="G181">
        <v>0</v>
      </c>
      <c r="H181">
        <v>928990</v>
      </c>
      <c r="I181">
        <v>0</v>
      </c>
      <c r="J181">
        <v>0</v>
      </c>
      <c r="K181" s="249">
        <v>137940</v>
      </c>
      <c r="L181" s="249">
        <v>146561.25</v>
      </c>
      <c r="M181" s="249">
        <v>156820.53750000001</v>
      </c>
      <c r="N181" s="249">
        <v>167797.975125</v>
      </c>
      <c r="O181" t="str">
        <f t="shared" si="5"/>
        <v>2</v>
      </c>
      <c r="P181" t="str">
        <f t="shared" si="4"/>
        <v>Employee Related Cost</v>
      </c>
    </row>
    <row r="182" spans="1:16" hidden="1" x14ac:dyDescent="0.25">
      <c r="A182" t="s">
        <v>495</v>
      </c>
      <c r="C182" t="s">
        <v>170</v>
      </c>
      <c r="D182" s="67">
        <v>1785</v>
      </c>
      <c r="E182">
        <v>0</v>
      </c>
      <c r="F182">
        <v>0</v>
      </c>
      <c r="G182">
        <v>0</v>
      </c>
      <c r="H182">
        <v>928990</v>
      </c>
      <c r="I182">
        <v>0</v>
      </c>
      <c r="J182">
        <v>1215</v>
      </c>
      <c r="K182" s="249">
        <v>3000</v>
      </c>
      <c r="L182" s="249">
        <v>3187.5</v>
      </c>
      <c r="M182" s="249">
        <v>3410.625</v>
      </c>
      <c r="N182" s="249">
        <v>3649.3687500000001</v>
      </c>
      <c r="O182" t="str">
        <f t="shared" si="5"/>
        <v>2</v>
      </c>
      <c r="P182" t="str">
        <f t="shared" si="4"/>
        <v>Employee Related Cost</v>
      </c>
    </row>
    <row r="183" spans="1:16" hidden="1" x14ac:dyDescent="0.25">
      <c r="A183" t="s">
        <v>496</v>
      </c>
      <c r="C183" t="s">
        <v>173</v>
      </c>
      <c r="D183" s="67">
        <v>2151</v>
      </c>
      <c r="E183">
        <v>0</v>
      </c>
      <c r="F183">
        <v>0</v>
      </c>
      <c r="G183">
        <v>0</v>
      </c>
      <c r="H183">
        <v>928990</v>
      </c>
      <c r="I183">
        <v>0</v>
      </c>
      <c r="J183">
        <v>0</v>
      </c>
      <c r="K183" s="249">
        <v>2151</v>
      </c>
      <c r="L183" s="249">
        <v>2285.4375</v>
      </c>
      <c r="M183" s="249">
        <v>2445.4181250000001</v>
      </c>
      <c r="N183" s="249">
        <v>2616.5973937500003</v>
      </c>
      <c r="O183" t="str">
        <f t="shared" si="5"/>
        <v>2</v>
      </c>
      <c r="P183" t="str">
        <f t="shared" si="4"/>
        <v>Employee Related Cost</v>
      </c>
    </row>
    <row r="184" spans="1:16" hidden="1" x14ac:dyDescent="0.25">
      <c r="A184" t="s">
        <v>497</v>
      </c>
      <c r="C184" t="s">
        <v>174</v>
      </c>
      <c r="D184" s="67">
        <v>1460</v>
      </c>
      <c r="E184">
        <v>0</v>
      </c>
      <c r="F184">
        <v>0</v>
      </c>
      <c r="G184">
        <v>0</v>
      </c>
      <c r="H184">
        <v>928990</v>
      </c>
      <c r="I184">
        <v>0</v>
      </c>
      <c r="J184">
        <v>0</v>
      </c>
      <c r="K184" s="249">
        <v>1460</v>
      </c>
      <c r="L184" s="249">
        <v>1551.25</v>
      </c>
      <c r="M184" s="249">
        <v>1659.8375000000001</v>
      </c>
      <c r="N184" s="249">
        <v>1776.0261250000001</v>
      </c>
      <c r="O184" t="str">
        <f t="shared" si="5"/>
        <v>2</v>
      </c>
      <c r="P184" t="str">
        <f t="shared" si="4"/>
        <v>Employee Related Cost</v>
      </c>
    </row>
    <row r="185" spans="1:16" hidden="1" x14ac:dyDescent="0.25">
      <c r="A185" t="s">
        <v>498</v>
      </c>
      <c r="C185" t="s">
        <v>175</v>
      </c>
      <c r="D185" s="67">
        <v>14285</v>
      </c>
      <c r="E185">
        <v>0</v>
      </c>
      <c r="F185">
        <v>0</v>
      </c>
      <c r="G185">
        <v>0</v>
      </c>
      <c r="H185">
        <v>928990</v>
      </c>
      <c r="I185">
        <v>0</v>
      </c>
      <c r="J185">
        <v>0</v>
      </c>
      <c r="K185" s="249">
        <v>14285</v>
      </c>
      <c r="L185" s="249">
        <v>15177.8125</v>
      </c>
      <c r="M185" s="249">
        <v>16240.259375</v>
      </c>
      <c r="N185" s="249">
        <v>17377.077531250001</v>
      </c>
      <c r="O185" t="str">
        <f t="shared" si="5"/>
        <v>2</v>
      </c>
      <c r="P185" t="str">
        <f t="shared" si="4"/>
        <v>Employee Related Cost</v>
      </c>
    </row>
    <row r="186" spans="1:16" hidden="1" x14ac:dyDescent="0.25">
      <c r="A186" t="s">
        <v>499</v>
      </c>
      <c r="C186" t="s">
        <v>242</v>
      </c>
      <c r="D186" s="67">
        <v>84029</v>
      </c>
      <c r="E186">
        <v>0</v>
      </c>
      <c r="F186">
        <v>0</v>
      </c>
      <c r="G186">
        <v>0</v>
      </c>
      <c r="H186">
        <v>928990</v>
      </c>
      <c r="I186">
        <v>0</v>
      </c>
      <c r="J186">
        <v>-60000</v>
      </c>
      <c r="K186" s="249">
        <v>24029</v>
      </c>
      <c r="L186" s="249">
        <v>25110.305</v>
      </c>
      <c r="M186" s="249">
        <v>26265.37903</v>
      </c>
      <c r="N186" s="249">
        <v>27473.586465380002</v>
      </c>
      <c r="O186" t="str">
        <f t="shared" si="5"/>
        <v>2</v>
      </c>
      <c r="P186" t="str">
        <f t="shared" si="4"/>
        <v>Operational Cost</v>
      </c>
    </row>
    <row r="187" spans="1:16" hidden="1" x14ac:dyDescent="0.25">
      <c r="A187" t="s">
        <v>500</v>
      </c>
      <c r="C187" t="s">
        <v>253</v>
      </c>
      <c r="D187" s="67">
        <v>2000</v>
      </c>
      <c r="E187">
        <v>0</v>
      </c>
      <c r="F187">
        <v>0</v>
      </c>
      <c r="G187">
        <v>0</v>
      </c>
      <c r="H187">
        <v>928990</v>
      </c>
      <c r="I187">
        <v>0</v>
      </c>
      <c r="J187">
        <v>0</v>
      </c>
      <c r="K187" s="249">
        <v>2000</v>
      </c>
      <c r="L187" s="249">
        <v>2000</v>
      </c>
      <c r="M187" s="249">
        <v>2000</v>
      </c>
      <c r="N187" s="249">
        <v>2000</v>
      </c>
      <c r="O187" t="str">
        <f t="shared" si="5"/>
        <v>2</v>
      </c>
      <c r="P187" t="str">
        <f t="shared" si="4"/>
        <v>Operational Cost</v>
      </c>
    </row>
    <row r="188" spans="1:16" hidden="1" x14ac:dyDescent="0.25">
      <c r="A188" t="s">
        <v>501</v>
      </c>
      <c r="C188" t="s">
        <v>258</v>
      </c>
      <c r="D188" s="67">
        <v>480000</v>
      </c>
      <c r="E188">
        <v>0</v>
      </c>
      <c r="F188">
        <v>0</v>
      </c>
      <c r="G188">
        <v>0</v>
      </c>
      <c r="H188">
        <v>928990</v>
      </c>
      <c r="I188">
        <v>0</v>
      </c>
      <c r="J188">
        <v>0</v>
      </c>
      <c r="K188" s="249">
        <v>480000</v>
      </c>
      <c r="L188" s="249">
        <v>0</v>
      </c>
      <c r="M188" s="249">
        <v>0</v>
      </c>
      <c r="N188" s="249">
        <v>0</v>
      </c>
      <c r="O188" t="str">
        <f t="shared" si="5"/>
        <v>2</v>
      </c>
      <c r="P188" t="str">
        <f t="shared" si="4"/>
        <v>Operational Cost</v>
      </c>
    </row>
    <row r="189" spans="1:16" hidden="1" x14ac:dyDescent="0.25">
      <c r="A189" t="s">
        <v>502</v>
      </c>
      <c r="C189" t="s">
        <v>265</v>
      </c>
      <c r="D189" s="67">
        <v>64698</v>
      </c>
      <c r="E189">
        <v>0</v>
      </c>
      <c r="F189">
        <v>0</v>
      </c>
      <c r="G189">
        <v>0</v>
      </c>
      <c r="H189">
        <v>928990</v>
      </c>
      <c r="I189">
        <v>0</v>
      </c>
      <c r="J189">
        <v>-50000</v>
      </c>
      <c r="K189" s="249">
        <v>14698</v>
      </c>
      <c r="L189" s="249">
        <v>15359.41</v>
      </c>
      <c r="M189" s="249">
        <v>16065.942859999999</v>
      </c>
      <c r="N189" s="249">
        <v>16804.976231559998</v>
      </c>
      <c r="O189" t="str">
        <f t="shared" si="5"/>
        <v>2</v>
      </c>
      <c r="P189" t="str">
        <f t="shared" si="4"/>
        <v>Operational Cost</v>
      </c>
    </row>
    <row r="190" spans="1:16" hidden="1" x14ac:dyDescent="0.25">
      <c r="A190" t="s">
        <v>503</v>
      </c>
      <c r="C190" t="s">
        <v>268</v>
      </c>
      <c r="D190" s="67">
        <v>156818</v>
      </c>
      <c r="E190">
        <v>0</v>
      </c>
      <c r="F190">
        <v>0</v>
      </c>
      <c r="G190">
        <v>0</v>
      </c>
      <c r="H190">
        <v>928990</v>
      </c>
      <c r="I190">
        <v>0</v>
      </c>
      <c r="J190">
        <v>-49000</v>
      </c>
      <c r="K190" s="249">
        <v>107818</v>
      </c>
      <c r="L190" s="249">
        <v>112669.81</v>
      </c>
      <c r="M190" s="249">
        <v>117852.62126</v>
      </c>
      <c r="N190" s="249">
        <v>123273.84183796</v>
      </c>
      <c r="O190" t="str">
        <f t="shared" si="5"/>
        <v>2</v>
      </c>
      <c r="P190" t="str">
        <f t="shared" si="4"/>
        <v>Operational Cost</v>
      </c>
    </row>
    <row r="191" spans="1:16" hidden="1" x14ac:dyDescent="0.25">
      <c r="A191" t="s">
        <v>504</v>
      </c>
      <c r="C191" t="s">
        <v>269</v>
      </c>
      <c r="D191" s="67">
        <v>50000</v>
      </c>
      <c r="E191">
        <v>0</v>
      </c>
      <c r="F191">
        <v>0</v>
      </c>
      <c r="G191">
        <v>0</v>
      </c>
      <c r="H191">
        <v>928990</v>
      </c>
      <c r="I191">
        <v>0</v>
      </c>
      <c r="J191">
        <v>-30000</v>
      </c>
      <c r="K191" s="249">
        <v>20000</v>
      </c>
      <c r="L191" s="249">
        <v>20900</v>
      </c>
      <c r="M191" s="249">
        <v>21861.4</v>
      </c>
      <c r="N191" s="249">
        <v>22867.024400000002</v>
      </c>
      <c r="O191" t="str">
        <f t="shared" si="5"/>
        <v>2</v>
      </c>
      <c r="P191" t="str">
        <f t="shared" si="4"/>
        <v>Operational Cost</v>
      </c>
    </row>
    <row r="192" spans="1:16" hidden="1" x14ac:dyDescent="0.25">
      <c r="A192" t="s">
        <v>505</v>
      </c>
      <c r="C192" t="s">
        <v>292</v>
      </c>
      <c r="D192" s="67">
        <v>549</v>
      </c>
      <c r="E192">
        <v>0</v>
      </c>
      <c r="F192">
        <v>0</v>
      </c>
      <c r="G192">
        <v>0</v>
      </c>
      <c r="H192">
        <v>928990</v>
      </c>
      <c r="I192">
        <v>0</v>
      </c>
      <c r="J192">
        <v>0</v>
      </c>
      <c r="K192" s="249">
        <v>549</v>
      </c>
      <c r="L192" s="249">
        <v>573.70500000000004</v>
      </c>
      <c r="M192" s="249">
        <v>600.09543000000008</v>
      </c>
      <c r="N192" s="249">
        <v>627.6998197800001</v>
      </c>
      <c r="O192" t="str">
        <f t="shared" si="5"/>
        <v>2</v>
      </c>
      <c r="P192" t="str">
        <f t="shared" si="4"/>
        <v>Depreciation &amp; Amortisation</v>
      </c>
    </row>
    <row r="193" spans="1:16" hidden="1" x14ac:dyDescent="0.25">
      <c r="A193" t="s">
        <v>506</v>
      </c>
      <c r="C193" t="s">
        <v>293</v>
      </c>
      <c r="D193" s="67">
        <v>12600</v>
      </c>
      <c r="E193">
        <v>0</v>
      </c>
      <c r="F193">
        <v>0</v>
      </c>
      <c r="G193">
        <v>0</v>
      </c>
      <c r="H193">
        <v>928990</v>
      </c>
      <c r="I193">
        <v>0</v>
      </c>
      <c r="J193">
        <v>0</v>
      </c>
      <c r="K193" s="249">
        <v>12600</v>
      </c>
      <c r="L193" s="249">
        <v>13167</v>
      </c>
      <c r="M193" s="249">
        <v>13772.682000000001</v>
      </c>
      <c r="N193" s="249">
        <v>14406.225372000001</v>
      </c>
      <c r="O193" t="str">
        <f t="shared" si="5"/>
        <v>2</v>
      </c>
      <c r="P193" t="str">
        <f t="shared" si="4"/>
        <v>Depreciation &amp; Amortisation</v>
      </c>
    </row>
    <row r="194" spans="1:16" hidden="1" x14ac:dyDescent="0.25">
      <c r="A194" t="s">
        <v>507</v>
      </c>
      <c r="C194" t="s">
        <v>300</v>
      </c>
      <c r="D194" s="67">
        <v>22976</v>
      </c>
      <c r="E194">
        <v>0</v>
      </c>
      <c r="F194">
        <v>0</v>
      </c>
      <c r="G194">
        <v>0</v>
      </c>
      <c r="H194">
        <v>928990</v>
      </c>
      <c r="I194">
        <v>0</v>
      </c>
      <c r="J194">
        <v>0</v>
      </c>
      <c r="K194" s="249">
        <v>22976</v>
      </c>
      <c r="L194" s="249">
        <v>24009.919999999998</v>
      </c>
      <c r="M194" s="249">
        <v>25114.376319999999</v>
      </c>
      <c r="N194" s="249">
        <v>26269.637630720001</v>
      </c>
      <c r="O194" t="str">
        <f t="shared" si="5"/>
        <v>2</v>
      </c>
      <c r="P194" t="str">
        <f t="shared" ref="P194:P257" si="6">VLOOKUP(A194,bud_321,16,FALSE)</f>
        <v>Depreciation &amp; Amortisation</v>
      </c>
    </row>
    <row r="195" spans="1:16" hidden="1" x14ac:dyDescent="0.25">
      <c r="A195" t="s">
        <v>509</v>
      </c>
      <c r="C195" t="s">
        <v>63</v>
      </c>
      <c r="D195" s="67">
        <v>0</v>
      </c>
      <c r="E195">
        <v>-3359.36</v>
      </c>
      <c r="F195">
        <v>0</v>
      </c>
      <c r="G195">
        <v>-23178.240000000002</v>
      </c>
      <c r="H195">
        <v>23178.240000000002</v>
      </c>
      <c r="I195">
        <v>0</v>
      </c>
      <c r="J195">
        <v>0</v>
      </c>
      <c r="K195" s="249">
        <v>-50000</v>
      </c>
      <c r="L195" s="249">
        <v>-52450</v>
      </c>
      <c r="M195" s="249">
        <v>-54967.6</v>
      </c>
      <c r="N195" s="249">
        <v>-57606.044799999996</v>
      </c>
      <c r="O195" t="str">
        <f t="shared" ref="O195:O258" si="7">MID(A195,5,1)</f>
        <v>1</v>
      </c>
      <c r="P195">
        <f t="shared" si="6"/>
        <v>0</v>
      </c>
    </row>
    <row r="196" spans="1:16" hidden="1" x14ac:dyDescent="0.25">
      <c r="A196" t="s">
        <v>510</v>
      </c>
      <c r="C196" t="s">
        <v>86</v>
      </c>
      <c r="D196" s="67">
        <v>-10462</v>
      </c>
      <c r="E196">
        <v>0</v>
      </c>
      <c r="F196">
        <v>0</v>
      </c>
      <c r="G196">
        <v>-9352.99</v>
      </c>
      <c r="H196">
        <v>-1109.01</v>
      </c>
      <c r="I196">
        <v>89.39</v>
      </c>
      <c r="J196">
        <v>0</v>
      </c>
      <c r="K196" s="249">
        <v>-30462</v>
      </c>
      <c r="L196" s="249">
        <v>-31832.79</v>
      </c>
      <c r="M196" s="249">
        <v>-33297.098340000004</v>
      </c>
      <c r="N196" s="249">
        <v>-34828.764863640004</v>
      </c>
      <c r="O196" t="str">
        <f t="shared" si="7"/>
        <v>1</v>
      </c>
      <c r="P196">
        <f t="shared" si="6"/>
        <v>0</v>
      </c>
    </row>
    <row r="197" spans="1:16" hidden="1" x14ac:dyDescent="0.25">
      <c r="A197" t="s">
        <v>511</v>
      </c>
      <c r="C197" t="s">
        <v>150</v>
      </c>
      <c r="D197" s="67">
        <v>663000</v>
      </c>
      <c r="E197">
        <v>0</v>
      </c>
      <c r="F197">
        <v>0</v>
      </c>
      <c r="G197">
        <v>0</v>
      </c>
      <c r="H197">
        <v>928990</v>
      </c>
      <c r="I197">
        <v>0</v>
      </c>
      <c r="J197">
        <v>0</v>
      </c>
      <c r="K197" s="249">
        <v>663000</v>
      </c>
      <c r="L197" s="249">
        <v>704437.5</v>
      </c>
      <c r="M197" s="249">
        <v>753748.125</v>
      </c>
      <c r="N197" s="249">
        <v>806510.49375000002</v>
      </c>
      <c r="O197" t="str">
        <f t="shared" si="7"/>
        <v>2</v>
      </c>
      <c r="P197" t="str">
        <f t="shared" si="6"/>
        <v>Employee Related Cost</v>
      </c>
    </row>
    <row r="198" spans="1:16" hidden="1" x14ac:dyDescent="0.25">
      <c r="A198" t="s">
        <v>512</v>
      </c>
      <c r="C198" t="s">
        <v>151</v>
      </c>
      <c r="D198" s="67">
        <v>29299</v>
      </c>
      <c r="E198">
        <v>0</v>
      </c>
      <c r="F198">
        <v>0</v>
      </c>
      <c r="G198">
        <v>0</v>
      </c>
      <c r="H198">
        <v>928990</v>
      </c>
      <c r="I198">
        <v>0</v>
      </c>
      <c r="J198">
        <v>-20831.909999999996</v>
      </c>
      <c r="K198" s="249">
        <v>8467.0900000000038</v>
      </c>
      <c r="L198" s="249">
        <v>8996.2831250000036</v>
      </c>
      <c r="M198" s="249">
        <v>9626.0229437500038</v>
      </c>
      <c r="N198" s="249">
        <v>10299.844549812504</v>
      </c>
      <c r="O198" t="str">
        <f t="shared" si="7"/>
        <v>2</v>
      </c>
      <c r="P198" t="str">
        <f t="shared" si="6"/>
        <v>Employee Related Cost</v>
      </c>
    </row>
    <row r="199" spans="1:16" hidden="1" x14ac:dyDescent="0.25">
      <c r="A199" t="s">
        <v>513</v>
      </c>
      <c r="C199" t="s">
        <v>152</v>
      </c>
      <c r="D199" s="67">
        <v>24000</v>
      </c>
      <c r="E199">
        <v>0</v>
      </c>
      <c r="F199">
        <v>0</v>
      </c>
      <c r="G199">
        <v>0</v>
      </c>
      <c r="H199">
        <v>928990</v>
      </c>
      <c r="I199">
        <v>0</v>
      </c>
      <c r="J199">
        <v>0</v>
      </c>
      <c r="K199" s="249">
        <v>24000</v>
      </c>
      <c r="L199" s="249">
        <v>25500</v>
      </c>
      <c r="M199" s="249">
        <v>27285</v>
      </c>
      <c r="N199" s="249">
        <v>29194.95</v>
      </c>
      <c r="O199" t="str">
        <f t="shared" si="7"/>
        <v>2</v>
      </c>
      <c r="P199" t="str">
        <f t="shared" si="6"/>
        <v>Employee Related Cost</v>
      </c>
    </row>
    <row r="200" spans="1:16" hidden="1" x14ac:dyDescent="0.25">
      <c r="A200" t="s">
        <v>514</v>
      </c>
      <c r="C200" t="s">
        <v>153</v>
      </c>
      <c r="D200" s="67">
        <v>10893</v>
      </c>
      <c r="E200">
        <v>0</v>
      </c>
      <c r="F200">
        <v>0</v>
      </c>
      <c r="G200">
        <v>0</v>
      </c>
      <c r="H200">
        <v>928990</v>
      </c>
      <c r="I200">
        <v>0</v>
      </c>
      <c r="J200">
        <v>0</v>
      </c>
      <c r="K200" s="249">
        <v>10893</v>
      </c>
      <c r="L200" s="249">
        <v>11573.8125</v>
      </c>
      <c r="M200" s="249">
        <v>12383.979375000001</v>
      </c>
      <c r="N200" s="249">
        <v>13250.857931250001</v>
      </c>
      <c r="O200" t="str">
        <f t="shared" si="7"/>
        <v>2</v>
      </c>
      <c r="P200" t="str">
        <f t="shared" si="6"/>
        <v>Employee Related Cost</v>
      </c>
    </row>
    <row r="201" spans="1:16" hidden="1" x14ac:dyDescent="0.25">
      <c r="A201" t="s">
        <v>515</v>
      </c>
      <c r="C201" t="s">
        <v>155</v>
      </c>
      <c r="D201" s="67">
        <v>20806</v>
      </c>
      <c r="E201">
        <v>0</v>
      </c>
      <c r="F201">
        <v>0</v>
      </c>
      <c r="G201">
        <v>0</v>
      </c>
      <c r="H201">
        <v>928990</v>
      </c>
      <c r="I201">
        <v>0</v>
      </c>
      <c r="J201">
        <v>101194</v>
      </c>
      <c r="K201" s="249">
        <v>122000</v>
      </c>
      <c r="L201" s="249">
        <v>129625</v>
      </c>
      <c r="M201" s="249">
        <v>138698.75</v>
      </c>
      <c r="N201" s="249">
        <v>148407.66250000001</v>
      </c>
      <c r="O201" t="str">
        <f t="shared" si="7"/>
        <v>2</v>
      </c>
      <c r="P201" t="str">
        <f t="shared" si="6"/>
        <v>Employee Related Cost</v>
      </c>
    </row>
    <row r="202" spans="1:16" hidden="1" x14ac:dyDescent="0.25">
      <c r="A202" t="s">
        <v>516</v>
      </c>
      <c r="C202" t="s">
        <v>156</v>
      </c>
      <c r="D202" s="67">
        <v>156750</v>
      </c>
      <c r="E202">
        <v>0</v>
      </c>
      <c r="F202">
        <v>0</v>
      </c>
      <c r="G202">
        <v>0</v>
      </c>
      <c r="H202">
        <v>928990</v>
      </c>
      <c r="I202">
        <v>0</v>
      </c>
      <c r="J202">
        <v>0</v>
      </c>
      <c r="K202" s="249">
        <v>156750</v>
      </c>
      <c r="L202" s="249">
        <v>166546.875</v>
      </c>
      <c r="M202" s="249">
        <v>178205.15625</v>
      </c>
      <c r="N202" s="249">
        <v>190679.51718749999</v>
      </c>
      <c r="O202" t="str">
        <f t="shared" si="7"/>
        <v>2</v>
      </c>
      <c r="P202" t="str">
        <f t="shared" si="6"/>
        <v>Employee Related Cost</v>
      </c>
    </row>
    <row r="203" spans="1:16" hidden="1" x14ac:dyDescent="0.25">
      <c r="A203" t="s">
        <v>517</v>
      </c>
      <c r="C203" t="s">
        <v>158</v>
      </c>
      <c r="D203" s="67">
        <v>12657</v>
      </c>
      <c r="E203">
        <v>0</v>
      </c>
      <c r="F203">
        <v>0</v>
      </c>
      <c r="G203">
        <v>0</v>
      </c>
      <c r="H203">
        <v>928990</v>
      </c>
      <c r="I203">
        <v>0</v>
      </c>
      <c r="J203">
        <v>-12657</v>
      </c>
      <c r="K203" s="249">
        <v>0</v>
      </c>
      <c r="L203" s="249">
        <v>0</v>
      </c>
      <c r="M203" s="249">
        <v>0</v>
      </c>
      <c r="N203" s="249">
        <v>0</v>
      </c>
      <c r="O203" t="str">
        <f t="shared" si="7"/>
        <v>2</v>
      </c>
      <c r="P203" t="str">
        <f t="shared" si="6"/>
        <v>Employee Related Cost</v>
      </c>
    </row>
    <row r="204" spans="1:16" hidden="1" x14ac:dyDescent="0.25">
      <c r="A204" t="s">
        <v>518</v>
      </c>
      <c r="C204" t="s">
        <v>159</v>
      </c>
      <c r="D204" s="67">
        <v>52250</v>
      </c>
      <c r="E204">
        <v>0</v>
      </c>
      <c r="F204">
        <v>0</v>
      </c>
      <c r="G204">
        <v>0</v>
      </c>
      <c r="H204">
        <v>928990</v>
      </c>
      <c r="I204">
        <v>0</v>
      </c>
      <c r="J204">
        <v>0</v>
      </c>
      <c r="K204" s="249">
        <v>52250</v>
      </c>
      <c r="L204" s="249">
        <v>55515.625</v>
      </c>
      <c r="M204" s="249">
        <v>59401.71875</v>
      </c>
      <c r="N204" s="249">
        <v>63559.839062500003</v>
      </c>
      <c r="O204" t="str">
        <f t="shared" si="7"/>
        <v>2</v>
      </c>
      <c r="P204" t="str">
        <f t="shared" si="6"/>
        <v>Employee Related Cost</v>
      </c>
    </row>
    <row r="205" spans="1:16" hidden="1" x14ac:dyDescent="0.25">
      <c r="A205" t="s">
        <v>519</v>
      </c>
      <c r="C205" t="s">
        <v>164</v>
      </c>
      <c r="D205" s="67">
        <v>15692</v>
      </c>
      <c r="E205">
        <v>0</v>
      </c>
      <c r="F205">
        <v>0</v>
      </c>
      <c r="G205">
        <v>0</v>
      </c>
      <c r="H205">
        <v>928990</v>
      </c>
      <c r="I205">
        <v>0</v>
      </c>
      <c r="J205">
        <v>0</v>
      </c>
      <c r="K205" s="249">
        <v>15692</v>
      </c>
      <c r="L205" s="249">
        <v>16672.75</v>
      </c>
      <c r="M205" s="249">
        <v>17839.842499999999</v>
      </c>
      <c r="N205" s="249">
        <v>19088.631474999998</v>
      </c>
      <c r="O205" t="str">
        <f t="shared" si="7"/>
        <v>2</v>
      </c>
      <c r="P205" t="str">
        <f t="shared" si="6"/>
        <v>Employee Related Cost</v>
      </c>
    </row>
    <row r="206" spans="1:16" hidden="1" x14ac:dyDescent="0.25">
      <c r="A206" t="s">
        <v>520</v>
      </c>
      <c r="C206" t="s">
        <v>167</v>
      </c>
      <c r="D206" s="67">
        <v>112</v>
      </c>
      <c r="E206">
        <v>0</v>
      </c>
      <c r="F206">
        <v>0</v>
      </c>
      <c r="G206">
        <v>0</v>
      </c>
      <c r="H206">
        <v>928990</v>
      </c>
      <c r="I206">
        <v>0</v>
      </c>
      <c r="J206">
        <v>0</v>
      </c>
      <c r="K206" s="249">
        <v>112</v>
      </c>
      <c r="L206" s="249">
        <v>119</v>
      </c>
      <c r="M206" s="249">
        <v>127.33</v>
      </c>
      <c r="N206" s="249">
        <v>136.2431</v>
      </c>
      <c r="O206" t="str">
        <f t="shared" si="7"/>
        <v>2</v>
      </c>
      <c r="P206" t="str">
        <f t="shared" si="6"/>
        <v>Employee Related Cost</v>
      </c>
    </row>
    <row r="207" spans="1:16" hidden="1" x14ac:dyDescent="0.25">
      <c r="A207" t="s">
        <v>521</v>
      </c>
      <c r="C207" t="s">
        <v>168</v>
      </c>
      <c r="D207" s="67">
        <v>53908</v>
      </c>
      <c r="E207">
        <v>0</v>
      </c>
      <c r="F207">
        <v>0</v>
      </c>
      <c r="G207">
        <v>0</v>
      </c>
      <c r="H207">
        <v>928990</v>
      </c>
      <c r="I207">
        <v>0</v>
      </c>
      <c r="J207">
        <v>0</v>
      </c>
      <c r="K207" s="249">
        <v>53908</v>
      </c>
      <c r="L207" s="249">
        <v>57277.25</v>
      </c>
      <c r="M207" s="249">
        <v>61286.657500000001</v>
      </c>
      <c r="N207" s="249">
        <v>65576.723525000009</v>
      </c>
      <c r="O207" t="str">
        <f t="shared" si="7"/>
        <v>2</v>
      </c>
      <c r="P207" t="str">
        <f t="shared" si="6"/>
        <v>Employee Related Cost</v>
      </c>
    </row>
    <row r="208" spans="1:16" hidden="1" x14ac:dyDescent="0.25">
      <c r="A208" t="s">
        <v>522</v>
      </c>
      <c r="C208" t="s">
        <v>169</v>
      </c>
      <c r="D208" s="67">
        <v>137940</v>
      </c>
      <c r="E208">
        <v>0</v>
      </c>
      <c r="F208">
        <v>0</v>
      </c>
      <c r="G208">
        <v>0</v>
      </c>
      <c r="H208">
        <v>928990</v>
      </c>
      <c r="I208">
        <v>0</v>
      </c>
      <c r="J208">
        <v>0</v>
      </c>
      <c r="K208" s="249">
        <v>137940</v>
      </c>
      <c r="L208" s="249">
        <v>146561.25</v>
      </c>
      <c r="M208" s="249">
        <v>156820.53750000001</v>
      </c>
      <c r="N208" s="249">
        <v>167797.975125</v>
      </c>
      <c r="O208" t="str">
        <f t="shared" si="7"/>
        <v>2</v>
      </c>
      <c r="P208" t="str">
        <f t="shared" si="6"/>
        <v>Employee Related Cost</v>
      </c>
    </row>
    <row r="209" spans="1:16" hidden="1" x14ac:dyDescent="0.25">
      <c r="A209" t="s">
        <v>523</v>
      </c>
      <c r="C209" t="s">
        <v>170</v>
      </c>
      <c r="D209" s="67">
        <v>3570</v>
      </c>
      <c r="E209">
        <v>0</v>
      </c>
      <c r="F209">
        <v>0</v>
      </c>
      <c r="G209">
        <v>0</v>
      </c>
      <c r="H209">
        <v>928990</v>
      </c>
      <c r="I209">
        <v>0</v>
      </c>
      <c r="J209">
        <v>0</v>
      </c>
      <c r="K209" s="249">
        <v>3570</v>
      </c>
      <c r="L209" s="249">
        <v>3793.125</v>
      </c>
      <c r="M209" s="249">
        <v>4058.6437500000002</v>
      </c>
      <c r="N209" s="249">
        <v>4342.7488125</v>
      </c>
      <c r="O209" t="str">
        <f t="shared" si="7"/>
        <v>2</v>
      </c>
      <c r="P209" t="str">
        <f t="shared" si="6"/>
        <v>Employee Related Cost</v>
      </c>
    </row>
    <row r="210" spans="1:16" hidden="1" x14ac:dyDescent="0.25">
      <c r="A210" t="s">
        <v>524</v>
      </c>
      <c r="C210" t="s">
        <v>173</v>
      </c>
      <c r="D210" s="67">
        <v>5543</v>
      </c>
      <c r="E210">
        <v>0</v>
      </c>
      <c r="F210">
        <v>0</v>
      </c>
      <c r="G210">
        <v>0</v>
      </c>
      <c r="H210">
        <v>928990</v>
      </c>
      <c r="I210">
        <v>0</v>
      </c>
      <c r="J210">
        <v>0</v>
      </c>
      <c r="K210" s="249">
        <v>5543</v>
      </c>
      <c r="L210" s="249">
        <v>5889.4375</v>
      </c>
      <c r="M210" s="249">
        <v>6301.6981249999999</v>
      </c>
      <c r="N210" s="249">
        <v>6742.8169937499997</v>
      </c>
      <c r="O210" t="str">
        <f t="shared" si="7"/>
        <v>2</v>
      </c>
      <c r="P210" t="str">
        <f t="shared" si="6"/>
        <v>Employee Related Cost</v>
      </c>
    </row>
    <row r="211" spans="1:16" hidden="1" x14ac:dyDescent="0.25">
      <c r="A211" t="s">
        <v>525</v>
      </c>
      <c r="C211" t="s">
        <v>174</v>
      </c>
      <c r="D211" s="67">
        <v>8283</v>
      </c>
      <c r="E211">
        <v>0</v>
      </c>
      <c r="F211">
        <v>0</v>
      </c>
      <c r="G211">
        <v>0</v>
      </c>
      <c r="H211">
        <v>928990</v>
      </c>
      <c r="I211">
        <v>0</v>
      </c>
      <c r="J211">
        <v>0</v>
      </c>
      <c r="K211" s="249">
        <v>8283</v>
      </c>
      <c r="L211" s="249">
        <v>8800.6875</v>
      </c>
      <c r="M211" s="249">
        <v>9416.7356249999993</v>
      </c>
      <c r="N211" s="249">
        <v>10075.907118749999</v>
      </c>
      <c r="O211" t="str">
        <f t="shared" si="7"/>
        <v>2</v>
      </c>
      <c r="P211" t="str">
        <f t="shared" si="6"/>
        <v>Employee Related Cost</v>
      </c>
    </row>
    <row r="212" spans="1:16" hidden="1" x14ac:dyDescent="0.25">
      <c r="A212" t="s">
        <v>526</v>
      </c>
      <c r="C212" t="s">
        <v>175</v>
      </c>
      <c r="D212" s="67">
        <v>10931</v>
      </c>
      <c r="E212">
        <v>0</v>
      </c>
      <c r="F212">
        <v>0</v>
      </c>
      <c r="G212">
        <v>0</v>
      </c>
      <c r="H212">
        <v>928990</v>
      </c>
      <c r="I212">
        <v>0</v>
      </c>
      <c r="J212">
        <v>0</v>
      </c>
      <c r="K212" s="249">
        <v>10931</v>
      </c>
      <c r="L212" s="249">
        <v>11614.1875</v>
      </c>
      <c r="M212" s="249">
        <v>12427.180625000001</v>
      </c>
      <c r="N212" s="249">
        <v>13297.083268750001</v>
      </c>
      <c r="O212" t="str">
        <f t="shared" si="7"/>
        <v>2</v>
      </c>
      <c r="P212" t="str">
        <f t="shared" si="6"/>
        <v>Employee Related Cost</v>
      </c>
    </row>
    <row r="213" spans="1:16" hidden="1" x14ac:dyDescent="0.25">
      <c r="A213" t="s">
        <v>527</v>
      </c>
      <c r="C213" t="s">
        <v>212</v>
      </c>
      <c r="D213" s="67">
        <v>802176</v>
      </c>
      <c r="E213">
        <v>0</v>
      </c>
      <c r="F213">
        <v>0</v>
      </c>
      <c r="G213">
        <v>0</v>
      </c>
      <c r="H213">
        <v>928990</v>
      </c>
      <c r="I213">
        <v>0</v>
      </c>
      <c r="J213">
        <v>-100000</v>
      </c>
      <c r="K213" s="249">
        <v>702176</v>
      </c>
      <c r="L213" s="249">
        <v>733773.92</v>
      </c>
      <c r="M213" s="249">
        <v>767527.52032000001</v>
      </c>
      <c r="N213" s="249">
        <v>802833.78625472006</v>
      </c>
      <c r="O213" t="str">
        <f t="shared" si="7"/>
        <v>2</v>
      </c>
      <c r="P213" t="str">
        <f t="shared" si="6"/>
        <v>Contracted Services</v>
      </c>
    </row>
    <row r="214" spans="1:16" hidden="1" x14ac:dyDescent="0.25">
      <c r="A214" t="s">
        <v>528</v>
      </c>
      <c r="B214" t="s">
        <v>1396</v>
      </c>
      <c r="C214" t="s">
        <v>224</v>
      </c>
      <c r="D214" s="67">
        <v>1200000</v>
      </c>
      <c r="E214">
        <v>0</v>
      </c>
      <c r="F214">
        <v>0</v>
      </c>
      <c r="G214">
        <v>0</v>
      </c>
      <c r="H214">
        <v>928990</v>
      </c>
      <c r="I214">
        <v>0</v>
      </c>
      <c r="J214">
        <v>-200000</v>
      </c>
      <c r="K214" s="249">
        <v>1000000</v>
      </c>
      <c r="L214" s="249">
        <v>0</v>
      </c>
      <c r="M214" s="249">
        <v>0</v>
      </c>
      <c r="N214" s="249">
        <v>0</v>
      </c>
      <c r="O214" t="str">
        <f t="shared" si="7"/>
        <v>2</v>
      </c>
      <c r="P214" t="str">
        <f t="shared" si="6"/>
        <v>Contracted Services</v>
      </c>
    </row>
    <row r="215" spans="1:16" hidden="1" x14ac:dyDescent="0.25">
      <c r="A215" t="s">
        <v>1339</v>
      </c>
      <c r="C215" t="s">
        <v>225</v>
      </c>
      <c r="D215" s="67">
        <v>0</v>
      </c>
      <c r="E215">
        <v>0</v>
      </c>
      <c r="F215">
        <v>0</v>
      </c>
      <c r="G215">
        <v>0</v>
      </c>
      <c r="H215">
        <v>928990</v>
      </c>
      <c r="I215">
        <v>0</v>
      </c>
      <c r="J215">
        <v>0</v>
      </c>
      <c r="K215" s="249">
        <v>0</v>
      </c>
      <c r="L215" s="249">
        <v>0</v>
      </c>
      <c r="M215" s="249">
        <v>200000</v>
      </c>
      <c r="N215" s="249">
        <v>200000</v>
      </c>
      <c r="O215" t="str">
        <f t="shared" si="7"/>
        <v>2</v>
      </c>
      <c r="P215" t="str">
        <f t="shared" si="6"/>
        <v>Contracted Services</v>
      </c>
    </row>
    <row r="216" spans="1:16" hidden="1" x14ac:dyDescent="0.25">
      <c r="A216" t="s">
        <v>529</v>
      </c>
      <c r="C216" t="s">
        <v>225</v>
      </c>
      <c r="D216" s="67">
        <v>600000</v>
      </c>
      <c r="E216">
        <v>0</v>
      </c>
      <c r="F216">
        <v>0</v>
      </c>
      <c r="G216">
        <v>0</v>
      </c>
      <c r="H216">
        <v>928990</v>
      </c>
      <c r="I216">
        <v>0</v>
      </c>
      <c r="J216">
        <v>-100000</v>
      </c>
      <c r="K216" s="249">
        <v>500000</v>
      </c>
      <c r="L216" s="249">
        <v>0</v>
      </c>
      <c r="M216" s="249">
        <v>0</v>
      </c>
      <c r="N216" s="249">
        <v>0</v>
      </c>
      <c r="O216" t="str">
        <f t="shared" si="7"/>
        <v>2</v>
      </c>
      <c r="P216" t="str">
        <f t="shared" si="6"/>
        <v>Contracted Services</v>
      </c>
    </row>
    <row r="217" spans="1:16" hidden="1" x14ac:dyDescent="0.25">
      <c r="A217" t="s">
        <v>530</v>
      </c>
      <c r="C217" t="s">
        <v>225</v>
      </c>
      <c r="D217" s="67">
        <v>500000</v>
      </c>
      <c r="E217">
        <v>0</v>
      </c>
      <c r="F217">
        <v>0</v>
      </c>
      <c r="G217">
        <v>0</v>
      </c>
      <c r="H217">
        <v>928990</v>
      </c>
      <c r="I217">
        <v>0</v>
      </c>
      <c r="J217">
        <v>-15000</v>
      </c>
      <c r="K217" s="249">
        <v>485000</v>
      </c>
      <c r="L217" s="249">
        <v>500000</v>
      </c>
      <c r="M217" s="249">
        <v>0</v>
      </c>
      <c r="N217" s="249">
        <v>500000</v>
      </c>
      <c r="O217" t="str">
        <f t="shared" si="7"/>
        <v>2</v>
      </c>
      <c r="P217" t="str">
        <f t="shared" si="6"/>
        <v>Contracted Services</v>
      </c>
    </row>
    <row r="218" spans="1:16" hidden="1" x14ac:dyDescent="0.25">
      <c r="A218" t="s">
        <v>531</v>
      </c>
      <c r="C218" t="s">
        <v>225</v>
      </c>
      <c r="D218" s="67">
        <v>80000</v>
      </c>
      <c r="E218">
        <v>0</v>
      </c>
      <c r="F218">
        <v>0</v>
      </c>
      <c r="G218">
        <v>0</v>
      </c>
      <c r="H218">
        <v>928990</v>
      </c>
      <c r="I218">
        <v>0</v>
      </c>
      <c r="J218">
        <v>0</v>
      </c>
      <c r="K218" s="249">
        <v>80000</v>
      </c>
      <c r="L218" s="249">
        <v>100000</v>
      </c>
      <c r="M218" s="249">
        <v>0</v>
      </c>
      <c r="N218" s="249">
        <v>0</v>
      </c>
      <c r="O218" t="str">
        <f t="shared" si="7"/>
        <v>2</v>
      </c>
      <c r="P218" t="str">
        <f t="shared" si="6"/>
        <v>Contracted Services</v>
      </c>
    </row>
    <row r="219" spans="1:16" hidden="1" x14ac:dyDescent="0.25">
      <c r="A219" t="s">
        <v>532</v>
      </c>
      <c r="C219" t="s">
        <v>225</v>
      </c>
      <c r="D219" s="67">
        <v>1000000</v>
      </c>
      <c r="E219">
        <v>0</v>
      </c>
      <c r="F219">
        <v>0</v>
      </c>
      <c r="G219">
        <v>0</v>
      </c>
      <c r="H219">
        <v>928990</v>
      </c>
      <c r="I219">
        <v>0</v>
      </c>
      <c r="J219">
        <v>-106650</v>
      </c>
      <c r="K219" s="249">
        <v>893350</v>
      </c>
      <c r="L219" s="249">
        <v>540000</v>
      </c>
      <c r="M219" s="249">
        <v>0</v>
      </c>
      <c r="N219" s="249">
        <v>0</v>
      </c>
      <c r="O219" t="str">
        <f t="shared" si="7"/>
        <v>2</v>
      </c>
      <c r="P219" t="str">
        <f t="shared" si="6"/>
        <v>Contracted Services</v>
      </c>
    </row>
    <row r="220" spans="1:16" hidden="1" x14ac:dyDescent="0.25">
      <c r="A220" t="s">
        <v>533</v>
      </c>
      <c r="B220" t="s">
        <v>3057</v>
      </c>
      <c r="C220" t="s">
        <v>238</v>
      </c>
      <c r="D220" s="67">
        <v>74600</v>
      </c>
      <c r="E220">
        <v>0</v>
      </c>
      <c r="F220">
        <v>0</v>
      </c>
      <c r="G220">
        <v>0</v>
      </c>
      <c r="H220">
        <v>928990</v>
      </c>
      <c r="I220">
        <v>0</v>
      </c>
      <c r="J220">
        <v>0</v>
      </c>
      <c r="K220" s="249">
        <v>74600</v>
      </c>
      <c r="L220" s="249">
        <v>80000</v>
      </c>
      <c r="M220" s="249">
        <v>83680</v>
      </c>
      <c r="N220" s="249">
        <v>87529.279999999999</v>
      </c>
      <c r="O220" t="str">
        <f t="shared" si="7"/>
        <v>2</v>
      </c>
      <c r="P220" t="str">
        <f t="shared" si="6"/>
        <v>Contracted Services</v>
      </c>
    </row>
    <row r="221" spans="1:16" x14ac:dyDescent="0.25">
      <c r="A221" t="s">
        <v>3076</v>
      </c>
      <c r="C221" t="s">
        <v>3059</v>
      </c>
      <c r="K221" s="249">
        <v>0</v>
      </c>
      <c r="L221" s="249">
        <v>150000</v>
      </c>
      <c r="M221" s="249">
        <v>156900</v>
      </c>
      <c r="N221" s="249">
        <v>164117.4</v>
      </c>
      <c r="O221" t="str">
        <f t="shared" si="7"/>
        <v>2</v>
      </c>
      <c r="P221" t="str">
        <f t="shared" si="6"/>
        <v>Operational Cost</v>
      </c>
    </row>
    <row r="222" spans="1:16" hidden="1" x14ac:dyDescent="0.25">
      <c r="A222" t="s">
        <v>534</v>
      </c>
      <c r="C222" t="s">
        <v>242</v>
      </c>
      <c r="D222" s="67">
        <v>105566</v>
      </c>
      <c r="E222">
        <v>0</v>
      </c>
      <c r="F222">
        <v>0</v>
      </c>
      <c r="G222">
        <v>0</v>
      </c>
      <c r="H222">
        <v>928990</v>
      </c>
      <c r="I222">
        <v>0</v>
      </c>
      <c r="J222">
        <v>0</v>
      </c>
      <c r="K222" s="249">
        <v>105566</v>
      </c>
      <c r="L222" s="249">
        <v>560000</v>
      </c>
      <c r="M222" s="249">
        <v>585760</v>
      </c>
      <c r="N222" s="249">
        <v>612704.96</v>
      </c>
      <c r="O222" t="str">
        <f t="shared" si="7"/>
        <v>2</v>
      </c>
      <c r="P222" t="str">
        <f t="shared" si="6"/>
        <v>Operational Cost</v>
      </c>
    </row>
    <row r="223" spans="1:16" hidden="1" x14ac:dyDescent="0.25">
      <c r="A223" t="s">
        <v>2746</v>
      </c>
      <c r="C223" t="s">
        <v>1340</v>
      </c>
      <c r="J223">
        <v>0</v>
      </c>
      <c r="K223" s="249">
        <v>0</v>
      </c>
      <c r="L223" s="249">
        <v>180000</v>
      </c>
      <c r="M223" s="249">
        <v>125000</v>
      </c>
      <c r="N223" s="249">
        <v>0</v>
      </c>
      <c r="O223" t="str">
        <f t="shared" si="7"/>
        <v>2</v>
      </c>
      <c r="P223" t="str">
        <f t="shared" si="6"/>
        <v>Contracted Services</v>
      </c>
    </row>
    <row r="224" spans="1:16" hidden="1" x14ac:dyDescent="0.25">
      <c r="A224" t="s">
        <v>535</v>
      </c>
      <c r="C224" t="s">
        <v>265</v>
      </c>
      <c r="D224" s="67">
        <v>0</v>
      </c>
      <c r="E224">
        <v>0</v>
      </c>
      <c r="F224">
        <v>0</v>
      </c>
      <c r="G224">
        <v>0</v>
      </c>
      <c r="H224">
        <v>928990</v>
      </c>
      <c r="I224">
        <v>0</v>
      </c>
      <c r="J224">
        <v>10000</v>
      </c>
      <c r="K224" s="249">
        <v>10000</v>
      </c>
      <c r="L224" s="249">
        <v>10450</v>
      </c>
      <c r="M224" s="249">
        <v>10930.7</v>
      </c>
      <c r="N224" s="249">
        <v>11433.512200000001</v>
      </c>
      <c r="O224" t="str">
        <f t="shared" si="7"/>
        <v>2</v>
      </c>
      <c r="P224" t="str">
        <f t="shared" si="6"/>
        <v>Operational Cost</v>
      </c>
    </row>
    <row r="225" spans="1:16" hidden="1" x14ac:dyDescent="0.25">
      <c r="A225" t="s">
        <v>536</v>
      </c>
      <c r="B225" t="s">
        <v>3058</v>
      </c>
      <c r="C225" t="s">
        <v>266</v>
      </c>
      <c r="D225" s="67">
        <v>500000</v>
      </c>
      <c r="E225">
        <v>0</v>
      </c>
      <c r="F225">
        <v>0</v>
      </c>
      <c r="G225">
        <v>0</v>
      </c>
      <c r="H225">
        <v>928990</v>
      </c>
      <c r="I225">
        <v>0</v>
      </c>
      <c r="J225">
        <v>-80000</v>
      </c>
      <c r="K225" s="249">
        <v>420000</v>
      </c>
      <c r="L225" s="249">
        <v>700000</v>
      </c>
      <c r="M225" s="249">
        <v>700000</v>
      </c>
      <c r="N225" s="249">
        <v>700000</v>
      </c>
      <c r="O225" t="str">
        <f t="shared" si="7"/>
        <v>2</v>
      </c>
      <c r="P225" t="str">
        <f t="shared" si="6"/>
        <v>Operational Cost</v>
      </c>
    </row>
    <row r="226" spans="1:16" hidden="1" x14ac:dyDescent="0.25">
      <c r="A226" t="s">
        <v>537</v>
      </c>
      <c r="C226" t="s">
        <v>268</v>
      </c>
      <c r="D226" s="67">
        <v>78000</v>
      </c>
      <c r="E226">
        <v>0</v>
      </c>
      <c r="F226">
        <v>0</v>
      </c>
      <c r="G226">
        <v>0</v>
      </c>
      <c r="H226">
        <v>928990</v>
      </c>
      <c r="I226">
        <v>0</v>
      </c>
      <c r="J226">
        <v>-50000</v>
      </c>
      <c r="K226" s="249">
        <v>28000</v>
      </c>
      <c r="L226" s="249">
        <v>29260</v>
      </c>
      <c r="M226" s="249">
        <v>30605.96</v>
      </c>
      <c r="N226" s="249">
        <v>32013.834159999999</v>
      </c>
      <c r="O226" t="str">
        <f t="shared" si="7"/>
        <v>2</v>
      </c>
      <c r="P226" t="str">
        <f t="shared" si="6"/>
        <v>Operational Cost</v>
      </c>
    </row>
    <row r="227" spans="1:16" hidden="1" x14ac:dyDescent="0.25">
      <c r="A227" t="s">
        <v>538</v>
      </c>
      <c r="C227" t="s">
        <v>293</v>
      </c>
      <c r="D227" s="67">
        <v>10946</v>
      </c>
      <c r="E227">
        <v>0</v>
      </c>
      <c r="F227">
        <v>0</v>
      </c>
      <c r="G227">
        <v>0</v>
      </c>
      <c r="H227">
        <v>928990</v>
      </c>
      <c r="I227">
        <v>0</v>
      </c>
      <c r="J227">
        <v>0</v>
      </c>
      <c r="K227" s="249">
        <v>10946</v>
      </c>
      <c r="L227" s="249">
        <v>11438.57</v>
      </c>
      <c r="M227" s="249">
        <v>11964.74422</v>
      </c>
      <c r="N227" s="249">
        <v>12515.122454120001</v>
      </c>
      <c r="O227" t="str">
        <f t="shared" si="7"/>
        <v>2</v>
      </c>
      <c r="P227" t="str">
        <f t="shared" si="6"/>
        <v>Depreciation &amp; Amortisation</v>
      </c>
    </row>
    <row r="228" spans="1:16" hidden="1" x14ac:dyDescent="0.25">
      <c r="A228" t="s">
        <v>540</v>
      </c>
      <c r="C228" t="s">
        <v>75</v>
      </c>
      <c r="D228" s="67">
        <v>-15000000</v>
      </c>
      <c r="E228">
        <v>0</v>
      </c>
      <c r="F228">
        <v>0</v>
      </c>
      <c r="G228">
        <v>0</v>
      </c>
      <c r="H228">
        <v>-15000000</v>
      </c>
      <c r="I228">
        <v>0</v>
      </c>
      <c r="J228">
        <v>0</v>
      </c>
      <c r="K228" s="249">
        <v>-7500000</v>
      </c>
      <c r="L228" s="249">
        <v>-7500000</v>
      </c>
      <c r="M228" s="249">
        <v>-7500000</v>
      </c>
      <c r="N228" s="249">
        <v>-7500000</v>
      </c>
      <c r="O228" t="str">
        <f t="shared" si="7"/>
        <v>1</v>
      </c>
      <c r="P228">
        <f t="shared" si="6"/>
        <v>0</v>
      </c>
    </row>
    <row r="229" spans="1:16" hidden="1" x14ac:dyDescent="0.25">
      <c r="A229" t="s">
        <v>541</v>
      </c>
      <c r="C229" t="s">
        <v>82</v>
      </c>
      <c r="D229" s="67">
        <v>-4640</v>
      </c>
      <c r="E229">
        <v>0</v>
      </c>
      <c r="F229">
        <v>0</v>
      </c>
      <c r="G229">
        <v>0</v>
      </c>
      <c r="H229">
        <v>-4640</v>
      </c>
      <c r="I229">
        <v>0</v>
      </c>
      <c r="J229">
        <v>0</v>
      </c>
      <c r="K229" s="249">
        <v>-4640</v>
      </c>
      <c r="L229" s="249">
        <v>-4848.8</v>
      </c>
      <c r="M229" s="249">
        <v>-5071.8447999999999</v>
      </c>
      <c r="N229" s="249">
        <v>-5305.1496607999998</v>
      </c>
      <c r="O229" t="str">
        <f t="shared" si="7"/>
        <v>1</v>
      </c>
      <c r="P229">
        <f t="shared" si="6"/>
        <v>0</v>
      </c>
    </row>
    <row r="230" spans="1:16" hidden="1" x14ac:dyDescent="0.25">
      <c r="A230" t="s">
        <v>542</v>
      </c>
      <c r="C230" t="s">
        <v>85</v>
      </c>
      <c r="D230" s="67">
        <v>-41011</v>
      </c>
      <c r="E230">
        <v>0</v>
      </c>
      <c r="F230">
        <v>0</v>
      </c>
      <c r="G230">
        <v>-13216.23</v>
      </c>
      <c r="H230">
        <v>-27794.77</v>
      </c>
      <c r="I230">
        <v>32.22</v>
      </c>
      <c r="J230">
        <v>0</v>
      </c>
      <c r="K230" s="249">
        <v>-41011</v>
      </c>
      <c r="L230" s="249">
        <v>-42856.495000000003</v>
      </c>
      <c r="M230" s="249">
        <v>-44827.893770000002</v>
      </c>
      <c r="N230" s="249">
        <v>-46889.97688342</v>
      </c>
      <c r="O230" t="str">
        <f t="shared" si="7"/>
        <v>1</v>
      </c>
      <c r="P230">
        <f t="shared" si="6"/>
        <v>0</v>
      </c>
    </row>
    <row r="231" spans="1:16" hidden="1" x14ac:dyDescent="0.25">
      <c r="A231" t="s">
        <v>543</v>
      </c>
      <c r="C231" t="s">
        <v>86</v>
      </c>
      <c r="D231" s="67">
        <v>0</v>
      </c>
      <c r="E231">
        <v>0</v>
      </c>
      <c r="F231">
        <v>0</v>
      </c>
      <c r="G231">
        <v>0</v>
      </c>
      <c r="H231">
        <v>928990</v>
      </c>
      <c r="I231">
        <v>0</v>
      </c>
      <c r="J231">
        <v>0</v>
      </c>
      <c r="K231" s="249">
        <v>0</v>
      </c>
      <c r="L231" s="249">
        <v>0</v>
      </c>
      <c r="M231" s="249">
        <v>0</v>
      </c>
      <c r="N231" s="249">
        <v>0</v>
      </c>
      <c r="O231" t="str">
        <f t="shared" si="7"/>
        <v>1</v>
      </c>
      <c r="P231">
        <f t="shared" si="6"/>
        <v>0</v>
      </c>
    </row>
    <row r="232" spans="1:16" hidden="1" x14ac:dyDescent="0.25">
      <c r="A232" t="s">
        <v>544</v>
      </c>
      <c r="C232" t="s">
        <v>87</v>
      </c>
      <c r="D232" s="67">
        <v>-4715</v>
      </c>
      <c r="E232">
        <v>-1881.4</v>
      </c>
      <c r="F232">
        <v>0</v>
      </c>
      <c r="G232">
        <v>-2020.53</v>
      </c>
      <c r="H232">
        <v>-2694.47</v>
      </c>
      <c r="I232">
        <v>42.85</v>
      </c>
      <c r="J232">
        <v>0</v>
      </c>
      <c r="K232" s="249">
        <v>-4715</v>
      </c>
      <c r="L232" s="249">
        <v>-4927.1750000000002</v>
      </c>
      <c r="M232" s="249">
        <v>-5153.8250500000004</v>
      </c>
      <c r="N232" s="249">
        <v>-5390.9010023000001</v>
      </c>
      <c r="O232" t="str">
        <f t="shared" si="7"/>
        <v>1</v>
      </c>
      <c r="P232">
        <f t="shared" si="6"/>
        <v>0</v>
      </c>
    </row>
    <row r="233" spans="1:16" hidden="1" x14ac:dyDescent="0.25">
      <c r="A233" t="s">
        <v>545</v>
      </c>
      <c r="C233" t="s">
        <v>88</v>
      </c>
      <c r="D233" s="67">
        <v>-58934</v>
      </c>
      <c r="E233">
        <v>0</v>
      </c>
      <c r="F233">
        <v>0</v>
      </c>
      <c r="G233">
        <v>0</v>
      </c>
      <c r="H233">
        <v>-58934</v>
      </c>
      <c r="I233">
        <v>0</v>
      </c>
      <c r="J233">
        <v>0</v>
      </c>
      <c r="K233" s="249">
        <v>-58934</v>
      </c>
      <c r="L233" s="249">
        <v>-61586.03</v>
      </c>
      <c r="M233" s="249">
        <v>-64418.987379999999</v>
      </c>
      <c r="N233" s="249">
        <v>-67382.260799479991</v>
      </c>
      <c r="O233" t="str">
        <f t="shared" si="7"/>
        <v>1</v>
      </c>
      <c r="P233">
        <f t="shared" si="6"/>
        <v>0</v>
      </c>
    </row>
    <row r="234" spans="1:16" hidden="1" x14ac:dyDescent="0.25">
      <c r="A234" t="s">
        <v>546</v>
      </c>
      <c r="C234" t="s">
        <v>150</v>
      </c>
      <c r="D234" s="67">
        <v>1017319</v>
      </c>
      <c r="E234">
        <v>0</v>
      </c>
      <c r="F234">
        <v>0</v>
      </c>
      <c r="G234">
        <v>0</v>
      </c>
      <c r="H234">
        <v>928990</v>
      </c>
      <c r="I234">
        <v>0</v>
      </c>
      <c r="J234">
        <v>0</v>
      </c>
      <c r="K234" s="249">
        <v>1017319</v>
      </c>
      <c r="L234" s="249">
        <v>1080901.4375</v>
      </c>
      <c r="M234" s="249">
        <v>1156564.538125</v>
      </c>
      <c r="N234" s="249">
        <v>1237524.0557937499</v>
      </c>
      <c r="O234" t="str">
        <f t="shared" si="7"/>
        <v>2</v>
      </c>
      <c r="P234" t="str">
        <f t="shared" si="6"/>
        <v>Employee Related Cost</v>
      </c>
    </row>
    <row r="235" spans="1:16" hidden="1" x14ac:dyDescent="0.25">
      <c r="A235" t="s">
        <v>547</v>
      </c>
      <c r="C235" t="s">
        <v>151</v>
      </c>
      <c r="D235" s="67">
        <v>45594</v>
      </c>
      <c r="E235">
        <v>0</v>
      </c>
      <c r="F235">
        <v>0</v>
      </c>
      <c r="G235">
        <v>0</v>
      </c>
      <c r="H235">
        <v>928990</v>
      </c>
      <c r="I235">
        <v>0</v>
      </c>
      <c r="J235">
        <v>-28659.82</v>
      </c>
      <c r="K235" s="249">
        <v>16934.18</v>
      </c>
      <c r="L235" s="249">
        <v>17992.56625</v>
      </c>
      <c r="M235" s="249">
        <v>19252.0458875</v>
      </c>
      <c r="N235" s="249">
        <v>20599.689099625</v>
      </c>
      <c r="O235" t="str">
        <f t="shared" si="7"/>
        <v>2</v>
      </c>
      <c r="P235" t="str">
        <f t="shared" si="6"/>
        <v>Employee Related Cost</v>
      </c>
    </row>
    <row r="236" spans="1:16" hidden="1" x14ac:dyDescent="0.25">
      <c r="A236" t="s">
        <v>548</v>
      </c>
      <c r="C236" t="s">
        <v>152</v>
      </c>
      <c r="D236" s="67">
        <v>38100</v>
      </c>
      <c r="E236">
        <v>0</v>
      </c>
      <c r="F236">
        <v>0</v>
      </c>
      <c r="G236">
        <v>0</v>
      </c>
      <c r="H236">
        <v>928990</v>
      </c>
      <c r="I236">
        <v>0</v>
      </c>
      <c r="J236">
        <v>0</v>
      </c>
      <c r="K236" s="249">
        <v>38100</v>
      </c>
      <c r="L236" s="249">
        <v>40481.25</v>
      </c>
      <c r="M236" s="249">
        <v>43314.9375</v>
      </c>
      <c r="N236" s="249">
        <v>46346.983124999999</v>
      </c>
      <c r="O236" t="str">
        <f t="shared" si="7"/>
        <v>2</v>
      </c>
      <c r="P236" t="str">
        <f t="shared" si="6"/>
        <v>Employee Related Cost</v>
      </c>
    </row>
    <row r="237" spans="1:16" hidden="1" x14ac:dyDescent="0.25">
      <c r="A237" t="s">
        <v>549</v>
      </c>
      <c r="C237" t="s">
        <v>153</v>
      </c>
      <c r="D237" s="67">
        <v>10893</v>
      </c>
      <c r="E237">
        <v>0</v>
      </c>
      <c r="F237">
        <v>0</v>
      </c>
      <c r="G237">
        <v>0</v>
      </c>
      <c r="H237">
        <v>928990</v>
      </c>
      <c r="I237">
        <v>0</v>
      </c>
      <c r="J237">
        <v>0</v>
      </c>
      <c r="K237" s="249">
        <v>10893</v>
      </c>
      <c r="L237" s="249">
        <v>11573.8125</v>
      </c>
      <c r="M237" s="249">
        <v>12383.979375000001</v>
      </c>
      <c r="N237" s="249">
        <v>13250.857931250001</v>
      </c>
      <c r="O237" t="str">
        <f t="shared" si="7"/>
        <v>2</v>
      </c>
      <c r="P237" t="str">
        <f t="shared" si="6"/>
        <v>Employee Related Cost</v>
      </c>
    </row>
    <row r="238" spans="1:16" hidden="1" x14ac:dyDescent="0.25">
      <c r="A238" t="s">
        <v>550</v>
      </c>
      <c r="C238" t="s">
        <v>155</v>
      </c>
      <c r="D238" s="67">
        <v>32378</v>
      </c>
      <c r="E238">
        <v>0</v>
      </c>
      <c r="F238">
        <v>0</v>
      </c>
      <c r="G238">
        <v>0</v>
      </c>
      <c r="H238">
        <v>928990</v>
      </c>
      <c r="I238">
        <v>0</v>
      </c>
      <c r="J238">
        <v>0</v>
      </c>
      <c r="K238" s="249">
        <v>32378</v>
      </c>
      <c r="L238" s="249">
        <v>34401.625</v>
      </c>
      <c r="M238" s="249">
        <v>36809.738749999997</v>
      </c>
      <c r="N238" s="249">
        <v>39386.420462499998</v>
      </c>
      <c r="O238" t="str">
        <f t="shared" si="7"/>
        <v>2</v>
      </c>
      <c r="P238" t="str">
        <f t="shared" si="6"/>
        <v>Employee Related Cost</v>
      </c>
    </row>
    <row r="239" spans="1:16" hidden="1" x14ac:dyDescent="0.25">
      <c r="A239" t="s">
        <v>551</v>
      </c>
      <c r="C239" t="s">
        <v>156</v>
      </c>
      <c r="D239" s="67">
        <v>243929</v>
      </c>
      <c r="E239">
        <v>0</v>
      </c>
      <c r="F239">
        <v>0</v>
      </c>
      <c r="G239">
        <v>0</v>
      </c>
      <c r="H239">
        <v>928990</v>
      </c>
      <c r="I239">
        <v>0</v>
      </c>
      <c r="J239">
        <v>0</v>
      </c>
      <c r="K239" s="249">
        <v>243929</v>
      </c>
      <c r="L239" s="249">
        <v>259174.5625</v>
      </c>
      <c r="M239" s="249">
        <v>277316.78187499999</v>
      </c>
      <c r="N239" s="249">
        <v>296728.95660624997</v>
      </c>
      <c r="O239" t="str">
        <f t="shared" si="7"/>
        <v>2</v>
      </c>
      <c r="P239" t="str">
        <f t="shared" si="6"/>
        <v>Employee Related Cost</v>
      </c>
    </row>
    <row r="240" spans="1:16" hidden="1" x14ac:dyDescent="0.25">
      <c r="A240" t="s">
        <v>552</v>
      </c>
      <c r="C240" t="s">
        <v>158</v>
      </c>
      <c r="D240" s="67">
        <v>0</v>
      </c>
      <c r="E240">
        <v>0</v>
      </c>
      <c r="F240">
        <v>0</v>
      </c>
      <c r="G240">
        <v>0</v>
      </c>
      <c r="H240">
        <v>928990</v>
      </c>
      <c r="I240">
        <v>0</v>
      </c>
      <c r="J240">
        <v>0</v>
      </c>
      <c r="K240" s="249">
        <v>0</v>
      </c>
      <c r="L240" s="249">
        <v>0</v>
      </c>
      <c r="M240" s="249">
        <v>0</v>
      </c>
      <c r="N240" s="249">
        <v>0</v>
      </c>
      <c r="O240" t="str">
        <f t="shared" si="7"/>
        <v>2</v>
      </c>
      <c r="P240" t="str">
        <f t="shared" si="6"/>
        <v>Employee Related Cost</v>
      </c>
    </row>
    <row r="241" spans="1:16" hidden="1" x14ac:dyDescent="0.25">
      <c r="A241" t="s">
        <v>553</v>
      </c>
      <c r="C241" t="s">
        <v>159</v>
      </c>
      <c r="D241" s="67">
        <v>81310</v>
      </c>
      <c r="E241">
        <v>0</v>
      </c>
      <c r="F241">
        <v>0</v>
      </c>
      <c r="G241">
        <v>0</v>
      </c>
      <c r="H241">
        <v>928990</v>
      </c>
      <c r="I241">
        <v>0</v>
      </c>
      <c r="J241">
        <v>0</v>
      </c>
      <c r="K241" s="249">
        <v>81310</v>
      </c>
      <c r="L241" s="249">
        <v>86391.875</v>
      </c>
      <c r="M241" s="249">
        <v>92439.306249999994</v>
      </c>
      <c r="N241" s="249">
        <v>98910.057687499997</v>
      </c>
      <c r="O241" t="str">
        <f t="shared" si="7"/>
        <v>2</v>
      </c>
      <c r="P241" t="str">
        <f t="shared" si="6"/>
        <v>Employee Related Cost</v>
      </c>
    </row>
    <row r="242" spans="1:16" hidden="1" x14ac:dyDescent="0.25">
      <c r="A242" t="s">
        <v>554</v>
      </c>
      <c r="C242" t="s">
        <v>164</v>
      </c>
      <c r="D242" s="67">
        <v>15692</v>
      </c>
      <c r="E242">
        <v>0</v>
      </c>
      <c r="F242">
        <v>0</v>
      </c>
      <c r="G242">
        <v>0</v>
      </c>
      <c r="H242">
        <v>928990</v>
      </c>
      <c r="I242">
        <v>0</v>
      </c>
      <c r="J242">
        <v>0</v>
      </c>
      <c r="K242" s="249">
        <v>15692</v>
      </c>
      <c r="L242" s="249">
        <v>16672.75</v>
      </c>
      <c r="M242" s="249">
        <v>17839.842499999999</v>
      </c>
      <c r="N242" s="249">
        <v>19088.631474999998</v>
      </c>
      <c r="O242" t="str">
        <f t="shared" si="7"/>
        <v>2</v>
      </c>
      <c r="P242" t="str">
        <f t="shared" si="6"/>
        <v>Employee Related Cost</v>
      </c>
    </row>
    <row r="243" spans="1:16" hidden="1" x14ac:dyDescent="0.25">
      <c r="A243" t="s">
        <v>555</v>
      </c>
      <c r="C243" t="s">
        <v>167</v>
      </c>
      <c r="D243" s="67">
        <v>225</v>
      </c>
      <c r="E243">
        <v>0</v>
      </c>
      <c r="F243">
        <v>0</v>
      </c>
      <c r="G243">
        <v>0</v>
      </c>
      <c r="H243">
        <v>928990</v>
      </c>
      <c r="I243">
        <v>0</v>
      </c>
      <c r="J243">
        <v>0</v>
      </c>
      <c r="K243" s="249">
        <v>225</v>
      </c>
      <c r="L243" s="249">
        <v>239.0625</v>
      </c>
      <c r="M243" s="249">
        <v>255.796875</v>
      </c>
      <c r="N243" s="249">
        <v>273.70265625000002</v>
      </c>
      <c r="O243" t="str">
        <f t="shared" si="7"/>
        <v>2</v>
      </c>
      <c r="P243" t="str">
        <f t="shared" si="6"/>
        <v>Employee Related Cost</v>
      </c>
    </row>
    <row r="244" spans="1:16" hidden="1" x14ac:dyDescent="0.25">
      <c r="A244" t="s">
        <v>556</v>
      </c>
      <c r="C244" t="s">
        <v>168</v>
      </c>
      <c r="D244" s="67">
        <v>107816</v>
      </c>
      <c r="E244">
        <v>0</v>
      </c>
      <c r="F244">
        <v>0</v>
      </c>
      <c r="G244">
        <v>0</v>
      </c>
      <c r="H244">
        <v>928990</v>
      </c>
      <c r="I244">
        <v>0</v>
      </c>
      <c r="J244">
        <v>0</v>
      </c>
      <c r="K244" s="249">
        <v>107816</v>
      </c>
      <c r="L244" s="249">
        <v>114554.5</v>
      </c>
      <c r="M244" s="249">
        <v>122573.315</v>
      </c>
      <c r="N244" s="249">
        <v>131153.44705000002</v>
      </c>
      <c r="O244" t="str">
        <f t="shared" si="7"/>
        <v>2</v>
      </c>
      <c r="P244" t="str">
        <f t="shared" si="6"/>
        <v>Employee Related Cost</v>
      </c>
    </row>
    <row r="245" spans="1:16" hidden="1" x14ac:dyDescent="0.25">
      <c r="A245" t="s">
        <v>557</v>
      </c>
      <c r="C245" t="s">
        <v>169</v>
      </c>
      <c r="D245" s="67">
        <v>214658</v>
      </c>
      <c r="E245">
        <v>0</v>
      </c>
      <c r="F245">
        <v>0</v>
      </c>
      <c r="G245">
        <v>0</v>
      </c>
      <c r="H245">
        <v>928990</v>
      </c>
      <c r="I245">
        <v>0</v>
      </c>
      <c r="J245">
        <v>0</v>
      </c>
      <c r="K245" s="249">
        <v>214658</v>
      </c>
      <c r="L245" s="249">
        <v>228074.125</v>
      </c>
      <c r="M245" s="249">
        <v>244039.31375</v>
      </c>
      <c r="N245" s="249">
        <v>261122.06571250001</v>
      </c>
      <c r="O245" t="str">
        <f t="shared" si="7"/>
        <v>2</v>
      </c>
      <c r="P245" t="str">
        <f t="shared" si="6"/>
        <v>Employee Related Cost</v>
      </c>
    </row>
    <row r="246" spans="1:16" hidden="1" x14ac:dyDescent="0.25">
      <c r="A246" t="s">
        <v>558</v>
      </c>
      <c r="C246" t="s">
        <v>170</v>
      </c>
      <c r="D246" s="67">
        <v>5355</v>
      </c>
      <c r="E246">
        <v>0</v>
      </c>
      <c r="F246">
        <v>0</v>
      </c>
      <c r="G246">
        <v>0</v>
      </c>
      <c r="H246">
        <v>928990</v>
      </c>
      <c r="I246">
        <v>0</v>
      </c>
      <c r="J246">
        <v>0</v>
      </c>
      <c r="K246" s="249">
        <v>5355</v>
      </c>
      <c r="L246" s="249">
        <v>5689.6875</v>
      </c>
      <c r="M246" s="249">
        <v>6087.9656249999998</v>
      </c>
      <c r="N246" s="249">
        <v>6514.12321875</v>
      </c>
      <c r="O246" t="str">
        <f t="shared" si="7"/>
        <v>2</v>
      </c>
      <c r="P246" t="str">
        <f t="shared" si="6"/>
        <v>Employee Related Cost</v>
      </c>
    </row>
    <row r="247" spans="1:16" hidden="1" x14ac:dyDescent="0.25">
      <c r="A247" t="s">
        <v>559</v>
      </c>
      <c r="C247" t="s">
        <v>173</v>
      </c>
      <c r="D247" s="67">
        <v>881</v>
      </c>
      <c r="E247">
        <v>0</v>
      </c>
      <c r="F247">
        <v>0</v>
      </c>
      <c r="G247">
        <v>0</v>
      </c>
      <c r="H247">
        <v>928990</v>
      </c>
      <c r="I247">
        <v>0</v>
      </c>
      <c r="J247">
        <v>0</v>
      </c>
      <c r="K247" s="249">
        <v>881</v>
      </c>
      <c r="L247" s="249">
        <v>936.0625</v>
      </c>
      <c r="M247" s="249">
        <v>1001.586875</v>
      </c>
      <c r="N247" s="249">
        <v>1071.6979562500001</v>
      </c>
      <c r="O247" t="str">
        <f t="shared" si="7"/>
        <v>2</v>
      </c>
      <c r="P247" t="str">
        <f t="shared" si="6"/>
        <v>Employee Related Cost</v>
      </c>
    </row>
    <row r="248" spans="1:16" hidden="1" x14ac:dyDescent="0.25">
      <c r="A248" t="s">
        <v>560</v>
      </c>
      <c r="C248" t="s">
        <v>174</v>
      </c>
      <c r="D248" s="67">
        <v>275</v>
      </c>
      <c r="E248">
        <v>0</v>
      </c>
      <c r="F248">
        <v>0</v>
      </c>
      <c r="G248">
        <v>0</v>
      </c>
      <c r="H248">
        <v>928990</v>
      </c>
      <c r="I248">
        <v>0</v>
      </c>
      <c r="J248">
        <v>0</v>
      </c>
      <c r="K248" s="249">
        <v>275</v>
      </c>
      <c r="L248" s="249">
        <v>292.1875</v>
      </c>
      <c r="M248" s="249">
        <v>312.640625</v>
      </c>
      <c r="N248" s="249">
        <v>334.52546875000002</v>
      </c>
      <c r="O248" t="str">
        <f t="shared" si="7"/>
        <v>2</v>
      </c>
      <c r="P248" t="str">
        <f t="shared" si="6"/>
        <v>Employee Related Cost</v>
      </c>
    </row>
    <row r="249" spans="1:16" hidden="1" x14ac:dyDescent="0.25">
      <c r="A249" t="s">
        <v>561</v>
      </c>
      <c r="C249" t="s">
        <v>175</v>
      </c>
      <c r="D249" s="67">
        <v>10931</v>
      </c>
      <c r="E249">
        <v>0</v>
      </c>
      <c r="F249">
        <v>0</v>
      </c>
      <c r="G249">
        <v>0</v>
      </c>
      <c r="H249">
        <v>928990</v>
      </c>
      <c r="I249">
        <v>0</v>
      </c>
      <c r="J249">
        <v>0</v>
      </c>
      <c r="K249" s="249">
        <v>10931</v>
      </c>
      <c r="L249" s="249">
        <v>11614.1875</v>
      </c>
      <c r="M249" s="249">
        <v>12427.180625000001</v>
      </c>
      <c r="N249" s="249">
        <v>13297.083268750001</v>
      </c>
      <c r="O249" t="str">
        <f t="shared" si="7"/>
        <v>2</v>
      </c>
      <c r="P249" t="str">
        <f t="shared" si="6"/>
        <v>Employee Related Cost</v>
      </c>
    </row>
    <row r="250" spans="1:16" hidden="1" x14ac:dyDescent="0.25">
      <c r="A250" t="s">
        <v>562</v>
      </c>
      <c r="C250" t="s">
        <v>265</v>
      </c>
      <c r="D250" s="67">
        <v>0</v>
      </c>
      <c r="E250">
        <v>0</v>
      </c>
      <c r="F250">
        <v>0</v>
      </c>
      <c r="G250">
        <v>0</v>
      </c>
      <c r="H250">
        <v>928990</v>
      </c>
      <c r="I250">
        <v>0</v>
      </c>
      <c r="J250">
        <v>20000</v>
      </c>
      <c r="K250" s="249">
        <v>20000</v>
      </c>
      <c r="L250" s="249">
        <v>20900</v>
      </c>
      <c r="M250" s="249">
        <v>21861.4</v>
      </c>
      <c r="N250" s="249">
        <v>22867.024400000002</v>
      </c>
      <c r="O250" t="str">
        <f t="shared" si="7"/>
        <v>2</v>
      </c>
      <c r="P250" t="str">
        <f t="shared" si="6"/>
        <v>Operational Cost</v>
      </c>
    </row>
    <row r="251" spans="1:16" hidden="1" x14ac:dyDescent="0.25">
      <c r="A251" t="s">
        <v>563</v>
      </c>
      <c r="C251" t="s">
        <v>268</v>
      </c>
      <c r="D251" s="67">
        <v>0</v>
      </c>
      <c r="E251">
        <v>0</v>
      </c>
      <c r="F251">
        <v>0</v>
      </c>
      <c r="G251">
        <v>0</v>
      </c>
      <c r="H251">
        <v>928990</v>
      </c>
      <c r="I251">
        <v>0</v>
      </c>
      <c r="J251">
        <v>120000</v>
      </c>
      <c r="K251" s="249">
        <v>120000</v>
      </c>
      <c r="L251" s="249">
        <v>125400</v>
      </c>
      <c r="M251" s="249">
        <v>131168.4</v>
      </c>
      <c r="N251" s="249">
        <v>137202.1464</v>
      </c>
      <c r="O251" t="str">
        <f t="shared" si="7"/>
        <v>2</v>
      </c>
      <c r="P251" t="str">
        <f t="shared" si="6"/>
        <v>Operational Cost</v>
      </c>
    </row>
    <row r="252" spans="1:16" hidden="1" x14ac:dyDescent="0.25">
      <c r="A252" t="s">
        <v>564</v>
      </c>
      <c r="C252" t="s">
        <v>291</v>
      </c>
      <c r="D252" s="67">
        <v>4770</v>
      </c>
      <c r="E252">
        <v>0</v>
      </c>
      <c r="F252">
        <v>0</v>
      </c>
      <c r="G252">
        <v>0</v>
      </c>
      <c r="H252">
        <v>928990</v>
      </c>
      <c r="I252">
        <v>0</v>
      </c>
      <c r="J252">
        <v>-4770</v>
      </c>
      <c r="K252" s="249">
        <v>0</v>
      </c>
      <c r="L252" s="249">
        <v>0</v>
      </c>
      <c r="M252" s="249">
        <v>0</v>
      </c>
      <c r="N252" s="249">
        <v>0</v>
      </c>
      <c r="O252" t="str">
        <f t="shared" si="7"/>
        <v>2</v>
      </c>
      <c r="P252" t="str">
        <f t="shared" si="6"/>
        <v>Depreciation &amp; Amortisation</v>
      </c>
    </row>
    <row r="253" spans="1:16" hidden="1" x14ac:dyDescent="0.25">
      <c r="A253" t="s">
        <v>565</v>
      </c>
      <c r="C253" t="s">
        <v>292</v>
      </c>
      <c r="D253" s="67">
        <v>4770</v>
      </c>
      <c r="E253">
        <v>0</v>
      </c>
      <c r="F253">
        <v>0</v>
      </c>
      <c r="G253">
        <v>0</v>
      </c>
      <c r="H253">
        <v>928990</v>
      </c>
      <c r="I253">
        <v>0</v>
      </c>
      <c r="J253">
        <v>0</v>
      </c>
      <c r="K253" s="249">
        <v>4770</v>
      </c>
      <c r="L253" s="249">
        <v>4984.6499999999996</v>
      </c>
      <c r="M253" s="249">
        <v>5213.9438999999993</v>
      </c>
      <c r="N253" s="249">
        <v>5453.785319399999</v>
      </c>
      <c r="O253" t="str">
        <f t="shared" si="7"/>
        <v>2</v>
      </c>
      <c r="P253" t="str">
        <f t="shared" si="6"/>
        <v>Depreciation &amp; Amortisation</v>
      </c>
    </row>
    <row r="254" spans="1:16" hidden="1" x14ac:dyDescent="0.25">
      <c r="A254" t="s">
        <v>566</v>
      </c>
      <c r="C254" t="s">
        <v>293</v>
      </c>
      <c r="D254" s="67">
        <v>19904</v>
      </c>
      <c r="E254">
        <v>0</v>
      </c>
      <c r="F254">
        <v>0</v>
      </c>
      <c r="G254">
        <v>0</v>
      </c>
      <c r="H254">
        <v>928990</v>
      </c>
      <c r="I254">
        <v>0</v>
      </c>
      <c r="J254">
        <v>0</v>
      </c>
      <c r="K254" s="249">
        <v>19904</v>
      </c>
      <c r="L254" s="249">
        <v>20799.68</v>
      </c>
      <c r="M254" s="249">
        <v>21756.46528</v>
      </c>
      <c r="N254" s="249">
        <v>22757.262682880002</v>
      </c>
      <c r="O254" t="str">
        <f t="shared" si="7"/>
        <v>2</v>
      </c>
      <c r="P254" t="str">
        <f t="shared" si="6"/>
        <v>Depreciation &amp; Amortisation</v>
      </c>
    </row>
    <row r="255" spans="1:16" hidden="1" x14ac:dyDescent="0.25">
      <c r="A255" t="s">
        <v>567</v>
      </c>
      <c r="C255" t="s">
        <v>297</v>
      </c>
      <c r="D255" s="67">
        <v>0</v>
      </c>
      <c r="E255">
        <v>0</v>
      </c>
      <c r="F255">
        <v>0</v>
      </c>
      <c r="G255">
        <v>0</v>
      </c>
      <c r="H255">
        <v>928990</v>
      </c>
      <c r="I255">
        <v>0</v>
      </c>
      <c r="J255">
        <v>0</v>
      </c>
      <c r="K255" s="249">
        <v>0</v>
      </c>
      <c r="L255" s="249">
        <v>0</v>
      </c>
      <c r="M255" s="249">
        <v>0</v>
      </c>
      <c r="N255" s="249">
        <v>0</v>
      </c>
      <c r="O255" t="str">
        <f t="shared" si="7"/>
        <v>2</v>
      </c>
      <c r="P255" t="str">
        <f t="shared" si="6"/>
        <v>Depreciation &amp; Amortisation</v>
      </c>
    </row>
    <row r="256" spans="1:16" hidden="1" x14ac:dyDescent="0.25">
      <c r="A256" t="s">
        <v>569</v>
      </c>
      <c r="C256" t="s">
        <v>150</v>
      </c>
      <c r="D256" s="67">
        <v>210622</v>
      </c>
      <c r="E256">
        <v>0</v>
      </c>
      <c r="F256">
        <v>0</v>
      </c>
      <c r="G256">
        <v>0</v>
      </c>
      <c r="H256">
        <v>928990</v>
      </c>
      <c r="I256">
        <v>0</v>
      </c>
      <c r="J256">
        <v>0</v>
      </c>
      <c r="K256" s="249">
        <v>210622</v>
      </c>
      <c r="L256" s="249">
        <v>223785.875</v>
      </c>
      <c r="M256" s="249">
        <v>239450.88625000001</v>
      </c>
      <c r="N256" s="249">
        <v>256212.44828750001</v>
      </c>
      <c r="O256" t="str">
        <f t="shared" si="7"/>
        <v>2</v>
      </c>
      <c r="P256" t="str">
        <f t="shared" si="6"/>
        <v>Employee Related Cost</v>
      </c>
    </row>
    <row r="257" spans="1:16" hidden="1" x14ac:dyDescent="0.25">
      <c r="A257" t="s">
        <v>570</v>
      </c>
      <c r="C257" t="s">
        <v>151</v>
      </c>
      <c r="D257" s="67">
        <v>9842</v>
      </c>
      <c r="E257">
        <v>0</v>
      </c>
      <c r="F257">
        <v>0</v>
      </c>
      <c r="G257">
        <v>0</v>
      </c>
      <c r="H257">
        <v>928990</v>
      </c>
      <c r="I257">
        <v>0</v>
      </c>
      <c r="J257">
        <v>0</v>
      </c>
      <c r="K257" s="249">
        <v>9842</v>
      </c>
      <c r="L257" s="249">
        <v>10457.125</v>
      </c>
      <c r="M257" s="249">
        <v>11189.123750000001</v>
      </c>
      <c r="N257" s="249">
        <v>11972.362412500001</v>
      </c>
      <c r="O257" t="str">
        <f t="shared" si="7"/>
        <v>2</v>
      </c>
      <c r="P257" t="str">
        <f t="shared" si="6"/>
        <v>Employee Related Cost</v>
      </c>
    </row>
    <row r="258" spans="1:16" hidden="1" x14ac:dyDescent="0.25">
      <c r="A258" t="s">
        <v>571</v>
      </c>
      <c r="C258" t="s">
        <v>153</v>
      </c>
      <c r="D258" s="67">
        <v>10893</v>
      </c>
      <c r="E258">
        <v>0</v>
      </c>
      <c r="F258">
        <v>0</v>
      </c>
      <c r="G258">
        <v>0</v>
      </c>
      <c r="H258">
        <v>928990</v>
      </c>
      <c r="I258">
        <v>0</v>
      </c>
      <c r="J258">
        <v>0</v>
      </c>
      <c r="K258" s="249">
        <v>10893</v>
      </c>
      <c r="L258" s="249">
        <v>11573.8125</v>
      </c>
      <c r="M258" s="249">
        <v>12383.979375000001</v>
      </c>
      <c r="N258" s="249">
        <v>13250.857931250001</v>
      </c>
      <c r="O258" t="str">
        <f t="shared" si="7"/>
        <v>2</v>
      </c>
      <c r="P258" t="str">
        <f t="shared" ref="P258:P321" si="8">VLOOKUP(A258,bud_321,16,FALSE)</f>
        <v>Employee Related Cost</v>
      </c>
    </row>
    <row r="259" spans="1:16" hidden="1" x14ac:dyDescent="0.25">
      <c r="A259" t="s">
        <v>572</v>
      </c>
      <c r="C259" t="s">
        <v>155</v>
      </c>
      <c r="D259" s="67">
        <v>6989</v>
      </c>
      <c r="E259">
        <v>0</v>
      </c>
      <c r="F259">
        <v>0</v>
      </c>
      <c r="G259">
        <v>0</v>
      </c>
      <c r="H259">
        <v>928990</v>
      </c>
      <c r="I259">
        <v>0</v>
      </c>
      <c r="J259">
        <v>0</v>
      </c>
      <c r="K259" s="249">
        <v>6989</v>
      </c>
      <c r="L259" s="249">
        <v>7425.8125</v>
      </c>
      <c r="M259" s="249">
        <v>7945.6193750000002</v>
      </c>
      <c r="N259" s="249">
        <v>8501.8127312500001</v>
      </c>
      <c r="O259" t="str">
        <f t="shared" ref="O259:O322" si="9">MID(A259,5,1)</f>
        <v>2</v>
      </c>
      <c r="P259" t="str">
        <f t="shared" si="8"/>
        <v>Employee Related Cost</v>
      </c>
    </row>
    <row r="260" spans="1:16" hidden="1" x14ac:dyDescent="0.25">
      <c r="A260" t="s">
        <v>573</v>
      </c>
      <c r="C260" t="s">
        <v>157</v>
      </c>
      <c r="D260" s="67">
        <v>7374</v>
      </c>
      <c r="E260">
        <v>0</v>
      </c>
      <c r="F260">
        <v>0</v>
      </c>
      <c r="G260">
        <v>0</v>
      </c>
      <c r="H260">
        <v>928990</v>
      </c>
      <c r="I260">
        <v>0</v>
      </c>
      <c r="J260">
        <v>0</v>
      </c>
      <c r="K260" s="249">
        <v>7374</v>
      </c>
      <c r="L260" s="249">
        <v>7834.875</v>
      </c>
      <c r="M260" s="249">
        <v>8383.3162499999999</v>
      </c>
      <c r="N260" s="249">
        <v>8970.1483874999994</v>
      </c>
      <c r="O260" t="str">
        <f t="shared" si="9"/>
        <v>2</v>
      </c>
      <c r="P260" t="str">
        <f t="shared" si="8"/>
        <v>Employee Related Cost</v>
      </c>
    </row>
    <row r="261" spans="1:16" hidden="1" x14ac:dyDescent="0.25">
      <c r="A261" t="s">
        <v>574</v>
      </c>
      <c r="C261" t="s">
        <v>159</v>
      </c>
      <c r="D261" s="67">
        <v>17552</v>
      </c>
      <c r="E261">
        <v>0</v>
      </c>
      <c r="F261">
        <v>0</v>
      </c>
      <c r="G261">
        <v>0</v>
      </c>
      <c r="H261">
        <v>928990</v>
      </c>
      <c r="I261">
        <v>0</v>
      </c>
      <c r="J261">
        <v>0</v>
      </c>
      <c r="K261" s="249">
        <v>17552</v>
      </c>
      <c r="L261" s="249">
        <v>18649</v>
      </c>
      <c r="M261" s="249">
        <v>19954.43</v>
      </c>
      <c r="N261" s="249">
        <v>21351.240099999999</v>
      </c>
      <c r="O261" t="str">
        <f t="shared" si="9"/>
        <v>2</v>
      </c>
      <c r="P261" t="str">
        <f t="shared" si="8"/>
        <v>Employee Related Cost</v>
      </c>
    </row>
    <row r="262" spans="1:16" hidden="1" x14ac:dyDescent="0.25">
      <c r="A262" t="s">
        <v>575</v>
      </c>
      <c r="C262" t="s">
        <v>167</v>
      </c>
      <c r="D262" s="67">
        <v>112</v>
      </c>
      <c r="E262">
        <v>0</v>
      </c>
      <c r="F262">
        <v>0</v>
      </c>
      <c r="G262">
        <v>0</v>
      </c>
      <c r="H262">
        <v>928990</v>
      </c>
      <c r="I262">
        <v>0</v>
      </c>
      <c r="J262">
        <v>0</v>
      </c>
      <c r="K262" s="249">
        <v>112</v>
      </c>
      <c r="L262" s="249">
        <v>119</v>
      </c>
      <c r="M262" s="249">
        <v>127.33</v>
      </c>
      <c r="N262" s="249">
        <v>136.2431</v>
      </c>
      <c r="O262" t="str">
        <f t="shared" si="9"/>
        <v>2</v>
      </c>
      <c r="P262" t="str">
        <f t="shared" si="8"/>
        <v>Employee Related Cost</v>
      </c>
    </row>
    <row r="263" spans="1:16" hidden="1" x14ac:dyDescent="0.25">
      <c r="A263" t="s">
        <v>576</v>
      </c>
      <c r="C263" t="s">
        <v>168</v>
      </c>
      <c r="D263" s="67">
        <v>53908</v>
      </c>
      <c r="E263">
        <v>0</v>
      </c>
      <c r="F263">
        <v>0</v>
      </c>
      <c r="G263">
        <v>0</v>
      </c>
      <c r="H263">
        <v>928990</v>
      </c>
      <c r="I263">
        <v>0</v>
      </c>
      <c r="J263">
        <v>0</v>
      </c>
      <c r="K263" s="249">
        <v>53908</v>
      </c>
      <c r="L263" s="249">
        <v>57277.25</v>
      </c>
      <c r="M263" s="249">
        <v>61286.657500000001</v>
      </c>
      <c r="N263" s="249">
        <v>65576.723525000009</v>
      </c>
      <c r="O263" t="str">
        <f t="shared" si="9"/>
        <v>2</v>
      </c>
      <c r="P263" t="str">
        <f t="shared" si="8"/>
        <v>Employee Related Cost</v>
      </c>
    </row>
    <row r="264" spans="1:16" hidden="1" x14ac:dyDescent="0.25">
      <c r="A264" t="s">
        <v>577</v>
      </c>
      <c r="C264" t="s">
        <v>169</v>
      </c>
      <c r="D264" s="67">
        <v>46337</v>
      </c>
      <c r="E264">
        <v>0</v>
      </c>
      <c r="F264">
        <v>0</v>
      </c>
      <c r="G264">
        <v>0</v>
      </c>
      <c r="H264">
        <v>928990</v>
      </c>
      <c r="I264">
        <v>0</v>
      </c>
      <c r="J264">
        <v>0</v>
      </c>
      <c r="K264" s="249">
        <v>46337</v>
      </c>
      <c r="L264" s="249">
        <v>49233.0625</v>
      </c>
      <c r="M264" s="249">
        <v>52679.376875000002</v>
      </c>
      <c r="N264" s="249">
        <v>56366.933256249999</v>
      </c>
      <c r="O264" t="str">
        <f t="shared" si="9"/>
        <v>2</v>
      </c>
      <c r="P264" t="str">
        <f t="shared" si="8"/>
        <v>Employee Related Cost</v>
      </c>
    </row>
    <row r="265" spans="1:16" hidden="1" x14ac:dyDescent="0.25">
      <c r="A265" t="s">
        <v>578</v>
      </c>
      <c r="C265" t="s">
        <v>170</v>
      </c>
      <c r="D265" s="67">
        <v>1785</v>
      </c>
      <c r="E265">
        <v>0</v>
      </c>
      <c r="F265">
        <v>0</v>
      </c>
      <c r="G265">
        <v>0</v>
      </c>
      <c r="H265">
        <v>928990</v>
      </c>
      <c r="I265">
        <v>0</v>
      </c>
      <c r="J265">
        <v>0</v>
      </c>
      <c r="K265" s="249">
        <v>1785</v>
      </c>
      <c r="L265" s="249">
        <v>1896.5625</v>
      </c>
      <c r="M265" s="249">
        <v>2029.3218750000001</v>
      </c>
      <c r="N265" s="249">
        <v>2171.37440625</v>
      </c>
      <c r="O265" t="str">
        <f t="shared" si="9"/>
        <v>2</v>
      </c>
      <c r="P265" t="str">
        <f t="shared" si="8"/>
        <v>Employee Related Cost</v>
      </c>
    </row>
    <row r="266" spans="1:16" hidden="1" x14ac:dyDescent="0.25">
      <c r="A266" t="s">
        <v>579</v>
      </c>
      <c r="C266" t="s">
        <v>173</v>
      </c>
      <c r="D266" s="67">
        <v>312</v>
      </c>
      <c r="E266">
        <v>0</v>
      </c>
      <c r="F266">
        <v>0</v>
      </c>
      <c r="G266">
        <v>0</v>
      </c>
      <c r="H266">
        <v>928990</v>
      </c>
      <c r="I266">
        <v>0</v>
      </c>
      <c r="J266">
        <v>0</v>
      </c>
      <c r="K266" s="249">
        <v>312</v>
      </c>
      <c r="L266" s="249">
        <v>331.5</v>
      </c>
      <c r="M266" s="249">
        <v>354.70499999999998</v>
      </c>
      <c r="N266" s="249">
        <v>379.53434999999996</v>
      </c>
      <c r="O266" t="str">
        <f t="shared" si="9"/>
        <v>2</v>
      </c>
      <c r="P266" t="str">
        <f t="shared" si="8"/>
        <v>Employee Related Cost</v>
      </c>
    </row>
    <row r="267" spans="1:16" hidden="1" x14ac:dyDescent="0.25">
      <c r="A267" t="s">
        <v>580</v>
      </c>
      <c r="C267" t="s">
        <v>174</v>
      </c>
      <c r="D267" s="67">
        <v>113</v>
      </c>
      <c r="E267">
        <v>0</v>
      </c>
      <c r="F267">
        <v>0</v>
      </c>
      <c r="G267">
        <v>0</v>
      </c>
      <c r="H267">
        <v>928990</v>
      </c>
      <c r="I267">
        <v>0</v>
      </c>
      <c r="J267">
        <v>0</v>
      </c>
      <c r="K267" s="249">
        <v>113</v>
      </c>
      <c r="L267" s="249">
        <v>120.0625</v>
      </c>
      <c r="M267" s="249">
        <v>128.46687499999999</v>
      </c>
      <c r="N267" s="249">
        <v>137.45955624999999</v>
      </c>
      <c r="O267" t="str">
        <f t="shared" si="9"/>
        <v>2</v>
      </c>
      <c r="P267" t="str">
        <f t="shared" si="8"/>
        <v>Employee Related Cost</v>
      </c>
    </row>
    <row r="268" spans="1:16" hidden="1" x14ac:dyDescent="0.25">
      <c r="A268" t="s">
        <v>581</v>
      </c>
      <c r="C268" t="s">
        <v>175</v>
      </c>
      <c r="D268" s="67">
        <v>944</v>
      </c>
      <c r="E268">
        <v>0</v>
      </c>
      <c r="F268">
        <v>0</v>
      </c>
      <c r="G268">
        <v>0</v>
      </c>
      <c r="H268">
        <v>928990</v>
      </c>
      <c r="I268">
        <v>0</v>
      </c>
      <c r="J268">
        <v>0</v>
      </c>
      <c r="K268" s="249">
        <v>944</v>
      </c>
      <c r="L268" s="249">
        <v>1003</v>
      </c>
      <c r="M268" s="249">
        <v>1073.21</v>
      </c>
      <c r="N268" s="249">
        <v>1148.3347000000001</v>
      </c>
      <c r="O268" t="str">
        <f t="shared" si="9"/>
        <v>2</v>
      </c>
      <c r="P268" t="str">
        <f t="shared" si="8"/>
        <v>Employee Related Cost</v>
      </c>
    </row>
    <row r="269" spans="1:16" hidden="1" x14ac:dyDescent="0.25">
      <c r="A269" t="s">
        <v>583</v>
      </c>
      <c r="C269" t="s">
        <v>100</v>
      </c>
      <c r="D269" s="67">
        <v>891108</v>
      </c>
      <c r="E269">
        <v>91950.73</v>
      </c>
      <c r="F269">
        <v>0</v>
      </c>
      <c r="G269">
        <v>551704.38</v>
      </c>
      <c r="H269">
        <v>339403.62</v>
      </c>
      <c r="I269">
        <v>61.91</v>
      </c>
      <c r="J269">
        <v>0</v>
      </c>
      <c r="K269" s="249">
        <v>891108</v>
      </c>
      <c r="L269" s="249">
        <v>946802.25</v>
      </c>
      <c r="M269" s="249">
        <v>1013078.4075</v>
      </c>
      <c r="N269" s="249">
        <v>1083993.8960249999</v>
      </c>
      <c r="O269" t="str">
        <f t="shared" si="9"/>
        <v>2</v>
      </c>
      <c r="P269" t="str">
        <f t="shared" si="8"/>
        <v>Employee Related Cost</v>
      </c>
    </row>
    <row r="270" spans="1:16" hidden="1" x14ac:dyDescent="0.25">
      <c r="A270" t="s">
        <v>584</v>
      </c>
      <c r="C270" t="s">
        <v>101</v>
      </c>
      <c r="D270" s="67">
        <v>44555</v>
      </c>
      <c r="E270">
        <v>91950.73</v>
      </c>
      <c r="F270">
        <v>0</v>
      </c>
      <c r="G270">
        <v>551704.38</v>
      </c>
      <c r="H270">
        <v>339403.62</v>
      </c>
      <c r="I270">
        <v>61.91</v>
      </c>
      <c r="J270">
        <v>0</v>
      </c>
      <c r="K270" s="249">
        <v>44555</v>
      </c>
      <c r="L270" s="249">
        <v>47339.6875</v>
      </c>
      <c r="M270" s="249">
        <v>50653.465624999997</v>
      </c>
      <c r="N270" s="249">
        <v>54199.208218749998</v>
      </c>
      <c r="O270" t="str">
        <f t="shared" si="9"/>
        <v>2</v>
      </c>
      <c r="P270" t="str">
        <f t="shared" si="8"/>
        <v>Employee Related Cost</v>
      </c>
    </row>
    <row r="271" spans="1:16" hidden="1" x14ac:dyDescent="0.25">
      <c r="A271" t="s">
        <v>585</v>
      </c>
      <c r="C271" t="s">
        <v>102</v>
      </c>
      <c r="D271" s="67">
        <v>40000</v>
      </c>
      <c r="E271">
        <v>91950.73</v>
      </c>
      <c r="F271">
        <v>0</v>
      </c>
      <c r="G271">
        <v>551704.38</v>
      </c>
      <c r="H271">
        <v>339403.62</v>
      </c>
      <c r="I271">
        <v>61.91</v>
      </c>
      <c r="J271">
        <v>0</v>
      </c>
      <c r="K271" s="249">
        <v>40000</v>
      </c>
      <c r="L271" s="249">
        <v>42500</v>
      </c>
      <c r="M271" s="249">
        <v>45475</v>
      </c>
      <c r="N271" s="249">
        <v>48658.25</v>
      </c>
      <c r="O271" t="str">
        <f t="shared" si="9"/>
        <v>2</v>
      </c>
      <c r="P271" t="str">
        <f t="shared" si="8"/>
        <v>Employee Related Cost</v>
      </c>
    </row>
    <row r="272" spans="1:16" hidden="1" x14ac:dyDescent="0.25">
      <c r="A272" t="s">
        <v>586</v>
      </c>
      <c r="C272" t="s">
        <v>103</v>
      </c>
      <c r="D272" s="67">
        <v>253608</v>
      </c>
      <c r="E272">
        <v>91950.73</v>
      </c>
      <c r="F272">
        <v>0</v>
      </c>
      <c r="G272">
        <v>551704.38</v>
      </c>
      <c r="H272">
        <v>339403.62</v>
      </c>
      <c r="I272">
        <v>61.91</v>
      </c>
      <c r="J272">
        <v>0</v>
      </c>
      <c r="K272" s="249">
        <v>253608</v>
      </c>
      <c r="L272" s="249">
        <v>269458.5</v>
      </c>
      <c r="M272" s="249">
        <v>288320.59499999997</v>
      </c>
      <c r="N272" s="249">
        <v>308503.03664999997</v>
      </c>
      <c r="O272" t="str">
        <f t="shared" si="9"/>
        <v>2</v>
      </c>
      <c r="P272" t="str">
        <f t="shared" si="8"/>
        <v>Employee Related Cost</v>
      </c>
    </row>
    <row r="273" spans="1:16" hidden="1" x14ac:dyDescent="0.25">
      <c r="A273" t="s">
        <v>587</v>
      </c>
      <c r="C273" t="s">
        <v>104</v>
      </c>
      <c r="D273" s="67">
        <v>31385</v>
      </c>
      <c r="E273">
        <v>91950.73</v>
      </c>
      <c r="F273">
        <v>0</v>
      </c>
      <c r="G273">
        <v>551704.38</v>
      </c>
      <c r="H273">
        <v>339403.62</v>
      </c>
      <c r="I273">
        <v>61.91</v>
      </c>
      <c r="J273">
        <v>0</v>
      </c>
      <c r="K273" s="249">
        <v>31385</v>
      </c>
      <c r="L273" s="249">
        <v>33346.5625</v>
      </c>
      <c r="M273" s="249">
        <v>35680.821875000001</v>
      </c>
      <c r="N273" s="249">
        <v>38178.47940625</v>
      </c>
      <c r="O273" t="str">
        <f t="shared" si="9"/>
        <v>2</v>
      </c>
      <c r="P273" t="str">
        <f t="shared" si="8"/>
        <v>Employee Related Cost</v>
      </c>
    </row>
    <row r="274" spans="1:16" hidden="1" x14ac:dyDescent="0.25">
      <c r="A274" t="s">
        <v>588</v>
      </c>
      <c r="C274" t="s">
        <v>105</v>
      </c>
      <c r="D274" s="67">
        <v>17004</v>
      </c>
      <c r="E274">
        <v>91950.73</v>
      </c>
      <c r="F274">
        <v>0</v>
      </c>
      <c r="G274">
        <v>551704.38</v>
      </c>
      <c r="H274">
        <v>339403.62</v>
      </c>
      <c r="I274">
        <v>61.91</v>
      </c>
      <c r="J274">
        <v>0</v>
      </c>
      <c r="K274" s="249">
        <v>17004</v>
      </c>
      <c r="L274" s="249">
        <v>18066.75</v>
      </c>
      <c r="M274" s="249">
        <v>19331.422500000001</v>
      </c>
      <c r="N274" s="249">
        <v>20684.622074999999</v>
      </c>
      <c r="O274" t="str">
        <f t="shared" si="9"/>
        <v>2</v>
      </c>
      <c r="P274" t="str">
        <f t="shared" si="8"/>
        <v>Employee Related Cost</v>
      </c>
    </row>
    <row r="275" spans="1:16" hidden="1" x14ac:dyDescent="0.25">
      <c r="A275" t="s">
        <v>589</v>
      </c>
      <c r="C275" t="s">
        <v>150</v>
      </c>
      <c r="D275" s="67">
        <v>1773819</v>
      </c>
      <c r="E275">
        <v>91950.73</v>
      </c>
      <c r="F275">
        <v>0</v>
      </c>
      <c r="G275">
        <v>551704.38</v>
      </c>
      <c r="H275">
        <v>339403.62</v>
      </c>
      <c r="I275">
        <v>61.91</v>
      </c>
      <c r="J275">
        <v>0</v>
      </c>
      <c r="K275" s="249">
        <v>1773819</v>
      </c>
      <c r="L275" s="249">
        <v>1884682.6875</v>
      </c>
      <c r="M275" s="249">
        <v>2016610.475625</v>
      </c>
      <c r="N275" s="249">
        <v>2157773.2089187498</v>
      </c>
      <c r="O275" t="str">
        <f t="shared" si="9"/>
        <v>2</v>
      </c>
      <c r="P275" t="str">
        <f t="shared" si="8"/>
        <v>Employee Related Cost</v>
      </c>
    </row>
    <row r="276" spans="1:16" hidden="1" x14ac:dyDescent="0.25">
      <c r="A276" t="s">
        <v>590</v>
      </c>
      <c r="C276" t="s">
        <v>151</v>
      </c>
      <c r="D276" s="67">
        <v>88691</v>
      </c>
      <c r="E276">
        <v>91950.73</v>
      </c>
      <c r="F276">
        <v>0</v>
      </c>
      <c r="G276">
        <v>551704.38</v>
      </c>
      <c r="H276">
        <v>339403.62</v>
      </c>
      <c r="I276">
        <v>61.91</v>
      </c>
      <c r="J276">
        <v>-63289.729999999996</v>
      </c>
      <c r="K276" s="249">
        <v>25401.270000000004</v>
      </c>
      <c r="L276" s="249">
        <v>26988.849375000005</v>
      </c>
      <c r="M276" s="249">
        <v>28878.068831250006</v>
      </c>
      <c r="N276" s="249">
        <v>30899.533649437508</v>
      </c>
      <c r="O276" t="str">
        <f t="shared" si="9"/>
        <v>2</v>
      </c>
      <c r="P276" t="str">
        <f t="shared" si="8"/>
        <v>Employee Related Cost</v>
      </c>
    </row>
    <row r="277" spans="1:16" hidden="1" x14ac:dyDescent="0.25">
      <c r="A277" t="s">
        <v>591</v>
      </c>
      <c r="C277" t="s">
        <v>152</v>
      </c>
      <c r="D277" s="67">
        <v>62100</v>
      </c>
      <c r="E277">
        <v>91950.73</v>
      </c>
      <c r="F277">
        <v>0</v>
      </c>
      <c r="G277">
        <v>551704.38</v>
      </c>
      <c r="H277">
        <v>339403.62</v>
      </c>
      <c r="I277">
        <v>61.91</v>
      </c>
      <c r="J277">
        <v>0</v>
      </c>
      <c r="K277" s="249">
        <v>62100</v>
      </c>
      <c r="L277" s="249">
        <v>65981.25</v>
      </c>
      <c r="M277" s="249">
        <v>70599.9375</v>
      </c>
      <c r="N277" s="249">
        <v>75541.933124999996</v>
      </c>
      <c r="O277" t="str">
        <f t="shared" si="9"/>
        <v>2</v>
      </c>
      <c r="P277" t="str">
        <f t="shared" si="8"/>
        <v>Employee Related Cost</v>
      </c>
    </row>
    <row r="278" spans="1:16" hidden="1" x14ac:dyDescent="0.25">
      <c r="A278" t="s">
        <v>592</v>
      </c>
      <c r="C278" t="s">
        <v>153</v>
      </c>
      <c r="D278" s="67">
        <v>21786</v>
      </c>
      <c r="E278">
        <v>91950.73</v>
      </c>
      <c r="F278">
        <v>0</v>
      </c>
      <c r="G278">
        <v>551704.38</v>
      </c>
      <c r="H278">
        <v>339403.62</v>
      </c>
      <c r="I278">
        <v>61.91</v>
      </c>
      <c r="J278">
        <v>0</v>
      </c>
      <c r="K278" s="249">
        <v>21786</v>
      </c>
      <c r="L278" s="249">
        <v>23147.625</v>
      </c>
      <c r="M278" s="249">
        <v>24767.958750000002</v>
      </c>
      <c r="N278" s="249">
        <v>26501.715862500001</v>
      </c>
      <c r="O278" t="str">
        <f t="shared" si="9"/>
        <v>2</v>
      </c>
      <c r="P278" t="str">
        <f t="shared" si="8"/>
        <v>Employee Related Cost</v>
      </c>
    </row>
    <row r="279" spans="1:16" hidden="1" x14ac:dyDescent="0.25">
      <c r="A279" t="s">
        <v>593</v>
      </c>
      <c r="C279" t="s">
        <v>155</v>
      </c>
      <c r="D279" s="67">
        <v>58863</v>
      </c>
      <c r="E279">
        <v>91950.73</v>
      </c>
      <c r="F279">
        <v>0</v>
      </c>
      <c r="G279">
        <v>551704.38</v>
      </c>
      <c r="H279">
        <v>339403.62</v>
      </c>
      <c r="I279">
        <v>61.91</v>
      </c>
      <c r="J279">
        <v>0</v>
      </c>
      <c r="K279" s="249">
        <v>58863</v>
      </c>
      <c r="L279" s="249">
        <v>62541.9375</v>
      </c>
      <c r="M279" s="249">
        <v>66919.873124999998</v>
      </c>
      <c r="N279" s="249">
        <v>71604.264243750004</v>
      </c>
      <c r="O279" t="str">
        <f t="shared" si="9"/>
        <v>2</v>
      </c>
      <c r="P279" t="str">
        <f t="shared" si="8"/>
        <v>Employee Related Cost</v>
      </c>
    </row>
    <row r="280" spans="1:16" hidden="1" x14ac:dyDescent="0.25">
      <c r="A280" t="s">
        <v>594</v>
      </c>
      <c r="C280" t="s">
        <v>156</v>
      </c>
      <c r="D280" s="67">
        <v>443455</v>
      </c>
      <c r="E280">
        <v>91950.73</v>
      </c>
      <c r="F280">
        <v>0</v>
      </c>
      <c r="G280">
        <v>551704.38</v>
      </c>
      <c r="H280">
        <v>339403.62</v>
      </c>
      <c r="I280">
        <v>61.91</v>
      </c>
      <c r="J280">
        <v>0</v>
      </c>
      <c r="K280" s="249">
        <v>443455</v>
      </c>
      <c r="L280" s="249">
        <v>471170.9375</v>
      </c>
      <c r="M280" s="249">
        <v>504152.90312500001</v>
      </c>
      <c r="N280" s="249">
        <v>539443.60634375003</v>
      </c>
      <c r="O280" t="str">
        <f t="shared" si="9"/>
        <v>2</v>
      </c>
      <c r="P280" t="str">
        <f t="shared" si="8"/>
        <v>Employee Related Cost</v>
      </c>
    </row>
    <row r="281" spans="1:16" hidden="1" x14ac:dyDescent="0.25">
      <c r="A281" t="s">
        <v>595</v>
      </c>
      <c r="C281" t="s">
        <v>158</v>
      </c>
      <c r="D281" s="67">
        <v>35475</v>
      </c>
      <c r="E281">
        <v>91950.73</v>
      </c>
      <c r="F281">
        <v>0</v>
      </c>
      <c r="G281">
        <v>551704.38</v>
      </c>
      <c r="H281">
        <v>339403.62</v>
      </c>
      <c r="I281">
        <v>61.91</v>
      </c>
      <c r="J281">
        <v>-35475</v>
      </c>
      <c r="K281" s="249">
        <v>0</v>
      </c>
      <c r="L281" s="249">
        <v>0</v>
      </c>
      <c r="M281" s="249">
        <v>0</v>
      </c>
      <c r="N281" s="249">
        <v>0</v>
      </c>
      <c r="O281" t="str">
        <f t="shared" si="9"/>
        <v>2</v>
      </c>
      <c r="P281" t="str">
        <f t="shared" si="8"/>
        <v>Employee Related Cost</v>
      </c>
    </row>
    <row r="282" spans="1:16" hidden="1" x14ac:dyDescent="0.25">
      <c r="A282" t="s">
        <v>596</v>
      </c>
      <c r="C282" t="s">
        <v>159</v>
      </c>
      <c r="D282" s="67">
        <v>147818</v>
      </c>
      <c r="E282">
        <v>91950.73</v>
      </c>
      <c r="F282">
        <v>0</v>
      </c>
      <c r="G282">
        <v>551704.38</v>
      </c>
      <c r="H282">
        <v>339403.62</v>
      </c>
      <c r="I282">
        <v>61.91</v>
      </c>
      <c r="J282">
        <v>0</v>
      </c>
      <c r="K282" s="249">
        <v>147818</v>
      </c>
      <c r="L282" s="249">
        <v>157056.625</v>
      </c>
      <c r="M282" s="249">
        <v>168050.58875</v>
      </c>
      <c r="N282" s="249">
        <v>179814.12996249998</v>
      </c>
      <c r="O282" t="str">
        <f t="shared" si="9"/>
        <v>2</v>
      </c>
      <c r="P282" t="str">
        <f t="shared" si="8"/>
        <v>Employee Related Cost</v>
      </c>
    </row>
    <row r="283" spans="1:16" hidden="1" x14ac:dyDescent="0.25">
      <c r="A283" t="s">
        <v>597</v>
      </c>
      <c r="C283" t="s">
        <v>164</v>
      </c>
      <c r="D283" s="67">
        <v>44412</v>
      </c>
      <c r="E283">
        <v>91950.73</v>
      </c>
      <c r="F283">
        <v>0</v>
      </c>
      <c r="G283">
        <v>551704.38</v>
      </c>
      <c r="H283">
        <v>339403.62</v>
      </c>
      <c r="I283">
        <v>61.91</v>
      </c>
      <c r="J283">
        <v>149534.76</v>
      </c>
      <c r="K283" s="249">
        <v>193946.76</v>
      </c>
      <c r="L283" s="249">
        <v>206068.4325</v>
      </c>
      <c r="M283" s="249">
        <v>220493.222775</v>
      </c>
      <c r="N283" s="249">
        <v>235927.74836925001</v>
      </c>
      <c r="O283" t="str">
        <f t="shared" si="9"/>
        <v>2</v>
      </c>
      <c r="P283" t="str">
        <f t="shared" si="8"/>
        <v>Employee Related Cost</v>
      </c>
    </row>
    <row r="284" spans="1:16" hidden="1" x14ac:dyDescent="0.25">
      <c r="A284" t="s">
        <v>598</v>
      </c>
      <c r="C284" t="s">
        <v>167</v>
      </c>
      <c r="D284" s="67">
        <v>449</v>
      </c>
      <c r="E284">
        <v>91950.73</v>
      </c>
      <c r="F284">
        <v>0</v>
      </c>
      <c r="G284">
        <v>551704.38</v>
      </c>
      <c r="H284">
        <v>339403.62</v>
      </c>
      <c r="I284">
        <v>61.91</v>
      </c>
      <c r="J284">
        <v>0</v>
      </c>
      <c r="K284" s="249">
        <v>449</v>
      </c>
      <c r="L284" s="249">
        <v>477.0625</v>
      </c>
      <c r="M284" s="249">
        <v>510.45687499999997</v>
      </c>
      <c r="N284" s="249">
        <v>546.18885624999996</v>
      </c>
      <c r="O284" t="str">
        <f t="shared" si="9"/>
        <v>2</v>
      </c>
      <c r="P284" t="str">
        <f t="shared" si="8"/>
        <v>Employee Related Cost</v>
      </c>
    </row>
    <row r="285" spans="1:16" hidden="1" x14ac:dyDescent="0.25">
      <c r="A285" t="s">
        <v>599</v>
      </c>
      <c r="C285" t="s">
        <v>168</v>
      </c>
      <c r="D285" s="67">
        <v>215633</v>
      </c>
      <c r="E285">
        <v>91950.73</v>
      </c>
      <c r="F285">
        <v>0</v>
      </c>
      <c r="G285">
        <v>551704.38</v>
      </c>
      <c r="H285">
        <v>339403.62</v>
      </c>
      <c r="I285">
        <v>61.91</v>
      </c>
      <c r="J285">
        <v>0</v>
      </c>
      <c r="K285" s="249">
        <v>215633</v>
      </c>
      <c r="L285" s="249">
        <v>229110.0625</v>
      </c>
      <c r="M285" s="249">
        <v>245147.766875</v>
      </c>
      <c r="N285" s="249">
        <v>262308.11055624997</v>
      </c>
      <c r="O285" t="str">
        <f t="shared" si="9"/>
        <v>2</v>
      </c>
      <c r="P285" t="str">
        <f t="shared" si="8"/>
        <v>Employee Related Cost</v>
      </c>
    </row>
    <row r="286" spans="1:16" hidden="1" x14ac:dyDescent="0.25">
      <c r="A286" t="s">
        <v>600</v>
      </c>
      <c r="C286" t="s">
        <v>169</v>
      </c>
      <c r="D286" s="67">
        <v>390240</v>
      </c>
      <c r="E286">
        <v>91950.73</v>
      </c>
      <c r="F286">
        <v>0</v>
      </c>
      <c r="G286">
        <v>551704.38</v>
      </c>
      <c r="H286">
        <v>339403.62</v>
      </c>
      <c r="I286">
        <v>61.91</v>
      </c>
      <c r="J286">
        <v>0</v>
      </c>
      <c r="K286" s="249">
        <v>390240</v>
      </c>
      <c r="L286" s="249">
        <v>414630</v>
      </c>
      <c r="M286" s="249">
        <v>443654.1</v>
      </c>
      <c r="N286" s="249">
        <v>474709.88699999999</v>
      </c>
      <c r="O286" t="str">
        <f t="shared" si="9"/>
        <v>2</v>
      </c>
      <c r="P286" t="str">
        <f t="shared" si="8"/>
        <v>Employee Related Cost</v>
      </c>
    </row>
    <row r="287" spans="1:16" hidden="1" x14ac:dyDescent="0.25">
      <c r="A287" t="s">
        <v>601</v>
      </c>
      <c r="C287" t="s">
        <v>170</v>
      </c>
      <c r="D287" s="67">
        <v>7140</v>
      </c>
      <c r="E287">
        <v>91950.73</v>
      </c>
      <c r="F287">
        <v>0</v>
      </c>
      <c r="G287">
        <v>551704.38</v>
      </c>
      <c r="H287">
        <v>339403.62</v>
      </c>
      <c r="I287">
        <v>61.91</v>
      </c>
      <c r="J287">
        <v>0</v>
      </c>
      <c r="K287" s="249">
        <v>7140</v>
      </c>
      <c r="L287" s="249">
        <v>7586.25</v>
      </c>
      <c r="M287" s="249">
        <v>8117.2875000000004</v>
      </c>
      <c r="N287" s="249">
        <v>8685.497625</v>
      </c>
      <c r="O287" t="str">
        <f t="shared" si="9"/>
        <v>2</v>
      </c>
      <c r="P287" t="str">
        <f t="shared" si="8"/>
        <v>Employee Related Cost</v>
      </c>
    </row>
    <row r="288" spans="1:16" hidden="1" x14ac:dyDescent="0.25">
      <c r="A288" t="s">
        <v>602</v>
      </c>
      <c r="C288" t="s">
        <v>173</v>
      </c>
      <c r="D288" s="67">
        <v>15638</v>
      </c>
      <c r="E288">
        <v>91950.73</v>
      </c>
      <c r="F288">
        <v>0</v>
      </c>
      <c r="G288">
        <v>551704.38</v>
      </c>
      <c r="H288">
        <v>339403.62</v>
      </c>
      <c r="I288">
        <v>61.91</v>
      </c>
      <c r="J288">
        <v>0</v>
      </c>
      <c r="K288" s="249">
        <v>15638</v>
      </c>
      <c r="L288" s="249">
        <v>16615.375</v>
      </c>
      <c r="M288" s="249">
        <v>17778.451249999998</v>
      </c>
      <c r="N288" s="249">
        <v>19022.942837499999</v>
      </c>
      <c r="O288" t="str">
        <f t="shared" si="9"/>
        <v>2</v>
      </c>
      <c r="P288" t="str">
        <f t="shared" si="8"/>
        <v>Employee Related Cost</v>
      </c>
    </row>
    <row r="289" spans="1:16" hidden="1" x14ac:dyDescent="0.25">
      <c r="A289" t="s">
        <v>603</v>
      </c>
      <c r="C289" t="s">
        <v>174</v>
      </c>
      <c r="D289" s="67">
        <v>19697</v>
      </c>
      <c r="E289">
        <v>91950.73</v>
      </c>
      <c r="F289">
        <v>0</v>
      </c>
      <c r="G289">
        <v>551704.38</v>
      </c>
      <c r="H289">
        <v>339403.62</v>
      </c>
      <c r="I289">
        <v>61.91</v>
      </c>
      <c r="J289">
        <v>0</v>
      </c>
      <c r="K289" s="249">
        <v>19697</v>
      </c>
      <c r="L289" s="249">
        <v>20928.0625</v>
      </c>
      <c r="M289" s="249">
        <v>22393.026875</v>
      </c>
      <c r="N289" s="249">
        <v>23960.53875625</v>
      </c>
      <c r="O289" t="str">
        <f t="shared" si="9"/>
        <v>2</v>
      </c>
      <c r="P289" t="str">
        <f t="shared" si="8"/>
        <v>Employee Related Cost</v>
      </c>
    </row>
    <row r="290" spans="1:16" hidden="1" x14ac:dyDescent="0.25">
      <c r="A290" t="s">
        <v>604</v>
      </c>
      <c r="C290" t="s">
        <v>175</v>
      </c>
      <c r="D290" s="67">
        <v>16419</v>
      </c>
      <c r="E290">
        <v>91950.73</v>
      </c>
      <c r="F290">
        <v>0</v>
      </c>
      <c r="G290">
        <v>551704.38</v>
      </c>
      <c r="H290">
        <v>339403.62</v>
      </c>
      <c r="I290">
        <v>61.91</v>
      </c>
      <c r="J290">
        <v>0</v>
      </c>
      <c r="K290" s="249">
        <v>16419</v>
      </c>
      <c r="L290" s="249">
        <v>17445.1875</v>
      </c>
      <c r="M290" s="249">
        <v>18666.350624999999</v>
      </c>
      <c r="N290" s="249">
        <v>19972.99516875</v>
      </c>
      <c r="O290" t="str">
        <f t="shared" si="9"/>
        <v>2</v>
      </c>
      <c r="P290" t="str">
        <f t="shared" si="8"/>
        <v>Employee Related Cost</v>
      </c>
    </row>
    <row r="291" spans="1:16" hidden="1" x14ac:dyDescent="0.25">
      <c r="A291" t="s">
        <v>605</v>
      </c>
      <c r="C291" t="s">
        <v>214</v>
      </c>
      <c r="D291" s="67">
        <v>200000</v>
      </c>
      <c r="E291">
        <v>91950.73</v>
      </c>
      <c r="F291">
        <v>0</v>
      </c>
      <c r="G291">
        <v>551704.38</v>
      </c>
      <c r="H291">
        <v>339403.62</v>
      </c>
      <c r="I291">
        <v>61.91</v>
      </c>
      <c r="J291">
        <v>-30000</v>
      </c>
      <c r="K291" s="249">
        <v>170000</v>
      </c>
      <c r="L291" s="249">
        <v>177650</v>
      </c>
      <c r="M291" s="249">
        <v>185821.9</v>
      </c>
      <c r="N291" s="249">
        <v>194369.70739999998</v>
      </c>
      <c r="O291" t="str">
        <f t="shared" si="9"/>
        <v>2</v>
      </c>
      <c r="P291" t="str">
        <f t="shared" si="8"/>
        <v>Contracted Services</v>
      </c>
    </row>
    <row r="292" spans="1:16" hidden="1" x14ac:dyDescent="0.25">
      <c r="A292" t="s">
        <v>606</v>
      </c>
      <c r="B292" t="s">
        <v>1359</v>
      </c>
      <c r="C292" t="s">
        <v>242</v>
      </c>
      <c r="D292" s="67">
        <v>50473</v>
      </c>
      <c r="E292">
        <v>91950.73</v>
      </c>
      <c r="F292">
        <v>0</v>
      </c>
      <c r="G292">
        <v>551704.38</v>
      </c>
      <c r="H292">
        <v>339403.62</v>
      </c>
      <c r="I292">
        <v>61.91</v>
      </c>
      <c r="J292">
        <v>-20000</v>
      </c>
      <c r="K292" s="249">
        <v>30473</v>
      </c>
      <c r="L292" s="249">
        <v>31844.285</v>
      </c>
      <c r="M292" s="249">
        <v>33309.122109999997</v>
      </c>
      <c r="N292" s="249">
        <v>34841.341727059997</v>
      </c>
      <c r="O292" t="str">
        <f t="shared" si="9"/>
        <v>2</v>
      </c>
      <c r="P292" t="str">
        <f t="shared" si="8"/>
        <v>Operational Cost</v>
      </c>
    </row>
    <row r="293" spans="1:16" hidden="1" x14ac:dyDescent="0.25">
      <c r="A293" t="s">
        <v>607</v>
      </c>
      <c r="B293" t="s">
        <v>1358</v>
      </c>
      <c r="C293" t="s">
        <v>242</v>
      </c>
      <c r="D293" s="67">
        <v>950000</v>
      </c>
      <c r="E293">
        <v>91950.73</v>
      </c>
      <c r="F293">
        <v>0</v>
      </c>
      <c r="G293">
        <v>551704.38</v>
      </c>
      <c r="H293">
        <v>339403.62</v>
      </c>
      <c r="I293">
        <v>61.91</v>
      </c>
      <c r="J293">
        <v>0</v>
      </c>
      <c r="K293" s="249">
        <v>950000</v>
      </c>
      <c r="L293" s="249">
        <v>992750</v>
      </c>
      <c r="M293" s="249">
        <v>1038416.5</v>
      </c>
      <c r="N293" s="249">
        <v>1086183.659</v>
      </c>
      <c r="O293" t="str">
        <f t="shared" si="9"/>
        <v>2</v>
      </c>
      <c r="P293" t="str">
        <f t="shared" si="8"/>
        <v>Operational Cost</v>
      </c>
    </row>
    <row r="294" spans="1:16" hidden="1" x14ac:dyDescent="0.25">
      <c r="A294" t="s">
        <v>608</v>
      </c>
      <c r="B294" t="s">
        <v>1357</v>
      </c>
      <c r="C294" t="s">
        <v>242</v>
      </c>
      <c r="D294" s="67">
        <v>236200</v>
      </c>
      <c r="E294">
        <v>91950.73</v>
      </c>
      <c r="F294">
        <v>0</v>
      </c>
      <c r="G294">
        <v>551704.38</v>
      </c>
      <c r="H294">
        <v>339403.62</v>
      </c>
      <c r="I294">
        <v>61.91</v>
      </c>
      <c r="J294">
        <v>30000</v>
      </c>
      <c r="K294" s="249">
        <v>266200</v>
      </c>
      <c r="L294" s="249">
        <v>278179</v>
      </c>
      <c r="M294" s="249">
        <v>290975.234</v>
      </c>
      <c r="N294" s="249">
        <v>304360.09476399998</v>
      </c>
      <c r="O294" t="str">
        <f t="shared" si="9"/>
        <v>2</v>
      </c>
      <c r="P294" t="str">
        <f t="shared" si="8"/>
        <v>Operational Cost</v>
      </c>
    </row>
    <row r="295" spans="1:16" hidden="1" x14ac:dyDescent="0.25">
      <c r="A295" t="s">
        <v>609</v>
      </c>
      <c r="C295" t="s">
        <v>253</v>
      </c>
      <c r="D295" s="67">
        <v>2000</v>
      </c>
      <c r="E295">
        <v>91950.73</v>
      </c>
      <c r="F295">
        <v>0</v>
      </c>
      <c r="G295">
        <v>551704.38</v>
      </c>
      <c r="H295">
        <v>339403.62</v>
      </c>
      <c r="I295">
        <v>61.91</v>
      </c>
      <c r="J295">
        <v>0</v>
      </c>
      <c r="K295" s="249">
        <v>2000</v>
      </c>
      <c r="L295" s="249">
        <v>2090</v>
      </c>
      <c r="M295" s="249">
        <v>2186.14</v>
      </c>
      <c r="N295" s="249">
        <v>2286.70244</v>
      </c>
      <c r="O295" t="str">
        <f t="shared" si="9"/>
        <v>2</v>
      </c>
      <c r="P295" t="str">
        <f t="shared" si="8"/>
        <v>Operational Cost</v>
      </c>
    </row>
    <row r="296" spans="1:16" hidden="1" x14ac:dyDescent="0.25">
      <c r="A296" t="s">
        <v>610</v>
      </c>
      <c r="B296" t="s">
        <v>1360</v>
      </c>
      <c r="C296" t="s">
        <v>254</v>
      </c>
      <c r="D296" s="67">
        <v>1000</v>
      </c>
      <c r="E296">
        <v>91950.73</v>
      </c>
      <c r="F296">
        <v>0</v>
      </c>
      <c r="G296">
        <v>551704.38</v>
      </c>
      <c r="H296">
        <v>339403.62</v>
      </c>
      <c r="I296">
        <v>61.91</v>
      </c>
      <c r="J296">
        <v>0</v>
      </c>
      <c r="K296" s="249">
        <v>1000</v>
      </c>
      <c r="L296" s="249">
        <v>1045</v>
      </c>
      <c r="M296" s="249">
        <v>1093.07</v>
      </c>
      <c r="N296" s="249">
        <v>1143.35122</v>
      </c>
      <c r="O296" t="str">
        <f t="shared" si="9"/>
        <v>2</v>
      </c>
      <c r="P296" t="str">
        <f t="shared" si="8"/>
        <v>Operational Cost</v>
      </c>
    </row>
    <row r="297" spans="1:16" hidden="1" x14ac:dyDescent="0.25">
      <c r="A297" t="s">
        <v>611</v>
      </c>
      <c r="C297" t="s">
        <v>265</v>
      </c>
      <c r="D297" s="67">
        <v>238204</v>
      </c>
      <c r="E297">
        <v>91950.73</v>
      </c>
      <c r="F297">
        <v>0</v>
      </c>
      <c r="G297">
        <v>551704.38</v>
      </c>
      <c r="H297">
        <v>339403.62</v>
      </c>
      <c r="I297">
        <v>61.91</v>
      </c>
      <c r="J297">
        <v>-200000</v>
      </c>
      <c r="K297" s="249">
        <v>38204</v>
      </c>
      <c r="L297" s="249">
        <v>39923.18</v>
      </c>
      <c r="M297" s="249">
        <v>41759.646280000001</v>
      </c>
      <c r="N297" s="249">
        <v>43680.590008879997</v>
      </c>
      <c r="O297" t="str">
        <f t="shared" si="9"/>
        <v>2</v>
      </c>
      <c r="P297" t="str">
        <f t="shared" si="8"/>
        <v>Operational Cost</v>
      </c>
    </row>
    <row r="298" spans="1:16" hidden="1" x14ac:dyDescent="0.25">
      <c r="A298" t="s">
        <v>612</v>
      </c>
      <c r="B298" t="s">
        <v>1361</v>
      </c>
      <c r="C298" t="s">
        <v>268</v>
      </c>
      <c r="D298" s="67">
        <v>380000</v>
      </c>
      <c r="E298">
        <v>91950.73</v>
      </c>
      <c r="F298">
        <v>0</v>
      </c>
      <c r="G298">
        <v>551704.38</v>
      </c>
      <c r="H298">
        <v>339403.62</v>
      </c>
      <c r="I298">
        <v>61.91</v>
      </c>
      <c r="J298">
        <v>-100000</v>
      </c>
      <c r="K298" s="249">
        <v>280000</v>
      </c>
      <c r="L298" s="249">
        <v>292600</v>
      </c>
      <c r="M298" s="249">
        <v>306059.59999999998</v>
      </c>
      <c r="N298" s="249">
        <v>320138.34159999999</v>
      </c>
      <c r="O298" t="str">
        <f t="shared" si="9"/>
        <v>2</v>
      </c>
      <c r="P298" t="str">
        <f t="shared" si="8"/>
        <v>Operational Cost</v>
      </c>
    </row>
    <row r="299" spans="1:16" hidden="1" x14ac:dyDescent="0.25">
      <c r="A299" t="s">
        <v>613</v>
      </c>
      <c r="C299" t="s">
        <v>268</v>
      </c>
      <c r="D299" s="67">
        <v>300000</v>
      </c>
      <c r="E299">
        <v>91950.73</v>
      </c>
      <c r="F299">
        <v>0</v>
      </c>
      <c r="G299">
        <v>551704.38</v>
      </c>
      <c r="H299">
        <v>339403.62</v>
      </c>
      <c r="I299">
        <v>61.91</v>
      </c>
      <c r="J299">
        <v>-100000</v>
      </c>
      <c r="K299" s="249">
        <v>200000</v>
      </c>
      <c r="L299" s="249">
        <v>209000</v>
      </c>
      <c r="M299" s="249">
        <v>218614</v>
      </c>
      <c r="N299" s="249">
        <v>228670.24400000001</v>
      </c>
      <c r="O299" t="str">
        <f t="shared" si="9"/>
        <v>2</v>
      </c>
      <c r="P299" t="str">
        <f t="shared" si="8"/>
        <v>Operational Cost</v>
      </c>
    </row>
    <row r="300" spans="1:16" hidden="1" x14ac:dyDescent="0.25">
      <c r="A300" t="s">
        <v>614</v>
      </c>
      <c r="C300" t="s">
        <v>269</v>
      </c>
      <c r="D300" s="67">
        <v>70000</v>
      </c>
      <c r="E300">
        <v>91950.73</v>
      </c>
      <c r="F300">
        <v>0</v>
      </c>
      <c r="G300">
        <v>551704.38</v>
      </c>
      <c r="H300">
        <v>339403.62</v>
      </c>
      <c r="I300">
        <v>61.91</v>
      </c>
      <c r="J300">
        <v>-40000</v>
      </c>
      <c r="K300" s="249">
        <v>30000</v>
      </c>
      <c r="L300" s="249">
        <v>31350</v>
      </c>
      <c r="M300" s="249">
        <v>32792.1</v>
      </c>
      <c r="N300" s="249">
        <v>34300.536599999999</v>
      </c>
      <c r="O300" t="str">
        <f t="shared" si="9"/>
        <v>2</v>
      </c>
      <c r="P300" t="str">
        <f t="shared" si="8"/>
        <v>Operational Cost</v>
      </c>
    </row>
    <row r="301" spans="1:16" hidden="1" x14ac:dyDescent="0.25">
      <c r="A301" t="s">
        <v>615</v>
      </c>
      <c r="C301" t="s">
        <v>292</v>
      </c>
      <c r="D301" s="67">
        <v>3371</v>
      </c>
      <c r="E301">
        <v>91950.73</v>
      </c>
      <c r="F301">
        <v>0</v>
      </c>
      <c r="G301">
        <v>551704.38</v>
      </c>
      <c r="H301">
        <v>339403.62</v>
      </c>
      <c r="I301">
        <v>61.91</v>
      </c>
      <c r="J301">
        <v>0</v>
      </c>
      <c r="K301" s="249">
        <v>3371</v>
      </c>
      <c r="L301" s="249">
        <v>3522.6950000000002</v>
      </c>
      <c r="M301" s="249">
        <v>3684.7389700000003</v>
      </c>
      <c r="N301" s="249">
        <v>3854.2369626200002</v>
      </c>
      <c r="O301" t="str">
        <f t="shared" si="9"/>
        <v>2</v>
      </c>
      <c r="P301" t="str">
        <f t="shared" si="8"/>
        <v>Depreciation &amp; Amortisation</v>
      </c>
    </row>
    <row r="302" spans="1:16" hidden="1" x14ac:dyDescent="0.25">
      <c r="A302" t="s">
        <v>616</v>
      </c>
      <c r="C302" t="s">
        <v>293</v>
      </c>
      <c r="D302" s="67">
        <v>7399</v>
      </c>
      <c r="E302">
        <v>91950.73</v>
      </c>
      <c r="F302">
        <v>0</v>
      </c>
      <c r="G302">
        <v>551704.38</v>
      </c>
      <c r="H302">
        <v>339403.62</v>
      </c>
      <c r="I302">
        <v>61.91</v>
      </c>
      <c r="J302">
        <v>0</v>
      </c>
      <c r="K302" s="249">
        <v>7399</v>
      </c>
      <c r="L302" s="249">
        <v>7731.9549999999999</v>
      </c>
      <c r="M302" s="249">
        <v>8087.6249299999999</v>
      </c>
      <c r="N302" s="249">
        <v>8459.6556767799993</v>
      </c>
      <c r="O302" t="str">
        <f t="shared" si="9"/>
        <v>2</v>
      </c>
      <c r="P302" t="str">
        <f t="shared" si="8"/>
        <v>Depreciation &amp; Amortisation</v>
      </c>
    </row>
    <row r="303" spans="1:16" hidden="1" x14ac:dyDescent="0.25">
      <c r="A303" t="s">
        <v>617</v>
      </c>
      <c r="C303" t="s">
        <v>295</v>
      </c>
      <c r="D303" s="67">
        <v>48688</v>
      </c>
      <c r="E303">
        <v>91950.73</v>
      </c>
      <c r="F303">
        <v>0</v>
      </c>
      <c r="G303">
        <v>551704.38</v>
      </c>
      <c r="H303">
        <v>339403.62</v>
      </c>
      <c r="I303">
        <v>61.91</v>
      </c>
      <c r="J303">
        <v>0</v>
      </c>
      <c r="K303" s="249">
        <v>48688</v>
      </c>
      <c r="L303" s="249">
        <v>50878.96</v>
      </c>
      <c r="M303" s="249">
        <v>53219.392159999996</v>
      </c>
      <c r="N303" s="249">
        <v>55667.484199359998</v>
      </c>
      <c r="O303" t="str">
        <f t="shared" si="9"/>
        <v>2</v>
      </c>
      <c r="P303" t="str">
        <f t="shared" si="8"/>
        <v>Depreciation &amp; Amortisation</v>
      </c>
    </row>
    <row r="304" spans="1:16" hidden="1" x14ac:dyDescent="0.25">
      <c r="A304" t="s">
        <v>618</v>
      </c>
      <c r="C304" t="s">
        <v>296</v>
      </c>
      <c r="D304" s="67">
        <v>38659</v>
      </c>
      <c r="E304">
        <v>91950.73</v>
      </c>
      <c r="F304">
        <v>0</v>
      </c>
      <c r="G304">
        <v>551704.38</v>
      </c>
      <c r="H304">
        <v>339403.62</v>
      </c>
      <c r="I304">
        <v>61.91</v>
      </c>
      <c r="J304">
        <v>0</v>
      </c>
      <c r="K304" s="249">
        <v>38659</v>
      </c>
      <c r="L304" s="249">
        <v>40398.654999999999</v>
      </c>
      <c r="M304" s="249">
        <v>42256.993129999995</v>
      </c>
      <c r="N304" s="249">
        <v>44200.814813979996</v>
      </c>
      <c r="O304" t="str">
        <f t="shared" si="9"/>
        <v>2</v>
      </c>
      <c r="P304" t="str">
        <f t="shared" si="8"/>
        <v>Depreciation &amp; Amortisation</v>
      </c>
    </row>
    <row r="305" spans="1:16" hidden="1" x14ac:dyDescent="0.25">
      <c r="A305" t="s">
        <v>1394</v>
      </c>
      <c r="E305">
        <v>91950.73</v>
      </c>
      <c r="F305">
        <v>0</v>
      </c>
      <c r="G305">
        <v>551704.38</v>
      </c>
      <c r="H305">
        <v>339403.62</v>
      </c>
      <c r="I305">
        <v>61.91</v>
      </c>
      <c r="L305" s="249">
        <v>0</v>
      </c>
      <c r="M305" s="249">
        <v>0</v>
      </c>
      <c r="N305" s="249">
        <v>0</v>
      </c>
      <c r="O305" t="str">
        <f t="shared" si="9"/>
        <v>2</v>
      </c>
      <c r="P305" t="str">
        <f t="shared" si="8"/>
        <v>Depreciation &amp; Amortisation</v>
      </c>
    </row>
    <row r="306" spans="1:16" hidden="1" x14ac:dyDescent="0.25">
      <c r="A306" t="s">
        <v>619</v>
      </c>
      <c r="C306" t="s">
        <v>298</v>
      </c>
      <c r="D306" s="67">
        <v>0</v>
      </c>
      <c r="E306">
        <v>91950.73</v>
      </c>
      <c r="F306">
        <v>0</v>
      </c>
      <c r="G306">
        <v>551704.38</v>
      </c>
      <c r="H306">
        <v>339403.62</v>
      </c>
      <c r="I306">
        <v>61.91</v>
      </c>
      <c r="J306">
        <v>0</v>
      </c>
      <c r="K306" s="249">
        <v>0</v>
      </c>
      <c r="L306" s="249">
        <v>0</v>
      </c>
      <c r="M306" s="249">
        <v>0</v>
      </c>
      <c r="N306" s="249">
        <v>0</v>
      </c>
      <c r="O306" t="str">
        <f t="shared" si="9"/>
        <v>2</v>
      </c>
      <c r="P306" t="str">
        <f t="shared" si="8"/>
        <v>Depreciation &amp; Amortisation</v>
      </c>
    </row>
    <row r="307" spans="1:16" hidden="1" x14ac:dyDescent="0.25">
      <c r="A307" t="s">
        <v>620</v>
      </c>
      <c r="C307" t="s">
        <v>299</v>
      </c>
      <c r="D307" s="67">
        <v>1701</v>
      </c>
      <c r="E307">
        <v>91950.73</v>
      </c>
      <c r="F307">
        <v>0</v>
      </c>
      <c r="G307">
        <v>551704.38</v>
      </c>
      <c r="H307">
        <v>339403.62</v>
      </c>
      <c r="I307">
        <v>61.91</v>
      </c>
      <c r="J307">
        <v>0</v>
      </c>
      <c r="K307" s="249">
        <v>1701</v>
      </c>
      <c r="L307" s="249">
        <v>1777.5450000000001</v>
      </c>
      <c r="M307" s="249">
        <v>1859.3120699999999</v>
      </c>
      <c r="N307" s="249">
        <v>1944.84042522</v>
      </c>
      <c r="O307" t="str">
        <f t="shared" si="9"/>
        <v>2</v>
      </c>
      <c r="P307" t="str">
        <f t="shared" si="8"/>
        <v>Depreciation &amp; Amortisation</v>
      </c>
    </row>
    <row r="308" spans="1:16" hidden="1" x14ac:dyDescent="0.25">
      <c r="A308" t="s">
        <v>621</v>
      </c>
      <c r="C308" t="s">
        <v>300</v>
      </c>
      <c r="D308" s="67">
        <v>148336</v>
      </c>
      <c r="E308">
        <v>91950.73</v>
      </c>
      <c r="F308">
        <v>0</v>
      </c>
      <c r="G308">
        <v>551704.38</v>
      </c>
      <c r="H308">
        <v>339403.62</v>
      </c>
      <c r="I308">
        <v>61.91</v>
      </c>
      <c r="J308">
        <v>0</v>
      </c>
      <c r="K308" s="249">
        <v>148336</v>
      </c>
      <c r="L308" s="249">
        <v>155011.12</v>
      </c>
      <c r="M308" s="249">
        <v>162141.63152</v>
      </c>
      <c r="N308" s="249">
        <v>169600.14656992001</v>
      </c>
      <c r="O308" t="str">
        <f t="shared" si="9"/>
        <v>2</v>
      </c>
      <c r="P308" t="str">
        <f t="shared" si="8"/>
        <v>Depreciation &amp; Amortisation</v>
      </c>
    </row>
    <row r="309" spans="1:16" hidden="1" x14ac:dyDescent="0.25">
      <c r="A309" t="s">
        <v>622</v>
      </c>
      <c r="C309" t="s">
        <v>303</v>
      </c>
      <c r="D309" s="67">
        <v>594034</v>
      </c>
      <c r="E309">
        <v>91950.73</v>
      </c>
      <c r="F309">
        <v>0</v>
      </c>
      <c r="G309">
        <v>551704.38</v>
      </c>
      <c r="H309">
        <v>339403.62</v>
      </c>
      <c r="I309">
        <v>61.91</v>
      </c>
      <c r="J309">
        <v>0</v>
      </c>
      <c r="K309" s="249">
        <v>594034</v>
      </c>
      <c r="L309" s="249">
        <v>620765.53</v>
      </c>
      <c r="M309" s="249">
        <v>649320.74438000005</v>
      </c>
      <c r="N309" s="249">
        <v>679189.49862148007</v>
      </c>
      <c r="O309" t="str">
        <f t="shared" si="9"/>
        <v>2</v>
      </c>
      <c r="P309" t="str">
        <f t="shared" si="8"/>
        <v>Depreciation &amp; Amortisation</v>
      </c>
    </row>
    <row r="310" spans="1:16" hidden="1" x14ac:dyDescent="0.25">
      <c r="A310" t="s">
        <v>624</v>
      </c>
      <c r="C310" t="s">
        <v>150</v>
      </c>
      <c r="D310" s="67">
        <v>570271</v>
      </c>
      <c r="E310">
        <v>91950.73</v>
      </c>
      <c r="F310">
        <v>0</v>
      </c>
      <c r="G310">
        <v>551704.38</v>
      </c>
      <c r="H310">
        <v>339403.62</v>
      </c>
      <c r="I310">
        <v>61.91</v>
      </c>
      <c r="J310">
        <v>0</v>
      </c>
      <c r="K310" s="249">
        <v>570271</v>
      </c>
      <c r="L310" s="249">
        <v>605912.9375</v>
      </c>
      <c r="M310" s="249">
        <v>648326.84312500001</v>
      </c>
      <c r="N310" s="249">
        <v>693709.72214375006</v>
      </c>
      <c r="O310" t="str">
        <f t="shared" si="9"/>
        <v>2</v>
      </c>
      <c r="P310" t="str">
        <f t="shared" si="8"/>
        <v>Employee Related Cost</v>
      </c>
    </row>
    <row r="311" spans="1:16" hidden="1" x14ac:dyDescent="0.25">
      <c r="A311" t="s">
        <v>625</v>
      </c>
      <c r="C311" t="s">
        <v>151</v>
      </c>
      <c r="D311" s="67">
        <v>28514</v>
      </c>
      <c r="E311">
        <v>91950.73</v>
      </c>
      <c r="F311">
        <v>0</v>
      </c>
      <c r="G311">
        <v>551704.38</v>
      </c>
      <c r="H311">
        <v>339403.62</v>
      </c>
      <c r="I311">
        <v>61.91</v>
      </c>
      <c r="J311">
        <v>-20046.909999999996</v>
      </c>
      <c r="K311" s="249">
        <v>8467.0900000000038</v>
      </c>
      <c r="L311" s="249">
        <v>8996.2831250000036</v>
      </c>
      <c r="M311" s="249">
        <v>9626.0229437500038</v>
      </c>
      <c r="N311" s="249">
        <v>10299.844549812504</v>
      </c>
      <c r="O311" t="str">
        <f t="shared" si="9"/>
        <v>2</v>
      </c>
      <c r="P311" t="str">
        <f t="shared" si="8"/>
        <v>Employee Related Cost</v>
      </c>
    </row>
    <row r="312" spans="1:16" hidden="1" x14ac:dyDescent="0.25">
      <c r="A312" t="s">
        <v>626</v>
      </c>
      <c r="C312" t="s">
        <v>152</v>
      </c>
      <c r="D312" s="67">
        <v>24000</v>
      </c>
      <c r="E312">
        <v>91950.73</v>
      </c>
      <c r="F312">
        <v>0</v>
      </c>
      <c r="G312">
        <v>551704.38</v>
      </c>
      <c r="H312">
        <v>339403.62</v>
      </c>
      <c r="I312">
        <v>61.91</v>
      </c>
      <c r="J312">
        <v>0</v>
      </c>
      <c r="K312" s="249">
        <v>24000</v>
      </c>
      <c r="L312" s="249">
        <v>25500</v>
      </c>
      <c r="M312" s="249">
        <v>27285</v>
      </c>
      <c r="N312" s="249">
        <v>29194.95</v>
      </c>
      <c r="O312" t="str">
        <f t="shared" si="9"/>
        <v>2</v>
      </c>
      <c r="P312" t="str">
        <f t="shared" si="8"/>
        <v>Employee Related Cost</v>
      </c>
    </row>
    <row r="313" spans="1:16" hidden="1" x14ac:dyDescent="0.25">
      <c r="A313" t="s">
        <v>627</v>
      </c>
      <c r="C313" t="s">
        <v>153</v>
      </c>
      <c r="D313" s="67">
        <v>10893</v>
      </c>
      <c r="E313">
        <v>91950.73</v>
      </c>
      <c r="F313">
        <v>0</v>
      </c>
      <c r="G313">
        <v>551704.38</v>
      </c>
      <c r="H313">
        <v>339403.62</v>
      </c>
      <c r="I313">
        <v>61.91</v>
      </c>
      <c r="J313">
        <v>0</v>
      </c>
      <c r="K313" s="249">
        <v>10893</v>
      </c>
      <c r="L313" s="249">
        <v>11573.8125</v>
      </c>
      <c r="M313" s="249">
        <v>12383.979375000001</v>
      </c>
      <c r="N313" s="249">
        <v>13250.857931250001</v>
      </c>
      <c r="O313" t="str">
        <f t="shared" si="9"/>
        <v>2</v>
      </c>
      <c r="P313" t="str">
        <f t="shared" si="8"/>
        <v>Employee Related Cost</v>
      </c>
    </row>
    <row r="314" spans="1:16" hidden="1" x14ac:dyDescent="0.25">
      <c r="A314" t="s">
        <v>628</v>
      </c>
      <c r="C314" t="s">
        <v>155</v>
      </c>
      <c r="D314" s="67">
        <v>18924</v>
      </c>
      <c r="E314">
        <v>91950.73</v>
      </c>
      <c r="F314">
        <v>0</v>
      </c>
      <c r="G314">
        <v>551704.38</v>
      </c>
      <c r="H314">
        <v>339403.62</v>
      </c>
      <c r="I314">
        <v>61.91</v>
      </c>
      <c r="J314">
        <v>0</v>
      </c>
      <c r="K314" s="249">
        <v>18924</v>
      </c>
      <c r="L314" s="249">
        <v>20106.75</v>
      </c>
      <c r="M314" s="249">
        <v>21514.2225</v>
      </c>
      <c r="N314" s="249">
        <v>23020.218075000001</v>
      </c>
      <c r="O314" t="str">
        <f t="shared" si="9"/>
        <v>2</v>
      </c>
      <c r="P314" t="str">
        <f t="shared" si="8"/>
        <v>Employee Related Cost</v>
      </c>
    </row>
    <row r="315" spans="1:16" hidden="1" x14ac:dyDescent="0.25">
      <c r="A315" t="s">
        <v>629</v>
      </c>
      <c r="C315" t="s">
        <v>156</v>
      </c>
      <c r="D315" s="67">
        <v>142568</v>
      </c>
      <c r="E315">
        <v>91950.73</v>
      </c>
      <c r="F315">
        <v>0</v>
      </c>
      <c r="G315">
        <v>551704.38</v>
      </c>
      <c r="H315">
        <v>339403.62</v>
      </c>
      <c r="I315">
        <v>61.91</v>
      </c>
      <c r="J315">
        <v>0</v>
      </c>
      <c r="K315" s="249">
        <v>142568</v>
      </c>
      <c r="L315" s="249">
        <v>151478.5</v>
      </c>
      <c r="M315" s="249">
        <v>162081.995</v>
      </c>
      <c r="N315" s="249">
        <v>173427.73465</v>
      </c>
      <c r="O315" t="str">
        <f t="shared" si="9"/>
        <v>2</v>
      </c>
      <c r="P315" t="str">
        <f t="shared" si="8"/>
        <v>Employee Related Cost</v>
      </c>
    </row>
    <row r="316" spans="1:16" hidden="1" x14ac:dyDescent="0.25">
      <c r="A316" t="s">
        <v>630</v>
      </c>
      <c r="C316" t="s">
        <v>158</v>
      </c>
      <c r="D316" s="67">
        <v>11405</v>
      </c>
      <c r="E316">
        <v>91950.73</v>
      </c>
      <c r="F316">
        <v>0</v>
      </c>
      <c r="G316">
        <v>551704.38</v>
      </c>
      <c r="H316">
        <v>339403.62</v>
      </c>
      <c r="I316">
        <v>61.91</v>
      </c>
      <c r="J316">
        <v>0</v>
      </c>
      <c r="K316" s="249">
        <v>11405</v>
      </c>
      <c r="L316" s="249">
        <v>12117.8125</v>
      </c>
      <c r="M316" s="249">
        <v>12966.059375000001</v>
      </c>
      <c r="N316" s="249">
        <v>13873.683531250001</v>
      </c>
      <c r="O316" t="str">
        <f t="shared" si="9"/>
        <v>2</v>
      </c>
      <c r="P316" t="str">
        <f t="shared" si="8"/>
        <v>Employee Related Cost</v>
      </c>
    </row>
    <row r="317" spans="1:16" hidden="1" x14ac:dyDescent="0.25">
      <c r="A317" t="s">
        <v>631</v>
      </c>
      <c r="C317" t="s">
        <v>159</v>
      </c>
      <c r="D317" s="67">
        <v>47523</v>
      </c>
      <c r="E317">
        <v>91950.73</v>
      </c>
      <c r="F317">
        <v>0</v>
      </c>
      <c r="G317">
        <v>551704.38</v>
      </c>
      <c r="H317">
        <v>339403.62</v>
      </c>
      <c r="I317">
        <v>61.91</v>
      </c>
      <c r="J317">
        <v>0</v>
      </c>
      <c r="K317" s="249">
        <v>47523</v>
      </c>
      <c r="L317" s="249">
        <v>50493.1875</v>
      </c>
      <c r="M317" s="249">
        <v>54027.710625</v>
      </c>
      <c r="N317" s="249">
        <v>57809.650368750001</v>
      </c>
      <c r="O317" t="str">
        <f t="shared" si="9"/>
        <v>2</v>
      </c>
      <c r="P317" t="str">
        <f t="shared" si="8"/>
        <v>Employee Related Cost</v>
      </c>
    </row>
    <row r="318" spans="1:16" hidden="1" x14ac:dyDescent="0.25">
      <c r="A318" t="s">
        <v>632</v>
      </c>
      <c r="C318" t="s">
        <v>164</v>
      </c>
      <c r="D318" s="67">
        <v>15692</v>
      </c>
      <c r="E318">
        <v>91950.73</v>
      </c>
      <c r="F318">
        <v>0</v>
      </c>
      <c r="G318">
        <v>551704.38</v>
      </c>
      <c r="H318">
        <v>339403.62</v>
      </c>
      <c r="I318">
        <v>61.91</v>
      </c>
      <c r="J318">
        <v>0</v>
      </c>
      <c r="K318" s="249">
        <v>15692</v>
      </c>
      <c r="L318" s="249">
        <v>16672.75</v>
      </c>
      <c r="M318" s="249">
        <v>17839.842499999999</v>
      </c>
      <c r="N318" s="249">
        <v>19088.631474999998</v>
      </c>
      <c r="O318" t="str">
        <f t="shared" si="9"/>
        <v>2</v>
      </c>
      <c r="P318" t="str">
        <f t="shared" si="8"/>
        <v>Employee Related Cost</v>
      </c>
    </row>
    <row r="319" spans="1:16" hidden="1" x14ac:dyDescent="0.25">
      <c r="A319" t="s">
        <v>633</v>
      </c>
      <c r="C319" t="s">
        <v>167</v>
      </c>
      <c r="D319" s="67">
        <v>112</v>
      </c>
      <c r="E319">
        <v>91950.73</v>
      </c>
      <c r="F319">
        <v>0</v>
      </c>
      <c r="G319">
        <v>551704.38</v>
      </c>
      <c r="H319">
        <v>339403.62</v>
      </c>
      <c r="I319">
        <v>61.91</v>
      </c>
      <c r="J319">
        <v>0</v>
      </c>
      <c r="K319" s="249">
        <v>112</v>
      </c>
      <c r="L319" s="249">
        <v>119</v>
      </c>
      <c r="M319" s="249">
        <v>127.33</v>
      </c>
      <c r="N319" s="249">
        <v>136.2431</v>
      </c>
      <c r="O319" t="str">
        <f t="shared" si="9"/>
        <v>2</v>
      </c>
      <c r="P319" t="str">
        <f t="shared" si="8"/>
        <v>Employee Related Cost</v>
      </c>
    </row>
    <row r="320" spans="1:16" hidden="1" x14ac:dyDescent="0.25">
      <c r="A320" t="s">
        <v>634</v>
      </c>
      <c r="C320" t="s">
        <v>168</v>
      </c>
      <c r="D320" s="67">
        <v>0</v>
      </c>
      <c r="E320">
        <v>91950.73</v>
      </c>
      <c r="F320">
        <v>0</v>
      </c>
      <c r="G320">
        <v>551704.38</v>
      </c>
      <c r="H320">
        <v>339403.62</v>
      </c>
      <c r="I320">
        <v>61.91</v>
      </c>
      <c r="J320">
        <v>50000</v>
      </c>
      <c r="K320" s="249">
        <v>50000</v>
      </c>
      <c r="L320" s="249">
        <v>53125</v>
      </c>
      <c r="M320" s="249">
        <v>56843.75</v>
      </c>
      <c r="N320" s="249">
        <v>60822.8125</v>
      </c>
      <c r="O320" t="str">
        <f t="shared" si="9"/>
        <v>2</v>
      </c>
      <c r="P320" t="str">
        <f t="shared" si="8"/>
        <v>Employee Related Cost</v>
      </c>
    </row>
    <row r="321" spans="1:16" hidden="1" x14ac:dyDescent="0.25">
      <c r="A321" t="s">
        <v>635</v>
      </c>
      <c r="C321" t="s">
        <v>169</v>
      </c>
      <c r="D321" s="67">
        <v>125460</v>
      </c>
      <c r="E321">
        <v>91950.73</v>
      </c>
      <c r="F321">
        <v>0</v>
      </c>
      <c r="G321">
        <v>551704.38</v>
      </c>
      <c r="H321">
        <v>339403.62</v>
      </c>
      <c r="I321">
        <v>61.91</v>
      </c>
      <c r="J321">
        <v>0</v>
      </c>
      <c r="K321" s="249">
        <v>125460</v>
      </c>
      <c r="L321" s="249">
        <v>133301.25</v>
      </c>
      <c r="M321" s="249">
        <v>142632.33749999999</v>
      </c>
      <c r="N321" s="249">
        <v>152616.60112499999</v>
      </c>
      <c r="O321" t="str">
        <f t="shared" si="9"/>
        <v>2</v>
      </c>
      <c r="P321" t="str">
        <f t="shared" si="8"/>
        <v>Employee Related Cost</v>
      </c>
    </row>
    <row r="322" spans="1:16" hidden="1" x14ac:dyDescent="0.25">
      <c r="A322" t="s">
        <v>636</v>
      </c>
      <c r="C322" t="s">
        <v>170</v>
      </c>
      <c r="D322" s="67">
        <v>1785</v>
      </c>
      <c r="E322">
        <v>91950.73</v>
      </c>
      <c r="F322">
        <v>0</v>
      </c>
      <c r="G322">
        <v>551704.38</v>
      </c>
      <c r="H322">
        <v>339403.62</v>
      </c>
      <c r="I322">
        <v>61.91</v>
      </c>
      <c r="J322">
        <v>0</v>
      </c>
      <c r="K322" s="249">
        <v>1785</v>
      </c>
      <c r="L322" s="249">
        <v>1896.5625</v>
      </c>
      <c r="M322" s="249">
        <v>2029.3218750000001</v>
      </c>
      <c r="N322" s="249">
        <v>2171.37440625</v>
      </c>
      <c r="O322" t="str">
        <f t="shared" si="9"/>
        <v>2</v>
      </c>
      <c r="P322" t="str">
        <f t="shared" ref="P322:P385" si="10">VLOOKUP(A322,bud_321,16,FALSE)</f>
        <v>Employee Related Cost</v>
      </c>
    </row>
    <row r="323" spans="1:16" hidden="1" x14ac:dyDescent="0.25">
      <c r="A323" t="s">
        <v>637</v>
      </c>
      <c r="C323" t="s">
        <v>173</v>
      </c>
      <c r="D323" s="67">
        <v>4563</v>
      </c>
      <c r="E323">
        <v>91950.73</v>
      </c>
      <c r="F323">
        <v>0</v>
      </c>
      <c r="G323">
        <v>551704.38</v>
      </c>
      <c r="H323">
        <v>339403.62</v>
      </c>
      <c r="I323">
        <v>61.91</v>
      </c>
      <c r="J323">
        <v>0</v>
      </c>
      <c r="K323" s="249">
        <v>4563</v>
      </c>
      <c r="L323" s="249">
        <v>4848.1875</v>
      </c>
      <c r="M323" s="249">
        <v>5187.5606250000001</v>
      </c>
      <c r="N323" s="249">
        <v>5550.6898687499997</v>
      </c>
      <c r="O323" t="str">
        <f t="shared" ref="O323:O386" si="11">MID(A323,5,1)</f>
        <v>2</v>
      </c>
      <c r="P323" t="str">
        <f t="shared" si="10"/>
        <v>Employee Related Cost</v>
      </c>
    </row>
    <row r="324" spans="1:16" hidden="1" x14ac:dyDescent="0.25">
      <c r="A324" t="s">
        <v>638</v>
      </c>
      <c r="C324" t="s">
        <v>174</v>
      </c>
      <c r="D324" s="67">
        <v>7289</v>
      </c>
      <c r="E324">
        <v>91950.73</v>
      </c>
      <c r="F324">
        <v>0</v>
      </c>
      <c r="G324">
        <v>551704.38</v>
      </c>
      <c r="H324">
        <v>339403.62</v>
      </c>
      <c r="I324">
        <v>61.91</v>
      </c>
      <c r="J324">
        <v>0</v>
      </c>
      <c r="K324" s="249">
        <v>7289</v>
      </c>
      <c r="L324" s="249">
        <v>7744.5625</v>
      </c>
      <c r="M324" s="249">
        <v>8286.6818750000002</v>
      </c>
      <c r="N324" s="249">
        <v>8866.7496062499995</v>
      </c>
      <c r="O324" t="str">
        <f t="shared" si="11"/>
        <v>2</v>
      </c>
      <c r="P324" t="str">
        <f t="shared" si="10"/>
        <v>Employee Related Cost</v>
      </c>
    </row>
    <row r="325" spans="1:16" hidden="1" x14ac:dyDescent="0.25">
      <c r="A325" t="s">
        <v>639</v>
      </c>
      <c r="C325" t="s">
        <v>175</v>
      </c>
      <c r="D325" s="67">
        <v>4874</v>
      </c>
      <c r="E325">
        <v>91950.73</v>
      </c>
      <c r="F325">
        <v>0</v>
      </c>
      <c r="G325">
        <v>551704.38</v>
      </c>
      <c r="H325">
        <v>339403.62</v>
      </c>
      <c r="I325">
        <v>61.91</v>
      </c>
      <c r="J325">
        <v>0</v>
      </c>
      <c r="K325" s="249">
        <v>4874</v>
      </c>
      <c r="L325" s="249">
        <v>5178.625</v>
      </c>
      <c r="M325" s="249">
        <v>5541.1287499999999</v>
      </c>
      <c r="N325" s="249">
        <v>5929.0077624999994</v>
      </c>
      <c r="O325" t="str">
        <f t="shared" si="11"/>
        <v>2</v>
      </c>
      <c r="P325" t="str">
        <f t="shared" si="10"/>
        <v>Employee Related Cost</v>
      </c>
    </row>
    <row r="326" spans="1:16" hidden="1" x14ac:dyDescent="0.25">
      <c r="A326" t="s">
        <v>640</v>
      </c>
      <c r="B326" t="s">
        <v>1362</v>
      </c>
      <c r="C326" t="s">
        <v>212</v>
      </c>
      <c r="D326" s="67">
        <v>300000</v>
      </c>
      <c r="E326">
        <v>91950.73</v>
      </c>
      <c r="F326">
        <v>0</v>
      </c>
      <c r="G326">
        <v>551704.38</v>
      </c>
      <c r="H326">
        <v>339403.62</v>
      </c>
      <c r="I326">
        <v>61.91</v>
      </c>
      <c r="J326">
        <v>0</v>
      </c>
      <c r="K326" s="249">
        <v>300000</v>
      </c>
      <c r="L326" s="249">
        <v>313500</v>
      </c>
      <c r="M326" s="249">
        <v>327921</v>
      </c>
      <c r="N326" s="249">
        <v>343005.36599999998</v>
      </c>
      <c r="O326" t="str">
        <f t="shared" si="11"/>
        <v>2</v>
      </c>
      <c r="P326" t="str">
        <f t="shared" si="10"/>
        <v>Contracted Services</v>
      </c>
    </row>
    <row r="327" spans="1:16" hidden="1" x14ac:dyDescent="0.25">
      <c r="A327" t="s">
        <v>641</v>
      </c>
      <c r="C327" t="s">
        <v>226</v>
      </c>
      <c r="D327" s="67">
        <v>1200000</v>
      </c>
      <c r="E327">
        <v>91950.73</v>
      </c>
      <c r="F327">
        <v>0</v>
      </c>
      <c r="G327">
        <v>551704.38</v>
      </c>
      <c r="H327">
        <v>339403.62</v>
      </c>
      <c r="I327">
        <v>61.91</v>
      </c>
      <c r="J327">
        <v>0</v>
      </c>
      <c r="K327" s="249">
        <v>1200000</v>
      </c>
      <c r="L327" s="249">
        <v>1254000</v>
      </c>
      <c r="M327" s="249">
        <v>1311684</v>
      </c>
      <c r="N327" s="249">
        <v>1372021.4639999999</v>
      </c>
      <c r="O327" t="str">
        <f t="shared" si="11"/>
        <v>2</v>
      </c>
      <c r="P327" t="str">
        <f t="shared" si="10"/>
        <v>Contracted Services</v>
      </c>
    </row>
    <row r="328" spans="1:16" hidden="1" x14ac:dyDescent="0.25">
      <c r="A328" t="s">
        <v>642</v>
      </c>
      <c r="C328" t="s">
        <v>265</v>
      </c>
      <c r="D328" s="67">
        <v>0</v>
      </c>
      <c r="E328">
        <v>91950.73</v>
      </c>
      <c r="F328">
        <v>0</v>
      </c>
      <c r="G328">
        <v>551704.38</v>
      </c>
      <c r="H328">
        <v>339403.62</v>
      </c>
      <c r="I328">
        <v>61.91</v>
      </c>
      <c r="J328">
        <v>10000</v>
      </c>
      <c r="K328" s="249">
        <v>10000</v>
      </c>
      <c r="L328" s="249">
        <v>10450</v>
      </c>
      <c r="M328" s="249">
        <v>10930.7</v>
      </c>
      <c r="N328" s="249">
        <v>11433.512200000001</v>
      </c>
      <c r="O328" t="str">
        <f t="shared" si="11"/>
        <v>2</v>
      </c>
      <c r="P328" t="str">
        <f t="shared" si="10"/>
        <v>Operational Cost</v>
      </c>
    </row>
    <row r="329" spans="1:16" hidden="1" x14ac:dyDescent="0.25">
      <c r="A329" t="s">
        <v>643</v>
      </c>
      <c r="B329" t="s">
        <v>1361</v>
      </c>
      <c r="C329" t="s">
        <v>268</v>
      </c>
      <c r="D329" s="67">
        <v>0</v>
      </c>
      <c r="E329">
        <v>91950.73</v>
      </c>
      <c r="F329">
        <v>0</v>
      </c>
      <c r="G329">
        <v>551704.38</v>
      </c>
      <c r="H329">
        <v>339403.62</v>
      </c>
      <c r="I329">
        <v>61.91</v>
      </c>
      <c r="J329">
        <v>20000</v>
      </c>
      <c r="K329" s="249">
        <v>20000</v>
      </c>
      <c r="L329" s="249">
        <v>20900</v>
      </c>
      <c r="M329" s="249">
        <v>21861.4</v>
      </c>
      <c r="N329" s="249">
        <v>22867.024400000002</v>
      </c>
      <c r="O329" t="str">
        <f t="shared" si="11"/>
        <v>2</v>
      </c>
      <c r="P329" t="str">
        <f t="shared" si="10"/>
        <v>Operational Cost</v>
      </c>
    </row>
    <row r="330" spans="1:16" hidden="1" x14ac:dyDescent="0.25">
      <c r="A330" t="s">
        <v>644</v>
      </c>
      <c r="C330" t="s">
        <v>150</v>
      </c>
      <c r="D330" s="67">
        <v>390877</v>
      </c>
      <c r="E330">
        <v>91950.73</v>
      </c>
      <c r="F330">
        <v>0</v>
      </c>
      <c r="G330">
        <v>551704.38</v>
      </c>
      <c r="H330">
        <v>339403.62</v>
      </c>
      <c r="I330">
        <v>61.91</v>
      </c>
      <c r="J330">
        <v>0</v>
      </c>
      <c r="K330" s="249">
        <v>390877</v>
      </c>
      <c r="L330" s="249">
        <v>415306.8125</v>
      </c>
      <c r="M330" s="249">
        <v>444378.28937499999</v>
      </c>
      <c r="N330" s="249">
        <v>475484.76963125</v>
      </c>
      <c r="O330" t="str">
        <f t="shared" si="11"/>
        <v>2</v>
      </c>
      <c r="P330" t="str">
        <f t="shared" si="10"/>
        <v>Employee Related Cost</v>
      </c>
    </row>
    <row r="331" spans="1:16" hidden="1" x14ac:dyDescent="0.25">
      <c r="A331" t="s">
        <v>645</v>
      </c>
      <c r="C331" t="s">
        <v>151</v>
      </c>
      <c r="D331" s="67">
        <v>17744</v>
      </c>
      <c r="E331">
        <v>91950.73</v>
      </c>
      <c r="F331">
        <v>0</v>
      </c>
      <c r="G331">
        <v>551704.38</v>
      </c>
      <c r="H331">
        <v>339403.62</v>
      </c>
      <c r="I331">
        <v>61.91</v>
      </c>
      <c r="J331">
        <v>-9276.9100000000035</v>
      </c>
      <c r="K331" s="249">
        <v>8467.0899999999965</v>
      </c>
      <c r="L331" s="249">
        <v>8996.2831249999963</v>
      </c>
      <c r="M331" s="249">
        <v>9626.0229437499966</v>
      </c>
      <c r="N331" s="249">
        <v>10299.844549812497</v>
      </c>
      <c r="O331" t="str">
        <f t="shared" si="11"/>
        <v>2</v>
      </c>
      <c r="P331" t="str">
        <f t="shared" si="10"/>
        <v>Employee Related Cost</v>
      </c>
    </row>
    <row r="332" spans="1:16" hidden="1" x14ac:dyDescent="0.25">
      <c r="A332" t="s">
        <v>646</v>
      </c>
      <c r="C332" t="s">
        <v>152</v>
      </c>
      <c r="D332" s="67">
        <v>14100</v>
      </c>
      <c r="E332">
        <v>91950.73</v>
      </c>
      <c r="F332">
        <v>0</v>
      </c>
      <c r="G332">
        <v>551704.38</v>
      </c>
      <c r="H332">
        <v>339403.62</v>
      </c>
      <c r="I332">
        <v>61.91</v>
      </c>
      <c r="J332">
        <v>0</v>
      </c>
      <c r="K332" s="249">
        <v>14100</v>
      </c>
      <c r="L332" s="249">
        <v>14981.25</v>
      </c>
      <c r="M332" s="249">
        <v>16029.9375</v>
      </c>
      <c r="N332" s="249">
        <v>17152.033125000002</v>
      </c>
      <c r="O332" t="str">
        <f t="shared" si="11"/>
        <v>2</v>
      </c>
      <c r="P332" t="str">
        <f t="shared" si="10"/>
        <v>Employee Related Cost</v>
      </c>
    </row>
    <row r="333" spans="1:16" hidden="1" x14ac:dyDescent="0.25">
      <c r="A333" t="s">
        <v>647</v>
      </c>
      <c r="C333" t="s">
        <v>155</v>
      </c>
      <c r="D333" s="67">
        <v>11776</v>
      </c>
      <c r="E333">
        <v>91950.73</v>
      </c>
      <c r="F333">
        <v>0</v>
      </c>
      <c r="G333">
        <v>551704.38</v>
      </c>
      <c r="H333">
        <v>339403.62</v>
      </c>
      <c r="I333">
        <v>61.91</v>
      </c>
      <c r="J333">
        <v>0</v>
      </c>
      <c r="K333" s="249">
        <v>11776</v>
      </c>
      <c r="L333" s="249">
        <v>12512</v>
      </c>
      <c r="M333" s="249">
        <v>13387.84</v>
      </c>
      <c r="N333" s="249">
        <v>14324.988800000001</v>
      </c>
      <c r="O333" t="str">
        <f t="shared" si="11"/>
        <v>2</v>
      </c>
      <c r="P333" t="str">
        <f t="shared" si="10"/>
        <v>Employee Related Cost</v>
      </c>
    </row>
    <row r="334" spans="1:16" hidden="1" x14ac:dyDescent="0.25">
      <c r="A334" t="s">
        <v>648</v>
      </c>
      <c r="C334" t="s">
        <v>156</v>
      </c>
      <c r="D334" s="67">
        <v>88719</v>
      </c>
      <c r="E334">
        <v>91950.73</v>
      </c>
      <c r="F334">
        <v>0</v>
      </c>
      <c r="G334">
        <v>551704.38</v>
      </c>
      <c r="H334">
        <v>339403.62</v>
      </c>
      <c r="I334">
        <v>61.91</v>
      </c>
      <c r="J334">
        <v>0</v>
      </c>
      <c r="K334" s="249">
        <v>88719</v>
      </c>
      <c r="L334" s="249">
        <v>94263.9375</v>
      </c>
      <c r="M334" s="249">
        <v>100862.41312500001</v>
      </c>
      <c r="N334" s="249">
        <v>107922.78204375</v>
      </c>
      <c r="O334" t="str">
        <f t="shared" si="11"/>
        <v>2</v>
      </c>
      <c r="P334" t="str">
        <f t="shared" si="10"/>
        <v>Employee Related Cost</v>
      </c>
    </row>
    <row r="335" spans="1:16" hidden="1" x14ac:dyDescent="0.25">
      <c r="A335" t="s">
        <v>649</v>
      </c>
      <c r="C335" t="s">
        <v>158</v>
      </c>
      <c r="D335" s="67">
        <v>7098</v>
      </c>
      <c r="E335">
        <v>91950.73</v>
      </c>
      <c r="F335">
        <v>0</v>
      </c>
      <c r="G335">
        <v>551704.38</v>
      </c>
      <c r="H335">
        <v>339403.62</v>
      </c>
      <c r="I335">
        <v>61.91</v>
      </c>
      <c r="J335">
        <v>0</v>
      </c>
      <c r="K335" s="249">
        <v>7098</v>
      </c>
      <c r="L335" s="249">
        <v>7541.625</v>
      </c>
      <c r="M335" s="249">
        <v>8069.5387499999997</v>
      </c>
      <c r="N335" s="249">
        <v>8634.4064624999992</v>
      </c>
      <c r="O335" t="str">
        <f t="shared" si="11"/>
        <v>2</v>
      </c>
      <c r="P335" t="str">
        <f t="shared" si="10"/>
        <v>Employee Related Cost</v>
      </c>
    </row>
    <row r="336" spans="1:16" hidden="1" x14ac:dyDescent="0.25">
      <c r="A336" t="s">
        <v>650</v>
      </c>
      <c r="C336" t="s">
        <v>159</v>
      </c>
      <c r="D336" s="67">
        <v>29573</v>
      </c>
      <c r="E336">
        <v>91950.73</v>
      </c>
      <c r="F336">
        <v>0</v>
      </c>
      <c r="G336">
        <v>551704.38</v>
      </c>
      <c r="H336">
        <v>339403.62</v>
      </c>
      <c r="I336">
        <v>61.91</v>
      </c>
      <c r="J336">
        <v>0</v>
      </c>
      <c r="K336" s="249">
        <v>29573</v>
      </c>
      <c r="L336" s="249">
        <v>31421.3125</v>
      </c>
      <c r="M336" s="249">
        <v>33620.804375</v>
      </c>
      <c r="N336" s="249">
        <v>35974.260681250002</v>
      </c>
      <c r="O336" t="str">
        <f t="shared" si="11"/>
        <v>2</v>
      </c>
      <c r="P336" t="str">
        <f t="shared" si="10"/>
        <v>Employee Related Cost</v>
      </c>
    </row>
    <row r="337" spans="1:16" hidden="1" x14ac:dyDescent="0.25">
      <c r="A337" t="s">
        <v>651</v>
      </c>
      <c r="C337" t="s">
        <v>164</v>
      </c>
      <c r="D337" s="67">
        <v>15692</v>
      </c>
      <c r="E337">
        <v>91950.73</v>
      </c>
      <c r="F337">
        <v>0</v>
      </c>
      <c r="G337">
        <v>551704.38</v>
      </c>
      <c r="H337">
        <v>339403.62</v>
      </c>
      <c r="I337">
        <v>61.91</v>
      </c>
      <c r="J337">
        <v>0</v>
      </c>
      <c r="K337" s="249">
        <v>15692</v>
      </c>
      <c r="L337" s="249">
        <v>16672.75</v>
      </c>
      <c r="M337" s="249">
        <v>17839.842499999999</v>
      </c>
      <c r="N337" s="249">
        <v>19088.631474999998</v>
      </c>
      <c r="O337" t="str">
        <f t="shared" si="11"/>
        <v>2</v>
      </c>
      <c r="P337" t="str">
        <f t="shared" si="10"/>
        <v>Employee Related Cost</v>
      </c>
    </row>
    <row r="338" spans="1:16" hidden="1" x14ac:dyDescent="0.25">
      <c r="A338" t="s">
        <v>652</v>
      </c>
      <c r="C338" t="s">
        <v>167</v>
      </c>
      <c r="D338" s="67">
        <v>112</v>
      </c>
      <c r="E338">
        <v>91950.73</v>
      </c>
      <c r="F338">
        <v>0</v>
      </c>
      <c r="G338">
        <v>551704.38</v>
      </c>
      <c r="H338">
        <v>339403.62</v>
      </c>
      <c r="I338">
        <v>61.91</v>
      </c>
      <c r="J338">
        <v>0</v>
      </c>
      <c r="K338" s="249">
        <v>112</v>
      </c>
      <c r="L338" s="249">
        <v>119</v>
      </c>
      <c r="M338" s="249">
        <v>127.33</v>
      </c>
      <c r="N338" s="249">
        <v>136.2431</v>
      </c>
      <c r="O338" t="str">
        <f t="shared" si="11"/>
        <v>2</v>
      </c>
      <c r="P338" t="str">
        <f t="shared" si="10"/>
        <v>Employee Related Cost</v>
      </c>
    </row>
    <row r="339" spans="1:16" hidden="1" x14ac:dyDescent="0.25">
      <c r="A339" t="s">
        <v>653</v>
      </c>
      <c r="C339" t="s">
        <v>168</v>
      </c>
      <c r="D339" s="67">
        <v>53908</v>
      </c>
      <c r="E339">
        <v>91950.73</v>
      </c>
      <c r="F339">
        <v>0</v>
      </c>
      <c r="G339">
        <v>551704.38</v>
      </c>
      <c r="H339">
        <v>339403.62</v>
      </c>
      <c r="I339">
        <v>61.91</v>
      </c>
      <c r="J339">
        <v>0</v>
      </c>
      <c r="K339" s="249">
        <v>53908</v>
      </c>
      <c r="L339" s="249">
        <v>57277.25</v>
      </c>
      <c r="M339" s="249">
        <v>61286.657500000001</v>
      </c>
      <c r="N339" s="249">
        <v>65576.723525000009</v>
      </c>
      <c r="O339" t="str">
        <f t="shared" si="11"/>
        <v>2</v>
      </c>
      <c r="P339" t="str">
        <f t="shared" si="10"/>
        <v>Employee Related Cost</v>
      </c>
    </row>
    <row r="340" spans="1:16" hidden="1" x14ac:dyDescent="0.25">
      <c r="A340" t="s">
        <v>654</v>
      </c>
      <c r="C340" t="s">
        <v>169</v>
      </c>
      <c r="D340" s="67">
        <v>78073</v>
      </c>
      <c r="E340">
        <v>91950.73</v>
      </c>
      <c r="F340">
        <v>0</v>
      </c>
      <c r="G340">
        <v>551704.38</v>
      </c>
      <c r="H340">
        <v>339403.62</v>
      </c>
      <c r="I340">
        <v>61.91</v>
      </c>
      <c r="J340">
        <v>0</v>
      </c>
      <c r="K340" s="249">
        <v>78073</v>
      </c>
      <c r="L340" s="249">
        <v>82952.5625</v>
      </c>
      <c r="M340" s="249">
        <v>88759.241875000007</v>
      </c>
      <c r="N340" s="249">
        <v>94972.388806250005</v>
      </c>
      <c r="O340" t="str">
        <f t="shared" si="11"/>
        <v>2</v>
      </c>
      <c r="P340" t="str">
        <f t="shared" si="10"/>
        <v>Employee Related Cost</v>
      </c>
    </row>
    <row r="341" spans="1:16" hidden="1" x14ac:dyDescent="0.25">
      <c r="A341" t="s">
        <v>655</v>
      </c>
      <c r="C341" t="s">
        <v>170</v>
      </c>
      <c r="D341" s="67">
        <v>1785</v>
      </c>
      <c r="E341">
        <v>91950.73</v>
      </c>
      <c r="F341">
        <v>0</v>
      </c>
      <c r="G341">
        <v>551704.38</v>
      </c>
      <c r="H341">
        <v>339403.62</v>
      </c>
      <c r="I341">
        <v>61.91</v>
      </c>
      <c r="J341">
        <v>0</v>
      </c>
      <c r="K341" s="249">
        <v>1785</v>
      </c>
      <c r="L341" s="249">
        <v>1896.5625</v>
      </c>
      <c r="M341" s="249">
        <v>2029.3218750000001</v>
      </c>
      <c r="N341" s="249">
        <v>2171.37440625</v>
      </c>
      <c r="O341" t="str">
        <f t="shared" si="11"/>
        <v>2</v>
      </c>
      <c r="P341" t="str">
        <f t="shared" si="10"/>
        <v>Employee Related Cost</v>
      </c>
    </row>
    <row r="342" spans="1:16" hidden="1" x14ac:dyDescent="0.25">
      <c r="A342" t="s">
        <v>656</v>
      </c>
      <c r="C342" t="s">
        <v>173</v>
      </c>
      <c r="D342" s="67">
        <v>753</v>
      </c>
      <c r="E342">
        <v>91950.73</v>
      </c>
      <c r="F342">
        <v>0</v>
      </c>
      <c r="G342">
        <v>551704.38</v>
      </c>
      <c r="H342">
        <v>339403.62</v>
      </c>
      <c r="I342">
        <v>61.91</v>
      </c>
      <c r="J342">
        <v>0</v>
      </c>
      <c r="K342" s="249">
        <v>753</v>
      </c>
      <c r="L342" s="249">
        <v>800.0625</v>
      </c>
      <c r="M342" s="249">
        <v>856.06687499999998</v>
      </c>
      <c r="N342" s="249">
        <v>915.99155625000003</v>
      </c>
      <c r="O342" t="str">
        <f t="shared" si="11"/>
        <v>2</v>
      </c>
      <c r="P342" t="str">
        <f t="shared" si="10"/>
        <v>Employee Related Cost</v>
      </c>
    </row>
    <row r="343" spans="1:16" hidden="1" x14ac:dyDescent="0.25">
      <c r="A343" t="s">
        <v>657</v>
      </c>
      <c r="C343" t="s">
        <v>174</v>
      </c>
      <c r="D343" s="67">
        <v>398</v>
      </c>
      <c r="E343">
        <v>91950.73</v>
      </c>
      <c r="F343">
        <v>0</v>
      </c>
      <c r="G343">
        <v>551704.38</v>
      </c>
      <c r="H343">
        <v>339403.62</v>
      </c>
      <c r="I343">
        <v>61.91</v>
      </c>
      <c r="J343">
        <v>0</v>
      </c>
      <c r="K343" s="249">
        <v>398</v>
      </c>
      <c r="L343" s="249">
        <v>422.875</v>
      </c>
      <c r="M343" s="249">
        <v>452.47624999999999</v>
      </c>
      <c r="N343" s="249">
        <v>484.1495875</v>
      </c>
      <c r="O343" t="str">
        <f t="shared" si="11"/>
        <v>2</v>
      </c>
      <c r="P343" t="str">
        <f t="shared" si="10"/>
        <v>Employee Related Cost</v>
      </c>
    </row>
    <row r="344" spans="1:16" hidden="1" x14ac:dyDescent="0.25">
      <c r="A344" t="s">
        <v>658</v>
      </c>
      <c r="C344" t="s">
        <v>175</v>
      </c>
      <c r="D344" s="67">
        <v>2789</v>
      </c>
      <c r="E344">
        <v>91950.73</v>
      </c>
      <c r="F344">
        <v>0</v>
      </c>
      <c r="G344">
        <v>551704.38</v>
      </c>
      <c r="H344">
        <v>339403.62</v>
      </c>
      <c r="I344">
        <v>61.91</v>
      </c>
      <c r="J344">
        <v>0</v>
      </c>
      <c r="K344" s="249">
        <v>2789</v>
      </c>
      <c r="L344" s="249">
        <v>2963.3125</v>
      </c>
      <c r="M344" s="249">
        <v>3170.7443750000002</v>
      </c>
      <c r="N344" s="249">
        <v>3392.69648125</v>
      </c>
      <c r="O344" t="str">
        <f t="shared" si="11"/>
        <v>2</v>
      </c>
      <c r="P344" t="str">
        <f t="shared" si="10"/>
        <v>Employee Related Cost</v>
      </c>
    </row>
    <row r="345" spans="1:16" x14ac:dyDescent="0.25">
      <c r="A345" t="s">
        <v>3077</v>
      </c>
      <c r="C345" t="s">
        <v>3054</v>
      </c>
      <c r="D345" s="67">
        <v>0</v>
      </c>
      <c r="L345" s="249">
        <v>106000</v>
      </c>
      <c r="M345" s="249">
        <v>111724</v>
      </c>
      <c r="N345" s="249">
        <v>118986</v>
      </c>
      <c r="O345" t="str">
        <f t="shared" si="11"/>
        <v>2</v>
      </c>
      <c r="P345" t="str">
        <f t="shared" si="10"/>
        <v>Operational Cost</v>
      </c>
    </row>
    <row r="346" spans="1:16" hidden="1" x14ac:dyDescent="0.25">
      <c r="A346" t="s">
        <v>659</v>
      </c>
      <c r="B346" t="s">
        <v>1363</v>
      </c>
      <c r="C346" t="s">
        <v>242</v>
      </c>
      <c r="D346" s="67">
        <v>521759</v>
      </c>
      <c r="E346">
        <v>91950.73</v>
      </c>
      <c r="F346">
        <v>0</v>
      </c>
      <c r="G346">
        <v>551704.38</v>
      </c>
      <c r="H346">
        <v>339403.62</v>
      </c>
      <c r="I346">
        <v>61.91</v>
      </c>
      <c r="J346">
        <v>21280</v>
      </c>
      <c r="K346" s="249">
        <v>543039</v>
      </c>
      <c r="L346" s="249">
        <v>553064</v>
      </c>
      <c r="M346" s="249">
        <v>582929</v>
      </c>
      <c r="N346" s="249">
        <v>620819</v>
      </c>
      <c r="O346" t="str">
        <f t="shared" si="11"/>
        <v>2</v>
      </c>
      <c r="P346" t="str">
        <f t="shared" si="10"/>
        <v>Operational Cost</v>
      </c>
    </row>
    <row r="347" spans="1:16" hidden="1" x14ac:dyDescent="0.25">
      <c r="A347" t="s">
        <v>660</v>
      </c>
      <c r="C347" t="s">
        <v>260</v>
      </c>
      <c r="D347" s="67">
        <v>1101000</v>
      </c>
      <c r="E347">
        <v>91950.73</v>
      </c>
      <c r="F347">
        <v>0</v>
      </c>
      <c r="G347">
        <v>551704.38</v>
      </c>
      <c r="H347">
        <v>339403.62</v>
      </c>
      <c r="I347">
        <v>61.91</v>
      </c>
      <c r="J347">
        <v>100000</v>
      </c>
      <c r="K347" s="249">
        <v>1201000</v>
      </c>
      <c r="L347" s="249">
        <v>1167060</v>
      </c>
      <c r="M347" s="249">
        <v>1230081</v>
      </c>
      <c r="N347" s="249">
        <v>1310000</v>
      </c>
      <c r="O347" t="str">
        <f t="shared" si="11"/>
        <v>2</v>
      </c>
      <c r="P347" t="str">
        <f t="shared" si="10"/>
        <v>Operational Cost</v>
      </c>
    </row>
    <row r="348" spans="1:16" hidden="1" x14ac:dyDescent="0.25">
      <c r="A348" t="s">
        <v>661</v>
      </c>
      <c r="C348" t="s">
        <v>265</v>
      </c>
      <c r="D348" s="67">
        <v>0</v>
      </c>
      <c r="E348">
        <v>91950.73</v>
      </c>
      <c r="F348">
        <v>0</v>
      </c>
      <c r="G348">
        <v>551704.38</v>
      </c>
      <c r="H348">
        <v>339403.62</v>
      </c>
      <c r="I348">
        <v>61.91</v>
      </c>
      <c r="J348">
        <v>6000</v>
      </c>
      <c r="K348" s="249">
        <v>6000</v>
      </c>
      <c r="L348" s="249">
        <v>6270</v>
      </c>
      <c r="M348" s="249">
        <v>6558.42</v>
      </c>
      <c r="N348" s="249">
        <v>6860.1073200000001</v>
      </c>
      <c r="O348" t="str">
        <f t="shared" si="11"/>
        <v>2</v>
      </c>
      <c r="P348" t="str">
        <f t="shared" si="10"/>
        <v>Operational Cost</v>
      </c>
    </row>
    <row r="349" spans="1:16" hidden="1" x14ac:dyDescent="0.25">
      <c r="A349" t="s">
        <v>662</v>
      </c>
      <c r="B349" t="s">
        <v>1361</v>
      </c>
      <c r="C349" t="s">
        <v>268</v>
      </c>
      <c r="D349" s="67">
        <v>0</v>
      </c>
      <c r="E349">
        <v>91950.73</v>
      </c>
      <c r="F349">
        <v>0</v>
      </c>
      <c r="G349">
        <v>551704.38</v>
      </c>
      <c r="H349">
        <v>339403.62</v>
      </c>
      <c r="I349">
        <v>61.91</v>
      </c>
      <c r="J349">
        <v>40000</v>
      </c>
      <c r="K349" s="249">
        <v>40000</v>
      </c>
      <c r="L349" s="249">
        <v>41800</v>
      </c>
      <c r="M349" s="249">
        <v>43722.8</v>
      </c>
      <c r="N349" s="249">
        <v>45734.048800000004</v>
      </c>
      <c r="O349" t="str">
        <f t="shared" si="11"/>
        <v>2</v>
      </c>
      <c r="P349" t="str">
        <f t="shared" si="10"/>
        <v>Operational Cost</v>
      </c>
    </row>
    <row r="350" spans="1:16" hidden="1" x14ac:dyDescent="0.25">
      <c r="A350" t="s">
        <v>1579</v>
      </c>
      <c r="B350" t="s">
        <v>3050</v>
      </c>
      <c r="C350" t="s">
        <v>1342</v>
      </c>
      <c r="D350" s="67">
        <v>150000</v>
      </c>
      <c r="E350">
        <v>91950.73</v>
      </c>
      <c r="F350">
        <v>0</v>
      </c>
      <c r="G350">
        <v>551704.38</v>
      </c>
      <c r="H350">
        <v>339403.62</v>
      </c>
      <c r="I350">
        <v>61.91</v>
      </c>
      <c r="J350">
        <v>0</v>
      </c>
      <c r="K350" s="249">
        <v>150000</v>
      </c>
      <c r="L350" s="249">
        <v>150000</v>
      </c>
      <c r="M350" s="249">
        <v>150000</v>
      </c>
      <c r="N350" s="249">
        <v>0</v>
      </c>
      <c r="O350" t="str">
        <f t="shared" si="11"/>
        <v>6</v>
      </c>
      <c r="P350">
        <f t="shared" si="10"/>
        <v>0</v>
      </c>
    </row>
    <row r="351" spans="1:16" hidden="1" x14ac:dyDescent="0.25">
      <c r="A351" t="s">
        <v>664</v>
      </c>
      <c r="C351" t="s">
        <v>150</v>
      </c>
      <c r="D351" s="67">
        <v>853944</v>
      </c>
      <c r="E351">
        <v>91950.73</v>
      </c>
      <c r="F351">
        <v>0</v>
      </c>
      <c r="G351">
        <v>551704.38</v>
      </c>
      <c r="H351">
        <v>339403.62</v>
      </c>
      <c r="I351">
        <v>61.91</v>
      </c>
      <c r="J351">
        <v>0</v>
      </c>
      <c r="K351" s="249">
        <v>853944</v>
      </c>
      <c r="L351" s="249">
        <v>907315.5</v>
      </c>
      <c r="M351" s="249">
        <v>970827.58499999996</v>
      </c>
      <c r="N351" s="249">
        <v>1038785.5159499999</v>
      </c>
      <c r="O351" t="str">
        <f t="shared" si="11"/>
        <v>2</v>
      </c>
      <c r="P351" t="str">
        <f t="shared" si="10"/>
        <v>Employee Related Cost</v>
      </c>
    </row>
    <row r="352" spans="1:16" hidden="1" x14ac:dyDescent="0.25">
      <c r="A352" t="s">
        <v>665</v>
      </c>
      <c r="C352" t="s">
        <v>151</v>
      </c>
      <c r="D352" s="67">
        <v>42697</v>
      </c>
      <c r="E352">
        <v>91950.73</v>
      </c>
      <c r="F352">
        <v>0</v>
      </c>
      <c r="G352">
        <v>551704.38</v>
      </c>
      <c r="H352">
        <v>339403.62</v>
      </c>
      <c r="I352">
        <v>61.91</v>
      </c>
      <c r="J352">
        <v>-34229.909999999996</v>
      </c>
      <c r="K352" s="249">
        <v>8467.0900000000038</v>
      </c>
      <c r="L352" s="249">
        <v>8996.2831250000036</v>
      </c>
      <c r="M352" s="249">
        <v>9626.0229437500038</v>
      </c>
      <c r="N352" s="249">
        <v>10299.844549812504</v>
      </c>
      <c r="O352" t="str">
        <f t="shared" si="11"/>
        <v>2</v>
      </c>
      <c r="P352" t="str">
        <f t="shared" si="10"/>
        <v>Employee Related Cost</v>
      </c>
    </row>
    <row r="353" spans="1:16" hidden="1" x14ac:dyDescent="0.25">
      <c r="A353" t="s">
        <v>666</v>
      </c>
      <c r="C353" t="s">
        <v>152</v>
      </c>
      <c r="D353" s="67">
        <v>24000</v>
      </c>
      <c r="E353">
        <v>91950.73</v>
      </c>
      <c r="F353">
        <v>0</v>
      </c>
      <c r="G353">
        <v>551704.38</v>
      </c>
      <c r="H353">
        <v>339403.62</v>
      </c>
      <c r="I353">
        <v>61.91</v>
      </c>
      <c r="J353">
        <v>0</v>
      </c>
      <c r="K353" s="249">
        <v>24000</v>
      </c>
      <c r="L353" s="249">
        <v>25500</v>
      </c>
      <c r="M353" s="249">
        <v>27285</v>
      </c>
      <c r="N353" s="249">
        <v>29194.95</v>
      </c>
      <c r="O353" t="str">
        <f t="shared" si="11"/>
        <v>2</v>
      </c>
      <c r="P353" t="str">
        <f t="shared" si="10"/>
        <v>Employee Related Cost</v>
      </c>
    </row>
    <row r="354" spans="1:16" hidden="1" x14ac:dyDescent="0.25">
      <c r="A354" t="s">
        <v>667</v>
      </c>
      <c r="C354" t="s">
        <v>153</v>
      </c>
      <c r="D354" s="67">
        <v>21786</v>
      </c>
      <c r="E354">
        <v>91950.73</v>
      </c>
      <c r="F354">
        <v>0</v>
      </c>
      <c r="G354">
        <v>551704.38</v>
      </c>
      <c r="H354">
        <v>339403.62</v>
      </c>
      <c r="I354">
        <v>61.91</v>
      </c>
      <c r="J354">
        <v>0</v>
      </c>
      <c r="K354" s="249">
        <v>21786</v>
      </c>
      <c r="L354" s="249">
        <v>23147.625</v>
      </c>
      <c r="M354" s="249">
        <v>24767.958750000002</v>
      </c>
      <c r="N354" s="249">
        <v>26501.715862500001</v>
      </c>
      <c r="O354" t="str">
        <f t="shared" si="11"/>
        <v>2</v>
      </c>
      <c r="P354" t="str">
        <f t="shared" si="10"/>
        <v>Employee Related Cost</v>
      </c>
    </row>
    <row r="355" spans="1:16" hidden="1" x14ac:dyDescent="0.25">
      <c r="A355" t="s">
        <v>668</v>
      </c>
      <c r="C355" t="s">
        <v>155</v>
      </c>
      <c r="D355" s="67">
        <v>20806</v>
      </c>
      <c r="E355">
        <v>91950.73</v>
      </c>
      <c r="F355">
        <v>0</v>
      </c>
      <c r="G355">
        <v>551704.38</v>
      </c>
      <c r="H355">
        <v>339403.62</v>
      </c>
      <c r="I355">
        <v>61.91</v>
      </c>
      <c r="J355">
        <v>0</v>
      </c>
      <c r="K355" s="249">
        <v>20806</v>
      </c>
      <c r="L355" s="249">
        <v>22106.375</v>
      </c>
      <c r="M355" s="249">
        <v>23653.821250000001</v>
      </c>
      <c r="N355" s="249">
        <v>25309.588737500002</v>
      </c>
      <c r="O355" t="str">
        <f t="shared" si="11"/>
        <v>2</v>
      </c>
      <c r="P355" t="str">
        <f t="shared" si="10"/>
        <v>Employee Related Cost</v>
      </c>
    </row>
    <row r="356" spans="1:16" hidden="1" x14ac:dyDescent="0.25">
      <c r="A356" t="s">
        <v>669</v>
      </c>
      <c r="C356" t="s">
        <v>156</v>
      </c>
      <c r="D356" s="67">
        <v>156750</v>
      </c>
      <c r="E356">
        <v>91950.73</v>
      </c>
      <c r="F356">
        <v>0</v>
      </c>
      <c r="G356">
        <v>551704.38</v>
      </c>
      <c r="H356">
        <v>339403.62</v>
      </c>
      <c r="I356">
        <v>61.91</v>
      </c>
      <c r="J356">
        <v>0</v>
      </c>
      <c r="K356" s="249">
        <v>156750</v>
      </c>
      <c r="L356" s="249">
        <v>166546.875</v>
      </c>
      <c r="M356" s="249">
        <v>178205.15625</v>
      </c>
      <c r="N356" s="249">
        <v>190679.51718749999</v>
      </c>
      <c r="O356" t="str">
        <f t="shared" si="11"/>
        <v>2</v>
      </c>
      <c r="P356" t="str">
        <f t="shared" si="10"/>
        <v>Employee Related Cost</v>
      </c>
    </row>
    <row r="357" spans="1:16" hidden="1" x14ac:dyDescent="0.25">
      <c r="A357" t="s">
        <v>670</v>
      </c>
      <c r="C357" t="s">
        <v>158</v>
      </c>
      <c r="D357" s="67">
        <v>12540</v>
      </c>
      <c r="E357">
        <v>91950.73</v>
      </c>
      <c r="F357">
        <v>0</v>
      </c>
      <c r="G357">
        <v>551704.38</v>
      </c>
      <c r="H357">
        <v>339403.62</v>
      </c>
      <c r="I357">
        <v>61.91</v>
      </c>
      <c r="J357">
        <v>0</v>
      </c>
      <c r="K357" s="249">
        <v>12540</v>
      </c>
      <c r="L357" s="249">
        <v>13323.75</v>
      </c>
      <c r="M357" s="249">
        <v>14256.4125</v>
      </c>
      <c r="N357" s="249">
        <v>15254.361375</v>
      </c>
      <c r="O357" t="str">
        <f t="shared" si="11"/>
        <v>2</v>
      </c>
      <c r="P357" t="str">
        <f t="shared" si="10"/>
        <v>Employee Related Cost</v>
      </c>
    </row>
    <row r="358" spans="1:16" hidden="1" x14ac:dyDescent="0.25">
      <c r="A358" t="s">
        <v>671</v>
      </c>
      <c r="C358" t="s">
        <v>159</v>
      </c>
      <c r="D358" s="67">
        <v>71162</v>
      </c>
      <c r="E358">
        <v>91950.73</v>
      </c>
      <c r="F358">
        <v>0</v>
      </c>
      <c r="G358">
        <v>551704.38</v>
      </c>
      <c r="H358">
        <v>339403.62</v>
      </c>
      <c r="I358">
        <v>61.91</v>
      </c>
      <c r="J358">
        <v>0</v>
      </c>
      <c r="K358" s="249">
        <v>71162</v>
      </c>
      <c r="L358" s="249">
        <v>75609.625</v>
      </c>
      <c r="M358" s="249">
        <v>80902.298750000002</v>
      </c>
      <c r="N358" s="249">
        <v>86565.459662499998</v>
      </c>
      <c r="O358" t="str">
        <f t="shared" si="11"/>
        <v>2</v>
      </c>
      <c r="P358" t="str">
        <f t="shared" si="10"/>
        <v>Employee Related Cost</v>
      </c>
    </row>
    <row r="359" spans="1:16" hidden="1" x14ac:dyDescent="0.25">
      <c r="A359" t="s">
        <v>672</v>
      </c>
      <c r="C359" t="s">
        <v>164</v>
      </c>
      <c r="D359" s="67">
        <v>15692</v>
      </c>
      <c r="E359">
        <v>91950.73</v>
      </c>
      <c r="F359">
        <v>0</v>
      </c>
      <c r="G359">
        <v>551704.38</v>
      </c>
      <c r="H359">
        <v>339403.62</v>
      </c>
      <c r="I359">
        <v>61.91</v>
      </c>
      <c r="J359">
        <v>0</v>
      </c>
      <c r="K359" s="249">
        <v>15692</v>
      </c>
      <c r="L359" s="249">
        <v>16672.75</v>
      </c>
      <c r="M359" s="249">
        <v>17839.842499999999</v>
      </c>
      <c r="N359" s="249">
        <v>19088.631474999998</v>
      </c>
      <c r="O359" t="str">
        <f t="shared" si="11"/>
        <v>2</v>
      </c>
      <c r="P359" t="str">
        <f t="shared" si="10"/>
        <v>Employee Related Cost</v>
      </c>
    </row>
    <row r="360" spans="1:16" hidden="1" x14ac:dyDescent="0.25">
      <c r="A360" t="s">
        <v>673</v>
      </c>
      <c r="C360" t="s">
        <v>167</v>
      </c>
      <c r="D360" s="67">
        <v>224</v>
      </c>
      <c r="E360">
        <v>91950.73</v>
      </c>
      <c r="F360">
        <v>0</v>
      </c>
      <c r="G360">
        <v>551704.38</v>
      </c>
      <c r="H360">
        <v>339403.62</v>
      </c>
      <c r="I360">
        <v>61.91</v>
      </c>
      <c r="J360">
        <v>0</v>
      </c>
      <c r="K360" s="249">
        <v>224</v>
      </c>
      <c r="L360" s="249">
        <v>238</v>
      </c>
      <c r="M360" s="249">
        <v>254.66</v>
      </c>
      <c r="N360" s="249">
        <v>272.4862</v>
      </c>
      <c r="O360" t="str">
        <f t="shared" si="11"/>
        <v>2</v>
      </c>
      <c r="P360" t="str">
        <f t="shared" si="10"/>
        <v>Employee Related Cost</v>
      </c>
    </row>
    <row r="361" spans="1:16" hidden="1" x14ac:dyDescent="0.25">
      <c r="A361" t="s">
        <v>674</v>
      </c>
      <c r="C361" t="s">
        <v>168</v>
      </c>
      <c r="D361" s="67">
        <v>107816</v>
      </c>
      <c r="E361">
        <v>91950.73</v>
      </c>
      <c r="F361">
        <v>0</v>
      </c>
      <c r="G361">
        <v>551704.38</v>
      </c>
      <c r="H361">
        <v>339403.62</v>
      </c>
      <c r="I361">
        <v>61.91</v>
      </c>
      <c r="J361">
        <v>-60000</v>
      </c>
      <c r="K361" s="249">
        <v>47816</v>
      </c>
      <c r="L361" s="249">
        <v>50804.5</v>
      </c>
      <c r="M361" s="249">
        <v>54360.815000000002</v>
      </c>
      <c r="N361" s="249">
        <v>58166.072050000002</v>
      </c>
      <c r="O361" t="str">
        <f t="shared" si="11"/>
        <v>2</v>
      </c>
      <c r="P361" t="str">
        <f t="shared" si="10"/>
        <v>Employee Related Cost</v>
      </c>
    </row>
    <row r="362" spans="1:16" hidden="1" x14ac:dyDescent="0.25">
      <c r="A362" t="s">
        <v>675</v>
      </c>
      <c r="C362" t="s">
        <v>169</v>
      </c>
      <c r="D362" s="67">
        <v>187868</v>
      </c>
      <c r="E362">
        <v>91950.73</v>
      </c>
      <c r="F362">
        <v>0</v>
      </c>
      <c r="G362">
        <v>551704.38</v>
      </c>
      <c r="H362">
        <v>339403.62</v>
      </c>
      <c r="I362">
        <v>61.91</v>
      </c>
      <c r="J362">
        <v>0</v>
      </c>
      <c r="K362" s="249">
        <v>187868</v>
      </c>
      <c r="L362" s="249">
        <v>199609.75</v>
      </c>
      <c r="M362" s="249">
        <v>213582.4325</v>
      </c>
      <c r="N362" s="249">
        <v>228533.20277499998</v>
      </c>
      <c r="O362" t="str">
        <f t="shared" si="11"/>
        <v>2</v>
      </c>
      <c r="P362" t="str">
        <f t="shared" si="10"/>
        <v>Employee Related Cost</v>
      </c>
    </row>
    <row r="363" spans="1:16" hidden="1" x14ac:dyDescent="0.25">
      <c r="A363" t="s">
        <v>676</v>
      </c>
      <c r="C363" t="s">
        <v>170</v>
      </c>
      <c r="D363" s="67">
        <v>3570</v>
      </c>
      <c r="E363">
        <v>91950.73</v>
      </c>
      <c r="F363">
        <v>0</v>
      </c>
      <c r="G363">
        <v>551704.38</v>
      </c>
      <c r="H363">
        <v>339403.62</v>
      </c>
      <c r="I363">
        <v>61.91</v>
      </c>
      <c r="J363">
        <v>0</v>
      </c>
      <c r="K363" s="249">
        <v>3570</v>
      </c>
      <c r="L363" s="249">
        <v>3793.125</v>
      </c>
      <c r="M363" s="249">
        <v>4058.6437500000002</v>
      </c>
      <c r="N363" s="249">
        <v>4342.7488125</v>
      </c>
      <c r="O363" t="str">
        <f t="shared" si="11"/>
        <v>2</v>
      </c>
      <c r="P363" t="str">
        <f t="shared" si="10"/>
        <v>Employee Related Cost</v>
      </c>
    </row>
    <row r="364" spans="1:16" hidden="1" x14ac:dyDescent="0.25">
      <c r="A364" t="s">
        <v>677</v>
      </c>
      <c r="C364" t="s">
        <v>173</v>
      </c>
      <c r="D364" s="67">
        <v>20768</v>
      </c>
      <c r="E364">
        <v>91950.73</v>
      </c>
      <c r="F364">
        <v>0</v>
      </c>
      <c r="G364">
        <v>551704.38</v>
      </c>
      <c r="H364">
        <v>339403.62</v>
      </c>
      <c r="I364">
        <v>61.91</v>
      </c>
      <c r="J364">
        <v>0</v>
      </c>
      <c r="K364" s="249">
        <v>20768</v>
      </c>
      <c r="L364" s="249">
        <v>22066</v>
      </c>
      <c r="M364" s="249">
        <v>23610.62</v>
      </c>
      <c r="N364" s="249">
        <v>25263.363399999998</v>
      </c>
      <c r="O364" t="str">
        <f t="shared" si="11"/>
        <v>2</v>
      </c>
      <c r="P364" t="str">
        <f t="shared" si="10"/>
        <v>Employee Related Cost</v>
      </c>
    </row>
    <row r="365" spans="1:16" hidden="1" x14ac:dyDescent="0.25">
      <c r="A365" t="s">
        <v>678</v>
      </c>
      <c r="C365" t="s">
        <v>174</v>
      </c>
      <c r="D365" s="67">
        <v>19770</v>
      </c>
      <c r="E365">
        <v>91950.73</v>
      </c>
      <c r="F365">
        <v>0</v>
      </c>
      <c r="G365">
        <v>551704.38</v>
      </c>
      <c r="H365">
        <v>339403.62</v>
      </c>
      <c r="I365">
        <v>61.91</v>
      </c>
      <c r="J365">
        <v>0</v>
      </c>
      <c r="K365" s="249">
        <v>19770</v>
      </c>
      <c r="L365" s="249">
        <v>21005.625</v>
      </c>
      <c r="M365" s="249">
        <v>22476.018749999999</v>
      </c>
      <c r="N365" s="249">
        <v>24049.340062499999</v>
      </c>
      <c r="O365" t="str">
        <f t="shared" si="11"/>
        <v>2</v>
      </c>
      <c r="P365" t="str">
        <f t="shared" si="10"/>
        <v>Employee Related Cost</v>
      </c>
    </row>
    <row r="366" spans="1:16" hidden="1" x14ac:dyDescent="0.25">
      <c r="A366" t="s">
        <v>679</v>
      </c>
      <c r="C366" t="s">
        <v>175</v>
      </c>
      <c r="D366" s="67">
        <v>6053</v>
      </c>
      <c r="E366">
        <v>91950.73</v>
      </c>
      <c r="F366">
        <v>0</v>
      </c>
      <c r="G366">
        <v>551704.38</v>
      </c>
      <c r="H366">
        <v>339403.62</v>
      </c>
      <c r="I366">
        <v>61.91</v>
      </c>
      <c r="J366">
        <v>0</v>
      </c>
      <c r="K366" s="249">
        <v>6053</v>
      </c>
      <c r="L366" s="249">
        <v>6431.3125</v>
      </c>
      <c r="M366" s="249">
        <v>6881.5043750000004</v>
      </c>
      <c r="N366" s="249">
        <v>7363.2096812500004</v>
      </c>
      <c r="O366" t="str">
        <f t="shared" si="11"/>
        <v>2</v>
      </c>
      <c r="P366" t="str">
        <f t="shared" si="10"/>
        <v>Employee Related Cost</v>
      </c>
    </row>
    <row r="367" spans="1:16" hidden="1" x14ac:dyDescent="0.25">
      <c r="A367" t="s">
        <v>680</v>
      </c>
      <c r="C367" t="s">
        <v>221</v>
      </c>
      <c r="D367" s="67">
        <v>400000</v>
      </c>
      <c r="E367">
        <v>91950.73</v>
      </c>
      <c r="F367">
        <v>0</v>
      </c>
      <c r="G367">
        <v>551704.38</v>
      </c>
      <c r="H367">
        <v>339403.62</v>
      </c>
      <c r="I367">
        <v>61.91</v>
      </c>
      <c r="J367">
        <v>0</v>
      </c>
      <c r="K367" s="249">
        <v>400000</v>
      </c>
      <c r="L367" s="249">
        <v>418000</v>
      </c>
      <c r="M367" s="249">
        <v>437228</v>
      </c>
      <c r="N367" s="249">
        <v>457340.48800000001</v>
      </c>
      <c r="O367" t="str">
        <f t="shared" si="11"/>
        <v>2</v>
      </c>
      <c r="P367" t="str">
        <f t="shared" si="10"/>
        <v>Contracted Services</v>
      </c>
    </row>
    <row r="368" spans="1:16" hidden="1" x14ac:dyDescent="0.25">
      <c r="A368" t="s">
        <v>681</v>
      </c>
      <c r="C368" t="s">
        <v>265</v>
      </c>
      <c r="D368" s="67">
        <v>0</v>
      </c>
      <c r="E368">
        <v>91950.73</v>
      </c>
      <c r="F368">
        <v>0</v>
      </c>
      <c r="G368">
        <v>551704.38</v>
      </c>
      <c r="H368">
        <v>339403.62</v>
      </c>
      <c r="I368">
        <v>61.91</v>
      </c>
      <c r="J368">
        <v>10000</v>
      </c>
      <c r="K368" s="249">
        <v>10000</v>
      </c>
      <c r="L368" s="249">
        <v>10450</v>
      </c>
      <c r="M368" s="249">
        <v>10930.7</v>
      </c>
      <c r="N368" s="249">
        <v>11433.512200000001</v>
      </c>
      <c r="O368" t="str">
        <f t="shared" si="11"/>
        <v>2</v>
      </c>
      <c r="P368" t="str">
        <f t="shared" si="10"/>
        <v>Operational Cost</v>
      </c>
    </row>
    <row r="369" spans="1:16" hidden="1" x14ac:dyDescent="0.25">
      <c r="A369" t="s">
        <v>682</v>
      </c>
      <c r="C369" t="s">
        <v>268</v>
      </c>
      <c r="D369" s="67">
        <v>0</v>
      </c>
      <c r="E369">
        <v>91950.73</v>
      </c>
      <c r="F369">
        <v>0</v>
      </c>
      <c r="G369">
        <v>551704.38</v>
      </c>
      <c r="H369">
        <v>339403.62</v>
      </c>
      <c r="I369">
        <v>61.91</v>
      </c>
      <c r="J369">
        <v>25000</v>
      </c>
      <c r="K369" s="249">
        <v>25000</v>
      </c>
      <c r="L369" s="249">
        <v>26125</v>
      </c>
      <c r="M369" s="249">
        <v>27326.75</v>
      </c>
      <c r="N369" s="249">
        <v>28583.780500000001</v>
      </c>
      <c r="O369" t="str">
        <f t="shared" si="11"/>
        <v>2</v>
      </c>
      <c r="P369" t="str">
        <f t="shared" si="10"/>
        <v>Operational Cost</v>
      </c>
    </row>
    <row r="370" spans="1:16" hidden="1" x14ac:dyDescent="0.25">
      <c r="A370" t="s">
        <v>1343</v>
      </c>
      <c r="C370" t="s">
        <v>1344</v>
      </c>
      <c r="D370" s="67">
        <v>0</v>
      </c>
      <c r="E370">
        <v>91950.73</v>
      </c>
      <c r="F370">
        <v>0</v>
      </c>
      <c r="G370">
        <v>551704.38</v>
      </c>
      <c r="H370">
        <v>339403.62</v>
      </c>
      <c r="I370">
        <v>61.91</v>
      </c>
      <c r="J370">
        <v>0</v>
      </c>
      <c r="K370" s="249">
        <v>0</v>
      </c>
      <c r="L370" s="249">
        <v>800000</v>
      </c>
      <c r="M370" s="249">
        <v>900000</v>
      </c>
      <c r="N370" s="249">
        <v>0</v>
      </c>
      <c r="O370" t="str">
        <f t="shared" si="11"/>
        <v>6</v>
      </c>
      <c r="P370">
        <f t="shared" si="10"/>
        <v>0</v>
      </c>
    </row>
    <row r="371" spans="1:16" hidden="1" x14ac:dyDescent="0.25">
      <c r="A371" t="s">
        <v>684</v>
      </c>
      <c r="C371" t="s">
        <v>150</v>
      </c>
      <c r="D371" s="67">
        <v>1364454</v>
      </c>
      <c r="E371">
        <v>91950.73</v>
      </c>
      <c r="F371">
        <v>0</v>
      </c>
      <c r="G371">
        <v>551704.38</v>
      </c>
      <c r="H371">
        <v>339403.62</v>
      </c>
      <c r="I371">
        <v>61.91</v>
      </c>
      <c r="J371">
        <v>0</v>
      </c>
      <c r="K371" s="249">
        <v>1364454</v>
      </c>
      <c r="L371" s="249">
        <v>1449732.375</v>
      </c>
      <c r="M371" s="249">
        <v>1551213.6412500001</v>
      </c>
      <c r="N371" s="249">
        <v>1659798.5961375001</v>
      </c>
      <c r="O371" t="str">
        <f t="shared" si="11"/>
        <v>2</v>
      </c>
      <c r="P371" t="str">
        <f t="shared" si="10"/>
        <v>Employee Related Cost</v>
      </c>
    </row>
    <row r="372" spans="1:16" hidden="1" x14ac:dyDescent="0.25">
      <c r="A372" t="s">
        <v>685</v>
      </c>
      <c r="C372" t="s">
        <v>150</v>
      </c>
      <c r="D372" s="67">
        <v>80600</v>
      </c>
      <c r="E372">
        <v>91950.73</v>
      </c>
      <c r="F372">
        <v>0</v>
      </c>
      <c r="G372">
        <v>551704.38</v>
      </c>
      <c r="H372">
        <v>339403.62</v>
      </c>
      <c r="I372">
        <v>61.91</v>
      </c>
      <c r="J372">
        <v>0</v>
      </c>
      <c r="K372" s="249">
        <v>80600</v>
      </c>
      <c r="L372" s="249">
        <v>85637.5</v>
      </c>
      <c r="M372" s="249">
        <v>91632.125</v>
      </c>
      <c r="N372" s="249">
        <v>98046.373749999999</v>
      </c>
      <c r="O372" t="str">
        <f t="shared" si="11"/>
        <v>2</v>
      </c>
      <c r="P372" t="str">
        <f t="shared" si="10"/>
        <v>Employee Related Cost</v>
      </c>
    </row>
    <row r="373" spans="1:16" hidden="1" x14ac:dyDescent="0.25">
      <c r="A373" t="s">
        <v>686</v>
      </c>
      <c r="C373" t="s">
        <v>151</v>
      </c>
      <c r="D373" s="67">
        <v>66423</v>
      </c>
      <c r="E373">
        <v>91950.73</v>
      </c>
      <c r="F373">
        <v>0</v>
      </c>
      <c r="G373">
        <v>551704.38</v>
      </c>
      <c r="H373">
        <v>339403.62</v>
      </c>
      <c r="I373">
        <v>61.91</v>
      </c>
      <c r="J373">
        <v>-41021.729999999996</v>
      </c>
      <c r="K373" s="249">
        <v>25401.270000000004</v>
      </c>
      <c r="L373" s="249">
        <v>26988.849375000005</v>
      </c>
      <c r="M373" s="249">
        <v>28878.068831250006</v>
      </c>
      <c r="N373" s="249">
        <v>30899.533649437508</v>
      </c>
      <c r="O373" t="str">
        <f t="shared" si="11"/>
        <v>2</v>
      </c>
      <c r="P373" t="str">
        <f t="shared" si="10"/>
        <v>Employee Related Cost</v>
      </c>
    </row>
    <row r="374" spans="1:16" hidden="1" x14ac:dyDescent="0.25">
      <c r="A374" t="s">
        <v>687</v>
      </c>
      <c r="C374" t="s">
        <v>152</v>
      </c>
      <c r="D374" s="67">
        <v>52200</v>
      </c>
      <c r="E374">
        <v>91950.73</v>
      </c>
      <c r="F374">
        <v>0</v>
      </c>
      <c r="G374">
        <v>551704.38</v>
      </c>
      <c r="H374">
        <v>339403.62</v>
      </c>
      <c r="I374">
        <v>61.91</v>
      </c>
      <c r="J374">
        <v>0</v>
      </c>
      <c r="K374" s="249">
        <v>52200</v>
      </c>
      <c r="L374" s="249">
        <v>55462.5</v>
      </c>
      <c r="M374" s="249">
        <v>59344.875</v>
      </c>
      <c r="N374" s="249">
        <v>63499.016250000001</v>
      </c>
      <c r="O374" t="str">
        <f t="shared" si="11"/>
        <v>2</v>
      </c>
      <c r="P374" t="str">
        <f t="shared" si="10"/>
        <v>Employee Related Cost</v>
      </c>
    </row>
    <row r="375" spans="1:16" hidden="1" x14ac:dyDescent="0.25">
      <c r="A375" t="s">
        <v>688</v>
      </c>
      <c r="C375" t="s">
        <v>153</v>
      </c>
      <c r="D375" s="67">
        <v>21786</v>
      </c>
      <c r="E375">
        <v>91950.73</v>
      </c>
      <c r="F375">
        <v>0</v>
      </c>
      <c r="G375">
        <v>551704.38</v>
      </c>
      <c r="H375">
        <v>339403.62</v>
      </c>
      <c r="I375">
        <v>61.91</v>
      </c>
      <c r="J375">
        <v>0</v>
      </c>
      <c r="K375" s="249">
        <v>21786</v>
      </c>
      <c r="L375" s="249">
        <v>23147.625</v>
      </c>
      <c r="M375" s="249">
        <v>24767.958750000002</v>
      </c>
      <c r="N375" s="249">
        <v>26501.715862500001</v>
      </c>
      <c r="O375" t="str">
        <f t="shared" si="11"/>
        <v>2</v>
      </c>
      <c r="P375" t="str">
        <f t="shared" si="10"/>
        <v>Employee Related Cost</v>
      </c>
    </row>
    <row r="376" spans="1:16" hidden="1" x14ac:dyDescent="0.25">
      <c r="A376" t="s">
        <v>689</v>
      </c>
      <c r="C376" t="s">
        <v>155</v>
      </c>
      <c r="D376" s="67">
        <v>44083</v>
      </c>
      <c r="E376">
        <v>91950.73</v>
      </c>
      <c r="F376">
        <v>0</v>
      </c>
      <c r="G376">
        <v>551704.38</v>
      </c>
      <c r="H376">
        <v>339403.62</v>
      </c>
      <c r="I376">
        <v>61.91</v>
      </c>
      <c r="J376">
        <v>0</v>
      </c>
      <c r="K376" s="249">
        <v>44083</v>
      </c>
      <c r="L376" s="249">
        <v>46838.1875</v>
      </c>
      <c r="M376" s="249">
        <v>50116.860625000001</v>
      </c>
      <c r="N376" s="249">
        <v>53625.040868750002</v>
      </c>
      <c r="O376" t="str">
        <f t="shared" si="11"/>
        <v>2</v>
      </c>
      <c r="P376" t="str">
        <f t="shared" si="10"/>
        <v>Employee Related Cost</v>
      </c>
    </row>
    <row r="377" spans="1:16" hidden="1" x14ac:dyDescent="0.25">
      <c r="A377" t="s">
        <v>690</v>
      </c>
      <c r="C377" t="s">
        <v>156</v>
      </c>
      <c r="D377" s="67">
        <v>332114</v>
      </c>
      <c r="E377">
        <v>91950.73</v>
      </c>
      <c r="F377">
        <v>0</v>
      </c>
      <c r="G377">
        <v>551704.38</v>
      </c>
      <c r="H377">
        <v>339403.62</v>
      </c>
      <c r="I377">
        <v>61.91</v>
      </c>
      <c r="J377">
        <v>0</v>
      </c>
      <c r="K377" s="249">
        <v>332114</v>
      </c>
      <c r="L377" s="249">
        <v>352871.125</v>
      </c>
      <c r="M377" s="249">
        <v>377572.10375000001</v>
      </c>
      <c r="N377" s="249">
        <v>404002.15101249999</v>
      </c>
      <c r="O377" t="str">
        <f t="shared" si="11"/>
        <v>2</v>
      </c>
      <c r="P377" t="str">
        <f t="shared" si="10"/>
        <v>Employee Related Cost</v>
      </c>
    </row>
    <row r="378" spans="1:16" hidden="1" x14ac:dyDescent="0.25">
      <c r="A378" t="s">
        <v>691</v>
      </c>
      <c r="C378" t="s">
        <v>158</v>
      </c>
      <c r="D378" s="67">
        <v>26569</v>
      </c>
      <c r="E378">
        <v>91950.73</v>
      </c>
      <c r="F378">
        <v>0</v>
      </c>
      <c r="G378">
        <v>551704.38</v>
      </c>
      <c r="H378">
        <v>339403.62</v>
      </c>
      <c r="I378">
        <v>61.91</v>
      </c>
      <c r="J378">
        <v>26569</v>
      </c>
      <c r="K378" s="249">
        <v>53138</v>
      </c>
      <c r="L378" s="249">
        <v>56459.125</v>
      </c>
      <c r="M378" s="249">
        <v>60411.263749999998</v>
      </c>
      <c r="N378" s="249">
        <v>64640.052212499999</v>
      </c>
      <c r="O378" t="str">
        <f t="shared" si="11"/>
        <v>2</v>
      </c>
      <c r="P378" t="str">
        <f t="shared" si="10"/>
        <v>Employee Related Cost</v>
      </c>
    </row>
    <row r="379" spans="1:16" hidden="1" x14ac:dyDescent="0.25">
      <c r="A379" t="s">
        <v>692</v>
      </c>
      <c r="C379" t="s">
        <v>159</v>
      </c>
      <c r="D379" s="67">
        <v>110705</v>
      </c>
      <c r="E379">
        <v>91950.73</v>
      </c>
      <c r="F379">
        <v>0</v>
      </c>
      <c r="G379">
        <v>551704.38</v>
      </c>
      <c r="H379">
        <v>339403.62</v>
      </c>
      <c r="I379">
        <v>61.91</v>
      </c>
      <c r="J379">
        <v>0</v>
      </c>
      <c r="K379" s="249">
        <v>110705</v>
      </c>
      <c r="L379" s="249">
        <v>117624.0625</v>
      </c>
      <c r="M379" s="249">
        <v>125857.746875</v>
      </c>
      <c r="N379" s="249">
        <v>134667.78915624999</v>
      </c>
      <c r="O379" t="str">
        <f t="shared" si="11"/>
        <v>2</v>
      </c>
      <c r="P379" t="str">
        <f t="shared" si="10"/>
        <v>Employee Related Cost</v>
      </c>
    </row>
    <row r="380" spans="1:16" hidden="1" x14ac:dyDescent="0.25">
      <c r="A380" t="s">
        <v>693</v>
      </c>
      <c r="C380" t="s">
        <v>164</v>
      </c>
      <c r="D380" s="67">
        <v>15692</v>
      </c>
      <c r="E380">
        <v>91950.73</v>
      </c>
      <c r="F380">
        <v>0</v>
      </c>
      <c r="G380">
        <v>551704.38</v>
      </c>
      <c r="H380">
        <v>339403.62</v>
      </c>
      <c r="I380">
        <v>61.91</v>
      </c>
      <c r="J380">
        <v>0</v>
      </c>
      <c r="K380" s="249">
        <v>15692</v>
      </c>
      <c r="L380" s="249">
        <v>16672.75</v>
      </c>
      <c r="M380" s="249">
        <v>17839.842499999999</v>
      </c>
      <c r="N380" s="249">
        <v>19088.631474999998</v>
      </c>
      <c r="O380" t="str">
        <f t="shared" si="11"/>
        <v>2</v>
      </c>
      <c r="P380" t="str">
        <f t="shared" si="10"/>
        <v>Employee Related Cost</v>
      </c>
    </row>
    <row r="381" spans="1:16" hidden="1" x14ac:dyDescent="0.25">
      <c r="A381" t="s">
        <v>694</v>
      </c>
      <c r="C381" t="s">
        <v>167</v>
      </c>
      <c r="D381" s="67">
        <v>337</v>
      </c>
      <c r="E381">
        <v>91950.73</v>
      </c>
      <c r="F381">
        <v>0</v>
      </c>
      <c r="G381">
        <v>551704.38</v>
      </c>
      <c r="H381">
        <v>339403.62</v>
      </c>
      <c r="I381">
        <v>61.91</v>
      </c>
      <c r="J381">
        <v>0</v>
      </c>
      <c r="K381" s="249">
        <v>337</v>
      </c>
      <c r="L381" s="249">
        <v>358.0625</v>
      </c>
      <c r="M381" s="249">
        <v>383.12687499999998</v>
      </c>
      <c r="N381" s="249">
        <v>409.94575624999999</v>
      </c>
      <c r="O381" t="str">
        <f t="shared" si="11"/>
        <v>2</v>
      </c>
      <c r="P381" t="str">
        <f t="shared" si="10"/>
        <v>Employee Related Cost</v>
      </c>
    </row>
    <row r="382" spans="1:16" hidden="1" x14ac:dyDescent="0.25">
      <c r="A382" t="s">
        <v>695</v>
      </c>
      <c r="C382" t="s">
        <v>168</v>
      </c>
      <c r="D382" s="67">
        <v>161725</v>
      </c>
      <c r="E382">
        <v>91950.73</v>
      </c>
      <c r="F382">
        <v>0</v>
      </c>
      <c r="G382">
        <v>551704.38</v>
      </c>
      <c r="H382">
        <v>339403.62</v>
      </c>
      <c r="I382">
        <v>61.91</v>
      </c>
      <c r="J382">
        <v>0</v>
      </c>
      <c r="K382" s="249">
        <v>161725</v>
      </c>
      <c r="L382" s="249">
        <v>171832.8125</v>
      </c>
      <c r="M382" s="249">
        <v>183861.109375</v>
      </c>
      <c r="N382" s="249">
        <v>196731.38703124999</v>
      </c>
      <c r="O382" t="str">
        <f t="shared" si="11"/>
        <v>2</v>
      </c>
      <c r="P382" t="str">
        <f t="shared" si="10"/>
        <v>Employee Related Cost</v>
      </c>
    </row>
    <row r="383" spans="1:16" hidden="1" x14ac:dyDescent="0.25">
      <c r="A383" t="s">
        <v>696</v>
      </c>
      <c r="C383" t="s">
        <v>169</v>
      </c>
      <c r="D383" s="67">
        <v>278128</v>
      </c>
      <c r="E383">
        <v>91950.73</v>
      </c>
      <c r="F383">
        <v>0</v>
      </c>
      <c r="G383">
        <v>551704.38</v>
      </c>
      <c r="H383">
        <v>339403.62</v>
      </c>
      <c r="I383">
        <v>61.91</v>
      </c>
      <c r="J383">
        <v>0</v>
      </c>
      <c r="K383" s="249">
        <v>278128</v>
      </c>
      <c r="L383" s="249">
        <v>295511</v>
      </c>
      <c r="M383" s="249">
        <v>316196.77</v>
      </c>
      <c r="N383" s="249">
        <v>338330.54390000005</v>
      </c>
      <c r="O383" t="str">
        <f t="shared" si="11"/>
        <v>2</v>
      </c>
      <c r="P383" t="str">
        <f t="shared" si="10"/>
        <v>Employee Related Cost</v>
      </c>
    </row>
    <row r="384" spans="1:16" hidden="1" x14ac:dyDescent="0.25">
      <c r="A384" t="s">
        <v>697</v>
      </c>
      <c r="C384" t="s">
        <v>170</v>
      </c>
      <c r="D384" s="67">
        <v>5355</v>
      </c>
      <c r="E384">
        <v>91950.73</v>
      </c>
      <c r="F384">
        <v>0</v>
      </c>
      <c r="G384">
        <v>551704.38</v>
      </c>
      <c r="H384">
        <v>339403.62</v>
      </c>
      <c r="I384">
        <v>61.91</v>
      </c>
      <c r="J384">
        <v>0</v>
      </c>
      <c r="K384" s="249">
        <v>5355</v>
      </c>
      <c r="L384" s="249">
        <v>5689.6875</v>
      </c>
      <c r="M384" s="249">
        <v>6087.9656249999998</v>
      </c>
      <c r="N384" s="249">
        <v>6514.12321875</v>
      </c>
      <c r="O384" t="str">
        <f t="shared" si="11"/>
        <v>2</v>
      </c>
      <c r="P384" t="str">
        <f t="shared" si="10"/>
        <v>Employee Related Cost</v>
      </c>
    </row>
    <row r="385" spans="1:16" hidden="1" x14ac:dyDescent="0.25">
      <c r="A385" t="s">
        <v>698</v>
      </c>
      <c r="C385" t="s">
        <v>170</v>
      </c>
      <c r="D385" s="67">
        <v>0</v>
      </c>
      <c r="E385">
        <v>91950.73</v>
      </c>
      <c r="F385">
        <v>0</v>
      </c>
      <c r="G385">
        <v>551704.38</v>
      </c>
      <c r="H385">
        <v>339403.62</v>
      </c>
      <c r="I385">
        <v>61.91</v>
      </c>
      <c r="J385">
        <v>0</v>
      </c>
      <c r="K385" s="249">
        <v>0</v>
      </c>
      <c r="L385" s="249">
        <v>0</v>
      </c>
      <c r="M385" s="249">
        <v>0</v>
      </c>
      <c r="O385" t="str">
        <f t="shared" si="11"/>
        <v>2</v>
      </c>
      <c r="P385" t="str">
        <f t="shared" si="10"/>
        <v>Employee Related Cost</v>
      </c>
    </row>
    <row r="386" spans="1:16" hidden="1" x14ac:dyDescent="0.25">
      <c r="A386" t="s">
        <v>699</v>
      </c>
      <c r="C386" t="s">
        <v>173</v>
      </c>
      <c r="D386" s="67">
        <v>8794</v>
      </c>
      <c r="E386">
        <v>91950.73</v>
      </c>
      <c r="F386">
        <v>0</v>
      </c>
      <c r="G386">
        <v>551704.38</v>
      </c>
      <c r="H386">
        <v>339403.62</v>
      </c>
      <c r="I386">
        <v>61.91</v>
      </c>
      <c r="J386">
        <v>0</v>
      </c>
      <c r="K386" s="249">
        <v>8794</v>
      </c>
      <c r="L386" s="249">
        <v>9343.625</v>
      </c>
      <c r="M386" s="249">
        <v>9997.6787499999991</v>
      </c>
      <c r="N386" s="249">
        <v>10697.516262499999</v>
      </c>
      <c r="O386" t="str">
        <f t="shared" si="11"/>
        <v>2</v>
      </c>
      <c r="P386" t="str">
        <f t="shared" ref="P386:P449" si="12">VLOOKUP(A386,bud_321,16,FALSE)</f>
        <v>Employee Related Cost</v>
      </c>
    </row>
    <row r="387" spans="1:16" hidden="1" x14ac:dyDescent="0.25">
      <c r="A387" t="s">
        <v>700</v>
      </c>
      <c r="C387" t="s">
        <v>174</v>
      </c>
      <c r="D387" s="67">
        <v>8346</v>
      </c>
      <c r="E387">
        <v>91950.73</v>
      </c>
      <c r="F387">
        <v>0</v>
      </c>
      <c r="G387">
        <v>551704.38</v>
      </c>
      <c r="H387">
        <v>339403.62</v>
      </c>
      <c r="I387">
        <v>61.91</v>
      </c>
      <c r="J387">
        <v>0</v>
      </c>
      <c r="K387" s="249">
        <v>8346</v>
      </c>
      <c r="L387" s="249">
        <v>8867.625</v>
      </c>
      <c r="M387" s="249">
        <v>9488.3587499999994</v>
      </c>
      <c r="N387" s="249">
        <v>10152.543862499999</v>
      </c>
      <c r="O387" t="str">
        <f t="shared" ref="O387:O450" si="13">MID(A387,5,1)</f>
        <v>2</v>
      </c>
      <c r="P387" t="str">
        <f t="shared" si="12"/>
        <v>Employee Related Cost</v>
      </c>
    </row>
    <row r="388" spans="1:16" hidden="1" x14ac:dyDescent="0.25">
      <c r="A388" t="s">
        <v>701</v>
      </c>
      <c r="C388" t="s">
        <v>175</v>
      </c>
      <c r="D388" s="67">
        <v>11677</v>
      </c>
      <c r="E388">
        <v>91950.73</v>
      </c>
      <c r="F388">
        <v>0</v>
      </c>
      <c r="G388">
        <v>551704.38</v>
      </c>
      <c r="H388">
        <v>339403.62</v>
      </c>
      <c r="I388">
        <v>61.91</v>
      </c>
      <c r="J388">
        <v>0</v>
      </c>
      <c r="K388" s="249">
        <v>11677</v>
      </c>
      <c r="L388" s="249">
        <v>12406.8125</v>
      </c>
      <c r="M388" s="249">
        <v>13275.289375</v>
      </c>
      <c r="N388" s="249">
        <v>14204.55963125</v>
      </c>
      <c r="O388" t="str">
        <f t="shared" si="13"/>
        <v>2</v>
      </c>
      <c r="P388" t="str">
        <f t="shared" si="12"/>
        <v>Employee Related Cost</v>
      </c>
    </row>
    <row r="389" spans="1:16" hidden="1" x14ac:dyDescent="0.25">
      <c r="A389" t="s">
        <v>702</v>
      </c>
      <c r="C389" t="s">
        <v>220</v>
      </c>
      <c r="D389" s="67">
        <v>424278</v>
      </c>
      <c r="E389">
        <v>91950.73</v>
      </c>
      <c r="F389">
        <v>0</v>
      </c>
      <c r="G389">
        <v>551704.38</v>
      </c>
      <c r="H389">
        <v>339403.62</v>
      </c>
      <c r="I389">
        <v>61.91</v>
      </c>
      <c r="J389">
        <v>0</v>
      </c>
      <c r="K389" s="249">
        <v>424278</v>
      </c>
      <c r="L389" s="249">
        <v>443370.51</v>
      </c>
      <c r="M389" s="249">
        <v>463765.55346000002</v>
      </c>
      <c r="N389" s="249">
        <v>485098.76891916001</v>
      </c>
      <c r="O389" t="str">
        <f t="shared" si="13"/>
        <v>2</v>
      </c>
      <c r="P389" t="str">
        <f t="shared" si="12"/>
        <v>Contracted Services</v>
      </c>
    </row>
    <row r="390" spans="1:16" hidden="1" x14ac:dyDescent="0.25">
      <c r="A390" t="s">
        <v>703</v>
      </c>
      <c r="C390" t="s">
        <v>244</v>
      </c>
      <c r="D390" s="67">
        <v>3000000</v>
      </c>
      <c r="E390">
        <v>91950.73</v>
      </c>
      <c r="F390">
        <v>0</v>
      </c>
      <c r="G390">
        <v>551704.38</v>
      </c>
      <c r="H390">
        <v>339403.62</v>
      </c>
      <c r="I390">
        <v>61.91</v>
      </c>
      <c r="J390">
        <v>0</v>
      </c>
      <c r="K390" s="249">
        <v>3000000</v>
      </c>
      <c r="L390" s="249">
        <v>3135000</v>
      </c>
      <c r="M390" s="249">
        <v>3279210</v>
      </c>
      <c r="N390" s="249">
        <v>3430053.66</v>
      </c>
      <c r="O390" t="str">
        <f t="shared" si="13"/>
        <v>2</v>
      </c>
      <c r="P390" t="str">
        <f t="shared" si="12"/>
        <v>Operational Cost</v>
      </c>
    </row>
    <row r="391" spans="1:16" hidden="1" x14ac:dyDescent="0.25">
      <c r="A391" t="s">
        <v>704</v>
      </c>
      <c r="C391" t="s">
        <v>257</v>
      </c>
      <c r="D391" s="67">
        <v>790000</v>
      </c>
      <c r="E391">
        <v>91950.73</v>
      </c>
      <c r="F391">
        <v>0</v>
      </c>
      <c r="G391">
        <v>551704.38</v>
      </c>
      <c r="H391">
        <v>339403.62</v>
      </c>
      <c r="I391">
        <v>61.91</v>
      </c>
      <c r="J391">
        <v>0</v>
      </c>
      <c r="K391" s="249">
        <v>790000</v>
      </c>
      <c r="L391" s="249">
        <v>825550</v>
      </c>
      <c r="M391" s="249">
        <v>863525.3</v>
      </c>
      <c r="N391" s="249">
        <v>903247.46380000003</v>
      </c>
      <c r="O391" t="str">
        <f t="shared" si="13"/>
        <v>2</v>
      </c>
      <c r="P391" t="str">
        <f t="shared" si="12"/>
        <v>Operational Cost</v>
      </c>
    </row>
    <row r="392" spans="1:16" hidden="1" x14ac:dyDescent="0.25">
      <c r="A392" t="s">
        <v>705</v>
      </c>
      <c r="C392" t="s">
        <v>265</v>
      </c>
      <c r="D392" s="67">
        <v>0</v>
      </c>
      <c r="E392">
        <v>91950.73</v>
      </c>
      <c r="F392">
        <v>0</v>
      </c>
      <c r="G392">
        <v>551704.38</v>
      </c>
      <c r="H392">
        <v>339403.62</v>
      </c>
      <c r="I392">
        <v>61.91</v>
      </c>
      <c r="J392">
        <v>20000</v>
      </c>
      <c r="K392" s="249">
        <v>20000</v>
      </c>
      <c r="L392" s="249">
        <v>20900</v>
      </c>
      <c r="M392" s="249">
        <v>21861.4</v>
      </c>
      <c r="N392" s="249">
        <v>22867.024400000002</v>
      </c>
      <c r="O392" t="str">
        <f t="shared" si="13"/>
        <v>2</v>
      </c>
      <c r="P392" t="str">
        <f t="shared" si="12"/>
        <v>Operational Cost</v>
      </c>
    </row>
    <row r="393" spans="1:16" hidden="1" x14ac:dyDescent="0.25">
      <c r="A393" t="s">
        <v>706</v>
      </c>
      <c r="C393" t="s">
        <v>268</v>
      </c>
      <c r="D393" s="67">
        <v>0</v>
      </c>
      <c r="E393">
        <v>91950.73</v>
      </c>
      <c r="F393">
        <v>0</v>
      </c>
      <c r="G393">
        <v>551704.38</v>
      </c>
      <c r="H393">
        <v>339403.62</v>
      </c>
      <c r="I393">
        <v>61.91</v>
      </c>
      <c r="J393">
        <v>40000</v>
      </c>
      <c r="K393" s="249">
        <v>40000</v>
      </c>
      <c r="L393" s="249">
        <v>41800</v>
      </c>
      <c r="M393" s="249">
        <v>43722.8</v>
      </c>
      <c r="N393" s="249">
        <v>45734.048800000004</v>
      </c>
      <c r="O393" t="str">
        <f t="shared" si="13"/>
        <v>2</v>
      </c>
      <c r="P393" t="str">
        <f t="shared" si="12"/>
        <v>Operational Cost</v>
      </c>
    </row>
    <row r="394" spans="1:16" hidden="1" x14ac:dyDescent="0.25">
      <c r="A394" t="s">
        <v>707</v>
      </c>
      <c r="C394" t="s">
        <v>292</v>
      </c>
      <c r="D394" s="67">
        <v>11399</v>
      </c>
      <c r="E394">
        <v>91950.73</v>
      </c>
      <c r="F394">
        <v>0</v>
      </c>
      <c r="G394">
        <v>551704.38</v>
      </c>
      <c r="H394">
        <v>339403.62</v>
      </c>
      <c r="I394">
        <v>61.91</v>
      </c>
      <c r="J394">
        <v>0</v>
      </c>
      <c r="K394" s="249">
        <v>11399</v>
      </c>
      <c r="L394" s="249">
        <v>11911.955</v>
      </c>
      <c r="M394" s="249">
        <v>12459.904930000001</v>
      </c>
      <c r="N394" s="249">
        <v>13033.060556780001</v>
      </c>
      <c r="O394" t="str">
        <f t="shared" si="13"/>
        <v>2</v>
      </c>
      <c r="P394" t="str">
        <f t="shared" si="12"/>
        <v>Depreciation &amp; Amortisation</v>
      </c>
    </row>
    <row r="395" spans="1:16" hidden="1" x14ac:dyDescent="0.25">
      <c r="A395" t="s">
        <v>708</v>
      </c>
      <c r="C395" t="s">
        <v>293</v>
      </c>
      <c r="D395" s="67">
        <v>2988</v>
      </c>
      <c r="E395">
        <v>91950.73</v>
      </c>
      <c r="F395">
        <v>0</v>
      </c>
      <c r="G395">
        <v>551704.38</v>
      </c>
      <c r="H395">
        <v>339403.62</v>
      </c>
      <c r="I395">
        <v>61.91</v>
      </c>
      <c r="J395">
        <v>0</v>
      </c>
      <c r="K395" s="249">
        <v>2988</v>
      </c>
      <c r="L395" s="249">
        <v>3122.46</v>
      </c>
      <c r="M395" s="249">
        <v>3266.0931599999999</v>
      </c>
      <c r="N395" s="249">
        <v>3416.33344536</v>
      </c>
      <c r="O395" t="str">
        <f t="shared" si="13"/>
        <v>2</v>
      </c>
      <c r="P395" t="str">
        <f t="shared" si="12"/>
        <v>Depreciation &amp; Amortisation</v>
      </c>
    </row>
    <row r="396" spans="1:16" hidden="1" x14ac:dyDescent="0.25">
      <c r="A396" t="s">
        <v>710</v>
      </c>
      <c r="C396" t="s">
        <v>150</v>
      </c>
      <c r="D396" s="67">
        <v>1335043</v>
      </c>
      <c r="E396">
        <v>65927.72</v>
      </c>
      <c r="F396">
        <v>0</v>
      </c>
      <c r="G396">
        <v>401539.33</v>
      </c>
      <c r="H396">
        <v>933503.67</v>
      </c>
      <c r="I396">
        <v>30.07</v>
      </c>
      <c r="J396">
        <v>0</v>
      </c>
      <c r="K396" s="249">
        <v>1335043</v>
      </c>
      <c r="L396" s="249">
        <v>1418483.1875</v>
      </c>
      <c r="M396" s="249">
        <v>1517777.0106250001</v>
      </c>
      <c r="N396" s="249">
        <v>1624021.40136875</v>
      </c>
      <c r="O396" t="str">
        <f t="shared" si="13"/>
        <v>2</v>
      </c>
      <c r="P396" t="str">
        <f t="shared" si="12"/>
        <v>Employee Related Cost</v>
      </c>
    </row>
    <row r="397" spans="1:16" hidden="1" x14ac:dyDescent="0.25">
      <c r="A397" t="s">
        <v>711</v>
      </c>
      <c r="C397" t="s">
        <v>151</v>
      </c>
      <c r="D397" s="67">
        <v>66752</v>
      </c>
      <c r="E397">
        <v>65927.72</v>
      </c>
      <c r="F397">
        <v>0</v>
      </c>
      <c r="G397">
        <v>401539.33</v>
      </c>
      <c r="H397">
        <v>933503.67</v>
      </c>
      <c r="I397">
        <v>30.07</v>
      </c>
      <c r="J397">
        <v>-41350.730000000003</v>
      </c>
      <c r="K397" s="249">
        <v>25401.269999999997</v>
      </c>
      <c r="L397" s="249">
        <v>26988.849374999998</v>
      </c>
      <c r="M397" s="249">
        <v>28878.068831249999</v>
      </c>
      <c r="N397" s="249">
        <v>30899.533649437497</v>
      </c>
      <c r="O397" t="str">
        <f t="shared" si="13"/>
        <v>2</v>
      </c>
      <c r="P397" t="str">
        <f t="shared" si="12"/>
        <v>Employee Related Cost</v>
      </c>
    </row>
    <row r="398" spans="1:16" hidden="1" x14ac:dyDescent="0.25">
      <c r="A398" t="s">
        <v>712</v>
      </c>
      <c r="C398" t="s">
        <v>152</v>
      </c>
      <c r="D398" s="67">
        <v>66300</v>
      </c>
      <c r="E398">
        <v>65927.72</v>
      </c>
      <c r="F398">
        <v>0</v>
      </c>
      <c r="G398">
        <v>401539.33</v>
      </c>
      <c r="H398">
        <v>933503.67</v>
      </c>
      <c r="I398">
        <v>30.07</v>
      </c>
      <c r="J398">
        <v>0</v>
      </c>
      <c r="K398" s="249">
        <v>66300</v>
      </c>
      <c r="L398" s="249">
        <v>70443.75</v>
      </c>
      <c r="M398" s="249">
        <v>75374.8125</v>
      </c>
      <c r="N398" s="249">
        <v>80651.049375000002</v>
      </c>
      <c r="O398" t="str">
        <f t="shared" si="13"/>
        <v>2</v>
      </c>
      <c r="P398" t="str">
        <f t="shared" si="12"/>
        <v>Employee Related Cost</v>
      </c>
    </row>
    <row r="399" spans="1:16" hidden="1" x14ac:dyDescent="0.25">
      <c r="A399" t="s">
        <v>713</v>
      </c>
      <c r="C399" t="s">
        <v>153</v>
      </c>
      <c r="D399" s="67">
        <v>10893</v>
      </c>
      <c r="E399">
        <v>65927.72</v>
      </c>
      <c r="F399">
        <v>0</v>
      </c>
      <c r="G399">
        <v>401539.33</v>
      </c>
      <c r="H399">
        <v>933503.67</v>
      </c>
      <c r="I399">
        <v>30.07</v>
      </c>
      <c r="J399">
        <v>0</v>
      </c>
      <c r="K399" s="249">
        <v>10893</v>
      </c>
      <c r="L399" s="249">
        <v>11573.8125</v>
      </c>
      <c r="M399" s="249">
        <v>12383.979375000001</v>
      </c>
      <c r="N399" s="249">
        <v>13250.857931250001</v>
      </c>
      <c r="O399" t="str">
        <f t="shared" si="13"/>
        <v>2</v>
      </c>
      <c r="P399" t="str">
        <f t="shared" si="12"/>
        <v>Employee Related Cost</v>
      </c>
    </row>
    <row r="400" spans="1:16" hidden="1" x14ac:dyDescent="0.25">
      <c r="A400" t="s">
        <v>714</v>
      </c>
      <c r="C400" t="s">
        <v>154</v>
      </c>
      <c r="D400" s="67">
        <v>6420</v>
      </c>
      <c r="E400">
        <v>65927.72</v>
      </c>
      <c r="F400">
        <v>0</v>
      </c>
      <c r="G400">
        <v>401539.33</v>
      </c>
      <c r="H400">
        <v>933503.67</v>
      </c>
      <c r="I400">
        <v>30.07</v>
      </c>
      <c r="J400">
        <v>0</v>
      </c>
      <c r="K400" s="249">
        <v>6420</v>
      </c>
      <c r="L400" s="249">
        <v>6821.25</v>
      </c>
      <c r="M400" s="249">
        <v>7298.7375000000002</v>
      </c>
      <c r="N400" s="249">
        <v>7809.6491249999999</v>
      </c>
      <c r="O400" t="str">
        <f t="shared" si="13"/>
        <v>2</v>
      </c>
      <c r="P400" t="str">
        <f t="shared" si="12"/>
        <v>Employee Related Cost</v>
      </c>
    </row>
    <row r="401" spans="1:16" hidden="1" x14ac:dyDescent="0.25">
      <c r="A401" t="s">
        <v>715</v>
      </c>
      <c r="C401" t="s">
        <v>155</v>
      </c>
      <c r="D401" s="67">
        <v>34278</v>
      </c>
      <c r="E401">
        <v>65927.72</v>
      </c>
      <c r="F401">
        <v>0</v>
      </c>
      <c r="G401">
        <v>401539.33</v>
      </c>
      <c r="H401">
        <v>933503.67</v>
      </c>
      <c r="I401">
        <v>30.07</v>
      </c>
      <c r="J401">
        <v>0</v>
      </c>
      <c r="K401" s="249">
        <v>34278</v>
      </c>
      <c r="L401" s="249">
        <v>36420.375</v>
      </c>
      <c r="M401" s="249">
        <v>38969.801249999997</v>
      </c>
      <c r="N401" s="249">
        <v>41697.6873375</v>
      </c>
      <c r="O401" t="str">
        <f t="shared" si="13"/>
        <v>2</v>
      </c>
      <c r="P401" t="str">
        <f t="shared" si="12"/>
        <v>Employee Related Cost</v>
      </c>
    </row>
    <row r="402" spans="1:16" hidden="1" x14ac:dyDescent="0.25">
      <c r="A402" t="s">
        <v>716</v>
      </c>
      <c r="C402" t="s">
        <v>156</v>
      </c>
      <c r="D402" s="67">
        <v>219886</v>
      </c>
      <c r="E402">
        <v>65927.72</v>
      </c>
      <c r="F402">
        <v>0</v>
      </c>
      <c r="G402">
        <v>401539.33</v>
      </c>
      <c r="H402">
        <v>933503.67</v>
      </c>
      <c r="I402">
        <v>30.07</v>
      </c>
      <c r="J402">
        <v>0</v>
      </c>
      <c r="K402" s="249">
        <v>219886</v>
      </c>
      <c r="L402" s="249">
        <v>233628.875</v>
      </c>
      <c r="M402" s="249">
        <v>249982.89624999999</v>
      </c>
      <c r="N402" s="249">
        <v>267481.69898749999</v>
      </c>
      <c r="O402" t="str">
        <f t="shared" si="13"/>
        <v>2</v>
      </c>
      <c r="P402" t="str">
        <f t="shared" si="12"/>
        <v>Employee Related Cost</v>
      </c>
    </row>
    <row r="403" spans="1:16" hidden="1" x14ac:dyDescent="0.25">
      <c r="A403" t="s">
        <v>717</v>
      </c>
      <c r="C403" t="s">
        <v>157</v>
      </c>
      <c r="D403" s="67">
        <v>15152</v>
      </c>
      <c r="E403">
        <v>65927.72</v>
      </c>
      <c r="F403">
        <v>0</v>
      </c>
      <c r="G403">
        <v>401539.33</v>
      </c>
      <c r="H403">
        <v>933503.67</v>
      </c>
      <c r="I403">
        <v>30.07</v>
      </c>
      <c r="J403">
        <v>-5152</v>
      </c>
      <c r="K403" s="249">
        <v>10000</v>
      </c>
      <c r="L403" s="249">
        <v>10625</v>
      </c>
      <c r="M403" s="249">
        <v>11368.75</v>
      </c>
      <c r="N403" s="249">
        <v>12164.5625</v>
      </c>
      <c r="O403" t="str">
        <f t="shared" si="13"/>
        <v>2</v>
      </c>
      <c r="P403" t="str">
        <f t="shared" si="12"/>
        <v>Employee Related Cost</v>
      </c>
    </row>
    <row r="404" spans="1:16" hidden="1" x14ac:dyDescent="0.25">
      <c r="A404" t="s">
        <v>718</v>
      </c>
      <c r="C404" t="s">
        <v>159</v>
      </c>
      <c r="D404" s="67">
        <v>111254</v>
      </c>
      <c r="E404">
        <v>65927.72</v>
      </c>
      <c r="F404">
        <v>0</v>
      </c>
      <c r="G404">
        <v>401539.33</v>
      </c>
      <c r="H404">
        <v>933503.67</v>
      </c>
      <c r="I404">
        <v>30.07</v>
      </c>
      <c r="J404">
        <v>0</v>
      </c>
      <c r="K404" s="249">
        <v>111254</v>
      </c>
      <c r="L404" s="249">
        <v>118207.375</v>
      </c>
      <c r="M404" s="249">
        <v>126481.89125</v>
      </c>
      <c r="N404" s="249">
        <v>135335.62363749999</v>
      </c>
      <c r="O404" t="str">
        <f t="shared" si="13"/>
        <v>2</v>
      </c>
      <c r="P404" t="str">
        <f t="shared" si="12"/>
        <v>Employee Related Cost</v>
      </c>
    </row>
    <row r="405" spans="1:16" hidden="1" x14ac:dyDescent="0.25">
      <c r="A405" t="s">
        <v>719</v>
      </c>
      <c r="C405" t="s">
        <v>162</v>
      </c>
      <c r="D405" s="67">
        <v>50926</v>
      </c>
      <c r="E405">
        <v>65927.72</v>
      </c>
      <c r="F405">
        <v>0</v>
      </c>
      <c r="G405">
        <v>401539.33</v>
      </c>
      <c r="H405">
        <v>933503.67</v>
      </c>
      <c r="I405">
        <v>30.07</v>
      </c>
      <c r="J405">
        <v>-25000</v>
      </c>
      <c r="K405" s="249">
        <v>25926</v>
      </c>
      <c r="L405" s="249">
        <v>27546.375</v>
      </c>
      <c r="M405" s="249">
        <v>29474.62125</v>
      </c>
      <c r="N405" s="249">
        <v>31537.8447375</v>
      </c>
      <c r="O405" t="str">
        <f t="shared" si="13"/>
        <v>2</v>
      </c>
      <c r="P405" t="str">
        <f t="shared" si="12"/>
        <v>Employee Related Cost</v>
      </c>
    </row>
    <row r="406" spans="1:16" hidden="1" x14ac:dyDescent="0.25">
      <c r="A406" t="s">
        <v>720</v>
      </c>
      <c r="C406" t="s">
        <v>164</v>
      </c>
      <c r="D406" s="67">
        <v>15692</v>
      </c>
      <c r="E406">
        <v>65927.72</v>
      </c>
      <c r="F406">
        <v>0</v>
      </c>
      <c r="G406">
        <v>401539.33</v>
      </c>
      <c r="H406">
        <v>933503.67</v>
      </c>
      <c r="I406">
        <v>30.07</v>
      </c>
      <c r="J406">
        <v>0</v>
      </c>
      <c r="K406" s="249">
        <v>15692</v>
      </c>
      <c r="L406" s="249">
        <v>16672.75</v>
      </c>
      <c r="M406" s="249">
        <v>17839.842499999999</v>
      </c>
      <c r="N406" s="249">
        <v>19088.631474999998</v>
      </c>
      <c r="O406" t="str">
        <f t="shared" si="13"/>
        <v>2</v>
      </c>
      <c r="P406" t="str">
        <f t="shared" si="12"/>
        <v>Employee Related Cost</v>
      </c>
    </row>
    <row r="407" spans="1:16" hidden="1" x14ac:dyDescent="0.25">
      <c r="A407" t="s">
        <v>721</v>
      </c>
      <c r="C407" t="s">
        <v>167</v>
      </c>
      <c r="D407" s="67">
        <v>449</v>
      </c>
      <c r="E407">
        <v>65927.72</v>
      </c>
      <c r="F407">
        <v>0</v>
      </c>
      <c r="G407">
        <v>401539.33</v>
      </c>
      <c r="H407">
        <v>933503.67</v>
      </c>
      <c r="I407">
        <v>30.07</v>
      </c>
      <c r="J407">
        <v>0</v>
      </c>
      <c r="K407" s="249">
        <v>449</v>
      </c>
      <c r="L407" s="249">
        <v>477.0625</v>
      </c>
      <c r="M407" s="249">
        <v>510.45687499999997</v>
      </c>
      <c r="N407" s="249">
        <v>546.18885624999996</v>
      </c>
      <c r="O407" t="str">
        <f t="shared" si="13"/>
        <v>2</v>
      </c>
      <c r="P407" t="str">
        <f t="shared" si="12"/>
        <v>Employee Related Cost</v>
      </c>
    </row>
    <row r="408" spans="1:16" hidden="1" x14ac:dyDescent="0.25">
      <c r="A408" t="s">
        <v>722</v>
      </c>
      <c r="C408" t="s">
        <v>168</v>
      </c>
      <c r="D408" s="67">
        <v>107816</v>
      </c>
      <c r="E408">
        <v>65927.72</v>
      </c>
      <c r="F408">
        <v>0</v>
      </c>
      <c r="G408">
        <v>401539.33</v>
      </c>
      <c r="H408">
        <v>933503.67</v>
      </c>
      <c r="I408">
        <v>30.07</v>
      </c>
      <c r="J408">
        <v>0</v>
      </c>
      <c r="K408" s="249">
        <v>107816</v>
      </c>
      <c r="L408" s="249">
        <v>114554.5</v>
      </c>
      <c r="M408" s="249">
        <v>122573.315</v>
      </c>
      <c r="N408" s="249">
        <v>131153.44705000002</v>
      </c>
      <c r="O408" t="str">
        <f t="shared" si="13"/>
        <v>2</v>
      </c>
      <c r="P408" t="str">
        <f t="shared" si="12"/>
        <v>Employee Related Cost</v>
      </c>
    </row>
    <row r="409" spans="1:16" hidden="1" x14ac:dyDescent="0.25">
      <c r="A409" t="s">
        <v>723</v>
      </c>
      <c r="C409" t="s">
        <v>169</v>
      </c>
      <c r="D409" s="67">
        <v>293709</v>
      </c>
      <c r="E409">
        <v>65927.72</v>
      </c>
      <c r="F409">
        <v>0</v>
      </c>
      <c r="G409">
        <v>401539.33</v>
      </c>
      <c r="H409">
        <v>933503.67</v>
      </c>
      <c r="I409">
        <v>30.07</v>
      </c>
      <c r="J409">
        <v>0</v>
      </c>
      <c r="K409" s="249">
        <v>293709</v>
      </c>
      <c r="L409" s="249">
        <v>312065.8125</v>
      </c>
      <c r="M409" s="249">
        <v>333910.419375</v>
      </c>
      <c r="N409" s="249">
        <v>357284.14873124997</v>
      </c>
      <c r="O409" t="str">
        <f t="shared" si="13"/>
        <v>2</v>
      </c>
      <c r="P409" t="str">
        <f t="shared" si="12"/>
        <v>Employee Related Cost</v>
      </c>
    </row>
    <row r="410" spans="1:16" hidden="1" x14ac:dyDescent="0.25">
      <c r="A410" t="s">
        <v>724</v>
      </c>
      <c r="C410" t="s">
        <v>170</v>
      </c>
      <c r="D410" s="67">
        <v>7140</v>
      </c>
      <c r="E410">
        <v>65927.72</v>
      </c>
      <c r="F410">
        <v>0</v>
      </c>
      <c r="G410">
        <v>401539.33</v>
      </c>
      <c r="H410">
        <v>933503.67</v>
      </c>
      <c r="I410">
        <v>30.07</v>
      </c>
      <c r="J410">
        <v>0</v>
      </c>
      <c r="K410" s="249">
        <v>7140</v>
      </c>
      <c r="L410" s="249">
        <v>7586.25</v>
      </c>
      <c r="M410" s="249">
        <v>8117.2875000000004</v>
      </c>
      <c r="N410" s="249">
        <v>8685.497625</v>
      </c>
      <c r="O410" t="str">
        <f t="shared" si="13"/>
        <v>2</v>
      </c>
      <c r="P410" t="str">
        <f t="shared" si="12"/>
        <v>Employee Related Cost</v>
      </c>
    </row>
    <row r="411" spans="1:16" hidden="1" x14ac:dyDescent="0.25">
      <c r="A411" t="s">
        <v>725</v>
      </c>
      <c r="C411" t="s">
        <v>173</v>
      </c>
      <c r="D411" s="67">
        <v>4606</v>
      </c>
      <c r="E411">
        <v>65927.72</v>
      </c>
      <c r="F411">
        <v>0</v>
      </c>
      <c r="G411">
        <v>401539.33</v>
      </c>
      <c r="H411">
        <v>933503.67</v>
      </c>
      <c r="I411">
        <v>30.07</v>
      </c>
      <c r="J411">
        <v>0</v>
      </c>
      <c r="K411" s="249">
        <v>4606</v>
      </c>
      <c r="L411" s="249">
        <v>4893.875</v>
      </c>
      <c r="M411" s="249">
        <v>5236.44625</v>
      </c>
      <c r="N411" s="249">
        <v>5602.9974874999998</v>
      </c>
      <c r="O411" t="str">
        <f t="shared" si="13"/>
        <v>2</v>
      </c>
      <c r="P411" t="str">
        <f t="shared" si="12"/>
        <v>Employee Related Cost</v>
      </c>
    </row>
    <row r="412" spans="1:16" hidden="1" x14ac:dyDescent="0.25">
      <c r="A412" t="s">
        <v>726</v>
      </c>
      <c r="C412" t="s">
        <v>174</v>
      </c>
      <c r="D412" s="67">
        <v>7357</v>
      </c>
      <c r="E412">
        <v>65927.72</v>
      </c>
      <c r="F412">
        <v>0</v>
      </c>
      <c r="G412">
        <v>401539.33</v>
      </c>
      <c r="H412">
        <v>933503.67</v>
      </c>
      <c r="I412">
        <v>30.07</v>
      </c>
      <c r="J412">
        <v>0</v>
      </c>
      <c r="K412" s="249">
        <v>7357</v>
      </c>
      <c r="L412" s="249">
        <v>7816.8125</v>
      </c>
      <c r="M412" s="249">
        <v>8363.9893749999992</v>
      </c>
      <c r="N412" s="249">
        <v>8949.4686312499998</v>
      </c>
      <c r="O412" t="str">
        <f t="shared" si="13"/>
        <v>2</v>
      </c>
      <c r="P412" t="str">
        <f t="shared" si="12"/>
        <v>Employee Related Cost</v>
      </c>
    </row>
    <row r="413" spans="1:16" hidden="1" x14ac:dyDescent="0.25">
      <c r="A413" t="s">
        <v>727</v>
      </c>
      <c r="C413" t="s">
        <v>175</v>
      </c>
      <c r="D413" s="67">
        <v>4920</v>
      </c>
      <c r="E413">
        <v>65927.72</v>
      </c>
      <c r="F413">
        <v>0</v>
      </c>
      <c r="G413">
        <v>401539.33</v>
      </c>
      <c r="H413">
        <v>933503.67</v>
      </c>
      <c r="I413">
        <v>30.07</v>
      </c>
      <c r="J413">
        <v>0</v>
      </c>
      <c r="K413" s="249">
        <v>4920</v>
      </c>
      <c r="L413" s="249">
        <v>5227.5</v>
      </c>
      <c r="M413" s="249">
        <v>5593.4250000000002</v>
      </c>
      <c r="N413" s="249">
        <v>5984.9647500000001</v>
      </c>
      <c r="O413" t="str">
        <f t="shared" si="13"/>
        <v>2</v>
      </c>
      <c r="P413" t="str">
        <f t="shared" si="12"/>
        <v>Employee Related Cost</v>
      </c>
    </row>
    <row r="414" spans="1:16" hidden="1" x14ac:dyDescent="0.25">
      <c r="A414" t="s">
        <v>728</v>
      </c>
      <c r="C414" t="s">
        <v>192</v>
      </c>
      <c r="D414" s="67">
        <v>221423</v>
      </c>
      <c r="E414">
        <v>65927.72</v>
      </c>
      <c r="F414">
        <v>0</v>
      </c>
      <c r="G414">
        <v>401539.33</v>
      </c>
      <c r="H414">
        <v>933503.67</v>
      </c>
      <c r="I414">
        <v>30.07</v>
      </c>
      <c r="J414">
        <v>0</v>
      </c>
      <c r="K414" s="249">
        <v>221423</v>
      </c>
      <c r="L414" s="249">
        <v>235261.9375</v>
      </c>
      <c r="M414" s="249">
        <v>251730.27312500001</v>
      </c>
      <c r="N414" s="249">
        <v>269351.39224374999</v>
      </c>
      <c r="O414" t="str">
        <f t="shared" si="13"/>
        <v>2</v>
      </c>
      <c r="P414" t="str">
        <f t="shared" si="12"/>
        <v>Remuneration of Councillors</v>
      </c>
    </row>
    <row r="415" spans="1:16" hidden="1" x14ac:dyDescent="0.25">
      <c r="A415" t="s">
        <v>729</v>
      </c>
      <c r="C415" t="s">
        <v>193</v>
      </c>
      <c r="D415" s="67">
        <v>664269</v>
      </c>
      <c r="E415">
        <v>65927.72</v>
      </c>
      <c r="F415">
        <v>0</v>
      </c>
      <c r="G415">
        <v>401539.33</v>
      </c>
      <c r="H415">
        <v>933503.67</v>
      </c>
      <c r="I415">
        <v>30.07</v>
      </c>
      <c r="J415">
        <v>0</v>
      </c>
      <c r="K415" s="249">
        <v>664269</v>
      </c>
      <c r="L415" s="249">
        <v>705785.8125</v>
      </c>
      <c r="M415" s="249">
        <v>755190.81937499996</v>
      </c>
      <c r="N415" s="249">
        <v>808054.17673125002</v>
      </c>
      <c r="O415" t="str">
        <f t="shared" si="13"/>
        <v>2</v>
      </c>
      <c r="P415" t="str">
        <f t="shared" si="12"/>
        <v>Remuneration of Councillors</v>
      </c>
    </row>
    <row r="416" spans="1:16" hidden="1" x14ac:dyDescent="0.25">
      <c r="A416" t="s">
        <v>730</v>
      </c>
      <c r="C416" t="s">
        <v>194</v>
      </c>
      <c r="D416" s="67">
        <v>47508</v>
      </c>
      <c r="E416">
        <v>65927.72</v>
      </c>
      <c r="F416">
        <v>0</v>
      </c>
      <c r="G416">
        <v>401539.33</v>
      </c>
      <c r="H416">
        <v>933503.67</v>
      </c>
      <c r="I416">
        <v>30.07</v>
      </c>
      <c r="J416">
        <v>0</v>
      </c>
      <c r="K416" s="249">
        <v>47508</v>
      </c>
      <c r="L416" s="249">
        <v>50477.25</v>
      </c>
      <c r="M416" s="249">
        <v>54010.657500000001</v>
      </c>
      <c r="N416" s="249">
        <v>57791.403525000002</v>
      </c>
      <c r="O416" t="str">
        <f t="shared" si="13"/>
        <v>2</v>
      </c>
      <c r="P416" t="str">
        <f t="shared" si="12"/>
        <v>Remuneration of Councillors</v>
      </c>
    </row>
    <row r="417" spans="1:16" hidden="1" x14ac:dyDescent="0.25">
      <c r="A417" t="s">
        <v>731</v>
      </c>
      <c r="C417" t="s">
        <v>202</v>
      </c>
      <c r="D417" s="67">
        <v>0</v>
      </c>
      <c r="E417">
        <v>65927.72</v>
      </c>
      <c r="F417">
        <v>0</v>
      </c>
      <c r="G417">
        <v>401539.33</v>
      </c>
      <c r="H417">
        <v>933503.67</v>
      </c>
      <c r="I417">
        <v>30.07</v>
      </c>
      <c r="J417">
        <v>0</v>
      </c>
      <c r="K417" s="249">
        <v>0</v>
      </c>
      <c r="L417" s="249">
        <v>0</v>
      </c>
      <c r="M417" s="249">
        <v>0</v>
      </c>
      <c r="O417" t="str">
        <f t="shared" si="13"/>
        <v>2</v>
      </c>
      <c r="P417" t="str">
        <f t="shared" si="12"/>
        <v>Remuneration of Councillors</v>
      </c>
    </row>
    <row r="418" spans="1:16" hidden="1" x14ac:dyDescent="0.25">
      <c r="A418" t="s">
        <v>732</v>
      </c>
      <c r="C418" t="s">
        <v>203</v>
      </c>
      <c r="D418" s="67">
        <v>0</v>
      </c>
      <c r="E418">
        <v>65927.72</v>
      </c>
      <c r="F418">
        <v>0</v>
      </c>
      <c r="G418">
        <v>401539.33</v>
      </c>
      <c r="H418">
        <v>933503.67</v>
      </c>
      <c r="I418">
        <v>30.07</v>
      </c>
      <c r="J418">
        <v>0</v>
      </c>
      <c r="K418" s="249">
        <v>0</v>
      </c>
      <c r="L418" s="249">
        <v>0</v>
      </c>
      <c r="M418" s="249">
        <v>0</v>
      </c>
      <c r="O418" t="str">
        <f t="shared" si="13"/>
        <v>2</v>
      </c>
      <c r="P418" t="str">
        <f t="shared" si="12"/>
        <v>Remuneration of Councillors</v>
      </c>
    </row>
    <row r="419" spans="1:16" hidden="1" x14ac:dyDescent="0.25">
      <c r="A419" t="s">
        <v>733</v>
      </c>
      <c r="C419" t="s">
        <v>204</v>
      </c>
      <c r="D419" s="67">
        <v>0</v>
      </c>
      <c r="E419">
        <v>65927.72</v>
      </c>
      <c r="F419">
        <v>0</v>
      </c>
      <c r="G419">
        <v>401539.33</v>
      </c>
      <c r="H419">
        <v>933503.67</v>
      </c>
      <c r="I419">
        <v>30.07</v>
      </c>
      <c r="J419">
        <v>0</v>
      </c>
      <c r="K419" s="249">
        <v>0</v>
      </c>
      <c r="L419" s="249">
        <v>0</v>
      </c>
      <c r="M419" s="249">
        <v>0</v>
      </c>
      <c r="O419" t="str">
        <f t="shared" si="13"/>
        <v>2</v>
      </c>
      <c r="P419" t="str">
        <f t="shared" si="12"/>
        <v>Remuneration of Councillors</v>
      </c>
    </row>
    <row r="420" spans="1:16" hidden="1" x14ac:dyDescent="0.25">
      <c r="A420" t="s">
        <v>734</v>
      </c>
      <c r="C420" t="s">
        <v>214</v>
      </c>
      <c r="D420" s="67">
        <v>49290</v>
      </c>
      <c r="E420">
        <v>65927.72</v>
      </c>
      <c r="F420">
        <v>0</v>
      </c>
      <c r="G420">
        <v>401539.33</v>
      </c>
      <c r="H420">
        <v>933503.67</v>
      </c>
      <c r="I420">
        <v>30.07</v>
      </c>
      <c r="J420">
        <v>0</v>
      </c>
      <c r="K420" s="249">
        <v>49290</v>
      </c>
      <c r="L420" s="249">
        <v>51508.05</v>
      </c>
      <c r="M420" s="249">
        <v>53877.420300000005</v>
      </c>
      <c r="N420" s="249">
        <v>56355.781633800005</v>
      </c>
      <c r="O420" t="str">
        <f t="shared" si="13"/>
        <v>2</v>
      </c>
      <c r="P420" t="str">
        <f t="shared" si="12"/>
        <v>Contracted Services</v>
      </c>
    </row>
    <row r="421" spans="1:16" hidden="1" x14ac:dyDescent="0.25">
      <c r="A421" t="s">
        <v>735</v>
      </c>
      <c r="C421" t="s">
        <v>214</v>
      </c>
      <c r="D421" s="67">
        <v>129198</v>
      </c>
      <c r="E421">
        <v>65927.72</v>
      </c>
      <c r="F421">
        <v>0</v>
      </c>
      <c r="G421">
        <v>401539.33</v>
      </c>
      <c r="H421">
        <v>933503.67</v>
      </c>
      <c r="I421">
        <v>30.07</v>
      </c>
      <c r="J421">
        <v>-45000</v>
      </c>
      <c r="K421" s="249">
        <v>84198</v>
      </c>
      <c r="L421" s="249">
        <v>87986.91</v>
      </c>
      <c r="M421" s="249">
        <v>92034.307860000001</v>
      </c>
      <c r="N421" s="249">
        <v>96267.88602156</v>
      </c>
      <c r="O421" t="str">
        <f t="shared" si="13"/>
        <v>2</v>
      </c>
      <c r="P421" t="str">
        <f t="shared" si="12"/>
        <v>Contracted Services</v>
      </c>
    </row>
    <row r="422" spans="1:16" hidden="1" x14ac:dyDescent="0.25">
      <c r="A422" t="s">
        <v>736</v>
      </c>
      <c r="C422" t="s">
        <v>214</v>
      </c>
      <c r="D422" s="67">
        <v>142582</v>
      </c>
      <c r="E422">
        <v>65927.72</v>
      </c>
      <c r="F422">
        <v>0</v>
      </c>
      <c r="G422">
        <v>401539.33</v>
      </c>
      <c r="H422">
        <v>933503.67</v>
      </c>
      <c r="I422">
        <v>30.07</v>
      </c>
      <c r="J422">
        <v>150000</v>
      </c>
      <c r="K422" s="249">
        <v>292582</v>
      </c>
      <c r="L422" s="249">
        <v>305748.19</v>
      </c>
      <c r="M422" s="249">
        <v>319812.60674000002</v>
      </c>
      <c r="N422" s="249">
        <v>334523.98665004002</v>
      </c>
      <c r="O422" t="str">
        <f t="shared" si="13"/>
        <v>2</v>
      </c>
      <c r="P422" t="str">
        <f t="shared" si="12"/>
        <v>Contracted Services</v>
      </c>
    </row>
    <row r="423" spans="1:16" hidden="1" x14ac:dyDescent="0.25">
      <c r="A423" t="s">
        <v>737</v>
      </c>
      <c r="C423" t="s">
        <v>214</v>
      </c>
      <c r="D423" s="67">
        <v>149582</v>
      </c>
      <c r="E423">
        <v>65927.72</v>
      </c>
      <c r="F423">
        <v>0</v>
      </c>
      <c r="G423">
        <v>401539.33</v>
      </c>
      <c r="H423">
        <v>933503.67</v>
      </c>
      <c r="I423">
        <v>30.07</v>
      </c>
      <c r="J423">
        <v>20000</v>
      </c>
      <c r="K423" s="249">
        <v>169582</v>
      </c>
      <c r="L423" s="249">
        <v>177213.19</v>
      </c>
      <c r="M423" s="249">
        <v>185364.99674</v>
      </c>
      <c r="N423" s="249">
        <v>193891.78659003999</v>
      </c>
      <c r="O423" t="str">
        <f t="shared" si="13"/>
        <v>2</v>
      </c>
      <c r="P423" t="str">
        <f t="shared" si="12"/>
        <v>Contracted Services</v>
      </c>
    </row>
    <row r="424" spans="1:16" hidden="1" x14ac:dyDescent="0.25">
      <c r="A424" t="s">
        <v>738</v>
      </c>
      <c r="C424" t="s">
        <v>214</v>
      </c>
      <c r="D424" s="67">
        <v>200689</v>
      </c>
      <c r="E424">
        <v>65927.72</v>
      </c>
      <c r="F424">
        <v>0</v>
      </c>
      <c r="G424">
        <v>401539.33</v>
      </c>
      <c r="H424">
        <v>933503.67</v>
      </c>
      <c r="I424">
        <v>30.07</v>
      </c>
      <c r="J424">
        <v>30000</v>
      </c>
      <c r="K424" s="249">
        <v>230689</v>
      </c>
      <c r="L424" s="249">
        <v>241070.005</v>
      </c>
      <c r="M424" s="249">
        <v>252159.22523000001</v>
      </c>
      <c r="N424" s="249">
        <v>263758.54959057999</v>
      </c>
      <c r="O424" t="str">
        <f t="shared" si="13"/>
        <v>2</v>
      </c>
      <c r="P424" t="str">
        <f t="shared" si="12"/>
        <v>Contracted Services</v>
      </c>
    </row>
    <row r="425" spans="1:16" hidden="1" x14ac:dyDescent="0.25">
      <c r="A425" t="s">
        <v>739</v>
      </c>
      <c r="B425" t="s">
        <v>3034</v>
      </c>
      <c r="C425" t="s">
        <v>214</v>
      </c>
      <c r="D425" s="67">
        <v>100000</v>
      </c>
      <c r="E425">
        <v>65927.72</v>
      </c>
      <c r="F425">
        <v>0</v>
      </c>
      <c r="G425">
        <v>401539.33</v>
      </c>
      <c r="H425">
        <v>933503.67</v>
      </c>
      <c r="I425">
        <v>30.07</v>
      </c>
      <c r="J425">
        <v>-22000</v>
      </c>
      <c r="K425" s="249">
        <v>78000</v>
      </c>
      <c r="L425" s="249">
        <v>81510</v>
      </c>
      <c r="M425" s="249">
        <v>85259.46</v>
      </c>
      <c r="N425" s="249">
        <v>89181.39516</v>
      </c>
      <c r="O425" t="str">
        <f t="shared" si="13"/>
        <v>2</v>
      </c>
      <c r="P425" t="str">
        <f t="shared" si="12"/>
        <v>Contracted Services</v>
      </c>
    </row>
    <row r="426" spans="1:16" hidden="1" x14ac:dyDescent="0.25">
      <c r="A426" t="s">
        <v>740</v>
      </c>
      <c r="B426" t="s">
        <v>3035</v>
      </c>
      <c r="C426" t="s">
        <v>214</v>
      </c>
      <c r="D426" s="67">
        <v>150406</v>
      </c>
      <c r="E426">
        <v>65927.72</v>
      </c>
      <c r="F426">
        <v>0</v>
      </c>
      <c r="G426">
        <v>401539.33</v>
      </c>
      <c r="H426">
        <v>933503.67</v>
      </c>
      <c r="I426">
        <v>30.07</v>
      </c>
      <c r="J426">
        <v>-7256</v>
      </c>
      <c r="K426" s="249">
        <v>143150</v>
      </c>
      <c r="L426" s="249">
        <v>149591.75</v>
      </c>
      <c r="M426" s="249">
        <v>156472.9705</v>
      </c>
      <c r="N426" s="249">
        <v>163670.727143</v>
      </c>
      <c r="O426" t="str">
        <f t="shared" si="13"/>
        <v>2</v>
      </c>
      <c r="P426" t="str">
        <f t="shared" si="12"/>
        <v>Contracted Services</v>
      </c>
    </row>
    <row r="427" spans="1:16" hidden="1" x14ac:dyDescent="0.25">
      <c r="A427" t="s">
        <v>741</v>
      </c>
      <c r="C427" t="s">
        <v>242</v>
      </c>
      <c r="D427" s="67">
        <v>68920</v>
      </c>
      <c r="E427">
        <v>65927.72</v>
      </c>
      <c r="F427">
        <v>0</v>
      </c>
      <c r="G427">
        <v>401539.33</v>
      </c>
      <c r="H427">
        <v>933503.67</v>
      </c>
      <c r="I427">
        <v>30.07</v>
      </c>
      <c r="J427">
        <v>0</v>
      </c>
      <c r="K427" s="249">
        <v>68920</v>
      </c>
      <c r="L427" s="249">
        <v>72021.399999999994</v>
      </c>
      <c r="M427" s="249">
        <v>75334.384399999995</v>
      </c>
      <c r="N427" s="249">
        <v>78799.76608239999</v>
      </c>
      <c r="O427" t="str">
        <f t="shared" si="13"/>
        <v>2</v>
      </c>
      <c r="P427" t="str">
        <f t="shared" si="12"/>
        <v>Operational Cost</v>
      </c>
    </row>
    <row r="428" spans="1:16" hidden="1" x14ac:dyDescent="0.25">
      <c r="A428" t="s">
        <v>742</v>
      </c>
      <c r="C428" t="s">
        <v>253</v>
      </c>
      <c r="D428" s="67">
        <v>2000</v>
      </c>
      <c r="E428">
        <v>65927.72</v>
      </c>
      <c r="F428">
        <v>0</v>
      </c>
      <c r="G428">
        <v>401539.33</v>
      </c>
      <c r="H428">
        <v>933503.67</v>
      </c>
      <c r="I428">
        <v>30.07</v>
      </c>
      <c r="J428">
        <v>0</v>
      </c>
      <c r="K428" s="249">
        <v>2000</v>
      </c>
      <c r="L428" s="249">
        <v>2090</v>
      </c>
      <c r="M428" s="249">
        <v>2186.14</v>
      </c>
      <c r="N428" s="249">
        <v>2286.70244</v>
      </c>
      <c r="O428" t="str">
        <f t="shared" si="13"/>
        <v>2</v>
      </c>
      <c r="P428" t="str">
        <f t="shared" si="12"/>
        <v>Operational Cost</v>
      </c>
    </row>
    <row r="429" spans="1:16" hidden="1" x14ac:dyDescent="0.25">
      <c r="A429" t="s">
        <v>743</v>
      </c>
      <c r="C429" t="s">
        <v>262</v>
      </c>
      <c r="D429" s="67">
        <v>97801</v>
      </c>
      <c r="E429">
        <v>65927.72</v>
      </c>
      <c r="F429">
        <v>0</v>
      </c>
      <c r="G429">
        <v>401539.33</v>
      </c>
      <c r="H429">
        <v>933503.67</v>
      </c>
      <c r="I429">
        <v>30.07</v>
      </c>
      <c r="J429">
        <v>-97801</v>
      </c>
      <c r="K429" s="249">
        <v>0</v>
      </c>
      <c r="L429" s="249">
        <v>0</v>
      </c>
      <c r="M429" s="249">
        <v>0</v>
      </c>
      <c r="N429" s="249">
        <v>0</v>
      </c>
      <c r="O429" t="str">
        <f t="shared" si="13"/>
        <v>2</v>
      </c>
      <c r="P429" t="str">
        <f t="shared" si="12"/>
        <v>Operational Cost</v>
      </c>
    </row>
    <row r="430" spans="1:16" hidden="1" x14ac:dyDescent="0.25">
      <c r="A430" t="s">
        <v>744</v>
      </c>
      <c r="C430" t="s">
        <v>265</v>
      </c>
      <c r="D430" s="67">
        <v>60606</v>
      </c>
      <c r="E430">
        <v>65927.72</v>
      </c>
      <c r="F430">
        <v>0</v>
      </c>
      <c r="G430">
        <v>401539.33</v>
      </c>
      <c r="H430">
        <v>933503.67</v>
      </c>
      <c r="I430">
        <v>30.07</v>
      </c>
      <c r="J430">
        <v>-4000</v>
      </c>
      <c r="K430" s="249">
        <v>56606</v>
      </c>
      <c r="L430" s="249">
        <v>59153.27</v>
      </c>
      <c r="M430" s="249">
        <v>61874.320419999996</v>
      </c>
      <c r="N430" s="249">
        <v>64720.539159319997</v>
      </c>
      <c r="O430" t="str">
        <f t="shared" si="13"/>
        <v>2</v>
      </c>
      <c r="P430" t="str">
        <f t="shared" si="12"/>
        <v>Operational Cost</v>
      </c>
    </row>
    <row r="431" spans="1:16" hidden="1" x14ac:dyDescent="0.25">
      <c r="A431" t="s">
        <v>745</v>
      </c>
      <c r="C431" t="s">
        <v>268</v>
      </c>
      <c r="D431" s="67">
        <v>175152</v>
      </c>
      <c r="E431">
        <v>65927.72</v>
      </c>
      <c r="F431">
        <v>0</v>
      </c>
      <c r="G431">
        <v>401539.33</v>
      </c>
      <c r="H431">
        <v>933503.67</v>
      </c>
      <c r="I431">
        <v>30.07</v>
      </c>
      <c r="J431">
        <v>-80000</v>
      </c>
      <c r="K431" s="249">
        <v>95152</v>
      </c>
      <c r="L431" s="249">
        <v>99433.84</v>
      </c>
      <c r="M431" s="249">
        <v>104007.79664</v>
      </c>
      <c r="N431" s="249">
        <v>108792.15528544001</v>
      </c>
      <c r="O431" t="str">
        <f t="shared" si="13"/>
        <v>2</v>
      </c>
      <c r="P431" t="str">
        <f t="shared" si="12"/>
        <v>Operational Cost</v>
      </c>
    </row>
    <row r="432" spans="1:16" hidden="1" x14ac:dyDescent="0.25">
      <c r="A432" t="s">
        <v>746</v>
      </c>
      <c r="C432" t="s">
        <v>268</v>
      </c>
      <c r="D432" s="67">
        <v>100000</v>
      </c>
      <c r="E432">
        <v>65927.72</v>
      </c>
      <c r="F432">
        <v>0</v>
      </c>
      <c r="G432">
        <v>401539.33</v>
      </c>
      <c r="H432">
        <v>933503.67</v>
      </c>
      <c r="I432">
        <v>30.07</v>
      </c>
      <c r="J432">
        <v>50000</v>
      </c>
      <c r="K432" s="249">
        <v>150000</v>
      </c>
      <c r="L432" s="249">
        <v>156750</v>
      </c>
      <c r="M432" s="249">
        <v>163960.5</v>
      </c>
      <c r="N432" s="249">
        <v>171502.68299999999</v>
      </c>
      <c r="O432" t="str">
        <f t="shared" si="13"/>
        <v>2</v>
      </c>
      <c r="P432" t="str">
        <f t="shared" si="12"/>
        <v>Operational Cost</v>
      </c>
    </row>
    <row r="433" spans="1:16" hidden="1" x14ac:dyDescent="0.25">
      <c r="A433" t="s">
        <v>747</v>
      </c>
      <c r="C433" t="s">
        <v>269</v>
      </c>
      <c r="D433" s="67">
        <v>76320</v>
      </c>
      <c r="E433">
        <v>65927.72</v>
      </c>
      <c r="F433">
        <v>0</v>
      </c>
      <c r="G433">
        <v>401539.33</v>
      </c>
      <c r="H433">
        <v>933503.67</v>
      </c>
      <c r="I433">
        <v>30.07</v>
      </c>
      <c r="J433">
        <v>-20000</v>
      </c>
      <c r="K433" s="249">
        <v>56320</v>
      </c>
      <c r="L433" s="249">
        <v>58854.400000000001</v>
      </c>
      <c r="M433" s="249">
        <v>61561.702400000002</v>
      </c>
      <c r="N433" s="249">
        <v>64393.540710400004</v>
      </c>
      <c r="O433" t="str">
        <f t="shared" si="13"/>
        <v>2</v>
      </c>
      <c r="P433" t="str">
        <f t="shared" si="12"/>
        <v>Operational Cost</v>
      </c>
    </row>
    <row r="434" spans="1:16" hidden="1" x14ac:dyDescent="0.25">
      <c r="A434" t="s">
        <v>749</v>
      </c>
      <c r="C434" t="s">
        <v>202</v>
      </c>
      <c r="D434" s="67">
        <v>269777</v>
      </c>
      <c r="E434">
        <v>65927.72</v>
      </c>
      <c r="F434">
        <v>0</v>
      </c>
      <c r="G434">
        <v>401539.33</v>
      </c>
      <c r="H434">
        <v>933503.67</v>
      </c>
      <c r="I434">
        <v>30.07</v>
      </c>
      <c r="J434">
        <v>0</v>
      </c>
      <c r="K434" s="249">
        <v>269777</v>
      </c>
      <c r="L434" s="249">
        <v>286638.0625</v>
      </c>
      <c r="M434" s="249">
        <v>306702.72687499999</v>
      </c>
      <c r="N434" s="249">
        <v>328171.91775625001</v>
      </c>
      <c r="O434" t="str">
        <f t="shared" si="13"/>
        <v>2</v>
      </c>
      <c r="P434" t="str">
        <f t="shared" si="12"/>
        <v>Remuneration of Councillors</v>
      </c>
    </row>
    <row r="435" spans="1:16" hidden="1" x14ac:dyDescent="0.25">
      <c r="A435" t="s">
        <v>750</v>
      </c>
      <c r="C435" t="s">
        <v>203</v>
      </c>
      <c r="D435" s="67">
        <v>809332</v>
      </c>
      <c r="E435">
        <v>65927.72</v>
      </c>
      <c r="F435">
        <v>0</v>
      </c>
      <c r="G435">
        <v>401539.33</v>
      </c>
      <c r="H435">
        <v>933503.67</v>
      </c>
      <c r="I435">
        <v>30.07</v>
      </c>
      <c r="J435">
        <v>0</v>
      </c>
      <c r="K435" s="249">
        <v>809332</v>
      </c>
      <c r="L435" s="249">
        <v>859915.25</v>
      </c>
      <c r="M435" s="249">
        <v>920109.3175</v>
      </c>
      <c r="N435" s="249">
        <v>984516.96972499997</v>
      </c>
      <c r="O435" t="str">
        <f t="shared" si="13"/>
        <v>2</v>
      </c>
      <c r="P435" t="str">
        <f t="shared" si="12"/>
        <v>Remuneration of Councillors</v>
      </c>
    </row>
    <row r="436" spans="1:16" hidden="1" x14ac:dyDescent="0.25">
      <c r="A436" t="s">
        <v>751</v>
      </c>
      <c r="C436" t="s">
        <v>204</v>
      </c>
      <c r="D436" s="67">
        <v>136308</v>
      </c>
      <c r="E436">
        <v>65927.72</v>
      </c>
      <c r="F436">
        <v>0</v>
      </c>
      <c r="G436">
        <v>401539.33</v>
      </c>
      <c r="H436">
        <v>933503.67</v>
      </c>
      <c r="I436">
        <v>30.07</v>
      </c>
      <c r="J436">
        <v>0</v>
      </c>
      <c r="K436" s="249">
        <v>136308</v>
      </c>
      <c r="L436" s="249">
        <v>144827.25</v>
      </c>
      <c r="M436" s="249">
        <v>154965.1575</v>
      </c>
      <c r="N436" s="249">
        <v>165812.718525</v>
      </c>
      <c r="O436" t="str">
        <f t="shared" si="13"/>
        <v>2</v>
      </c>
      <c r="P436" t="str">
        <f t="shared" si="12"/>
        <v>Remuneration of Councillors</v>
      </c>
    </row>
    <row r="437" spans="1:16" hidden="1" x14ac:dyDescent="0.25">
      <c r="A437" t="s">
        <v>752</v>
      </c>
      <c r="C437" t="s">
        <v>268</v>
      </c>
      <c r="D437" s="67">
        <v>50000</v>
      </c>
      <c r="E437">
        <v>65927.72</v>
      </c>
      <c r="F437">
        <v>0</v>
      </c>
      <c r="G437">
        <v>401539.33</v>
      </c>
      <c r="H437">
        <v>933503.67</v>
      </c>
      <c r="I437">
        <v>30.07</v>
      </c>
      <c r="J437">
        <v>-25000</v>
      </c>
      <c r="K437" s="249">
        <v>25000</v>
      </c>
      <c r="L437" s="249">
        <v>26125</v>
      </c>
      <c r="M437" s="249">
        <v>27326.75</v>
      </c>
      <c r="N437" s="249">
        <v>28583.780500000001</v>
      </c>
      <c r="O437" t="str">
        <f t="shared" si="13"/>
        <v>2</v>
      </c>
      <c r="P437" t="str">
        <f t="shared" si="12"/>
        <v>Operational Cost</v>
      </c>
    </row>
    <row r="438" spans="1:16" hidden="1" x14ac:dyDescent="0.25">
      <c r="A438" t="s">
        <v>754</v>
      </c>
      <c r="C438" t="s">
        <v>150</v>
      </c>
      <c r="D438" s="67">
        <v>200866</v>
      </c>
      <c r="E438">
        <v>65927.72</v>
      </c>
      <c r="F438">
        <v>0</v>
      </c>
      <c r="G438">
        <v>401539.33</v>
      </c>
      <c r="H438">
        <v>933503.67</v>
      </c>
      <c r="I438">
        <v>30.07</v>
      </c>
      <c r="J438">
        <v>0</v>
      </c>
      <c r="K438" s="249">
        <v>200866</v>
      </c>
      <c r="L438" s="249">
        <v>213420.125</v>
      </c>
      <c r="M438" s="249">
        <v>228359.53375</v>
      </c>
      <c r="N438" s="249">
        <v>244344.70111250001</v>
      </c>
      <c r="O438" t="str">
        <f t="shared" si="13"/>
        <v>2</v>
      </c>
      <c r="P438" t="str">
        <f t="shared" si="12"/>
        <v>Employee Related Cost</v>
      </c>
    </row>
    <row r="439" spans="1:16" hidden="1" x14ac:dyDescent="0.25">
      <c r="A439" t="s">
        <v>755</v>
      </c>
      <c r="C439" t="s">
        <v>151</v>
      </c>
      <c r="D439" s="67">
        <v>10043</v>
      </c>
      <c r="E439">
        <v>65927.72</v>
      </c>
      <c r="F439">
        <v>0</v>
      </c>
      <c r="G439">
        <v>401539.33</v>
      </c>
      <c r="H439">
        <v>933503.67</v>
      </c>
      <c r="I439">
        <v>30.07</v>
      </c>
      <c r="J439">
        <v>-1575.9100000000017</v>
      </c>
      <c r="K439" s="249">
        <v>8467.0899999999983</v>
      </c>
      <c r="L439" s="249">
        <v>8996.2831249999981</v>
      </c>
      <c r="M439" s="249">
        <v>9626.0229437499984</v>
      </c>
      <c r="N439" s="249">
        <v>10299.844549812498</v>
      </c>
      <c r="O439" t="str">
        <f t="shared" si="13"/>
        <v>2</v>
      </c>
      <c r="P439" t="str">
        <f t="shared" si="12"/>
        <v>Employee Related Cost</v>
      </c>
    </row>
    <row r="440" spans="1:16" hidden="1" x14ac:dyDescent="0.25">
      <c r="A440" t="s">
        <v>756</v>
      </c>
      <c r="C440" t="s">
        <v>155</v>
      </c>
      <c r="D440" s="67">
        <v>6666</v>
      </c>
      <c r="E440">
        <v>65927.72</v>
      </c>
      <c r="F440">
        <v>0</v>
      </c>
      <c r="G440">
        <v>401539.33</v>
      </c>
      <c r="H440">
        <v>933503.67</v>
      </c>
      <c r="I440">
        <v>30.07</v>
      </c>
      <c r="J440">
        <v>0</v>
      </c>
      <c r="K440" s="249">
        <v>6666</v>
      </c>
      <c r="L440" s="249">
        <v>7082.625</v>
      </c>
      <c r="M440" s="249">
        <v>7578.4087499999996</v>
      </c>
      <c r="N440" s="249">
        <v>8108.8973624999999</v>
      </c>
      <c r="O440" t="str">
        <f t="shared" si="13"/>
        <v>2</v>
      </c>
      <c r="P440" t="str">
        <f t="shared" si="12"/>
        <v>Employee Related Cost</v>
      </c>
    </row>
    <row r="441" spans="1:16" hidden="1" x14ac:dyDescent="0.25">
      <c r="A441" t="s">
        <v>757</v>
      </c>
      <c r="C441" t="s">
        <v>157</v>
      </c>
      <c r="D441" s="67">
        <v>23939</v>
      </c>
      <c r="E441">
        <v>65927.72</v>
      </c>
      <c r="F441">
        <v>0</v>
      </c>
      <c r="G441">
        <v>401539.33</v>
      </c>
      <c r="H441">
        <v>933503.67</v>
      </c>
      <c r="I441">
        <v>30.07</v>
      </c>
      <c r="J441">
        <v>0</v>
      </c>
      <c r="K441" s="249">
        <v>23939</v>
      </c>
      <c r="L441" s="249">
        <v>25435.1875</v>
      </c>
      <c r="M441" s="249">
        <v>27215.650624999998</v>
      </c>
      <c r="N441" s="249">
        <v>29120.746168749996</v>
      </c>
      <c r="O441" t="str">
        <f t="shared" si="13"/>
        <v>2</v>
      </c>
      <c r="P441" t="str">
        <f t="shared" si="12"/>
        <v>Employee Related Cost</v>
      </c>
    </row>
    <row r="442" spans="1:16" hidden="1" x14ac:dyDescent="0.25">
      <c r="A442" t="s">
        <v>758</v>
      </c>
      <c r="C442" t="s">
        <v>159</v>
      </c>
      <c r="D442" s="67">
        <v>16739</v>
      </c>
      <c r="E442">
        <v>65927.72</v>
      </c>
      <c r="F442">
        <v>0</v>
      </c>
      <c r="G442">
        <v>401539.33</v>
      </c>
      <c r="H442">
        <v>933503.67</v>
      </c>
      <c r="I442">
        <v>30.07</v>
      </c>
      <c r="J442">
        <v>0</v>
      </c>
      <c r="K442" s="249">
        <v>16739</v>
      </c>
      <c r="L442" s="249">
        <v>17785.1875</v>
      </c>
      <c r="M442" s="249">
        <v>19030.150624999998</v>
      </c>
      <c r="N442" s="249">
        <v>20362.261168749999</v>
      </c>
      <c r="O442" t="str">
        <f t="shared" si="13"/>
        <v>2</v>
      </c>
      <c r="P442" t="str">
        <f t="shared" si="12"/>
        <v>Employee Related Cost</v>
      </c>
    </row>
    <row r="443" spans="1:16" hidden="1" x14ac:dyDescent="0.25">
      <c r="A443" t="s">
        <v>759</v>
      </c>
      <c r="C443" t="s">
        <v>164</v>
      </c>
      <c r="D443" s="67">
        <v>0</v>
      </c>
      <c r="E443">
        <v>65927.72</v>
      </c>
      <c r="F443">
        <v>0</v>
      </c>
      <c r="G443">
        <v>401539.33</v>
      </c>
      <c r="H443">
        <v>933503.67</v>
      </c>
      <c r="I443">
        <v>30.07</v>
      </c>
      <c r="J443">
        <v>12363.6</v>
      </c>
      <c r="K443" s="249">
        <v>12363.6</v>
      </c>
      <c r="L443" s="249">
        <v>13136.325000000001</v>
      </c>
      <c r="M443" s="249">
        <v>14055.867750000001</v>
      </c>
      <c r="N443" s="249">
        <v>15039.778492500001</v>
      </c>
      <c r="O443" t="str">
        <f t="shared" si="13"/>
        <v>2</v>
      </c>
      <c r="P443" t="str">
        <f t="shared" si="12"/>
        <v>Employee Related Cost</v>
      </c>
    </row>
    <row r="444" spans="1:16" hidden="1" x14ac:dyDescent="0.25">
      <c r="A444" t="s">
        <v>760</v>
      </c>
      <c r="C444" t="s">
        <v>167</v>
      </c>
      <c r="D444" s="67">
        <v>112</v>
      </c>
      <c r="E444">
        <v>65927.72</v>
      </c>
      <c r="F444">
        <v>0</v>
      </c>
      <c r="G444">
        <v>401539.33</v>
      </c>
      <c r="H444">
        <v>933503.67</v>
      </c>
      <c r="I444">
        <v>30.07</v>
      </c>
      <c r="J444">
        <v>0</v>
      </c>
      <c r="K444" s="249">
        <v>112</v>
      </c>
      <c r="L444" s="249">
        <v>119</v>
      </c>
      <c r="M444" s="249">
        <v>127.33</v>
      </c>
      <c r="N444" s="249">
        <v>136.2431</v>
      </c>
      <c r="O444" t="str">
        <f t="shared" si="13"/>
        <v>2</v>
      </c>
      <c r="P444" t="str">
        <f t="shared" si="12"/>
        <v>Employee Related Cost</v>
      </c>
    </row>
    <row r="445" spans="1:16" hidden="1" x14ac:dyDescent="0.25">
      <c r="A445" t="s">
        <v>761</v>
      </c>
      <c r="C445" t="s">
        <v>168</v>
      </c>
      <c r="D445" s="67">
        <v>0</v>
      </c>
      <c r="E445">
        <v>65927.72</v>
      </c>
      <c r="F445">
        <v>0</v>
      </c>
      <c r="G445">
        <v>401539.33</v>
      </c>
      <c r="H445">
        <v>933503.67</v>
      </c>
      <c r="I445">
        <v>30.07</v>
      </c>
      <c r="J445">
        <v>0</v>
      </c>
      <c r="K445" s="249">
        <v>0</v>
      </c>
      <c r="L445" s="249">
        <v>0</v>
      </c>
      <c r="M445" s="249">
        <v>0</v>
      </c>
      <c r="N445" s="249">
        <v>0</v>
      </c>
      <c r="O445" t="str">
        <f t="shared" si="13"/>
        <v>2</v>
      </c>
      <c r="P445" t="str">
        <f t="shared" si="12"/>
        <v>Employee Related Cost</v>
      </c>
    </row>
    <row r="446" spans="1:16" hidden="1" x14ac:dyDescent="0.25">
      <c r="A446" t="s">
        <v>762</v>
      </c>
      <c r="C446" t="s">
        <v>169</v>
      </c>
      <c r="D446" s="67">
        <v>44190</v>
      </c>
      <c r="E446">
        <v>65927.72</v>
      </c>
      <c r="F446">
        <v>0</v>
      </c>
      <c r="G446">
        <v>401539.33</v>
      </c>
      <c r="H446">
        <v>933503.67</v>
      </c>
      <c r="I446">
        <v>30.07</v>
      </c>
      <c r="J446">
        <v>0</v>
      </c>
      <c r="K446" s="249">
        <v>44190</v>
      </c>
      <c r="L446" s="249">
        <v>46951.875</v>
      </c>
      <c r="M446" s="249">
        <v>50238.506249999999</v>
      </c>
      <c r="N446" s="249">
        <v>53755.201687499997</v>
      </c>
      <c r="O446" t="str">
        <f t="shared" si="13"/>
        <v>2</v>
      </c>
      <c r="P446" t="str">
        <f t="shared" si="12"/>
        <v>Employee Related Cost</v>
      </c>
    </row>
    <row r="447" spans="1:16" hidden="1" x14ac:dyDescent="0.25">
      <c r="A447" t="s">
        <v>763</v>
      </c>
      <c r="C447" t="s">
        <v>170</v>
      </c>
      <c r="D447" s="67">
        <v>1785</v>
      </c>
      <c r="E447">
        <v>65927.72</v>
      </c>
      <c r="F447">
        <v>0</v>
      </c>
      <c r="G447">
        <v>401539.33</v>
      </c>
      <c r="H447">
        <v>933503.67</v>
      </c>
      <c r="I447">
        <v>30.07</v>
      </c>
      <c r="J447">
        <v>0</v>
      </c>
      <c r="K447" s="249">
        <v>1785</v>
      </c>
      <c r="L447" s="249">
        <v>1896.5625</v>
      </c>
      <c r="M447" s="249">
        <v>2029.3218750000001</v>
      </c>
      <c r="N447" s="249">
        <v>2171.37440625</v>
      </c>
      <c r="O447" t="str">
        <f t="shared" si="13"/>
        <v>2</v>
      </c>
      <c r="P447" t="str">
        <f t="shared" si="12"/>
        <v>Employee Related Cost</v>
      </c>
    </row>
    <row r="448" spans="1:16" hidden="1" x14ac:dyDescent="0.25">
      <c r="A448" t="s">
        <v>764</v>
      </c>
      <c r="C448" t="s">
        <v>182</v>
      </c>
      <c r="D448" s="67">
        <v>177139</v>
      </c>
      <c r="E448">
        <v>65927.72</v>
      </c>
      <c r="F448">
        <v>0</v>
      </c>
      <c r="G448">
        <v>401539.33</v>
      </c>
      <c r="H448">
        <v>933503.67</v>
      </c>
      <c r="I448">
        <v>30.07</v>
      </c>
      <c r="J448">
        <v>0</v>
      </c>
      <c r="K448" s="249">
        <v>177139</v>
      </c>
      <c r="L448" s="249">
        <v>188210.1875</v>
      </c>
      <c r="M448" s="249">
        <v>201384.90062500001</v>
      </c>
      <c r="N448" s="249">
        <v>215481.84366875002</v>
      </c>
      <c r="O448" t="str">
        <f t="shared" si="13"/>
        <v>2</v>
      </c>
      <c r="P448" t="str">
        <f t="shared" si="12"/>
        <v>Remuneration of Councillors</v>
      </c>
    </row>
    <row r="449" spans="1:16" hidden="1" x14ac:dyDescent="0.25">
      <c r="A449" t="s">
        <v>765</v>
      </c>
      <c r="C449" t="s">
        <v>183</v>
      </c>
      <c r="D449" s="67">
        <v>531416</v>
      </c>
      <c r="E449">
        <v>65927.72</v>
      </c>
      <c r="F449">
        <v>0</v>
      </c>
      <c r="G449">
        <v>401539.33</v>
      </c>
      <c r="H449">
        <v>933503.67</v>
      </c>
      <c r="I449">
        <v>30.07</v>
      </c>
      <c r="J449">
        <v>0</v>
      </c>
      <c r="K449" s="249">
        <v>531416</v>
      </c>
      <c r="L449" s="249">
        <v>564629.5</v>
      </c>
      <c r="M449" s="249">
        <v>604153.56499999994</v>
      </c>
      <c r="N449" s="249">
        <v>646444.31454999989</v>
      </c>
      <c r="O449" t="str">
        <f t="shared" si="13"/>
        <v>2</v>
      </c>
      <c r="P449" t="str">
        <f t="shared" si="12"/>
        <v>Remuneration of Councillors</v>
      </c>
    </row>
    <row r="450" spans="1:16" hidden="1" x14ac:dyDescent="0.25">
      <c r="A450" t="s">
        <v>766</v>
      </c>
      <c r="C450" t="s">
        <v>184</v>
      </c>
      <c r="D450" s="67">
        <v>47508</v>
      </c>
      <c r="E450">
        <v>65927.72</v>
      </c>
      <c r="F450">
        <v>0</v>
      </c>
      <c r="G450">
        <v>401539.33</v>
      </c>
      <c r="H450">
        <v>933503.67</v>
      </c>
      <c r="I450">
        <v>30.07</v>
      </c>
      <c r="J450">
        <v>0</v>
      </c>
      <c r="K450" s="249">
        <v>47508</v>
      </c>
      <c r="L450" s="249">
        <v>50477.25</v>
      </c>
      <c r="M450" s="249">
        <v>54010.657500000001</v>
      </c>
      <c r="N450" s="249">
        <v>57791.403525000002</v>
      </c>
      <c r="O450" t="str">
        <f t="shared" si="13"/>
        <v>2</v>
      </c>
      <c r="P450" t="str">
        <f t="shared" ref="P450:P513" si="14">VLOOKUP(A450,bud_321,16,FALSE)</f>
        <v>Remuneration of Councillors</v>
      </c>
    </row>
    <row r="451" spans="1:16" hidden="1" x14ac:dyDescent="0.25">
      <c r="A451" t="s">
        <v>767</v>
      </c>
      <c r="C451" t="s">
        <v>202</v>
      </c>
      <c r="D451" s="67">
        <v>0</v>
      </c>
      <c r="E451">
        <v>65927.72</v>
      </c>
      <c r="F451">
        <v>0</v>
      </c>
      <c r="G451">
        <v>401539.33</v>
      </c>
      <c r="H451">
        <v>933503.67</v>
      </c>
      <c r="I451">
        <v>30.07</v>
      </c>
      <c r="J451">
        <v>0</v>
      </c>
      <c r="K451" s="249">
        <v>0</v>
      </c>
      <c r="L451" s="249">
        <v>0</v>
      </c>
      <c r="M451" s="249">
        <v>0</v>
      </c>
      <c r="O451" t="str">
        <f t="shared" ref="O451:O514" si="15">MID(A451,5,1)</f>
        <v>2</v>
      </c>
      <c r="P451" t="str">
        <f t="shared" si="14"/>
        <v>Remuneration of Councillors</v>
      </c>
    </row>
    <row r="452" spans="1:16" hidden="1" x14ac:dyDescent="0.25">
      <c r="A452" t="s">
        <v>768</v>
      </c>
      <c r="C452" t="s">
        <v>203</v>
      </c>
      <c r="D452" s="67">
        <v>0</v>
      </c>
      <c r="E452">
        <v>65927.72</v>
      </c>
      <c r="F452">
        <v>0</v>
      </c>
      <c r="G452">
        <v>401539.33</v>
      </c>
      <c r="H452">
        <v>933503.67</v>
      </c>
      <c r="I452">
        <v>30.07</v>
      </c>
      <c r="J452">
        <v>0</v>
      </c>
      <c r="K452" s="249">
        <v>0</v>
      </c>
      <c r="L452" s="249">
        <v>0</v>
      </c>
      <c r="M452" s="249">
        <v>0</v>
      </c>
      <c r="O452" t="str">
        <f t="shared" si="15"/>
        <v>2</v>
      </c>
      <c r="P452" t="str">
        <f t="shared" si="14"/>
        <v>Remuneration of Councillors</v>
      </c>
    </row>
    <row r="453" spans="1:16" hidden="1" x14ac:dyDescent="0.25">
      <c r="A453" t="s">
        <v>769</v>
      </c>
      <c r="C453" t="s">
        <v>204</v>
      </c>
      <c r="D453" s="67">
        <v>0</v>
      </c>
      <c r="E453">
        <v>65927.72</v>
      </c>
      <c r="F453">
        <v>0</v>
      </c>
      <c r="G453">
        <v>401539.33</v>
      </c>
      <c r="H453">
        <v>933503.67</v>
      </c>
      <c r="I453">
        <v>30.07</v>
      </c>
      <c r="J453">
        <v>0</v>
      </c>
      <c r="K453" s="249">
        <v>0</v>
      </c>
      <c r="L453" s="249">
        <v>0</v>
      </c>
      <c r="M453" s="249">
        <v>0</v>
      </c>
      <c r="O453" t="str">
        <f t="shared" si="15"/>
        <v>2</v>
      </c>
      <c r="P453" t="str">
        <f t="shared" si="14"/>
        <v>Remuneration of Councillors</v>
      </c>
    </row>
    <row r="454" spans="1:16" hidden="1" x14ac:dyDescent="0.25">
      <c r="A454" t="s">
        <v>770</v>
      </c>
      <c r="C454" t="s">
        <v>253</v>
      </c>
      <c r="D454" s="67">
        <v>2000</v>
      </c>
      <c r="E454">
        <v>65927.72</v>
      </c>
      <c r="F454">
        <v>0</v>
      </c>
      <c r="G454">
        <v>401539.33</v>
      </c>
      <c r="H454">
        <v>933503.67</v>
      </c>
      <c r="I454">
        <v>30.07</v>
      </c>
      <c r="J454">
        <v>0</v>
      </c>
      <c r="K454" s="249">
        <v>2000</v>
      </c>
      <c r="L454" s="249">
        <v>2000</v>
      </c>
      <c r="M454" s="249">
        <v>2000</v>
      </c>
      <c r="N454" s="249">
        <v>2000</v>
      </c>
      <c r="O454" t="str">
        <f t="shared" si="15"/>
        <v>2</v>
      </c>
      <c r="P454" t="str">
        <f t="shared" si="14"/>
        <v>Operational Cost</v>
      </c>
    </row>
    <row r="455" spans="1:16" hidden="1" x14ac:dyDescent="0.25">
      <c r="A455" t="s">
        <v>771</v>
      </c>
      <c r="C455" t="s">
        <v>265</v>
      </c>
      <c r="D455" s="67">
        <v>0</v>
      </c>
      <c r="E455">
        <v>65927.72</v>
      </c>
      <c r="F455">
        <v>0</v>
      </c>
      <c r="G455">
        <v>401539.33</v>
      </c>
      <c r="H455">
        <v>933503.67</v>
      </c>
      <c r="I455">
        <v>30.07</v>
      </c>
      <c r="J455">
        <v>8000</v>
      </c>
      <c r="K455" s="249">
        <v>8000</v>
      </c>
      <c r="L455" s="249">
        <v>8360</v>
      </c>
      <c r="M455" s="249">
        <v>8744.56</v>
      </c>
      <c r="N455" s="249">
        <v>9146.8097600000001</v>
      </c>
      <c r="O455" t="str">
        <f t="shared" si="15"/>
        <v>2</v>
      </c>
      <c r="P455" t="str">
        <f t="shared" si="14"/>
        <v>Operational Cost</v>
      </c>
    </row>
    <row r="456" spans="1:16" hidden="1" x14ac:dyDescent="0.25">
      <c r="A456" t="s">
        <v>772</v>
      </c>
      <c r="C456" t="s">
        <v>268</v>
      </c>
      <c r="D456" s="67">
        <v>85032</v>
      </c>
      <c r="E456">
        <v>65927.72</v>
      </c>
      <c r="F456">
        <v>0</v>
      </c>
      <c r="G456">
        <v>401539.33</v>
      </c>
      <c r="H456">
        <v>933503.67</v>
      </c>
      <c r="I456">
        <v>30.07</v>
      </c>
      <c r="J456">
        <v>0</v>
      </c>
      <c r="K456" s="249">
        <v>85032</v>
      </c>
      <c r="L456" s="249">
        <v>88858.44</v>
      </c>
      <c r="M456" s="249">
        <v>92945.928240000008</v>
      </c>
      <c r="N456" s="249">
        <v>97221.440939040011</v>
      </c>
      <c r="O456" t="str">
        <f t="shared" si="15"/>
        <v>2</v>
      </c>
      <c r="P456" t="str">
        <f t="shared" si="14"/>
        <v>Operational Cost</v>
      </c>
    </row>
    <row r="457" spans="1:16" hidden="1" x14ac:dyDescent="0.25">
      <c r="A457" t="s">
        <v>773</v>
      </c>
      <c r="C457" t="s">
        <v>269</v>
      </c>
      <c r="D457" s="67">
        <v>30000</v>
      </c>
      <c r="E457">
        <v>65927.72</v>
      </c>
      <c r="F457">
        <v>0</v>
      </c>
      <c r="G457">
        <v>401539.33</v>
      </c>
      <c r="H457">
        <v>933503.67</v>
      </c>
      <c r="I457">
        <v>30.07</v>
      </c>
      <c r="J457">
        <v>-15000</v>
      </c>
      <c r="K457" s="249">
        <v>15000</v>
      </c>
      <c r="L457" s="249">
        <v>15675</v>
      </c>
      <c r="M457" s="249">
        <v>16396.05</v>
      </c>
      <c r="N457" s="249">
        <v>17150.2683</v>
      </c>
      <c r="O457" t="str">
        <f t="shared" si="15"/>
        <v>2</v>
      </c>
      <c r="P457" t="str">
        <f t="shared" si="14"/>
        <v>Operational Cost</v>
      </c>
    </row>
    <row r="458" spans="1:16" hidden="1" x14ac:dyDescent="0.25">
      <c r="A458" t="s">
        <v>775</v>
      </c>
      <c r="C458" t="s">
        <v>164</v>
      </c>
      <c r="D458" s="67">
        <v>0</v>
      </c>
      <c r="E458">
        <v>65927.72</v>
      </c>
      <c r="F458">
        <v>0</v>
      </c>
      <c r="G458">
        <v>401539.33</v>
      </c>
      <c r="H458">
        <v>933503.67</v>
      </c>
      <c r="I458">
        <v>30.07</v>
      </c>
      <c r="J458">
        <v>15000</v>
      </c>
      <c r="K458" s="249">
        <v>15000</v>
      </c>
      <c r="L458" s="249">
        <v>15937.5</v>
      </c>
      <c r="M458" s="249">
        <v>17053.125</v>
      </c>
      <c r="N458" s="249">
        <v>18246.84375</v>
      </c>
      <c r="O458" t="str">
        <f t="shared" si="15"/>
        <v>2</v>
      </c>
      <c r="P458" t="str">
        <f t="shared" si="14"/>
        <v>Employee Related Cost</v>
      </c>
    </row>
    <row r="459" spans="1:16" hidden="1" x14ac:dyDescent="0.25">
      <c r="A459" t="s">
        <v>776</v>
      </c>
      <c r="C459" t="s">
        <v>187</v>
      </c>
      <c r="D459" s="67">
        <v>166067</v>
      </c>
      <c r="E459">
        <v>65927.72</v>
      </c>
      <c r="F459">
        <v>0</v>
      </c>
      <c r="G459">
        <v>401539.33</v>
      </c>
      <c r="H459">
        <v>933503.67</v>
      </c>
      <c r="I459">
        <v>30.07</v>
      </c>
      <c r="J459">
        <v>0</v>
      </c>
      <c r="K459" s="249">
        <v>166067</v>
      </c>
      <c r="L459" s="249">
        <v>176446.1875</v>
      </c>
      <c r="M459" s="249">
        <v>188797.420625</v>
      </c>
      <c r="N459" s="249">
        <v>202013.24006874999</v>
      </c>
      <c r="O459" t="str">
        <f t="shared" si="15"/>
        <v>2</v>
      </c>
      <c r="P459" t="str">
        <f t="shared" si="14"/>
        <v>Remuneration of Councillors</v>
      </c>
    </row>
    <row r="460" spans="1:16" hidden="1" x14ac:dyDescent="0.25">
      <c r="A460" t="s">
        <v>777</v>
      </c>
      <c r="C460" t="s">
        <v>188</v>
      </c>
      <c r="D460" s="67">
        <v>498202</v>
      </c>
      <c r="E460">
        <v>65927.72</v>
      </c>
      <c r="F460">
        <v>0</v>
      </c>
      <c r="G460">
        <v>401539.33</v>
      </c>
      <c r="H460">
        <v>933503.67</v>
      </c>
      <c r="I460">
        <v>30.07</v>
      </c>
      <c r="J460">
        <v>0</v>
      </c>
      <c r="K460" s="249">
        <v>498202</v>
      </c>
      <c r="L460" s="249">
        <v>529339.625</v>
      </c>
      <c r="M460" s="249">
        <v>566393.39875000005</v>
      </c>
      <c r="N460" s="249">
        <v>606040.93666250003</v>
      </c>
      <c r="O460" t="str">
        <f t="shared" si="15"/>
        <v>2</v>
      </c>
      <c r="P460" t="str">
        <f t="shared" si="14"/>
        <v>Remuneration of Councillors</v>
      </c>
    </row>
    <row r="461" spans="1:16" hidden="1" x14ac:dyDescent="0.25">
      <c r="A461" t="s">
        <v>778</v>
      </c>
      <c r="C461" t="s">
        <v>189</v>
      </c>
      <c r="D461" s="67">
        <v>47508</v>
      </c>
      <c r="E461">
        <v>65927.72</v>
      </c>
      <c r="F461">
        <v>0</v>
      </c>
      <c r="G461">
        <v>401539.33</v>
      </c>
      <c r="H461">
        <v>933503.67</v>
      </c>
      <c r="I461">
        <v>30.07</v>
      </c>
      <c r="J461">
        <v>0</v>
      </c>
      <c r="K461" s="249">
        <v>47508</v>
      </c>
      <c r="L461" s="249">
        <v>50477.25</v>
      </c>
      <c r="M461" s="249">
        <v>54010.657500000001</v>
      </c>
      <c r="N461" s="249">
        <v>57791.403525000002</v>
      </c>
      <c r="O461" t="str">
        <f t="shared" si="15"/>
        <v>2</v>
      </c>
      <c r="P461" t="str">
        <f t="shared" si="14"/>
        <v>Remuneration of Councillors</v>
      </c>
    </row>
    <row r="462" spans="1:16" hidden="1" x14ac:dyDescent="0.25">
      <c r="A462" t="s">
        <v>779</v>
      </c>
      <c r="C462" t="s">
        <v>202</v>
      </c>
      <c r="D462" s="67">
        <v>0</v>
      </c>
      <c r="E462">
        <v>65927.72</v>
      </c>
      <c r="F462">
        <v>0</v>
      </c>
      <c r="G462">
        <v>401539.33</v>
      </c>
      <c r="H462">
        <v>933503.67</v>
      </c>
      <c r="I462">
        <v>30.07</v>
      </c>
      <c r="J462">
        <v>0</v>
      </c>
      <c r="K462" s="249">
        <v>0</v>
      </c>
      <c r="L462" s="249">
        <v>0</v>
      </c>
      <c r="M462" s="249">
        <v>0</v>
      </c>
      <c r="O462" t="str">
        <f t="shared" si="15"/>
        <v>2</v>
      </c>
      <c r="P462" t="str">
        <f t="shared" si="14"/>
        <v>Remuneration of Councillors</v>
      </c>
    </row>
    <row r="463" spans="1:16" hidden="1" x14ac:dyDescent="0.25">
      <c r="A463" t="s">
        <v>780</v>
      </c>
      <c r="C463" t="s">
        <v>203</v>
      </c>
      <c r="D463" s="67">
        <v>0</v>
      </c>
      <c r="E463">
        <v>65927.72</v>
      </c>
      <c r="F463">
        <v>0</v>
      </c>
      <c r="G463">
        <v>401539.33</v>
      </c>
      <c r="H463">
        <v>933503.67</v>
      </c>
      <c r="I463">
        <v>30.07</v>
      </c>
      <c r="J463">
        <v>0</v>
      </c>
      <c r="K463" s="249">
        <v>0</v>
      </c>
      <c r="L463" s="249">
        <v>0</v>
      </c>
      <c r="M463" s="249">
        <v>0</v>
      </c>
      <c r="O463" t="str">
        <f t="shared" si="15"/>
        <v>2</v>
      </c>
      <c r="P463" t="str">
        <f t="shared" si="14"/>
        <v>Remuneration of Councillors</v>
      </c>
    </row>
    <row r="464" spans="1:16" hidden="1" x14ac:dyDescent="0.25">
      <c r="A464" t="s">
        <v>781</v>
      </c>
      <c r="C464" t="s">
        <v>204</v>
      </c>
      <c r="D464" s="67">
        <v>0</v>
      </c>
      <c r="E464">
        <v>65927.72</v>
      </c>
      <c r="F464">
        <v>0</v>
      </c>
      <c r="G464">
        <v>401539.33</v>
      </c>
      <c r="H464">
        <v>933503.67</v>
      </c>
      <c r="I464">
        <v>30.07</v>
      </c>
      <c r="J464">
        <v>0</v>
      </c>
      <c r="K464" s="249">
        <v>0</v>
      </c>
      <c r="L464" s="249">
        <v>0</v>
      </c>
      <c r="M464" s="249">
        <v>0</v>
      </c>
      <c r="O464" t="str">
        <f t="shared" si="15"/>
        <v>2</v>
      </c>
      <c r="P464" t="str">
        <f t="shared" si="14"/>
        <v>Remuneration of Councillors</v>
      </c>
    </row>
    <row r="465" spans="1:16" hidden="1" x14ac:dyDescent="0.25">
      <c r="A465" t="s">
        <v>782</v>
      </c>
      <c r="C465" t="s">
        <v>253</v>
      </c>
      <c r="D465" s="67">
        <v>2000</v>
      </c>
      <c r="E465">
        <v>65927.72</v>
      </c>
      <c r="F465">
        <v>0</v>
      </c>
      <c r="G465">
        <v>401539.33</v>
      </c>
      <c r="H465">
        <v>933503.67</v>
      </c>
      <c r="I465">
        <v>30.07</v>
      </c>
      <c r="J465">
        <v>0</v>
      </c>
      <c r="K465" s="249">
        <v>2000</v>
      </c>
      <c r="L465" s="249">
        <v>2000</v>
      </c>
      <c r="M465" s="249">
        <v>2000</v>
      </c>
      <c r="N465" s="249">
        <v>2000</v>
      </c>
      <c r="O465" t="str">
        <f t="shared" si="15"/>
        <v>2</v>
      </c>
      <c r="P465" t="str">
        <f t="shared" si="14"/>
        <v>Operational Cost</v>
      </c>
    </row>
    <row r="466" spans="1:16" hidden="1" x14ac:dyDescent="0.25">
      <c r="A466" t="s">
        <v>783</v>
      </c>
      <c r="C466" t="s">
        <v>265</v>
      </c>
      <c r="D466" s="67">
        <v>0</v>
      </c>
      <c r="E466">
        <v>65927.72</v>
      </c>
      <c r="F466">
        <v>0</v>
      </c>
      <c r="G466">
        <v>401539.33</v>
      </c>
      <c r="H466">
        <v>933503.67</v>
      </c>
      <c r="I466">
        <v>30.07</v>
      </c>
      <c r="J466">
        <v>0</v>
      </c>
      <c r="K466" s="249">
        <v>0</v>
      </c>
      <c r="L466" s="249">
        <v>0</v>
      </c>
      <c r="M466" s="249">
        <v>0</v>
      </c>
      <c r="O466" t="str">
        <f t="shared" si="15"/>
        <v>2</v>
      </c>
      <c r="P466" t="str">
        <f t="shared" si="14"/>
        <v>Operational Cost</v>
      </c>
    </row>
    <row r="467" spans="1:16" hidden="1" x14ac:dyDescent="0.25">
      <c r="A467" t="s">
        <v>784</v>
      </c>
      <c r="C467" t="s">
        <v>268</v>
      </c>
      <c r="D467" s="67">
        <v>85032</v>
      </c>
      <c r="E467">
        <v>65927.72</v>
      </c>
      <c r="F467">
        <v>0</v>
      </c>
      <c r="G467">
        <v>401539.33</v>
      </c>
      <c r="H467">
        <v>933503.67</v>
      </c>
      <c r="I467">
        <v>30.07</v>
      </c>
      <c r="J467">
        <v>-10000</v>
      </c>
      <c r="K467" s="249">
        <v>75032</v>
      </c>
      <c r="L467" s="249">
        <v>78408.44</v>
      </c>
      <c r="M467" s="249">
        <v>82015.228239999997</v>
      </c>
      <c r="N467" s="249">
        <v>85787.928739039999</v>
      </c>
      <c r="O467" t="str">
        <f t="shared" si="15"/>
        <v>2</v>
      </c>
      <c r="P467" t="str">
        <f t="shared" si="14"/>
        <v>Operational Cost</v>
      </c>
    </row>
    <row r="468" spans="1:16" hidden="1" x14ac:dyDescent="0.25">
      <c r="A468" t="s">
        <v>785</v>
      </c>
      <c r="C468" t="s">
        <v>269</v>
      </c>
      <c r="D468" s="67">
        <v>30000</v>
      </c>
      <c r="E468">
        <v>65927.72</v>
      </c>
      <c r="F468">
        <v>0</v>
      </c>
      <c r="G468">
        <v>401539.33</v>
      </c>
      <c r="H468">
        <v>933503.67</v>
      </c>
      <c r="I468">
        <v>30.07</v>
      </c>
      <c r="J468">
        <v>0</v>
      </c>
      <c r="K468" s="249">
        <v>30000</v>
      </c>
      <c r="L468" s="249">
        <v>31350</v>
      </c>
      <c r="M468" s="249">
        <v>32792.1</v>
      </c>
      <c r="N468" s="249">
        <v>34300.536599999999</v>
      </c>
      <c r="O468" t="str">
        <f t="shared" si="15"/>
        <v>2</v>
      </c>
      <c r="P468" t="str">
        <f t="shared" si="14"/>
        <v>Operational Cost</v>
      </c>
    </row>
    <row r="469" spans="1:16" hidden="1" x14ac:dyDescent="0.25">
      <c r="A469" t="s">
        <v>787</v>
      </c>
      <c r="C469" t="s">
        <v>168</v>
      </c>
      <c r="D469" s="67">
        <v>0</v>
      </c>
      <c r="E469">
        <v>65927.72</v>
      </c>
      <c r="F469">
        <v>0</v>
      </c>
      <c r="G469">
        <v>401539.33</v>
      </c>
      <c r="H469">
        <v>933503.67</v>
      </c>
      <c r="I469">
        <v>30.07</v>
      </c>
      <c r="J469">
        <v>70000</v>
      </c>
      <c r="K469" s="249">
        <v>70000</v>
      </c>
      <c r="L469" s="249">
        <v>74375</v>
      </c>
      <c r="M469" s="249">
        <v>79581.25</v>
      </c>
      <c r="N469" s="249">
        <v>85151.9375</v>
      </c>
      <c r="O469" t="str">
        <f t="shared" si="15"/>
        <v>2</v>
      </c>
      <c r="P469" t="str">
        <f t="shared" si="14"/>
        <v>Employee Related Cost</v>
      </c>
    </row>
    <row r="470" spans="1:16" hidden="1" x14ac:dyDescent="0.25">
      <c r="A470" t="s">
        <v>788</v>
      </c>
      <c r="C470" t="s">
        <v>197</v>
      </c>
      <c r="D470" s="67">
        <v>683494</v>
      </c>
      <c r="E470">
        <v>65927.72</v>
      </c>
      <c r="F470">
        <v>0</v>
      </c>
      <c r="G470">
        <v>401539.33</v>
      </c>
      <c r="H470">
        <v>933503.67</v>
      </c>
      <c r="I470">
        <v>30.07</v>
      </c>
      <c r="J470">
        <v>0</v>
      </c>
      <c r="K470" s="249">
        <v>683494</v>
      </c>
      <c r="L470" s="249">
        <v>726212.375</v>
      </c>
      <c r="M470" s="249">
        <v>777047.24124999996</v>
      </c>
      <c r="N470" s="249">
        <v>831440.54813749995</v>
      </c>
      <c r="O470" t="str">
        <f t="shared" si="15"/>
        <v>2</v>
      </c>
      <c r="P470" t="str">
        <f t="shared" si="14"/>
        <v>Remuneration of Councillors</v>
      </c>
    </row>
    <row r="471" spans="1:16" hidden="1" x14ac:dyDescent="0.25">
      <c r="A471" t="s">
        <v>789</v>
      </c>
      <c r="C471" t="s">
        <v>198</v>
      </c>
      <c r="D471" s="67">
        <v>2050481</v>
      </c>
      <c r="E471">
        <v>65927.72</v>
      </c>
      <c r="F471">
        <v>0</v>
      </c>
      <c r="G471">
        <v>401539.33</v>
      </c>
      <c r="H471">
        <v>933503.67</v>
      </c>
      <c r="I471">
        <v>30.07</v>
      </c>
      <c r="J471">
        <v>0</v>
      </c>
      <c r="K471" s="249">
        <v>2050481</v>
      </c>
      <c r="L471" s="249">
        <v>2178636.0625</v>
      </c>
      <c r="M471" s="249">
        <v>2331140.586875</v>
      </c>
      <c r="N471" s="249">
        <v>2494320.42795625</v>
      </c>
      <c r="O471" t="str">
        <f t="shared" si="15"/>
        <v>2</v>
      </c>
      <c r="P471" t="str">
        <f t="shared" si="14"/>
        <v>Remuneration of Councillors</v>
      </c>
    </row>
    <row r="472" spans="1:16" hidden="1" x14ac:dyDescent="0.25">
      <c r="A472" t="s">
        <v>790</v>
      </c>
      <c r="C472" t="s">
        <v>199</v>
      </c>
      <c r="D472" s="67">
        <v>237540</v>
      </c>
      <c r="E472">
        <v>65927.72</v>
      </c>
      <c r="F472">
        <v>0</v>
      </c>
      <c r="G472">
        <v>401539.33</v>
      </c>
      <c r="H472">
        <v>933503.67</v>
      </c>
      <c r="I472">
        <v>30.07</v>
      </c>
      <c r="J472">
        <v>0</v>
      </c>
      <c r="K472" s="249">
        <v>237540</v>
      </c>
      <c r="L472" s="249">
        <v>252386.25</v>
      </c>
      <c r="M472" s="249">
        <v>270053.28749999998</v>
      </c>
      <c r="N472" s="249">
        <v>288957.01762499998</v>
      </c>
      <c r="O472" t="str">
        <f t="shared" si="15"/>
        <v>2</v>
      </c>
      <c r="P472" t="str">
        <f t="shared" si="14"/>
        <v>Remuneration of Councillors</v>
      </c>
    </row>
    <row r="473" spans="1:16" hidden="1" x14ac:dyDescent="0.25">
      <c r="A473" t="s">
        <v>791</v>
      </c>
      <c r="C473" t="s">
        <v>202</v>
      </c>
      <c r="D473" s="67">
        <v>0</v>
      </c>
      <c r="E473">
        <v>65927.72</v>
      </c>
      <c r="F473">
        <v>0</v>
      </c>
      <c r="G473">
        <v>401539.33</v>
      </c>
      <c r="H473">
        <v>933503.67</v>
      </c>
      <c r="I473">
        <v>30.07</v>
      </c>
      <c r="J473">
        <v>0</v>
      </c>
      <c r="K473" s="249">
        <v>0</v>
      </c>
      <c r="L473" s="249">
        <v>0</v>
      </c>
      <c r="M473" s="249">
        <v>0</v>
      </c>
      <c r="O473" t="str">
        <f t="shared" si="15"/>
        <v>2</v>
      </c>
      <c r="P473" t="str">
        <f t="shared" si="14"/>
        <v>Remuneration of Councillors</v>
      </c>
    </row>
    <row r="474" spans="1:16" hidden="1" x14ac:dyDescent="0.25">
      <c r="A474" t="s">
        <v>792</v>
      </c>
      <c r="C474" t="s">
        <v>203</v>
      </c>
      <c r="D474" s="67">
        <v>0</v>
      </c>
      <c r="E474">
        <v>65927.72</v>
      </c>
      <c r="F474">
        <v>0</v>
      </c>
      <c r="G474">
        <v>401539.33</v>
      </c>
      <c r="H474">
        <v>933503.67</v>
      </c>
      <c r="I474">
        <v>30.07</v>
      </c>
      <c r="J474">
        <v>0</v>
      </c>
      <c r="K474" s="249">
        <v>0</v>
      </c>
      <c r="L474" s="249">
        <v>0</v>
      </c>
      <c r="M474" s="249">
        <v>0</v>
      </c>
      <c r="O474" t="str">
        <f t="shared" si="15"/>
        <v>2</v>
      </c>
      <c r="P474" t="str">
        <f t="shared" si="14"/>
        <v>Remuneration of Councillors</v>
      </c>
    </row>
    <row r="475" spans="1:16" hidden="1" x14ac:dyDescent="0.25">
      <c r="A475" t="s">
        <v>793</v>
      </c>
      <c r="C475" t="s">
        <v>204</v>
      </c>
      <c r="D475" s="67">
        <v>0</v>
      </c>
      <c r="E475">
        <v>65927.72</v>
      </c>
      <c r="F475">
        <v>0</v>
      </c>
      <c r="G475">
        <v>401539.33</v>
      </c>
      <c r="H475">
        <v>933503.67</v>
      </c>
      <c r="I475">
        <v>30.07</v>
      </c>
      <c r="J475">
        <v>0</v>
      </c>
      <c r="K475" s="249">
        <v>0</v>
      </c>
      <c r="L475" s="249">
        <v>0</v>
      </c>
      <c r="M475" s="249">
        <v>0</v>
      </c>
      <c r="O475" t="str">
        <f t="shared" si="15"/>
        <v>2</v>
      </c>
      <c r="P475" t="str">
        <f t="shared" si="14"/>
        <v>Remuneration of Councillors</v>
      </c>
    </row>
    <row r="476" spans="1:16" hidden="1" x14ac:dyDescent="0.25">
      <c r="A476" t="s">
        <v>794</v>
      </c>
      <c r="C476" t="s">
        <v>265</v>
      </c>
      <c r="D476" s="67">
        <v>0</v>
      </c>
      <c r="E476">
        <v>65927.72</v>
      </c>
      <c r="F476">
        <v>0</v>
      </c>
      <c r="G476">
        <v>401539.33</v>
      </c>
      <c r="H476">
        <v>933503.67</v>
      </c>
      <c r="I476">
        <v>30.07</v>
      </c>
      <c r="J476">
        <v>25000</v>
      </c>
      <c r="K476" s="249">
        <v>25000</v>
      </c>
      <c r="L476" s="249">
        <v>26125</v>
      </c>
      <c r="M476" s="249">
        <v>27326.75</v>
      </c>
      <c r="N476" s="249">
        <v>28583.780500000001</v>
      </c>
      <c r="O476" t="str">
        <f t="shared" si="15"/>
        <v>2</v>
      </c>
      <c r="P476" t="str">
        <f t="shared" si="14"/>
        <v>Operational Cost</v>
      </c>
    </row>
    <row r="477" spans="1:16" hidden="1" x14ac:dyDescent="0.25">
      <c r="A477" t="s">
        <v>795</v>
      </c>
      <c r="C477" t="s">
        <v>268</v>
      </c>
      <c r="D477" s="67">
        <v>85032</v>
      </c>
      <c r="E477">
        <v>65927.72</v>
      </c>
      <c r="F477">
        <v>0</v>
      </c>
      <c r="G477">
        <v>401539.33</v>
      </c>
      <c r="H477">
        <v>933503.67</v>
      </c>
      <c r="I477">
        <v>30.07</v>
      </c>
      <c r="J477">
        <v>150000</v>
      </c>
      <c r="K477" s="249">
        <v>235032</v>
      </c>
      <c r="L477" s="249">
        <v>245608.44</v>
      </c>
      <c r="M477" s="249">
        <v>256906.42824000001</v>
      </c>
      <c r="N477" s="249">
        <v>268724.12393904</v>
      </c>
      <c r="O477" t="str">
        <f t="shared" si="15"/>
        <v>2</v>
      </c>
      <c r="P477" t="str">
        <f t="shared" si="14"/>
        <v>Operational Cost</v>
      </c>
    </row>
    <row r="478" spans="1:16" hidden="1" x14ac:dyDescent="0.25">
      <c r="A478" t="s">
        <v>796</v>
      </c>
      <c r="C478" t="s">
        <v>269</v>
      </c>
      <c r="D478" s="67">
        <v>75000</v>
      </c>
      <c r="E478">
        <v>65927.72</v>
      </c>
      <c r="F478">
        <v>0</v>
      </c>
      <c r="G478">
        <v>401539.33</v>
      </c>
      <c r="H478">
        <v>933503.67</v>
      </c>
      <c r="I478">
        <v>30.07</v>
      </c>
      <c r="J478">
        <v>-20000</v>
      </c>
      <c r="K478" s="249">
        <v>55000</v>
      </c>
      <c r="L478" s="249">
        <v>57475</v>
      </c>
      <c r="M478" s="249">
        <v>60118.85</v>
      </c>
      <c r="N478" s="249">
        <v>62884.3171</v>
      </c>
      <c r="O478" t="str">
        <f t="shared" si="15"/>
        <v>2</v>
      </c>
      <c r="P478" t="str">
        <f t="shared" si="14"/>
        <v>Operational Cost</v>
      </c>
    </row>
    <row r="479" spans="1:16" hidden="1" x14ac:dyDescent="0.25">
      <c r="A479" t="s">
        <v>798</v>
      </c>
      <c r="C479" t="s">
        <v>150</v>
      </c>
      <c r="D479" s="67">
        <v>0</v>
      </c>
      <c r="E479">
        <v>65927.72</v>
      </c>
      <c r="F479">
        <v>0</v>
      </c>
      <c r="G479">
        <v>401539.33</v>
      </c>
      <c r="H479">
        <v>933503.67</v>
      </c>
      <c r="I479">
        <v>30.07</v>
      </c>
      <c r="J479">
        <v>80000</v>
      </c>
      <c r="K479" s="249">
        <v>80000</v>
      </c>
      <c r="L479" s="249">
        <v>85000</v>
      </c>
      <c r="M479" s="249">
        <v>90950</v>
      </c>
      <c r="N479" s="249">
        <v>97316.5</v>
      </c>
      <c r="O479" t="str">
        <f t="shared" si="15"/>
        <v>2</v>
      </c>
      <c r="P479" t="str">
        <f t="shared" si="14"/>
        <v>Employee Related Cost</v>
      </c>
    </row>
    <row r="480" spans="1:16" hidden="1" x14ac:dyDescent="0.25">
      <c r="A480" t="s">
        <v>799</v>
      </c>
      <c r="C480" t="s">
        <v>168</v>
      </c>
      <c r="D480" s="67">
        <v>0</v>
      </c>
      <c r="E480">
        <v>65927.72</v>
      </c>
      <c r="F480">
        <v>0</v>
      </c>
      <c r="G480">
        <v>401539.33</v>
      </c>
      <c r="H480">
        <v>933503.67</v>
      </c>
      <c r="I480">
        <v>30.07</v>
      </c>
      <c r="J480">
        <v>30000</v>
      </c>
      <c r="K480" s="249">
        <v>30000</v>
      </c>
      <c r="L480" s="249">
        <v>32100</v>
      </c>
      <c r="M480" s="249">
        <v>34347</v>
      </c>
      <c r="N480" s="249">
        <v>36751.29</v>
      </c>
      <c r="O480" t="str">
        <f t="shared" si="15"/>
        <v>2</v>
      </c>
      <c r="P480" t="str">
        <f t="shared" si="14"/>
        <v>Employee Related Cost</v>
      </c>
    </row>
    <row r="481" spans="1:16" hidden="1" x14ac:dyDescent="0.25">
      <c r="A481" t="s">
        <v>800</v>
      </c>
      <c r="C481" t="s">
        <v>202</v>
      </c>
      <c r="D481" s="67">
        <v>1611660</v>
      </c>
      <c r="E481">
        <v>65927.72</v>
      </c>
      <c r="F481">
        <v>0</v>
      </c>
      <c r="G481">
        <v>401539.33</v>
      </c>
      <c r="H481">
        <v>933503.67</v>
      </c>
      <c r="I481">
        <v>30.07</v>
      </c>
      <c r="J481">
        <v>0</v>
      </c>
      <c r="K481" s="249">
        <v>1611660</v>
      </c>
      <c r="L481" s="249">
        <v>1712388.75</v>
      </c>
      <c r="M481" s="249">
        <v>1832255.9624999999</v>
      </c>
      <c r="N481" s="249">
        <v>1960513.8798749999</v>
      </c>
      <c r="O481" t="str">
        <f t="shared" si="15"/>
        <v>2</v>
      </c>
      <c r="P481" t="str">
        <f t="shared" si="14"/>
        <v>Remuneration of Councillors</v>
      </c>
    </row>
    <row r="482" spans="1:16" hidden="1" x14ac:dyDescent="0.25">
      <c r="A482" t="s">
        <v>801</v>
      </c>
      <c r="C482" t="s">
        <v>203</v>
      </c>
      <c r="D482" s="67">
        <v>4834979</v>
      </c>
      <c r="E482">
        <v>65927.72</v>
      </c>
      <c r="F482">
        <v>0</v>
      </c>
      <c r="G482">
        <v>401539.33</v>
      </c>
      <c r="H482">
        <v>933503.67</v>
      </c>
      <c r="I482">
        <v>30.07</v>
      </c>
      <c r="J482">
        <v>0</v>
      </c>
      <c r="K482" s="249">
        <v>4834979</v>
      </c>
      <c r="L482" s="249">
        <v>5137165.1875</v>
      </c>
      <c r="M482" s="249">
        <v>5496766.7506250003</v>
      </c>
      <c r="N482" s="249">
        <v>5881540.4231687505</v>
      </c>
      <c r="O482" t="str">
        <f t="shared" si="15"/>
        <v>2</v>
      </c>
      <c r="P482" t="str">
        <f t="shared" si="14"/>
        <v>Remuneration of Councillors</v>
      </c>
    </row>
    <row r="483" spans="1:16" hidden="1" x14ac:dyDescent="0.25">
      <c r="A483" t="s">
        <v>802</v>
      </c>
      <c r="C483" t="s">
        <v>204</v>
      </c>
      <c r="D483" s="67">
        <v>1092684</v>
      </c>
      <c r="E483">
        <v>65927.72</v>
      </c>
      <c r="F483">
        <v>0</v>
      </c>
      <c r="G483">
        <v>401539.33</v>
      </c>
      <c r="H483">
        <v>933503.67</v>
      </c>
      <c r="I483">
        <v>30.07</v>
      </c>
      <c r="J483">
        <v>0</v>
      </c>
      <c r="K483" s="249">
        <v>1092684</v>
      </c>
      <c r="L483" s="249">
        <v>1160976.75</v>
      </c>
      <c r="M483" s="249">
        <v>1242245.1225000001</v>
      </c>
      <c r="N483" s="249">
        <v>1329202.2810750001</v>
      </c>
      <c r="O483" t="str">
        <f t="shared" si="15"/>
        <v>2</v>
      </c>
      <c r="P483" t="str">
        <f t="shared" si="14"/>
        <v>Remuneration of Councillors</v>
      </c>
    </row>
    <row r="484" spans="1:16" hidden="1" x14ac:dyDescent="0.25">
      <c r="A484" t="s">
        <v>803</v>
      </c>
      <c r="C484" t="s">
        <v>265</v>
      </c>
      <c r="D484" s="67">
        <v>26435</v>
      </c>
      <c r="E484">
        <v>65927.72</v>
      </c>
      <c r="F484">
        <v>0</v>
      </c>
      <c r="G484">
        <v>401539.33</v>
      </c>
      <c r="H484">
        <v>933503.67</v>
      </c>
      <c r="I484">
        <v>30.07</v>
      </c>
      <c r="J484">
        <v>1565</v>
      </c>
      <c r="K484" s="249">
        <v>28000</v>
      </c>
      <c r="L484" s="249">
        <v>29260</v>
      </c>
      <c r="M484" s="249">
        <v>30605.96</v>
      </c>
      <c r="N484" s="249">
        <v>32013.834159999999</v>
      </c>
      <c r="O484" t="str">
        <f t="shared" si="15"/>
        <v>2</v>
      </c>
      <c r="P484" t="str">
        <f t="shared" si="14"/>
        <v>Operational Cost</v>
      </c>
    </row>
    <row r="485" spans="1:16" hidden="1" x14ac:dyDescent="0.25">
      <c r="A485" t="s">
        <v>804</v>
      </c>
      <c r="C485" t="s">
        <v>268</v>
      </c>
      <c r="D485" s="67">
        <v>744098</v>
      </c>
      <c r="E485">
        <v>65927.72</v>
      </c>
      <c r="F485">
        <v>0</v>
      </c>
      <c r="G485">
        <v>401539.33</v>
      </c>
      <c r="H485">
        <v>933503.67</v>
      </c>
      <c r="I485">
        <v>30.07</v>
      </c>
      <c r="J485">
        <v>0</v>
      </c>
      <c r="K485" s="249">
        <v>744098</v>
      </c>
      <c r="L485" s="249">
        <v>777582.41</v>
      </c>
      <c r="M485" s="249">
        <v>813351.20085999998</v>
      </c>
      <c r="N485" s="249">
        <v>850765.35609955993</v>
      </c>
      <c r="O485" t="str">
        <f t="shared" si="15"/>
        <v>2</v>
      </c>
      <c r="P485" t="str">
        <f t="shared" si="14"/>
        <v>Operational Cost</v>
      </c>
    </row>
    <row r="486" spans="1:16" hidden="1" x14ac:dyDescent="0.25">
      <c r="A486" t="s">
        <v>805</v>
      </c>
      <c r="C486" t="s">
        <v>269</v>
      </c>
      <c r="D486" s="67">
        <v>400000</v>
      </c>
      <c r="E486">
        <v>65927.72</v>
      </c>
      <c r="F486">
        <v>0</v>
      </c>
      <c r="G486">
        <v>401539.33</v>
      </c>
      <c r="H486">
        <v>933503.67</v>
      </c>
      <c r="I486">
        <v>30.07</v>
      </c>
      <c r="J486">
        <v>-300000</v>
      </c>
      <c r="K486" s="249">
        <v>100000</v>
      </c>
      <c r="L486" s="249">
        <v>104500</v>
      </c>
      <c r="M486" s="249">
        <v>109307</v>
      </c>
      <c r="N486" s="249">
        <v>114335.122</v>
      </c>
      <c r="O486" t="str">
        <f t="shared" si="15"/>
        <v>2</v>
      </c>
      <c r="P486" t="str">
        <f t="shared" si="14"/>
        <v>Operational Cost</v>
      </c>
    </row>
    <row r="487" spans="1:16" hidden="1" x14ac:dyDescent="0.25">
      <c r="A487" t="s">
        <v>807</v>
      </c>
      <c r="C487" t="s">
        <v>12</v>
      </c>
      <c r="D487" s="67">
        <v>-1411279</v>
      </c>
      <c r="E487">
        <v>-141346.4</v>
      </c>
      <c r="F487">
        <v>0</v>
      </c>
      <c r="G487">
        <v>-848078.4</v>
      </c>
      <c r="H487">
        <v>-563200.6</v>
      </c>
      <c r="I487">
        <v>60.09</v>
      </c>
      <c r="J487">
        <v>0</v>
      </c>
      <c r="K487" s="249">
        <v>-1696156</v>
      </c>
      <c r="L487" s="249">
        <v>-1772483.02</v>
      </c>
      <c r="M487" s="249">
        <v>-1854017.2389199999</v>
      </c>
      <c r="N487" s="249">
        <v>-1939302.0319103198</v>
      </c>
      <c r="O487" t="str">
        <f t="shared" si="15"/>
        <v>1</v>
      </c>
      <c r="P487">
        <f t="shared" si="14"/>
        <v>0</v>
      </c>
    </row>
    <row r="488" spans="1:16" hidden="1" x14ac:dyDescent="0.25">
      <c r="A488" t="s">
        <v>808</v>
      </c>
      <c r="C488" t="s">
        <v>13</v>
      </c>
      <c r="D488" s="67">
        <v>0</v>
      </c>
      <c r="E488">
        <v>-141346.4</v>
      </c>
      <c r="F488">
        <v>0</v>
      </c>
      <c r="G488">
        <v>-848078.4</v>
      </c>
      <c r="H488">
        <v>-563200.6</v>
      </c>
      <c r="I488">
        <v>60.09</v>
      </c>
      <c r="J488">
        <v>-5496279</v>
      </c>
      <c r="K488" s="249">
        <v>-5496279</v>
      </c>
      <c r="L488" s="249">
        <v>-5743611.5549999997</v>
      </c>
      <c r="M488" s="249">
        <v>-6007817.6865299996</v>
      </c>
      <c r="N488" s="249">
        <v>-6284177.3001103792</v>
      </c>
      <c r="O488" t="str">
        <f t="shared" si="15"/>
        <v>1</v>
      </c>
      <c r="P488">
        <f t="shared" si="14"/>
        <v>0</v>
      </c>
    </row>
    <row r="489" spans="1:16" hidden="1" x14ac:dyDescent="0.25">
      <c r="A489" t="s">
        <v>809</v>
      </c>
      <c r="C489" t="s">
        <v>14</v>
      </c>
      <c r="D489" s="67">
        <v>-7880</v>
      </c>
      <c r="E489">
        <v>-141346.4</v>
      </c>
      <c r="F489">
        <v>0</v>
      </c>
      <c r="G489">
        <v>-848078.4</v>
      </c>
      <c r="H489">
        <v>-563200.6</v>
      </c>
      <c r="I489">
        <v>60.09</v>
      </c>
      <c r="J489">
        <v>7880</v>
      </c>
      <c r="K489" s="249">
        <v>0</v>
      </c>
      <c r="L489" s="249">
        <v>0</v>
      </c>
      <c r="M489" s="249">
        <v>0</v>
      </c>
      <c r="N489" s="249">
        <v>0</v>
      </c>
      <c r="O489" t="str">
        <f t="shared" si="15"/>
        <v>1</v>
      </c>
      <c r="P489">
        <f t="shared" si="14"/>
        <v>0</v>
      </c>
    </row>
    <row r="490" spans="1:16" hidden="1" x14ac:dyDescent="0.25">
      <c r="A490" t="s">
        <v>810</v>
      </c>
      <c r="C490" t="s">
        <v>15</v>
      </c>
      <c r="D490" s="67">
        <v>-22835</v>
      </c>
      <c r="E490">
        <v>-141346.4</v>
      </c>
      <c r="F490">
        <v>0</v>
      </c>
      <c r="G490">
        <v>-848078.4</v>
      </c>
      <c r="H490">
        <v>-563200.6</v>
      </c>
      <c r="I490">
        <v>60.09</v>
      </c>
      <c r="J490">
        <v>16813</v>
      </c>
      <c r="K490" s="249">
        <v>-6022</v>
      </c>
      <c r="L490" s="249">
        <v>-6292.99</v>
      </c>
      <c r="M490" s="249">
        <v>-6582.4675399999996</v>
      </c>
      <c r="N490" s="249">
        <v>-6885.2610468399998</v>
      </c>
      <c r="O490" t="str">
        <f t="shared" si="15"/>
        <v>1</v>
      </c>
      <c r="P490">
        <f t="shared" si="14"/>
        <v>0</v>
      </c>
    </row>
    <row r="491" spans="1:16" hidden="1" x14ac:dyDescent="0.25">
      <c r="A491" t="s">
        <v>811</v>
      </c>
      <c r="C491" t="s">
        <v>16</v>
      </c>
      <c r="D491" s="67">
        <v>-1954883</v>
      </c>
      <c r="E491">
        <v>-141346.4</v>
      </c>
      <c r="F491">
        <v>0</v>
      </c>
      <c r="G491">
        <v>-848078.4</v>
      </c>
      <c r="H491">
        <v>-563200.6</v>
      </c>
      <c r="I491">
        <v>60.09</v>
      </c>
      <c r="J491">
        <v>3679005</v>
      </c>
      <c r="K491" s="249">
        <v>1724122</v>
      </c>
      <c r="L491" s="249">
        <v>1801707.49</v>
      </c>
      <c r="M491" s="249">
        <v>1884586.0345399999</v>
      </c>
      <c r="N491" s="249">
        <v>1971276.9921288399</v>
      </c>
      <c r="O491" t="str">
        <f t="shared" si="15"/>
        <v>1</v>
      </c>
      <c r="P491">
        <f t="shared" si="14"/>
        <v>0</v>
      </c>
    </row>
    <row r="492" spans="1:16" hidden="1" x14ac:dyDescent="0.25">
      <c r="A492" t="s">
        <v>812</v>
      </c>
      <c r="C492" t="s">
        <v>16</v>
      </c>
      <c r="D492" s="67">
        <v>-214619</v>
      </c>
      <c r="E492">
        <v>-141346.4</v>
      </c>
      <c r="F492">
        <v>0</v>
      </c>
      <c r="G492">
        <v>-848078.4</v>
      </c>
      <c r="H492">
        <v>-563200.6</v>
      </c>
      <c r="I492">
        <v>60.09</v>
      </c>
      <c r="J492">
        <v>-3370188</v>
      </c>
      <c r="K492" s="249">
        <v>-3584807</v>
      </c>
      <c r="L492" s="249">
        <v>-3746123.3149999999</v>
      </c>
      <c r="M492" s="249">
        <v>-3918444.9874899997</v>
      </c>
      <c r="N492" s="249">
        <v>-4098693.4569145399</v>
      </c>
      <c r="O492" t="str">
        <f t="shared" si="15"/>
        <v>1</v>
      </c>
      <c r="P492">
        <f t="shared" si="14"/>
        <v>0</v>
      </c>
    </row>
    <row r="493" spans="1:16" hidden="1" x14ac:dyDescent="0.25">
      <c r="A493" t="s">
        <v>813</v>
      </c>
      <c r="C493" t="s">
        <v>17</v>
      </c>
      <c r="D493" s="67">
        <v>-1327315</v>
      </c>
      <c r="E493">
        <v>-141346.4</v>
      </c>
      <c r="F493">
        <v>0</v>
      </c>
      <c r="G493">
        <v>-848078.4</v>
      </c>
      <c r="H493">
        <v>-563200.6</v>
      </c>
      <c r="I493">
        <v>60.09</v>
      </c>
      <c r="J493">
        <v>1270595</v>
      </c>
      <c r="K493" s="249">
        <v>-56720</v>
      </c>
      <c r="L493" s="249">
        <v>-59272.4</v>
      </c>
      <c r="M493" s="249">
        <v>-61998.930399999997</v>
      </c>
      <c r="N493" s="249">
        <v>-64850.881198399999</v>
      </c>
      <c r="O493" t="str">
        <f t="shared" si="15"/>
        <v>1</v>
      </c>
      <c r="P493">
        <f t="shared" si="14"/>
        <v>0</v>
      </c>
    </row>
    <row r="494" spans="1:16" hidden="1" x14ac:dyDescent="0.25">
      <c r="A494" t="s">
        <v>814</v>
      </c>
      <c r="C494" t="s">
        <v>18</v>
      </c>
      <c r="D494" s="67">
        <v>-10352372</v>
      </c>
      <c r="E494">
        <v>-141346.4</v>
      </c>
      <c r="F494">
        <v>0</v>
      </c>
      <c r="G494">
        <v>-848078.4</v>
      </c>
      <c r="H494">
        <v>-563200.6</v>
      </c>
      <c r="I494">
        <v>60.09</v>
      </c>
      <c r="J494">
        <v>10352372</v>
      </c>
      <c r="K494" s="249">
        <v>0</v>
      </c>
      <c r="L494" s="249">
        <v>0</v>
      </c>
      <c r="M494" s="249">
        <v>0</v>
      </c>
      <c r="N494" s="249">
        <v>0</v>
      </c>
      <c r="O494" t="str">
        <f t="shared" si="15"/>
        <v>1</v>
      </c>
      <c r="P494">
        <f t="shared" si="14"/>
        <v>0</v>
      </c>
    </row>
    <row r="495" spans="1:16" hidden="1" x14ac:dyDescent="0.25">
      <c r="A495" t="s">
        <v>815</v>
      </c>
      <c r="C495" t="s">
        <v>19</v>
      </c>
      <c r="D495" s="67">
        <v>0</v>
      </c>
      <c r="E495">
        <v>-141346.4</v>
      </c>
      <c r="F495">
        <v>0</v>
      </c>
      <c r="G495">
        <v>-848078.4</v>
      </c>
      <c r="H495">
        <v>-563200.6</v>
      </c>
      <c r="I495">
        <v>60.09</v>
      </c>
      <c r="J495">
        <v>-10742205</v>
      </c>
      <c r="K495" s="249">
        <v>-10742205</v>
      </c>
      <c r="L495" s="249">
        <v>-11225604.225</v>
      </c>
      <c r="M495" s="249">
        <v>-11741982.01935</v>
      </c>
      <c r="N495" s="249">
        <v>-12282113.1922401</v>
      </c>
      <c r="O495" t="str">
        <f t="shared" si="15"/>
        <v>1</v>
      </c>
      <c r="P495">
        <f t="shared" si="14"/>
        <v>0</v>
      </c>
    </row>
    <row r="496" spans="1:16" hidden="1" x14ac:dyDescent="0.25">
      <c r="A496" t="s">
        <v>816</v>
      </c>
      <c r="C496" t="s">
        <v>20</v>
      </c>
      <c r="D496" s="67">
        <v>0</v>
      </c>
      <c r="E496">
        <v>-141346.4</v>
      </c>
      <c r="F496">
        <v>0</v>
      </c>
      <c r="G496">
        <v>-848078.4</v>
      </c>
      <c r="H496">
        <v>-563200.6</v>
      </c>
      <c r="I496">
        <v>60.09</v>
      </c>
      <c r="J496">
        <v>0</v>
      </c>
      <c r="K496" s="249">
        <v>0</v>
      </c>
      <c r="L496" s="249">
        <v>0</v>
      </c>
      <c r="M496" s="249">
        <v>0</v>
      </c>
      <c r="O496" t="str">
        <f t="shared" si="15"/>
        <v>1</v>
      </c>
      <c r="P496">
        <f t="shared" si="14"/>
        <v>0</v>
      </c>
    </row>
    <row r="497" spans="1:16" hidden="1" x14ac:dyDescent="0.25">
      <c r="A497" t="s">
        <v>817</v>
      </c>
      <c r="C497" t="s">
        <v>27</v>
      </c>
      <c r="D497" s="67">
        <v>-3520000</v>
      </c>
      <c r="E497">
        <v>0</v>
      </c>
      <c r="F497">
        <v>0</v>
      </c>
      <c r="G497">
        <v>0</v>
      </c>
      <c r="H497">
        <v>-3520000</v>
      </c>
      <c r="I497">
        <v>0</v>
      </c>
      <c r="J497">
        <v>0</v>
      </c>
      <c r="K497" s="249">
        <v>-3520000</v>
      </c>
      <c r="L497" s="249">
        <v>-3000000</v>
      </c>
      <c r="M497" s="249">
        <v>0</v>
      </c>
      <c r="N497" s="249">
        <v>0</v>
      </c>
      <c r="O497" t="str">
        <f t="shared" si="15"/>
        <v>1</v>
      </c>
      <c r="P497">
        <f t="shared" si="14"/>
        <v>0</v>
      </c>
    </row>
    <row r="498" spans="1:16" hidden="1" x14ac:dyDescent="0.25">
      <c r="A498" t="s">
        <v>818</v>
      </c>
      <c r="C498" t="s">
        <v>32</v>
      </c>
      <c r="D498" s="67">
        <v>-2403000</v>
      </c>
      <c r="E498">
        <v>-252538</v>
      </c>
      <c r="F498">
        <v>0</v>
      </c>
      <c r="G498">
        <v>-1159420.99</v>
      </c>
      <c r="H498">
        <v>-1243579.01</v>
      </c>
      <c r="I498">
        <v>48.24</v>
      </c>
      <c r="J498">
        <v>0</v>
      </c>
      <c r="K498" s="249">
        <v>-2403000</v>
      </c>
      <c r="L498" s="249">
        <v>-2400000</v>
      </c>
      <c r="M498" s="249">
        <v>-2400000</v>
      </c>
      <c r="N498" s="249">
        <v>-2400000</v>
      </c>
      <c r="O498" t="str">
        <f t="shared" si="15"/>
        <v>1</v>
      </c>
      <c r="P498">
        <f t="shared" si="14"/>
        <v>0</v>
      </c>
    </row>
    <row r="499" spans="1:16" hidden="1" x14ac:dyDescent="0.25">
      <c r="A499" t="s">
        <v>819</v>
      </c>
      <c r="C499" t="s">
        <v>34</v>
      </c>
      <c r="D499" s="67">
        <v>-142578000</v>
      </c>
      <c r="E499">
        <v>-47017000</v>
      </c>
      <c r="F499">
        <v>0</v>
      </c>
      <c r="G499">
        <v>-106425000</v>
      </c>
      <c r="H499">
        <v>-36153000</v>
      </c>
      <c r="I499">
        <v>74.64</v>
      </c>
      <c r="J499">
        <v>0</v>
      </c>
      <c r="K499" s="249">
        <v>-142578000</v>
      </c>
      <c r="L499" s="249">
        <v>-150787000</v>
      </c>
      <c r="M499" s="249">
        <v>-159829000</v>
      </c>
      <c r="N499" s="249">
        <v>-167051000</v>
      </c>
      <c r="O499" t="str">
        <f t="shared" si="15"/>
        <v>1</v>
      </c>
      <c r="P499">
        <f t="shared" si="14"/>
        <v>0</v>
      </c>
    </row>
    <row r="500" spans="1:16" hidden="1" x14ac:dyDescent="0.25">
      <c r="A500" t="s">
        <v>820</v>
      </c>
      <c r="C500" t="s">
        <v>65</v>
      </c>
      <c r="D500" s="67">
        <v>-346932</v>
      </c>
      <c r="E500">
        <v>-40547.550000000003</v>
      </c>
      <c r="F500">
        <v>0</v>
      </c>
      <c r="G500">
        <v>-228665.99</v>
      </c>
      <c r="H500">
        <v>-118266.01</v>
      </c>
      <c r="I500">
        <v>65.91</v>
      </c>
      <c r="J500">
        <v>0</v>
      </c>
      <c r="K500" s="249">
        <v>-457332</v>
      </c>
      <c r="L500" s="249">
        <v>-479741.26799999998</v>
      </c>
      <c r="M500" s="249">
        <v>-502768.848864</v>
      </c>
      <c r="N500" s="249">
        <v>-526901.75360947195</v>
      </c>
      <c r="O500" t="str">
        <f t="shared" si="15"/>
        <v>1</v>
      </c>
      <c r="P500">
        <f t="shared" si="14"/>
        <v>0</v>
      </c>
    </row>
    <row r="501" spans="1:16" hidden="1" x14ac:dyDescent="0.25">
      <c r="A501" t="s">
        <v>821</v>
      </c>
      <c r="C501" t="s">
        <v>72</v>
      </c>
      <c r="D501" s="67">
        <v>-669425</v>
      </c>
      <c r="E501">
        <v>-141346.4</v>
      </c>
      <c r="F501">
        <v>0</v>
      </c>
      <c r="G501">
        <v>-848078.4</v>
      </c>
      <c r="H501">
        <v>-563200.6</v>
      </c>
      <c r="I501">
        <v>60.09</v>
      </c>
      <c r="J501">
        <v>669425</v>
      </c>
      <c r="K501" s="249">
        <v>0</v>
      </c>
      <c r="L501" s="249">
        <v>0</v>
      </c>
      <c r="M501" s="249">
        <v>0</v>
      </c>
      <c r="N501" s="249">
        <v>0</v>
      </c>
      <c r="O501" t="str">
        <f t="shared" si="15"/>
        <v>1</v>
      </c>
      <c r="P501">
        <f t="shared" si="14"/>
        <v>0</v>
      </c>
    </row>
    <row r="502" spans="1:16" hidden="1" x14ac:dyDescent="0.25">
      <c r="A502" t="s">
        <v>822</v>
      </c>
      <c r="C502" t="s">
        <v>108</v>
      </c>
      <c r="D502" s="67">
        <v>601072</v>
      </c>
      <c r="E502">
        <v>-141346.4</v>
      </c>
      <c r="F502">
        <v>0</v>
      </c>
      <c r="G502">
        <v>-848078.4</v>
      </c>
      <c r="H502">
        <v>-563200.6</v>
      </c>
      <c r="I502">
        <v>60.09</v>
      </c>
      <c r="J502">
        <v>0</v>
      </c>
      <c r="K502" s="249">
        <v>601072</v>
      </c>
      <c r="L502" s="249">
        <v>638639</v>
      </c>
      <c r="M502" s="249">
        <v>683343.73</v>
      </c>
      <c r="N502" s="249">
        <v>731177.79110000003</v>
      </c>
      <c r="O502" t="str">
        <f t="shared" si="15"/>
        <v>2</v>
      </c>
      <c r="P502" t="str">
        <f t="shared" si="14"/>
        <v>Employee Related Cost</v>
      </c>
    </row>
    <row r="503" spans="1:16" hidden="1" x14ac:dyDescent="0.25">
      <c r="A503" t="s">
        <v>823</v>
      </c>
      <c r="C503" t="s">
        <v>109</v>
      </c>
      <c r="D503" s="67">
        <v>30054</v>
      </c>
      <c r="E503">
        <v>-141346.4</v>
      </c>
      <c r="F503">
        <v>0</v>
      </c>
      <c r="G503">
        <v>-848078.4</v>
      </c>
      <c r="H503">
        <v>-563200.6</v>
      </c>
      <c r="I503">
        <v>60.09</v>
      </c>
      <c r="J503">
        <v>0</v>
      </c>
      <c r="K503" s="249">
        <v>30054</v>
      </c>
      <c r="L503" s="249">
        <v>31932.375</v>
      </c>
      <c r="M503" s="249">
        <v>34167.641250000001</v>
      </c>
      <c r="N503" s="249">
        <v>36559.376137500003</v>
      </c>
      <c r="O503" t="str">
        <f t="shared" si="15"/>
        <v>2</v>
      </c>
      <c r="P503" t="str">
        <f t="shared" si="14"/>
        <v>Employee Related Cost</v>
      </c>
    </row>
    <row r="504" spans="1:16" hidden="1" x14ac:dyDescent="0.25">
      <c r="A504" t="s">
        <v>824</v>
      </c>
      <c r="C504" t="s">
        <v>110</v>
      </c>
      <c r="D504" s="67">
        <v>40000</v>
      </c>
      <c r="E504">
        <v>-141346.4</v>
      </c>
      <c r="F504">
        <v>0</v>
      </c>
      <c r="G504">
        <v>-848078.4</v>
      </c>
      <c r="H504">
        <v>-563200.6</v>
      </c>
      <c r="I504">
        <v>60.09</v>
      </c>
      <c r="J504">
        <v>0</v>
      </c>
      <c r="K504" s="249">
        <v>40000</v>
      </c>
      <c r="L504" s="249">
        <v>42500</v>
      </c>
      <c r="M504" s="249">
        <v>45475</v>
      </c>
      <c r="N504" s="249">
        <v>48658.25</v>
      </c>
      <c r="O504" t="str">
        <f t="shared" si="15"/>
        <v>2</v>
      </c>
      <c r="P504" t="str">
        <f t="shared" si="14"/>
        <v>Employee Related Cost</v>
      </c>
    </row>
    <row r="505" spans="1:16" hidden="1" x14ac:dyDescent="0.25">
      <c r="A505" t="s">
        <v>825</v>
      </c>
      <c r="C505" t="s">
        <v>111</v>
      </c>
      <c r="D505" s="67">
        <v>205628</v>
      </c>
      <c r="E505">
        <v>-141346.4</v>
      </c>
      <c r="F505">
        <v>0</v>
      </c>
      <c r="G505">
        <v>-848078.4</v>
      </c>
      <c r="H505">
        <v>-563200.6</v>
      </c>
      <c r="I505">
        <v>60.09</v>
      </c>
      <c r="J505">
        <v>0</v>
      </c>
      <c r="K505" s="249">
        <v>205628</v>
      </c>
      <c r="L505" s="249">
        <v>218479.75</v>
      </c>
      <c r="M505" s="249">
        <v>233773.33249999999</v>
      </c>
      <c r="N505" s="249">
        <v>250137.46577499999</v>
      </c>
      <c r="O505" t="str">
        <f t="shared" si="15"/>
        <v>2</v>
      </c>
      <c r="P505" t="str">
        <f t="shared" si="14"/>
        <v>Employee Related Cost</v>
      </c>
    </row>
    <row r="506" spans="1:16" hidden="1" x14ac:dyDescent="0.25">
      <c r="A506" t="s">
        <v>826</v>
      </c>
      <c r="C506" t="s">
        <v>112</v>
      </c>
      <c r="D506" s="67">
        <v>17000</v>
      </c>
      <c r="E506">
        <v>-141346.4</v>
      </c>
      <c r="F506">
        <v>0</v>
      </c>
      <c r="G506">
        <v>-848078.4</v>
      </c>
      <c r="H506">
        <v>-563200.6</v>
      </c>
      <c r="I506">
        <v>60.09</v>
      </c>
      <c r="J506">
        <v>0</v>
      </c>
      <c r="K506" s="249">
        <v>17000</v>
      </c>
      <c r="L506" s="249">
        <v>18062.5</v>
      </c>
      <c r="M506" s="249">
        <v>19326.875</v>
      </c>
      <c r="N506" s="249">
        <v>20679.756249999999</v>
      </c>
      <c r="O506" t="str">
        <f t="shared" si="15"/>
        <v>2</v>
      </c>
      <c r="P506" t="str">
        <f t="shared" si="14"/>
        <v>Employee Related Cost</v>
      </c>
    </row>
    <row r="507" spans="1:16" hidden="1" x14ac:dyDescent="0.25">
      <c r="A507" t="s">
        <v>827</v>
      </c>
      <c r="C507" t="s">
        <v>113</v>
      </c>
      <c r="D507" s="67">
        <v>18580</v>
      </c>
      <c r="E507">
        <v>-141346.4</v>
      </c>
      <c r="F507">
        <v>0</v>
      </c>
      <c r="G507">
        <v>-848078.4</v>
      </c>
      <c r="H507">
        <v>-563200.6</v>
      </c>
      <c r="I507">
        <v>60.09</v>
      </c>
      <c r="J507">
        <v>-18580</v>
      </c>
      <c r="K507" s="249">
        <v>0</v>
      </c>
      <c r="L507" s="249">
        <v>0</v>
      </c>
      <c r="M507" s="249">
        <v>0</v>
      </c>
      <c r="O507" t="str">
        <f t="shared" si="15"/>
        <v>2</v>
      </c>
      <c r="P507" t="str">
        <f t="shared" si="14"/>
        <v>Employee Related Cost</v>
      </c>
    </row>
    <row r="508" spans="1:16" hidden="1" x14ac:dyDescent="0.25">
      <c r="A508" t="s">
        <v>828</v>
      </c>
      <c r="C508" t="s">
        <v>150</v>
      </c>
      <c r="D508" s="67">
        <v>514319</v>
      </c>
      <c r="E508">
        <v>-141346.4</v>
      </c>
      <c r="F508">
        <v>0</v>
      </c>
      <c r="G508">
        <v>-848078.4</v>
      </c>
      <c r="H508">
        <v>-563200.6</v>
      </c>
      <c r="I508">
        <v>60.09</v>
      </c>
      <c r="J508">
        <v>0</v>
      </c>
      <c r="K508" s="249">
        <v>514319</v>
      </c>
      <c r="L508" s="249">
        <v>546463.9375</v>
      </c>
      <c r="M508" s="249">
        <v>584716.41312499996</v>
      </c>
      <c r="N508" s="249">
        <v>625646.56204374996</v>
      </c>
      <c r="O508" t="str">
        <f t="shared" si="15"/>
        <v>2</v>
      </c>
      <c r="P508" t="str">
        <f t="shared" si="14"/>
        <v>Employee Related Cost</v>
      </c>
    </row>
    <row r="509" spans="1:16" hidden="1" x14ac:dyDescent="0.25">
      <c r="A509" t="s">
        <v>829</v>
      </c>
      <c r="C509" t="s">
        <v>151</v>
      </c>
      <c r="D509" s="67">
        <v>25716</v>
      </c>
      <c r="E509">
        <v>-141346.4</v>
      </c>
      <c r="F509">
        <v>0</v>
      </c>
      <c r="G509">
        <v>-848078.4</v>
      </c>
      <c r="H509">
        <v>-563200.6</v>
      </c>
      <c r="I509">
        <v>60.09</v>
      </c>
      <c r="J509">
        <v>-17248.910000000003</v>
      </c>
      <c r="K509" s="249">
        <v>8467.0899999999965</v>
      </c>
      <c r="L509" s="249">
        <v>8996.2831249999963</v>
      </c>
      <c r="M509" s="249">
        <v>9626.0229437499966</v>
      </c>
      <c r="N509" s="249">
        <v>10299.844549812497</v>
      </c>
      <c r="O509" t="str">
        <f t="shared" si="15"/>
        <v>2</v>
      </c>
      <c r="P509" t="str">
        <f t="shared" si="14"/>
        <v>Employee Related Cost</v>
      </c>
    </row>
    <row r="510" spans="1:16" hidden="1" x14ac:dyDescent="0.25">
      <c r="A510" t="s">
        <v>830</v>
      </c>
      <c r="C510" t="s">
        <v>153</v>
      </c>
      <c r="D510" s="67">
        <v>0</v>
      </c>
      <c r="E510">
        <v>-141346.4</v>
      </c>
      <c r="F510">
        <v>0</v>
      </c>
      <c r="G510">
        <v>-848078.4</v>
      </c>
      <c r="H510">
        <v>-563200.6</v>
      </c>
      <c r="I510">
        <v>60.09</v>
      </c>
      <c r="J510">
        <v>10893.24</v>
      </c>
      <c r="K510" s="249">
        <v>10893.24</v>
      </c>
      <c r="L510" s="249">
        <v>11574.067499999999</v>
      </c>
      <c r="M510" s="249">
        <v>12384.252224999998</v>
      </c>
      <c r="N510" s="249">
        <v>13251.149880749997</v>
      </c>
      <c r="O510" t="str">
        <f t="shared" si="15"/>
        <v>2</v>
      </c>
      <c r="P510" t="str">
        <f t="shared" si="14"/>
        <v>Employee Related Cost</v>
      </c>
    </row>
    <row r="511" spans="1:16" hidden="1" x14ac:dyDescent="0.25">
      <c r="A511" t="s">
        <v>831</v>
      </c>
      <c r="C511" t="s">
        <v>155</v>
      </c>
      <c r="D511" s="67">
        <v>17067</v>
      </c>
      <c r="E511">
        <v>-141346.4</v>
      </c>
      <c r="F511">
        <v>0</v>
      </c>
      <c r="G511">
        <v>-848078.4</v>
      </c>
      <c r="H511">
        <v>-563200.6</v>
      </c>
      <c r="I511">
        <v>60.09</v>
      </c>
      <c r="J511">
        <v>0</v>
      </c>
      <c r="K511" s="249">
        <v>17067</v>
      </c>
      <c r="L511" s="249">
        <v>18133.6875</v>
      </c>
      <c r="M511" s="249">
        <v>19403.045624999999</v>
      </c>
      <c r="N511" s="249">
        <v>20761.258818750001</v>
      </c>
      <c r="O511" t="str">
        <f t="shared" si="15"/>
        <v>2</v>
      </c>
      <c r="P511" t="str">
        <f t="shared" si="14"/>
        <v>Employee Related Cost</v>
      </c>
    </row>
    <row r="512" spans="1:16" hidden="1" x14ac:dyDescent="0.25">
      <c r="A512" t="s">
        <v>832</v>
      </c>
      <c r="C512" t="s">
        <v>157</v>
      </c>
      <c r="D512" s="67">
        <v>27826</v>
      </c>
      <c r="E512">
        <v>-141346.4</v>
      </c>
      <c r="F512">
        <v>0</v>
      </c>
      <c r="G512">
        <v>-848078.4</v>
      </c>
      <c r="H512">
        <v>-563200.6</v>
      </c>
      <c r="I512">
        <v>60.09</v>
      </c>
      <c r="J512">
        <v>0</v>
      </c>
      <c r="K512" s="249">
        <v>27826</v>
      </c>
      <c r="L512" s="249">
        <v>29565.125</v>
      </c>
      <c r="M512" s="249">
        <v>31634.68375</v>
      </c>
      <c r="N512" s="249">
        <v>33849.111612499997</v>
      </c>
      <c r="O512" t="str">
        <f t="shared" si="15"/>
        <v>2</v>
      </c>
      <c r="P512" t="str">
        <f t="shared" si="14"/>
        <v>Employee Related Cost</v>
      </c>
    </row>
    <row r="513" spans="1:16" hidden="1" x14ac:dyDescent="0.25">
      <c r="A513" t="s">
        <v>833</v>
      </c>
      <c r="C513" t="s">
        <v>159</v>
      </c>
      <c r="D513" s="67">
        <v>42860</v>
      </c>
      <c r="E513">
        <v>-141346.4</v>
      </c>
      <c r="F513">
        <v>0</v>
      </c>
      <c r="G513">
        <v>-848078.4</v>
      </c>
      <c r="H513">
        <v>-563200.6</v>
      </c>
      <c r="I513">
        <v>60.09</v>
      </c>
      <c r="J513">
        <v>27140</v>
      </c>
      <c r="K513" s="249">
        <v>70000</v>
      </c>
      <c r="L513" s="249">
        <v>74375</v>
      </c>
      <c r="M513" s="249">
        <v>79581.25</v>
      </c>
      <c r="N513" s="249">
        <v>85151.9375</v>
      </c>
      <c r="O513" t="str">
        <f t="shared" si="15"/>
        <v>2</v>
      </c>
      <c r="P513" t="str">
        <f t="shared" si="14"/>
        <v>Employee Related Cost</v>
      </c>
    </row>
    <row r="514" spans="1:16" hidden="1" x14ac:dyDescent="0.25">
      <c r="A514" t="s">
        <v>834</v>
      </c>
      <c r="C514" t="s">
        <v>164</v>
      </c>
      <c r="D514" s="67">
        <v>32457</v>
      </c>
      <c r="E514">
        <v>-141346.4</v>
      </c>
      <c r="F514">
        <v>0</v>
      </c>
      <c r="G514">
        <v>-848078.4</v>
      </c>
      <c r="H514">
        <v>-563200.6</v>
      </c>
      <c r="I514">
        <v>60.09</v>
      </c>
      <c r="J514">
        <v>0</v>
      </c>
      <c r="K514" s="249">
        <v>32457</v>
      </c>
      <c r="L514" s="249">
        <v>34485.5625</v>
      </c>
      <c r="M514" s="249">
        <v>36899.551874999997</v>
      </c>
      <c r="N514" s="249">
        <v>39482.520506249995</v>
      </c>
      <c r="O514" t="str">
        <f t="shared" si="15"/>
        <v>2</v>
      </c>
      <c r="P514" t="str">
        <f t="shared" ref="P514:P577" si="16">VLOOKUP(A514,bud_321,16,FALSE)</f>
        <v>Employee Related Cost</v>
      </c>
    </row>
    <row r="515" spans="1:16" hidden="1" x14ac:dyDescent="0.25">
      <c r="A515" t="s">
        <v>835</v>
      </c>
      <c r="C515" t="s">
        <v>167</v>
      </c>
      <c r="D515" s="67">
        <v>225</v>
      </c>
      <c r="E515">
        <v>-141346.4</v>
      </c>
      <c r="F515">
        <v>0</v>
      </c>
      <c r="G515">
        <v>-848078.4</v>
      </c>
      <c r="H515">
        <v>-563200.6</v>
      </c>
      <c r="I515">
        <v>60.09</v>
      </c>
      <c r="J515">
        <v>0</v>
      </c>
      <c r="K515" s="249">
        <v>225</v>
      </c>
      <c r="L515" s="249">
        <v>239.0625</v>
      </c>
      <c r="M515" s="249">
        <v>255.796875</v>
      </c>
      <c r="N515" s="249">
        <v>273.70265625000002</v>
      </c>
      <c r="O515" t="str">
        <f t="shared" ref="O515:O578" si="17">MID(A515,5,1)</f>
        <v>2</v>
      </c>
      <c r="P515" t="str">
        <f t="shared" si="16"/>
        <v>Employee Related Cost</v>
      </c>
    </row>
    <row r="516" spans="1:16" hidden="1" x14ac:dyDescent="0.25">
      <c r="A516" t="s">
        <v>836</v>
      </c>
      <c r="C516" t="s">
        <v>168</v>
      </c>
      <c r="D516" s="67">
        <v>107816</v>
      </c>
      <c r="E516">
        <v>-141346.4</v>
      </c>
      <c r="F516">
        <v>0</v>
      </c>
      <c r="G516">
        <v>-848078.4</v>
      </c>
      <c r="H516">
        <v>-563200.6</v>
      </c>
      <c r="I516">
        <v>60.09</v>
      </c>
      <c r="J516">
        <v>-60000</v>
      </c>
      <c r="K516" s="249">
        <v>47816</v>
      </c>
      <c r="L516" s="249">
        <v>50804.5</v>
      </c>
      <c r="M516" s="249">
        <v>54360.815000000002</v>
      </c>
      <c r="N516" s="249">
        <v>58166.072050000002</v>
      </c>
      <c r="O516" t="str">
        <f t="shared" si="17"/>
        <v>2</v>
      </c>
      <c r="P516" t="str">
        <f t="shared" si="16"/>
        <v>Employee Related Cost</v>
      </c>
    </row>
    <row r="517" spans="1:16" hidden="1" x14ac:dyDescent="0.25">
      <c r="A517" t="s">
        <v>837</v>
      </c>
      <c r="C517" t="s">
        <v>169</v>
      </c>
      <c r="D517" s="67">
        <v>113150</v>
      </c>
      <c r="E517">
        <v>-141346.4</v>
      </c>
      <c r="F517">
        <v>0</v>
      </c>
      <c r="G517">
        <v>-848078.4</v>
      </c>
      <c r="H517">
        <v>-563200.6</v>
      </c>
      <c r="I517">
        <v>60.09</v>
      </c>
      <c r="J517">
        <v>0</v>
      </c>
      <c r="K517" s="249">
        <v>113150</v>
      </c>
      <c r="L517" s="249">
        <v>120221.875</v>
      </c>
      <c r="M517" s="249">
        <v>128637.40625</v>
      </c>
      <c r="N517" s="249">
        <v>137642.0246875</v>
      </c>
      <c r="O517" t="str">
        <f t="shared" si="17"/>
        <v>2</v>
      </c>
      <c r="P517" t="str">
        <f t="shared" si="16"/>
        <v>Employee Related Cost</v>
      </c>
    </row>
    <row r="518" spans="1:16" hidden="1" x14ac:dyDescent="0.25">
      <c r="A518" t="s">
        <v>838</v>
      </c>
      <c r="C518" t="s">
        <v>170</v>
      </c>
      <c r="D518" s="67">
        <v>3570</v>
      </c>
      <c r="E518">
        <v>-141346.4</v>
      </c>
      <c r="F518">
        <v>0</v>
      </c>
      <c r="G518">
        <v>-848078.4</v>
      </c>
      <c r="H518">
        <v>-563200.6</v>
      </c>
      <c r="I518">
        <v>60.09</v>
      </c>
      <c r="J518">
        <v>0</v>
      </c>
      <c r="K518" s="249">
        <v>3570</v>
      </c>
      <c r="L518" s="249">
        <v>3793.125</v>
      </c>
      <c r="M518" s="249">
        <v>4058.6437500000002</v>
      </c>
      <c r="N518" s="249">
        <v>4342.7488125</v>
      </c>
      <c r="O518" t="str">
        <f t="shared" si="17"/>
        <v>2</v>
      </c>
      <c r="P518" t="str">
        <f t="shared" si="16"/>
        <v>Employee Related Cost</v>
      </c>
    </row>
    <row r="519" spans="1:16" hidden="1" x14ac:dyDescent="0.25">
      <c r="A519" t="s">
        <v>839</v>
      </c>
      <c r="C519" t="s">
        <v>173</v>
      </c>
      <c r="D519" s="67">
        <v>6657</v>
      </c>
      <c r="E519">
        <v>-141346.4</v>
      </c>
      <c r="F519">
        <v>0</v>
      </c>
      <c r="G519">
        <v>-848078.4</v>
      </c>
      <c r="H519">
        <v>-563200.6</v>
      </c>
      <c r="I519">
        <v>60.09</v>
      </c>
      <c r="J519">
        <v>0</v>
      </c>
      <c r="K519" s="249">
        <v>6657</v>
      </c>
      <c r="L519" s="249">
        <v>7073.0625</v>
      </c>
      <c r="M519" s="249">
        <v>7568.1768750000001</v>
      </c>
      <c r="N519" s="249">
        <v>8097.94925625</v>
      </c>
      <c r="O519" t="str">
        <f t="shared" si="17"/>
        <v>2</v>
      </c>
      <c r="P519" t="str">
        <f t="shared" si="16"/>
        <v>Employee Related Cost</v>
      </c>
    </row>
    <row r="520" spans="1:16" hidden="1" x14ac:dyDescent="0.25">
      <c r="A520" t="s">
        <v>840</v>
      </c>
      <c r="C520" t="s">
        <v>174</v>
      </c>
      <c r="D520" s="67">
        <v>6718</v>
      </c>
      <c r="E520">
        <v>-141346.4</v>
      </c>
      <c r="F520">
        <v>0</v>
      </c>
      <c r="G520">
        <v>-848078.4</v>
      </c>
      <c r="H520">
        <v>-563200.6</v>
      </c>
      <c r="I520">
        <v>60.09</v>
      </c>
      <c r="J520">
        <v>0</v>
      </c>
      <c r="K520" s="249">
        <v>6718</v>
      </c>
      <c r="L520" s="249">
        <v>7137.875</v>
      </c>
      <c r="M520" s="249">
        <v>7637.5262499999999</v>
      </c>
      <c r="N520" s="249">
        <v>8172.1530874999999</v>
      </c>
      <c r="O520" t="str">
        <f t="shared" si="17"/>
        <v>2</v>
      </c>
      <c r="P520" t="str">
        <f t="shared" si="16"/>
        <v>Employee Related Cost</v>
      </c>
    </row>
    <row r="521" spans="1:16" hidden="1" x14ac:dyDescent="0.25">
      <c r="A521" t="s">
        <v>1393</v>
      </c>
      <c r="C521" t="s">
        <v>1392</v>
      </c>
      <c r="D521" s="67">
        <v>0</v>
      </c>
      <c r="E521">
        <v>-141346.4</v>
      </c>
      <c r="F521">
        <v>0</v>
      </c>
      <c r="G521">
        <v>-848078.4</v>
      </c>
      <c r="H521">
        <v>-563200.6</v>
      </c>
      <c r="I521">
        <v>60.09</v>
      </c>
      <c r="J521">
        <v>150000</v>
      </c>
      <c r="K521" s="249">
        <v>150000</v>
      </c>
      <c r="L521" s="249">
        <v>159375</v>
      </c>
      <c r="M521" s="249">
        <v>170531.25</v>
      </c>
      <c r="N521" s="249">
        <v>182468.4375</v>
      </c>
      <c r="O521" t="str">
        <f t="shared" si="17"/>
        <v>2</v>
      </c>
      <c r="P521" t="str">
        <f t="shared" si="16"/>
        <v>Employee Related Cost</v>
      </c>
    </row>
    <row r="522" spans="1:16" hidden="1" x14ac:dyDescent="0.25">
      <c r="A522" t="s">
        <v>841</v>
      </c>
      <c r="C522" t="s">
        <v>175</v>
      </c>
      <c r="D522" s="67">
        <v>9290</v>
      </c>
      <c r="E522">
        <v>-141346.4</v>
      </c>
      <c r="F522">
        <v>0</v>
      </c>
      <c r="G522">
        <v>-848078.4</v>
      </c>
      <c r="H522">
        <v>-563200.6</v>
      </c>
      <c r="I522">
        <v>60.09</v>
      </c>
      <c r="J522">
        <v>0</v>
      </c>
      <c r="K522" s="249">
        <v>9290</v>
      </c>
      <c r="L522" s="249">
        <v>9870.625</v>
      </c>
      <c r="M522" s="249">
        <v>10561.56875</v>
      </c>
      <c r="N522" s="249">
        <v>11300.8785625</v>
      </c>
      <c r="O522" t="str">
        <f t="shared" si="17"/>
        <v>2</v>
      </c>
      <c r="P522" t="str">
        <f t="shared" si="16"/>
        <v>Employee Related Cost</v>
      </c>
    </row>
    <row r="523" spans="1:16" hidden="1" x14ac:dyDescent="0.25">
      <c r="A523" t="s">
        <v>842</v>
      </c>
      <c r="C523" t="s">
        <v>213</v>
      </c>
      <c r="D523" s="67">
        <v>1000000</v>
      </c>
      <c r="E523">
        <v>-141346.4</v>
      </c>
      <c r="F523">
        <v>0</v>
      </c>
      <c r="G523">
        <v>-848078.4</v>
      </c>
      <c r="H523">
        <v>-563200.6</v>
      </c>
      <c r="I523">
        <v>60.09</v>
      </c>
      <c r="J523">
        <v>150000</v>
      </c>
      <c r="K523" s="249">
        <v>1150000</v>
      </c>
      <c r="L523" s="249">
        <v>800000</v>
      </c>
      <c r="M523" s="249">
        <v>848000</v>
      </c>
      <c r="N523" s="249">
        <v>898880</v>
      </c>
      <c r="O523" t="str">
        <f t="shared" si="17"/>
        <v>2</v>
      </c>
      <c r="P523" t="str">
        <f t="shared" si="16"/>
        <v>Contracted Services</v>
      </c>
    </row>
    <row r="524" spans="1:16" hidden="1" x14ac:dyDescent="0.25">
      <c r="A524" t="s">
        <v>843</v>
      </c>
      <c r="C524" t="s">
        <v>219</v>
      </c>
      <c r="D524" s="67">
        <v>2650000</v>
      </c>
      <c r="E524">
        <v>-141346.4</v>
      </c>
      <c r="F524">
        <v>0</v>
      </c>
      <c r="G524">
        <v>-848078.4</v>
      </c>
      <c r="H524">
        <v>-563200.6</v>
      </c>
      <c r="I524">
        <v>60.09</v>
      </c>
      <c r="J524">
        <v>300000</v>
      </c>
      <c r="K524" s="249">
        <v>2950000</v>
      </c>
      <c r="L524" s="249">
        <v>3000000</v>
      </c>
      <c r="M524" s="249">
        <v>3180000</v>
      </c>
      <c r="N524" s="249">
        <v>3370800</v>
      </c>
      <c r="O524" t="str">
        <f t="shared" si="17"/>
        <v>2</v>
      </c>
      <c r="P524" t="str">
        <f t="shared" si="16"/>
        <v>Contracted Services</v>
      </c>
    </row>
    <row r="525" spans="1:16" hidden="1" x14ac:dyDescent="0.25">
      <c r="A525" t="s">
        <v>844</v>
      </c>
      <c r="C525" t="s">
        <v>229</v>
      </c>
      <c r="D525" s="67">
        <v>600000</v>
      </c>
      <c r="E525">
        <v>-141346.4</v>
      </c>
      <c r="F525">
        <v>0</v>
      </c>
      <c r="G525">
        <v>-848078.4</v>
      </c>
      <c r="H525">
        <v>-563200.6</v>
      </c>
      <c r="I525">
        <v>60.09</v>
      </c>
      <c r="J525">
        <v>300000</v>
      </c>
      <c r="K525" s="249">
        <v>900000</v>
      </c>
      <c r="L525" s="249">
        <v>400000</v>
      </c>
      <c r="M525" s="249">
        <v>424000</v>
      </c>
      <c r="N525" s="249">
        <v>449440</v>
      </c>
      <c r="O525" t="str">
        <f t="shared" si="17"/>
        <v>2</v>
      </c>
      <c r="P525" t="str">
        <f t="shared" si="16"/>
        <v>Contracted Services</v>
      </c>
    </row>
    <row r="526" spans="1:16" hidden="1" x14ac:dyDescent="0.25">
      <c r="A526" t="s">
        <v>845</v>
      </c>
      <c r="C526" t="s">
        <v>242</v>
      </c>
      <c r="D526" s="67">
        <v>55809</v>
      </c>
      <c r="E526">
        <v>-141346.4</v>
      </c>
      <c r="F526">
        <v>0</v>
      </c>
      <c r="G526">
        <v>-848078.4</v>
      </c>
      <c r="H526">
        <v>-563200.6</v>
      </c>
      <c r="I526">
        <v>60.09</v>
      </c>
      <c r="J526">
        <v>-30000</v>
      </c>
      <c r="K526" s="249">
        <v>25809</v>
      </c>
      <c r="L526" s="249">
        <v>26970.404999999999</v>
      </c>
      <c r="M526" s="249">
        <v>28211.04363</v>
      </c>
      <c r="N526" s="249">
        <v>29508.75163698</v>
      </c>
      <c r="O526" t="str">
        <f t="shared" si="17"/>
        <v>2</v>
      </c>
      <c r="P526" t="str">
        <f t="shared" si="16"/>
        <v>Operational Cost</v>
      </c>
    </row>
    <row r="527" spans="1:16" hidden="1" x14ac:dyDescent="0.25">
      <c r="A527" t="s">
        <v>846</v>
      </c>
      <c r="C527" t="s">
        <v>253</v>
      </c>
      <c r="D527" s="67">
        <v>2000</v>
      </c>
      <c r="E527">
        <v>-141346.4</v>
      </c>
      <c r="F527">
        <v>0</v>
      </c>
      <c r="G527">
        <v>-848078.4</v>
      </c>
      <c r="H527">
        <v>-563200.6</v>
      </c>
      <c r="I527">
        <v>60.09</v>
      </c>
      <c r="J527">
        <v>0</v>
      </c>
      <c r="K527" s="249">
        <v>2000</v>
      </c>
      <c r="L527" s="249">
        <v>2000</v>
      </c>
      <c r="M527" s="249">
        <v>2000</v>
      </c>
      <c r="N527" s="249">
        <v>2000</v>
      </c>
      <c r="O527" t="str">
        <f t="shared" si="17"/>
        <v>2</v>
      </c>
      <c r="P527" t="str">
        <f t="shared" si="16"/>
        <v>Operational Cost</v>
      </c>
    </row>
    <row r="528" spans="1:16" hidden="1" x14ac:dyDescent="0.25">
      <c r="A528" t="s">
        <v>847</v>
      </c>
      <c r="C528" t="s">
        <v>263</v>
      </c>
      <c r="D528" s="67">
        <v>403000</v>
      </c>
      <c r="E528">
        <v>-141346.4</v>
      </c>
      <c r="F528">
        <v>0</v>
      </c>
      <c r="G528">
        <v>-848078.4</v>
      </c>
      <c r="H528">
        <v>-563200.6</v>
      </c>
      <c r="I528">
        <v>60.09</v>
      </c>
      <c r="J528">
        <v>-300000</v>
      </c>
      <c r="K528" s="249">
        <v>103000</v>
      </c>
      <c r="L528" s="249">
        <v>200000</v>
      </c>
      <c r="M528" s="249">
        <v>209200</v>
      </c>
      <c r="N528" s="249">
        <v>218823.2</v>
      </c>
      <c r="O528" t="str">
        <f t="shared" si="17"/>
        <v>2</v>
      </c>
      <c r="P528" t="str">
        <f t="shared" si="16"/>
        <v>Operational Cost</v>
      </c>
    </row>
    <row r="529" spans="1:16" hidden="1" x14ac:dyDescent="0.25">
      <c r="A529" t="s">
        <v>848</v>
      </c>
      <c r="C529" t="s">
        <v>265</v>
      </c>
      <c r="D529" s="67">
        <v>132699</v>
      </c>
      <c r="E529">
        <v>-141346.4</v>
      </c>
      <c r="F529">
        <v>0</v>
      </c>
      <c r="G529">
        <v>-848078.4</v>
      </c>
      <c r="H529">
        <v>-563200.6</v>
      </c>
      <c r="I529">
        <v>60.09</v>
      </c>
      <c r="J529">
        <v>-115000</v>
      </c>
      <c r="K529" s="249">
        <v>17699</v>
      </c>
      <c r="L529" s="249">
        <v>18495.455000000002</v>
      </c>
      <c r="M529" s="249">
        <v>19346.245930000001</v>
      </c>
      <c r="N529" s="249">
        <v>20236.173242780002</v>
      </c>
      <c r="O529" t="str">
        <f t="shared" si="17"/>
        <v>2</v>
      </c>
      <c r="P529" t="str">
        <f t="shared" si="16"/>
        <v>Operational Cost</v>
      </c>
    </row>
    <row r="530" spans="1:16" hidden="1" x14ac:dyDescent="0.25">
      <c r="A530" t="s">
        <v>849</v>
      </c>
      <c r="C530" t="s">
        <v>268</v>
      </c>
      <c r="D530" s="67">
        <v>384808</v>
      </c>
      <c r="E530">
        <v>-141346.4</v>
      </c>
      <c r="F530">
        <v>0</v>
      </c>
      <c r="G530">
        <v>-848078.4</v>
      </c>
      <c r="H530">
        <v>-563200.6</v>
      </c>
      <c r="I530">
        <v>60.09</v>
      </c>
      <c r="J530">
        <v>-200000</v>
      </c>
      <c r="K530" s="249">
        <v>184808</v>
      </c>
      <c r="L530" s="249">
        <v>193124.36</v>
      </c>
      <c r="M530" s="249">
        <v>202008.08055999997</v>
      </c>
      <c r="N530" s="249">
        <v>211300.45226575996</v>
      </c>
      <c r="O530" t="str">
        <f t="shared" si="17"/>
        <v>2</v>
      </c>
      <c r="P530" t="str">
        <f t="shared" si="16"/>
        <v>Operational Cost</v>
      </c>
    </row>
    <row r="531" spans="1:16" hidden="1" x14ac:dyDescent="0.25">
      <c r="A531" t="s">
        <v>850</v>
      </c>
      <c r="C531" t="s">
        <v>268</v>
      </c>
      <c r="D531" s="67">
        <v>343818</v>
      </c>
      <c r="E531">
        <v>-141346.4</v>
      </c>
      <c r="F531">
        <v>0</v>
      </c>
      <c r="G531">
        <v>-848078.4</v>
      </c>
      <c r="H531">
        <v>-563200.6</v>
      </c>
      <c r="I531">
        <v>60.09</v>
      </c>
      <c r="J531">
        <v>-200000</v>
      </c>
      <c r="K531" s="249">
        <v>143818</v>
      </c>
      <c r="L531" s="249">
        <v>150289.81</v>
      </c>
      <c r="M531" s="249">
        <v>157203.14126</v>
      </c>
      <c r="N531" s="249">
        <v>164434.48575796001</v>
      </c>
      <c r="O531" t="str">
        <f t="shared" si="17"/>
        <v>2</v>
      </c>
      <c r="P531" t="str">
        <f t="shared" si="16"/>
        <v>Operational Cost</v>
      </c>
    </row>
    <row r="532" spans="1:16" hidden="1" x14ac:dyDescent="0.25">
      <c r="A532" t="s">
        <v>851</v>
      </c>
      <c r="C532" t="s">
        <v>269</v>
      </c>
      <c r="D532" s="67">
        <v>60000</v>
      </c>
      <c r="E532">
        <v>-141346.4</v>
      </c>
      <c r="F532">
        <v>0</v>
      </c>
      <c r="G532">
        <v>-848078.4</v>
      </c>
      <c r="H532">
        <v>-563200.6</v>
      </c>
      <c r="I532">
        <v>60.09</v>
      </c>
      <c r="J532">
        <v>-40000</v>
      </c>
      <c r="K532" s="249">
        <v>20000</v>
      </c>
      <c r="L532" s="249">
        <v>20900</v>
      </c>
      <c r="M532" s="249">
        <v>21861.4</v>
      </c>
      <c r="N532" s="249">
        <v>22867.024400000002</v>
      </c>
      <c r="O532" t="str">
        <f t="shared" si="17"/>
        <v>2</v>
      </c>
      <c r="P532" t="str">
        <f t="shared" si="16"/>
        <v>Operational Cost</v>
      </c>
    </row>
    <row r="533" spans="1:16" hidden="1" x14ac:dyDescent="0.25">
      <c r="A533" t="s">
        <v>853</v>
      </c>
      <c r="C533" t="s">
        <v>291</v>
      </c>
      <c r="D533" s="67">
        <v>0</v>
      </c>
      <c r="E533">
        <v>-141346.4</v>
      </c>
      <c r="F533">
        <v>0</v>
      </c>
      <c r="G533">
        <v>-848078.4</v>
      </c>
      <c r="H533">
        <v>-563200.6</v>
      </c>
      <c r="I533">
        <v>60.09</v>
      </c>
      <c r="J533">
        <v>0</v>
      </c>
      <c r="K533" s="249">
        <v>0</v>
      </c>
      <c r="L533" s="249">
        <v>0</v>
      </c>
      <c r="M533" s="249">
        <v>0</v>
      </c>
      <c r="O533" t="str">
        <f t="shared" si="17"/>
        <v>2</v>
      </c>
      <c r="P533" t="str">
        <f t="shared" si="16"/>
        <v>Depreciation &amp; Amortisation</v>
      </c>
    </row>
    <row r="534" spans="1:16" hidden="1" x14ac:dyDescent="0.25">
      <c r="A534" t="s">
        <v>854</v>
      </c>
      <c r="C534" t="s">
        <v>292</v>
      </c>
      <c r="D534" s="67">
        <v>0</v>
      </c>
      <c r="E534">
        <v>-141346.4</v>
      </c>
      <c r="F534">
        <v>0</v>
      </c>
      <c r="G534">
        <v>-848078.4</v>
      </c>
      <c r="H534">
        <v>-563200.6</v>
      </c>
      <c r="I534">
        <v>60.09</v>
      </c>
      <c r="J534">
        <v>0</v>
      </c>
      <c r="K534" s="249">
        <v>0</v>
      </c>
      <c r="L534" s="249">
        <v>0</v>
      </c>
      <c r="M534" s="249">
        <v>0</v>
      </c>
      <c r="O534" t="str">
        <f t="shared" si="17"/>
        <v>2</v>
      </c>
      <c r="P534" t="str">
        <f t="shared" si="16"/>
        <v>Depreciation &amp; Amortisation</v>
      </c>
    </row>
    <row r="535" spans="1:16" hidden="1" x14ac:dyDescent="0.25">
      <c r="A535" t="s">
        <v>855</v>
      </c>
      <c r="C535" t="s">
        <v>293</v>
      </c>
      <c r="D535" s="67">
        <v>0</v>
      </c>
      <c r="E535">
        <v>-141346.4</v>
      </c>
      <c r="F535">
        <v>0</v>
      </c>
      <c r="G535">
        <v>-848078.4</v>
      </c>
      <c r="H535">
        <v>-563200.6</v>
      </c>
      <c r="I535">
        <v>60.09</v>
      </c>
      <c r="J535">
        <v>0</v>
      </c>
      <c r="K535" s="249">
        <v>0</v>
      </c>
      <c r="L535" s="249">
        <v>0</v>
      </c>
      <c r="M535" s="249">
        <v>0</v>
      </c>
      <c r="O535" t="str">
        <f t="shared" si="17"/>
        <v>2</v>
      </c>
      <c r="P535" t="str">
        <f t="shared" si="16"/>
        <v>Depreciation &amp; Amortisation</v>
      </c>
    </row>
    <row r="536" spans="1:16" hidden="1" x14ac:dyDescent="0.25">
      <c r="A536" t="s">
        <v>857</v>
      </c>
      <c r="C536" t="s">
        <v>62</v>
      </c>
      <c r="D536" s="67">
        <v>-2112000</v>
      </c>
      <c r="E536">
        <v>-158518.66</v>
      </c>
      <c r="F536">
        <v>0</v>
      </c>
      <c r="G536">
        <v>-1057902.8999999999</v>
      </c>
      <c r="H536">
        <v>-1054097.1000000001</v>
      </c>
      <c r="I536">
        <v>50.09</v>
      </c>
      <c r="J536">
        <v>0</v>
      </c>
      <c r="K536" s="249">
        <v>-2112000</v>
      </c>
      <c r="L536" s="249">
        <v>-2215488</v>
      </c>
      <c r="M536" s="249">
        <v>-2321831.4240000001</v>
      </c>
      <c r="N536" s="249">
        <v>-2433279.3323520003</v>
      </c>
      <c r="O536" t="str">
        <f t="shared" si="17"/>
        <v>1</v>
      </c>
      <c r="P536">
        <f t="shared" si="16"/>
        <v>0</v>
      </c>
    </row>
    <row r="537" spans="1:16" hidden="1" x14ac:dyDescent="0.25">
      <c r="A537" t="s">
        <v>858</v>
      </c>
      <c r="C537" t="s">
        <v>150</v>
      </c>
      <c r="D537" s="67">
        <v>1243618</v>
      </c>
      <c r="E537">
        <v>-141346.4</v>
      </c>
      <c r="F537">
        <v>0</v>
      </c>
      <c r="G537">
        <v>-848078.4</v>
      </c>
      <c r="H537">
        <v>-563200.6</v>
      </c>
      <c r="I537">
        <v>60.09</v>
      </c>
      <c r="J537">
        <v>0</v>
      </c>
      <c r="K537" s="249">
        <v>1243618</v>
      </c>
      <c r="L537" s="249">
        <v>1321344.125</v>
      </c>
      <c r="M537" s="249">
        <v>1413838.2137500001</v>
      </c>
      <c r="N537" s="249">
        <v>1512806.8887125002</v>
      </c>
      <c r="O537" t="str">
        <f t="shared" si="17"/>
        <v>2</v>
      </c>
      <c r="P537" t="str">
        <f t="shared" si="16"/>
        <v>Employee Related Cost</v>
      </c>
    </row>
    <row r="538" spans="1:16" hidden="1" x14ac:dyDescent="0.25">
      <c r="A538" t="s">
        <v>859</v>
      </c>
      <c r="C538" t="s">
        <v>150</v>
      </c>
      <c r="D538" s="67">
        <v>80600</v>
      </c>
      <c r="E538">
        <v>-141346.4</v>
      </c>
      <c r="F538">
        <v>0</v>
      </c>
      <c r="G538">
        <v>-848078.4</v>
      </c>
      <c r="H538">
        <v>-563200.6</v>
      </c>
      <c r="I538">
        <v>60.09</v>
      </c>
      <c r="J538">
        <v>0</v>
      </c>
      <c r="K538" s="249">
        <v>80600</v>
      </c>
      <c r="L538" s="249">
        <v>85637.5</v>
      </c>
      <c r="M538" s="249">
        <v>91632.125</v>
      </c>
      <c r="N538" s="249">
        <v>98046.373749999999</v>
      </c>
      <c r="O538" t="str">
        <f t="shared" si="17"/>
        <v>2</v>
      </c>
      <c r="P538" t="str">
        <f t="shared" si="16"/>
        <v>Employee Related Cost</v>
      </c>
    </row>
    <row r="539" spans="1:16" hidden="1" x14ac:dyDescent="0.25">
      <c r="A539" t="s">
        <v>860</v>
      </c>
      <c r="C539" t="s">
        <v>151</v>
      </c>
      <c r="D539" s="67">
        <v>58113</v>
      </c>
      <c r="E539">
        <v>-141346.4</v>
      </c>
      <c r="F539">
        <v>0</v>
      </c>
      <c r="G539">
        <v>-848078.4</v>
      </c>
      <c r="H539">
        <v>-563200.6</v>
      </c>
      <c r="I539">
        <v>60.09</v>
      </c>
      <c r="J539">
        <v>-32711.729999999996</v>
      </c>
      <c r="K539" s="249">
        <v>25401.270000000004</v>
      </c>
      <c r="L539" s="249">
        <v>26988.849375000005</v>
      </c>
      <c r="M539" s="249">
        <v>28878.068831250006</v>
      </c>
      <c r="N539" s="249">
        <v>30899.533649437508</v>
      </c>
      <c r="O539" t="str">
        <f t="shared" si="17"/>
        <v>2</v>
      </c>
      <c r="P539" t="str">
        <f t="shared" si="16"/>
        <v>Employee Related Cost</v>
      </c>
    </row>
    <row r="540" spans="1:16" hidden="1" x14ac:dyDescent="0.25">
      <c r="A540" t="s">
        <v>861</v>
      </c>
      <c r="C540" t="s">
        <v>152</v>
      </c>
      <c r="D540" s="67">
        <v>38100</v>
      </c>
      <c r="E540">
        <v>-141346.4</v>
      </c>
      <c r="F540">
        <v>0</v>
      </c>
      <c r="G540">
        <v>-848078.4</v>
      </c>
      <c r="H540">
        <v>-563200.6</v>
      </c>
      <c r="I540">
        <v>60.09</v>
      </c>
      <c r="J540">
        <v>0</v>
      </c>
      <c r="K540" s="249">
        <v>38100</v>
      </c>
      <c r="L540" s="249">
        <v>40481.25</v>
      </c>
      <c r="M540" s="249">
        <v>43314.9375</v>
      </c>
      <c r="N540" s="249">
        <v>46346.983124999999</v>
      </c>
      <c r="O540" t="str">
        <f t="shared" si="17"/>
        <v>2</v>
      </c>
      <c r="P540" t="str">
        <f t="shared" si="16"/>
        <v>Employee Related Cost</v>
      </c>
    </row>
    <row r="541" spans="1:16" hidden="1" x14ac:dyDescent="0.25">
      <c r="A541" t="s">
        <v>862</v>
      </c>
      <c r="C541" t="s">
        <v>153</v>
      </c>
      <c r="D541" s="67">
        <v>10893</v>
      </c>
      <c r="E541">
        <v>-141346.4</v>
      </c>
      <c r="F541">
        <v>0</v>
      </c>
      <c r="G541">
        <v>-848078.4</v>
      </c>
      <c r="H541">
        <v>-563200.6</v>
      </c>
      <c r="I541">
        <v>60.09</v>
      </c>
      <c r="J541">
        <v>0</v>
      </c>
      <c r="K541" s="249">
        <v>10893</v>
      </c>
      <c r="L541" s="249">
        <v>11573.8125</v>
      </c>
      <c r="M541" s="249">
        <v>12383.979375000001</v>
      </c>
      <c r="N541" s="249">
        <v>13250.857931250001</v>
      </c>
      <c r="O541" t="str">
        <f t="shared" si="17"/>
        <v>2</v>
      </c>
      <c r="P541" t="str">
        <f t="shared" si="16"/>
        <v>Employee Related Cost</v>
      </c>
    </row>
    <row r="542" spans="1:16" hidden="1" x14ac:dyDescent="0.25">
      <c r="A542" t="s">
        <v>863</v>
      </c>
      <c r="C542" t="s">
        <v>155</v>
      </c>
      <c r="D542" s="67">
        <v>41268</v>
      </c>
      <c r="E542">
        <v>-141346.4</v>
      </c>
      <c r="F542">
        <v>0</v>
      </c>
      <c r="G542">
        <v>-848078.4</v>
      </c>
      <c r="H542">
        <v>-563200.6</v>
      </c>
      <c r="I542">
        <v>60.09</v>
      </c>
      <c r="J542">
        <v>0</v>
      </c>
      <c r="K542" s="249">
        <v>41268</v>
      </c>
      <c r="L542" s="249">
        <v>43847.25</v>
      </c>
      <c r="M542" s="249">
        <v>46916.557500000003</v>
      </c>
      <c r="N542" s="249">
        <v>50200.716525000003</v>
      </c>
      <c r="O542" t="str">
        <f t="shared" si="17"/>
        <v>2</v>
      </c>
      <c r="P542" t="str">
        <f t="shared" si="16"/>
        <v>Employee Related Cost</v>
      </c>
    </row>
    <row r="543" spans="1:16" hidden="1" x14ac:dyDescent="0.25">
      <c r="A543" t="s">
        <v>864</v>
      </c>
      <c r="C543" t="s">
        <v>156</v>
      </c>
      <c r="D543" s="67">
        <v>267347</v>
      </c>
      <c r="E543">
        <v>-141346.4</v>
      </c>
      <c r="F543">
        <v>0</v>
      </c>
      <c r="G543">
        <v>-848078.4</v>
      </c>
      <c r="H543">
        <v>-563200.6</v>
      </c>
      <c r="I543">
        <v>60.09</v>
      </c>
      <c r="J543">
        <v>0</v>
      </c>
      <c r="K543" s="249">
        <v>267347</v>
      </c>
      <c r="L543" s="249">
        <v>284056.1875</v>
      </c>
      <c r="M543" s="249">
        <v>303940.12062499998</v>
      </c>
      <c r="N543" s="249">
        <v>325215.92906875</v>
      </c>
      <c r="O543" t="str">
        <f t="shared" si="17"/>
        <v>2</v>
      </c>
      <c r="P543" t="str">
        <f t="shared" si="16"/>
        <v>Employee Related Cost</v>
      </c>
    </row>
    <row r="544" spans="1:16" hidden="1" x14ac:dyDescent="0.25">
      <c r="A544" t="s">
        <v>865</v>
      </c>
      <c r="C544" t="s">
        <v>157</v>
      </c>
      <c r="D544" s="67">
        <v>20000</v>
      </c>
      <c r="E544">
        <v>-141346.4</v>
      </c>
      <c r="F544">
        <v>0</v>
      </c>
      <c r="G544">
        <v>-848078.4</v>
      </c>
      <c r="H544">
        <v>-563200.6</v>
      </c>
      <c r="I544">
        <v>60.09</v>
      </c>
      <c r="J544">
        <v>0</v>
      </c>
      <c r="K544" s="249">
        <v>20000</v>
      </c>
      <c r="L544" s="249">
        <v>21250</v>
      </c>
      <c r="M544" s="249">
        <v>22737.5</v>
      </c>
      <c r="N544" s="249">
        <v>24329.125</v>
      </c>
      <c r="O544" t="str">
        <f t="shared" si="17"/>
        <v>2</v>
      </c>
      <c r="P544" t="str">
        <f t="shared" si="16"/>
        <v>Employee Related Cost</v>
      </c>
    </row>
    <row r="545" spans="1:16" hidden="1" x14ac:dyDescent="0.25">
      <c r="A545" t="s">
        <v>866</v>
      </c>
      <c r="C545" t="s">
        <v>158</v>
      </c>
      <c r="D545" s="67">
        <v>12841</v>
      </c>
      <c r="E545">
        <v>-141346.4</v>
      </c>
      <c r="F545">
        <v>0</v>
      </c>
      <c r="G545">
        <v>-848078.4</v>
      </c>
      <c r="H545">
        <v>-563200.6</v>
      </c>
      <c r="I545">
        <v>60.09</v>
      </c>
      <c r="J545">
        <v>-12841</v>
      </c>
      <c r="K545" s="249">
        <v>0</v>
      </c>
      <c r="L545" s="249">
        <v>0</v>
      </c>
      <c r="M545" s="249">
        <v>0</v>
      </c>
      <c r="N545" s="249">
        <v>0</v>
      </c>
      <c r="O545" t="str">
        <f t="shared" si="17"/>
        <v>2</v>
      </c>
      <c r="P545" t="str">
        <f t="shared" si="16"/>
        <v>Employee Related Cost</v>
      </c>
    </row>
    <row r="546" spans="1:16" hidden="1" x14ac:dyDescent="0.25">
      <c r="A546" t="s">
        <v>867</v>
      </c>
      <c r="C546" t="s">
        <v>159</v>
      </c>
      <c r="D546" s="67">
        <v>103635</v>
      </c>
      <c r="E546">
        <v>-141346.4</v>
      </c>
      <c r="F546">
        <v>0</v>
      </c>
      <c r="G546">
        <v>-848078.4</v>
      </c>
      <c r="H546">
        <v>-563200.6</v>
      </c>
      <c r="I546">
        <v>60.09</v>
      </c>
      <c r="J546">
        <v>16365</v>
      </c>
      <c r="K546" s="249">
        <v>120000</v>
      </c>
      <c r="L546" s="249">
        <v>127500</v>
      </c>
      <c r="M546" s="249">
        <v>136425</v>
      </c>
      <c r="N546" s="249">
        <v>145974.75</v>
      </c>
      <c r="O546" t="str">
        <f t="shared" si="17"/>
        <v>2</v>
      </c>
      <c r="P546" t="str">
        <f t="shared" si="16"/>
        <v>Employee Related Cost</v>
      </c>
    </row>
    <row r="547" spans="1:16" hidden="1" x14ac:dyDescent="0.25">
      <c r="A547" t="s">
        <v>868</v>
      </c>
      <c r="C547" t="s">
        <v>164</v>
      </c>
      <c r="D547" s="67">
        <v>15692</v>
      </c>
      <c r="E547">
        <v>-141346.4</v>
      </c>
      <c r="F547">
        <v>0</v>
      </c>
      <c r="G547">
        <v>-848078.4</v>
      </c>
      <c r="H547">
        <v>-563200.6</v>
      </c>
      <c r="I547">
        <v>60.09</v>
      </c>
      <c r="J547">
        <v>0</v>
      </c>
      <c r="K547" s="249">
        <v>15692</v>
      </c>
      <c r="L547" s="249">
        <v>16672.75</v>
      </c>
      <c r="M547" s="249">
        <v>17839.842499999999</v>
      </c>
      <c r="N547" s="249">
        <v>19088.631474999998</v>
      </c>
      <c r="O547" t="str">
        <f t="shared" si="17"/>
        <v>2</v>
      </c>
      <c r="P547" t="str">
        <f t="shared" si="16"/>
        <v>Employee Related Cost</v>
      </c>
    </row>
    <row r="548" spans="1:16" hidden="1" x14ac:dyDescent="0.25">
      <c r="A548" t="s">
        <v>869</v>
      </c>
      <c r="C548" t="s">
        <v>167</v>
      </c>
      <c r="D548" s="67">
        <v>337</v>
      </c>
      <c r="E548">
        <v>-141346.4</v>
      </c>
      <c r="F548">
        <v>0</v>
      </c>
      <c r="G548">
        <v>-848078.4</v>
      </c>
      <c r="H548">
        <v>-563200.6</v>
      </c>
      <c r="I548">
        <v>60.09</v>
      </c>
      <c r="J548">
        <v>0</v>
      </c>
      <c r="K548" s="249">
        <v>337</v>
      </c>
      <c r="L548" s="249">
        <v>358.0625</v>
      </c>
      <c r="M548" s="249">
        <v>383.12687499999998</v>
      </c>
      <c r="N548" s="249">
        <v>409.94575624999999</v>
      </c>
      <c r="O548" t="str">
        <f t="shared" si="17"/>
        <v>2</v>
      </c>
      <c r="P548" t="str">
        <f t="shared" si="16"/>
        <v>Employee Related Cost</v>
      </c>
    </row>
    <row r="549" spans="1:16" hidden="1" x14ac:dyDescent="0.25">
      <c r="A549" t="s">
        <v>870</v>
      </c>
      <c r="C549" t="s">
        <v>168</v>
      </c>
      <c r="D549" s="67">
        <v>161725</v>
      </c>
      <c r="E549">
        <v>-141346.4</v>
      </c>
      <c r="F549">
        <v>0</v>
      </c>
      <c r="G549">
        <v>-848078.4</v>
      </c>
      <c r="H549">
        <v>-563200.6</v>
      </c>
      <c r="I549">
        <v>60.09</v>
      </c>
      <c r="J549">
        <v>-40000</v>
      </c>
      <c r="K549" s="249">
        <v>121725</v>
      </c>
      <c r="L549" s="249">
        <v>129332.8125</v>
      </c>
      <c r="M549" s="249">
        <v>138386.109375</v>
      </c>
      <c r="N549" s="249">
        <v>148073.13703124999</v>
      </c>
      <c r="O549" t="str">
        <f t="shared" si="17"/>
        <v>2</v>
      </c>
      <c r="P549" t="str">
        <f t="shared" si="16"/>
        <v>Employee Related Cost</v>
      </c>
    </row>
    <row r="550" spans="1:16" hidden="1" x14ac:dyDescent="0.25">
      <c r="A550" t="s">
        <v>871</v>
      </c>
      <c r="C550" t="s">
        <v>169</v>
      </c>
      <c r="D550" s="67">
        <v>273596</v>
      </c>
      <c r="E550">
        <v>-141346.4</v>
      </c>
      <c r="F550">
        <v>0</v>
      </c>
      <c r="G550">
        <v>-848078.4</v>
      </c>
      <c r="H550">
        <v>-563200.6</v>
      </c>
      <c r="I550">
        <v>60.09</v>
      </c>
      <c r="J550">
        <v>0</v>
      </c>
      <c r="K550" s="249">
        <v>273596</v>
      </c>
      <c r="L550" s="249">
        <v>290695.75</v>
      </c>
      <c r="M550" s="249">
        <v>311044.45250000001</v>
      </c>
      <c r="N550" s="249">
        <v>332817.56417500001</v>
      </c>
      <c r="O550" t="str">
        <f t="shared" si="17"/>
        <v>2</v>
      </c>
      <c r="P550" t="str">
        <f t="shared" si="16"/>
        <v>Employee Related Cost</v>
      </c>
    </row>
    <row r="551" spans="1:16" hidden="1" x14ac:dyDescent="0.25">
      <c r="A551" t="s">
        <v>872</v>
      </c>
      <c r="C551" t="s">
        <v>170</v>
      </c>
      <c r="D551" s="67">
        <v>5355</v>
      </c>
      <c r="E551">
        <v>-141346.4</v>
      </c>
      <c r="F551">
        <v>0</v>
      </c>
      <c r="G551">
        <v>-848078.4</v>
      </c>
      <c r="H551">
        <v>-563200.6</v>
      </c>
      <c r="I551">
        <v>60.09</v>
      </c>
      <c r="J551">
        <v>0</v>
      </c>
      <c r="K551" s="249">
        <v>5355</v>
      </c>
      <c r="L551" s="249">
        <v>5689.6875</v>
      </c>
      <c r="M551" s="249">
        <v>6087.9656249999998</v>
      </c>
      <c r="N551" s="249">
        <v>6514.12321875</v>
      </c>
      <c r="O551" t="str">
        <f t="shared" si="17"/>
        <v>2</v>
      </c>
      <c r="P551" t="str">
        <f t="shared" si="16"/>
        <v>Employee Related Cost</v>
      </c>
    </row>
    <row r="552" spans="1:16" hidden="1" x14ac:dyDescent="0.25">
      <c r="A552" t="s">
        <v>873</v>
      </c>
      <c r="C552" t="s">
        <v>173</v>
      </c>
      <c r="D552" s="67">
        <v>11813</v>
      </c>
      <c r="E552">
        <v>-141346.4</v>
      </c>
      <c r="F552">
        <v>0</v>
      </c>
      <c r="G552">
        <v>-848078.4</v>
      </c>
      <c r="H552">
        <v>-563200.6</v>
      </c>
      <c r="I552">
        <v>60.09</v>
      </c>
      <c r="J552">
        <v>0</v>
      </c>
      <c r="K552" s="249">
        <v>11813</v>
      </c>
      <c r="L552" s="249">
        <v>12551.3125</v>
      </c>
      <c r="M552" s="249">
        <v>13429.904375</v>
      </c>
      <c r="N552" s="249">
        <v>14369.997681250001</v>
      </c>
      <c r="O552" t="str">
        <f t="shared" si="17"/>
        <v>2</v>
      </c>
      <c r="P552" t="str">
        <f t="shared" si="16"/>
        <v>Employee Related Cost</v>
      </c>
    </row>
    <row r="553" spans="1:16" hidden="1" x14ac:dyDescent="0.25">
      <c r="A553" t="s">
        <v>874</v>
      </c>
      <c r="C553" t="s">
        <v>174</v>
      </c>
      <c r="D553" s="67">
        <v>13427</v>
      </c>
      <c r="E553">
        <v>-141346.4</v>
      </c>
      <c r="F553">
        <v>0</v>
      </c>
      <c r="G553">
        <v>-848078.4</v>
      </c>
      <c r="H553">
        <v>-563200.6</v>
      </c>
      <c r="I553">
        <v>60.09</v>
      </c>
      <c r="J553">
        <v>0</v>
      </c>
      <c r="K553" s="249">
        <v>13427</v>
      </c>
      <c r="L553" s="249">
        <v>14266.1875</v>
      </c>
      <c r="M553" s="249">
        <v>15264.820625</v>
      </c>
      <c r="N553" s="249">
        <v>16333.35806875</v>
      </c>
      <c r="O553" t="str">
        <f t="shared" si="17"/>
        <v>2</v>
      </c>
      <c r="P553" t="str">
        <f t="shared" si="16"/>
        <v>Employee Related Cost</v>
      </c>
    </row>
    <row r="554" spans="1:16" hidden="1" x14ac:dyDescent="0.25">
      <c r="A554" t="s">
        <v>875</v>
      </c>
      <c r="C554" t="s">
        <v>175</v>
      </c>
      <c r="D554" s="67">
        <v>20916</v>
      </c>
      <c r="E554">
        <v>-141346.4</v>
      </c>
      <c r="F554">
        <v>0</v>
      </c>
      <c r="G554">
        <v>-848078.4</v>
      </c>
      <c r="H554">
        <v>-563200.6</v>
      </c>
      <c r="I554">
        <v>60.09</v>
      </c>
      <c r="J554">
        <v>0</v>
      </c>
      <c r="K554" s="249">
        <v>20916</v>
      </c>
      <c r="L554" s="249">
        <v>22223.25</v>
      </c>
      <c r="M554" s="249">
        <v>23778.877499999999</v>
      </c>
      <c r="N554" s="249">
        <v>25443.398924999998</v>
      </c>
      <c r="O554" t="str">
        <f t="shared" si="17"/>
        <v>2</v>
      </c>
      <c r="P554" t="str">
        <f t="shared" si="16"/>
        <v>Employee Related Cost</v>
      </c>
    </row>
    <row r="555" spans="1:16" hidden="1" x14ac:dyDescent="0.25">
      <c r="A555" t="s">
        <v>876</v>
      </c>
      <c r="C555" t="s">
        <v>265</v>
      </c>
      <c r="D555" s="67">
        <v>0</v>
      </c>
      <c r="E555">
        <v>-141346.4</v>
      </c>
      <c r="F555">
        <v>0</v>
      </c>
      <c r="G555">
        <v>-848078.4</v>
      </c>
      <c r="H555">
        <v>-563200.6</v>
      </c>
      <c r="I555">
        <v>60.09</v>
      </c>
      <c r="J555">
        <v>20000</v>
      </c>
      <c r="K555" s="249">
        <v>20000</v>
      </c>
      <c r="L555" s="249">
        <v>20900</v>
      </c>
      <c r="M555" s="249">
        <v>21861.4</v>
      </c>
      <c r="N555" s="249">
        <v>22867.024400000002</v>
      </c>
      <c r="O555" t="str">
        <f t="shared" si="17"/>
        <v>2</v>
      </c>
      <c r="P555" t="str">
        <f t="shared" si="16"/>
        <v>Operational Cost</v>
      </c>
    </row>
    <row r="556" spans="1:16" hidden="1" x14ac:dyDescent="0.25">
      <c r="A556" t="s">
        <v>877</v>
      </c>
      <c r="C556" t="s">
        <v>268</v>
      </c>
      <c r="D556" s="67">
        <v>0</v>
      </c>
      <c r="E556">
        <v>-141346.4</v>
      </c>
      <c r="F556">
        <v>0</v>
      </c>
      <c r="G556">
        <v>-848078.4</v>
      </c>
      <c r="H556">
        <v>-563200.6</v>
      </c>
      <c r="I556">
        <v>60.09</v>
      </c>
      <c r="J556">
        <v>50000</v>
      </c>
      <c r="K556" s="249">
        <v>50000</v>
      </c>
      <c r="L556" s="249">
        <v>52250</v>
      </c>
      <c r="M556" s="249">
        <v>54653.5</v>
      </c>
      <c r="N556" s="249">
        <v>57167.561000000002</v>
      </c>
      <c r="O556" t="str">
        <f t="shared" si="17"/>
        <v>2</v>
      </c>
      <c r="P556" t="str">
        <f t="shared" si="16"/>
        <v>Operational Cost</v>
      </c>
    </row>
    <row r="557" spans="1:16" hidden="1" x14ac:dyDescent="0.25">
      <c r="A557" t="s">
        <v>878</v>
      </c>
      <c r="C557" t="s">
        <v>283</v>
      </c>
      <c r="D557" s="67">
        <v>0</v>
      </c>
      <c r="E557">
        <v>-141346.4</v>
      </c>
      <c r="F557">
        <v>0</v>
      </c>
      <c r="G557">
        <v>-848078.4</v>
      </c>
      <c r="H557">
        <v>-563200.6</v>
      </c>
      <c r="I557">
        <v>60.09</v>
      </c>
      <c r="J557">
        <v>0</v>
      </c>
      <c r="K557" s="249">
        <v>0</v>
      </c>
      <c r="L557" s="249">
        <v>0</v>
      </c>
      <c r="M557" s="249">
        <v>0</v>
      </c>
      <c r="O557" t="str">
        <f t="shared" si="17"/>
        <v>2</v>
      </c>
      <c r="P557" t="str">
        <f t="shared" si="16"/>
        <v>Contracted Services</v>
      </c>
    </row>
    <row r="558" spans="1:16" hidden="1" x14ac:dyDescent="0.25">
      <c r="A558" t="s">
        <v>879</v>
      </c>
      <c r="C558" t="s">
        <v>291</v>
      </c>
      <c r="D558" s="67">
        <v>0</v>
      </c>
      <c r="E558">
        <v>-141346.4</v>
      </c>
      <c r="F558">
        <v>0</v>
      </c>
      <c r="G558">
        <v>-848078.4</v>
      </c>
      <c r="H558">
        <v>-563200.6</v>
      </c>
      <c r="I558">
        <v>60.09</v>
      </c>
      <c r="J558">
        <v>0</v>
      </c>
      <c r="K558" s="249">
        <v>0</v>
      </c>
      <c r="L558" s="249">
        <v>0</v>
      </c>
      <c r="M558" s="249">
        <v>0</v>
      </c>
      <c r="O558" t="str">
        <f t="shared" si="17"/>
        <v>2</v>
      </c>
      <c r="P558" t="str">
        <f t="shared" si="16"/>
        <v>Depreciation &amp; Amortisation</v>
      </c>
    </row>
    <row r="559" spans="1:16" hidden="1" x14ac:dyDescent="0.25">
      <c r="A559" t="s">
        <v>880</v>
      </c>
      <c r="C559" t="s">
        <v>292</v>
      </c>
      <c r="D559" s="67">
        <v>3371</v>
      </c>
      <c r="E559">
        <v>-141346.4</v>
      </c>
      <c r="F559">
        <v>0</v>
      </c>
      <c r="G559">
        <v>-848078.4</v>
      </c>
      <c r="H559">
        <v>-563200.6</v>
      </c>
      <c r="I559">
        <v>60.09</v>
      </c>
      <c r="J559">
        <v>0</v>
      </c>
      <c r="K559" s="249">
        <v>3371</v>
      </c>
      <c r="L559" s="249">
        <v>3522.6950000000002</v>
      </c>
      <c r="M559" s="249">
        <v>3684.7389700000003</v>
      </c>
      <c r="N559" s="249">
        <v>3854.2369626200002</v>
      </c>
      <c r="O559" t="str">
        <f t="shared" si="17"/>
        <v>2</v>
      </c>
      <c r="P559" t="str">
        <f t="shared" si="16"/>
        <v>Depreciation &amp; Amortisation</v>
      </c>
    </row>
    <row r="560" spans="1:16" hidden="1" x14ac:dyDescent="0.25">
      <c r="A560" t="s">
        <v>881</v>
      </c>
      <c r="C560" t="s">
        <v>293</v>
      </c>
      <c r="D560" s="67">
        <v>268</v>
      </c>
      <c r="E560">
        <v>-141346.4</v>
      </c>
      <c r="F560">
        <v>0</v>
      </c>
      <c r="G560">
        <v>-848078.4</v>
      </c>
      <c r="H560">
        <v>-563200.6</v>
      </c>
      <c r="I560">
        <v>60.09</v>
      </c>
      <c r="J560">
        <v>0</v>
      </c>
      <c r="K560" s="249">
        <v>268</v>
      </c>
      <c r="L560" s="249">
        <v>280.06</v>
      </c>
      <c r="M560" s="249">
        <v>292.94276000000002</v>
      </c>
      <c r="N560" s="249">
        <v>306.41812696</v>
      </c>
      <c r="O560" t="str">
        <f t="shared" si="17"/>
        <v>2</v>
      </c>
      <c r="P560" t="str">
        <f t="shared" si="16"/>
        <v>Depreciation &amp; Amortisation</v>
      </c>
    </row>
    <row r="561" spans="1:16" hidden="1" x14ac:dyDescent="0.25">
      <c r="A561" t="s">
        <v>882</v>
      </c>
      <c r="C561" t="s">
        <v>883</v>
      </c>
      <c r="D561" s="67">
        <v>350000</v>
      </c>
      <c r="E561">
        <v>-141346.4</v>
      </c>
      <c r="F561">
        <v>0</v>
      </c>
      <c r="G561">
        <v>-848078.4</v>
      </c>
      <c r="H561">
        <v>-563200.6</v>
      </c>
      <c r="I561">
        <v>60.09</v>
      </c>
      <c r="J561">
        <v>-350000</v>
      </c>
      <c r="K561" s="249">
        <v>0</v>
      </c>
      <c r="L561" s="249">
        <v>350000</v>
      </c>
      <c r="M561" s="249">
        <v>0</v>
      </c>
      <c r="O561" t="str">
        <f t="shared" si="17"/>
        <v>6</v>
      </c>
      <c r="P561">
        <f t="shared" si="16"/>
        <v>0</v>
      </c>
    </row>
    <row r="562" spans="1:16" hidden="1" x14ac:dyDescent="0.25">
      <c r="A562" t="s">
        <v>885</v>
      </c>
      <c r="C562" t="s">
        <v>58</v>
      </c>
      <c r="D562" s="67">
        <v>-18666</v>
      </c>
      <c r="E562">
        <v>-2474.44</v>
      </c>
      <c r="F562">
        <v>0</v>
      </c>
      <c r="G562">
        <v>-14202.7</v>
      </c>
      <c r="H562">
        <v>-4463.3</v>
      </c>
      <c r="I562">
        <v>76.08</v>
      </c>
      <c r="J562">
        <v>0</v>
      </c>
      <c r="K562" s="249">
        <v>-28405</v>
      </c>
      <c r="L562" s="249">
        <v>-29796.845000000001</v>
      </c>
      <c r="M562" s="249">
        <v>-31227.093560000001</v>
      </c>
      <c r="N562" s="249">
        <v>-32725.994050880003</v>
      </c>
      <c r="O562" t="str">
        <f t="shared" si="17"/>
        <v>1</v>
      </c>
      <c r="P562">
        <f t="shared" si="16"/>
        <v>0</v>
      </c>
    </row>
    <row r="563" spans="1:16" hidden="1" x14ac:dyDescent="0.25">
      <c r="A563" t="s">
        <v>886</v>
      </c>
      <c r="C563" t="s">
        <v>74</v>
      </c>
      <c r="D563" s="67">
        <v>-18426329</v>
      </c>
      <c r="E563">
        <v>0</v>
      </c>
      <c r="F563">
        <v>0</v>
      </c>
      <c r="G563">
        <v>0</v>
      </c>
      <c r="H563">
        <v>-18426329</v>
      </c>
      <c r="I563">
        <v>0</v>
      </c>
      <c r="J563">
        <v>0</v>
      </c>
      <c r="K563" s="249">
        <v>-20255136</v>
      </c>
      <c r="L563" s="249">
        <v>-18750194</v>
      </c>
      <c r="M563" s="249">
        <v>-23589212</v>
      </c>
      <c r="N563" s="249">
        <v>-27741422</v>
      </c>
      <c r="O563" t="str">
        <f t="shared" si="17"/>
        <v>1</v>
      </c>
      <c r="P563">
        <f t="shared" si="16"/>
        <v>0</v>
      </c>
    </row>
    <row r="564" spans="1:16" hidden="1" x14ac:dyDescent="0.25">
      <c r="A564" t="s">
        <v>887</v>
      </c>
      <c r="C564" t="s">
        <v>150</v>
      </c>
      <c r="D564" s="67">
        <v>2395771</v>
      </c>
      <c r="E564">
        <v>-141346.4</v>
      </c>
      <c r="F564">
        <v>0</v>
      </c>
      <c r="G564">
        <v>-848078.4</v>
      </c>
      <c r="H564">
        <v>-563200.6</v>
      </c>
      <c r="I564">
        <v>60.09</v>
      </c>
      <c r="J564">
        <v>0</v>
      </c>
      <c r="K564" s="249">
        <v>2395771</v>
      </c>
      <c r="L564" s="249">
        <v>2545506.6875</v>
      </c>
      <c r="M564" s="249">
        <v>2723692.1556250001</v>
      </c>
      <c r="N564" s="249">
        <v>2914350.6065187501</v>
      </c>
      <c r="O564" t="str">
        <f t="shared" si="17"/>
        <v>2</v>
      </c>
      <c r="P564" t="str">
        <f t="shared" si="16"/>
        <v>Employee Related Cost</v>
      </c>
    </row>
    <row r="565" spans="1:16" hidden="1" x14ac:dyDescent="0.25">
      <c r="A565" t="s">
        <v>888</v>
      </c>
      <c r="C565" t="s">
        <v>150</v>
      </c>
      <c r="D565" s="67">
        <v>80600</v>
      </c>
      <c r="E565">
        <v>-141346.4</v>
      </c>
      <c r="F565">
        <v>0</v>
      </c>
      <c r="G565">
        <v>-848078.4</v>
      </c>
      <c r="H565">
        <v>-563200.6</v>
      </c>
      <c r="I565">
        <v>60.09</v>
      </c>
      <c r="J565">
        <v>0</v>
      </c>
      <c r="K565" s="249">
        <v>80600</v>
      </c>
      <c r="L565" s="249">
        <v>85637.5</v>
      </c>
      <c r="M565" s="249">
        <v>91632.125</v>
      </c>
      <c r="N565" s="249">
        <v>98046.373749999999</v>
      </c>
      <c r="O565" t="str">
        <f t="shared" si="17"/>
        <v>2</v>
      </c>
      <c r="P565" t="str">
        <f t="shared" si="16"/>
        <v>Employee Related Cost</v>
      </c>
    </row>
    <row r="566" spans="1:16" hidden="1" x14ac:dyDescent="0.25">
      <c r="A566" t="s">
        <v>889</v>
      </c>
      <c r="C566" t="s">
        <v>151</v>
      </c>
      <c r="D566" s="67">
        <v>119789</v>
      </c>
      <c r="E566">
        <v>-141346.4</v>
      </c>
      <c r="F566">
        <v>0</v>
      </c>
      <c r="G566">
        <v>-848078.4</v>
      </c>
      <c r="H566">
        <v>-563200.6</v>
      </c>
      <c r="I566">
        <v>60.09</v>
      </c>
      <c r="J566">
        <v>-52052.280000000013</v>
      </c>
      <c r="K566" s="249">
        <v>67736.719999999987</v>
      </c>
      <c r="L566" s="249">
        <v>71970.264999999985</v>
      </c>
      <c r="M566" s="249">
        <v>77008.183549999987</v>
      </c>
      <c r="N566" s="249">
        <v>82398.756398499987</v>
      </c>
      <c r="O566" t="str">
        <f t="shared" si="17"/>
        <v>2</v>
      </c>
      <c r="P566" t="str">
        <f t="shared" si="16"/>
        <v>Employee Related Cost</v>
      </c>
    </row>
    <row r="567" spans="1:16" hidden="1" x14ac:dyDescent="0.25">
      <c r="A567" t="s">
        <v>890</v>
      </c>
      <c r="C567" t="s">
        <v>152</v>
      </c>
      <c r="D567" s="67">
        <v>38100</v>
      </c>
      <c r="E567">
        <v>-141346.4</v>
      </c>
      <c r="F567">
        <v>0</v>
      </c>
      <c r="G567">
        <v>-848078.4</v>
      </c>
      <c r="H567">
        <v>-563200.6</v>
      </c>
      <c r="I567">
        <v>60.09</v>
      </c>
      <c r="J567">
        <v>0</v>
      </c>
      <c r="K567" s="249">
        <v>38100</v>
      </c>
      <c r="L567" s="249">
        <v>40481.25</v>
      </c>
      <c r="M567" s="249">
        <v>43314.9375</v>
      </c>
      <c r="N567" s="249">
        <v>46346.983124999999</v>
      </c>
      <c r="O567" t="str">
        <f t="shared" si="17"/>
        <v>2</v>
      </c>
      <c r="P567" t="str">
        <f t="shared" si="16"/>
        <v>Employee Related Cost</v>
      </c>
    </row>
    <row r="568" spans="1:16" hidden="1" x14ac:dyDescent="0.25">
      <c r="A568" t="s">
        <v>891</v>
      </c>
      <c r="C568" t="s">
        <v>153</v>
      </c>
      <c r="D568" s="67">
        <v>10893</v>
      </c>
      <c r="E568">
        <v>-141346.4</v>
      </c>
      <c r="F568">
        <v>0</v>
      </c>
      <c r="G568">
        <v>-848078.4</v>
      </c>
      <c r="H568">
        <v>-563200.6</v>
      </c>
      <c r="I568">
        <v>60.09</v>
      </c>
      <c r="J568">
        <v>0</v>
      </c>
      <c r="K568" s="249">
        <v>10893</v>
      </c>
      <c r="L568" s="249">
        <v>11573.8125</v>
      </c>
      <c r="M568" s="249">
        <v>12383.979375000001</v>
      </c>
      <c r="N568" s="249">
        <v>13250.857931250001</v>
      </c>
      <c r="O568" t="str">
        <f t="shared" si="17"/>
        <v>2</v>
      </c>
      <c r="P568" t="str">
        <f t="shared" si="16"/>
        <v>Employee Related Cost</v>
      </c>
    </row>
    <row r="569" spans="1:16" hidden="1" x14ac:dyDescent="0.25">
      <c r="A569" t="s">
        <v>892</v>
      </c>
      <c r="C569" t="s">
        <v>155</v>
      </c>
      <c r="D569" s="67">
        <v>83636</v>
      </c>
      <c r="E569">
        <v>-141346.4</v>
      </c>
      <c r="F569">
        <v>0</v>
      </c>
      <c r="G569">
        <v>-848078.4</v>
      </c>
      <c r="H569">
        <v>-563200.6</v>
      </c>
      <c r="I569">
        <v>60.09</v>
      </c>
      <c r="J569">
        <v>0</v>
      </c>
      <c r="K569" s="249">
        <v>83636</v>
      </c>
      <c r="L569" s="249">
        <v>88863.25</v>
      </c>
      <c r="M569" s="249">
        <v>95083.677500000005</v>
      </c>
      <c r="N569" s="249">
        <v>101739.534925</v>
      </c>
      <c r="O569" t="str">
        <f t="shared" si="17"/>
        <v>2</v>
      </c>
      <c r="P569" t="str">
        <f t="shared" si="16"/>
        <v>Employee Related Cost</v>
      </c>
    </row>
    <row r="570" spans="1:16" hidden="1" x14ac:dyDescent="0.25">
      <c r="A570" t="s">
        <v>893</v>
      </c>
      <c r="C570" t="s">
        <v>156</v>
      </c>
      <c r="D570" s="67">
        <v>277507</v>
      </c>
      <c r="E570">
        <v>-141346.4</v>
      </c>
      <c r="F570">
        <v>0</v>
      </c>
      <c r="G570">
        <v>-848078.4</v>
      </c>
      <c r="H570">
        <v>-563200.6</v>
      </c>
      <c r="I570">
        <v>60.09</v>
      </c>
      <c r="J570">
        <v>0</v>
      </c>
      <c r="K570" s="249">
        <v>277507</v>
      </c>
      <c r="L570" s="249">
        <v>294851.1875</v>
      </c>
      <c r="M570" s="249">
        <v>315490.770625</v>
      </c>
      <c r="N570" s="249">
        <v>337575.12456875003</v>
      </c>
      <c r="O570" t="str">
        <f t="shared" si="17"/>
        <v>2</v>
      </c>
      <c r="P570" t="str">
        <f t="shared" si="16"/>
        <v>Employee Related Cost</v>
      </c>
    </row>
    <row r="571" spans="1:16" hidden="1" x14ac:dyDescent="0.25">
      <c r="A571" t="s">
        <v>894</v>
      </c>
      <c r="C571" t="s">
        <v>157</v>
      </c>
      <c r="D571" s="67">
        <v>59936</v>
      </c>
      <c r="E571">
        <v>-141346.4</v>
      </c>
      <c r="F571">
        <v>0</v>
      </c>
      <c r="G571">
        <v>-848078.4</v>
      </c>
      <c r="H571">
        <v>-563200.6</v>
      </c>
      <c r="I571">
        <v>60.09</v>
      </c>
      <c r="J571">
        <v>0</v>
      </c>
      <c r="K571" s="249">
        <v>59936</v>
      </c>
      <c r="L571" s="249">
        <v>63682</v>
      </c>
      <c r="M571" s="249">
        <v>68139.740000000005</v>
      </c>
      <c r="N571" s="249">
        <v>72909.521800000002</v>
      </c>
      <c r="O571" t="str">
        <f t="shared" si="17"/>
        <v>2</v>
      </c>
      <c r="P571" t="str">
        <f t="shared" si="16"/>
        <v>Employee Related Cost</v>
      </c>
    </row>
    <row r="572" spans="1:16" hidden="1" x14ac:dyDescent="0.25">
      <c r="A572" t="s">
        <v>895</v>
      </c>
      <c r="C572" t="s">
        <v>158</v>
      </c>
      <c r="D572" s="67">
        <v>12540</v>
      </c>
      <c r="E572">
        <v>-141346.4</v>
      </c>
      <c r="F572">
        <v>0</v>
      </c>
      <c r="G572">
        <v>-848078.4</v>
      </c>
      <c r="H572">
        <v>-563200.6</v>
      </c>
      <c r="I572">
        <v>60.09</v>
      </c>
      <c r="J572">
        <v>0</v>
      </c>
      <c r="K572" s="249">
        <v>12540</v>
      </c>
      <c r="L572" s="249">
        <v>13323.75</v>
      </c>
      <c r="M572" s="249">
        <v>14256.4125</v>
      </c>
      <c r="N572" s="249">
        <v>15254.361375</v>
      </c>
      <c r="O572" t="str">
        <f t="shared" si="17"/>
        <v>2</v>
      </c>
      <c r="P572" t="str">
        <f t="shared" si="16"/>
        <v>Employee Related Cost</v>
      </c>
    </row>
    <row r="573" spans="1:16" hidden="1" x14ac:dyDescent="0.25">
      <c r="A573" t="s">
        <v>896</v>
      </c>
      <c r="C573" t="s">
        <v>159</v>
      </c>
      <c r="D573" s="67">
        <v>199648</v>
      </c>
      <c r="E573">
        <v>-141346.4</v>
      </c>
      <c r="F573">
        <v>0</v>
      </c>
      <c r="G573">
        <v>-848078.4</v>
      </c>
      <c r="H573">
        <v>-563200.6</v>
      </c>
      <c r="I573">
        <v>60.09</v>
      </c>
      <c r="J573">
        <v>0</v>
      </c>
      <c r="K573" s="249">
        <v>199648</v>
      </c>
      <c r="L573" s="249">
        <v>212126</v>
      </c>
      <c r="M573" s="249">
        <v>226974.82</v>
      </c>
      <c r="N573" s="249">
        <v>242863.05740000002</v>
      </c>
      <c r="O573" t="str">
        <f t="shared" si="17"/>
        <v>2</v>
      </c>
      <c r="P573" t="str">
        <f t="shared" si="16"/>
        <v>Employee Related Cost</v>
      </c>
    </row>
    <row r="574" spans="1:16" hidden="1" x14ac:dyDescent="0.25">
      <c r="A574" t="s">
        <v>897</v>
      </c>
      <c r="C574" t="s">
        <v>161</v>
      </c>
      <c r="D574" s="67">
        <v>21018</v>
      </c>
      <c r="E574">
        <v>-141346.4</v>
      </c>
      <c r="F574">
        <v>0</v>
      </c>
      <c r="G574">
        <v>-848078.4</v>
      </c>
      <c r="H574">
        <v>-563200.6</v>
      </c>
      <c r="I574">
        <v>60.09</v>
      </c>
      <c r="J574">
        <v>0</v>
      </c>
      <c r="K574" s="249">
        <v>21018</v>
      </c>
      <c r="L574" s="249">
        <v>22331.625</v>
      </c>
      <c r="M574" s="249">
        <v>23894.838749999999</v>
      </c>
      <c r="N574" s="249">
        <v>25567.477462499999</v>
      </c>
      <c r="O574" t="str">
        <f t="shared" si="17"/>
        <v>2</v>
      </c>
      <c r="P574" t="str">
        <f t="shared" si="16"/>
        <v>Employee Related Cost</v>
      </c>
    </row>
    <row r="575" spans="1:16" hidden="1" x14ac:dyDescent="0.25">
      <c r="A575" t="s">
        <v>898</v>
      </c>
      <c r="C575" t="s">
        <v>164</v>
      </c>
      <c r="D575" s="67">
        <v>15692</v>
      </c>
      <c r="E575">
        <v>-141346.4</v>
      </c>
      <c r="F575">
        <v>0</v>
      </c>
      <c r="G575">
        <v>-848078.4</v>
      </c>
      <c r="H575">
        <v>-563200.6</v>
      </c>
      <c r="I575">
        <v>60.09</v>
      </c>
      <c r="J575">
        <v>0</v>
      </c>
      <c r="K575" s="249">
        <v>15692</v>
      </c>
      <c r="L575" s="249">
        <v>16672.75</v>
      </c>
      <c r="M575" s="249">
        <v>17839.842499999999</v>
      </c>
      <c r="N575" s="249">
        <v>19088.631474999998</v>
      </c>
      <c r="O575" t="str">
        <f t="shared" si="17"/>
        <v>2</v>
      </c>
      <c r="P575" t="str">
        <f t="shared" si="16"/>
        <v>Employee Related Cost</v>
      </c>
    </row>
    <row r="576" spans="1:16" hidden="1" x14ac:dyDescent="0.25">
      <c r="A576" t="s">
        <v>899</v>
      </c>
      <c r="C576" t="s">
        <v>167</v>
      </c>
      <c r="D576" s="67">
        <v>1011</v>
      </c>
      <c r="E576">
        <v>-141346.4</v>
      </c>
      <c r="F576">
        <v>0</v>
      </c>
      <c r="G576">
        <v>-848078.4</v>
      </c>
      <c r="H576">
        <v>-563200.6</v>
      </c>
      <c r="I576">
        <v>60.09</v>
      </c>
      <c r="J576">
        <v>0</v>
      </c>
      <c r="K576" s="249">
        <v>1011</v>
      </c>
      <c r="L576" s="249">
        <v>1074.1875</v>
      </c>
      <c r="M576" s="249">
        <v>1149.380625</v>
      </c>
      <c r="N576" s="249">
        <v>1229.83726875</v>
      </c>
      <c r="O576" t="str">
        <f t="shared" si="17"/>
        <v>2</v>
      </c>
      <c r="P576" t="str">
        <f t="shared" si="16"/>
        <v>Employee Related Cost</v>
      </c>
    </row>
    <row r="577" spans="1:16" hidden="1" x14ac:dyDescent="0.25">
      <c r="A577" t="s">
        <v>900</v>
      </c>
      <c r="C577" t="s">
        <v>168</v>
      </c>
      <c r="D577" s="67">
        <v>431265</v>
      </c>
      <c r="E577">
        <v>-141346.4</v>
      </c>
      <c r="F577">
        <v>0</v>
      </c>
      <c r="G577">
        <v>-848078.4</v>
      </c>
      <c r="H577">
        <v>-563200.6</v>
      </c>
      <c r="I577">
        <v>60.09</v>
      </c>
      <c r="J577">
        <v>-200000</v>
      </c>
      <c r="K577" s="249">
        <v>231265</v>
      </c>
      <c r="L577" s="249">
        <v>245719.0625</v>
      </c>
      <c r="M577" s="249">
        <v>262919.39687499998</v>
      </c>
      <c r="N577" s="249">
        <v>281323.75465624995</v>
      </c>
      <c r="O577" t="str">
        <f t="shared" si="17"/>
        <v>2</v>
      </c>
      <c r="P577" t="str">
        <f t="shared" si="16"/>
        <v>Employee Related Cost</v>
      </c>
    </row>
    <row r="578" spans="1:16" hidden="1" x14ac:dyDescent="0.25">
      <c r="A578" t="s">
        <v>901</v>
      </c>
      <c r="C578" t="s">
        <v>169</v>
      </c>
      <c r="D578" s="67">
        <v>527070</v>
      </c>
      <c r="E578">
        <v>-141346.4</v>
      </c>
      <c r="F578">
        <v>0</v>
      </c>
      <c r="G578">
        <v>-848078.4</v>
      </c>
      <c r="H578">
        <v>-563200.6</v>
      </c>
      <c r="I578">
        <v>60.09</v>
      </c>
      <c r="J578">
        <v>0</v>
      </c>
      <c r="K578" s="249">
        <v>527070</v>
      </c>
      <c r="L578" s="249">
        <v>560011.875</v>
      </c>
      <c r="M578" s="249">
        <v>599212.70625000005</v>
      </c>
      <c r="N578" s="249">
        <v>641157.59568750008</v>
      </c>
      <c r="O578" t="str">
        <f t="shared" si="17"/>
        <v>2</v>
      </c>
      <c r="P578" t="str">
        <f t="shared" ref="P578:P583" si="18">VLOOKUP(A578,bud_321,16,FALSE)</f>
        <v>Employee Related Cost</v>
      </c>
    </row>
    <row r="579" spans="1:16" hidden="1" x14ac:dyDescent="0.25">
      <c r="A579" t="s">
        <v>902</v>
      </c>
      <c r="C579" t="s">
        <v>170</v>
      </c>
      <c r="D579" s="67">
        <v>14280</v>
      </c>
      <c r="E579">
        <v>-141346.4</v>
      </c>
      <c r="F579">
        <v>0</v>
      </c>
      <c r="G579">
        <v>-848078.4</v>
      </c>
      <c r="H579">
        <v>-563200.6</v>
      </c>
      <c r="I579">
        <v>60.09</v>
      </c>
      <c r="J579">
        <v>0</v>
      </c>
      <c r="K579" s="249">
        <v>14280</v>
      </c>
      <c r="L579" s="249">
        <v>15172.5</v>
      </c>
      <c r="M579" s="249">
        <v>16234.575000000001</v>
      </c>
      <c r="N579" s="249">
        <v>17370.99525</v>
      </c>
      <c r="O579" t="str">
        <f t="shared" ref="O579:O642" si="19">MID(A579,5,1)</f>
        <v>2</v>
      </c>
      <c r="P579" t="str">
        <f t="shared" si="18"/>
        <v>Employee Related Cost</v>
      </c>
    </row>
    <row r="580" spans="1:16" hidden="1" x14ac:dyDescent="0.25">
      <c r="A580" t="s">
        <v>903</v>
      </c>
      <c r="C580" t="s">
        <v>170</v>
      </c>
      <c r="D580" s="67">
        <v>0</v>
      </c>
      <c r="E580">
        <v>-141346.4</v>
      </c>
      <c r="F580">
        <v>0</v>
      </c>
      <c r="G580">
        <v>-848078.4</v>
      </c>
      <c r="H580">
        <v>-563200.6</v>
      </c>
      <c r="I580">
        <v>60.09</v>
      </c>
      <c r="J580">
        <v>0</v>
      </c>
      <c r="K580" s="249">
        <v>0</v>
      </c>
      <c r="L580" s="249">
        <v>0</v>
      </c>
      <c r="M580" s="249">
        <v>0</v>
      </c>
      <c r="O580" t="str">
        <f t="shared" si="19"/>
        <v>2</v>
      </c>
      <c r="P580" t="str">
        <f t="shared" si="18"/>
        <v>Employee Related Cost</v>
      </c>
    </row>
    <row r="581" spans="1:16" hidden="1" x14ac:dyDescent="0.25">
      <c r="A581" t="s">
        <v>904</v>
      </c>
      <c r="C581" t="s">
        <v>173</v>
      </c>
      <c r="D581" s="67">
        <v>41616</v>
      </c>
      <c r="E581">
        <v>-141346.4</v>
      </c>
      <c r="F581">
        <v>0</v>
      </c>
      <c r="G581">
        <v>-848078.4</v>
      </c>
      <c r="H581">
        <v>-563200.6</v>
      </c>
      <c r="I581">
        <v>60.09</v>
      </c>
      <c r="J581">
        <v>0</v>
      </c>
      <c r="K581" s="249">
        <v>41616</v>
      </c>
      <c r="L581" s="249">
        <v>44217</v>
      </c>
      <c r="M581" s="249">
        <v>47312.19</v>
      </c>
      <c r="N581" s="249">
        <v>50624.043300000005</v>
      </c>
      <c r="O581" t="str">
        <f t="shared" si="19"/>
        <v>2</v>
      </c>
      <c r="P581" t="str">
        <f t="shared" si="18"/>
        <v>Employee Related Cost</v>
      </c>
    </row>
    <row r="582" spans="1:16" hidden="1" x14ac:dyDescent="0.25">
      <c r="A582" t="s">
        <v>905</v>
      </c>
      <c r="C582" t="s">
        <v>174</v>
      </c>
      <c r="D582" s="67">
        <v>54019</v>
      </c>
      <c r="E582">
        <v>-141346.4</v>
      </c>
      <c r="F582">
        <v>0</v>
      </c>
      <c r="G582">
        <v>-848078.4</v>
      </c>
      <c r="H582">
        <v>-563200.6</v>
      </c>
      <c r="I582">
        <v>60.09</v>
      </c>
      <c r="J582">
        <v>0</v>
      </c>
      <c r="K582" s="249">
        <v>54019</v>
      </c>
      <c r="L582" s="249">
        <v>57395.1875</v>
      </c>
      <c r="M582" s="249">
        <v>61412.850624999999</v>
      </c>
      <c r="N582" s="249">
        <v>65711.750168750004</v>
      </c>
      <c r="O582" t="str">
        <f t="shared" si="19"/>
        <v>2</v>
      </c>
      <c r="P582" t="str">
        <f t="shared" si="18"/>
        <v>Employee Related Cost</v>
      </c>
    </row>
    <row r="583" spans="1:16" hidden="1" x14ac:dyDescent="0.25">
      <c r="A583" t="s">
        <v>906</v>
      </c>
      <c r="C583" t="s">
        <v>175</v>
      </c>
      <c r="D583" s="67">
        <v>39314</v>
      </c>
      <c r="E583">
        <v>-141346.4</v>
      </c>
      <c r="F583">
        <v>0</v>
      </c>
      <c r="G583">
        <v>-848078.4</v>
      </c>
      <c r="H583">
        <v>-563200.6</v>
      </c>
      <c r="I583">
        <v>60.09</v>
      </c>
      <c r="J583">
        <v>0</v>
      </c>
      <c r="K583" s="249">
        <v>39314</v>
      </c>
      <c r="L583" s="249">
        <v>41771.125</v>
      </c>
      <c r="M583" s="249">
        <v>44695.103750000002</v>
      </c>
      <c r="N583" s="249">
        <v>47823.761012499999</v>
      </c>
      <c r="O583" t="str">
        <f t="shared" si="19"/>
        <v>2</v>
      </c>
      <c r="P583" t="str">
        <f t="shared" si="18"/>
        <v>Employee Related Cost</v>
      </c>
    </row>
    <row r="584" spans="1:16" x14ac:dyDescent="0.25">
      <c r="A584" t="s">
        <v>3079</v>
      </c>
      <c r="C584" t="s">
        <v>3066</v>
      </c>
      <c r="D584" s="67">
        <v>0</v>
      </c>
      <c r="K584" s="249">
        <v>0</v>
      </c>
      <c r="L584" s="249">
        <v>0</v>
      </c>
      <c r="M584" s="249">
        <v>2200000</v>
      </c>
      <c r="N584" s="249">
        <v>0</v>
      </c>
      <c r="O584" t="str">
        <f t="shared" si="19"/>
        <v>2</v>
      </c>
      <c r="P584" t="s">
        <v>3105</v>
      </c>
    </row>
    <row r="585" spans="1:16" x14ac:dyDescent="0.25">
      <c r="A585" t="s">
        <v>3078</v>
      </c>
      <c r="C585" t="s">
        <v>3063</v>
      </c>
      <c r="D585" s="67">
        <v>0</v>
      </c>
      <c r="K585" s="249">
        <v>0</v>
      </c>
      <c r="L585" s="249">
        <v>800000</v>
      </c>
      <c r="M585" s="249">
        <v>0</v>
      </c>
      <c r="N585" s="249">
        <v>0</v>
      </c>
      <c r="O585" t="str">
        <f t="shared" si="19"/>
        <v>2</v>
      </c>
      <c r="P585" t="str">
        <f t="shared" ref="P585:P648" si="20">VLOOKUP(A585,bud_321,16,FALSE)</f>
        <v>Contracted Services</v>
      </c>
    </row>
    <row r="586" spans="1:16" hidden="1" x14ac:dyDescent="0.25">
      <c r="A586" t="s">
        <v>907</v>
      </c>
      <c r="C586" t="s">
        <v>212</v>
      </c>
      <c r="D586" s="67">
        <v>205000</v>
      </c>
      <c r="E586">
        <v>-141346.4</v>
      </c>
      <c r="F586">
        <v>0</v>
      </c>
      <c r="G586">
        <v>-848078.4</v>
      </c>
      <c r="H586">
        <v>-563200.6</v>
      </c>
      <c r="I586">
        <v>60.09</v>
      </c>
      <c r="J586">
        <v>200000</v>
      </c>
      <c r="K586" s="249">
        <v>405000</v>
      </c>
      <c r="L586" s="249">
        <v>200000</v>
      </c>
      <c r="M586" s="249">
        <v>209200</v>
      </c>
      <c r="N586" s="249">
        <v>218823.2</v>
      </c>
      <c r="O586" t="str">
        <f t="shared" si="19"/>
        <v>2</v>
      </c>
      <c r="P586" t="str">
        <f t="shared" si="20"/>
        <v>Contracted Services</v>
      </c>
    </row>
    <row r="587" spans="1:16" hidden="1" x14ac:dyDescent="0.25">
      <c r="A587" t="s">
        <v>908</v>
      </c>
      <c r="C587" t="s">
        <v>213</v>
      </c>
      <c r="D587" s="67">
        <v>300000</v>
      </c>
      <c r="E587">
        <v>-141346.4</v>
      </c>
      <c r="F587">
        <v>0</v>
      </c>
      <c r="G587">
        <v>-848078.4</v>
      </c>
      <c r="H587">
        <v>-563200.6</v>
      </c>
      <c r="I587">
        <v>60.09</v>
      </c>
      <c r="J587">
        <v>168000</v>
      </c>
      <c r="K587" s="249">
        <v>468000</v>
      </c>
      <c r="L587" s="249">
        <v>300000</v>
      </c>
      <c r="M587" s="249">
        <v>0</v>
      </c>
      <c r="N587" s="249">
        <v>300000</v>
      </c>
      <c r="O587" t="str">
        <f t="shared" si="19"/>
        <v>2</v>
      </c>
      <c r="P587" t="str">
        <f t="shared" si="20"/>
        <v>Contracted Services</v>
      </c>
    </row>
    <row r="588" spans="1:16" hidden="1" x14ac:dyDescent="0.25">
      <c r="A588" t="s">
        <v>909</v>
      </c>
      <c r="C588" t="s">
        <v>216</v>
      </c>
      <c r="D588" s="67">
        <v>162340</v>
      </c>
      <c r="E588">
        <v>-141346.4</v>
      </c>
      <c r="F588">
        <v>0</v>
      </c>
      <c r="G588">
        <v>-848078.4</v>
      </c>
      <c r="H588">
        <v>-563200.6</v>
      </c>
      <c r="I588">
        <v>60.09</v>
      </c>
      <c r="J588">
        <v>0</v>
      </c>
      <c r="K588" s="249">
        <v>162340</v>
      </c>
      <c r="L588" s="249">
        <v>169645.3</v>
      </c>
      <c r="M588" s="249">
        <v>177448.98379999999</v>
      </c>
      <c r="N588" s="249">
        <v>185611.6370548</v>
      </c>
      <c r="O588" t="str">
        <f t="shared" si="19"/>
        <v>2</v>
      </c>
      <c r="P588" t="str">
        <f t="shared" si="20"/>
        <v>Contracted Services</v>
      </c>
    </row>
    <row r="589" spans="1:16" hidden="1" x14ac:dyDescent="0.25">
      <c r="A589" t="s">
        <v>910</v>
      </c>
      <c r="B589" t="s">
        <v>3051</v>
      </c>
      <c r="C589" t="s">
        <v>219</v>
      </c>
      <c r="D589" s="67">
        <v>700000</v>
      </c>
      <c r="E589">
        <v>-141346.4</v>
      </c>
      <c r="F589">
        <v>0</v>
      </c>
      <c r="G589">
        <v>-848078.4</v>
      </c>
      <c r="H589">
        <v>-563200.6</v>
      </c>
      <c r="I589">
        <v>60.09</v>
      </c>
      <c r="J589">
        <v>-52000</v>
      </c>
      <c r="K589" s="249">
        <v>648000</v>
      </c>
      <c r="L589" s="249">
        <v>700000</v>
      </c>
      <c r="M589" s="249">
        <v>0</v>
      </c>
      <c r="N589" s="249">
        <v>0</v>
      </c>
      <c r="O589" t="str">
        <f t="shared" si="19"/>
        <v>2</v>
      </c>
      <c r="P589" t="str">
        <f t="shared" si="20"/>
        <v>Contracted Services</v>
      </c>
    </row>
    <row r="590" spans="1:16" hidden="1" x14ac:dyDescent="0.25">
      <c r="A590" t="s">
        <v>911</v>
      </c>
      <c r="C590" t="s">
        <v>248</v>
      </c>
      <c r="D590" s="67">
        <v>1176923</v>
      </c>
      <c r="E590">
        <v>-141346.4</v>
      </c>
      <c r="F590">
        <v>0</v>
      </c>
      <c r="G590">
        <v>-848078.4</v>
      </c>
      <c r="H590">
        <v>-563200.6</v>
      </c>
      <c r="I590">
        <v>60.09</v>
      </c>
      <c r="J590">
        <v>600000</v>
      </c>
      <c r="K590" s="249">
        <v>1776923</v>
      </c>
      <c r="L590" s="249">
        <v>2100000</v>
      </c>
      <c r="M590" s="249">
        <v>2194500</v>
      </c>
      <c r="N590" s="249">
        <v>2293252.5</v>
      </c>
      <c r="O590" t="str">
        <f t="shared" si="19"/>
        <v>2</v>
      </c>
      <c r="P590" t="str">
        <f t="shared" si="20"/>
        <v>Operational Cost</v>
      </c>
    </row>
    <row r="591" spans="1:16" hidden="1" x14ac:dyDescent="0.25">
      <c r="A591" t="s">
        <v>912</v>
      </c>
      <c r="C591" t="s">
        <v>265</v>
      </c>
      <c r="D591" s="67">
        <v>0</v>
      </c>
      <c r="E591">
        <v>-141346.4</v>
      </c>
      <c r="F591">
        <v>0</v>
      </c>
      <c r="G591">
        <v>-848078.4</v>
      </c>
      <c r="H591">
        <v>-563200.6</v>
      </c>
      <c r="I591">
        <v>60.09</v>
      </c>
      <c r="J591">
        <v>40000</v>
      </c>
      <c r="K591" s="249">
        <v>40000</v>
      </c>
      <c r="L591" s="249">
        <v>41800</v>
      </c>
      <c r="M591" s="249">
        <v>43681</v>
      </c>
      <c r="N591" s="249">
        <v>45646.644999999997</v>
      </c>
      <c r="O591" t="str">
        <f t="shared" si="19"/>
        <v>2</v>
      </c>
      <c r="P591" t="str">
        <f t="shared" si="20"/>
        <v>Operational Cost</v>
      </c>
    </row>
    <row r="592" spans="1:16" hidden="1" x14ac:dyDescent="0.25">
      <c r="A592" t="s">
        <v>913</v>
      </c>
      <c r="C592" t="s">
        <v>265</v>
      </c>
      <c r="D592" s="67">
        <v>0</v>
      </c>
      <c r="E592">
        <v>-141346.4</v>
      </c>
      <c r="F592">
        <v>0</v>
      </c>
      <c r="G592">
        <v>-848078.4</v>
      </c>
      <c r="H592">
        <v>-563200.6</v>
      </c>
      <c r="I592">
        <v>60.09</v>
      </c>
      <c r="J592">
        <v>800</v>
      </c>
      <c r="K592" s="249">
        <v>800</v>
      </c>
      <c r="L592" s="249">
        <v>836</v>
      </c>
      <c r="M592" s="249">
        <v>873.62</v>
      </c>
      <c r="N592" s="249">
        <v>912.93290000000002</v>
      </c>
      <c r="O592" t="str">
        <f t="shared" si="19"/>
        <v>2</v>
      </c>
      <c r="P592" t="str">
        <f t="shared" si="20"/>
        <v>Operational Cost</v>
      </c>
    </row>
    <row r="593" spans="1:16" hidden="1" x14ac:dyDescent="0.25">
      <c r="A593" t="s">
        <v>914</v>
      </c>
      <c r="C593" t="s">
        <v>268</v>
      </c>
      <c r="D593" s="67">
        <v>0</v>
      </c>
      <c r="E593">
        <v>-141346.4</v>
      </c>
      <c r="F593">
        <v>0</v>
      </c>
      <c r="G593">
        <v>-848078.4</v>
      </c>
      <c r="H593">
        <v>-563200.6</v>
      </c>
      <c r="I593">
        <v>60.09</v>
      </c>
      <c r="J593">
        <v>20000</v>
      </c>
      <c r="K593" s="249">
        <v>20000</v>
      </c>
      <c r="L593" s="249">
        <v>20900</v>
      </c>
      <c r="M593" s="249">
        <v>21840.5</v>
      </c>
      <c r="N593" s="249">
        <v>22823.322499999998</v>
      </c>
      <c r="O593" t="str">
        <f t="shared" si="19"/>
        <v>2</v>
      </c>
      <c r="P593" t="str">
        <f t="shared" si="20"/>
        <v>Operational Cost</v>
      </c>
    </row>
    <row r="594" spans="1:16" hidden="1" x14ac:dyDescent="0.25">
      <c r="A594" t="s">
        <v>915</v>
      </c>
      <c r="C594" t="s">
        <v>288</v>
      </c>
      <c r="D594" s="67">
        <v>5837102</v>
      </c>
      <c r="E594">
        <v>-141346.4</v>
      </c>
      <c r="F594">
        <v>0</v>
      </c>
      <c r="G594">
        <v>-848078.4</v>
      </c>
      <c r="H594">
        <v>-563200.6</v>
      </c>
      <c r="I594">
        <v>60.09</v>
      </c>
      <c r="J594">
        <v>0</v>
      </c>
      <c r="K594" s="249">
        <v>5837102</v>
      </c>
      <c r="L594" s="249">
        <v>6099771.5899999999</v>
      </c>
      <c r="M594" s="249">
        <v>6374261.3115499998</v>
      </c>
      <c r="N594" s="249">
        <v>6661103.0705697499</v>
      </c>
      <c r="O594" t="str">
        <f t="shared" si="19"/>
        <v>2</v>
      </c>
      <c r="P594" t="str">
        <f t="shared" si="20"/>
        <v>Bad Debts Written off</v>
      </c>
    </row>
    <row r="595" spans="1:16" hidden="1" x14ac:dyDescent="0.25">
      <c r="A595" t="s">
        <v>916</v>
      </c>
      <c r="C595" t="s">
        <v>291</v>
      </c>
      <c r="D595" s="67">
        <v>3371</v>
      </c>
      <c r="E595">
        <v>-141346.4</v>
      </c>
      <c r="F595">
        <v>0</v>
      </c>
      <c r="G595">
        <v>-848078.4</v>
      </c>
      <c r="H595">
        <v>-563200.6</v>
      </c>
      <c r="I595">
        <v>60.09</v>
      </c>
      <c r="J595">
        <v>-3371</v>
      </c>
      <c r="K595" s="249">
        <v>0</v>
      </c>
      <c r="L595" s="249">
        <v>0</v>
      </c>
      <c r="M595" s="249">
        <v>0</v>
      </c>
      <c r="N595" s="249">
        <v>0</v>
      </c>
      <c r="O595" t="str">
        <f t="shared" si="19"/>
        <v>2</v>
      </c>
      <c r="P595" t="str">
        <f t="shared" si="20"/>
        <v>Depreciation &amp; Amortisation</v>
      </c>
    </row>
    <row r="596" spans="1:16" hidden="1" x14ac:dyDescent="0.25">
      <c r="A596" t="s">
        <v>917</v>
      </c>
      <c r="C596" t="s">
        <v>292</v>
      </c>
      <c r="D596" s="67">
        <v>10575</v>
      </c>
      <c r="E596">
        <v>-141346.4</v>
      </c>
      <c r="F596">
        <v>0</v>
      </c>
      <c r="G596">
        <v>-848078.4</v>
      </c>
      <c r="H596">
        <v>-563200.6</v>
      </c>
      <c r="I596">
        <v>60.09</v>
      </c>
      <c r="J596">
        <v>0</v>
      </c>
      <c r="K596" s="249">
        <v>10575</v>
      </c>
      <c r="L596" s="249">
        <v>11050.875</v>
      </c>
      <c r="M596" s="249">
        <v>11548.164375</v>
      </c>
      <c r="N596" s="249">
        <v>12067.831771875</v>
      </c>
      <c r="O596" t="str">
        <f t="shared" si="19"/>
        <v>2</v>
      </c>
      <c r="P596" t="str">
        <f t="shared" si="20"/>
        <v>Depreciation &amp; Amortisation</v>
      </c>
    </row>
    <row r="597" spans="1:16" hidden="1" x14ac:dyDescent="0.25">
      <c r="A597" t="s">
        <v>918</v>
      </c>
      <c r="C597" t="s">
        <v>293</v>
      </c>
      <c r="D597" s="67">
        <v>109733</v>
      </c>
      <c r="E597">
        <v>-141346.4</v>
      </c>
      <c r="F597">
        <v>0</v>
      </c>
      <c r="G597">
        <v>-848078.4</v>
      </c>
      <c r="H597">
        <v>-563200.6</v>
      </c>
      <c r="I597">
        <v>60.09</v>
      </c>
      <c r="J597">
        <v>0</v>
      </c>
      <c r="K597" s="249">
        <v>109733</v>
      </c>
      <c r="L597" s="249">
        <v>114670.985</v>
      </c>
      <c r="M597" s="249">
        <v>119831.179325</v>
      </c>
      <c r="N597" s="249">
        <v>125223.582394625</v>
      </c>
      <c r="O597" t="str">
        <f t="shared" si="19"/>
        <v>2</v>
      </c>
      <c r="P597" t="str">
        <f t="shared" si="20"/>
        <v>Depreciation &amp; Amortisation</v>
      </c>
    </row>
    <row r="598" spans="1:16" hidden="1" x14ac:dyDescent="0.25">
      <c r="A598" t="s">
        <v>919</v>
      </c>
      <c r="C598" t="s">
        <v>296</v>
      </c>
      <c r="D598" s="67">
        <v>0</v>
      </c>
      <c r="E598">
        <v>-141346.4</v>
      </c>
      <c r="F598">
        <v>0</v>
      </c>
      <c r="G598">
        <v>-848078.4</v>
      </c>
      <c r="H598">
        <v>-563200.6</v>
      </c>
      <c r="I598">
        <v>60.09</v>
      </c>
      <c r="J598">
        <v>0</v>
      </c>
      <c r="K598" s="249">
        <v>0</v>
      </c>
      <c r="L598" s="249">
        <v>0</v>
      </c>
      <c r="M598" s="249">
        <v>0</v>
      </c>
      <c r="N598" s="249">
        <v>0</v>
      </c>
      <c r="O598" t="str">
        <f t="shared" si="19"/>
        <v>2</v>
      </c>
      <c r="P598" t="str">
        <f t="shared" si="20"/>
        <v>Depreciation &amp; Amortisation</v>
      </c>
    </row>
    <row r="599" spans="1:16" hidden="1" x14ac:dyDescent="0.25">
      <c r="A599" t="s">
        <v>920</v>
      </c>
      <c r="C599" t="s">
        <v>921</v>
      </c>
      <c r="D599" s="67">
        <v>200000</v>
      </c>
      <c r="E599">
        <v>-141346.4</v>
      </c>
      <c r="F599">
        <v>0</v>
      </c>
      <c r="G599">
        <v>-848078.4</v>
      </c>
      <c r="H599">
        <v>-563200.6</v>
      </c>
      <c r="I599">
        <v>60.09</v>
      </c>
      <c r="J599">
        <v>40000</v>
      </c>
      <c r="K599" s="249">
        <v>240000</v>
      </c>
      <c r="L599" s="249">
        <v>200000</v>
      </c>
      <c r="M599" s="249">
        <v>0</v>
      </c>
      <c r="O599" t="str">
        <f t="shared" si="19"/>
        <v>6</v>
      </c>
      <c r="P599">
        <f t="shared" si="20"/>
        <v>0</v>
      </c>
    </row>
    <row r="600" spans="1:16" hidden="1" x14ac:dyDescent="0.25">
      <c r="A600" t="s">
        <v>923</v>
      </c>
      <c r="C600" t="s">
        <v>150</v>
      </c>
      <c r="D600" s="67">
        <v>2016139</v>
      </c>
      <c r="E600">
        <v>-141346.4</v>
      </c>
      <c r="F600">
        <v>0</v>
      </c>
      <c r="G600">
        <v>-848078.4</v>
      </c>
      <c r="H600">
        <v>-563200.6</v>
      </c>
      <c r="I600">
        <v>60.09</v>
      </c>
      <c r="J600">
        <v>0</v>
      </c>
      <c r="K600" s="249">
        <v>2016139</v>
      </c>
      <c r="L600" s="249">
        <v>2142147.6875</v>
      </c>
      <c r="M600" s="249">
        <v>2292098.0256249998</v>
      </c>
      <c r="N600" s="249">
        <v>2452544.8874187497</v>
      </c>
      <c r="O600" t="str">
        <f t="shared" si="19"/>
        <v>2</v>
      </c>
      <c r="P600" t="str">
        <f t="shared" si="20"/>
        <v>Employee Related Cost</v>
      </c>
    </row>
    <row r="601" spans="1:16" hidden="1" x14ac:dyDescent="0.25">
      <c r="A601" t="s">
        <v>924</v>
      </c>
      <c r="C601" t="s">
        <v>150</v>
      </c>
      <c r="D601" s="67">
        <v>80600</v>
      </c>
      <c r="E601">
        <v>-141346.4</v>
      </c>
      <c r="F601">
        <v>0</v>
      </c>
      <c r="G601">
        <v>-848078.4</v>
      </c>
      <c r="H601">
        <v>-563200.6</v>
      </c>
      <c r="I601">
        <v>60.09</v>
      </c>
      <c r="J601">
        <v>0</v>
      </c>
      <c r="K601" s="249">
        <v>80600</v>
      </c>
      <c r="L601" s="249">
        <v>85637.5</v>
      </c>
      <c r="M601" s="249">
        <v>91632.125</v>
      </c>
      <c r="N601" s="249">
        <v>98046.373749999999</v>
      </c>
      <c r="O601" t="str">
        <f t="shared" si="19"/>
        <v>2</v>
      </c>
      <c r="P601" t="str">
        <f t="shared" si="20"/>
        <v>Employee Related Cost</v>
      </c>
    </row>
    <row r="602" spans="1:16" hidden="1" x14ac:dyDescent="0.25">
      <c r="A602" t="s">
        <v>925</v>
      </c>
      <c r="C602" t="s">
        <v>151</v>
      </c>
      <c r="D602" s="67">
        <v>83607</v>
      </c>
      <c r="E602">
        <v>-141346.4</v>
      </c>
      <c r="F602">
        <v>0</v>
      </c>
      <c r="G602">
        <v>-848078.4</v>
      </c>
      <c r="H602">
        <v>-563200.6</v>
      </c>
      <c r="I602">
        <v>60.09</v>
      </c>
      <c r="J602">
        <v>-41271.550000000003</v>
      </c>
      <c r="K602" s="249">
        <v>42335.45</v>
      </c>
      <c r="L602" s="249">
        <v>44981.415624999994</v>
      </c>
      <c r="M602" s="249">
        <v>48130.114718749996</v>
      </c>
      <c r="N602" s="249">
        <v>51499.222749062494</v>
      </c>
      <c r="O602" t="str">
        <f t="shared" si="19"/>
        <v>2</v>
      </c>
      <c r="P602" t="str">
        <f t="shared" si="20"/>
        <v>Employee Related Cost</v>
      </c>
    </row>
    <row r="603" spans="1:16" hidden="1" x14ac:dyDescent="0.25">
      <c r="A603" t="s">
        <v>926</v>
      </c>
      <c r="C603" t="s">
        <v>152</v>
      </c>
      <c r="D603" s="67">
        <v>52200</v>
      </c>
      <c r="E603">
        <v>-141346.4</v>
      </c>
      <c r="F603">
        <v>0</v>
      </c>
      <c r="G603">
        <v>-848078.4</v>
      </c>
      <c r="H603">
        <v>-563200.6</v>
      </c>
      <c r="I603">
        <v>60.09</v>
      </c>
      <c r="J603">
        <v>0</v>
      </c>
      <c r="K603" s="249">
        <v>52200</v>
      </c>
      <c r="L603" s="249">
        <v>55462.5</v>
      </c>
      <c r="M603" s="249">
        <v>59344.875</v>
      </c>
      <c r="N603" s="249">
        <v>63499.016250000001</v>
      </c>
      <c r="O603" t="str">
        <f t="shared" si="19"/>
        <v>2</v>
      </c>
      <c r="P603" t="str">
        <f t="shared" si="20"/>
        <v>Employee Related Cost</v>
      </c>
    </row>
    <row r="604" spans="1:16" hidden="1" x14ac:dyDescent="0.25">
      <c r="A604" t="s">
        <v>927</v>
      </c>
      <c r="C604" t="s">
        <v>153</v>
      </c>
      <c r="D604" s="67">
        <v>10893</v>
      </c>
      <c r="E604">
        <v>-141346.4</v>
      </c>
      <c r="F604">
        <v>0</v>
      </c>
      <c r="G604">
        <v>-848078.4</v>
      </c>
      <c r="H604">
        <v>-563200.6</v>
      </c>
      <c r="I604">
        <v>60.09</v>
      </c>
      <c r="J604">
        <v>0</v>
      </c>
      <c r="K604" s="249">
        <v>10893</v>
      </c>
      <c r="L604" s="249">
        <v>11573.8125</v>
      </c>
      <c r="M604" s="249">
        <v>12383.979375000001</v>
      </c>
      <c r="N604" s="249">
        <v>13250.857931250001</v>
      </c>
      <c r="O604" t="str">
        <f t="shared" si="19"/>
        <v>2</v>
      </c>
      <c r="P604" t="str">
        <f t="shared" si="20"/>
        <v>Employee Related Cost</v>
      </c>
    </row>
    <row r="605" spans="1:16" hidden="1" x14ac:dyDescent="0.25">
      <c r="A605" t="s">
        <v>928</v>
      </c>
      <c r="C605" t="s">
        <v>155</v>
      </c>
      <c r="D605" s="67">
        <v>59373</v>
      </c>
      <c r="E605">
        <v>-141346.4</v>
      </c>
      <c r="F605">
        <v>0</v>
      </c>
      <c r="G605">
        <v>-848078.4</v>
      </c>
      <c r="H605">
        <v>-563200.6</v>
      </c>
      <c r="I605">
        <v>60.09</v>
      </c>
      <c r="J605">
        <v>0</v>
      </c>
      <c r="K605" s="249">
        <v>59373</v>
      </c>
      <c r="L605" s="249">
        <v>63083.8125</v>
      </c>
      <c r="M605" s="249">
        <v>67499.679375000007</v>
      </c>
      <c r="N605" s="249">
        <v>72224.656931250007</v>
      </c>
      <c r="O605" t="str">
        <f t="shared" si="19"/>
        <v>2</v>
      </c>
      <c r="P605" t="str">
        <f t="shared" si="20"/>
        <v>Employee Related Cost</v>
      </c>
    </row>
    <row r="606" spans="1:16" hidden="1" x14ac:dyDescent="0.25">
      <c r="A606" t="s">
        <v>929</v>
      </c>
      <c r="C606" t="s">
        <v>156</v>
      </c>
      <c r="D606" s="67">
        <v>307875</v>
      </c>
      <c r="E606">
        <v>-141346.4</v>
      </c>
      <c r="F606">
        <v>0</v>
      </c>
      <c r="G606">
        <v>-848078.4</v>
      </c>
      <c r="H606">
        <v>-563200.6</v>
      </c>
      <c r="I606">
        <v>60.09</v>
      </c>
      <c r="J606">
        <v>0</v>
      </c>
      <c r="K606" s="249">
        <v>307875</v>
      </c>
      <c r="L606" s="249">
        <v>327117.1875</v>
      </c>
      <c r="M606" s="249">
        <v>350015.390625</v>
      </c>
      <c r="N606" s="249">
        <v>374516.46796874999</v>
      </c>
      <c r="O606" t="str">
        <f t="shared" si="19"/>
        <v>2</v>
      </c>
      <c r="P606" t="str">
        <f t="shared" si="20"/>
        <v>Employee Related Cost</v>
      </c>
    </row>
    <row r="607" spans="1:16" hidden="1" x14ac:dyDescent="0.25">
      <c r="A607" t="s">
        <v>930</v>
      </c>
      <c r="C607" t="s">
        <v>157</v>
      </c>
      <c r="D607" s="67">
        <v>10516</v>
      </c>
      <c r="E607">
        <v>-141346.4</v>
      </c>
      <c r="F607">
        <v>0</v>
      </c>
      <c r="G607">
        <v>-848078.4</v>
      </c>
      <c r="H607">
        <v>-563200.6</v>
      </c>
      <c r="I607">
        <v>60.09</v>
      </c>
      <c r="J607">
        <v>0</v>
      </c>
      <c r="K607" s="249">
        <v>10516</v>
      </c>
      <c r="L607" s="249">
        <v>11173.25</v>
      </c>
      <c r="M607" s="249">
        <v>11955.377500000001</v>
      </c>
      <c r="N607" s="249">
        <v>12792.253925000001</v>
      </c>
      <c r="O607" t="str">
        <f t="shared" si="19"/>
        <v>2</v>
      </c>
      <c r="P607" t="str">
        <f t="shared" si="20"/>
        <v>Employee Related Cost</v>
      </c>
    </row>
    <row r="608" spans="1:16" hidden="1" x14ac:dyDescent="0.25">
      <c r="A608" t="s">
        <v>931</v>
      </c>
      <c r="C608" t="s">
        <v>158</v>
      </c>
      <c r="D608" s="67">
        <v>11138</v>
      </c>
      <c r="E608">
        <v>-141346.4</v>
      </c>
      <c r="F608">
        <v>0</v>
      </c>
      <c r="G608">
        <v>-848078.4</v>
      </c>
      <c r="H608">
        <v>-563200.6</v>
      </c>
      <c r="I608">
        <v>60.09</v>
      </c>
      <c r="J608">
        <v>0</v>
      </c>
      <c r="K608" s="249">
        <v>11138</v>
      </c>
      <c r="L608" s="249">
        <v>11834.125</v>
      </c>
      <c r="M608" s="249">
        <v>12662.51375</v>
      </c>
      <c r="N608" s="249">
        <v>13548.8897125</v>
      </c>
      <c r="O608" t="str">
        <f t="shared" si="19"/>
        <v>2</v>
      </c>
      <c r="P608" t="str">
        <f t="shared" si="20"/>
        <v>Employee Related Cost</v>
      </c>
    </row>
    <row r="609" spans="1:16" hidden="1" x14ac:dyDescent="0.25">
      <c r="A609" t="s">
        <v>932</v>
      </c>
      <c r="C609" t="s">
        <v>159</v>
      </c>
      <c r="D609" s="67">
        <v>168012</v>
      </c>
      <c r="E609">
        <v>-141346.4</v>
      </c>
      <c r="F609">
        <v>0</v>
      </c>
      <c r="G609">
        <v>-848078.4</v>
      </c>
      <c r="H609">
        <v>-563200.6</v>
      </c>
      <c r="I609">
        <v>60.09</v>
      </c>
      <c r="J609">
        <v>0</v>
      </c>
      <c r="K609" s="249">
        <v>168012</v>
      </c>
      <c r="L609" s="249">
        <v>178512.75</v>
      </c>
      <c r="M609" s="249">
        <v>191008.64249999999</v>
      </c>
      <c r="N609" s="249">
        <v>204379.24747499998</v>
      </c>
      <c r="O609" t="str">
        <f t="shared" si="19"/>
        <v>2</v>
      </c>
      <c r="P609" t="str">
        <f t="shared" si="20"/>
        <v>Employee Related Cost</v>
      </c>
    </row>
    <row r="610" spans="1:16" hidden="1" x14ac:dyDescent="0.25">
      <c r="A610" t="s">
        <v>933</v>
      </c>
      <c r="C610" t="s">
        <v>161</v>
      </c>
      <c r="D610" s="67">
        <v>21018</v>
      </c>
      <c r="E610">
        <v>-141346.4</v>
      </c>
      <c r="F610">
        <v>0</v>
      </c>
      <c r="G610">
        <v>-848078.4</v>
      </c>
      <c r="H610">
        <v>-563200.6</v>
      </c>
      <c r="I610">
        <v>60.09</v>
      </c>
      <c r="J610">
        <v>0</v>
      </c>
      <c r="K610" s="249">
        <v>21018</v>
      </c>
      <c r="L610" s="249">
        <v>22331.625</v>
      </c>
      <c r="M610" s="249">
        <v>23894.838749999999</v>
      </c>
      <c r="N610" s="249">
        <v>25567.477462499999</v>
      </c>
      <c r="O610" t="str">
        <f t="shared" si="19"/>
        <v>2</v>
      </c>
      <c r="P610" t="str">
        <f t="shared" si="20"/>
        <v>Employee Related Cost</v>
      </c>
    </row>
    <row r="611" spans="1:16" hidden="1" x14ac:dyDescent="0.25">
      <c r="A611" t="s">
        <v>934</v>
      </c>
      <c r="C611" t="s">
        <v>164</v>
      </c>
      <c r="D611" s="67">
        <v>15692</v>
      </c>
      <c r="E611">
        <v>-141346.4</v>
      </c>
      <c r="F611">
        <v>0</v>
      </c>
      <c r="G611">
        <v>-848078.4</v>
      </c>
      <c r="H611">
        <v>-563200.6</v>
      </c>
      <c r="I611">
        <v>60.09</v>
      </c>
      <c r="J611">
        <v>0</v>
      </c>
      <c r="K611" s="249">
        <v>15692</v>
      </c>
      <c r="L611" s="249">
        <v>16672.75</v>
      </c>
      <c r="M611" s="249">
        <v>17839.842499999999</v>
      </c>
      <c r="N611" s="249">
        <v>19088.631474999998</v>
      </c>
      <c r="O611" t="str">
        <f t="shared" si="19"/>
        <v>2</v>
      </c>
      <c r="P611" t="str">
        <f t="shared" si="20"/>
        <v>Employee Related Cost</v>
      </c>
    </row>
    <row r="612" spans="1:16" hidden="1" x14ac:dyDescent="0.25">
      <c r="A612" t="s">
        <v>935</v>
      </c>
      <c r="C612" t="s">
        <v>167</v>
      </c>
      <c r="D612" s="67">
        <v>674</v>
      </c>
      <c r="E612">
        <v>-141346.4</v>
      </c>
      <c r="F612">
        <v>0</v>
      </c>
      <c r="G612">
        <v>-848078.4</v>
      </c>
      <c r="H612">
        <v>-563200.6</v>
      </c>
      <c r="I612">
        <v>60.09</v>
      </c>
      <c r="J612">
        <v>0</v>
      </c>
      <c r="K612" s="249">
        <v>674</v>
      </c>
      <c r="L612" s="249">
        <v>716.125</v>
      </c>
      <c r="M612" s="249">
        <v>766.25374999999997</v>
      </c>
      <c r="N612" s="249">
        <v>819.89151249999998</v>
      </c>
      <c r="O612" t="str">
        <f t="shared" si="19"/>
        <v>2</v>
      </c>
      <c r="P612" t="str">
        <f t="shared" si="20"/>
        <v>Employee Related Cost</v>
      </c>
    </row>
    <row r="613" spans="1:16" hidden="1" x14ac:dyDescent="0.25">
      <c r="A613" t="s">
        <v>936</v>
      </c>
      <c r="C613" t="s">
        <v>168</v>
      </c>
      <c r="D613" s="67">
        <v>161725</v>
      </c>
      <c r="E613">
        <v>-141346.4</v>
      </c>
      <c r="F613">
        <v>0</v>
      </c>
      <c r="G613">
        <v>-848078.4</v>
      </c>
      <c r="H613">
        <v>-563200.6</v>
      </c>
      <c r="I613">
        <v>60.09</v>
      </c>
      <c r="J613">
        <v>-100000</v>
      </c>
      <c r="K613" s="249">
        <v>61725</v>
      </c>
      <c r="L613" s="249">
        <v>65582.8125</v>
      </c>
      <c r="M613" s="249">
        <v>70173.609375</v>
      </c>
      <c r="N613" s="249">
        <v>75085.762031249993</v>
      </c>
      <c r="O613" t="str">
        <f t="shared" si="19"/>
        <v>2</v>
      </c>
      <c r="P613" t="str">
        <f t="shared" si="20"/>
        <v>Employee Related Cost</v>
      </c>
    </row>
    <row r="614" spans="1:16" hidden="1" x14ac:dyDescent="0.25">
      <c r="A614" t="s">
        <v>937</v>
      </c>
      <c r="C614" t="s">
        <v>169</v>
      </c>
      <c r="D614" s="67">
        <v>443551</v>
      </c>
      <c r="E614">
        <v>-141346.4</v>
      </c>
      <c r="F614">
        <v>0</v>
      </c>
      <c r="G614">
        <v>-848078.4</v>
      </c>
      <c r="H614">
        <v>-563200.6</v>
      </c>
      <c r="I614">
        <v>60.09</v>
      </c>
      <c r="J614">
        <v>0</v>
      </c>
      <c r="K614" s="249">
        <v>443551</v>
      </c>
      <c r="L614" s="249">
        <v>471272.9375</v>
      </c>
      <c r="M614" s="249">
        <v>504262.04312499997</v>
      </c>
      <c r="N614" s="249">
        <v>539560.38614374993</v>
      </c>
      <c r="O614" t="str">
        <f t="shared" si="19"/>
        <v>2</v>
      </c>
      <c r="P614" t="str">
        <f t="shared" si="20"/>
        <v>Employee Related Cost</v>
      </c>
    </row>
    <row r="615" spans="1:16" hidden="1" x14ac:dyDescent="0.25">
      <c r="A615" t="s">
        <v>938</v>
      </c>
      <c r="C615" t="s">
        <v>170</v>
      </c>
      <c r="D615" s="67">
        <v>10710</v>
      </c>
      <c r="E615">
        <v>-141346.4</v>
      </c>
      <c r="F615">
        <v>0</v>
      </c>
      <c r="G615">
        <v>-848078.4</v>
      </c>
      <c r="H615">
        <v>-563200.6</v>
      </c>
      <c r="I615">
        <v>60.09</v>
      </c>
      <c r="J615">
        <v>0</v>
      </c>
      <c r="K615" s="249">
        <v>10710</v>
      </c>
      <c r="L615" s="249">
        <v>11379.375</v>
      </c>
      <c r="M615" s="249">
        <v>12175.93125</v>
      </c>
      <c r="N615" s="249">
        <v>13028.2464375</v>
      </c>
      <c r="O615" t="str">
        <f t="shared" si="19"/>
        <v>2</v>
      </c>
      <c r="P615" t="str">
        <f t="shared" si="20"/>
        <v>Employee Related Cost</v>
      </c>
    </row>
    <row r="616" spans="1:16" hidden="1" x14ac:dyDescent="0.25">
      <c r="A616" t="s">
        <v>939</v>
      </c>
      <c r="C616" t="s">
        <v>170</v>
      </c>
      <c r="D616" s="67">
        <v>0</v>
      </c>
      <c r="E616">
        <v>-141346.4</v>
      </c>
      <c r="F616">
        <v>0</v>
      </c>
      <c r="G616">
        <v>-848078.4</v>
      </c>
      <c r="H616">
        <v>-563200.6</v>
      </c>
      <c r="I616">
        <v>60.09</v>
      </c>
      <c r="J616">
        <v>0</v>
      </c>
      <c r="K616" s="249">
        <v>0</v>
      </c>
      <c r="L616" s="249">
        <v>0</v>
      </c>
      <c r="M616" s="249">
        <v>0</v>
      </c>
      <c r="O616" t="str">
        <f t="shared" si="19"/>
        <v>2</v>
      </c>
      <c r="P616" t="str">
        <f t="shared" si="20"/>
        <v>Employee Related Cost</v>
      </c>
    </row>
    <row r="617" spans="1:16" hidden="1" x14ac:dyDescent="0.25">
      <c r="A617" t="s">
        <v>940</v>
      </c>
      <c r="C617" t="s">
        <v>173</v>
      </c>
      <c r="D617" s="67">
        <v>13215</v>
      </c>
      <c r="E617">
        <v>-141346.4</v>
      </c>
      <c r="F617">
        <v>0</v>
      </c>
      <c r="G617">
        <v>-848078.4</v>
      </c>
      <c r="H617">
        <v>-563200.6</v>
      </c>
      <c r="I617">
        <v>60.09</v>
      </c>
      <c r="J617">
        <v>0</v>
      </c>
      <c r="K617" s="249">
        <v>13215</v>
      </c>
      <c r="L617" s="249">
        <v>14040.9375</v>
      </c>
      <c r="M617" s="249">
        <v>15023.803125</v>
      </c>
      <c r="N617" s="249">
        <v>16075.469343750001</v>
      </c>
      <c r="O617" t="str">
        <f t="shared" si="19"/>
        <v>2</v>
      </c>
      <c r="P617" t="str">
        <f t="shared" si="20"/>
        <v>Employee Related Cost</v>
      </c>
    </row>
    <row r="618" spans="1:16" hidden="1" x14ac:dyDescent="0.25">
      <c r="A618" t="s">
        <v>941</v>
      </c>
      <c r="C618" t="s">
        <v>174</v>
      </c>
      <c r="D618" s="67">
        <v>7153</v>
      </c>
      <c r="E618">
        <v>-141346.4</v>
      </c>
      <c r="F618">
        <v>0</v>
      </c>
      <c r="G618">
        <v>-848078.4</v>
      </c>
      <c r="H618">
        <v>-563200.6</v>
      </c>
      <c r="I618">
        <v>60.09</v>
      </c>
      <c r="J618">
        <v>0</v>
      </c>
      <c r="K618" s="249">
        <v>7153</v>
      </c>
      <c r="L618" s="249">
        <v>7600.0625</v>
      </c>
      <c r="M618" s="249">
        <v>8132.0668750000004</v>
      </c>
      <c r="N618" s="249">
        <v>8701.3115562500006</v>
      </c>
      <c r="O618" t="str">
        <f t="shared" si="19"/>
        <v>2</v>
      </c>
      <c r="P618" t="str">
        <f t="shared" si="20"/>
        <v>Employee Related Cost</v>
      </c>
    </row>
    <row r="619" spans="1:16" hidden="1" x14ac:dyDescent="0.25">
      <c r="A619" t="s">
        <v>942</v>
      </c>
      <c r="C619" t="s">
        <v>175</v>
      </c>
      <c r="D619" s="67">
        <v>24762</v>
      </c>
      <c r="E619">
        <v>-141346.4</v>
      </c>
      <c r="F619">
        <v>0</v>
      </c>
      <c r="G619">
        <v>-848078.4</v>
      </c>
      <c r="H619">
        <v>-563200.6</v>
      </c>
      <c r="I619">
        <v>60.09</v>
      </c>
      <c r="J619">
        <v>0</v>
      </c>
      <c r="K619" s="249">
        <v>24762</v>
      </c>
      <c r="L619" s="249">
        <v>26309.625</v>
      </c>
      <c r="M619" s="249">
        <v>28151.298750000002</v>
      </c>
      <c r="N619" s="249">
        <v>30121.889662500002</v>
      </c>
      <c r="O619" t="str">
        <f t="shared" si="19"/>
        <v>2</v>
      </c>
      <c r="P619" t="str">
        <f t="shared" si="20"/>
        <v>Employee Related Cost</v>
      </c>
    </row>
    <row r="620" spans="1:16" hidden="1" x14ac:dyDescent="0.25">
      <c r="A620" t="s">
        <v>943</v>
      </c>
      <c r="B620" t="s">
        <v>1368</v>
      </c>
      <c r="C620" t="s">
        <v>210</v>
      </c>
      <c r="D620" s="67">
        <v>500000</v>
      </c>
      <c r="E620">
        <v>-141346.4</v>
      </c>
      <c r="F620">
        <v>0</v>
      </c>
      <c r="G620">
        <v>-848078.4</v>
      </c>
      <c r="H620">
        <v>-563200.6</v>
      </c>
      <c r="I620">
        <v>60.09</v>
      </c>
      <c r="J620">
        <v>-500000</v>
      </c>
      <c r="K620" s="249">
        <v>0</v>
      </c>
      <c r="L620" s="249">
        <v>350000</v>
      </c>
      <c r="M620" s="249">
        <v>0</v>
      </c>
      <c r="O620" t="str">
        <f t="shared" si="19"/>
        <v>2</v>
      </c>
      <c r="P620" t="str">
        <f t="shared" si="20"/>
        <v>Contracted Services</v>
      </c>
    </row>
    <row r="621" spans="1:16" hidden="1" x14ac:dyDescent="0.25">
      <c r="A621" t="s">
        <v>944</v>
      </c>
      <c r="C621" t="s">
        <v>265</v>
      </c>
      <c r="D621" s="67">
        <v>0</v>
      </c>
      <c r="E621">
        <v>-141346.4</v>
      </c>
      <c r="F621">
        <v>0</v>
      </c>
      <c r="G621">
        <v>-848078.4</v>
      </c>
      <c r="H621">
        <v>-563200.6</v>
      </c>
      <c r="I621">
        <v>60.09</v>
      </c>
      <c r="J621">
        <v>20000</v>
      </c>
      <c r="K621" s="249">
        <v>20000</v>
      </c>
      <c r="L621" s="249">
        <v>20900</v>
      </c>
      <c r="M621" s="249">
        <v>21840.5</v>
      </c>
      <c r="N621" s="249">
        <v>22823.322499999998</v>
      </c>
      <c r="O621" t="str">
        <f t="shared" si="19"/>
        <v>2</v>
      </c>
      <c r="P621" t="str">
        <f t="shared" si="20"/>
        <v>Operational Cost</v>
      </c>
    </row>
    <row r="622" spans="1:16" hidden="1" x14ac:dyDescent="0.25">
      <c r="A622" t="s">
        <v>945</v>
      </c>
      <c r="C622" t="s">
        <v>265</v>
      </c>
      <c r="D622" s="67">
        <v>0</v>
      </c>
      <c r="E622">
        <v>-141346.4</v>
      </c>
      <c r="F622">
        <v>0</v>
      </c>
      <c r="G622">
        <v>-848078.4</v>
      </c>
      <c r="H622">
        <v>-563200.6</v>
      </c>
      <c r="I622">
        <v>60.09</v>
      </c>
      <c r="J622">
        <v>800</v>
      </c>
      <c r="K622" s="249">
        <v>800</v>
      </c>
      <c r="L622" s="249">
        <v>836</v>
      </c>
      <c r="M622" s="249">
        <v>873.62</v>
      </c>
      <c r="N622" s="249">
        <v>912.93290000000002</v>
      </c>
      <c r="O622" t="str">
        <f t="shared" si="19"/>
        <v>2</v>
      </c>
      <c r="P622" t="str">
        <f t="shared" si="20"/>
        <v>Operational Cost</v>
      </c>
    </row>
    <row r="623" spans="1:16" hidden="1" x14ac:dyDescent="0.25">
      <c r="A623" t="s">
        <v>946</v>
      </c>
      <c r="C623" t="s">
        <v>268</v>
      </c>
      <c r="D623" s="67">
        <v>0</v>
      </c>
      <c r="E623">
        <v>-141346.4</v>
      </c>
      <c r="F623">
        <v>0</v>
      </c>
      <c r="G623">
        <v>-848078.4</v>
      </c>
      <c r="H623">
        <v>-563200.6</v>
      </c>
      <c r="I623">
        <v>60.09</v>
      </c>
      <c r="J623">
        <v>30000</v>
      </c>
      <c r="K623" s="249">
        <v>30000</v>
      </c>
      <c r="L623" s="249">
        <v>31350</v>
      </c>
      <c r="M623" s="249">
        <v>32760.75</v>
      </c>
      <c r="N623" s="249">
        <v>34234.983749999999</v>
      </c>
      <c r="O623" t="str">
        <f t="shared" si="19"/>
        <v>2</v>
      </c>
      <c r="P623" t="str">
        <f t="shared" si="20"/>
        <v>Operational Cost</v>
      </c>
    </row>
    <row r="624" spans="1:16" hidden="1" x14ac:dyDescent="0.25">
      <c r="A624" t="s">
        <v>947</v>
      </c>
      <c r="C624" t="s">
        <v>276</v>
      </c>
      <c r="D624" s="67">
        <v>1270074</v>
      </c>
      <c r="E624">
        <v>-141346.4</v>
      </c>
      <c r="F624">
        <v>0</v>
      </c>
      <c r="G624">
        <v>-848078.4</v>
      </c>
      <c r="H624">
        <v>-563200.6</v>
      </c>
      <c r="I624">
        <v>60.09</v>
      </c>
      <c r="J624">
        <v>300000</v>
      </c>
      <c r="K624" s="249">
        <v>1570074</v>
      </c>
      <c r="L624" s="249">
        <v>1640727.33</v>
      </c>
      <c r="M624" s="249">
        <v>1714560.0598500001</v>
      </c>
      <c r="N624" s="249">
        <v>1791715.2625432501</v>
      </c>
      <c r="O624" t="str">
        <f t="shared" si="19"/>
        <v>2</v>
      </c>
      <c r="P624" t="str">
        <f t="shared" si="20"/>
        <v>Inventory</v>
      </c>
    </row>
    <row r="625" spans="1:16" hidden="1" x14ac:dyDescent="0.25">
      <c r="A625" t="s">
        <v>948</v>
      </c>
      <c r="C625" t="s">
        <v>292</v>
      </c>
      <c r="D625" s="67">
        <v>7648</v>
      </c>
      <c r="E625">
        <v>-141346.4</v>
      </c>
      <c r="F625">
        <v>0</v>
      </c>
      <c r="G625">
        <v>-848078.4</v>
      </c>
      <c r="H625">
        <v>-563200.6</v>
      </c>
      <c r="I625">
        <v>60.09</v>
      </c>
      <c r="J625">
        <v>0</v>
      </c>
      <c r="K625" s="249">
        <v>7648</v>
      </c>
      <c r="L625" s="249">
        <v>7992.16</v>
      </c>
      <c r="M625" s="249">
        <v>8351.8071999999993</v>
      </c>
      <c r="N625" s="249">
        <v>8727.638524</v>
      </c>
      <c r="O625" t="str">
        <f t="shared" si="19"/>
        <v>2</v>
      </c>
      <c r="P625" t="str">
        <f t="shared" si="20"/>
        <v>Depreciation &amp; Amortisation</v>
      </c>
    </row>
    <row r="626" spans="1:16" hidden="1" x14ac:dyDescent="0.25">
      <c r="A626" t="s">
        <v>949</v>
      </c>
      <c r="C626" t="s">
        <v>293</v>
      </c>
      <c r="D626" s="67">
        <v>2242</v>
      </c>
      <c r="E626">
        <v>-141346.4</v>
      </c>
      <c r="F626">
        <v>0</v>
      </c>
      <c r="G626">
        <v>-848078.4</v>
      </c>
      <c r="H626">
        <v>-563200.6</v>
      </c>
      <c r="I626">
        <v>60.09</v>
      </c>
      <c r="J626">
        <v>0</v>
      </c>
      <c r="K626" s="249">
        <v>2242</v>
      </c>
      <c r="L626" s="249">
        <v>2342.89</v>
      </c>
      <c r="M626" s="249">
        <v>2448.3200499999998</v>
      </c>
      <c r="N626" s="249">
        <v>2558.49445225</v>
      </c>
      <c r="O626" t="str">
        <f t="shared" si="19"/>
        <v>2</v>
      </c>
      <c r="P626" t="str">
        <f t="shared" si="20"/>
        <v>Depreciation &amp; Amortisation</v>
      </c>
    </row>
    <row r="627" spans="1:16" hidden="1" x14ac:dyDescent="0.25">
      <c r="A627" t="s">
        <v>950</v>
      </c>
      <c r="C627" t="s">
        <v>150</v>
      </c>
      <c r="D627" s="67">
        <v>1687888</v>
      </c>
      <c r="E627">
        <v>-141346.4</v>
      </c>
      <c r="F627">
        <v>0</v>
      </c>
      <c r="G627">
        <v>-848078.4</v>
      </c>
      <c r="H627">
        <v>-563200.6</v>
      </c>
      <c r="I627">
        <v>60.09</v>
      </c>
      <c r="J627">
        <v>0</v>
      </c>
      <c r="K627" s="249">
        <v>1687888</v>
      </c>
      <c r="L627" s="249">
        <v>1793381</v>
      </c>
      <c r="M627" s="249">
        <v>1918917.67</v>
      </c>
      <c r="N627" s="249">
        <v>2053241.9068999998</v>
      </c>
      <c r="O627" t="str">
        <f t="shared" si="19"/>
        <v>2</v>
      </c>
      <c r="P627" t="str">
        <f t="shared" si="20"/>
        <v>Employee Related Cost</v>
      </c>
    </row>
    <row r="628" spans="1:16" hidden="1" x14ac:dyDescent="0.25">
      <c r="A628" t="s">
        <v>951</v>
      </c>
      <c r="C628" t="s">
        <v>150</v>
      </c>
      <c r="D628" s="67">
        <v>80600</v>
      </c>
      <c r="E628">
        <v>-141346.4</v>
      </c>
      <c r="F628">
        <v>0</v>
      </c>
      <c r="G628">
        <v>-848078.4</v>
      </c>
      <c r="H628">
        <v>-563200.6</v>
      </c>
      <c r="I628">
        <v>60.09</v>
      </c>
      <c r="J628">
        <v>0</v>
      </c>
      <c r="K628" s="249">
        <v>80600</v>
      </c>
      <c r="L628" s="249">
        <v>85637.5</v>
      </c>
      <c r="M628" s="249">
        <v>91632.125</v>
      </c>
      <c r="N628" s="249">
        <v>98046.373749999999</v>
      </c>
      <c r="O628" t="str">
        <f t="shared" si="19"/>
        <v>2</v>
      </c>
      <c r="P628" t="str">
        <f t="shared" si="20"/>
        <v>Employee Related Cost</v>
      </c>
    </row>
    <row r="629" spans="1:16" hidden="1" x14ac:dyDescent="0.25">
      <c r="A629" t="s">
        <v>952</v>
      </c>
      <c r="C629" t="s">
        <v>151</v>
      </c>
      <c r="D629" s="67">
        <v>84394</v>
      </c>
      <c r="E629">
        <v>-141346.4</v>
      </c>
      <c r="F629">
        <v>0</v>
      </c>
      <c r="G629">
        <v>-848078.4</v>
      </c>
      <c r="H629">
        <v>-563200.6</v>
      </c>
      <c r="I629">
        <v>60.09</v>
      </c>
      <c r="J629">
        <v>-50525.64</v>
      </c>
      <c r="K629" s="249">
        <v>33868.36</v>
      </c>
      <c r="L629" s="249">
        <v>35985.1325</v>
      </c>
      <c r="M629" s="249">
        <v>38504.091775000001</v>
      </c>
      <c r="N629" s="249">
        <v>41199.378199250001</v>
      </c>
      <c r="O629" t="str">
        <f t="shared" si="19"/>
        <v>2</v>
      </c>
      <c r="P629" t="str">
        <f t="shared" si="20"/>
        <v>Employee Related Cost</v>
      </c>
    </row>
    <row r="630" spans="1:16" hidden="1" x14ac:dyDescent="0.25">
      <c r="A630" t="s">
        <v>953</v>
      </c>
      <c r="C630" t="s">
        <v>152</v>
      </c>
      <c r="D630" s="67">
        <v>52200</v>
      </c>
      <c r="E630">
        <v>-141346.4</v>
      </c>
      <c r="F630">
        <v>0</v>
      </c>
      <c r="G630">
        <v>-848078.4</v>
      </c>
      <c r="H630">
        <v>-563200.6</v>
      </c>
      <c r="I630">
        <v>60.09</v>
      </c>
      <c r="J630">
        <v>0</v>
      </c>
      <c r="K630" s="249">
        <v>52200</v>
      </c>
      <c r="L630" s="249">
        <v>55462.5</v>
      </c>
      <c r="M630" s="249">
        <v>59344.875</v>
      </c>
      <c r="N630" s="249">
        <v>63499.016250000001</v>
      </c>
      <c r="O630" t="str">
        <f t="shared" si="19"/>
        <v>2</v>
      </c>
      <c r="P630" t="str">
        <f t="shared" si="20"/>
        <v>Employee Related Cost</v>
      </c>
    </row>
    <row r="631" spans="1:16" hidden="1" x14ac:dyDescent="0.25">
      <c r="A631" t="s">
        <v>954</v>
      </c>
      <c r="C631" t="s">
        <v>153</v>
      </c>
      <c r="D631" s="67">
        <v>10893</v>
      </c>
      <c r="E631">
        <v>-141346.4</v>
      </c>
      <c r="F631">
        <v>0</v>
      </c>
      <c r="G631">
        <v>-848078.4</v>
      </c>
      <c r="H631">
        <v>-563200.6</v>
      </c>
      <c r="I631">
        <v>60.09</v>
      </c>
      <c r="J631">
        <v>0</v>
      </c>
      <c r="K631" s="249">
        <v>10893</v>
      </c>
      <c r="L631" s="249">
        <v>11573.8125</v>
      </c>
      <c r="M631" s="249">
        <v>12383.979375000001</v>
      </c>
      <c r="N631" s="249">
        <v>13250.857931250001</v>
      </c>
      <c r="O631" t="str">
        <f t="shared" si="19"/>
        <v>2</v>
      </c>
      <c r="P631" t="str">
        <f t="shared" si="20"/>
        <v>Employee Related Cost</v>
      </c>
    </row>
    <row r="632" spans="1:16" hidden="1" x14ac:dyDescent="0.25">
      <c r="A632" t="s">
        <v>955</v>
      </c>
      <c r="C632" t="s">
        <v>155</v>
      </c>
      <c r="D632" s="67">
        <v>55271</v>
      </c>
      <c r="E632">
        <v>-141346.4</v>
      </c>
      <c r="F632">
        <v>0</v>
      </c>
      <c r="G632">
        <v>-848078.4</v>
      </c>
      <c r="H632">
        <v>-563200.6</v>
      </c>
      <c r="I632">
        <v>60.09</v>
      </c>
      <c r="J632">
        <v>0</v>
      </c>
      <c r="K632" s="249">
        <v>55271</v>
      </c>
      <c r="L632" s="249">
        <v>58725.4375</v>
      </c>
      <c r="M632" s="249">
        <v>62836.218124999999</v>
      </c>
      <c r="N632" s="249">
        <v>67234.753393749997</v>
      </c>
      <c r="O632" t="str">
        <f t="shared" si="19"/>
        <v>2</v>
      </c>
      <c r="P632" t="str">
        <f t="shared" si="20"/>
        <v>Employee Related Cost</v>
      </c>
    </row>
    <row r="633" spans="1:16" hidden="1" x14ac:dyDescent="0.25">
      <c r="A633" t="s">
        <v>956</v>
      </c>
      <c r="C633" t="s">
        <v>156</v>
      </c>
      <c r="D633" s="67">
        <v>365236</v>
      </c>
      <c r="E633">
        <v>-141346.4</v>
      </c>
      <c r="F633">
        <v>0</v>
      </c>
      <c r="G633">
        <v>-848078.4</v>
      </c>
      <c r="H633">
        <v>-563200.6</v>
      </c>
      <c r="I633">
        <v>60.09</v>
      </c>
      <c r="J633">
        <v>0</v>
      </c>
      <c r="K633" s="249">
        <v>365236</v>
      </c>
      <c r="L633" s="249">
        <v>388063.25</v>
      </c>
      <c r="M633" s="249">
        <v>415227.67749999999</v>
      </c>
      <c r="N633" s="249">
        <v>444293.614925</v>
      </c>
      <c r="O633" t="str">
        <f t="shared" si="19"/>
        <v>2</v>
      </c>
      <c r="P633" t="str">
        <f t="shared" si="20"/>
        <v>Employee Related Cost</v>
      </c>
    </row>
    <row r="634" spans="1:16" hidden="1" x14ac:dyDescent="0.25">
      <c r="A634" t="s">
        <v>957</v>
      </c>
      <c r="C634" t="s">
        <v>157</v>
      </c>
      <c r="D634" s="67">
        <v>7383</v>
      </c>
      <c r="E634">
        <v>-141346.4</v>
      </c>
      <c r="F634">
        <v>0</v>
      </c>
      <c r="G634">
        <v>-848078.4</v>
      </c>
      <c r="H634">
        <v>-563200.6</v>
      </c>
      <c r="I634">
        <v>60.09</v>
      </c>
      <c r="J634">
        <v>7617</v>
      </c>
      <c r="K634" s="249">
        <v>15000</v>
      </c>
      <c r="L634" s="249">
        <v>15937.5</v>
      </c>
      <c r="M634" s="249">
        <v>17053.125</v>
      </c>
      <c r="N634" s="249">
        <v>18246.84375</v>
      </c>
      <c r="O634" t="str">
        <f t="shared" si="19"/>
        <v>2</v>
      </c>
      <c r="P634" t="str">
        <f t="shared" si="20"/>
        <v>Employee Related Cost</v>
      </c>
    </row>
    <row r="635" spans="1:16" hidden="1" x14ac:dyDescent="0.25">
      <c r="A635" t="s">
        <v>958</v>
      </c>
      <c r="C635" t="s">
        <v>158</v>
      </c>
      <c r="D635" s="67">
        <v>12841</v>
      </c>
      <c r="E635">
        <v>-141346.4</v>
      </c>
      <c r="F635">
        <v>0</v>
      </c>
      <c r="G635">
        <v>-848078.4</v>
      </c>
      <c r="H635">
        <v>-563200.6</v>
      </c>
      <c r="I635">
        <v>60.09</v>
      </c>
      <c r="J635">
        <v>0</v>
      </c>
      <c r="K635" s="249">
        <v>12841</v>
      </c>
      <c r="L635" s="249">
        <v>13643.5625</v>
      </c>
      <c r="M635" s="249">
        <v>14598.611875000001</v>
      </c>
      <c r="N635" s="249">
        <v>15620.51470625</v>
      </c>
      <c r="O635" t="str">
        <f t="shared" si="19"/>
        <v>2</v>
      </c>
      <c r="P635" t="str">
        <f t="shared" si="20"/>
        <v>Employee Related Cost</v>
      </c>
    </row>
    <row r="636" spans="1:16" hidden="1" x14ac:dyDescent="0.25">
      <c r="A636" t="s">
        <v>959</v>
      </c>
      <c r="C636" t="s">
        <v>159</v>
      </c>
      <c r="D636" s="67">
        <v>140657</v>
      </c>
      <c r="E636">
        <v>-141346.4</v>
      </c>
      <c r="F636">
        <v>0</v>
      </c>
      <c r="G636">
        <v>-848078.4</v>
      </c>
      <c r="H636">
        <v>-563200.6</v>
      </c>
      <c r="I636">
        <v>60.09</v>
      </c>
      <c r="J636">
        <v>0</v>
      </c>
      <c r="K636" s="249">
        <v>140657</v>
      </c>
      <c r="L636" s="249">
        <v>149448.0625</v>
      </c>
      <c r="M636" s="249">
        <v>159909.426875</v>
      </c>
      <c r="N636" s="249">
        <v>171103.08675625001</v>
      </c>
      <c r="O636" t="str">
        <f t="shared" si="19"/>
        <v>2</v>
      </c>
      <c r="P636" t="str">
        <f t="shared" si="20"/>
        <v>Employee Related Cost</v>
      </c>
    </row>
    <row r="637" spans="1:16" hidden="1" x14ac:dyDescent="0.25">
      <c r="A637" t="s">
        <v>960</v>
      </c>
      <c r="C637" t="s">
        <v>161</v>
      </c>
      <c r="D637" s="67">
        <v>57035</v>
      </c>
      <c r="E637">
        <v>-141346.4</v>
      </c>
      <c r="F637">
        <v>0</v>
      </c>
      <c r="G637">
        <v>-848078.4</v>
      </c>
      <c r="H637">
        <v>-563200.6</v>
      </c>
      <c r="I637">
        <v>60.09</v>
      </c>
      <c r="J637">
        <v>0</v>
      </c>
      <c r="K637" s="249">
        <v>57035</v>
      </c>
      <c r="L637" s="249">
        <v>60599.6875</v>
      </c>
      <c r="M637" s="249">
        <v>64841.665625000001</v>
      </c>
      <c r="N637" s="249">
        <v>69380.582218750002</v>
      </c>
      <c r="O637" t="str">
        <f t="shared" si="19"/>
        <v>2</v>
      </c>
      <c r="P637" t="str">
        <f t="shared" si="20"/>
        <v>Employee Related Cost</v>
      </c>
    </row>
    <row r="638" spans="1:16" hidden="1" x14ac:dyDescent="0.25">
      <c r="A638" t="s">
        <v>961</v>
      </c>
      <c r="C638" t="s">
        <v>164</v>
      </c>
      <c r="D638" s="67">
        <v>15692</v>
      </c>
      <c r="E638">
        <v>-141346.4</v>
      </c>
      <c r="F638">
        <v>0</v>
      </c>
      <c r="G638">
        <v>-848078.4</v>
      </c>
      <c r="H638">
        <v>-563200.6</v>
      </c>
      <c r="I638">
        <v>60.09</v>
      </c>
      <c r="J638">
        <v>0</v>
      </c>
      <c r="K638" s="249">
        <v>15692</v>
      </c>
      <c r="L638" s="249">
        <v>16672.75</v>
      </c>
      <c r="M638" s="249">
        <v>17839.842499999999</v>
      </c>
      <c r="N638" s="249">
        <v>19088.631474999998</v>
      </c>
      <c r="O638" t="str">
        <f t="shared" si="19"/>
        <v>2</v>
      </c>
      <c r="P638" t="str">
        <f t="shared" si="20"/>
        <v>Employee Related Cost</v>
      </c>
    </row>
    <row r="639" spans="1:16" hidden="1" x14ac:dyDescent="0.25">
      <c r="A639" t="s">
        <v>962</v>
      </c>
      <c r="C639" t="s">
        <v>167</v>
      </c>
      <c r="D639" s="67">
        <v>449</v>
      </c>
      <c r="E639">
        <v>-141346.4</v>
      </c>
      <c r="F639">
        <v>0</v>
      </c>
      <c r="G639">
        <v>-848078.4</v>
      </c>
      <c r="H639">
        <v>-563200.6</v>
      </c>
      <c r="I639">
        <v>60.09</v>
      </c>
      <c r="J639">
        <v>0</v>
      </c>
      <c r="K639" s="249">
        <v>449</v>
      </c>
      <c r="L639" s="249">
        <v>477.0625</v>
      </c>
      <c r="M639" s="249">
        <v>510.45687499999997</v>
      </c>
      <c r="N639" s="249">
        <v>546.18885624999996</v>
      </c>
      <c r="O639" t="str">
        <f t="shared" si="19"/>
        <v>2</v>
      </c>
      <c r="P639" t="str">
        <f t="shared" si="20"/>
        <v>Employee Related Cost</v>
      </c>
    </row>
    <row r="640" spans="1:16" hidden="1" x14ac:dyDescent="0.25">
      <c r="A640" t="s">
        <v>963</v>
      </c>
      <c r="C640" t="s">
        <v>168</v>
      </c>
      <c r="D640" s="67">
        <v>161725</v>
      </c>
      <c r="E640">
        <v>-141346.4</v>
      </c>
      <c r="F640">
        <v>0</v>
      </c>
      <c r="G640">
        <v>-848078.4</v>
      </c>
      <c r="H640">
        <v>-563200.6</v>
      </c>
      <c r="I640">
        <v>60.09</v>
      </c>
      <c r="J640">
        <v>0</v>
      </c>
      <c r="K640" s="249">
        <v>161725</v>
      </c>
      <c r="L640" s="249">
        <v>171832.8125</v>
      </c>
      <c r="M640" s="249">
        <v>183861.109375</v>
      </c>
      <c r="N640" s="249">
        <v>196731.38703124999</v>
      </c>
      <c r="O640" t="str">
        <f t="shared" si="19"/>
        <v>2</v>
      </c>
      <c r="P640" t="str">
        <f t="shared" si="20"/>
        <v>Employee Related Cost</v>
      </c>
    </row>
    <row r="641" spans="1:16" hidden="1" x14ac:dyDescent="0.25">
      <c r="A641" t="s">
        <v>964</v>
      </c>
      <c r="C641" t="s">
        <v>169</v>
      </c>
      <c r="D641" s="67">
        <v>371335</v>
      </c>
      <c r="E641">
        <v>-141346.4</v>
      </c>
      <c r="F641">
        <v>0</v>
      </c>
      <c r="G641">
        <v>-848078.4</v>
      </c>
      <c r="H641">
        <v>-563200.6</v>
      </c>
      <c r="I641">
        <v>60.09</v>
      </c>
      <c r="J641">
        <v>0</v>
      </c>
      <c r="K641" s="249">
        <v>371335</v>
      </c>
      <c r="L641" s="249">
        <v>394543.4375</v>
      </c>
      <c r="M641" s="249">
        <v>422161.47812500002</v>
      </c>
      <c r="N641" s="249">
        <v>451712.78159375</v>
      </c>
      <c r="O641" t="str">
        <f t="shared" si="19"/>
        <v>2</v>
      </c>
      <c r="P641" t="str">
        <f t="shared" si="20"/>
        <v>Employee Related Cost</v>
      </c>
    </row>
    <row r="642" spans="1:16" hidden="1" x14ac:dyDescent="0.25">
      <c r="A642" t="s">
        <v>965</v>
      </c>
      <c r="C642" t="s">
        <v>170</v>
      </c>
      <c r="D642" s="67">
        <v>7140</v>
      </c>
      <c r="E642">
        <v>-141346.4</v>
      </c>
      <c r="F642">
        <v>0</v>
      </c>
      <c r="G642">
        <v>-848078.4</v>
      </c>
      <c r="H642">
        <v>-563200.6</v>
      </c>
      <c r="I642">
        <v>60.09</v>
      </c>
      <c r="J642">
        <v>0</v>
      </c>
      <c r="K642" s="249">
        <v>7140</v>
      </c>
      <c r="L642" s="249">
        <v>7586.25</v>
      </c>
      <c r="M642" s="249">
        <v>8117.2875000000004</v>
      </c>
      <c r="N642" s="249">
        <v>8685.497625</v>
      </c>
      <c r="O642" t="str">
        <f t="shared" si="19"/>
        <v>2</v>
      </c>
      <c r="P642" t="str">
        <f t="shared" si="20"/>
        <v>Employee Related Cost</v>
      </c>
    </row>
    <row r="643" spans="1:16" hidden="1" x14ac:dyDescent="0.25">
      <c r="A643" t="s">
        <v>966</v>
      </c>
      <c r="C643" t="s">
        <v>173</v>
      </c>
      <c r="D643" s="67">
        <v>32206</v>
      </c>
      <c r="E643">
        <v>-141346.4</v>
      </c>
      <c r="F643">
        <v>0</v>
      </c>
      <c r="G643">
        <v>-848078.4</v>
      </c>
      <c r="H643">
        <v>-563200.6</v>
      </c>
      <c r="I643">
        <v>60.09</v>
      </c>
      <c r="J643">
        <v>0</v>
      </c>
      <c r="K643" s="249">
        <v>32206</v>
      </c>
      <c r="L643" s="249">
        <v>34218.875</v>
      </c>
      <c r="M643" s="249">
        <v>36614.196250000001</v>
      </c>
      <c r="N643" s="249">
        <v>39177.189987500002</v>
      </c>
      <c r="O643" t="str">
        <f t="shared" ref="O643:O706" si="21">MID(A643,5,1)</f>
        <v>2</v>
      </c>
      <c r="P643" t="str">
        <f t="shared" si="20"/>
        <v>Employee Related Cost</v>
      </c>
    </row>
    <row r="644" spans="1:16" hidden="1" x14ac:dyDescent="0.25">
      <c r="A644" t="s">
        <v>967</v>
      </c>
      <c r="C644" t="s">
        <v>174</v>
      </c>
      <c r="D644" s="67">
        <v>40124</v>
      </c>
      <c r="E644">
        <v>-141346.4</v>
      </c>
      <c r="F644">
        <v>0</v>
      </c>
      <c r="G644">
        <v>-848078.4</v>
      </c>
      <c r="H644">
        <v>-563200.6</v>
      </c>
      <c r="I644">
        <v>60.09</v>
      </c>
      <c r="J644">
        <v>0</v>
      </c>
      <c r="K644" s="249">
        <v>40124</v>
      </c>
      <c r="L644" s="249">
        <v>42631.75</v>
      </c>
      <c r="M644" s="249">
        <v>45615.972500000003</v>
      </c>
      <c r="N644" s="249">
        <v>48809.090575000002</v>
      </c>
      <c r="O644" t="str">
        <f t="shared" si="21"/>
        <v>2</v>
      </c>
      <c r="P644" t="str">
        <f t="shared" si="20"/>
        <v>Employee Related Cost</v>
      </c>
    </row>
    <row r="645" spans="1:16" hidden="1" x14ac:dyDescent="0.25">
      <c r="A645" t="s">
        <v>968</v>
      </c>
      <c r="C645" t="s">
        <v>175</v>
      </c>
      <c r="D645" s="67">
        <v>29542</v>
      </c>
      <c r="E645">
        <v>-141346.4</v>
      </c>
      <c r="F645">
        <v>0</v>
      </c>
      <c r="G645">
        <v>-848078.4</v>
      </c>
      <c r="H645">
        <v>-563200.6</v>
      </c>
      <c r="I645">
        <v>60.09</v>
      </c>
      <c r="J645">
        <v>0</v>
      </c>
      <c r="K645" s="249">
        <v>29542</v>
      </c>
      <c r="L645" s="249">
        <v>31388.375</v>
      </c>
      <c r="M645" s="249">
        <v>33585.561249999999</v>
      </c>
      <c r="N645" s="249">
        <v>35936.550537499999</v>
      </c>
      <c r="O645" t="str">
        <f t="shared" si="21"/>
        <v>2</v>
      </c>
      <c r="P645" t="str">
        <f t="shared" si="20"/>
        <v>Employee Related Cost</v>
      </c>
    </row>
    <row r="646" spans="1:16" hidden="1" x14ac:dyDescent="0.25">
      <c r="A646" t="s">
        <v>969</v>
      </c>
      <c r="C646" t="s">
        <v>246</v>
      </c>
      <c r="D646" s="67">
        <v>402221</v>
      </c>
      <c r="E646">
        <v>-141346.4</v>
      </c>
      <c r="F646">
        <v>0</v>
      </c>
      <c r="G646">
        <v>-848078.4</v>
      </c>
      <c r="H646">
        <v>-563200.6</v>
      </c>
      <c r="I646">
        <v>60.09</v>
      </c>
      <c r="J646">
        <v>0</v>
      </c>
      <c r="K646" s="249">
        <v>402221</v>
      </c>
      <c r="L646" s="249">
        <v>420320.94500000001</v>
      </c>
      <c r="M646" s="249">
        <v>439235.38752500003</v>
      </c>
      <c r="N646" s="249">
        <v>459000.97996362502</v>
      </c>
      <c r="O646" t="str">
        <f t="shared" si="21"/>
        <v>2</v>
      </c>
      <c r="P646" t="str">
        <f t="shared" si="20"/>
        <v>Operational Cost</v>
      </c>
    </row>
    <row r="647" spans="1:16" hidden="1" x14ac:dyDescent="0.25">
      <c r="A647" t="s">
        <v>970</v>
      </c>
      <c r="C647" t="s">
        <v>252</v>
      </c>
      <c r="D647" s="67">
        <v>8917</v>
      </c>
      <c r="E647">
        <v>-141346.4</v>
      </c>
      <c r="F647">
        <v>0</v>
      </c>
      <c r="G647">
        <v>-848078.4</v>
      </c>
      <c r="H647">
        <v>-563200.6</v>
      </c>
      <c r="I647">
        <v>60.09</v>
      </c>
      <c r="J647">
        <v>0</v>
      </c>
      <c r="K647" s="249">
        <v>8917</v>
      </c>
      <c r="L647" s="249">
        <v>9318.2649999999994</v>
      </c>
      <c r="M647" s="249">
        <v>9737.5869249999996</v>
      </c>
      <c r="N647" s="249">
        <v>10175.778336624999</v>
      </c>
      <c r="O647" t="str">
        <f t="shared" si="21"/>
        <v>2</v>
      </c>
      <c r="P647" t="str">
        <f t="shared" si="20"/>
        <v>Operational Cost</v>
      </c>
    </row>
    <row r="648" spans="1:16" hidden="1" x14ac:dyDescent="0.25">
      <c r="A648" t="s">
        <v>971</v>
      </c>
      <c r="C648" t="s">
        <v>265</v>
      </c>
      <c r="D648" s="67">
        <v>0</v>
      </c>
      <c r="E648">
        <v>-141346.4</v>
      </c>
      <c r="F648">
        <v>0</v>
      </c>
      <c r="G648">
        <v>-848078.4</v>
      </c>
      <c r="H648">
        <v>-563200.6</v>
      </c>
      <c r="I648">
        <v>60.09</v>
      </c>
      <c r="J648">
        <v>30000</v>
      </c>
      <c r="K648" s="249">
        <v>30000</v>
      </c>
      <c r="L648" s="249">
        <v>31350</v>
      </c>
      <c r="M648" s="249">
        <v>32760.75</v>
      </c>
      <c r="N648" s="249">
        <v>34234.983749999999</v>
      </c>
      <c r="O648" t="str">
        <f t="shared" si="21"/>
        <v>2</v>
      </c>
      <c r="P648" t="str">
        <f t="shared" si="20"/>
        <v>Operational Cost</v>
      </c>
    </row>
    <row r="649" spans="1:16" hidden="1" x14ac:dyDescent="0.25">
      <c r="A649" t="s">
        <v>972</v>
      </c>
      <c r="C649" t="s">
        <v>268</v>
      </c>
      <c r="D649" s="67">
        <v>0</v>
      </c>
      <c r="E649">
        <v>-141346.4</v>
      </c>
      <c r="F649">
        <v>0</v>
      </c>
      <c r="G649">
        <v>-848078.4</v>
      </c>
      <c r="H649">
        <v>-563200.6</v>
      </c>
      <c r="I649">
        <v>60.09</v>
      </c>
      <c r="J649">
        <v>40000</v>
      </c>
      <c r="K649" s="249">
        <v>40000</v>
      </c>
      <c r="L649" s="249">
        <v>41800</v>
      </c>
      <c r="M649" s="249">
        <v>43681</v>
      </c>
      <c r="N649" s="249">
        <v>45646.644999999997</v>
      </c>
      <c r="O649" t="str">
        <f t="shared" si="21"/>
        <v>2</v>
      </c>
      <c r="P649" t="str">
        <f t="shared" ref="P649:P712" si="22">VLOOKUP(A649,bud_321,16,FALSE)</f>
        <v>Operational Cost</v>
      </c>
    </row>
    <row r="650" spans="1:16" hidden="1" x14ac:dyDescent="0.25">
      <c r="A650" t="s">
        <v>973</v>
      </c>
      <c r="C650" t="s">
        <v>283</v>
      </c>
      <c r="D650" s="67">
        <v>1255286</v>
      </c>
      <c r="E650">
        <v>-141346.4</v>
      </c>
      <c r="F650">
        <v>0</v>
      </c>
      <c r="G650">
        <v>-848078.4</v>
      </c>
      <c r="H650">
        <v>-563200.6</v>
      </c>
      <c r="I650">
        <v>60.09</v>
      </c>
      <c r="J650">
        <v>0</v>
      </c>
      <c r="K650" s="249">
        <v>1255286</v>
      </c>
      <c r="L650" s="249">
        <v>1311773.8700000001</v>
      </c>
      <c r="M650" s="249">
        <v>1370803.6941500001</v>
      </c>
      <c r="N650" s="249">
        <v>1432489.8603867502</v>
      </c>
      <c r="O650" t="str">
        <f t="shared" si="21"/>
        <v>2</v>
      </c>
      <c r="P650" t="str">
        <f t="shared" si="22"/>
        <v>Interest Divid &amp; rent lan</v>
      </c>
    </row>
    <row r="651" spans="1:16" hidden="1" x14ac:dyDescent="0.25">
      <c r="A651" t="s">
        <v>974</v>
      </c>
      <c r="C651" t="s">
        <v>292</v>
      </c>
      <c r="D651" s="67">
        <v>23297</v>
      </c>
      <c r="E651">
        <v>-141346.4</v>
      </c>
      <c r="F651">
        <v>0</v>
      </c>
      <c r="G651">
        <v>-848078.4</v>
      </c>
      <c r="H651">
        <v>-563200.6</v>
      </c>
      <c r="I651">
        <v>60.09</v>
      </c>
      <c r="J651">
        <v>0</v>
      </c>
      <c r="K651" s="249">
        <v>23297</v>
      </c>
      <c r="L651" s="249">
        <v>24345.365000000002</v>
      </c>
      <c r="M651" s="249">
        <v>25440.906425000001</v>
      </c>
      <c r="N651" s="249">
        <v>26585.747214125</v>
      </c>
      <c r="O651" t="str">
        <f t="shared" si="21"/>
        <v>2</v>
      </c>
      <c r="P651" t="str">
        <f t="shared" si="22"/>
        <v>Depreciation &amp; Amortisation</v>
      </c>
    </row>
    <row r="652" spans="1:16" hidden="1" x14ac:dyDescent="0.25">
      <c r="A652" t="s">
        <v>975</v>
      </c>
      <c r="C652" t="s">
        <v>293</v>
      </c>
      <c r="D652" s="67">
        <v>18297</v>
      </c>
      <c r="E652">
        <v>-141346.4</v>
      </c>
      <c r="F652">
        <v>0</v>
      </c>
      <c r="G652">
        <v>-848078.4</v>
      </c>
      <c r="H652">
        <v>-563200.6</v>
      </c>
      <c r="I652">
        <v>60.09</v>
      </c>
      <c r="J652">
        <v>0</v>
      </c>
      <c r="K652" s="249">
        <v>18297</v>
      </c>
      <c r="L652" s="249">
        <v>19120.365000000002</v>
      </c>
      <c r="M652" s="249">
        <v>19980.781425000001</v>
      </c>
      <c r="N652" s="249">
        <v>20879.916589125001</v>
      </c>
      <c r="O652" t="str">
        <f t="shared" si="21"/>
        <v>2</v>
      </c>
      <c r="P652" t="str">
        <f t="shared" si="22"/>
        <v>Depreciation &amp; Amortisation</v>
      </c>
    </row>
    <row r="653" spans="1:16" hidden="1" x14ac:dyDescent="0.25">
      <c r="A653" t="s">
        <v>977</v>
      </c>
      <c r="C653" t="s">
        <v>31</v>
      </c>
      <c r="D653" s="67">
        <v>-1167000</v>
      </c>
      <c r="E653">
        <v>-290187</v>
      </c>
      <c r="F653">
        <v>0</v>
      </c>
      <c r="G653">
        <v>-524054</v>
      </c>
      <c r="H653">
        <v>-642946</v>
      </c>
      <c r="I653">
        <v>44.9</v>
      </c>
      <c r="J653">
        <v>0</v>
      </c>
      <c r="K653" s="249">
        <v>-1167000</v>
      </c>
      <c r="L653" s="249">
        <v>-1304000</v>
      </c>
      <c r="M653" s="249">
        <v>0</v>
      </c>
      <c r="N653" s="249">
        <v>0</v>
      </c>
      <c r="O653" t="str">
        <f t="shared" si="21"/>
        <v>1</v>
      </c>
      <c r="P653">
        <f t="shared" si="22"/>
        <v>0</v>
      </c>
    </row>
    <row r="654" spans="1:16" hidden="1" x14ac:dyDescent="0.25">
      <c r="A654" t="s">
        <v>978</v>
      </c>
      <c r="C654" t="s">
        <v>139</v>
      </c>
      <c r="D654" s="67">
        <v>651161</v>
      </c>
      <c r="E654">
        <v>-290187</v>
      </c>
      <c r="F654">
        <v>0</v>
      </c>
      <c r="G654">
        <v>-524054</v>
      </c>
      <c r="H654">
        <v>-642946</v>
      </c>
      <c r="I654">
        <v>44.9</v>
      </c>
      <c r="J654">
        <v>0</v>
      </c>
      <c r="K654" s="249">
        <v>651161</v>
      </c>
      <c r="L654" s="249">
        <v>691858.5625</v>
      </c>
      <c r="M654" s="249">
        <v>740288.66187499999</v>
      </c>
      <c r="N654" s="249">
        <v>792108.86820625002</v>
      </c>
      <c r="O654" t="str">
        <f t="shared" si="21"/>
        <v>2</v>
      </c>
      <c r="P654" t="str">
        <f t="shared" si="22"/>
        <v>Employee Related Cost</v>
      </c>
    </row>
    <row r="655" spans="1:16" hidden="1" x14ac:dyDescent="0.25">
      <c r="A655" t="s">
        <v>979</v>
      </c>
      <c r="C655" t="s">
        <v>140</v>
      </c>
      <c r="D655" s="67">
        <v>32558</v>
      </c>
      <c r="E655">
        <v>-290187</v>
      </c>
      <c r="F655">
        <v>0</v>
      </c>
      <c r="G655">
        <v>-524054</v>
      </c>
      <c r="H655">
        <v>-642946</v>
      </c>
      <c r="I655">
        <v>44.9</v>
      </c>
      <c r="J655">
        <v>0</v>
      </c>
      <c r="K655" s="249">
        <v>32558</v>
      </c>
      <c r="L655" s="249">
        <v>34592.875</v>
      </c>
      <c r="M655" s="249">
        <v>37014.376250000001</v>
      </c>
      <c r="N655" s="249">
        <v>39605.382587500004</v>
      </c>
      <c r="O655" t="str">
        <f t="shared" si="21"/>
        <v>2</v>
      </c>
      <c r="P655" t="str">
        <f t="shared" si="22"/>
        <v>Employee Related Cost</v>
      </c>
    </row>
    <row r="656" spans="1:16" hidden="1" x14ac:dyDescent="0.25">
      <c r="A656" t="s">
        <v>980</v>
      </c>
      <c r="C656" t="s">
        <v>141</v>
      </c>
      <c r="D656" s="67">
        <v>40000</v>
      </c>
      <c r="E656">
        <v>-290187</v>
      </c>
      <c r="F656">
        <v>0</v>
      </c>
      <c r="G656">
        <v>-524054</v>
      </c>
      <c r="H656">
        <v>-642946</v>
      </c>
      <c r="I656">
        <v>44.9</v>
      </c>
      <c r="J656">
        <v>0</v>
      </c>
      <c r="K656" s="249">
        <v>40000</v>
      </c>
      <c r="L656" s="249">
        <v>42500</v>
      </c>
      <c r="M656" s="249">
        <v>45475</v>
      </c>
      <c r="N656" s="249">
        <v>48658.25</v>
      </c>
      <c r="O656" t="str">
        <f t="shared" si="21"/>
        <v>2</v>
      </c>
      <c r="P656" t="str">
        <f t="shared" si="22"/>
        <v>Employee Related Cost</v>
      </c>
    </row>
    <row r="657" spans="1:16" hidden="1" x14ac:dyDescent="0.25">
      <c r="A657" t="s">
        <v>981</v>
      </c>
      <c r="C657" t="s">
        <v>142</v>
      </c>
      <c r="D657" s="67">
        <v>205628</v>
      </c>
      <c r="E657">
        <v>-290187</v>
      </c>
      <c r="F657">
        <v>0</v>
      </c>
      <c r="G657">
        <v>-524054</v>
      </c>
      <c r="H657">
        <v>-642946</v>
      </c>
      <c r="I657">
        <v>44.9</v>
      </c>
      <c r="J657">
        <v>0</v>
      </c>
      <c r="K657" s="249">
        <v>205628</v>
      </c>
      <c r="L657" s="249">
        <v>218479.75</v>
      </c>
      <c r="M657" s="249">
        <v>233773.33249999999</v>
      </c>
      <c r="N657" s="249">
        <v>250137.46577499999</v>
      </c>
      <c r="O657" t="str">
        <f t="shared" si="21"/>
        <v>2</v>
      </c>
      <c r="P657" t="str">
        <f t="shared" si="22"/>
        <v>Employee Related Cost</v>
      </c>
    </row>
    <row r="658" spans="1:16" hidden="1" x14ac:dyDescent="0.25">
      <c r="A658" t="s">
        <v>982</v>
      </c>
      <c r="C658" t="s">
        <v>143</v>
      </c>
      <c r="D658" s="67">
        <v>17000</v>
      </c>
      <c r="E658">
        <v>-290187</v>
      </c>
      <c r="F658">
        <v>0</v>
      </c>
      <c r="G658">
        <v>-524054</v>
      </c>
      <c r="H658">
        <v>-642946</v>
      </c>
      <c r="I658">
        <v>44.9</v>
      </c>
      <c r="J658">
        <v>0</v>
      </c>
      <c r="K658" s="249">
        <v>17000</v>
      </c>
      <c r="L658" s="249">
        <v>18062.5</v>
      </c>
      <c r="M658" s="249">
        <v>19326.875</v>
      </c>
      <c r="N658" s="249">
        <v>20679.756249999999</v>
      </c>
      <c r="O658" t="str">
        <f t="shared" si="21"/>
        <v>2</v>
      </c>
      <c r="P658" t="str">
        <f t="shared" si="22"/>
        <v>Employee Related Cost</v>
      </c>
    </row>
    <row r="659" spans="1:16" hidden="1" x14ac:dyDescent="0.25">
      <c r="A659" t="s">
        <v>983</v>
      </c>
      <c r="C659" t="s">
        <v>144</v>
      </c>
      <c r="D659" s="67">
        <v>18580</v>
      </c>
      <c r="E659">
        <v>-290187</v>
      </c>
      <c r="F659">
        <v>0</v>
      </c>
      <c r="G659">
        <v>-524054</v>
      </c>
      <c r="H659">
        <v>-642946</v>
      </c>
      <c r="I659">
        <v>44.9</v>
      </c>
      <c r="J659">
        <v>-18580</v>
      </c>
      <c r="K659" s="249">
        <v>0</v>
      </c>
      <c r="L659" s="249">
        <v>0</v>
      </c>
      <c r="M659" s="249">
        <v>0</v>
      </c>
      <c r="O659" t="str">
        <f t="shared" si="21"/>
        <v>2</v>
      </c>
      <c r="P659" t="str">
        <f t="shared" si="22"/>
        <v>Employee Related Cost</v>
      </c>
    </row>
    <row r="660" spans="1:16" hidden="1" x14ac:dyDescent="0.25">
      <c r="A660" t="s">
        <v>984</v>
      </c>
      <c r="C660" t="s">
        <v>150</v>
      </c>
      <c r="D660" s="67">
        <v>215677</v>
      </c>
      <c r="E660">
        <v>-290187</v>
      </c>
      <c r="F660">
        <v>0</v>
      </c>
      <c r="G660">
        <v>-524054</v>
      </c>
      <c r="H660">
        <v>-642946</v>
      </c>
      <c r="I660">
        <v>44.9</v>
      </c>
      <c r="J660">
        <v>0</v>
      </c>
      <c r="K660" s="249">
        <v>215677</v>
      </c>
      <c r="L660" s="249">
        <v>229156.8125</v>
      </c>
      <c r="M660" s="249">
        <v>245197.78937499999</v>
      </c>
      <c r="N660" s="249">
        <v>262361.63463125</v>
      </c>
      <c r="O660" t="str">
        <f t="shared" si="21"/>
        <v>2</v>
      </c>
      <c r="P660" t="str">
        <f t="shared" si="22"/>
        <v>Employee Related Cost</v>
      </c>
    </row>
    <row r="661" spans="1:16" hidden="1" x14ac:dyDescent="0.25">
      <c r="A661" t="s">
        <v>985</v>
      </c>
      <c r="C661" t="s">
        <v>151</v>
      </c>
      <c r="D661" s="67">
        <v>10078</v>
      </c>
      <c r="E661">
        <v>-290187</v>
      </c>
      <c r="F661">
        <v>0</v>
      </c>
      <c r="G661">
        <v>-524054</v>
      </c>
      <c r="H661">
        <v>-642946</v>
      </c>
      <c r="I661">
        <v>44.9</v>
      </c>
      <c r="J661">
        <v>-1610.9099999999999</v>
      </c>
      <c r="K661" s="249">
        <v>8467.09</v>
      </c>
      <c r="L661" s="249">
        <v>8996.2831249999999</v>
      </c>
      <c r="M661" s="249">
        <v>9626.0229437500002</v>
      </c>
      <c r="N661" s="249">
        <v>10299.8445498125</v>
      </c>
      <c r="O661" t="str">
        <f t="shared" si="21"/>
        <v>2</v>
      </c>
      <c r="P661" t="str">
        <f t="shared" si="22"/>
        <v>Employee Related Cost</v>
      </c>
    </row>
    <row r="662" spans="1:16" hidden="1" x14ac:dyDescent="0.25">
      <c r="A662" t="s">
        <v>986</v>
      </c>
      <c r="C662" t="s">
        <v>155</v>
      </c>
      <c r="D662" s="67">
        <v>7157</v>
      </c>
      <c r="E662">
        <v>-290187</v>
      </c>
      <c r="F662">
        <v>0</v>
      </c>
      <c r="G662">
        <v>-524054</v>
      </c>
      <c r="H662">
        <v>-642946</v>
      </c>
      <c r="I662">
        <v>44.9</v>
      </c>
      <c r="J662">
        <v>0</v>
      </c>
      <c r="K662" s="249">
        <v>7157</v>
      </c>
      <c r="L662" s="249">
        <v>7604.3125</v>
      </c>
      <c r="M662" s="249">
        <v>8136.6143750000001</v>
      </c>
      <c r="N662" s="249">
        <v>8706.1773812499996</v>
      </c>
      <c r="O662" t="str">
        <f t="shared" si="21"/>
        <v>2</v>
      </c>
      <c r="P662" t="str">
        <f t="shared" si="22"/>
        <v>Employee Related Cost</v>
      </c>
    </row>
    <row r="663" spans="1:16" hidden="1" x14ac:dyDescent="0.25">
      <c r="A663" t="s">
        <v>987</v>
      </c>
      <c r="C663" t="s">
        <v>157</v>
      </c>
      <c r="D663" s="67">
        <v>36901</v>
      </c>
      <c r="E663">
        <v>-290187</v>
      </c>
      <c r="F663">
        <v>0</v>
      </c>
      <c r="G663">
        <v>-524054</v>
      </c>
      <c r="H663">
        <v>-642946</v>
      </c>
      <c r="I663">
        <v>44.9</v>
      </c>
      <c r="J663">
        <v>0</v>
      </c>
      <c r="K663" s="249">
        <v>36901</v>
      </c>
      <c r="L663" s="249">
        <v>39207.3125</v>
      </c>
      <c r="M663" s="249">
        <v>41951.824374999997</v>
      </c>
      <c r="N663" s="249">
        <v>44888.452081249998</v>
      </c>
      <c r="O663" t="str">
        <f t="shared" si="21"/>
        <v>2</v>
      </c>
      <c r="P663" t="str">
        <f t="shared" si="22"/>
        <v>Employee Related Cost</v>
      </c>
    </row>
    <row r="664" spans="1:16" hidden="1" x14ac:dyDescent="0.25">
      <c r="A664" t="s">
        <v>988</v>
      </c>
      <c r="C664" t="s">
        <v>159</v>
      </c>
      <c r="D664" s="67">
        <v>17973</v>
      </c>
      <c r="E664">
        <v>-290187</v>
      </c>
      <c r="F664">
        <v>0</v>
      </c>
      <c r="G664">
        <v>-524054</v>
      </c>
      <c r="H664">
        <v>-642946</v>
      </c>
      <c r="I664">
        <v>44.9</v>
      </c>
      <c r="J664">
        <v>0</v>
      </c>
      <c r="K664" s="249">
        <v>17973</v>
      </c>
      <c r="L664" s="249">
        <v>19096.3125</v>
      </c>
      <c r="M664" s="249">
        <v>20433.054375</v>
      </c>
      <c r="N664" s="249">
        <v>21863.36818125</v>
      </c>
      <c r="O664" t="str">
        <f t="shared" si="21"/>
        <v>2</v>
      </c>
      <c r="P664" t="str">
        <f t="shared" si="22"/>
        <v>Employee Related Cost</v>
      </c>
    </row>
    <row r="665" spans="1:16" hidden="1" x14ac:dyDescent="0.25">
      <c r="A665" t="s">
        <v>989</v>
      </c>
      <c r="C665" t="s">
        <v>164</v>
      </c>
      <c r="D665" s="67">
        <v>32457</v>
      </c>
      <c r="E665">
        <v>-290187</v>
      </c>
      <c r="F665">
        <v>0</v>
      </c>
      <c r="G665">
        <v>-524054</v>
      </c>
      <c r="H665">
        <v>-642946</v>
      </c>
      <c r="I665">
        <v>44.9</v>
      </c>
      <c r="J665">
        <v>0</v>
      </c>
      <c r="K665" s="249">
        <v>32457</v>
      </c>
      <c r="L665" s="249">
        <v>34485.5625</v>
      </c>
      <c r="M665" s="249">
        <v>36899.551874999997</v>
      </c>
      <c r="N665" s="249">
        <v>39482.520506249995</v>
      </c>
      <c r="O665" t="str">
        <f t="shared" si="21"/>
        <v>2</v>
      </c>
      <c r="P665" t="str">
        <f t="shared" si="22"/>
        <v>Employee Related Cost</v>
      </c>
    </row>
    <row r="666" spans="1:16" hidden="1" x14ac:dyDescent="0.25">
      <c r="A666" t="s">
        <v>990</v>
      </c>
      <c r="C666" t="s">
        <v>167</v>
      </c>
      <c r="D666" s="67">
        <v>112</v>
      </c>
      <c r="E666">
        <v>-290187</v>
      </c>
      <c r="F666">
        <v>0</v>
      </c>
      <c r="G666">
        <v>-524054</v>
      </c>
      <c r="H666">
        <v>-642946</v>
      </c>
      <c r="I666">
        <v>44.9</v>
      </c>
      <c r="J666">
        <v>0</v>
      </c>
      <c r="K666" s="249">
        <v>112</v>
      </c>
      <c r="L666" s="249">
        <v>119</v>
      </c>
      <c r="M666" s="249">
        <v>127.33</v>
      </c>
      <c r="N666" s="249">
        <v>136.2431</v>
      </c>
      <c r="O666" t="str">
        <f t="shared" si="21"/>
        <v>2</v>
      </c>
      <c r="P666" t="str">
        <f t="shared" si="22"/>
        <v>Employee Related Cost</v>
      </c>
    </row>
    <row r="667" spans="1:16" hidden="1" x14ac:dyDescent="0.25">
      <c r="A667" t="s">
        <v>991</v>
      </c>
      <c r="C667" t="s">
        <v>168</v>
      </c>
      <c r="D667" s="67">
        <v>53908</v>
      </c>
      <c r="E667">
        <v>-290187</v>
      </c>
      <c r="F667">
        <v>0</v>
      </c>
      <c r="G667">
        <v>-524054</v>
      </c>
      <c r="H667">
        <v>-642946</v>
      </c>
      <c r="I667">
        <v>44.9</v>
      </c>
      <c r="J667">
        <v>-20000</v>
      </c>
      <c r="K667" s="249">
        <v>33908</v>
      </c>
      <c r="L667" s="249">
        <v>36027.25</v>
      </c>
      <c r="M667" s="249">
        <v>38549.157500000001</v>
      </c>
      <c r="N667" s="249">
        <v>41247.598525000001</v>
      </c>
      <c r="O667" t="str">
        <f t="shared" si="21"/>
        <v>2</v>
      </c>
      <c r="P667" t="str">
        <f t="shared" si="22"/>
        <v>Employee Related Cost</v>
      </c>
    </row>
    <row r="668" spans="1:16" hidden="1" x14ac:dyDescent="0.25">
      <c r="A668" t="s">
        <v>992</v>
      </c>
      <c r="C668" t="s">
        <v>169</v>
      </c>
      <c r="D668" s="67">
        <v>47449</v>
      </c>
      <c r="E668">
        <v>-290187</v>
      </c>
      <c r="F668">
        <v>0</v>
      </c>
      <c r="G668">
        <v>-524054</v>
      </c>
      <c r="H668">
        <v>-642946</v>
      </c>
      <c r="I668">
        <v>44.9</v>
      </c>
      <c r="J668">
        <v>0</v>
      </c>
      <c r="K668" s="249">
        <v>47449</v>
      </c>
      <c r="L668" s="249">
        <v>50414.5625</v>
      </c>
      <c r="M668" s="249">
        <v>53943.581875000003</v>
      </c>
      <c r="N668" s="249">
        <v>57719.632606250001</v>
      </c>
      <c r="O668" t="str">
        <f t="shared" si="21"/>
        <v>2</v>
      </c>
      <c r="P668" t="str">
        <f t="shared" si="22"/>
        <v>Employee Related Cost</v>
      </c>
    </row>
    <row r="669" spans="1:16" hidden="1" x14ac:dyDescent="0.25">
      <c r="A669" t="s">
        <v>993</v>
      </c>
      <c r="C669" t="s">
        <v>170</v>
      </c>
      <c r="D669" s="67">
        <v>1785</v>
      </c>
      <c r="E669">
        <v>-290187</v>
      </c>
      <c r="F669">
        <v>0</v>
      </c>
      <c r="G669">
        <v>-524054</v>
      </c>
      <c r="H669">
        <v>-642946</v>
      </c>
      <c r="I669">
        <v>44.9</v>
      </c>
      <c r="J669">
        <v>0</v>
      </c>
      <c r="K669" s="249">
        <v>1785</v>
      </c>
      <c r="L669" s="249">
        <v>1896.5625</v>
      </c>
      <c r="M669" s="249">
        <v>2029.3218750000001</v>
      </c>
      <c r="N669" s="249">
        <v>2171.37440625</v>
      </c>
      <c r="O669" t="str">
        <f t="shared" si="21"/>
        <v>2</v>
      </c>
      <c r="P669" t="str">
        <f t="shared" si="22"/>
        <v>Employee Related Cost</v>
      </c>
    </row>
    <row r="670" spans="1:16" hidden="1" x14ac:dyDescent="0.25">
      <c r="A670" t="s">
        <v>994</v>
      </c>
      <c r="C670" t="s">
        <v>173</v>
      </c>
      <c r="D670" s="67">
        <v>1667</v>
      </c>
      <c r="E670">
        <v>-290187</v>
      </c>
      <c r="F670">
        <v>0</v>
      </c>
      <c r="G670">
        <v>-524054</v>
      </c>
      <c r="H670">
        <v>-642946</v>
      </c>
      <c r="I670">
        <v>44.9</v>
      </c>
      <c r="J670">
        <v>0</v>
      </c>
      <c r="K670" s="249">
        <v>1667</v>
      </c>
      <c r="L670" s="249">
        <v>1771.1875</v>
      </c>
      <c r="M670" s="249">
        <v>1895.170625</v>
      </c>
      <c r="N670" s="249">
        <v>2027.8325687500001</v>
      </c>
      <c r="O670" t="str">
        <f t="shared" si="21"/>
        <v>2</v>
      </c>
      <c r="P670" t="str">
        <f t="shared" si="22"/>
        <v>Employee Related Cost</v>
      </c>
    </row>
    <row r="671" spans="1:16" hidden="1" x14ac:dyDescent="0.25">
      <c r="A671" t="s">
        <v>995</v>
      </c>
      <c r="C671" t="s">
        <v>174</v>
      </c>
      <c r="D671" s="67">
        <v>978</v>
      </c>
      <c r="E671">
        <v>-290187</v>
      </c>
      <c r="F671">
        <v>0</v>
      </c>
      <c r="G671">
        <v>-524054</v>
      </c>
      <c r="H671">
        <v>-642946</v>
      </c>
      <c r="I671">
        <v>44.9</v>
      </c>
      <c r="J671">
        <v>0</v>
      </c>
      <c r="K671" s="249">
        <v>978</v>
      </c>
      <c r="L671" s="249">
        <v>1039.125</v>
      </c>
      <c r="M671" s="249">
        <v>1111.86375</v>
      </c>
      <c r="N671" s="249">
        <v>1189.6942125</v>
      </c>
      <c r="O671" t="str">
        <f t="shared" si="21"/>
        <v>2</v>
      </c>
      <c r="P671" t="str">
        <f t="shared" si="22"/>
        <v>Employee Related Cost</v>
      </c>
    </row>
    <row r="672" spans="1:16" hidden="1" x14ac:dyDescent="0.25">
      <c r="A672" t="s">
        <v>996</v>
      </c>
      <c r="C672" t="s">
        <v>175</v>
      </c>
      <c r="D672" s="67">
        <v>2483</v>
      </c>
      <c r="E672">
        <v>-290187</v>
      </c>
      <c r="F672">
        <v>0</v>
      </c>
      <c r="G672">
        <v>-524054</v>
      </c>
      <c r="H672">
        <v>-642946</v>
      </c>
      <c r="I672">
        <v>44.9</v>
      </c>
      <c r="J672">
        <v>0</v>
      </c>
      <c r="K672" s="249">
        <v>2483</v>
      </c>
      <c r="L672" s="249">
        <v>2638.1875</v>
      </c>
      <c r="M672" s="249">
        <v>2822.8606249999998</v>
      </c>
      <c r="N672" s="249">
        <v>3020.4608687499999</v>
      </c>
      <c r="O672" t="str">
        <f t="shared" si="21"/>
        <v>2</v>
      </c>
      <c r="P672" t="str">
        <f t="shared" si="22"/>
        <v>Employee Related Cost</v>
      </c>
    </row>
    <row r="673" spans="1:16" hidden="1" x14ac:dyDescent="0.25">
      <c r="A673" t="s">
        <v>997</v>
      </c>
      <c r="C673" t="s">
        <v>235</v>
      </c>
      <c r="D673" s="67">
        <v>120000</v>
      </c>
      <c r="E673">
        <v>-290187</v>
      </c>
      <c r="F673">
        <v>0</v>
      </c>
      <c r="G673">
        <v>-524054</v>
      </c>
      <c r="H673">
        <v>-642946</v>
      </c>
      <c r="I673">
        <v>44.9</v>
      </c>
      <c r="J673">
        <v>-50000</v>
      </c>
      <c r="K673" s="249">
        <v>70000</v>
      </c>
      <c r="L673" s="249">
        <v>73150</v>
      </c>
      <c r="M673" s="249">
        <v>76514.899999999994</v>
      </c>
      <c r="N673" s="249">
        <v>80034.585399999996</v>
      </c>
      <c r="O673" t="str">
        <f t="shared" si="21"/>
        <v>2</v>
      </c>
      <c r="P673" t="str">
        <f t="shared" si="22"/>
        <v>Contracted Services</v>
      </c>
    </row>
    <row r="674" spans="1:16" hidden="1" x14ac:dyDescent="0.25">
      <c r="A674" t="s">
        <v>998</v>
      </c>
      <c r="C674" t="s">
        <v>242</v>
      </c>
      <c r="D674" s="67">
        <v>57680</v>
      </c>
      <c r="E674">
        <v>-290187</v>
      </c>
      <c r="F674">
        <v>0</v>
      </c>
      <c r="G674">
        <v>-524054</v>
      </c>
      <c r="H674">
        <v>-642946</v>
      </c>
      <c r="I674">
        <v>44.9</v>
      </c>
      <c r="J674">
        <v>-30000</v>
      </c>
      <c r="K674" s="249">
        <v>27680</v>
      </c>
      <c r="L674" s="249">
        <v>28925.599999999999</v>
      </c>
      <c r="M674" s="249">
        <v>30256.177599999999</v>
      </c>
      <c r="N674" s="249">
        <v>31647.961769599999</v>
      </c>
      <c r="O674" t="str">
        <f t="shared" si="21"/>
        <v>2</v>
      </c>
      <c r="P674" t="str">
        <f t="shared" si="22"/>
        <v>Operational Cost</v>
      </c>
    </row>
    <row r="675" spans="1:16" hidden="1" x14ac:dyDescent="0.25">
      <c r="A675" t="s">
        <v>999</v>
      </c>
      <c r="C675" t="s">
        <v>253</v>
      </c>
      <c r="D675" s="67">
        <v>2000</v>
      </c>
      <c r="E675">
        <v>-290187</v>
      </c>
      <c r="F675">
        <v>0</v>
      </c>
      <c r="G675">
        <v>-524054</v>
      </c>
      <c r="H675">
        <v>-642946</v>
      </c>
      <c r="I675">
        <v>44.9</v>
      </c>
      <c r="J675">
        <v>0</v>
      </c>
      <c r="K675" s="249">
        <v>2000</v>
      </c>
      <c r="L675" s="249">
        <v>2000</v>
      </c>
      <c r="M675" s="249">
        <v>2000</v>
      </c>
      <c r="N675" s="249">
        <v>2000</v>
      </c>
      <c r="O675" t="str">
        <f t="shared" si="21"/>
        <v>2</v>
      </c>
      <c r="P675" t="str">
        <f t="shared" si="22"/>
        <v>Operational Cost</v>
      </c>
    </row>
    <row r="676" spans="1:16" hidden="1" x14ac:dyDescent="0.25">
      <c r="A676" t="s">
        <v>1000</v>
      </c>
      <c r="C676" t="s">
        <v>261</v>
      </c>
      <c r="D676" s="67">
        <v>3147</v>
      </c>
      <c r="E676">
        <v>-290187</v>
      </c>
      <c r="F676">
        <v>0</v>
      </c>
      <c r="G676">
        <v>-524054</v>
      </c>
      <c r="H676">
        <v>-642946</v>
      </c>
      <c r="I676">
        <v>44.9</v>
      </c>
      <c r="J676">
        <v>0</v>
      </c>
      <c r="K676" s="249">
        <v>3147</v>
      </c>
      <c r="L676" s="249">
        <v>3288.6149999999998</v>
      </c>
      <c r="M676" s="249">
        <v>3439.8912899999996</v>
      </c>
      <c r="N676" s="249">
        <v>3598.1262893399994</v>
      </c>
      <c r="O676" t="str">
        <f t="shared" si="21"/>
        <v>2</v>
      </c>
      <c r="P676" t="str">
        <f t="shared" si="22"/>
        <v>Operational Cost</v>
      </c>
    </row>
    <row r="677" spans="1:16" hidden="1" x14ac:dyDescent="0.25">
      <c r="A677" t="s">
        <v>1369</v>
      </c>
      <c r="C677" t="s">
        <v>1370</v>
      </c>
      <c r="D677" s="67">
        <v>0</v>
      </c>
      <c r="E677">
        <v>-290187</v>
      </c>
      <c r="F677">
        <v>0</v>
      </c>
      <c r="G677">
        <v>-524054</v>
      </c>
      <c r="H677">
        <v>-642946</v>
      </c>
      <c r="I677">
        <v>44.9</v>
      </c>
      <c r="J677">
        <v>350000</v>
      </c>
      <c r="K677" s="249">
        <v>350000</v>
      </c>
      <c r="L677" s="249">
        <v>365750</v>
      </c>
      <c r="M677" s="249">
        <v>382574.5</v>
      </c>
      <c r="N677" s="249">
        <v>400172.92700000003</v>
      </c>
      <c r="O677" t="str">
        <f t="shared" si="21"/>
        <v>2</v>
      </c>
      <c r="P677" t="str">
        <f t="shared" si="22"/>
        <v>Operational Cost</v>
      </c>
    </row>
    <row r="678" spans="1:16" hidden="1" x14ac:dyDescent="0.25">
      <c r="A678" t="s">
        <v>1001</v>
      </c>
      <c r="C678" t="s">
        <v>265</v>
      </c>
      <c r="D678" s="67">
        <v>214343</v>
      </c>
      <c r="E678">
        <v>-290187</v>
      </c>
      <c r="F678">
        <v>0</v>
      </c>
      <c r="G678">
        <v>-524054</v>
      </c>
      <c r="H678">
        <v>-642946</v>
      </c>
      <c r="I678">
        <v>44.9</v>
      </c>
      <c r="J678">
        <v>-190000</v>
      </c>
      <c r="K678" s="249">
        <v>24343</v>
      </c>
      <c r="L678" s="249">
        <v>25438.435000000001</v>
      </c>
      <c r="M678" s="249">
        <v>26608.603010000003</v>
      </c>
      <c r="N678" s="249">
        <v>27832.598748460001</v>
      </c>
      <c r="O678" t="str">
        <f t="shared" si="21"/>
        <v>2</v>
      </c>
      <c r="P678" t="str">
        <f t="shared" si="22"/>
        <v>Operational Cost</v>
      </c>
    </row>
    <row r="679" spans="1:16" hidden="1" x14ac:dyDescent="0.25">
      <c r="A679" t="s">
        <v>1002</v>
      </c>
      <c r="C679" t="s">
        <v>268</v>
      </c>
      <c r="D679" s="67">
        <v>341356</v>
      </c>
      <c r="E679">
        <v>-290187</v>
      </c>
      <c r="F679">
        <v>0</v>
      </c>
      <c r="G679">
        <v>-524054</v>
      </c>
      <c r="H679">
        <v>-642946</v>
      </c>
      <c r="I679">
        <v>44.9</v>
      </c>
      <c r="J679">
        <v>-280000</v>
      </c>
      <c r="K679" s="249">
        <v>61356</v>
      </c>
      <c r="L679" s="249">
        <v>64117.02</v>
      </c>
      <c r="M679" s="249">
        <v>67066.402919999993</v>
      </c>
      <c r="N679" s="249">
        <v>70151.45745432</v>
      </c>
      <c r="O679" t="str">
        <f t="shared" si="21"/>
        <v>2</v>
      </c>
      <c r="P679" t="str">
        <f t="shared" si="22"/>
        <v>Operational Cost</v>
      </c>
    </row>
    <row r="680" spans="1:16" hidden="1" x14ac:dyDescent="0.25">
      <c r="A680" t="s">
        <v>1003</v>
      </c>
      <c r="C680" t="s">
        <v>268</v>
      </c>
      <c r="D680" s="67">
        <v>299131</v>
      </c>
      <c r="E680">
        <v>-290187</v>
      </c>
      <c r="F680">
        <v>0</v>
      </c>
      <c r="G680">
        <v>-524054</v>
      </c>
      <c r="H680">
        <v>-642946</v>
      </c>
      <c r="I680">
        <v>44.9</v>
      </c>
      <c r="J680">
        <v>-150000</v>
      </c>
      <c r="K680" s="249">
        <v>149131</v>
      </c>
      <c r="L680" s="249">
        <v>155841.89499999999</v>
      </c>
      <c r="M680" s="249">
        <v>163010.62216999999</v>
      </c>
      <c r="N680" s="249">
        <v>170509.11078982</v>
      </c>
      <c r="O680" t="str">
        <f t="shared" si="21"/>
        <v>2</v>
      </c>
      <c r="P680" t="str">
        <f t="shared" si="22"/>
        <v>Operational Cost</v>
      </c>
    </row>
    <row r="681" spans="1:16" hidden="1" x14ac:dyDescent="0.25">
      <c r="A681" t="s">
        <v>1004</v>
      </c>
      <c r="C681" t="s">
        <v>269</v>
      </c>
      <c r="D681" s="67">
        <v>25440</v>
      </c>
      <c r="E681">
        <v>-290187</v>
      </c>
      <c r="F681">
        <v>0</v>
      </c>
      <c r="G681">
        <v>-524054</v>
      </c>
      <c r="H681">
        <v>-642946</v>
      </c>
      <c r="I681">
        <v>44.9</v>
      </c>
      <c r="J681">
        <v>-10000</v>
      </c>
      <c r="K681" s="249">
        <v>15440</v>
      </c>
      <c r="L681" s="249">
        <v>16134.8</v>
      </c>
      <c r="M681" s="249">
        <v>16877.000799999998</v>
      </c>
      <c r="N681" s="249">
        <v>17653.342836799999</v>
      </c>
      <c r="O681" t="str">
        <f t="shared" si="21"/>
        <v>2</v>
      </c>
      <c r="P681" t="str">
        <f t="shared" si="22"/>
        <v>Operational Cost</v>
      </c>
    </row>
    <row r="682" spans="1:16" hidden="1" x14ac:dyDescent="0.25">
      <c r="A682" t="s">
        <v>1005</v>
      </c>
      <c r="C682" t="s">
        <v>272</v>
      </c>
      <c r="D682" s="67">
        <v>20324</v>
      </c>
      <c r="E682">
        <v>-290187</v>
      </c>
      <c r="F682">
        <v>0</v>
      </c>
      <c r="G682">
        <v>-524054</v>
      </c>
      <c r="H682">
        <v>-642946</v>
      </c>
      <c r="I682">
        <v>44.9</v>
      </c>
      <c r="J682">
        <v>-15000</v>
      </c>
      <c r="K682" s="249">
        <v>5324</v>
      </c>
      <c r="L682" s="249">
        <v>5563.58</v>
      </c>
      <c r="M682" s="249">
        <v>5819.50468</v>
      </c>
      <c r="N682" s="249">
        <v>6087.2018952799999</v>
      </c>
      <c r="O682" t="str">
        <f t="shared" si="21"/>
        <v>2</v>
      </c>
      <c r="P682" t="str">
        <f t="shared" si="22"/>
        <v>Operational Cost</v>
      </c>
    </row>
    <row r="683" spans="1:16" hidden="1" x14ac:dyDescent="0.25">
      <c r="A683" t="s">
        <v>1006</v>
      </c>
      <c r="C683" t="s">
        <v>277</v>
      </c>
      <c r="D683" s="67">
        <v>283871</v>
      </c>
      <c r="E683">
        <v>-290187</v>
      </c>
      <c r="F683">
        <v>0</v>
      </c>
      <c r="G683">
        <v>-524054</v>
      </c>
      <c r="H683">
        <v>-642946</v>
      </c>
      <c r="I683">
        <v>44.9</v>
      </c>
      <c r="J683">
        <v>0</v>
      </c>
      <c r="K683" s="249">
        <v>283871</v>
      </c>
      <c r="L683" s="249">
        <v>296645.19500000001</v>
      </c>
      <c r="M683" s="249">
        <v>310290.87397000002</v>
      </c>
      <c r="N683" s="249">
        <v>324564.25417262001</v>
      </c>
      <c r="O683" t="str">
        <f t="shared" si="21"/>
        <v>2</v>
      </c>
      <c r="P683" t="str">
        <f t="shared" si="22"/>
        <v>Inventory</v>
      </c>
    </row>
    <row r="684" spans="1:16" hidden="1" x14ac:dyDescent="0.25">
      <c r="A684" t="s">
        <v>1007</v>
      </c>
      <c r="C684" t="s">
        <v>278</v>
      </c>
      <c r="D684" s="67">
        <v>94743</v>
      </c>
      <c r="E684">
        <v>-290187</v>
      </c>
      <c r="F684">
        <v>0</v>
      </c>
      <c r="G684">
        <v>-524054</v>
      </c>
      <c r="H684">
        <v>-642946</v>
      </c>
      <c r="I684">
        <v>44.9</v>
      </c>
      <c r="J684">
        <v>25257</v>
      </c>
      <c r="K684" s="249">
        <v>120000</v>
      </c>
      <c r="L684" s="249">
        <v>125400</v>
      </c>
      <c r="M684" s="249">
        <v>131168.4</v>
      </c>
      <c r="N684" s="249">
        <v>137202.1464</v>
      </c>
      <c r="O684" t="str">
        <f t="shared" si="21"/>
        <v>2</v>
      </c>
      <c r="P684" t="str">
        <f t="shared" si="22"/>
        <v>Inventory</v>
      </c>
    </row>
    <row r="685" spans="1:16" hidden="1" x14ac:dyDescent="0.25">
      <c r="A685" t="s">
        <v>1008</v>
      </c>
      <c r="C685" t="s">
        <v>292</v>
      </c>
      <c r="D685" s="67">
        <v>3371</v>
      </c>
      <c r="E685">
        <v>-290187</v>
      </c>
      <c r="F685">
        <v>0</v>
      </c>
      <c r="G685">
        <v>-524054</v>
      </c>
      <c r="H685">
        <v>-642946</v>
      </c>
      <c r="I685">
        <v>44.9</v>
      </c>
      <c r="J685">
        <v>0</v>
      </c>
      <c r="K685" s="249">
        <v>3371</v>
      </c>
      <c r="L685" s="249">
        <v>3522.6950000000002</v>
      </c>
      <c r="M685" s="249">
        <v>3684.7389700000003</v>
      </c>
      <c r="N685" s="249">
        <v>3854.2369626200002</v>
      </c>
      <c r="O685" t="str">
        <f t="shared" si="21"/>
        <v>2</v>
      </c>
      <c r="P685" t="str">
        <f t="shared" si="22"/>
        <v>Depreciation &amp; Amortisation</v>
      </c>
    </row>
    <row r="686" spans="1:16" hidden="1" x14ac:dyDescent="0.25">
      <c r="A686" t="s">
        <v>1009</v>
      </c>
      <c r="C686" t="s">
        <v>293</v>
      </c>
      <c r="D686" s="67">
        <v>20133</v>
      </c>
      <c r="E686">
        <v>-290187</v>
      </c>
      <c r="F686">
        <v>0</v>
      </c>
      <c r="G686">
        <v>-524054</v>
      </c>
      <c r="H686">
        <v>-642946</v>
      </c>
      <c r="I686">
        <v>44.9</v>
      </c>
      <c r="J686">
        <v>0</v>
      </c>
      <c r="K686" s="249">
        <v>20133</v>
      </c>
      <c r="L686" s="249">
        <v>21038.985000000001</v>
      </c>
      <c r="M686" s="249">
        <v>22006.778310000002</v>
      </c>
      <c r="N686" s="249">
        <v>23019.090112260001</v>
      </c>
      <c r="O686" t="str">
        <f t="shared" si="21"/>
        <v>2</v>
      </c>
      <c r="P686" t="str">
        <f t="shared" si="22"/>
        <v>Depreciation &amp; Amortisation</v>
      </c>
    </row>
    <row r="687" spans="1:16" hidden="1" x14ac:dyDescent="0.25">
      <c r="A687" t="s">
        <v>1010</v>
      </c>
      <c r="C687" t="s">
        <v>296</v>
      </c>
      <c r="D687" s="67">
        <v>170617</v>
      </c>
      <c r="E687">
        <v>-290187</v>
      </c>
      <c r="F687">
        <v>0</v>
      </c>
      <c r="G687">
        <v>-524054</v>
      </c>
      <c r="H687">
        <v>-642946</v>
      </c>
      <c r="I687">
        <v>44.9</v>
      </c>
      <c r="J687">
        <v>0</v>
      </c>
      <c r="K687" s="249">
        <v>170617</v>
      </c>
      <c r="L687" s="249">
        <v>178294.76500000001</v>
      </c>
      <c r="M687" s="249">
        <v>186496.32419000001</v>
      </c>
      <c r="N687" s="249">
        <v>195075.15510274001</v>
      </c>
      <c r="O687" t="str">
        <f t="shared" si="21"/>
        <v>2</v>
      </c>
      <c r="P687" t="str">
        <f t="shared" si="22"/>
        <v>Depreciation &amp; Amortisation</v>
      </c>
    </row>
    <row r="688" spans="1:16" hidden="1" x14ac:dyDescent="0.25">
      <c r="A688" t="s">
        <v>1011</v>
      </c>
      <c r="C688" t="s">
        <v>297</v>
      </c>
      <c r="D688" s="67">
        <v>871352</v>
      </c>
      <c r="E688">
        <v>-290187</v>
      </c>
      <c r="F688">
        <v>0</v>
      </c>
      <c r="G688">
        <v>-524054</v>
      </c>
      <c r="H688">
        <v>-642946</v>
      </c>
      <c r="I688">
        <v>44.9</v>
      </c>
      <c r="J688">
        <v>0</v>
      </c>
      <c r="K688" s="249">
        <v>871352</v>
      </c>
      <c r="L688" s="249">
        <v>910562.84</v>
      </c>
      <c r="M688" s="249">
        <v>952448.73063999997</v>
      </c>
      <c r="N688" s="249">
        <v>996261.37224943994</v>
      </c>
      <c r="O688" t="str">
        <f t="shared" si="21"/>
        <v>2</v>
      </c>
      <c r="P688" t="str">
        <f t="shared" si="22"/>
        <v>Depreciation &amp; Amortisation</v>
      </c>
    </row>
    <row r="689" spans="1:16" hidden="1" x14ac:dyDescent="0.25">
      <c r="A689" t="s">
        <v>1012</v>
      </c>
      <c r="C689" t="s">
        <v>298</v>
      </c>
      <c r="D689" s="67">
        <v>0</v>
      </c>
      <c r="E689">
        <v>-290187</v>
      </c>
      <c r="F689">
        <v>0</v>
      </c>
      <c r="G689">
        <v>-524054</v>
      </c>
      <c r="H689">
        <v>-642946</v>
      </c>
      <c r="I689">
        <v>44.9</v>
      </c>
      <c r="J689">
        <v>0</v>
      </c>
      <c r="K689" s="249">
        <v>0</v>
      </c>
      <c r="L689" s="249">
        <v>0</v>
      </c>
      <c r="M689" s="249">
        <v>0</v>
      </c>
      <c r="N689" s="249">
        <v>0</v>
      </c>
      <c r="O689" t="str">
        <f t="shared" si="21"/>
        <v>2</v>
      </c>
      <c r="P689" t="str">
        <f t="shared" si="22"/>
        <v>Depreciation &amp; Amortisation</v>
      </c>
    </row>
    <row r="690" spans="1:16" hidden="1" x14ac:dyDescent="0.25">
      <c r="A690" t="s">
        <v>1013</v>
      </c>
      <c r="C690" t="s">
        <v>299</v>
      </c>
      <c r="D690" s="67">
        <v>5688</v>
      </c>
      <c r="E690">
        <v>-290187</v>
      </c>
      <c r="F690">
        <v>0</v>
      </c>
      <c r="G690">
        <v>-524054</v>
      </c>
      <c r="H690">
        <v>-642946</v>
      </c>
      <c r="I690">
        <v>44.9</v>
      </c>
      <c r="J690">
        <v>0</v>
      </c>
      <c r="K690" s="249">
        <v>5688</v>
      </c>
      <c r="L690" s="249">
        <v>5943.96</v>
      </c>
      <c r="M690" s="249">
        <v>6217.3821600000001</v>
      </c>
      <c r="N690" s="249">
        <v>6503.3817393600002</v>
      </c>
      <c r="O690" t="str">
        <f t="shared" si="21"/>
        <v>2</v>
      </c>
      <c r="P690" t="str">
        <f t="shared" si="22"/>
        <v>Depreciation &amp; Amortisation</v>
      </c>
    </row>
    <row r="691" spans="1:16" hidden="1" x14ac:dyDescent="0.25">
      <c r="A691" t="s">
        <v>1014</v>
      </c>
      <c r="C691" t="s">
        <v>300</v>
      </c>
      <c r="D691" s="67">
        <v>398294</v>
      </c>
      <c r="E691">
        <v>-290187</v>
      </c>
      <c r="F691">
        <v>0</v>
      </c>
      <c r="G691">
        <v>-524054</v>
      </c>
      <c r="H691">
        <v>-642946</v>
      </c>
      <c r="I691">
        <v>44.9</v>
      </c>
      <c r="J691">
        <v>0</v>
      </c>
      <c r="K691" s="249">
        <v>398294</v>
      </c>
      <c r="L691" s="249">
        <v>416217.23</v>
      </c>
      <c r="M691" s="249">
        <v>435363.22258</v>
      </c>
      <c r="N691" s="249">
        <v>455389.93081867998</v>
      </c>
      <c r="O691" t="str">
        <f t="shared" si="21"/>
        <v>2</v>
      </c>
      <c r="P691" t="str">
        <f t="shared" si="22"/>
        <v>Depreciation &amp; Amortisation</v>
      </c>
    </row>
    <row r="692" spans="1:16" hidden="1" x14ac:dyDescent="0.25">
      <c r="A692" t="s">
        <v>1015</v>
      </c>
      <c r="C692" t="s">
        <v>303</v>
      </c>
      <c r="D692" s="67">
        <v>412489</v>
      </c>
      <c r="E692">
        <v>-290187</v>
      </c>
      <c r="F692">
        <v>0</v>
      </c>
      <c r="G692">
        <v>-524054</v>
      </c>
      <c r="H692">
        <v>-642946</v>
      </c>
      <c r="I692">
        <v>44.9</v>
      </c>
      <c r="J692">
        <v>0</v>
      </c>
      <c r="K692" s="249">
        <v>412489</v>
      </c>
      <c r="L692" s="249">
        <v>431051.005</v>
      </c>
      <c r="M692" s="249">
        <v>450879.35123000003</v>
      </c>
      <c r="N692" s="249">
        <v>471619.80138658005</v>
      </c>
      <c r="O692" t="str">
        <f t="shared" si="21"/>
        <v>2</v>
      </c>
      <c r="P692" t="str">
        <f t="shared" si="22"/>
        <v>Depreciation &amp; Amortisation</v>
      </c>
    </row>
    <row r="693" spans="1:16" hidden="1" x14ac:dyDescent="0.25">
      <c r="A693" t="s">
        <v>1017</v>
      </c>
      <c r="C693" t="s">
        <v>150</v>
      </c>
      <c r="D693" s="67">
        <v>686133</v>
      </c>
      <c r="E693">
        <v>-290187</v>
      </c>
      <c r="F693">
        <v>0</v>
      </c>
      <c r="G693">
        <v>-524054</v>
      </c>
      <c r="H693">
        <v>-642946</v>
      </c>
      <c r="I693">
        <v>44.9</v>
      </c>
      <c r="J693">
        <v>0</v>
      </c>
      <c r="K693" s="249">
        <v>686133</v>
      </c>
      <c r="L693" s="249">
        <v>729016.3125</v>
      </c>
      <c r="M693" s="249">
        <v>780047.45437499997</v>
      </c>
      <c r="N693" s="249">
        <v>834650.77618125</v>
      </c>
      <c r="O693" t="str">
        <f t="shared" si="21"/>
        <v>2</v>
      </c>
      <c r="P693" t="str">
        <f t="shared" si="22"/>
        <v>Employee Related Cost</v>
      </c>
    </row>
    <row r="694" spans="1:16" hidden="1" x14ac:dyDescent="0.25">
      <c r="A694" t="s">
        <v>1018</v>
      </c>
      <c r="C694" t="s">
        <v>151</v>
      </c>
      <c r="D694" s="67">
        <v>33502</v>
      </c>
      <c r="E694">
        <v>-290187</v>
      </c>
      <c r="F694">
        <v>0</v>
      </c>
      <c r="G694">
        <v>-524054</v>
      </c>
      <c r="H694">
        <v>-642946</v>
      </c>
      <c r="I694">
        <v>44.9</v>
      </c>
      <c r="J694">
        <v>-25034.91</v>
      </c>
      <c r="K694" s="249">
        <v>8467.09</v>
      </c>
      <c r="L694" s="249">
        <v>8996.2831249999999</v>
      </c>
      <c r="M694" s="249">
        <v>9626.0229437500002</v>
      </c>
      <c r="N694" s="249">
        <v>10299.8445498125</v>
      </c>
      <c r="O694" t="str">
        <f t="shared" si="21"/>
        <v>2</v>
      </c>
      <c r="P694" t="str">
        <f t="shared" si="22"/>
        <v>Employee Related Cost</v>
      </c>
    </row>
    <row r="695" spans="1:16" hidden="1" x14ac:dyDescent="0.25">
      <c r="A695" t="s">
        <v>1019</v>
      </c>
      <c r="C695" t="s">
        <v>152</v>
      </c>
      <c r="D695" s="67">
        <v>14100</v>
      </c>
      <c r="E695">
        <v>-290187</v>
      </c>
      <c r="F695">
        <v>0</v>
      </c>
      <c r="G695">
        <v>-524054</v>
      </c>
      <c r="H695">
        <v>-642946</v>
      </c>
      <c r="I695">
        <v>44.9</v>
      </c>
      <c r="J695">
        <v>0</v>
      </c>
      <c r="K695" s="249">
        <v>14100</v>
      </c>
      <c r="L695" s="249">
        <v>14981.25</v>
      </c>
      <c r="M695" s="249">
        <v>16029.9375</v>
      </c>
      <c r="N695" s="249">
        <v>17152.033125000002</v>
      </c>
      <c r="O695" t="str">
        <f t="shared" si="21"/>
        <v>2</v>
      </c>
      <c r="P695" t="str">
        <f t="shared" si="22"/>
        <v>Employee Related Cost</v>
      </c>
    </row>
    <row r="696" spans="1:16" hidden="1" x14ac:dyDescent="0.25">
      <c r="A696" t="s">
        <v>1020</v>
      </c>
      <c r="C696" t="s">
        <v>155</v>
      </c>
      <c r="D696" s="67">
        <v>23791</v>
      </c>
      <c r="E696">
        <v>-290187</v>
      </c>
      <c r="F696">
        <v>0</v>
      </c>
      <c r="G696">
        <v>-524054</v>
      </c>
      <c r="H696">
        <v>-642946</v>
      </c>
      <c r="I696">
        <v>44.9</v>
      </c>
      <c r="J696">
        <v>0</v>
      </c>
      <c r="K696" s="249">
        <v>23791</v>
      </c>
      <c r="L696" s="249">
        <v>25277.9375</v>
      </c>
      <c r="M696" s="249">
        <v>27047.393124999999</v>
      </c>
      <c r="N696" s="249">
        <v>28940.710643749997</v>
      </c>
      <c r="O696" t="str">
        <f t="shared" si="21"/>
        <v>2</v>
      </c>
      <c r="P696" t="str">
        <f t="shared" si="22"/>
        <v>Employee Related Cost</v>
      </c>
    </row>
    <row r="697" spans="1:16" hidden="1" x14ac:dyDescent="0.25">
      <c r="A697" t="s">
        <v>1021</v>
      </c>
      <c r="C697" t="s">
        <v>156</v>
      </c>
      <c r="D697" s="67">
        <v>97889</v>
      </c>
      <c r="E697">
        <v>-290187</v>
      </c>
      <c r="F697">
        <v>0</v>
      </c>
      <c r="G697">
        <v>-524054</v>
      </c>
      <c r="H697">
        <v>-642946</v>
      </c>
      <c r="I697">
        <v>44.9</v>
      </c>
      <c r="J697">
        <v>-97889</v>
      </c>
      <c r="K697" s="249">
        <v>0</v>
      </c>
      <c r="L697" s="249">
        <v>0</v>
      </c>
      <c r="M697" s="249">
        <v>0</v>
      </c>
      <c r="N697" s="249">
        <v>0</v>
      </c>
      <c r="O697" t="str">
        <f t="shared" si="21"/>
        <v>2</v>
      </c>
      <c r="P697" t="str">
        <f t="shared" si="22"/>
        <v>Employee Related Cost</v>
      </c>
    </row>
    <row r="698" spans="1:16" hidden="1" x14ac:dyDescent="0.25">
      <c r="A698" t="s">
        <v>1022</v>
      </c>
      <c r="C698" t="s">
        <v>159</v>
      </c>
      <c r="D698" s="67">
        <v>57178</v>
      </c>
      <c r="E698">
        <v>-290187</v>
      </c>
      <c r="F698">
        <v>0</v>
      </c>
      <c r="G698">
        <v>-524054</v>
      </c>
      <c r="H698">
        <v>-642946</v>
      </c>
      <c r="I698">
        <v>44.9</v>
      </c>
      <c r="J698">
        <v>0</v>
      </c>
      <c r="K698" s="249">
        <v>57178</v>
      </c>
      <c r="L698" s="249">
        <v>60751.625</v>
      </c>
      <c r="M698" s="249">
        <v>65004.238750000004</v>
      </c>
      <c r="N698" s="249">
        <v>69554.535462500004</v>
      </c>
      <c r="O698" t="str">
        <f t="shared" si="21"/>
        <v>2</v>
      </c>
      <c r="P698" t="str">
        <f t="shared" si="22"/>
        <v>Employee Related Cost</v>
      </c>
    </row>
    <row r="699" spans="1:16" hidden="1" x14ac:dyDescent="0.25">
      <c r="A699" t="s">
        <v>1023</v>
      </c>
      <c r="C699" t="s">
        <v>161</v>
      </c>
      <c r="D699" s="67">
        <v>57035</v>
      </c>
      <c r="E699">
        <v>-290187</v>
      </c>
      <c r="F699">
        <v>0</v>
      </c>
      <c r="G699">
        <v>-524054</v>
      </c>
      <c r="H699">
        <v>-642946</v>
      </c>
      <c r="I699">
        <v>44.9</v>
      </c>
      <c r="J699">
        <v>0</v>
      </c>
      <c r="K699" s="249">
        <v>57035</v>
      </c>
      <c r="L699" s="249">
        <v>60599.6875</v>
      </c>
      <c r="M699" s="249">
        <v>64841.665625000001</v>
      </c>
      <c r="N699" s="249">
        <v>69380.582218750002</v>
      </c>
      <c r="O699" t="str">
        <f t="shared" si="21"/>
        <v>2</v>
      </c>
      <c r="P699" t="str">
        <f t="shared" si="22"/>
        <v>Employee Related Cost</v>
      </c>
    </row>
    <row r="700" spans="1:16" hidden="1" x14ac:dyDescent="0.25">
      <c r="A700" t="s">
        <v>1024</v>
      </c>
      <c r="C700" t="s">
        <v>167</v>
      </c>
      <c r="D700" s="67">
        <v>225</v>
      </c>
      <c r="E700">
        <v>-290187</v>
      </c>
      <c r="F700">
        <v>0</v>
      </c>
      <c r="G700">
        <v>-524054</v>
      </c>
      <c r="H700">
        <v>-642946</v>
      </c>
      <c r="I700">
        <v>44.9</v>
      </c>
      <c r="J700">
        <v>0</v>
      </c>
      <c r="K700" s="249">
        <v>225</v>
      </c>
      <c r="L700" s="249">
        <v>239.0625</v>
      </c>
      <c r="M700" s="249">
        <v>255.796875</v>
      </c>
      <c r="N700" s="249">
        <v>273.70265625000002</v>
      </c>
      <c r="O700" t="str">
        <f t="shared" si="21"/>
        <v>2</v>
      </c>
      <c r="P700" t="str">
        <f t="shared" si="22"/>
        <v>Employee Related Cost</v>
      </c>
    </row>
    <row r="701" spans="1:16" hidden="1" x14ac:dyDescent="0.25">
      <c r="A701" t="s">
        <v>1025</v>
      </c>
      <c r="C701" t="s">
        <v>168</v>
      </c>
      <c r="D701" s="67">
        <v>107816</v>
      </c>
      <c r="E701">
        <v>-290187</v>
      </c>
      <c r="F701">
        <v>0</v>
      </c>
      <c r="G701">
        <v>-524054</v>
      </c>
      <c r="H701">
        <v>-642946</v>
      </c>
      <c r="I701">
        <v>44.9</v>
      </c>
      <c r="J701">
        <v>-80000</v>
      </c>
      <c r="K701" s="249">
        <v>27816</v>
      </c>
      <c r="L701" s="249">
        <v>29554.5</v>
      </c>
      <c r="M701" s="249">
        <v>31623.314999999999</v>
      </c>
      <c r="N701" s="249">
        <v>33836.947049999995</v>
      </c>
      <c r="O701" t="str">
        <f t="shared" si="21"/>
        <v>2</v>
      </c>
      <c r="P701" t="str">
        <f t="shared" si="22"/>
        <v>Employee Related Cost</v>
      </c>
    </row>
    <row r="702" spans="1:16" hidden="1" x14ac:dyDescent="0.25">
      <c r="A702" t="s">
        <v>1026</v>
      </c>
      <c r="C702" t="s">
        <v>169</v>
      </c>
      <c r="D702" s="67">
        <v>150949</v>
      </c>
      <c r="E702">
        <v>-290187</v>
      </c>
      <c r="F702">
        <v>0</v>
      </c>
      <c r="G702">
        <v>-524054</v>
      </c>
      <c r="H702">
        <v>-642946</v>
      </c>
      <c r="I702">
        <v>44.9</v>
      </c>
      <c r="J702">
        <v>0</v>
      </c>
      <c r="K702" s="249">
        <v>150949</v>
      </c>
      <c r="L702" s="249">
        <v>160383.3125</v>
      </c>
      <c r="M702" s="249">
        <v>171610.144375</v>
      </c>
      <c r="N702" s="249">
        <v>183622.85448124999</v>
      </c>
      <c r="O702" t="str">
        <f t="shared" si="21"/>
        <v>2</v>
      </c>
      <c r="P702" t="str">
        <f t="shared" si="22"/>
        <v>Employee Related Cost</v>
      </c>
    </row>
    <row r="703" spans="1:16" hidden="1" x14ac:dyDescent="0.25">
      <c r="A703" t="s">
        <v>1027</v>
      </c>
      <c r="C703" t="s">
        <v>170</v>
      </c>
      <c r="D703" s="67">
        <v>3570</v>
      </c>
      <c r="E703">
        <v>-290187</v>
      </c>
      <c r="F703">
        <v>0</v>
      </c>
      <c r="G703">
        <v>-524054</v>
      </c>
      <c r="H703">
        <v>-642946</v>
      </c>
      <c r="I703">
        <v>44.9</v>
      </c>
      <c r="J703">
        <v>0</v>
      </c>
      <c r="K703" s="249">
        <v>3570</v>
      </c>
      <c r="L703" s="249">
        <v>3793.125</v>
      </c>
      <c r="M703" s="249">
        <v>4058.6437500000002</v>
      </c>
      <c r="N703" s="249">
        <v>4342.7488125</v>
      </c>
      <c r="O703" t="str">
        <f t="shared" si="21"/>
        <v>2</v>
      </c>
      <c r="P703" t="str">
        <f t="shared" si="22"/>
        <v>Employee Related Cost</v>
      </c>
    </row>
    <row r="704" spans="1:16" hidden="1" x14ac:dyDescent="0.25">
      <c r="A704" t="s">
        <v>1028</v>
      </c>
      <c r="C704" t="s">
        <v>173</v>
      </c>
      <c r="D704" s="67">
        <v>19440</v>
      </c>
      <c r="E704">
        <v>-290187</v>
      </c>
      <c r="F704">
        <v>0</v>
      </c>
      <c r="G704">
        <v>-524054</v>
      </c>
      <c r="H704">
        <v>-642946</v>
      </c>
      <c r="I704">
        <v>44.9</v>
      </c>
      <c r="J704">
        <v>0</v>
      </c>
      <c r="K704" s="249">
        <v>19440</v>
      </c>
      <c r="L704" s="249">
        <v>20655</v>
      </c>
      <c r="M704" s="249">
        <v>22100.85</v>
      </c>
      <c r="N704" s="249">
        <v>23647.909499999998</v>
      </c>
      <c r="O704" t="str">
        <f t="shared" si="21"/>
        <v>2</v>
      </c>
      <c r="P704" t="str">
        <f t="shared" si="22"/>
        <v>Employee Related Cost</v>
      </c>
    </row>
    <row r="705" spans="1:16" hidden="1" x14ac:dyDescent="0.25">
      <c r="A705" t="s">
        <v>1029</v>
      </c>
      <c r="C705" t="s">
        <v>174</v>
      </c>
      <c r="D705" s="67">
        <v>30812</v>
      </c>
      <c r="E705">
        <v>-290187</v>
      </c>
      <c r="F705">
        <v>0</v>
      </c>
      <c r="G705">
        <v>-524054</v>
      </c>
      <c r="H705">
        <v>-642946</v>
      </c>
      <c r="I705">
        <v>44.9</v>
      </c>
      <c r="J705">
        <v>0</v>
      </c>
      <c r="K705" s="249">
        <v>30812</v>
      </c>
      <c r="L705" s="249">
        <v>32737.75</v>
      </c>
      <c r="M705" s="249">
        <v>35029.392500000002</v>
      </c>
      <c r="N705" s="249">
        <v>37481.449975000003</v>
      </c>
      <c r="O705" t="str">
        <f t="shared" si="21"/>
        <v>2</v>
      </c>
      <c r="P705" t="str">
        <f t="shared" si="22"/>
        <v>Employee Related Cost</v>
      </c>
    </row>
    <row r="706" spans="1:16" hidden="1" x14ac:dyDescent="0.25">
      <c r="A706" t="s">
        <v>1030</v>
      </c>
      <c r="C706" t="s">
        <v>175</v>
      </c>
      <c r="D706" s="67">
        <v>8784</v>
      </c>
      <c r="E706">
        <v>-290187</v>
      </c>
      <c r="F706">
        <v>0</v>
      </c>
      <c r="G706">
        <v>-524054</v>
      </c>
      <c r="H706">
        <v>-642946</v>
      </c>
      <c r="I706">
        <v>44.9</v>
      </c>
      <c r="J706">
        <v>0</v>
      </c>
      <c r="K706" s="249">
        <v>8784</v>
      </c>
      <c r="L706" s="249">
        <v>9333</v>
      </c>
      <c r="M706" s="249">
        <v>9986.31</v>
      </c>
      <c r="N706" s="249">
        <v>10685.351699999999</v>
      </c>
      <c r="O706" t="str">
        <f t="shared" si="21"/>
        <v>2</v>
      </c>
      <c r="P706" t="str">
        <f t="shared" si="22"/>
        <v>Employee Related Cost</v>
      </c>
    </row>
    <row r="707" spans="1:16" hidden="1" x14ac:dyDescent="0.25">
      <c r="A707" t="s">
        <v>1031</v>
      </c>
      <c r="C707" t="s">
        <v>265</v>
      </c>
      <c r="D707" s="67">
        <v>0</v>
      </c>
      <c r="E707">
        <v>-290187</v>
      </c>
      <c r="F707">
        <v>0</v>
      </c>
      <c r="G707">
        <v>-524054</v>
      </c>
      <c r="H707">
        <v>-642946</v>
      </c>
      <c r="I707">
        <v>44.9</v>
      </c>
      <c r="J707">
        <v>4000</v>
      </c>
      <c r="K707" s="249">
        <v>4000</v>
      </c>
      <c r="L707" s="249">
        <v>4180</v>
      </c>
      <c r="M707" s="249">
        <v>4372.28</v>
      </c>
      <c r="N707" s="249">
        <v>4573.40488</v>
      </c>
      <c r="O707" t="str">
        <f t="shared" ref="O707:O770" si="23">MID(A707,5,1)</f>
        <v>2</v>
      </c>
      <c r="P707" t="str">
        <f t="shared" si="22"/>
        <v>Operational Cost</v>
      </c>
    </row>
    <row r="708" spans="1:16" hidden="1" x14ac:dyDescent="0.25">
      <c r="A708" t="s">
        <v>1032</v>
      </c>
      <c r="C708" t="s">
        <v>292</v>
      </c>
      <c r="D708" s="67">
        <v>3371</v>
      </c>
      <c r="E708">
        <v>-290187</v>
      </c>
      <c r="F708">
        <v>0</v>
      </c>
      <c r="G708">
        <v>-524054</v>
      </c>
      <c r="H708">
        <v>-642946</v>
      </c>
      <c r="I708">
        <v>44.9</v>
      </c>
      <c r="J708">
        <v>0</v>
      </c>
      <c r="K708" s="249">
        <v>3371</v>
      </c>
      <c r="L708" s="249">
        <v>3522.6950000000002</v>
      </c>
      <c r="M708" s="249">
        <v>3684.7389700000003</v>
      </c>
      <c r="N708" s="249">
        <v>3854.2369626200002</v>
      </c>
      <c r="O708" t="str">
        <f t="shared" si="23"/>
        <v>2</v>
      </c>
      <c r="P708" t="str">
        <f t="shared" si="22"/>
        <v>Depreciation &amp; Amortisation</v>
      </c>
    </row>
    <row r="709" spans="1:16" hidden="1" x14ac:dyDescent="0.25">
      <c r="A709" t="s">
        <v>1033</v>
      </c>
      <c r="C709" t="s">
        <v>293</v>
      </c>
      <c r="D709" s="67">
        <v>6582</v>
      </c>
      <c r="E709">
        <v>-290187</v>
      </c>
      <c r="F709">
        <v>0</v>
      </c>
      <c r="G709">
        <v>-524054</v>
      </c>
      <c r="H709">
        <v>-642946</v>
      </c>
      <c r="I709">
        <v>44.9</v>
      </c>
      <c r="J709">
        <v>0</v>
      </c>
      <c r="K709" s="249">
        <v>6582</v>
      </c>
      <c r="L709" s="249">
        <v>6878.19</v>
      </c>
      <c r="M709" s="249">
        <v>7194.5867399999997</v>
      </c>
      <c r="N709" s="249">
        <v>7525.5377300399996</v>
      </c>
      <c r="O709" t="str">
        <f t="shared" si="23"/>
        <v>2</v>
      </c>
      <c r="P709" t="str">
        <f t="shared" si="22"/>
        <v>Depreciation &amp; Amortisation</v>
      </c>
    </row>
    <row r="710" spans="1:16" hidden="1" x14ac:dyDescent="0.25">
      <c r="A710" t="s">
        <v>1035</v>
      </c>
      <c r="C710" t="s">
        <v>25</v>
      </c>
      <c r="D710" s="67">
        <v>-827</v>
      </c>
      <c r="E710">
        <v>-290187</v>
      </c>
      <c r="F710">
        <v>0</v>
      </c>
      <c r="G710">
        <v>-524054</v>
      </c>
      <c r="H710">
        <v>-642946</v>
      </c>
      <c r="I710">
        <v>44.9</v>
      </c>
      <c r="J710">
        <v>0</v>
      </c>
      <c r="K710" s="249">
        <v>-827</v>
      </c>
      <c r="L710" s="249">
        <v>-864.21500000000003</v>
      </c>
      <c r="M710" s="249">
        <v>-905.69731999999999</v>
      </c>
      <c r="N710" s="249">
        <v>-947.35939671999995</v>
      </c>
      <c r="O710" t="str">
        <f t="shared" si="23"/>
        <v>1</v>
      </c>
      <c r="P710">
        <f t="shared" si="22"/>
        <v>0</v>
      </c>
    </row>
    <row r="711" spans="1:16" hidden="1" x14ac:dyDescent="0.25">
      <c r="A711" t="s">
        <v>1036</v>
      </c>
      <c r="C711" t="s">
        <v>71</v>
      </c>
      <c r="D711" s="67">
        <v>-310</v>
      </c>
      <c r="E711">
        <v>-290187</v>
      </c>
      <c r="F711">
        <v>0</v>
      </c>
      <c r="G711">
        <v>-524054</v>
      </c>
      <c r="H711">
        <v>-642946</v>
      </c>
      <c r="I711">
        <v>44.9</v>
      </c>
      <c r="J711">
        <v>0</v>
      </c>
      <c r="K711" s="249">
        <v>-310</v>
      </c>
      <c r="L711" s="249">
        <v>-323.95</v>
      </c>
      <c r="M711" s="249">
        <v>-338.85169999999999</v>
      </c>
      <c r="N711" s="249">
        <v>-354.43887819999998</v>
      </c>
      <c r="O711" t="str">
        <f t="shared" si="23"/>
        <v>1</v>
      </c>
      <c r="P711">
        <f t="shared" si="22"/>
        <v>0</v>
      </c>
    </row>
    <row r="712" spans="1:16" hidden="1" x14ac:dyDescent="0.25">
      <c r="A712" t="s">
        <v>1037</v>
      </c>
      <c r="C712" t="s">
        <v>79</v>
      </c>
      <c r="D712" s="67">
        <v>-283935</v>
      </c>
      <c r="E712">
        <v>-290187</v>
      </c>
      <c r="F712">
        <v>0</v>
      </c>
      <c r="G712">
        <v>-524054</v>
      </c>
      <c r="H712">
        <v>-642946</v>
      </c>
      <c r="I712">
        <v>44.9</v>
      </c>
      <c r="J712">
        <v>50000</v>
      </c>
      <c r="K712" s="249">
        <v>-233935</v>
      </c>
      <c r="L712" s="249">
        <v>-244462.07500000001</v>
      </c>
      <c r="M712" s="249">
        <v>-255707.33045000001</v>
      </c>
      <c r="N712" s="249">
        <v>-267469.86765070003</v>
      </c>
      <c r="O712" t="str">
        <f t="shared" si="23"/>
        <v>1</v>
      </c>
      <c r="P712">
        <f t="shared" si="22"/>
        <v>0</v>
      </c>
    </row>
    <row r="713" spans="1:16" hidden="1" x14ac:dyDescent="0.25">
      <c r="A713" t="s">
        <v>1038</v>
      </c>
      <c r="C713" t="s">
        <v>84</v>
      </c>
      <c r="D713" s="67">
        <v>-2200</v>
      </c>
      <c r="E713">
        <v>-290187</v>
      </c>
      <c r="F713">
        <v>0</v>
      </c>
      <c r="G713">
        <v>-524054</v>
      </c>
      <c r="H713">
        <v>-642946</v>
      </c>
      <c r="I713">
        <v>44.9</v>
      </c>
      <c r="J713">
        <v>0</v>
      </c>
      <c r="K713" s="249">
        <v>-2200</v>
      </c>
      <c r="L713" s="249">
        <v>-2299</v>
      </c>
      <c r="M713" s="249">
        <v>-2404.7539999999999</v>
      </c>
      <c r="N713" s="249">
        <v>-2515.3726839999999</v>
      </c>
      <c r="O713" t="str">
        <f t="shared" si="23"/>
        <v>1</v>
      </c>
      <c r="P713">
        <f t="shared" ref="P713:P776" si="24">VLOOKUP(A713,bud_321,16,FALSE)</f>
        <v>0</v>
      </c>
    </row>
    <row r="714" spans="1:16" hidden="1" x14ac:dyDescent="0.25">
      <c r="A714" t="s">
        <v>1039</v>
      </c>
      <c r="C714" t="s">
        <v>150</v>
      </c>
      <c r="D714" s="67">
        <v>642046</v>
      </c>
      <c r="E714">
        <v>-290187</v>
      </c>
      <c r="F714">
        <v>0</v>
      </c>
      <c r="G714">
        <v>-524054</v>
      </c>
      <c r="H714">
        <v>-642946</v>
      </c>
      <c r="I714">
        <v>44.9</v>
      </c>
      <c r="J714">
        <v>0</v>
      </c>
      <c r="K714" s="249">
        <v>642046</v>
      </c>
      <c r="L714" s="249">
        <v>682173.875</v>
      </c>
      <c r="M714" s="249">
        <v>729926.04625000001</v>
      </c>
      <c r="N714" s="249">
        <v>781020.86948750005</v>
      </c>
      <c r="O714" t="str">
        <f t="shared" si="23"/>
        <v>2</v>
      </c>
      <c r="P714" t="str">
        <f t="shared" si="24"/>
        <v>Employee Related Cost</v>
      </c>
    </row>
    <row r="715" spans="1:16" hidden="1" x14ac:dyDescent="0.25">
      <c r="A715" t="s">
        <v>1040</v>
      </c>
      <c r="C715" t="s">
        <v>151</v>
      </c>
      <c r="D715" s="67">
        <v>30002</v>
      </c>
      <c r="E715">
        <v>-290187</v>
      </c>
      <c r="F715">
        <v>0</v>
      </c>
      <c r="G715">
        <v>-524054</v>
      </c>
      <c r="H715">
        <v>-642946</v>
      </c>
      <c r="I715">
        <v>44.9</v>
      </c>
      <c r="J715">
        <v>-13067.82</v>
      </c>
      <c r="K715" s="249">
        <v>16934.18</v>
      </c>
      <c r="L715" s="249">
        <v>17992.56625</v>
      </c>
      <c r="M715" s="249">
        <v>19252.0458875</v>
      </c>
      <c r="N715" s="249">
        <v>20599.689099625</v>
      </c>
      <c r="O715" t="str">
        <f t="shared" si="23"/>
        <v>2</v>
      </c>
      <c r="P715" t="str">
        <f t="shared" si="24"/>
        <v>Employee Related Cost</v>
      </c>
    </row>
    <row r="716" spans="1:16" hidden="1" x14ac:dyDescent="0.25">
      <c r="A716" t="s">
        <v>1041</v>
      </c>
      <c r="C716" t="s">
        <v>152</v>
      </c>
      <c r="D716" s="67">
        <v>24000</v>
      </c>
      <c r="E716">
        <v>-290187</v>
      </c>
      <c r="F716">
        <v>0</v>
      </c>
      <c r="G716">
        <v>-524054</v>
      </c>
      <c r="H716">
        <v>-642946</v>
      </c>
      <c r="I716">
        <v>44.9</v>
      </c>
      <c r="J716">
        <v>0</v>
      </c>
      <c r="K716" s="249">
        <v>24000</v>
      </c>
      <c r="L716" s="249">
        <v>25500</v>
      </c>
      <c r="M716" s="249">
        <v>27285</v>
      </c>
      <c r="N716" s="249">
        <v>29194.95</v>
      </c>
      <c r="O716" t="str">
        <f t="shared" si="23"/>
        <v>2</v>
      </c>
      <c r="P716" t="str">
        <f t="shared" si="24"/>
        <v>Employee Related Cost</v>
      </c>
    </row>
    <row r="717" spans="1:16" hidden="1" x14ac:dyDescent="0.25">
      <c r="A717" t="s">
        <v>1042</v>
      </c>
      <c r="C717" t="s">
        <v>153</v>
      </c>
      <c r="D717" s="67">
        <v>10893</v>
      </c>
      <c r="E717">
        <v>-290187</v>
      </c>
      <c r="F717">
        <v>0</v>
      </c>
      <c r="G717">
        <v>-524054</v>
      </c>
      <c r="H717">
        <v>-642946</v>
      </c>
      <c r="I717">
        <v>44.9</v>
      </c>
      <c r="J717">
        <v>0</v>
      </c>
      <c r="K717" s="249">
        <v>10893</v>
      </c>
      <c r="L717" s="249">
        <v>11573.8125</v>
      </c>
      <c r="M717" s="249">
        <v>12383.979375000001</v>
      </c>
      <c r="N717" s="249">
        <v>13250.857931250001</v>
      </c>
      <c r="O717" t="str">
        <f t="shared" si="23"/>
        <v>2</v>
      </c>
      <c r="P717" t="str">
        <f t="shared" si="24"/>
        <v>Employee Related Cost</v>
      </c>
    </row>
    <row r="718" spans="1:16" hidden="1" x14ac:dyDescent="0.25">
      <c r="A718" t="s">
        <v>1043</v>
      </c>
      <c r="C718" t="s">
        <v>155</v>
      </c>
      <c r="D718" s="67">
        <v>21306</v>
      </c>
      <c r="E718">
        <v>-290187</v>
      </c>
      <c r="F718">
        <v>0</v>
      </c>
      <c r="G718">
        <v>-524054</v>
      </c>
      <c r="H718">
        <v>-642946</v>
      </c>
      <c r="I718">
        <v>44.9</v>
      </c>
      <c r="J718">
        <v>0</v>
      </c>
      <c r="K718" s="249">
        <v>21306</v>
      </c>
      <c r="L718" s="249">
        <v>22637.625</v>
      </c>
      <c r="M718" s="249">
        <v>24222.258750000001</v>
      </c>
      <c r="N718" s="249">
        <v>25917.8168625</v>
      </c>
      <c r="O718" t="str">
        <f t="shared" si="23"/>
        <v>2</v>
      </c>
      <c r="P718" t="str">
        <f t="shared" si="24"/>
        <v>Employee Related Cost</v>
      </c>
    </row>
    <row r="719" spans="1:16" hidden="1" x14ac:dyDescent="0.25">
      <c r="A719" t="s">
        <v>1044</v>
      </c>
      <c r="C719" t="s">
        <v>156</v>
      </c>
      <c r="D719" s="67">
        <v>160511</v>
      </c>
      <c r="E719">
        <v>-290187</v>
      </c>
      <c r="F719">
        <v>0</v>
      </c>
      <c r="G719">
        <v>-524054</v>
      </c>
      <c r="H719">
        <v>-642946</v>
      </c>
      <c r="I719">
        <v>44.9</v>
      </c>
      <c r="J719">
        <v>0</v>
      </c>
      <c r="K719" s="249">
        <v>160511</v>
      </c>
      <c r="L719" s="249">
        <v>170542.9375</v>
      </c>
      <c r="M719" s="249">
        <v>182480.94312499999</v>
      </c>
      <c r="N719" s="249">
        <v>195254.60914374999</v>
      </c>
      <c r="O719" t="str">
        <f t="shared" si="23"/>
        <v>2</v>
      </c>
      <c r="P719" t="str">
        <f t="shared" si="24"/>
        <v>Employee Related Cost</v>
      </c>
    </row>
    <row r="720" spans="1:16" hidden="1" x14ac:dyDescent="0.25">
      <c r="A720" t="s">
        <v>1045</v>
      </c>
      <c r="C720" t="s">
        <v>158</v>
      </c>
      <c r="D720" s="67">
        <v>12961</v>
      </c>
      <c r="E720">
        <v>-290187</v>
      </c>
      <c r="F720">
        <v>0</v>
      </c>
      <c r="G720">
        <v>-524054</v>
      </c>
      <c r="H720">
        <v>-642946</v>
      </c>
      <c r="I720">
        <v>44.9</v>
      </c>
      <c r="J720">
        <v>-12961</v>
      </c>
      <c r="K720" s="249">
        <v>0</v>
      </c>
      <c r="L720" s="249">
        <v>0</v>
      </c>
      <c r="M720" s="249">
        <v>0</v>
      </c>
      <c r="N720" s="249">
        <v>0</v>
      </c>
      <c r="O720" t="str">
        <f t="shared" si="23"/>
        <v>2</v>
      </c>
      <c r="P720" t="str">
        <f t="shared" si="24"/>
        <v>Employee Related Cost</v>
      </c>
    </row>
    <row r="721" spans="1:16" hidden="1" x14ac:dyDescent="0.25">
      <c r="A721" t="s">
        <v>1046</v>
      </c>
      <c r="C721" t="s">
        <v>159</v>
      </c>
      <c r="D721" s="67">
        <v>53504</v>
      </c>
      <c r="E721">
        <v>-290187</v>
      </c>
      <c r="F721">
        <v>0</v>
      </c>
      <c r="G721">
        <v>-524054</v>
      </c>
      <c r="H721">
        <v>-642946</v>
      </c>
      <c r="I721">
        <v>44.9</v>
      </c>
      <c r="J721">
        <v>0</v>
      </c>
      <c r="K721" s="249">
        <v>53504</v>
      </c>
      <c r="L721" s="249">
        <v>56848</v>
      </c>
      <c r="M721" s="249">
        <v>60827.360000000001</v>
      </c>
      <c r="N721" s="249">
        <v>65085.275200000004</v>
      </c>
      <c r="O721" t="str">
        <f t="shared" si="23"/>
        <v>2</v>
      </c>
      <c r="P721" t="str">
        <f t="shared" si="24"/>
        <v>Employee Related Cost</v>
      </c>
    </row>
    <row r="722" spans="1:16" hidden="1" x14ac:dyDescent="0.25">
      <c r="A722" t="s">
        <v>1047</v>
      </c>
      <c r="C722" t="s">
        <v>161</v>
      </c>
      <c r="D722" s="67">
        <v>81402</v>
      </c>
      <c r="E722">
        <v>-290187</v>
      </c>
      <c r="F722">
        <v>0</v>
      </c>
      <c r="G722">
        <v>-524054</v>
      </c>
      <c r="H722">
        <v>-642946</v>
      </c>
      <c r="I722">
        <v>44.9</v>
      </c>
      <c r="J722">
        <v>0</v>
      </c>
      <c r="K722" s="249">
        <v>81402</v>
      </c>
      <c r="L722" s="249">
        <v>86489.625</v>
      </c>
      <c r="M722" s="249">
        <v>92543.898749999993</v>
      </c>
      <c r="N722" s="249">
        <v>99021.9716625</v>
      </c>
      <c r="O722" t="str">
        <f t="shared" si="23"/>
        <v>2</v>
      </c>
      <c r="P722" t="str">
        <f t="shared" si="24"/>
        <v>Employee Related Cost</v>
      </c>
    </row>
    <row r="723" spans="1:16" hidden="1" x14ac:dyDescent="0.25">
      <c r="A723" t="s">
        <v>1048</v>
      </c>
      <c r="C723" t="s">
        <v>164</v>
      </c>
      <c r="D723" s="67">
        <v>15692</v>
      </c>
      <c r="E723">
        <v>-290187</v>
      </c>
      <c r="F723">
        <v>0</v>
      </c>
      <c r="G723">
        <v>-524054</v>
      </c>
      <c r="H723">
        <v>-642946</v>
      </c>
      <c r="I723">
        <v>44.9</v>
      </c>
      <c r="J723">
        <v>0</v>
      </c>
      <c r="K723" s="249">
        <v>15692</v>
      </c>
      <c r="L723" s="249">
        <v>16672.75</v>
      </c>
      <c r="M723" s="249">
        <v>17839.842499999999</v>
      </c>
      <c r="N723" s="249">
        <v>19088.631474999998</v>
      </c>
      <c r="O723" t="str">
        <f t="shared" si="23"/>
        <v>2</v>
      </c>
      <c r="P723" t="str">
        <f t="shared" si="24"/>
        <v>Employee Related Cost</v>
      </c>
    </row>
    <row r="724" spans="1:16" hidden="1" x14ac:dyDescent="0.25">
      <c r="A724" t="s">
        <v>1049</v>
      </c>
      <c r="C724" t="s">
        <v>167</v>
      </c>
      <c r="D724" s="67">
        <v>112</v>
      </c>
      <c r="E724">
        <v>-290187</v>
      </c>
      <c r="F724">
        <v>0</v>
      </c>
      <c r="G724">
        <v>-524054</v>
      </c>
      <c r="H724">
        <v>-642946</v>
      </c>
      <c r="I724">
        <v>44.9</v>
      </c>
      <c r="J724">
        <v>38</v>
      </c>
      <c r="K724" s="249">
        <v>150</v>
      </c>
      <c r="L724" s="249">
        <v>159.375</v>
      </c>
      <c r="M724" s="249">
        <v>170.53125</v>
      </c>
      <c r="N724" s="249">
        <v>182.46843749999999</v>
      </c>
      <c r="O724" t="str">
        <f t="shared" si="23"/>
        <v>2</v>
      </c>
      <c r="P724" t="str">
        <f t="shared" si="24"/>
        <v>Employee Related Cost</v>
      </c>
    </row>
    <row r="725" spans="1:16" hidden="1" x14ac:dyDescent="0.25">
      <c r="A725" t="s">
        <v>1050</v>
      </c>
      <c r="C725" t="s">
        <v>168</v>
      </c>
      <c r="D725" s="67">
        <v>53908</v>
      </c>
      <c r="E725">
        <v>-290187</v>
      </c>
      <c r="F725">
        <v>0</v>
      </c>
      <c r="G725">
        <v>-524054</v>
      </c>
      <c r="H725">
        <v>-642946</v>
      </c>
      <c r="I725">
        <v>44.9</v>
      </c>
      <c r="J725">
        <v>0</v>
      </c>
      <c r="K725" s="249">
        <v>53908</v>
      </c>
      <c r="L725" s="249">
        <v>57277.25</v>
      </c>
      <c r="M725" s="249">
        <v>61286.657500000001</v>
      </c>
      <c r="N725" s="249">
        <v>65576.723525000009</v>
      </c>
      <c r="O725" t="str">
        <f t="shared" si="23"/>
        <v>2</v>
      </c>
      <c r="P725" t="str">
        <f t="shared" si="24"/>
        <v>Employee Related Cost</v>
      </c>
    </row>
    <row r="726" spans="1:16" hidden="1" x14ac:dyDescent="0.25">
      <c r="A726" t="s">
        <v>1051</v>
      </c>
      <c r="C726" t="s">
        <v>169</v>
      </c>
      <c r="D726" s="67">
        <v>141250</v>
      </c>
      <c r="E726">
        <v>-290187</v>
      </c>
      <c r="F726">
        <v>0</v>
      </c>
      <c r="G726">
        <v>-524054</v>
      </c>
      <c r="H726">
        <v>-642946</v>
      </c>
      <c r="I726">
        <v>44.9</v>
      </c>
      <c r="J726">
        <v>0</v>
      </c>
      <c r="K726" s="249">
        <v>141250</v>
      </c>
      <c r="L726" s="249">
        <v>150078.125</v>
      </c>
      <c r="M726" s="249">
        <v>160583.59375</v>
      </c>
      <c r="N726" s="249">
        <v>171824.4453125</v>
      </c>
      <c r="O726" t="str">
        <f t="shared" si="23"/>
        <v>2</v>
      </c>
      <c r="P726" t="str">
        <f t="shared" si="24"/>
        <v>Employee Related Cost</v>
      </c>
    </row>
    <row r="727" spans="1:16" hidden="1" x14ac:dyDescent="0.25">
      <c r="A727" t="s">
        <v>1052</v>
      </c>
      <c r="C727" t="s">
        <v>170</v>
      </c>
      <c r="D727" s="67">
        <v>1785</v>
      </c>
      <c r="E727">
        <v>-290187</v>
      </c>
      <c r="F727">
        <v>0</v>
      </c>
      <c r="G727">
        <v>-524054</v>
      </c>
      <c r="H727">
        <v>-642946</v>
      </c>
      <c r="I727">
        <v>44.9</v>
      </c>
      <c r="J727">
        <v>715</v>
      </c>
      <c r="K727" s="249">
        <v>2500</v>
      </c>
      <c r="L727" s="249">
        <v>2656.25</v>
      </c>
      <c r="M727" s="249">
        <v>2842.1875</v>
      </c>
      <c r="N727" s="249">
        <v>3041.140625</v>
      </c>
      <c r="O727" t="str">
        <f t="shared" si="23"/>
        <v>2</v>
      </c>
      <c r="P727" t="str">
        <f t="shared" si="24"/>
        <v>Employee Related Cost</v>
      </c>
    </row>
    <row r="728" spans="1:16" hidden="1" x14ac:dyDescent="0.25">
      <c r="A728" t="s">
        <v>1053</v>
      </c>
      <c r="C728" t="s">
        <v>173</v>
      </c>
      <c r="D728" s="67">
        <v>11869</v>
      </c>
      <c r="E728">
        <v>-290187</v>
      </c>
      <c r="F728">
        <v>0</v>
      </c>
      <c r="G728">
        <v>-524054</v>
      </c>
      <c r="H728">
        <v>-642946</v>
      </c>
      <c r="I728">
        <v>44.9</v>
      </c>
      <c r="J728">
        <v>0</v>
      </c>
      <c r="K728" s="249">
        <v>11869</v>
      </c>
      <c r="L728" s="249">
        <v>12610.8125</v>
      </c>
      <c r="M728" s="249">
        <v>13493.569374999999</v>
      </c>
      <c r="N728" s="249">
        <v>14438.119231249999</v>
      </c>
      <c r="O728" t="str">
        <f t="shared" si="23"/>
        <v>2</v>
      </c>
      <c r="P728" t="str">
        <f t="shared" si="24"/>
        <v>Employee Related Cost</v>
      </c>
    </row>
    <row r="729" spans="1:16" hidden="1" x14ac:dyDescent="0.25">
      <c r="A729" t="s">
        <v>1054</v>
      </c>
      <c r="C729" t="s">
        <v>174</v>
      </c>
      <c r="D729" s="67">
        <v>19452</v>
      </c>
      <c r="E729">
        <v>-290187</v>
      </c>
      <c r="F729">
        <v>0</v>
      </c>
      <c r="G729">
        <v>-524054</v>
      </c>
      <c r="H729">
        <v>-642946</v>
      </c>
      <c r="I729">
        <v>44.9</v>
      </c>
      <c r="J729">
        <v>0</v>
      </c>
      <c r="K729" s="249">
        <v>19452</v>
      </c>
      <c r="L729" s="249">
        <v>20667.75</v>
      </c>
      <c r="M729" s="249">
        <v>22114.4925</v>
      </c>
      <c r="N729" s="249">
        <v>23662.506975</v>
      </c>
      <c r="O729" t="str">
        <f t="shared" si="23"/>
        <v>2</v>
      </c>
      <c r="P729" t="str">
        <f t="shared" si="24"/>
        <v>Employee Related Cost</v>
      </c>
    </row>
    <row r="730" spans="1:16" hidden="1" x14ac:dyDescent="0.25">
      <c r="A730" t="s">
        <v>1055</v>
      </c>
      <c r="C730" t="s">
        <v>175</v>
      </c>
      <c r="D730" s="67">
        <v>13540</v>
      </c>
      <c r="E730">
        <v>-290187</v>
      </c>
      <c r="F730">
        <v>0</v>
      </c>
      <c r="G730">
        <v>-524054</v>
      </c>
      <c r="H730">
        <v>-642946</v>
      </c>
      <c r="I730">
        <v>44.9</v>
      </c>
      <c r="J730">
        <v>0</v>
      </c>
      <c r="K730" s="249">
        <v>13540</v>
      </c>
      <c r="L730" s="249">
        <v>14386.25</v>
      </c>
      <c r="M730" s="249">
        <v>15393.2875</v>
      </c>
      <c r="N730" s="249">
        <v>16470.817625</v>
      </c>
      <c r="O730" t="str">
        <f t="shared" si="23"/>
        <v>2</v>
      </c>
      <c r="P730" t="str">
        <f t="shared" si="24"/>
        <v>Employee Related Cost</v>
      </c>
    </row>
    <row r="731" spans="1:16" hidden="1" x14ac:dyDescent="0.25">
      <c r="A731" t="s">
        <v>1056</v>
      </c>
      <c r="B731" t="s">
        <v>3037</v>
      </c>
      <c r="C731" t="s">
        <v>216</v>
      </c>
      <c r="D731" s="67">
        <v>42400</v>
      </c>
      <c r="E731">
        <v>-290187</v>
      </c>
      <c r="F731">
        <v>0</v>
      </c>
      <c r="G731">
        <v>-524054</v>
      </c>
      <c r="H731">
        <v>-642946</v>
      </c>
      <c r="I731">
        <v>44.9</v>
      </c>
      <c r="J731">
        <v>0</v>
      </c>
      <c r="K731" s="249">
        <v>42400</v>
      </c>
      <c r="L731" s="249">
        <v>44308</v>
      </c>
      <c r="M731" s="249">
        <v>46346.167999999998</v>
      </c>
      <c r="N731" s="249">
        <v>48478.091727999999</v>
      </c>
      <c r="O731" t="str">
        <f t="shared" si="23"/>
        <v>2</v>
      </c>
      <c r="P731" t="str">
        <f t="shared" si="24"/>
        <v>Contracted Services</v>
      </c>
    </row>
    <row r="732" spans="1:16" hidden="1" x14ac:dyDescent="0.25">
      <c r="A732" t="s">
        <v>1057</v>
      </c>
      <c r="C732" t="s">
        <v>222</v>
      </c>
      <c r="D732" s="67">
        <v>59380</v>
      </c>
      <c r="E732">
        <v>-290187</v>
      </c>
      <c r="F732">
        <v>0</v>
      </c>
      <c r="G732">
        <v>-524054</v>
      </c>
      <c r="H732">
        <v>-642946</v>
      </c>
      <c r="I732">
        <v>44.9</v>
      </c>
      <c r="J732">
        <v>0</v>
      </c>
      <c r="K732" s="249">
        <v>59380</v>
      </c>
      <c r="L732" s="249">
        <v>62052.1</v>
      </c>
      <c r="M732" s="249">
        <v>64906.496599999999</v>
      </c>
      <c r="N732" s="249">
        <v>67892.195443599994</v>
      </c>
      <c r="O732" t="str">
        <f t="shared" si="23"/>
        <v>2</v>
      </c>
      <c r="P732" t="str">
        <f t="shared" si="24"/>
        <v>Contracted Services</v>
      </c>
    </row>
    <row r="733" spans="1:16" hidden="1" x14ac:dyDescent="0.25">
      <c r="A733" t="s">
        <v>1058</v>
      </c>
      <c r="C733" t="s">
        <v>234</v>
      </c>
      <c r="D733" s="67">
        <v>318000</v>
      </c>
      <c r="E733">
        <v>-290187</v>
      </c>
      <c r="F733">
        <v>0</v>
      </c>
      <c r="G733">
        <v>-524054</v>
      </c>
      <c r="H733">
        <v>-642946</v>
      </c>
      <c r="I733">
        <v>44.9</v>
      </c>
      <c r="J733">
        <v>0</v>
      </c>
      <c r="K733" s="249">
        <v>318000</v>
      </c>
      <c r="L733" s="249">
        <v>332310</v>
      </c>
      <c r="M733" s="249">
        <v>347596.26</v>
      </c>
      <c r="N733" s="249">
        <v>363585.68796000001</v>
      </c>
      <c r="O733" t="str">
        <f t="shared" si="23"/>
        <v>2</v>
      </c>
      <c r="P733" t="str">
        <f t="shared" si="24"/>
        <v>Contracted Services</v>
      </c>
    </row>
    <row r="734" spans="1:16" hidden="1" x14ac:dyDescent="0.25">
      <c r="A734" t="s">
        <v>1059</v>
      </c>
      <c r="C734" t="s">
        <v>237</v>
      </c>
      <c r="D734" s="67">
        <v>134336</v>
      </c>
      <c r="E734">
        <v>-290187</v>
      </c>
      <c r="F734">
        <v>0</v>
      </c>
      <c r="G734">
        <v>-524054</v>
      </c>
      <c r="H734">
        <v>-642946</v>
      </c>
      <c r="I734">
        <v>44.9</v>
      </c>
      <c r="J734">
        <v>0</v>
      </c>
      <c r="K734" s="249">
        <v>134336</v>
      </c>
      <c r="L734" s="249">
        <v>140381.12</v>
      </c>
      <c r="M734" s="249">
        <v>146838.65151999998</v>
      </c>
      <c r="N734" s="249">
        <v>153593.22948991999</v>
      </c>
      <c r="O734" t="str">
        <f t="shared" si="23"/>
        <v>2</v>
      </c>
      <c r="P734" t="str">
        <f t="shared" si="24"/>
        <v>Contracted Services</v>
      </c>
    </row>
    <row r="735" spans="1:16" hidden="1" x14ac:dyDescent="0.25">
      <c r="A735" t="s">
        <v>1060</v>
      </c>
      <c r="C735" t="s">
        <v>242</v>
      </c>
      <c r="D735" s="67">
        <v>31800</v>
      </c>
      <c r="E735">
        <v>-290187</v>
      </c>
      <c r="F735">
        <v>0</v>
      </c>
      <c r="G735">
        <v>-524054</v>
      </c>
      <c r="H735">
        <v>-642946</v>
      </c>
      <c r="I735">
        <v>44.9</v>
      </c>
      <c r="J735">
        <v>0</v>
      </c>
      <c r="K735" s="249">
        <v>31800</v>
      </c>
      <c r="L735" s="249">
        <v>33231</v>
      </c>
      <c r="M735" s="249">
        <v>34759.625999999997</v>
      </c>
      <c r="N735" s="249">
        <v>36358.568796</v>
      </c>
      <c r="O735" t="str">
        <f t="shared" si="23"/>
        <v>2</v>
      </c>
      <c r="P735" t="str">
        <f t="shared" si="24"/>
        <v>Operational Cost</v>
      </c>
    </row>
    <row r="736" spans="1:16" hidden="1" x14ac:dyDescent="0.25">
      <c r="A736" t="s">
        <v>1061</v>
      </c>
      <c r="C736" t="s">
        <v>260</v>
      </c>
      <c r="D736" s="67">
        <v>31800</v>
      </c>
      <c r="E736">
        <v>-290187</v>
      </c>
      <c r="F736">
        <v>0</v>
      </c>
      <c r="G736">
        <v>-524054</v>
      </c>
      <c r="H736">
        <v>-642946</v>
      </c>
      <c r="I736">
        <v>44.9</v>
      </c>
      <c r="J736">
        <v>0</v>
      </c>
      <c r="K736" s="249">
        <v>31800</v>
      </c>
      <c r="L736" s="249">
        <v>33231</v>
      </c>
      <c r="M736" s="249">
        <v>34759.625999999997</v>
      </c>
      <c r="N736" s="249">
        <v>36358.568796</v>
      </c>
      <c r="O736" t="str">
        <f t="shared" si="23"/>
        <v>2</v>
      </c>
      <c r="P736" t="str">
        <f t="shared" si="24"/>
        <v>Operational Cost</v>
      </c>
    </row>
    <row r="737" spans="1:16" hidden="1" x14ac:dyDescent="0.25">
      <c r="A737" t="s">
        <v>1062</v>
      </c>
      <c r="C737" t="s">
        <v>265</v>
      </c>
      <c r="D737" s="67">
        <v>0</v>
      </c>
      <c r="E737">
        <v>-290187</v>
      </c>
      <c r="F737">
        <v>0</v>
      </c>
      <c r="G737">
        <v>-524054</v>
      </c>
      <c r="H737">
        <v>-642946</v>
      </c>
      <c r="I737">
        <v>44.9</v>
      </c>
      <c r="J737">
        <v>15000</v>
      </c>
      <c r="K737" s="249">
        <v>15000</v>
      </c>
      <c r="L737" s="249">
        <v>15675</v>
      </c>
      <c r="M737" s="249">
        <v>16396.05</v>
      </c>
      <c r="N737" s="249">
        <v>17150.2683</v>
      </c>
      <c r="O737" t="str">
        <f t="shared" si="23"/>
        <v>2</v>
      </c>
      <c r="P737" t="str">
        <f t="shared" si="24"/>
        <v>Operational Cost</v>
      </c>
    </row>
    <row r="738" spans="1:16" hidden="1" x14ac:dyDescent="0.25">
      <c r="A738" t="s">
        <v>1063</v>
      </c>
      <c r="C738" t="s">
        <v>268</v>
      </c>
      <c r="D738" s="67">
        <v>0</v>
      </c>
      <c r="E738">
        <v>-290187</v>
      </c>
      <c r="F738">
        <v>0</v>
      </c>
      <c r="G738">
        <v>-524054</v>
      </c>
      <c r="H738">
        <v>-642946</v>
      </c>
      <c r="I738">
        <v>44.9</v>
      </c>
      <c r="J738">
        <v>110000</v>
      </c>
      <c r="K738" s="249">
        <v>110000</v>
      </c>
      <c r="L738" s="249">
        <v>114950</v>
      </c>
      <c r="M738" s="249">
        <v>120237.7</v>
      </c>
      <c r="N738" s="249">
        <v>125768.6342</v>
      </c>
      <c r="O738" t="str">
        <f t="shared" si="23"/>
        <v>2</v>
      </c>
      <c r="P738" t="str">
        <f t="shared" si="24"/>
        <v>Operational Cost</v>
      </c>
    </row>
    <row r="739" spans="1:16" hidden="1" x14ac:dyDescent="0.25">
      <c r="A739" t="s">
        <v>1064</v>
      </c>
      <c r="C739" t="s">
        <v>293</v>
      </c>
      <c r="D739" s="67">
        <v>2688</v>
      </c>
      <c r="E739">
        <v>-290187</v>
      </c>
      <c r="F739">
        <v>0</v>
      </c>
      <c r="G739">
        <v>-524054</v>
      </c>
      <c r="H739">
        <v>-642946</v>
      </c>
      <c r="I739">
        <v>44.9</v>
      </c>
      <c r="J739">
        <v>0</v>
      </c>
      <c r="K739" s="249">
        <v>2688</v>
      </c>
      <c r="L739" s="249">
        <v>2808.96</v>
      </c>
      <c r="M739" s="249">
        <v>2938.1721600000001</v>
      </c>
      <c r="N739" s="249">
        <v>3073.3280793600002</v>
      </c>
      <c r="O739" t="str">
        <f t="shared" si="23"/>
        <v>2</v>
      </c>
      <c r="P739" t="str">
        <f t="shared" si="24"/>
        <v>Depreciation &amp; Amortisation</v>
      </c>
    </row>
    <row r="740" spans="1:16" hidden="1" x14ac:dyDescent="0.25">
      <c r="A740" t="s">
        <v>1065</v>
      </c>
      <c r="C740" t="s">
        <v>296</v>
      </c>
      <c r="D740" s="67">
        <v>34540</v>
      </c>
      <c r="E740">
        <v>-290187</v>
      </c>
      <c r="F740">
        <v>0</v>
      </c>
      <c r="G740">
        <v>-524054</v>
      </c>
      <c r="H740">
        <v>-642946</v>
      </c>
      <c r="I740">
        <v>44.9</v>
      </c>
      <c r="J740">
        <v>0</v>
      </c>
      <c r="K740" s="249">
        <v>34540</v>
      </c>
      <c r="L740" s="249">
        <v>36094.300000000003</v>
      </c>
      <c r="M740" s="249">
        <v>37754.637800000004</v>
      </c>
      <c r="N740" s="249">
        <v>39491.351138800004</v>
      </c>
      <c r="O740" t="str">
        <f t="shared" si="23"/>
        <v>2</v>
      </c>
      <c r="P740" t="str">
        <f t="shared" si="24"/>
        <v>Depreciation &amp; Amortisation</v>
      </c>
    </row>
    <row r="741" spans="1:16" hidden="1" x14ac:dyDescent="0.25">
      <c r="A741" t="s">
        <v>1066</v>
      </c>
      <c r="C741" t="s">
        <v>300</v>
      </c>
      <c r="D741" s="67">
        <v>0</v>
      </c>
      <c r="E741">
        <v>-290187</v>
      </c>
      <c r="F741">
        <v>0</v>
      </c>
      <c r="G741">
        <v>-524054</v>
      </c>
      <c r="H741">
        <v>-642946</v>
      </c>
      <c r="I741">
        <v>44.9</v>
      </c>
      <c r="J741">
        <v>0</v>
      </c>
      <c r="K741" s="249">
        <v>0</v>
      </c>
      <c r="L741" s="249">
        <v>0</v>
      </c>
      <c r="M741" s="249">
        <v>0</v>
      </c>
      <c r="N741" s="249">
        <v>0</v>
      </c>
      <c r="O741" t="str">
        <f t="shared" si="23"/>
        <v>2</v>
      </c>
      <c r="P741" t="str">
        <f t="shared" si="24"/>
        <v>Depreciation &amp; Amortisation</v>
      </c>
    </row>
    <row r="742" spans="1:16" hidden="1" x14ac:dyDescent="0.25">
      <c r="A742" t="s">
        <v>1067</v>
      </c>
      <c r="C742" t="s">
        <v>302</v>
      </c>
      <c r="D742" s="67">
        <v>623329</v>
      </c>
      <c r="E742">
        <v>-290187</v>
      </c>
      <c r="F742">
        <v>0</v>
      </c>
      <c r="G742">
        <v>-524054</v>
      </c>
      <c r="H742">
        <v>-642946</v>
      </c>
      <c r="I742">
        <v>44.9</v>
      </c>
      <c r="J742">
        <v>0</v>
      </c>
      <c r="K742" s="249">
        <v>623329</v>
      </c>
      <c r="L742" s="249">
        <v>651378.80500000005</v>
      </c>
      <c r="M742" s="249">
        <v>681342.23003000009</v>
      </c>
      <c r="N742" s="249">
        <v>712683.97261138004</v>
      </c>
      <c r="O742" t="str">
        <f t="shared" si="23"/>
        <v>2</v>
      </c>
      <c r="P742" t="str">
        <f t="shared" si="24"/>
        <v>Depreciation &amp; Amortisation</v>
      </c>
    </row>
    <row r="743" spans="1:16" hidden="1" x14ac:dyDescent="0.25">
      <c r="A743" t="s">
        <v>1068</v>
      </c>
      <c r="C743" t="s">
        <v>303</v>
      </c>
      <c r="D743" s="67">
        <v>12477</v>
      </c>
      <c r="E743">
        <v>-290187</v>
      </c>
      <c r="F743">
        <v>0</v>
      </c>
      <c r="G743">
        <v>-524054</v>
      </c>
      <c r="H743">
        <v>-642946</v>
      </c>
      <c r="I743">
        <v>44.9</v>
      </c>
      <c r="J743">
        <v>0</v>
      </c>
      <c r="K743" s="249">
        <v>12477</v>
      </c>
      <c r="L743" s="249">
        <v>13038.465</v>
      </c>
      <c r="M743" s="249">
        <v>13638.23439</v>
      </c>
      <c r="N743" s="249">
        <v>14265.59317194</v>
      </c>
      <c r="O743" t="str">
        <f t="shared" si="23"/>
        <v>2</v>
      </c>
      <c r="P743" t="str">
        <f t="shared" si="24"/>
        <v>Depreciation &amp; Amortisation</v>
      </c>
    </row>
    <row r="744" spans="1:16" x14ac:dyDescent="0.25">
      <c r="A744" t="s">
        <v>3081</v>
      </c>
      <c r="C744" t="s">
        <v>3065</v>
      </c>
      <c r="D744" s="67">
        <v>0</v>
      </c>
      <c r="K744" s="249">
        <v>0</v>
      </c>
      <c r="L744" s="249">
        <v>0</v>
      </c>
      <c r="M744" s="249">
        <v>500000</v>
      </c>
      <c r="N744" s="249">
        <v>600000</v>
      </c>
      <c r="O744" t="str">
        <f t="shared" si="23"/>
        <v>6</v>
      </c>
      <c r="P744">
        <f t="shared" si="24"/>
        <v>0</v>
      </c>
    </row>
    <row r="745" spans="1:16" x14ac:dyDescent="0.25">
      <c r="A745" t="s">
        <v>3080</v>
      </c>
      <c r="C745" t="s">
        <v>3064</v>
      </c>
      <c r="L745" s="249">
        <v>0</v>
      </c>
      <c r="M745" s="249">
        <v>400000</v>
      </c>
      <c r="N745" s="249">
        <v>0</v>
      </c>
      <c r="O745" t="str">
        <f t="shared" si="23"/>
        <v>6</v>
      </c>
      <c r="P745">
        <f t="shared" si="24"/>
        <v>0</v>
      </c>
    </row>
    <row r="746" spans="1:16" hidden="1" x14ac:dyDescent="0.25">
      <c r="A746" t="s">
        <v>1069</v>
      </c>
      <c r="C746" t="s">
        <v>1070</v>
      </c>
      <c r="D746" s="67">
        <v>900000</v>
      </c>
      <c r="E746">
        <v>-290187</v>
      </c>
      <c r="F746">
        <v>0</v>
      </c>
      <c r="G746">
        <v>-524054</v>
      </c>
      <c r="H746">
        <v>-642946</v>
      </c>
      <c r="I746">
        <v>44.9</v>
      </c>
      <c r="J746">
        <v>-185724</v>
      </c>
      <c r="K746" s="249">
        <v>714276</v>
      </c>
      <c r="L746" s="249">
        <v>0</v>
      </c>
      <c r="M746" s="249">
        <v>0</v>
      </c>
      <c r="O746" t="str">
        <f t="shared" si="23"/>
        <v>6</v>
      </c>
      <c r="P746">
        <f t="shared" si="24"/>
        <v>0</v>
      </c>
    </row>
    <row r="747" spans="1:16" hidden="1" x14ac:dyDescent="0.25">
      <c r="A747" t="s">
        <v>1071</v>
      </c>
      <c r="C747" t="s">
        <v>1072</v>
      </c>
      <c r="D747" s="67">
        <v>1200000</v>
      </c>
      <c r="E747">
        <v>-290187</v>
      </c>
      <c r="F747">
        <v>0</v>
      </c>
      <c r="G747">
        <v>-524054</v>
      </c>
      <c r="H747">
        <v>-642946</v>
      </c>
      <c r="I747">
        <v>44.9</v>
      </c>
      <c r="J747">
        <v>-1200000</v>
      </c>
      <c r="K747" s="249">
        <v>0</v>
      </c>
      <c r="L747" s="249">
        <v>0</v>
      </c>
      <c r="M747" s="249">
        <v>0</v>
      </c>
      <c r="O747" t="str">
        <f t="shared" si="23"/>
        <v>6</v>
      </c>
      <c r="P747">
        <f t="shared" si="24"/>
        <v>0</v>
      </c>
    </row>
    <row r="748" spans="1:16" hidden="1" x14ac:dyDescent="0.25">
      <c r="A748" t="s">
        <v>1074</v>
      </c>
      <c r="C748" t="s">
        <v>24</v>
      </c>
      <c r="D748" s="67">
        <v>-1200007</v>
      </c>
      <c r="E748">
        <v>-290187</v>
      </c>
      <c r="F748">
        <v>0</v>
      </c>
      <c r="G748">
        <v>-524054</v>
      </c>
      <c r="H748">
        <v>-642946</v>
      </c>
      <c r="I748">
        <v>44.9</v>
      </c>
      <c r="J748">
        <v>0</v>
      </c>
      <c r="K748" s="249">
        <v>-1200007</v>
      </c>
      <c r="L748" s="249">
        <v>-1254007.3149999999</v>
      </c>
      <c r="M748" s="249">
        <v>-1314199.66612</v>
      </c>
      <c r="N748" s="249">
        <v>-1374652.85076152</v>
      </c>
      <c r="O748" t="str">
        <f t="shared" si="23"/>
        <v>1</v>
      </c>
      <c r="P748">
        <f t="shared" si="24"/>
        <v>0</v>
      </c>
    </row>
    <row r="749" spans="1:16" hidden="1" x14ac:dyDescent="0.25">
      <c r="A749" t="s">
        <v>1075</v>
      </c>
      <c r="C749" t="s">
        <v>26</v>
      </c>
      <c r="D749" s="67">
        <v>0</v>
      </c>
      <c r="E749">
        <v>-290187</v>
      </c>
      <c r="F749">
        <v>0</v>
      </c>
      <c r="G749">
        <v>-524054</v>
      </c>
      <c r="H749">
        <v>-642946</v>
      </c>
      <c r="I749">
        <v>44.9</v>
      </c>
      <c r="J749">
        <v>0</v>
      </c>
      <c r="K749" s="249">
        <v>0</v>
      </c>
      <c r="L749" s="249">
        <v>0</v>
      </c>
      <c r="M749" s="249">
        <v>0</v>
      </c>
      <c r="O749" t="str">
        <f t="shared" si="23"/>
        <v>1</v>
      </c>
      <c r="P749">
        <f t="shared" si="24"/>
        <v>0</v>
      </c>
    </row>
    <row r="750" spans="1:16" hidden="1" x14ac:dyDescent="0.25">
      <c r="A750" t="s">
        <v>1076</v>
      </c>
      <c r="C750" t="s">
        <v>92</v>
      </c>
      <c r="D750" s="67">
        <v>-7065504</v>
      </c>
      <c r="E750">
        <v>-290187</v>
      </c>
      <c r="F750">
        <v>0</v>
      </c>
      <c r="G750">
        <v>-524054</v>
      </c>
      <c r="H750">
        <v>-642946</v>
      </c>
      <c r="I750">
        <v>44.9</v>
      </c>
      <c r="J750">
        <v>0</v>
      </c>
      <c r="K750" s="249">
        <v>-7065504</v>
      </c>
      <c r="L750" s="249">
        <v>-7383451.6799999997</v>
      </c>
      <c r="M750" s="249">
        <v>-7723090.4572799997</v>
      </c>
      <c r="N750" s="249">
        <v>-8078352.6183148799</v>
      </c>
      <c r="O750" t="str">
        <f t="shared" si="23"/>
        <v>1</v>
      </c>
      <c r="P750">
        <f t="shared" si="24"/>
        <v>0</v>
      </c>
    </row>
    <row r="751" spans="1:16" hidden="1" x14ac:dyDescent="0.25">
      <c r="A751" t="s">
        <v>1077</v>
      </c>
      <c r="C751" t="s">
        <v>150</v>
      </c>
      <c r="D751" s="67">
        <v>7800438</v>
      </c>
      <c r="E751">
        <v>-290187</v>
      </c>
      <c r="F751">
        <v>0</v>
      </c>
      <c r="G751">
        <v>-524054</v>
      </c>
      <c r="H751">
        <v>-642946</v>
      </c>
      <c r="I751">
        <v>44.9</v>
      </c>
      <c r="J751">
        <v>0</v>
      </c>
      <c r="K751" s="249">
        <v>7800438</v>
      </c>
      <c r="L751" s="249">
        <v>8287965.375</v>
      </c>
      <c r="M751" s="249">
        <v>8868122.9512499999</v>
      </c>
      <c r="N751" s="249">
        <v>9488891.5578374993</v>
      </c>
      <c r="O751" t="str">
        <f t="shared" si="23"/>
        <v>2</v>
      </c>
      <c r="P751" t="str">
        <f t="shared" si="24"/>
        <v>Employee Related Cost</v>
      </c>
    </row>
    <row r="752" spans="1:16" hidden="1" x14ac:dyDescent="0.25">
      <c r="A752" t="s">
        <v>1078</v>
      </c>
      <c r="C752" t="s">
        <v>151</v>
      </c>
      <c r="D752" s="67">
        <v>364506</v>
      </c>
      <c r="E752">
        <v>-290187</v>
      </c>
      <c r="F752">
        <v>0</v>
      </c>
      <c r="G752">
        <v>-524054</v>
      </c>
      <c r="H752">
        <v>-642946</v>
      </c>
      <c r="I752">
        <v>44.9</v>
      </c>
      <c r="J752">
        <v>-144361.65999999992</v>
      </c>
      <c r="K752" s="249">
        <v>220144.34000000008</v>
      </c>
      <c r="L752" s="249">
        <v>233903.36125000007</v>
      </c>
      <c r="M752" s="249">
        <v>250276.59653750007</v>
      </c>
      <c r="N752" s="249">
        <v>267795.95829512505</v>
      </c>
      <c r="O752" t="str">
        <f t="shared" si="23"/>
        <v>2</v>
      </c>
      <c r="P752" t="str">
        <f t="shared" si="24"/>
        <v>Employee Related Cost</v>
      </c>
    </row>
    <row r="753" spans="1:16" hidden="1" x14ac:dyDescent="0.25">
      <c r="A753" t="s">
        <v>1079</v>
      </c>
      <c r="C753" t="s">
        <v>152</v>
      </c>
      <c r="D753" s="67">
        <v>136800</v>
      </c>
      <c r="E753">
        <v>-290187</v>
      </c>
      <c r="F753">
        <v>0</v>
      </c>
      <c r="G753">
        <v>-524054</v>
      </c>
      <c r="H753">
        <v>-642946</v>
      </c>
      <c r="I753">
        <v>44.9</v>
      </c>
      <c r="J753">
        <v>0</v>
      </c>
      <c r="K753" s="249">
        <v>136800</v>
      </c>
      <c r="L753" s="249">
        <v>145350</v>
      </c>
      <c r="M753" s="249">
        <v>155524.5</v>
      </c>
      <c r="N753" s="249">
        <v>166411.215</v>
      </c>
      <c r="O753" t="str">
        <f t="shared" si="23"/>
        <v>2</v>
      </c>
      <c r="P753" t="str">
        <f t="shared" si="24"/>
        <v>Employee Related Cost</v>
      </c>
    </row>
    <row r="754" spans="1:16" hidden="1" x14ac:dyDescent="0.25">
      <c r="A754" t="s">
        <v>1080</v>
      </c>
      <c r="C754" t="s">
        <v>153</v>
      </c>
      <c r="D754" s="67">
        <v>0</v>
      </c>
      <c r="E754">
        <v>-290187</v>
      </c>
      <c r="F754">
        <v>0</v>
      </c>
      <c r="G754">
        <v>-524054</v>
      </c>
      <c r="H754">
        <v>-642946</v>
      </c>
      <c r="I754">
        <v>44.9</v>
      </c>
      <c r="J754">
        <v>65358.84</v>
      </c>
      <c r="K754" s="249">
        <v>65358.84</v>
      </c>
      <c r="L754" s="249">
        <v>69443.767500000002</v>
      </c>
      <c r="M754" s="249">
        <v>74304.831225000002</v>
      </c>
      <c r="N754" s="249">
        <v>79506.169410750008</v>
      </c>
      <c r="O754" t="str">
        <f t="shared" si="23"/>
        <v>2</v>
      </c>
      <c r="P754" t="str">
        <f t="shared" si="24"/>
        <v>Employee Related Cost</v>
      </c>
    </row>
    <row r="755" spans="1:16" hidden="1" x14ac:dyDescent="0.25">
      <c r="A755" t="s">
        <v>1081</v>
      </c>
      <c r="C755" t="s">
        <v>155</v>
      </c>
      <c r="D755" s="67">
        <v>258849</v>
      </c>
      <c r="E755">
        <v>-290187</v>
      </c>
      <c r="F755">
        <v>0</v>
      </c>
      <c r="G755">
        <v>-524054</v>
      </c>
      <c r="H755">
        <v>-642946</v>
      </c>
      <c r="I755">
        <v>44.9</v>
      </c>
      <c r="J755">
        <v>0</v>
      </c>
      <c r="K755" s="249">
        <v>258849</v>
      </c>
      <c r="L755" s="249">
        <v>275027.0625</v>
      </c>
      <c r="M755" s="249">
        <v>294278.95687499997</v>
      </c>
      <c r="N755" s="249">
        <v>314878.48385624995</v>
      </c>
      <c r="O755" t="str">
        <f t="shared" si="23"/>
        <v>2</v>
      </c>
      <c r="P755" t="str">
        <f t="shared" si="24"/>
        <v>Employee Related Cost</v>
      </c>
    </row>
    <row r="756" spans="1:16" hidden="1" x14ac:dyDescent="0.25">
      <c r="A756" t="s">
        <v>1082</v>
      </c>
      <c r="C756" t="s">
        <v>156</v>
      </c>
      <c r="D756" s="67">
        <v>241565</v>
      </c>
      <c r="E756">
        <v>-290187</v>
      </c>
      <c r="F756">
        <v>0</v>
      </c>
      <c r="G756">
        <v>-524054</v>
      </c>
      <c r="H756">
        <v>-642946</v>
      </c>
      <c r="I756">
        <v>44.9</v>
      </c>
      <c r="J756">
        <v>457044.24</v>
      </c>
      <c r="K756" s="249">
        <v>698609.24</v>
      </c>
      <c r="L756" s="249">
        <v>742272.3175</v>
      </c>
      <c r="M756" s="249">
        <v>794231.37972500001</v>
      </c>
      <c r="N756" s="249">
        <v>849827.57630575006</v>
      </c>
      <c r="O756" t="str">
        <f t="shared" si="23"/>
        <v>2</v>
      </c>
      <c r="P756" t="str">
        <f t="shared" si="24"/>
        <v>Employee Related Cost</v>
      </c>
    </row>
    <row r="757" spans="1:16" hidden="1" x14ac:dyDescent="0.25">
      <c r="A757" t="s">
        <v>1083</v>
      </c>
      <c r="C757" t="s">
        <v>157</v>
      </c>
      <c r="D757" s="67">
        <v>258730</v>
      </c>
      <c r="E757">
        <v>-290187</v>
      </c>
      <c r="F757">
        <v>0</v>
      </c>
      <c r="G757">
        <v>-524054</v>
      </c>
      <c r="H757">
        <v>-642946</v>
      </c>
      <c r="I757">
        <v>44.9</v>
      </c>
      <c r="J757">
        <v>-258730</v>
      </c>
      <c r="K757" s="249">
        <v>0</v>
      </c>
      <c r="L757" s="249">
        <v>0</v>
      </c>
      <c r="M757" s="249">
        <v>0</v>
      </c>
      <c r="N757" s="249">
        <v>0</v>
      </c>
      <c r="O757" t="str">
        <f t="shared" si="23"/>
        <v>2</v>
      </c>
      <c r="P757" t="str">
        <f t="shared" si="24"/>
        <v>Employee Related Cost</v>
      </c>
    </row>
    <row r="758" spans="1:16" hidden="1" x14ac:dyDescent="0.25">
      <c r="A758" t="s">
        <v>1084</v>
      </c>
      <c r="C758" t="s">
        <v>158</v>
      </c>
      <c r="D758" s="67">
        <v>0</v>
      </c>
      <c r="E758">
        <v>-290187</v>
      </c>
      <c r="F758">
        <v>0</v>
      </c>
      <c r="G758">
        <v>-524054</v>
      </c>
      <c r="H758">
        <v>-642946</v>
      </c>
      <c r="I758">
        <v>44.9</v>
      </c>
      <c r="J758">
        <v>110000</v>
      </c>
      <c r="K758" s="249">
        <v>110000</v>
      </c>
      <c r="L758" s="249">
        <v>116875</v>
      </c>
      <c r="M758" s="249">
        <v>125056.25</v>
      </c>
      <c r="N758" s="249">
        <v>133810.1875</v>
      </c>
      <c r="O758" t="str">
        <f t="shared" si="23"/>
        <v>2</v>
      </c>
      <c r="P758" t="str">
        <f t="shared" si="24"/>
        <v>Employee Related Cost</v>
      </c>
    </row>
    <row r="759" spans="1:16" hidden="1" x14ac:dyDescent="0.25">
      <c r="A759" t="s">
        <v>1085</v>
      </c>
      <c r="C759" t="s">
        <v>159</v>
      </c>
      <c r="D759" s="67">
        <v>650036</v>
      </c>
      <c r="E759">
        <v>-290187</v>
      </c>
      <c r="F759">
        <v>0</v>
      </c>
      <c r="G759">
        <v>-524054</v>
      </c>
      <c r="H759">
        <v>-642946</v>
      </c>
      <c r="I759">
        <v>44.9</v>
      </c>
      <c r="J759">
        <v>0</v>
      </c>
      <c r="K759" s="249">
        <v>650036</v>
      </c>
      <c r="L759" s="249">
        <v>690663.25</v>
      </c>
      <c r="M759" s="249">
        <v>739009.67749999999</v>
      </c>
      <c r="N759" s="249">
        <v>790740.35492499999</v>
      </c>
      <c r="O759" t="str">
        <f t="shared" si="23"/>
        <v>2</v>
      </c>
      <c r="P759" t="str">
        <f t="shared" si="24"/>
        <v>Employee Related Cost</v>
      </c>
    </row>
    <row r="760" spans="1:16" hidden="1" x14ac:dyDescent="0.25">
      <c r="A760" t="s">
        <v>1086</v>
      </c>
      <c r="C760" t="s">
        <v>160</v>
      </c>
      <c r="D760" s="67">
        <v>115560</v>
      </c>
      <c r="E760">
        <v>-290187</v>
      </c>
      <c r="F760">
        <v>0</v>
      </c>
      <c r="G760">
        <v>-524054</v>
      </c>
      <c r="H760">
        <v>-642946</v>
      </c>
      <c r="I760">
        <v>44.9</v>
      </c>
      <c r="J760">
        <v>0</v>
      </c>
      <c r="K760" s="249">
        <v>115560</v>
      </c>
      <c r="L760" s="249">
        <v>122782.5</v>
      </c>
      <c r="M760" s="249">
        <v>131377.27499999999</v>
      </c>
      <c r="N760" s="249">
        <v>140573.68424999999</v>
      </c>
      <c r="O760" t="str">
        <f t="shared" si="23"/>
        <v>2</v>
      </c>
      <c r="P760" t="str">
        <f t="shared" si="24"/>
        <v>Employee Related Cost</v>
      </c>
    </row>
    <row r="761" spans="1:16" hidden="1" x14ac:dyDescent="0.25">
      <c r="A761" t="s">
        <v>1087</v>
      </c>
      <c r="C761" t="s">
        <v>164</v>
      </c>
      <c r="D761" s="67">
        <v>0</v>
      </c>
      <c r="E761">
        <v>-290187</v>
      </c>
      <c r="F761">
        <v>0</v>
      </c>
      <c r="G761">
        <v>-524054</v>
      </c>
      <c r="H761">
        <v>-642946</v>
      </c>
      <c r="I761">
        <v>44.9</v>
      </c>
      <c r="J761">
        <v>15692.4</v>
      </c>
      <c r="K761" s="249">
        <v>15692.4</v>
      </c>
      <c r="L761" s="249">
        <v>16673.174999999999</v>
      </c>
      <c r="M761" s="249">
        <v>17840.29725</v>
      </c>
      <c r="N761" s="249">
        <v>19089.1180575</v>
      </c>
      <c r="O761" t="str">
        <f t="shared" si="23"/>
        <v>2</v>
      </c>
      <c r="P761" t="str">
        <f t="shared" si="24"/>
        <v>Employee Related Cost</v>
      </c>
    </row>
    <row r="762" spans="1:16" hidden="1" x14ac:dyDescent="0.25">
      <c r="A762" t="s">
        <v>1088</v>
      </c>
      <c r="C762" t="s">
        <v>167</v>
      </c>
      <c r="D762" s="67">
        <v>2921</v>
      </c>
      <c r="E762">
        <v>-290187</v>
      </c>
      <c r="F762">
        <v>0</v>
      </c>
      <c r="G762">
        <v>-524054</v>
      </c>
      <c r="H762">
        <v>-642946</v>
      </c>
      <c r="I762">
        <v>44.9</v>
      </c>
      <c r="J762">
        <v>0</v>
      </c>
      <c r="K762" s="249">
        <v>2921</v>
      </c>
      <c r="L762" s="249">
        <v>3103.5625</v>
      </c>
      <c r="M762" s="249">
        <v>3320.8118749999999</v>
      </c>
      <c r="N762" s="249">
        <v>3553.2687062499999</v>
      </c>
      <c r="O762" t="str">
        <f t="shared" si="23"/>
        <v>2</v>
      </c>
      <c r="P762" t="str">
        <f t="shared" si="24"/>
        <v>Employee Related Cost</v>
      </c>
    </row>
    <row r="763" spans="1:16" hidden="1" x14ac:dyDescent="0.25">
      <c r="A763" t="s">
        <v>1089</v>
      </c>
      <c r="C763" t="s">
        <v>168</v>
      </c>
      <c r="D763" s="67">
        <v>1401613</v>
      </c>
      <c r="E763">
        <v>-290187</v>
      </c>
      <c r="F763">
        <v>0</v>
      </c>
      <c r="G763">
        <v>-524054</v>
      </c>
      <c r="H763">
        <v>-642946</v>
      </c>
      <c r="I763">
        <v>44.9</v>
      </c>
      <c r="J763">
        <v>-500000</v>
      </c>
      <c r="K763" s="249">
        <v>901613</v>
      </c>
      <c r="L763" s="249">
        <v>957963.8125</v>
      </c>
      <c r="M763" s="249">
        <v>1025021.279375</v>
      </c>
      <c r="N763" s="249">
        <v>1096772.7689312501</v>
      </c>
      <c r="O763" t="str">
        <f t="shared" si="23"/>
        <v>2</v>
      </c>
      <c r="P763" t="str">
        <f t="shared" si="24"/>
        <v>Employee Related Cost</v>
      </c>
    </row>
    <row r="764" spans="1:16" hidden="1" x14ac:dyDescent="0.25">
      <c r="A764" t="s">
        <v>1090</v>
      </c>
      <c r="C764" t="s">
        <v>169</v>
      </c>
      <c r="D764" s="67">
        <v>1716096</v>
      </c>
      <c r="E764">
        <v>-290187</v>
      </c>
      <c r="F764">
        <v>0</v>
      </c>
      <c r="G764">
        <v>-524054</v>
      </c>
      <c r="H764">
        <v>-642946</v>
      </c>
      <c r="I764">
        <v>44.9</v>
      </c>
      <c r="J764">
        <v>0</v>
      </c>
      <c r="K764" s="249">
        <v>1716096</v>
      </c>
      <c r="L764" s="249">
        <v>1823352</v>
      </c>
      <c r="M764" s="249">
        <v>1950986.64</v>
      </c>
      <c r="N764" s="249">
        <v>2087555.7047999999</v>
      </c>
      <c r="O764" t="str">
        <f t="shared" si="23"/>
        <v>2</v>
      </c>
      <c r="P764" t="str">
        <f t="shared" si="24"/>
        <v>Employee Related Cost</v>
      </c>
    </row>
    <row r="765" spans="1:16" hidden="1" x14ac:dyDescent="0.25">
      <c r="A765" t="s">
        <v>1091</v>
      </c>
      <c r="C765" t="s">
        <v>170</v>
      </c>
      <c r="D765" s="67">
        <v>46410</v>
      </c>
      <c r="E765">
        <v>-290187</v>
      </c>
      <c r="F765">
        <v>0</v>
      </c>
      <c r="G765">
        <v>-524054</v>
      </c>
      <c r="H765">
        <v>-642946</v>
      </c>
      <c r="I765">
        <v>44.9</v>
      </c>
      <c r="J765">
        <v>0</v>
      </c>
      <c r="K765" s="249">
        <v>46410</v>
      </c>
      <c r="L765" s="249">
        <v>49310.625</v>
      </c>
      <c r="M765" s="249">
        <v>52762.368750000001</v>
      </c>
      <c r="N765" s="249">
        <v>56455.734562500002</v>
      </c>
      <c r="O765" t="str">
        <f t="shared" si="23"/>
        <v>2</v>
      </c>
      <c r="P765" t="str">
        <f t="shared" si="24"/>
        <v>Employee Related Cost</v>
      </c>
    </row>
    <row r="766" spans="1:16" hidden="1" x14ac:dyDescent="0.25">
      <c r="A766" t="s">
        <v>1092</v>
      </c>
      <c r="C766" t="s">
        <v>173</v>
      </c>
      <c r="D766" s="67">
        <v>111281</v>
      </c>
      <c r="E766">
        <v>-290187</v>
      </c>
      <c r="F766">
        <v>0</v>
      </c>
      <c r="G766">
        <v>-524054</v>
      </c>
      <c r="H766">
        <v>-642946</v>
      </c>
      <c r="I766">
        <v>44.9</v>
      </c>
      <c r="J766">
        <v>0</v>
      </c>
      <c r="K766" s="249">
        <v>111281</v>
      </c>
      <c r="L766" s="249">
        <v>118236.0625</v>
      </c>
      <c r="M766" s="249">
        <v>126512.58687500001</v>
      </c>
      <c r="N766" s="249">
        <v>135368.46795625001</v>
      </c>
      <c r="O766" t="str">
        <f t="shared" si="23"/>
        <v>2</v>
      </c>
      <c r="P766" t="str">
        <f t="shared" si="24"/>
        <v>Employee Related Cost</v>
      </c>
    </row>
    <row r="767" spans="1:16" hidden="1" x14ac:dyDescent="0.25">
      <c r="A767" t="s">
        <v>1093</v>
      </c>
      <c r="C767" t="s">
        <v>174</v>
      </c>
      <c r="D767" s="67">
        <v>84517</v>
      </c>
      <c r="E767">
        <v>-290187</v>
      </c>
      <c r="F767">
        <v>0</v>
      </c>
      <c r="G767">
        <v>-524054</v>
      </c>
      <c r="H767">
        <v>-642946</v>
      </c>
      <c r="I767">
        <v>44.9</v>
      </c>
      <c r="J767">
        <v>0</v>
      </c>
      <c r="K767" s="249">
        <v>84517</v>
      </c>
      <c r="L767" s="249">
        <v>89799.3125</v>
      </c>
      <c r="M767" s="249">
        <v>96085.264374999999</v>
      </c>
      <c r="N767" s="249">
        <v>102811.23288125001</v>
      </c>
      <c r="O767" t="str">
        <f t="shared" si="23"/>
        <v>2</v>
      </c>
      <c r="P767" t="str">
        <f t="shared" si="24"/>
        <v>Employee Related Cost</v>
      </c>
    </row>
    <row r="768" spans="1:16" hidden="1" x14ac:dyDescent="0.25">
      <c r="A768" t="s">
        <v>1094</v>
      </c>
      <c r="C768" t="s">
        <v>175</v>
      </c>
      <c r="D768" s="67">
        <v>120219</v>
      </c>
      <c r="E768">
        <v>-290187</v>
      </c>
      <c r="F768">
        <v>0</v>
      </c>
      <c r="G768">
        <v>-524054</v>
      </c>
      <c r="H768">
        <v>-642946</v>
      </c>
      <c r="I768">
        <v>44.9</v>
      </c>
      <c r="J768">
        <v>0</v>
      </c>
      <c r="K768" s="249">
        <v>120219</v>
      </c>
      <c r="L768" s="249">
        <v>127732.6875</v>
      </c>
      <c r="M768" s="249">
        <v>136673.97562499999</v>
      </c>
      <c r="N768" s="249">
        <v>146241.15391875</v>
      </c>
      <c r="O768" t="str">
        <f t="shared" si="23"/>
        <v>2</v>
      </c>
      <c r="P768" t="str">
        <f t="shared" si="24"/>
        <v>Employee Related Cost</v>
      </c>
    </row>
    <row r="769" spans="1:16" hidden="1" x14ac:dyDescent="0.25">
      <c r="A769" t="s">
        <v>1095</v>
      </c>
      <c r="C769" t="s">
        <v>235</v>
      </c>
      <c r="D769" s="67">
        <v>39987</v>
      </c>
      <c r="E769">
        <v>-290187</v>
      </c>
      <c r="F769">
        <v>0</v>
      </c>
      <c r="G769">
        <v>-524054</v>
      </c>
      <c r="H769">
        <v>-642946</v>
      </c>
      <c r="I769">
        <v>44.9</v>
      </c>
      <c r="J769">
        <v>0</v>
      </c>
      <c r="K769" s="249">
        <v>39987</v>
      </c>
      <c r="L769" s="249">
        <v>41786.415000000001</v>
      </c>
      <c r="M769" s="249">
        <v>43708.590089999998</v>
      </c>
      <c r="N769" s="249">
        <v>45719.185234140001</v>
      </c>
      <c r="O769" t="str">
        <f t="shared" si="23"/>
        <v>2</v>
      </c>
      <c r="P769" t="str">
        <f t="shared" si="24"/>
        <v>Contracted Services</v>
      </c>
    </row>
    <row r="770" spans="1:16" hidden="1" x14ac:dyDescent="0.25">
      <c r="A770" t="s">
        <v>1096</v>
      </c>
      <c r="C770" t="s">
        <v>265</v>
      </c>
      <c r="D770" s="67">
        <v>0</v>
      </c>
      <c r="E770">
        <v>-290187</v>
      </c>
      <c r="F770">
        <v>0</v>
      </c>
      <c r="G770">
        <v>-524054</v>
      </c>
      <c r="H770">
        <v>-642946</v>
      </c>
      <c r="I770">
        <v>44.9</v>
      </c>
      <c r="J770">
        <v>174021.27</v>
      </c>
      <c r="K770" s="249">
        <v>174021.27</v>
      </c>
      <c r="L770" s="249">
        <v>181852.22714999999</v>
      </c>
      <c r="M770" s="249">
        <v>190217.42959889999</v>
      </c>
      <c r="N770" s="249">
        <v>198967.43136044941</v>
      </c>
      <c r="O770" t="str">
        <f t="shared" si="23"/>
        <v>2</v>
      </c>
      <c r="P770" t="str">
        <f t="shared" si="24"/>
        <v>Operational Cost</v>
      </c>
    </row>
    <row r="771" spans="1:16" hidden="1" x14ac:dyDescent="0.25">
      <c r="A771" t="s">
        <v>1097</v>
      </c>
      <c r="C771" t="s">
        <v>268</v>
      </c>
      <c r="D771" s="67">
        <v>0</v>
      </c>
      <c r="E771">
        <v>-290187</v>
      </c>
      <c r="F771">
        <v>0</v>
      </c>
      <c r="G771">
        <v>-524054</v>
      </c>
      <c r="H771">
        <v>-642946</v>
      </c>
      <c r="I771">
        <v>44.9</v>
      </c>
      <c r="J771">
        <v>219649.7</v>
      </c>
      <c r="K771" s="249">
        <v>219649.7</v>
      </c>
      <c r="L771" s="249">
        <v>229533.93650000001</v>
      </c>
      <c r="M771" s="249">
        <v>240092.49757900002</v>
      </c>
      <c r="N771" s="249">
        <v>251136.75246763401</v>
      </c>
      <c r="O771" t="str">
        <f t="shared" ref="O771:O834" si="25">MID(A771,5,1)</f>
        <v>2</v>
      </c>
      <c r="P771" t="str">
        <f t="shared" si="24"/>
        <v>Operational Cost</v>
      </c>
    </row>
    <row r="772" spans="1:16" hidden="1" x14ac:dyDescent="0.25">
      <c r="A772" t="s">
        <v>1098</v>
      </c>
      <c r="C772" t="s">
        <v>291</v>
      </c>
      <c r="D772" s="67">
        <v>3371</v>
      </c>
      <c r="E772">
        <v>-290187</v>
      </c>
      <c r="F772">
        <v>0</v>
      </c>
      <c r="G772">
        <v>-524054</v>
      </c>
      <c r="H772">
        <v>-642946</v>
      </c>
      <c r="I772">
        <v>44.9</v>
      </c>
      <c r="J772">
        <v>0</v>
      </c>
      <c r="K772" s="249">
        <v>3371</v>
      </c>
      <c r="L772" s="249">
        <v>3522.6950000000002</v>
      </c>
      <c r="M772" s="249">
        <v>3684.7389700000003</v>
      </c>
      <c r="N772" s="249">
        <v>3854.2369626200002</v>
      </c>
      <c r="O772" t="str">
        <f t="shared" si="25"/>
        <v>2</v>
      </c>
      <c r="P772" t="str">
        <f t="shared" si="24"/>
        <v>Depreciation &amp; Amortisation</v>
      </c>
    </row>
    <row r="773" spans="1:16" hidden="1" x14ac:dyDescent="0.25">
      <c r="A773" t="s">
        <v>1099</v>
      </c>
      <c r="C773" t="s">
        <v>292</v>
      </c>
      <c r="D773" s="67">
        <v>3371</v>
      </c>
      <c r="E773">
        <v>-290187</v>
      </c>
      <c r="F773">
        <v>0</v>
      </c>
      <c r="G773">
        <v>-524054</v>
      </c>
      <c r="H773">
        <v>-642946</v>
      </c>
      <c r="I773">
        <v>44.9</v>
      </c>
      <c r="J773">
        <v>0</v>
      </c>
      <c r="K773" s="249">
        <v>3371</v>
      </c>
      <c r="L773" s="249">
        <v>3522.6950000000002</v>
      </c>
      <c r="M773" s="249">
        <v>3684.7389700000003</v>
      </c>
      <c r="N773" s="249">
        <v>3854.2369626200002</v>
      </c>
      <c r="O773" t="str">
        <f t="shared" si="25"/>
        <v>2</v>
      </c>
      <c r="P773" t="str">
        <f t="shared" si="24"/>
        <v>Depreciation &amp; Amortisation</v>
      </c>
    </row>
    <row r="774" spans="1:16" hidden="1" x14ac:dyDescent="0.25">
      <c r="A774" t="s">
        <v>1100</v>
      </c>
      <c r="C774" t="s">
        <v>293</v>
      </c>
      <c r="D774" s="67">
        <v>62309</v>
      </c>
      <c r="E774">
        <v>-290187</v>
      </c>
      <c r="F774">
        <v>0</v>
      </c>
      <c r="G774">
        <v>-524054</v>
      </c>
      <c r="H774">
        <v>-642946</v>
      </c>
      <c r="I774">
        <v>44.9</v>
      </c>
      <c r="J774">
        <v>0</v>
      </c>
      <c r="K774" s="249">
        <v>62309</v>
      </c>
      <c r="L774" s="249">
        <v>65112.904999999999</v>
      </c>
      <c r="M774" s="249">
        <v>68108.098629999993</v>
      </c>
      <c r="N774" s="249">
        <v>71241.071166979993</v>
      </c>
      <c r="O774" t="str">
        <f t="shared" si="25"/>
        <v>2</v>
      </c>
      <c r="P774" t="str">
        <f t="shared" si="24"/>
        <v>Depreciation &amp; Amortisation</v>
      </c>
    </row>
    <row r="775" spans="1:16" hidden="1" x14ac:dyDescent="0.25">
      <c r="A775" t="s">
        <v>1101</v>
      </c>
      <c r="C775" t="s">
        <v>296</v>
      </c>
      <c r="D775" s="67">
        <v>10426</v>
      </c>
      <c r="E775">
        <v>-290187</v>
      </c>
      <c r="F775">
        <v>0</v>
      </c>
      <c r="G775">
        <v>-524054</v>
      </c>
      <c r="H775">
        <v>-642946</v>
      </c>
      <c r="I775">
        <v>44.9</v>
      </c>
      <c r="J775">
        <v>0</v>
      </c>
      <c r="K775" s="249">
        <v>10426</v>
      </c>
      <c r="L775" s="249">
        <v>10895.17</v>
      </c>
      <c r="M775" s="249">
        <v>11396.347820000001</v>
      </c>
      <c r="N775" s="249">
        <v>11920.57981972</v>
      </c>
      <c r="O775" t="str">
        <f t="shared" si="25"/>
        <v>2</v>
      </c>
      <c r="P775" t="str">
        <f t="shared" si="24"/>
        <v>Depreciation &amp; Amortisation</v>
      </c>
    </row>
    <row r="776" spans="1:16" hidden="1" x14ac:dyDescent="0.25">
      <c r="A776" t="s">
        <v>1102</v>
      </c>
      <c r="C776" t="s">
        <v>300</v>
      </c>
      <c r="D776" s="67">
        <v>0</v>
      </c>
      <c r="E776">
        <v>-290187</v>
      </c>
      <c r="F776">
        <v>0</v>
      </c>
      <c r="G776">
        <v>-524054</v>
      </c>
      <c r="H776">
        <v>-642946</v>
      </c>
      <c r="I776">
        <v>44.9</v>
      </c>
      <c r="J776">
        <v>0</v>
      </c>
      <c r="K776" s="249">
        <v>0</v>
      </c>
      <c r="L776" s="249">
        <v>0</v>
      </c>
      <c r="M776" s="249">
        <v>0</v>
      </c>
      <c r="N776" s="249">
        <v>0</v>
      </c>
      <c r="O776" t="str">
        <f t="shared" si="25"/>
        <v>2</v>
      </c>
      <c r="P776" t="str">
        <f t="shared" si="24"/>
        <v>Depreciation &amp; Amortisation</v>
      </c>
    </row>
    <row r="777" spans="1:16" hidden="1" x14ac:dyDescent="0.25">
      <c r="A777" t="s">
        <v>1103</v>
      </c>
      <c r="C777" t="s">
        <v>301</v>
      </c>
      <c r="D777" s="67">
        <v>11236</v>
      </c>
      <c r="E777">
        <v>-290187</v>
      </c>
      <c r="F777">
        <v>0</v>
      </c>
      <c r="G777">
        <v>-524054</v>
      </c>
      <c r="H777">
        <v>-642946</v>
      </c>
      <c r="I777">
        <v>44.9</v>
      </c>
      <c r="J777">
        <v>0</v>
      </c>
      <c r="K777" s="249">
        <v>11236</v>
      </c>
      <c r="L777" s="249">
        <v>11741.62</v>
      </c>
      <c r="M777" s="249">
        <v>12281.73452</v>
      </c>
      <c r="N777" s="249">
        <v>12846.694307919999</v>
      </c>
      <c r="O777" t="str">
        <f t="shared" si="25"/>
        <v>2</v>
      </c>
      <c r="P777" t="str">
        <f t="shared" ref="P777:P840" si="26">VLOOKUP(A777,bud_321,16,FALSE)</f>
        <v>Depreciation &amp; Amortisation</v>
      </c>
    </row>
    <row r="778" spans="1:16" hidden="1" x14ac:dyDescent="0.25">
      <c r="A778" t="s">
        <v>1104</v>
      </c>
      <c r="C778" t="s">
        <v>1105</v>
      </c>
      <c r="D778" s="67">
        <v>100000</v>
      </c>
      <c r="E778">
        <v>-290187</v>
      </c>
      <c r="F778">
        <v>0</v>
      </c>
      <c r="G778">
        <v>-524054</v>
      </c>
      <c r="H778">
        <v>-642946</v>
      </c>
      <c r="I778">
        <v>44.9</v>
      </c>
      <c r="J778">
        <v>-100000</v>
      </c>
      <c r="K778" s="249">
        <v>0</v>
      </c>
      <c r="L778" s="249">
        <v>300000</v>
      </c>
      <c r="M778" s="249">
        <v>0</v>
      </c>
      <c r="O778" t="str">
        <f t="shared" si="25"/>
        <v>6</v>
      </c>
      <c r="P778">
        <f t="shared" si="26"/>
        <v>0</v>
      </c>
    </row>
    <row r="779" spans="1:16" hidden="1" x14ac:dyDescent="0.25">
      <c r="A779" t="s">
        <v>1107</v>
      </c>
      <c r="C779" t="s">
        <v>83</v>
      </c>
      <c r="D779" s="67">
        <v>-12565</v>
      </c>
      <c r="E779">
        <v>-290187</v>
      </c>
      <c r="F779">
        <v>0</v>
      </c>
      <c r="G779">
        <v>-524054</v>
      </c>
      <c r="H779">
        <v>-642946</v>
      </c>
      <c r="I779">
        <v>44.9</v>
      </c>
      <c r="J779">
        <v>0</v>
      </c>
      <c r="K779" s="249">
        <v>-12565</v>
      </c>
      <c r="L779" s="249">
        <v>-13130.424999999999</v>
      </c>
      <c r="M779" s="249">
        <v>-13734.42455</v>
      </c>
      <c r="N779" s="249">
        <v>-14366.2080793</v>
      </c>
      <c r="O779" t="str">
        <f t="shared" si="25"/>
        <v>1</v>
      </c>
      <c r="P779">
        <f t="shared" si="26"/>
        <v>0</v>
      </c>
    </row>
    <row r="780" spans="1:16" hidden="1" x14ac:dyDescent="0.25">
      <c r="A780" t="s">
        <v>1108</v>
      </c>
      <c r="C780" t="s">
        <v>150</v>
      </c>
      <c r="D780" s="67">
        <v>666935</v>
      </c>
      <c r="E780">
        <v>-290187</v>
      </c>
      <c r="F780">
        <v>0</v>
      </c>
      <c r="G780">
        <v>-524054</v>
      </c>
      <c r="H780">
        <v>-642946</v>
      </c>
      <c r="I780">
        <v>44.9</v>
      </c>
      <c r="J780">
        <v>0</v>
      </c>
      <c r="K780" s="249">
        <v>666935</v>
      </c>
      <c r="L780" s="249">
        <v>708618.4375</v>
      </c>
      <c r="M780" s="249">
        <v>758221.72812500002</v>
      </c>
      <c r="N780" s="249">
        <v>811297.24909375003</v>
      </c>
      <c r="O780" t="str">
        <f t="shared" si="25"/>
        <v>2</v>
      </c>
      <c r="P780" t="str">
        <f t="shared" si="26"/>
        <v>Employee Related Cost</v>
      </c>
    </row>
    <row r="781" spans="1:16" hidden="1" x14ac:dyDescent="0.25">
      <c r="A781" t="s">
        <v>1109</v>
      </c>
      <c r="C781" t="s">
        <v>151</v>
      </c>
      <c r="D781" s="67">
        <v>30877</v>
      </c>
      <c r="E781">
        <v>-290187</v>
      </c>
      <c r="F781">
        <v>0</v>
      </c>
      <c r="G781">
        <v>-524054</v>
      </c>
      <c r="H781">
        <v>-642946</v>
      </c>
      <c r="I781">
        <v>44.9</v>
      </c>
      <c r="J781">
        <v>-13942.82</v>
      </c>
      <c r="K781" s="249">
        <v>16934.18</v>
      </c>
      <c r="L781" s="249">
        <v>17992.56625</v>
      </c>
      <c r="M781" s="249">
        <v>19252.0458875</v>
      </c>
      <c r="N781" s="249">
        <v>20599.689099625</v>
      </c>
      <c r="O781" t="str">
        <f t="shared" si="25"/>
        <v>2</v>
      </c>
      <c r="P781" t="str">
        <f t="shared" si="26"/>
        <v>Employee Related Cost</v>
      </c>
    </row>
    <row r="782" spans="1:16" hidden="1" x14ac:dyDescent="0.25">
      <c r="A782" t="s">
        <v>1110</v>
      </c>
      <c r="C782" t="s">
        <v>155</v>
      </c>
      <c r="D782" s="67">
        <v>21927</v>
      </c>
      <c r="E782">
        <v>-290187</v>
      </c>
      <c r="F782">
        <v>0</v>
      </c>
      <c r="G782">
        <v>-524054</v>
      </c>
      <c r="H782">
        <v>-642946</v>
      </c>
      <c r="I782">
        <v>44.9</v>
      </c>
      <c r="J782">
        <v>0</v>
      </c>
      <c r="K782" s="249">
        <v>21927</v>
      </c>
      <c r="L782" s="249">
        <v>23297.4375</v>
      </c>
      <c r="M782" s="249">
        <v>24928.258125</v>
      </c>
      <c r="N782" s="249">
        <v>26673.236193749999</v>
      </c>
      <c r="O782" t="str">
        <f t="shared" si="25"/>
        <v>2</v>
      </c>
      <c r="P782" t="str">
        <f t="shared" si="26"/>
        <v>Employee Related Cost</v>
      </c>
    </row>
    <row r="783" spans="1:16" hidden="1" x14ac:dyDescent="0.25">
      <c r="A783" t="s">
        <v>1111</v>
      </c>
      <c r="C783" t="s">
        <v>157</v>
      </c>
      <c r="D783" s="67">
        <v>58869</v>
      </c>
      <c r="E783">
        <v>-290187</v>
      </c>
      <c r="F783">
        <v>0</v>
      </c>
      <c r="G783">
        <v>-524054</v>
      </c>
      <c r="H783">
        <v>-642946</v>
      </c>
      <c r="I783">
        <v>44.9</v>
      </c>
      <c r="J783">
        <v>0</v>
      </c>
      <c r="K783" s="249">
        <v>58869</v>
      </c>
      <c r="L783" s="249">
        <v>62548.3125</v>
      </c>
      <c r="M783" s="249">
        <v>66926.694375000006</v>
      </c>
      <c r="N783" s="249">
        <v>71611.562981250012</v>
      </c>
      <c r="O783" t="str">
        <f t="shared" si="25"/>
        <v>2</v>
      </c>
      <c r="P783" t="str">
        <f t="shared" si="26"/>
        <v>Employee Related Cost</v>
      </c>
    </row>
    <row r="784" spans="1:16" hidden="1" x14ac:dyDescent="0.25">
      <c r="A784" t="s">
        <v>1112</v>
      </c>
      <c r="C784" t="s">
        <v>159</v>
      </c>
      <c r="D784" s="67">
        <v>55578</v>
      </c>
      <c r="E784">
        <v>-290187</v>
      </c>
      <c r="F784">
        <v>0</v>
      </c>
      <c r="G784">
        <v>-524054</v>
      </c>
      <c r="H784">
        <v>-642946</v>
      </c>
      <c r="I784">
        <v>44.9</v>
      </c>
      <c r="J784">
        <v>0</v>
      </c>
      <c r="K784" s="249">
        <v>55578</v>
      </c>
      <c r="L784" s="249">
        <v>59051.625</v>
      </c>
      <c r="M784" s="249">
        <v>63185.238750000004</v>
      </c>
      <c r="N784" s="249">
        <v>67608.205462500002</v>
      </c>
      <c r="O784" t="str">
        <f t="shared" si="25"/>
        <v>2</v>
      </c>
      <c r="P784" t="str">
        <f t="shared" si="26"/>
        <v>Employee Related Cost</v>
      </c>
    </row>
    <row r="785" spans="1:16" hidden="1" x14ac:dyDescent="0.25">
      <c r="A785" t="s">
        <v>1113</v>
      </c>
      <c r="C785" t="s">
        <v>161</v>
      </c>
      <c r="D785" s="67">
        <v>19114</v>
      </c>
      <c r="E785">
        <v>-290187</v>
      </c>
      <c r="F785">
        <v>0</v>
      </c>
      <c r="G785">
        <v>-524054</v>
      </c>
      <c r="H785">
        <v>-642946</v>
      </c>
      <c r="I785">
        <v>44.9</v>
      </c>
      <c r="J785">
        <v>0</v>
      </c>
      <c r="K785" s="249">
        <v>19114</v>
      </c>
      <c r="L785" s="249">
        <v>20308.625</v>
      </c>
      <c r="M785" s="249">
        <v>21730.228749999998</v>
      </c>
      <c r="N785" s="249">
        <v>23251.344762499997</v>
      </c>
      <c r="O785" t="str">
        <f t="shared" si="25"/>
        <v>2</v>
      </c>
      <c r="P785" t="str">
        <f t="shared" si="26"/>
        <v>Employee Related Cost</v>
      </c>
    </row>
    <row r="786" spans="1:16" hidden="1" x14ac:dyDescent="0.25">
      <c r="A786" t="s">
        <v>1114</v>
      </c>
      <c r="C786" t="s">
        <v>162</v>
      </c>
      <c r="D786" s="67">
        <v>0</v>
      </c>
      <c r="E786">
        <v>-290187</v>
      </c>
      <c r="F786">
        <v>0</v>
      </c>
      <c r="G786">
        <v>-524054</v>
      </c>
      <c r="H786">
        <v>-642946</v>
      </c>
      <c r="I786">
        <v>44.9</v>
      </c>
      <c r="J786">
        <v>3000</v>
      </c>
      <c r="K786" s="249">
        <v>3000</v>
      </c>
      <c r="L786" s="249">
        <v>3187.5</v>
      </c>
      <c r="M786" s="249">
        <v>3410.625</v>
      </c>
      <c r="N786" s="249">
        <v>3649.3687500000001</v>
      </c>
      <c r="O786" t="str">
        <f t="shared" si="25"/>
        <v>2</v>
      </c>
      <c r="P786" t="str">
        <f t="shared" si="26"/>
        <v>Employee Related Cost</v>
      </c>
    </row>
    <row r="787" spans="1:16" hidden="1" x14ac:dyDescent="0.25">
      <c r="A787" t="s">
        <v>1115</v>
      </c>
      <c r="C787" t="s">
        <v>167</v>
      </c>
      <c r="D787" s="67">
        <v>449</v>
      </c>
      <c r="E787">
        <v>-290187</v>
      </c>
      <c r="F787">
        <v>0</v>
      </c>
      <c r="G787">
        <v>-524054</v>
      </c>
      <c r="H787">
        <v>-642946</v>
      </c>
      <c r="I787">
        <v>44.9</v>
      </c>
      <c r="J787">
        <v>0</v>
      </c>
      <c r="K787" s="249">
        <v>449</v>
      </c>
      <c r="L787" s="249">
        <v>477.0625</v>
      </c>
      <c r="M787" s="249">
        <v>510.45687499999997</v>
      </c>
      <c r="N787" s="249">
        <v>546.18885624999996</v>
      </c>
      <c r="O787" t="str">
        <f t="shared" si="25"/>
        <v>2</v>
      </c>
      <c r="P787" t="str">
        <f t="shared" si="26"/>
        <v>Employee Related Cost</v>
      </c>
    </row>
    <row r="788" spans="1:16" hidden="1" x14ac:dyDescent="0.25">
      <c r="A788" t="s">
        <v>1116</v>
      </c>
      <c r="C788" t="s">
        <v>168</v>
      </c>
      <c r="D788" s="67">
        <v>67191</v>
      </c>
      <c r="E788">
        <v>-290187</v>
      </c>
      <c r="F788">
        <v>0</v>
      </c>
      <c r="G788">
        <v>-524054</v>
      </c>
      <c r="H788">
        <v>-642946</v>
      </c>
      <c r="I788">
        <v>44.9</v>
      </c>
      <c r="J788">
        <v>0</v>
      </c>
      <c r="K788" s="249">
        <v>67191</v>
      </c>
      <c r="L788" s="249">
        <v>71390.4375</v>
      </c>
      <c r="M788" s="249">
        <v>76387.768125000002</v>
      </c>
      <c r="N788" s="249">
        <v>81734.911893750002</v>
      </c>
      <c r="O788" t="str">
        <f t="shared" si="25"/>
        <v>2</v>
      </c>
      <c r="P788" t="str">
        <f t="shared" si="26"/>
        <v>Employee Related Cost</v>
      </c>
    </row>
    <row r="789" spans="1:16" hidden="1" x14ac:dyDescent="0.25">
      <c r="A789" t="s">
        <v>1117</v>
      </c>
      <c r="C789" t="s">
        <v>169</v>
      </c>
      <c r="D789" s="67">
        <v>146726</v>
      </c>
      <c r="E789">
        <v>-290187</v>
      </c>
      <c r="F789">
        <v>0</v>
      </c>
      <c r="G789">
        <v>-524054</v>
      </c>
      <c r="H789">
        <v>-642946</v>
      </c>
      <c r="I789">
        <v>44.9</v>
      </c>
      <c r="J789">
        <v>0</v>
      </c>
      <c r="K789" s="249">
        <v>146726</v>
      </c>
      <c r="L789" s="249">
        <v>155896.375</v>
      </c>
      <c r="M789" s="249">
        <v>166809.12125</v>
      </c>
      <c r="N789" s="249">
        <v>178485.75973749999</v>
      </c>
      <c r="O789" t="str">
        <f t="shared" si="25"/>
        <v>2</v>
      </c>
      <c r="P789" t="str">
        <f t="shared" si="26"/>
        <v>Employee Related Cost</v>
      </c>
    </row>
    <row r="790" spans="1:16" hidden="1" x14ac:dyDescent="0.25">
      <c r="A790" t="s">
        <v>1118</v>
      </c>
      <c r="C790" t="s">
        <v>170</v>
      </c>
      <c r="D790" s="67">
        <v>7140</v>
      </c>
      <c r="E790">
        <v>-290187</v>
      </c>
      <c r="F790">
        <v>0</v>
      </c>
      <c r="G790">
        <v>-524054</v>
      </c>
      <c r="H790">
        <v>-642946</v>
      </c>
      <c r="I790">
        <v>44.9</v>
      </c>
      <c r="J790">
        <v>0</v>
      </c>
      <c r="K790" s="249">
        <v>7140</v>
      </c>
      <c r="L790" s="249">
        <v>7586.25</v>
      </c>
      <c r="M790" s="249">
        <v>8117.2875000000004</v>
      </c>
      <c r="N790" s="249">
        <v>8685.497625</v>
      </c>
      <c r="O790" t="str">
        <f t="shared" si="25"/>
        <v>2</v>
      </c>
      <c r="P790" t="str">
        <f t="shared" si="26"/>
        <v>Employee Related Cost</v>
      </c>
    </row>
    <row r="791" spans="1:16" hidden="1" x14ac:dyDescent="0.25">
      <c r="A791" t="s">
        <v>1119</v>
      </c>
      <c r="C791" t="s">
        <v>173</v>
      </c>
      <c r="D791" s="67">
        <v>46893</v>
      </c>
      <c r="E791">
        <v>-290187</v>
      </c>
      <c r="F791">
        <v>0</v>
      </c>
      <c r="G791">
        <v>-524054</v>
      </c>
      <c r="H791">
        <v>-642946</v>
      </c>
      <c r="I791">
        <v>44.9</v>
      </c>
      <c r="J791">
        <v>0</v>
      </c>
      <c r="K791" s="249">
        <v>46893</v>
      </c>
      <c r="L791" s="249">
        <v>49823.8125</v>
      </c>
      <c r="M791" s="249">
        <v>53311.479375000003</v>
      </c>
      <c r="N791" s="249">
        <v>57043.282931250003</v>
      </c>
      <c r="O791" t="str">
        <f t="shared" si="25"/>
        <v>2</v>
      </c>
      <c r="P791" t="str">
        <f t="shared" si="26"/>
        <v>Employee Related Cost</v>
      </c>
    </row>
    <row r="792" spans="1:16" hidden="1" x14ac:dyDescent="0.25">
      <c r="A792" t="s">
        <v>1120</v>
      </c>
      <c r="C792" t="s">
        <v>174</v>
      </c>
      <c r="D792" s="67">
        <v>26482</v>
      </c>
      <c r="E792">
        <v>-290187</v>
      </c>
      <c r="F792">
        <v>0</v>
      </c>
      <c r="G792">
        <v>-524054</v>
      </c>
      <c r="H792">
        <v>-642946</v>
      </c>
      <c r="I792">
        <v>44.9</v>
      </c>
      <c r="J792">
        <v>0</v>
      </c>
      <c r="K792" s="249">
        <v>26482</v>
      </c>
      <c r="L792" s="249">
        <v>28137.125</v>
      </c>
      <c r="M792" s="249">
        <v>30106.723750000001</v>
      </c>
      <c r="N792" s="249">
        <v>32214.194412500001</v>
      </c>
      <c r="O792" t="str">
        <f t="shared" si="25"/>
        <v>2</v>
      </c>
      <c r="P792" t="str">
        <f t="shared" si="26"/>
        <v>Employee Related Cost</v>
      </c>
    </row>
    <row r="793" spans="1:16" hidden="1" x14ac:dyDescent="0.25">
      <c r="A793" t="s">
        <v>1121</v>
      </c>
      <c r="C793" t="s">
        <v>175</v>
      </c>
      <c r="D793" s="67">
        <v>4306</v>
      </c>
      <c r="E793">
        <v>-290187</v>
      </c>
      <c r="F793">
        <v>0</v>
      </c>
      <c r="G793">
        <v>-524054</v>
      </c>
      <c r="H793">
        <v>-642946</v>
      </c>
      <c r="I793">
        <v>44.9</v>
      </c>
      <c r="J793">
        <v>0</v>
      </c>
      <c r="K793" s="249">
        <v>4306</v>
      </c>
      <c r="L793" s="249">
        <v>4575.125</v>
      </c>
      <c r="M793" s="249">
        <v>4895.38375</v>
      </c>
      <c r="N793" s="249">
        <v>5238.0606124999995</v>
      </c>
      <c r="O793" t="str">
        <f t="shared" si="25"/>
        <v>2</v>
      </c>
      <c r="P793" t="str">
        <f t="shared" si="26"/>
        <v>Employee Related Cost</v>
      </c>
    </row>
    <row r="794" spans="1:16" hidden="1" x14ac:dyDescent="0.25">
      <c r="A794" t="s">
        <v>1122</v>
      </c>
      <c r="C794" t="s">
        <v>234</v>
      </c>
      <c r="D794" s="67">
        <v>159000</v>
      </c>
      <c r="E794">
        <v>-290187</v>
      </c>
      <c r="F794">
        <v>0</v>
      </c>
      <c r="G794">
        <v>-524054</v>
      </c>
      <c r="H794">
        <v>-642946</v>
      </c>
      <c r="I794">
        <v>44.9</v>
      </c>
      <c r="J794">
        <v>0</v>
      </c>
      <c r="K794" s="249">
        <v>159000</v>
      </c>
      <c r="L794" s="249">
        <v>166155</v>
      </c>
      <c r="M794" s="249">
        <v>173798.13</v>
      </c>
      <c r="N794" s="249">
        <v>181792.84398000001</v>
      </c>
      <c r="O794" t="str">
        <f t="shared" si="25"/>
        <v>2</v>
      </c>
      <c r="P794" t="str">
        <f t="shared" si="26"/>
        <v>Contracted Services</v>
      </c>
    </row>
    <row r="795" spans="1:16" hidden="1" x14ac:dyDescent="0.25">
      <c r="A795" t="s">
        <v>1123</v>
      </c>
      <c r="C795" t="s">
        <v>265</v>
      </c>
      <c r="D795" s="67">
        <v>0</v>
      </c>
      <c r="E795">
        <v>-290187</v>
      </c>
      <c r="F795">
        <v>0</v>
      </c>
      <c r="G795">
        <v>-524054</v>
      </c>
      <c r="H795">
        <v>-642946</v>
      </c>
      <c r="I795">
        <v>44.9</v>
      </c>
      <c r="J795">
        <v>8562.4</v>
      </c>
      <c r="K795" s="249">
        <v>8562.4</v>
      </c>
      <c r="L795" s="249">
        <v>8947.7079999999987</v>
      </c>
      <c r="M795" s="249">
        <v>9359.3025679999992</v>
      </c>
      <c r="N795" s="249">
        <v>9789.8304861279994</v>
      </c>
      <c r="O795" t="str">
        <f t="shared" si="25"/>
        <v>2</v>
      </c>
      <c r="P795" t="str">
        <f t="shared" si="26"/>
        <v>Operational Cost</v>
      </c>
    </row>
    <row r="796" spans="1:16" hidden="1" x14ac:dyDescent="0.25">
      <c r="A796" t="s">
        <v>1124</v>
      </c>
      <c r="C796" t="s">
        <v>296</v>
      </c>
      <c r="D796" s="67">
        <v>0</v>
      </c>
      <c r="E796">
        <v>-290187</v>
      </c>
      <c r="F796">
        <v>0</v>
      </c>
      <c r="G796">
        <v>-524054</v>
      </c>
      <c r="H796">
        <v>-642946</v>
      </c>
      <c r="I796">
        <v>44.9</v>
      </c>
      <c r="J796">
        <v>0</v>
      </c>
      <c r="K796" s="249">
        <v>0</v>
      </c>
      <c r="L796" s="249">
        <v>0</v>
      </c>
      <c r="M796" s="249">
        <v>0</v>
      </c>
      <c r="O796" t="str">
        <f t="shared" si="25"/>
        <v>2</v>
      </c>
      <c r="P796" t="str">
        <f t="shared" si="26"/>
        <v>Depreciation &amp; Amortisation</v>
      </c>
    </row>
    <row r="797" spans="1:16" hidden="1" x14ac:dyDescent="0.25">
      <c r="A797" t="s">
        <v>1126</v>
      </c>
      <c r="C797" t="s">
        <v>49</v>
      </c>
      <c r="D797" s="67">
        <v>-2285558</v>
      </c>
      <c r="E797">
        <v>-290187</v>
      </c>
      <c r="F797">
        <v>0</v>
      </c>
      <c r="G797">
        <v>-524054</v>
      </c>
      <c r="H797">
        <v>-642946</v>
      </c>
      <c r="I797">
        <v>44.9</v>
      </c>
      <c r="J797">
        <v>0</v>
      </c>
      <c r="K797" s="249">
        <v>-2285558</v>
      </c>
      <c r="L797" s="249">
        <v>-2388408.11</v>
      </c>
      <c r="M797" s="249">
        <v>-2498274.8830599999</v>
      </c>
      <c r="N797" s="249">
        <v>-2613195.5276807598</v>
      </c>
      <c r="O797" t="str">
        <f t="shared" si="25"/>
        <v>1</v>
      </c>
      <c r="P797">
        <f t="shared" si="26"/>
        <v>0</v>
      </c>
    </row>
    <row r="798" spans="1:16" hidden="1" x14ac:dyDescent="0.25">
      <c r="A798" t="s">
        <v>1127</v>
      </c>
      <c r="C798" t="s">
        <v>50</v>
      </c>
      <c r="D798" s="67">
        <v>0</v>
      </c>
      <c r="E798">
        <v>-290187</v>
      </c>
      <c r="F798">
        <v>0</v>
      </c>
      <c r="G798">
        <v>-524054</v>
      </c>
      <c r="H798">
        <v>-642946</v>
      </c>
      <c r="I798">
        <v>44.9</v>
      </c>
      <c r="J798">
        <v>0</v>
      </c>
      <c r="K798" s="249">
        <v>0</v>
      </c>
      <c r="L798" s="249">
        <v>0</v>
      </c>
      <c r="M798" s="249">
        <v>0</v>
      </c>
      <c r="O798" t="str">
        <f t="shared" si="25"/>
        <v>1</v>
      </c>
      <c r="P798">
        <f t="shared" si="26"/>
        <v>0</v>
      </c>
    </row>
    <row r="799" spans="1:16" hidden="1" x14ac:dyDescent="0.25">
      <c r="A799" t="s">
        <v>1128</v>
      </c>
      <c r="C799" t="s">
        <v>51</v>
      </c>
      <c r="D799" s="67">
        <v>-2779</v>
      </c>
      <c r="E799">
        <v>-290187</v>
      </c>
      <c r="F799">
        <v>0</v>
      </c>
      <c r="G799">
        <v>-524054</v>
      </c>
      <c r="H799">
        <v>-642946</v>
      </c>
      <c r="I799">
        <v>44.9</v>
      </c>
      <c r="J799">
        <v>0</v>
      </c>
      <c r="K799" s="249">
        <v>-2779</v>
      </c>
      <c r="L799" s="249">
        <v>-2904.0549999999998</v>
      </c>
      <c r="M799" s="249">
        <v>-3037.6415299999999</v>
      </c>
      <c r="N799" s="249">
        <v>-3177.37304038</v>
      </c>
      <c r="O799" t="str">
        <f t="shared" si="25"/>
        <v>1</v>
      </c>
      <c r="P799">
        <f t="shared" si="26"/>
        <v>0</v>
      </c>
    </row>
    <row r="800" spans="1:16" hidden="1" x14ac:dyDescent="0.25">
      <c r="A800" t="s">
        <v>1129</v>
      </c>
      <c r="C800" t="s">
        <v>59</v>
      </c>
      <c r="D800" s="67">
        <v>-219191</v>
      </c>
      <c r="E800">
        <v>-17032.490000000002</v>
      </c>
      <c r="F800">
        <v>0</v>
      </c>
      <c r="G800">
        <v>-97021.84</v>
      </c>
      <c r="H800">
        <v>-122169.16</v>
      </c>
      <c r="I800">
        <v>44.26</v>
      </c>
      <c r="J800">
        <v>0</v>
      </c>
      <c r="K800" s="249">
        <v>-219191</v>
      </c>
      <c r="L800" s="249">
        <v>-229931.359</v>
      </c>
      <c r="M800" s="249">
        <v>-240968.064232</v>
      </c>
      <c r="N800" s="249">
        <v>-252534.531315136</v>
      </c>
      <c r="O800" t="str">
        <f t="shared" si="25"/>
        <v>1</v>
      </c>
      <c r="P800">
        <f t="shared" si="26"/>
        <v>0</v>
      </c>
    </row>
    <row r="801" spans="1:16" hidden="1" x14ac:dyDescent="0.25">
      <c r="A801" t="s">
        <v>1130</v>
      </c>
      <c r="C801" t="s">
        <v>150</v>
      </c>
      <c r="D801" s="67">
        <v>3160845</v>
      </c>
      <c r="E801">
        <v>-290187</v>
      </c>
      <c r="F801">
        <v>0</v>
      </c>
      <c r="G801">
        <v>-524054</v>
      </c>
      <c r="H801">
        <v>-642946</v>
      </c>
      <c r="I801">
        <v>44.9</v>
      </c>
      <c r="J801">
        <v>0</v>
      </c>
      <c r="K801" s="249">
        <v>3160845</v>
      </c>
      <c r="L801" s="249">
        <v>3358397.8125</v>
      </c>
      <c r="M801" s="249">
        <v>3593485.6593749998</v>
      </c>
      <c r="N801" s="249">
        <v>3845029.6555312499</v>
      </c>
      <c r="O801" t="str">
        <f t="shared" si="25"/>
        <v>2</v>
      </c>
      <c r="P801" t="str">
        <f t="shared" si="26"/>
        <v>Employee Related Cost</v>
      </c>
    </row>
    <row r="802" spans="1:16" hidden="1" x14ac:dyDescent="0.25">
      <c r="A802" t="s">
        <v>1131</v>
      </c>
      <c r="C802" t="s">
        <v>151</v>
      </c>
      <c r="D802" s="67">
        <v>146335</v>
      </c>
      <c r="E802">
        <v>-290187</v>
      </c>
      <c r="F802">
        <v>0</v>
      </c>
      <c r="G802">
        <v>-524054</v>
      </c>
      <c r="H802">
        <v>-642946</v>
      </c>
      <c r="I802">
        <v>44.9</v>
      </c>
      <c r="J802">
        <v>-27795.740000000049</v>
      </c>
      <c r="K802" s="249">
        <v>118539.25999999995</v>
      </c>
      <c r="L802" s="249">
        <v>125947.96374999995</v>
      </c>
      <c r="M802" s="249">
        <v>134764.32121249996</v>
      </c>
      <c r="N802" s="249">
        <v>144197.82369737496</v>
      </c>
      <c r="O802" t="str">
        <f t="shared" si="25"/>
        <v>2</v>
      </c>
      <c r="P802" t="str">
        <f t="shared" si="26"/>
        <v>Employee Related Cost</v>
      </c>
    </row>
    <row r="803" spans="1:16" hidden="1" x14ac:dyDescent="0.25">
      <c r="A803" t="s">
        <v>1132</v>
      </c>
      <c r="C803" t="s">
        <v>152</v>
      </c>
      <c r="D803" s="67">
        <v>28200</v>
      </c>
      <c r="E803">
        <v>-290187</v>
      </c>
      <c r="F803">
        <v>0</v>
      </c>
      <c r="G803">
        <v>-524054</v>
      </c>
      <c r="H803">
        <v>-642946</v>
      </c>
      <c r="I803">
        <v>44.9</v>
      </c>
      <c r="J803">
        <v>0</v>
      </c>
      <c r="K803" s="249">
        <v>28200</v>
      </c>
      <c r="L803" s="249">
        <v>29962.5</v>
      </c>
      <c r="M803" s="249">
        <v>32059.875</v>
      </c>
      <c r="N803" s="249">
        <v>34304.066250000003</v>
      </c>
      <c r="O803" t="str">
        <f t="shared" si="25"/>
        <v>2</v>
      </c>
      <c r="P803" t="str">
        <f t="shared" si="26"/>
        <v>Employee Related Cost</v>
      </c>
    </row>
    <row r="804" spans="1:16" hidden="1" x14ac:dyDescent="0.25">
      <c r="A804" t="s">
        <v>1133</v>
      </c>
      <c r="C804" t="s">
        <v>155</v>
      </c>
      <c r="D804" s="67">
        <v>103918</v>
      </c>
      <c r="E804">
        <v>-290187</v>
      </c>
      <c r="F804">
        <v>0</v>
      </c>
      <c r="G804">
        <v>-524054</v>
      </c>
      <c r="H804">
        <v>-642946</v>
      </c>
      <c r="I804">
        <v>44.9</v>
      </c>
      <c r="J804">
        <v>0</v>
      </c>
      <c r="K804" s="249">
        <v>103918</v>
      </c>
      <c r="L804" s="249">
        <v>110412.875</v>
      </c>
      <c r="M804" s="249">
        <v>118141.77625</v>
      </c>
      <c r="N804" s="249">
        <v>126411.7005875</v>
      </c>
      <c r="O804" t="str">
        <f t="shared" si="25"/>
        <v>2</v>
      </c>
      <c r="P804" t="str">
        <f t="shared" si="26"/>
        <v>Employee Related Cost</v>
      </c>
    </row>
    <row r="805" spans="1:16" hidden="1" x14ac:dyDescent="0.25">
      <c r="A805" t="s">
        <v>1134</v>
      </c>
      <c r="C805" t="s">
        <v>156</v>
      </c>
      <c r="D805" s="67">
        <v>199536</v>
      </c>
      <c r="E805">
        <v>-290187</v>
      </c>
      <c r="F805">
        <v>0</v>
      </c>
      <c r="G805">
        <v>-524054</v>
      </c>
      <c r="H805">
        <v>-642946</v>
      </c>
      <c r="I805">
        <v>44.9</v>
      </c>
      <c r="J805">
        <v>0</v>
      </c>
      <c r="K805" s="249">
        <v>199536</v>
      </c>
      <c r="L805" s="249">
        <v>212007</v>
      </c>
      <c r="M805" s="249">
        <v>226847.49</v>
      </c>
      <c r="N805" s="249">
        <v>242726.8143</v>
      </c>
      <c r="O805" t="str">
        <f t="shared" si="25"/>
        <v>2</v>
      </c>
      <c r="P805" t="str">
        <f t="shared" si="26"/>
        <v>Employee Related Cost</v>
      </c>
    </row>
    <row r="806" spans="1:16" hidden="1" x14ac:dyDescent="0.25">
      <c r="A806" t="s">
        <v>1135</v>
      </c>
      <c r="C806" t="s">
        <v>157</v>
      </c>
      <c r="D806" s="67">
        <v>249992</v>
      </c>
      <c r="E806">
        <v>-290187</v>
      </c>
      <c r="F806">
        <v>0</v>
      </c>
      <c r="G806">
        <v>-524054</v>
      </c>
      <c r="H806">
        <v>-642946</v>
      </c>
      <c r="I806">
        <v>44.9</v>
      </c>
      <c r="J806">
        <v>0</v>
      </c>
      <c r="K806" s="249">
        <v>249992</v>
      </c>
      <c r="L806" s="249">
        <v>265616.5</v>
      </c>
      <c r="M806" s="249">
        <v>284209.65500000003</v>
      </c>
      <c r="N806" s="249">
        <v>304104.33085000003</v>
      </c>
      <c r="O806" t="str">
        <f t="shared" si="25"/>
        <v>2</v>
      </c>
      <c r="P806" t="str">
        <f t="shared" si="26"/>
        <v>Employee Related Cost</v>
      </c>
    </row>
    <row r="807" spans="1:16" hidden="1" x14ac:dyDescent="0.25">
      <c r="A807" t="s">
        <v>1136</v>
      </c>
      <c r="C807" t="s">
        <v>159</v>
      </c>
      <c r="D807" s="67">
        <v>263404</v>
      </c>
      <c r="E807">
        <v>-290187</v>
      </c>
      <c r="F807">
        <v>0</v>
      </c>
      <c r="G807">
        <v>-524054</v>
      </c>
      <c r="H807">
        <v>-642946</v>
      </c>
      <c r="I807">
        <v>44.9</v>
      </c>
      <c r="J807">
        <v>0</v>
      </c>
      <c r="K807" s="249">
        <v>263404</v>
      </c>
      <c r="L807" s="249">
        <v>279866.75</v>
      </c>
      <c r="M807" s="249">
        <v>299457.42249999999</v>
      </c>
      <c r="N807" s="249">
        <v>320419.44207499997</v>
      </c>
      <c r="O807" t="str">
        <f t="shared" si="25"/>
        <v>2</v>
      </c>
      <c r="P807" t="str">
        <f t="shared" si="26"/>
        <v>Employee Related Cost</v>
      </c>
    </row>
    <row r="808" spans="1:16" hidden="1" x14ac:dyDescent="0.25">
      <c r="A808" t="s">
        <v>1137</v>
      </c>
      <c r="C808" t="s">
        <v>161</v>
      </c>
      <c r="D808" s="67">
        <v>56699</v>
      </c>
      <c r="E808">
        <v>-290187</v>
      </c>
      <c r="F808">
        <v>0</v>
      </c>
      <c r="G808">
        <v>-524054</v>
      </c>
      <c r="H808">
        <v>-642946</v>
      </c>
      <c r="I808">
        <v>44.9</v>
      </c>
      <c r="J808">
        <v>0</v>
      </c>
      <c r="K808" s="249">
        <v>56699</v>
      </c>
      <c r="L808" s="249">
        <v>60242.6875</v>
      </c>
      <c r="M808" s="249">
        <v>64459.675625000003</v>
      </c>
      <c r="N808" s="249">
        <v>68971.85291875001</v>
      </c>
      <c r="O808" t="str">
        <f t="shared" si="25"/>
        <v>2</v>
      </c>
      <c r="P808" t="str">
        <f t="shared" si="26"/>
        <v>Employee Related Cost</v>
      </c>
    </row>
    <row r="809" spans="1:16" hidden="1" x14ac:dyDescent="0.25">
      <c r="A809" t="s">
        <v>1138</v>
      </c>
      <c r="C809" t="s">
        <v>162</v>
      </c>
      <c r="D809" s="67">
        <v>0</v>
      </c>
      <c r="E809">
        <v>-290187</v>
      </c>
      <c r="F809">
        <v>0</v>
      </c>
      <c r="G809">
        <v>-524054</v>
      </c>
      <c r="H809">
        <v>-642946</v>
      </c>
      <c r="I809">
        <v>44.9</v>
      </c>
      <c r="J809">
        <v>24000</v>
      </c>
      <c r="K809" s="249">
        <v>24000</v>
      </c>
      <c r="L809" s="249">
        <v>25500</v>
      </c>
      <c r="M809" s="249">
        <v>27285</v>
      </c>
      <c r="N809" s="249">
        <v>29194.95</v>
      </c>
      <c r="O809" t="str">
        <f t="shared" si="25"/>
        <v>2</v>
      </c>
      <c r="P809" t="str">
        <f t="shared" si="26"/>
        <v>Employee Related Cost</v>
      </c>
    </row>
    <row r="810" spans="1:16" hidden="1" x14ac:dyDescent="0.25">
      <c r="A810" t="s">
        <v>1139</v>
      </c>
      <c r="C810" t="s">
        <v>167</v>
      </c>
      <c r="D810" s="67">
        <v>1573</v>
      </c>
      <c r="E810">
        <v>-290187</v>
      </c>
      <c r="F810">
        <v>0</v>
      </c>
      <c r="G810">
        <v>-524054</v>
      </c>
      <c r="H810">
        <v>-642946</v>
      </c>
      <c r="I810">
        <v>44.9</v>
      </c>
      <c r="J810">
        <v>0</v>
      </c>
      <c r="K810" s="249">
        <v>1573</v>
      </c>
      <c r="L810" s="249">
        <v>1671.3125</v>
      </c>
      <c r="M810" s="249">
        <v>1788.3043749999999</v>
      </c>
      <c r="N810" s="249">
        <v>1913.48568125</v>
      </c>
      <c r="O810" t="str">
        <f t="shared" si="25"/>
        <v>2</v>
      </c>
      <c r="P810" t="str">
        <f t="shared" si="26"/>
        <v>Employee Related Cost</v>
      </c>
    </row>
    <row r="811" spans="1:16" hidden="1" x14ac:dyDescent="0.25">
      <c r="A811" t="s">
        <v>1140</v>
      </c>
      <c r="C811" t="s">
        <v>168</v>
      </c>
      <c r="D811" s="67">
        <v>268764</v>
      </c>
      <c r="E811">
        <v>-290187</v>
      </c>
      <c r="F811">
        <v>0</v>
      </c>
      <c r="G811">
        <v>-524054</v>
      </c>
      <c r="H811">
        <v>-642946</v>
      </c>
      <c r="I811">
        <v>44.9</v>
      </c>
      <c r="J811">
        <v>0</v>
      </c>
      <c r="K811" s="249">
        <v>268764</v>
      </c>
      <c r="L811" s="249">
        <v>285561.75</v>
      </c>
      <c r="M811" s="249">
        <v>305551.07250000001</v>
      </c>
      <c r="N811" s="249">
        <v>326939.64757500001</v>
      </c>
      <c r="O811" t="str">
        <f t="shared" si="25"/>
        <v>2</v>
      </c>
      <c r="P811" t="str">
        <f t="shared" si="26"/>
        <v>Employee Related Cost</v>
      </c>
    </row>
    <row r="812" spans="1:16" hidden="1" x14ac:dyDescent="0.25">
      <c r="A812" t="s">
        <v>1141</v>
      </c>
      <c r="C812" t="s">
        <v>169</v>
      </c>
      <c r="D812" s="67">
        <v>695386</v>
      </c>
      <c r="E812">
        <v>-290187</v>
      </c>
      <c r="F812">
        <v>0</v>
      </c>
      <c r="G812">
        <v>-524054</v>
      </c>
      <c r="H812">
        <v>-642946</v>
      </c>
      <c r="I812">
        <v>44.9</v>
      </c>
      <c r="J812">
        <v>0</v>
      </c>
      <c r="K812" s="249">
        <v>695386</v>
      </c>
      <c r="L812" s="249">
        <v>738847.625</v>
      </c>
      <c r="M812" s="249">
        <v>790566.95874999999</v>
      </c>
      <c r="N812" s="249">
        <v>845906.64586249995</v>
      </c>
      <c r="O812" t="str">
        <f t="shared" si="25"/>
        <v>2</v>
      </c>
      <c r="P812" t="str">
        <f t="shared" si="26"/>
        <v>Employee Related Cost</v>
      </c>
    </row>
    <row r="813" spans="1:16" hidden="1" x14ac:dyDescent="0.25">
      <c r="A813" t="s">
        <v>1142</v>
      </c>
      <c r="C813" t="s">
        <v>170</v>
      </c>
      <c r="D813" s="67">
        <v>24990</v>
      </c>
      <c r="E813">
        <v>-290187</v>
      </c>
      <c r="F813">
        <v>0</v>
      </c>
      <c r="G813">
        <v>-524054</v>
      </c>
      <c r="H813">
        <v>-642946</v>
      </c>
      <c r="I813">
        <v>44.9</v>
      </c>
      <c r="J813">
        <v>0</v>
      </c>
      <c r="K813" s="249">
        <v>24990</v>
      </c>
      <c r="L813" s="249">
        <v>26551.875</v>
      </c>
      <c r="M813" s="249">
        <v>28410.506249999999</v>
      </c>
      <c r="N813" s="249">
        <v>30399.241687499998</v>
      </c>
      <c r="O813" t="str">
        <f t="shared" si="25"/>
        <v>2</v>
      </c>
      <c r="P813" t="str">
        <f t="shared" si="26"/>
        <v>Employee Related Cost</v>
      </c>
    </row>
    <row r="814" spans="1:16" hidden="1" x14ac:dyDescent="0.25">
      <c r="A814" t="s">
        <v>1143</v>
      </c>
      <c r="C814" t="s">
        <v>173</v>
      </c>
      <c r="D814" s="67">
        <v>56609</v>
      </c>
      <c r="E814">
        <v>-290187</v>
      </c>
      <c r="F814">
        <v>0</v>
      </c>
      <c r="G814">
        <v>-524054</v>
      </c>
      <c r="H814">
        <v>-642946</v>
      </c>
      <c r="I814">
        <v>44.9</v>
      </c>
      <c r="J814">
        <v>0</v>
      </c>
      <c r="K814" s="249">
        <v>56609</v>
      </c>
      <c r="L814" s="249">
        <v>60147.0625</v>
      </c>
      <c r="M814" s="249">
        <v>64357.356874999998</v>
      </c>
      <c r="N814" s="249">
        <v>68862.37185625</v>
      </c>
      <c r="O814" t="str">
        <f t="shared" si="25"/>
        <v>2</v>
      </c>
      <c r="P814" t="str">
        <f t="shared" si="26"/>
        <v>Employee Related Cost</v>
      </c>
    </row>
    <row r="815" spans="1:16" hidden="1" x14ac:dyDescent="0.25">
      <c r="A815" t="s">
        <v>1144</v>
      </c>
      <c r="C815" t="s">
        <v>174</v>
      </c>
      <c r="D815" s="67">
        <v>73319</v>
      </c>
      <c r="E815">
        <v>-290187</v>
      </c>
      <c r="F815">
        <v>0</v>
      </c>
      <c r="G815">
        <v>-524054</v>
      </c>
      <c r="H815">
        <v>-642946</v>
      </c>
      <c r="I815">
        <v>44.9</v>
      </c>
      <c r="J815">
        <v>0</v>
      </c>
      <c r="K815" s="249">
        <v>73319</v>
      </c>
      <c r="L815" s="249">
        <v>77901.4375</v>
      </c>
      <c r="M815" s="249">
        <v>83354.538125000006</v>
      </c>
      <c r="N815" s="249">
        <v>89189.355793750001</v>
      </c>
      <c r="O815" t="str">
        <f t="shared" si="25"/>
        <v>2</v>
      </c>
      <c r="P815" t="str">
        <f t="shared" si="26"/>
        <v>Employee Related Cost</v>
      </c>
    </row>
    <row r="816" spans="1:16" hidden="1" x14ac:dyDescent="0.25">
      <c r="A816" t="s">
        <v>1145</v>
      </c>
      <c r="C816" t="s">
        <v>175</v>
      </c>
      <c r="D816" s="67">
        <v>39991</v>
      </c>
      <c r="E816">
        <v>-290187</v>
      </c>
      <c r="F816">
        <v>0</v>
      </c>
      <c r="G816">
        <v>-524054</v>
      </c>
      <c r="H816">
        <v>-642946</v>
      </c>
      <c r="I816">
        <v>44.9</v>
      </c>
      <c r="J816">
        <v>0</v>
      </c>
      <c r="K816" s="249">
        <v>39991</v>
      </c>
      <c r="L816" s="249">
        <v>42490.4375</v>
      </c>
      <c r="M816" s="249">
        <v>45464.768125000002</v>
      </c>
      <c r="N816" s="249">
        <v>48647.301893750002</v>
      </c>
      <c r="O816" t="str">
        <f t="shared" si="25"/>
        <v>2</v>
      </c>
      <c r="P816" t="str">
        <f t="shared" si="26"/>
        <v>Employee Related Cost</v>
      </c>
    </row>
    <row r="817" spans="1:16" hidden="1" x14ac:dyDescent="0.25">
      <c r="A817" t="s">
        <v>1146</v>
      </c>
      <c r="C817" t="s">
        <v>245</v>
      </c>
      <c r="D817" s="67">
        <v>1167000</v>
      </c>
      <c r="E817">
        <v>-290187</v>
      </c>
      <c r="F817">
        <v>0</v>
      </c>
      <c r="G817">
        <v>-524054</v>
      </c>
      <c r="H817">
        <v>-642946</v>
      </c>
      <c r="I817">
        <v>44.9</v>
      </c>
      <c r="J817">
        <v>0</v>
      </c>
      <c r="K817" s="249">
        <v>1167000</v>
      </c>
      <c r="L817" s="249">
        <v>1304000</v>
      </c>
      <c r="M817" s="249">
        <v>0</v>
      </c>
      <c r="O817" t="str">
        <f t="shared" si="25"/>
        <v>2</v>
      </c>
      <c r="P817" t="str">
        <f t="shared" si="26"/>
        <v>Operational Cost</v>
      </c>
    </row>
    <row r="818" spans="1:16" hidden="1" x14ac:dyDescent="0.25">
      <c r="A818" t="s">
        <v>1147</v>
      </c>
      <c r="C818" t="s">
        <v>255</v>
      </c>
      <c r="D818" s="67">
        <v>41566</v>
      </c>
      <c r="E818">
        <v>-290187</v>
      </c>
      <c r="F818">
        <v>0</v>
      </c>
      <c r="G818">
        <v>-524054</v>
      </c>
      <c r="H818">
        <v>-642946</v>
      </c>
      <c r="I818">
        <v>44.9</v>
      </c>
      <c r="J818">
        <v>0</v>
      </c>
      <c r="K818" s="249">
        <v>41566</v>
      </c>
      <c r="L818" s="249">
        <v>43436.47</v>
      </c>
      <c r="M818" s="249">
        <v>45434.547619999998</v>
      </c>
      <c r="N818" s="249">
        <v>47524.536810519996</v>
      </c>
      <c r="O818" t="str">
        <f t="shared" si="25"/>
        <v>2</v>
      </c>
      <c r="P818" t="str">
        <f t="shared" si="26"/>
        <v>Operational Cost</v>
      </c>
    </row>
    <row r="819" spans="1:16" hidden="1" x14ac:dyDescent="0.25">
      <c r="A819" t="s">
        <v>1148</v>
      </c>
      <c r="C819" t="s">
        <v>255</v>
      </c>
      <c r="D819" s="67">
        <v>41566</v>
      </c>
      <c r="E819">
        <v>-290187</v>
      </c>
      <c r="F819">
        <v>0</v>
      </c>
      <c r="G819">
        <v>-524054</v>
      </c>
      <c r="H819">
        <v>-642946</v>
      </c>
      <c r="I819">
        <v>44.9</v>
      </c>
      <c r="J819">
        <v>0</v>
      </c>
      <c r="K819" s="249">
        <v>41566</v>
      </c>
      <c r="L819" s="249">
        <v>43436.47</v>
      </c>
      <c r="M819" s="249">
        <v>45434.547619999998</v>
      </c>
      <c r="N819" s="249">
        <v>47524.536810519996</v>
      </c>
      <c r="O819" t="str">
        <f t="shared" si="25"/>
        <v>2</v>
      </c>
      <c r="P819" t="str">
        <f t="shared" si="26"/>
        <v>Operational Cost</v>
      </c>
    </row>
    <row r="820" spans="1:16" hidden="1" x14ac:dyDescent="0.25">
      <c r="A820" t="s">
        <v>1149</v>
      </c>
      <c r="C820" t="s">
        <v>265</v>
      </c>
      <c r="D820" s="67">
        <v>0</v>
      </c>
      <c r="E820">
        <v>-290187</v>
      </c>
      <c r="F820">
        <v>0</v>
      </c>
      <c r="G820">
        <v>-524054</v>
      </c>
      <c r="H820">
        <v>-642946</v>
      </c>
      <c r="I820">
        <v>44.9</v>
      </c>
      <c r="J820">
        <v>40000</v>
      </c>
      <c r="K820" s="249">
        <v>40000</v>
      </c>
      <c r="L820" s="249">
        <v>41800</v>
      </c>
      <c r="M820" s="249">
        <v>43722.8</v>
      </c>
      <c r="N820" s="249">
        <v>45734.048800000004</v>
      </c>
      <c r="O820" t="str">
        <f t="shared" si="25"/>
        <v>2</v>
      </c>
      <c r="P820" t="str">
        <f t="shared" si="26"/>
        <v>Operational Cost</v>
      </c>
    </row>
    <row r="821" spans="1:16" hidden="1" x14ac:dyDescent="0.25">
      <c r="A821" t="s">
        <v>1150</v>
      </c>
      <c r="C821" t="s">
        <v>268</v>
      </c>
      <c r="D821" s="67">
        <v>0</v>
      </c>
      <c r="E821">
        <v>-290187</v>
      </c>
      <c r="F821">
        <v>0</v>
      </c>
      <c r="G821">
        <v>-524054</v>
      </c>
      <c r="H821">
        <v>-642946</v>
      </c>
      <c r="I821">
        <v>44.9</v>
      </c>
      <c r="J821">
        <v>120000</v>
      </c>
      <c r="K821" s="249">
        <v>120000</v>
      </c>
      <c r="L821" s="249">
        <v>125400</v>
      </c>
      <c r="M821" s="249">
        <v>131168.4</v>
      </c>
      <c r="N821" s="249">
        <v>137202.1464</v>
      </c>
      <c r="O821" t="str">
        <f t="shared" si="25"/>
        <v>2</v>
      </c>
      <c r="P821" t="str">
        <f t="shared" si="26"/>
        <v>Operational Cost</v>
      </c>
    </row>
    <row r="822" spans="1:16" hidden="1" x14ac:dyDescent="0.25">
      <c r="A822" t="s">
        <v>1152</v>
      </c>
      <c r="C822" t="s">
        <v>265</v>
      </c>
      <c r="D822" s="67">
        <v>0</v>
      </c>
      <c r="E822">
        <v>0</v>
      </c>
      <c r="F822">
        <v>0</v>
      </c>
      <c r="G822">
        <v>1217.71</v>
      </c>
      <c r="H822">
        <v>-1217.71</v>
      </c>
      <c r="I822">
        <v>0</v>
      </c>
      <c r="J822">
        <v>0</v>
      </c>
      <c r="K822" s="249">
        <v>0</v>
      </c>
      <c r="L822" s="249">
        <v>0</v>
      </c>
      <c r="M822" s="249">
        <v>0</v>
      </c>
      <c r="O822" t="str">
        <f t="shared" si="25"/>
        <v>2</v>
      </c>
      <c r="P822" t="str">
        <f t="shared" si="26"/>
        <v>Operational Cost</v>
      </c>
    </row>
    <row r="823" spans="1:16" hidden="1" x14ac:dyDescent="0.25">
      <c r="A823" t="s">
        <v>1153</v>
      </c>
      <c r="C823" t="s">
        <v>293</v>
      </c>
      <c r="D823" s="67">
        <v>5806</v>
      </c>
      <c r="E823">
        <v>0</v>
      </c>
      <c r="F823">
        <v>0</v>
      </c>
      <c r="G823">
        <v>1217.71</v>
      </c>
      <c r="H823">
        <v>-1217.71</v>
      </c>
      <c r="I823">
        <v>0</v>
      </c>
      <c r="J823">
        <v>0</v>
      </c>
      <c r="K823" s="249">
        <v>5806</v>
      </c>
      <c r="L823" s="249">
        <v>6067.27</v>
      </c>
      <c r="M823" s="249">
        <v>6346.3644200000008</v>
      </c>
      <c r="N823" s="249">
        <v>6638.2971833200008</v>
      </c>
      <c r="O823" t="str">
        <f t="shared" si="25"/>
        <v>2</v>
      </c>
      <c r="P823" t="str">
        <f t="shared" si="26"/>
        <v>Depreciation &amp; Amortisation</v>
      </c>
    </row>
    <row r="824" spans="1:16" hidden="1" x14ac:dyDescent="0.25">
      <c r="A824" t="s">
        <v>1154</v>
      </c>
      <c r="C824" t="s">
        <v>303</v>
      </c>
      <c r="D824" s="67">
        <v>63245</v>
      </c>
      <c r="E824">
        <v>0</v>
      </c>
      <c r="F824">
        <v>0</v>
      </c>
      <c r="G824">
        <v>1217.71</v>
      </c>
      <c r="H824">
        <v>-1217.71</v>
      </c>
      <c r="I824">
        <v>0</v>
      </c>
      <c r="J824">
        <v>0</v>
      </c>
      <c r="K824" s="249">
        <v>63245</v>
      </c>
      <c r="L824" s="249">
        <v>66091.024999999994</v>
      </c>
      <c r="M824" s="249">
        <v>69131.212149999992</v>
      </c>
      <c r="N824" s="249">
        <v>72311.247908899997</v>
      </c>
      <c r="O824" t="str">
        <f t="shared" si="25"/>
        <v>2</v>
      </c>
      <c r="P824" t="str">
        <f t="shared" si="26"/>
        <v>Depreciation &amp; Amortisation</v>
      </c>
    </row>
    <row r="825" spans="1:16" hidden="1" x14ac:dyDescent="0.25">
      <c r="A825" t="s">
        <v>1156</v>
      </c>
      <c r="C825" t="s">
        <v>131</v>
      </c>
      <c r="D825" s="67">
        <v>651161</v>
      </c>
      <c r="E825">
        <v>0</v>
      </c>
      <c r="F825">
        <v>0</v>
      </c>
      <c r="G825">
        <v>1217.71</v>
      </c>
      <c r="H825">
        <v>-1217.71</v>
      </c>
      <c r="I825">
        <v>0</v>
      </c>
      <c r="J825">
        <v>0</v>
      </c>
      <c r="K825" s="249">
        <v>651161</v>
      </c>
      <c r="L825" s="249">
        <v>691858.5625</v>
      </c>
      <c r="M825" s="249">
        <v>740288.66187499999</v>
      </c>
      <c r="N825" s="249">
        <v>792108.86820625002</v>
      </c>
      <c r="O825" t="str">
        <f t="shared" si="25"/>
        <v>2</v>
      </c>
      <c r="P825" t="str">
        <f t="shared" si="26"/>
        <v>Employee Related Cost</v>
      </c>
    </row>
    <row r="826" spans="1:16" hidden="1" x14ac:dyDescent="0.25">
      <c r="A826" t="s">
        <v>1157</v>
      </c>
      <c r="C826" t="s">
        <v>132</v>
      </c>
      <c r="D826" s="67">
        <v>32558</v>
      </c>
      <c r="E826">
        <v>0</v>
      </c>
      <c r="F826">
        <v>0</v>
      </c>
      <c r="G826">
        <v>1217.71</v>
      </c>
      <c r="H826">
        <v>-1217.71</v>
      </c>
      <c r="I826">
        <v>0</v>
      </c>
      <c r="J826">
        <v>0</v>
      </c>
      <c r="K826" s="249">
        <v>32558</v>
      </c>
      <c r="L826" s="249">
        <v>34592.875</v>
      </c>
      <c r="M826" s="249">
        <v>37014.376250000001</v>
      </c>
      <c r="N826" s="249">
        <v>39605.382587500004</v>
      </c>
      <c r="O826" t="str">
        <f t="shared" si="25"/>
        <v>2</v>
      </c>
      <c r="P826" t="str">
        <f t="shared" si="26"/>
        <v>Employee Related Cost</v>
      </c>
    </row>
    <row r="827" spans="1:16" hidden="1" x14ac:dyDescent="0.25">
      <c r="A827" t="s">
        <v>1158</v>
      </c>
      <c r="C827" t="s">
        <v>133</v>
      </c>
      <c r="D827" s="67">
        <v>40000</v>
      </c>
      <c r="E827">
        <v>0</v>
      </c>
      <c r="F827">
        <v>0</v>
      </c>
      <c r="G827">
        <v>1217.71</v>
      </c>
      <c r="H827">
        <v>-1217.71</v>
      </c>
      <c r="I827">
        <v>0</v>
      </c>
      <c r="J827">
        <v>0</v>
      </c>
      <c r="K827" s="249">
        <v>40000</v>
      </c>
      <c r="L827" s="249">
        <v>42500</v>
      </c>
      <c r="M827" s="249">
        <v>45475</v>
      </c>
      <c r="N827" s="249">
        <v>48658.25</v>
      </c>
      <c r="O827" t="str">
        <f t="shared" si="25"/>
        <v>2</v>
      </c>
      <c r="P827" t="str">
        <f t="shared" si="26"/>
        <v>Employee Related Cost</v>
      </c>
    </row>
    <row r="828" spans="1:16" hidden="1" x14ac:dyDescent="0.25">
      <c r="A828" t="s">
        <v>1159</v>
      </c>
      <c r="C828" t="s">
        <v>134</v>
      </c>
      <c r="D828" s="67">
        <v>206737</v>
      </c>
      <c r="E828">
        <v>0</v>
      </c>
      <c r="F828">
        <v>0</v>
      </c>
      <c r="G828">
        <v>1217.71</v>
      </c>
      <c r="H828">
        <v>-1217.71</v>
      </c>
      <c r="I828">
        <v>0</v>
      </c>
      <c r="J828">
        <v>0</v>
      </c>
      <c r="K828" s="249">
        <v>206737</v>
      </c>
      <c r="L828" s="249">
        <v>219658.0625</v>
      </c>
      <c r="M828" s="249">
        <v>235034.12687499999</v>
      </c>
      <c r="N828" s="249">
        <v>251486.51575624998</v>
      </c>
      <c r="O828" t="str">
        <f t="shared" si="25"/>
        <v>2</v>
      </c>
      <c r="P828" t="str">
        <f t="shared" si="26"/>
        <v>Employee Related Cost</v>
      </c>
    </row>
    <row r="829" spans="1:16" hidden="1" x14ac:dyDescent="0.25">
      <c r="A829" t="s">
        <v>1160</v>
      </c>
      <c r="C829" t="s">
        <v>135</v>
      </c>
      <c r="D829" s="67">
        <v>17000</v>
      </c>
      <c r="E829">
        <v>0</v>
      </c>
      <c r="F829">
        <v>0</v>
      </c>
      <c r="G829">
        <v>1217.71</v>
      </c>
      <c r="H829">
        <v>-1217.71</v>
      </c>
      <c r="I829">
        <v>0</v>
      </c>
      <c r="J829">
        <v>0</v>
      </c>
      <c r="K829" s="249">
        <v>17000</v>
      </c>
      <c r="L829" s="249">
        <v>18062.5</v>
      </c>
      <c r="M829" s="249">
        <v>19326.875</v>
      </c>
      <c r="N829" s="249">
        <v>20679.756249999999</v>
      </c>
      <c r="O829" t="str">
        <f t="shared" si="25"/>
        <v>2</v>
      </c>
      <c r="P829" t="str">
        <f t="shared" si="26"/>
        <v>Employee Related Cost</v>
      </c>
    </row>
    <row r="830" spans="1:16" hidden="1" x14ac:dyDescent="0.25">
      <c r="A830" t="s">
        <v>1161</v>
      </c>
      <c r="C830" t="s">
        <v>136</v>
      </c>
      <c r="D830" s="67">
        <v>18580</v>
      </c>
      <c r="E830">
        <v>0</v>
      </c>
      <c r="F830">
        <v>0</v>
      </c>
      <c r="G830">
        <v>1217.71</v>
      </c>
      <c r="H830">
        <v>-1217.71</v>
      </c>
      <c r="I830">
        <v>0</v>
      </c>
      <c r="J830">
        <v>0</v>
      </c>
      <c r="K830" s="249">
        <v>18580</v>
      </c>
      <c r="L830" s="249">
        <v>19741.25</v>
      </c>
      <c r="M830" s="249">
        <v>21123.137500000001</v>
      </c>
      <c r="N830" s="249">
        <v>22601.757125</v>
      </c>
      <c r="O830" t="str">
        <f t="shared" si="25"/>
        <v>2</v>
      </c>
      <c r="P830" t="str">
        <f t="shared" si="26"/>
        <v>Employee Related Cost</v>
      </c>
    </row>
    <row r="831" spans="1:16" hidden="1" x14ac:dyDescent="0.25">
      <c r="A831" t="s">
        <v>1162</v>
      </c>
      <c r="C831" t="s">
        <v>164</v>
      </c>
      <c r="D831" s="67">
        <v>32457</v>
      </c>
      <c r="E831">
        <v>0</v>
      </c>
      <c r="F831">
        <v>0</v>
      </c>
      <c r="G831">
        <v>1217.71</v>
      </c>
      <c r="H831">
        <v>-1217.71</v>
      </c>
      <c r="I831">
        <v>0</v>
      </c>
      <c r="J831">
        <v>-32457</v>
      </c>
      <c r="K831" s="249">
        <v>0</v>
      </c>
      <c r="L831" s="249">
        <v>0</v>
      </c>
      <c r="M831" s="249">
        <v>0</v>
      </c>
      <c r="N831" s="249">
        <v>0</v>
      </c>
      <c r="O831" t="str">
        <f t="shared" si="25"/>
        <v>2</v>
      </c>
      <c r="P831" t="str">
        <f t="shared" si="26"/>
        <v>Employee Related Cost</v>
      </c>
    </row>
    <row r="832" spans="1:16" hidden="1" x14ac:dyDescent="0.25">
      <c r="A832" t="s">
        <v>1163</v>
      </c>
      <c r="C832" t="s">
        <v>253</v>
      </c>
      <c r="D832" s="67">
        <v>2000</v>
      </c>
      <c r="E832">
        <v>0</v>
      </c>
      <c r="F832">
        <v>0</v>
      </c>
      <c r="G832">
        <v>1217.71</v>
      </c>
      <c r="H832">
        <v>-1217.71</v>
      </c>
      <c r="I832">
        <v>0</v>
      </c>
      <c r="J832">
        <v>0</v>
      </c>
      <c r="K832" s="249">
        <v>2000</v>
      </c>
      <c r="L832" s="249">
        <v>2000</v>
      </c>
      <c r="M832" s="249">
        <v>2000</v>
      </c>
      <c r="N832" s="249">
        <v>2000</v>
      </c>
      <c r="O832" t="str">
        <f t="shared" si="25"/>
        <v>2</v>
      </c>
      <c r="P832" t="str">
        <f t="shared" si="26"/>
        <v>Operational Cost</v>
      </c>
    </row>
    <row r="833" spans="1:16" hidden="1" x14ac:dyDescent="0.25">
      <c r="A833" t="s">
        <v>1164</v>
      </c>
      <c r="C833" t="s">
        <v>265</v>
      </c>
      <c r="D833" s="67">
        <v>0</v>
      </c>
      <c r="E833">
        <v>0</v>
      </c>
      <c r="F833">
        <v>0</v>
      </c>
      <c r="G833">
        <v>1217.71</v>
      </c>
      <c r="H833">
        <v>-1217.71</v>
      </c>
      <c r="I833">
        <v>0</v>
      </c>
      <c r="J833">
        <v>10000</v>
      </c>
      <c r="K833" s="249">
        <v>10000</v>
      </c>
      <c r="L833" s="249">
        <v>10450</v>
      </c>
      <c r="M833" s="249">
        <v>10930.7</v>
      </c>
      <c r="N833" s="249">
        <v>11433.512200000001</v>
      </c>
      <c r="O833" t="str">
        <f t="shared" si="25"/>
        <v>2</v>
      </c>
      <c r="P833" t="str">
        <f t="shared" si="26"/>
        <v>Operational Cost</v>
      </c>
    </row>
    <row r="834" spans="1:16" hidden="1" x14ac:dyDescent="0.25">
      <c r="A834" t="s">
        <v>1165</v>
      </c>
      <c r="C834" t="s">
        <v>268</v>
      </c>
      <c r="D834" s="67">
        <v>80329</v>
      </c>
      <c r="E834">
        <v>0</v>
      </c>
      <c r="F834">
        <v>0</v>
      </c>
      <c r="G834">
        <v>1217.71</v>
      </c>
      <c r="H834">
        <v>-1217.71</v>
      </c>
      <c r="I834">
        <v>0</v>
      </c>
      <c r="J834">
        <v>40000</v>
      </c>
      <c r="K834" s="249">
        <v>120329</v>
      </c>
      <c r="L834" s="249">
        <v>125743.80499999999</v>
      </c>
      <c r="M834" s="249">
        <v>131528.02002999999</v>
      </c>
      <c r="N834" s="249">
        <v>137578.30895137999</v>
      </c>
      <c r="O834" t="str">
        <f t="shared" si="25"/>
        <v>2</v>
      </c>
      <c r="P834" t="str">
        <f t="shared" si="26"/>
        <v>Operational Cost</v>
      </c>
    </row>
    <row r="835" spans="1:16" hidden="1" x14ac:dyDescent="0.25">
      <c r="A835" t="s">
        <v>1166</v>
      </c>
      <c r="C835" t="s">
        <v>268</v>
      </c>
      <c r="D835" s="67">
        <v>73677</v>
      </c>
      <c r="E835">
        <v>0</v>
      </c>
      <c r="F835">
        <v>0</v>
      </c>
      <c r="G835">
        <v>1217.71</v>
      </c>
      <c r="H835">
        <v>-1217.71</v>
      </c>
      <c r="I835">
        <v>0</v>
      </c>
      <c r="J835">
        <v>30000</v>
      </c>
      <c r="K835" s="249">
        <v>103677</v>
      </c>
      <c r="L835" s="249">
        <v>108342.465</v>
      </c>
      <c r="M835" s="249">
        <v>113326.21838999999</v>
      </c>
      <c r="N835" s="249">
        <v>118539.22443593999</v>
      </c>
      <c r="O835" t="str">
        <f t="shared" ref="O835:O898" si="27">MID(A835,5,1)</f>
        <v>2</v>
      </c>
      <c r="P835" t="str">
        <f t="shared" si="26"/>
        <v>Operational Cost</v>
      </c>
    </row>
    <row r="836" spans="1:16" hidden="1" x14ac:dyDescent="0.25">
      <c r="A836" t="s">
        <v>1167</v>
      </c>
      <c r="C836" t="s">
        <v>269</v>
      </c>
      <c r="D836" s="67">
        <v>21200</v>
      </c>
      <c r="E836">
        <v>0</v>
      </c>
      <c r="F836">
        <v>0</v>
      </c>
      <c r="G836">
        <v>1217.71</v>
      </c>
      <c r="H836">
        <v>-1217.71</v>
      </c>
      <c r="I836">
        <v>0</v>
      </c>
      <c r="J836">
        <v>-15000</v>
      </c>
      <c r="K836" s="249">
        <v>6200</v>
      </c>
      <c r="L836" s="249">
        <v>6479</v>
      </c>
      <c r="M836" s="249">
        <v>6777.0339999999997</v>
      </c>
      <c r="N836" s="249">
        <v>7088.777564</v>
      </c>
      <c r="O836" t="str">
        <f t="shared" si="27"/>
        <v>2</v>
      </c>
      <c r="P836" t="str">
        <f t="shared" si="26"/>
        <v>Operational Cost</v>
      </c>
    </row>
    <row r="837" spans="1:16" hidden="1" x14ac:dyDescent="0.25">
      <c r="A837" t="s">
        <v>1168</v>
      </c>
      <c r="C837" t="s">
        <v>272</v>
      </c>
      <c r="D837" s="67">
        <v>34896</v>
      </c>
      <c r="E837">
        <v>0</v>
      </c>
      <c r="F837">
        <v>0</v>
      </c>
      <c r="G837">
        <v>1217.71</v>
      </c>
      <c r="H837">
        <v>-1217.71</v>
      </c>
      <c r="I837">
        <v>0</v>
      </c>
      <c r="J837">
        <v>-15000</v>
      </c>
      <c r="K837" s="249">
        <v>19896</v>
      </c>
      <c r="L837" s="249">
        <v>20791.32</v>
      </c>
      <c r="M837" s="249">
        <v>21747.720720000001</v>
      </c>
      <c r="N837" s="249">
        <v>22748.115873120001</v>
      </c>
      <c r="O837" t="str">
        <f t="shared" si="27"/>
        <v>2</v>
      </c>
      <c r="P837" t="str">
        <f t="shared" si="26"/>
        <v>Operational Cost</v>
      </c>
    </row>
    <row r="838" spans="1:16" hidden="1" x14ac:dyDescent="0.25">
      <c r="A838" t="s">
        <v>1169</v>
      </c>
      <c r="C838" t="s">
        <v>277</v>
      </c>
      <c r="D838" s="67">
        <v>1967760</v>
      </c>
      <c r="E838">
        <v>0</v>
      </c>
      <c r="F838">
        <v>0</v>
      </c>
      <c r="G838">
        <v>1217.71</v>
      </c>
      <c r="H838">
        <v>-1217.71</v>
      </c>
      <c r="I838">
        <v>0</v>
      </c>
      <c r="J838">
        <v>0</v>
      </c>
      <c r="K838" s="249">
        <v>1967760</v>
      </c>
      <c r="L838" s="249">
        <v>2056309.2</v>
      </c>
      <c r="M838" s="249">
        <v>2150899.4232000001</v>
      </c>
      <c r="N838" s="249">
        <v>2249840.7966672</v>
      </c>
      <c r="O838" t="str">
        <f t="shared" si="27"/>
        <v>2</v>
      </c>
      <c r="P838" t="str">
        <f t="shared" si="26"/>
        <v>Inventory</v>
      </c>
    </row>
    <row r="839" spans="1:16" hidden="1" x14ac:dyDescent="0.25">
      <c r="A839" t="s">
        <v>1171</v>
      </c>
      <c r="C839" t="s">
        <v>150</v>
      </c>
      <c r="D839" s="67">
        <v>2357397</v>
      </c>
      <c r="E839">
        <v>0</v>
      </c>
      <c r="F839">
        <v>0</v>
      </c>
      <c r="G839">
        <v>1217.71</v>
      </c>
      <c r="H839">
        <v>-1217.71</v>
      </c>
      <c r="I839">
        <v>0</v>
      </c>
      <c r="J839">
        <v>0</v>
      </c>
      <c r="K839" s="249">
        <v>2357397</v>
      </c>
      <c r="L839" s="249">
        <v>2504734.3125</v>
      </c>
      <c r="M839" s="249">
        <v>2680065.714375</v>
      </c>
      <c r="N839" s="249">
        <v>2867670.3143812502</v>
      </c>
      <c r="O839" t="str">
        <f t="shared" si="27"/>
        <v>2</v>
      </c>
      <c r="P839" t="str">
        <f t="shared" si="26"/>
        <v>Employee Related Cost</v>
      </c>
    </row>
    <row r="840" spans="1:16" hidden="1" x14ac:dyDescent="0.25">
      <c r="A840" t="s">
        <v>1172</v>
      </c>
      <c r="C840" t="s">
        <v>151</v>
      </c>
      <c r="D840" s="67">
        <v>107339</v>
      </c>
      <c r="E840">
        <v>0</v>
      </c>
      <c r="F840">
        <v>0</v>
      </c>
      <c r="G840">
        <v>1217.71</v>
      </c>
      <c r="H840">
        <v>-1217.71</v>
      </c>
      <c r="I840">
        <v>0</v>
      </c>
      <c r="J840">
        <v>-65003.549999999988</v>
      </c>
      <c r="K840" s="249">
        <v>42335.450000000012</v>
      </c>
      <c r="L840" s="249">
        <v>44981.415625000009</v>
      </c>
      <c r="M840" s="249">
        <v>48130.11471875001</v>
      </c>
      <c r="N840" s="249">
        <v>51499.222749062508</v>
      </c>
      <c r="O840" t="str">
        <f t="shared" si="27"/>
        <v>2</v>
      </c>
      <c r="P840" t="str">
        <f t="shared" si="26"/>
        <v>Employee Related Cost</v>
      </c>
    </row>
    <row r="841" spans="1:16" hidden="1" x14ac:dyDescent="0.25">
      <c r="A841" t="s">
        <v>1173</v>
      </c>
      <c r="C841" t="s">
        <v>152</v>
      </c>
      <c r="D841" s="67">
        <v>14100</v>
      </c>
      <c r="E841">
        <v>0</v>
      </c>
      <c r="F841">
        <v>0</v>
      </c>
      <c r="G841">
        <v>1217.71</v>
      </c>
      <c r="H841">
        <v>-1217.71</v>
      </c>
      <c r="I841">
        <v>0</v>
      </c>
      <c r="J841">
        <v>0</v>
      </c>
      <c r="K841" s="249">
        <v>14100</v>
      </c>
      <c r="L841" s="249">
        <v>14981.25</v>
      </c>
      <c r="M841" s="249">
        <v>16029.9375</v>
      </c>
      <c r="N841" s="249">
        <v>17152.033125000002</v>
      </c>
      <c r="O841" t="str">
        <f t="shared" si="27"/>
        <v>2</v>
      </c>
      <c r="P841" t="str">
        <f t="shared" ref="P841:P870" si="28">VLOOKUP(A841,bud_321,16,FALSE)</f>
        <v>Employee Related Cost</v>
      </c>
    </row>
    <row r="842" spans="1:16" hidden="1" x14ac:dyDescent="0.25">
      <c r="A842" t="s">
        <v>1174</v>
      </c>
      <c r="C842" t="s">
        <v>153</v>
      </c>
      <c r="D842" s="67">
        <v>21786</v>
      </c>
      <c r="E842">
        <v>0</v>
      </c>
      <c r="F842">
        <v>0</v>
      </c>
      <c r="G842">
        <v>1217.71</v>
      </c>
      <c r="H842">
        <v>-1217.71</v>
      </c>
      <c r="I842">
        <v>0</v>
      </c>
      <c r="J842">
        <v>0</v>
      </c>
      <c r="K842" s="249">
        <v>21786</v>
      </c>
      <c r="L842" s="249">
        <v>23147.625</v>
      </c>
      <c r="M842" s="249">
        <v>24767.958750000002</v>
      </c>
      <c r="N842" s="249">
        <v>26501.715862500001</v>
      </c>
      <c r="O842" t="str">
        <f t="shared" si="27"/>
        <v>2</v>
      </c>
      <c r="P842" t="str">
        <f t="shared" si="28"/>
        <v>Employee Related Cost</v>
      </c>
    </row>
    <row r="843" spans="1:16" hidden="1" x14ac:dyDescent="0.25">
      <c r="A843" t="s">
        <v>1175</v>
      </c>
      <c r="C843" t="s">
        <v>155</v>
      </c>
      <c r="D843" s="67">
        <v>76225</v>
      </c>
      <c r="E843">
        <v>0</v>
      </c>
      <c r="F843">
        <v>0</v>
      </c>
      <c r="G843">
        <v>1217.71</v>
      </c>
      <c r="H843">
        <v>-1217.71</v>
      </c>
      <c r="I843">
        <v>0</v>
      </c>
      <c r="J843">
        <v>0</v>
      </c>
      <c r="K843" s="249">
        <v>76225</v>
      </c>
      <c r="L843" s="249">
        <v>80989.0625</v>
      </c>
      <c r="M843" s="249">
        <v>86658.296875</v>
      </c>
      <c r="N843" s="249">
        <v>92724.377656249999</v>
      </c>
      <c r="O843" t="str">
        <f t="shared" si="27"/>
        <v>2</v>
      </c>
      <c r="P843" t="str">
        <f t="shared" si="28"/>
        <v>Employee Related Cost</v>
      </c>
    </row>
    <row r="844" spans="1:16" hidden="1" x14ac:dyDescent="0.25">
      <c r="A844" t="s">
        <v>1176</v>
      </c>
      <c r="C844" t="s">
        <v>156</v>
      </c>
      <c r="D844" s="67">
        <v>91702</v>
      </c>
      <c r="E844">
        <v>0</v>
      </c>
      <c r="F844">
        <v>0</v>
      </c>
      <c r="G844">
        <v>1217.71</v>
      </c>
      <c r="H844">
        <v>-1217.71</v>
      </c>
      <c r="I844">
        <v>0</v>
      </c>
      <c r="J844">
        <v>0</v>
      </c>
      <c r="K844" s="249">
        <v>91702</v>
      </c>
      <c r="L844" s="249">
        <v>97433.375</v>
      </c>
      <c r="M844" s="249">
        <v>104253.71124999999</v>
      </c>
      <c r="N844" s="249">
        <v>111551.4710375</v>
      </c>
      <c r="O844" t="str">
        <f t="shared" si="27"/>
        <v>2</v>
      </c>
      <c r="P844" t="str">
        <f t="shared" si="28"/>
        <v>Employee Related Cost</v>
      </c>
    </row>
    <row r="845" spans="1:16" hidden="1" x14ac:dyDescent="0.25">
      <c r="A845" t="s">
        <v>1177</v>
      </c>
      <c r="C845" t="s">
        <v>157</v>
      </c>
      <c r="D845" s="67">
        <v>98324</v>
      </c>
      <c r="E845">
        <v>0</v>
      </c>
      <c r="F845">
        <v>0</v>
      </c>
      <c r="G845">
        <v>1217.71</v>
      </c>
      <c r="H845">
        <v>-1217.71</v>
      </c>
      <c r="I845">
        <v>0</v>
      </c>
      <c r="J845">
        <v>-60000</v>
      </c>
      <c r="K845" s="249">
        <v>38324</v>
      </c>
      <c r="L845" s="249">
        <v>40719.25</v>
      </c>
      <c r="M845" s="249">
        <v>43569.597500000003</v>
      </c>
      <c r="N845" s="249">
        <v>46619.469325000005</v>
      </c>
      <c r="O845" t="str">
        <f t="shared" si="27"/>
        <v>2</v>
      </c>
      <c r="P845" t="str">
        <f t="shared" si="28"/>
        <v>Employee Related Cost</v>
      </c>
    </row>
    <row r="846" spans="1:16" hidden="1" x14ac:dyDescent="0.25">
      <c r="A846" t="s">
        <v>1178</v>
      </c>
      <c r="C846" t="s">
        <v>159</v>
      </c>
      <c r="D846" s="67">
        <v>193210</v>
      </c>
      <c r="E846">
        <v>0</v>
      </c>
      <c r="F846">
        <v>0</v>
      </c>
      <c r="G846">
        <v>1217.71</v>
      </c>
      <c r="H846">
        <v>-1217.71</v>
      </c>
      <c r="I846">
        <v>0</v>
      </c>
      <c r="J846">
        <v>0</v>
      </c>
      <c r="K846" s="249">
        <v>193210</v>
      </c>
      <c r="L846" s="249">
        <v>205285.625</v>
      </c>
      <c r="M846" s="249">
        <v>219655.61874999999</v>
      </c>
      <c r="N846" s="249">
        <v>235031.5120625</v>
      </c>
      <c r="O846" t="str">
        <f t="shared" si="27"/>
        <v>2</v>
      </c>
      <c r="P846" t="str">
        <f t="shared" si="28"/>
        <v>Employee Related Cost</v>
      </c>
    </row>
    <row r="847" spans="1:16" hidden="1" x14ac:dyDescent="0.25">
      <c r="A847" t="s">
        <v>1179</v>
      </c>
      <c r="C847" t="s">
        <v>162</v>
      </c>
      <c r="D847" s="67">
        <v>0</v>
      </c>
      <c r="E847">
        <v>0</v>
      </c>
      <c r="F847">
        <v>0</v>
      </c>
      <c r="G847">
        <v>1217.71</v>
      </c>
      <c r="H847">
        <v>-1217.71</v>
      </c>
      <c r="I847">
        <v>0</v>
      </c>
      <c r="J847">
        <v>60000</v>
      </c>
      <c r="K847" s="249">
        <v>60000</v>
      </c>
      <c r="L847" s="249">
        <v>63750</v>
      </c>
      <c r="M847" s="249">
        <v>68212.5</v>
      </c>
      <c r="N847" s="249">
        <v>72987.375</v>
      </c>
      <c r="O847" t="str">
        <f t="shared" si="27"/>
        <v>2</v>
      </c>
      <c r="P847" t="str">
        <f t="shared" si="28"/>
        <v>Employee Related Cost</v>
      </c>
    </row>
    <row r="848" spans="1:16" hidden="1" x14ac:dyDescent="0.25">
      <c r="A848" t="s">
        <v>1180</v>
      </c>
      <c r="C848" t="s">
        <v>167</v>
      </c>
      <c r="D848" s="67">
        <v>1124</v>
      </c>
      <c r="E848">
        <v>0</v>
      </c>
      <c r="F848">
        <v>0</v>
      </c>
      <c r="G848">
        <v>1217.71</v>
      </c>
      <c r="H848">
        <v>-1217.71</v>
      </c>
      <c r="I848">
        <v>0</v>
      </c>
      <c r="J848">
        <v>0</v>
      </c>
      <c r="K848" s="249">
        <v>1124</v>
      </c>
      <c r="L848" s="249">
        <v>1194.25</v>
      </c>
      <c r="M848" s="249">
        <v>1277.8475000000001</v>
      </c>
      <c r="N848" s="249">
        <v>1367.2968250000001</v>
      </c>
      <c r="O848" t="str">
        <f t="shared" si="27"/>
        <v>2</v>
      </c>
      <c r="P848" t="str">
        <f t="shared" si="28"/>
        <v>Employee Related Cost</v>
      </c>
    </row>
    <row r="849" spans="1:16" hidden="1" x14ac:dyDescent="0.25">
      <c r="A849" t="s">
        <v>1181</v>
      </c>
      <c r="C849" t="s">
        <v>168</v>
      </c>
      <c r="D849" s="67">
        <v>100786</v>
      </c>
      <c r="E849">
        <v>0</v>
      </c>
      <c r="F849">
        <v>0</v>
      </c>
      <c r="G849">
        <v>1217.71</v>
      </c>
      <c r="H849">
        <v>-1217.71</v>
      </c>
      <c r="I849">
        <v>0</v>
      </c>
      <c r="J849">
        <v>0</v>
      </c>
      <c r="K849" s="249">
        <v>100786</v>
      </c>
      <c r="L849" s="249">
        <v>107085.125</v>
      </c>
      <c r="M849" s="249">
        <v>114581.08375000001</v>
      </c>
      <c r="N849" s="249">
        <v>122601.7596125</v>
      </c>
      <c r="O849" t="str">
        <f t="shared" si="27"/>
        <v>2</v>
      </c>
      <c r="P849" t="str">
        <f t="shared" si="28"/>
        <v>Employee Related Cost</v>
      </c>
    </row>
    <row r="850" spans="1:16" hidden="1" x14ac:dyDescent="0.25">
      <c r="A850" t="s">
        <v>1182</v>
      </c>
      <c r="C850" t="s">
        <v>169</v>
      </c>
      <c r="D850" s="67">
        <v>510074</v>
      </c>
      <c r="E850">
        <v>0</v>
      </c>
      <c r="F850">
        <v>0</v>
      </c>
      <c r="G850">
        <v>1217.71</v>
      </c>
      <c r="H850">
        <v>-1217.71</v>
      </c>
      <c r="I850">
        <v>0</v>
      </c>
      <c r="J850">
        <v>0</v>
      </c>
      <c r="K850" s="249">
        <v>510074</v>
      </c>
      <c r="L850" s="249">
        <v>541953.625</v>
      </c>
      <c r="M850" s="249">
        <v>579890.37875000003</v>
      </c>
      <c r="N850" s="249">
        <v>620482.70526250009</v>
      </c>
      <c r="O850" t="str">
        <f t="shared" si="27"/>
        <v>2</v>
      </c>
      <c r="P850" t="str">
        <f t="shared" si="28"/>
        <v>Employee Related Cost</v>
      </c>
    </row>
    <row r="851" spans="1:16" hidden="1" x14ac:dyDescent="0.25">
      <c r="A851" t="s">
        <v>1183</v>
      </c>
      <c r="C851" t="s">
        <v>170</v>
      </c>
      <c r="D851" s="67">
        <v>19635</v>
      </c>
      <c r="E851">
        <v>0</v>
      </c>
      <c r="F851">
        <v>0</v>
      </c>
      <c r="G851">
        <v>1217.71</v>
      </c>
      <c r="H851">
        <v>-1217.71</v>
      </c>
      <c r="I851">
        <v>0</v>
      </c>
      <c r="J851">
        <v>0</v>
      </c>
      <c r="K851" s="249">
        <v>19635</v>
      </c>
      <c r="L851" s="249">
        <v>20862.1875</v>
      </c>
      <c r="M851" s="249">
        <v>22322.540625000001</v>
      </c>
      <c r="N851" s="249">
        <v>23885.118468750003</v>
      </c>
      <c r="O851" t="str">
        <f t="shared" si="27"/>
        <v>2</v>
      </c>
      <c r="P851" t="str">
        <f t="shared" si="28"/>
        <v>Employee Related Cost</v>
      </c>
    </row>
    <row r="852" spans="1:16" hidden="1" x14ac:dyDescent="0.25">
      <c r="A852" t="s">
        <v>1184</v>
      </c>
      <c r="C852" t="s">
        <v>173</v>
      </c>
      <c r="D852" s="67">
        <v>13532</v>
      </c>
      <c r="E852">
        <v>0</v>
      </c>
      <c r="F852">
        <v>0</v>
      </c>
      <c r="G852">
        <v>1217.71</v>
      </c>
      <c r="H852">
        <v>-1217.71</v>
      </c>
      <c r="I852">
        <v>0</v>
      </c>
      <c r="J852">
        <v>0</v>
      </c>
      <c r="K852" s="249">
        <v>13532</v>
      </c>
      <c r="L852" s="249">
        <v>14377.75</v>
      </c>
      <c r="M852" s="249">
        <v>15384.192499999999</v>
      </c>
      <c r="N852" s="249">
        <v>16461.085974999998</v>
      </c>
      <c r="O852" t="str">
        <f t="shared" si="27"/>
        <v>2</v>
      </c>
      <c r="P852" t="str">
        <f t="shared" si="28"/>
        <v>Employee Related Cost</v>
      </c>
    </row>
    <row r="853" spans="1:16" hidden="1" x14ac:dyDescent="0.25">
      <c r="A853" t="s">
        <v>1185</v>
      </c>
      <c r="C853" t="s">
        <v>174</v>
      </c>
      <c r="D853" s="67">
        <v>8126</v>
      </c>
      <c r="E853">
        <v>0</v>
      </c>
      <c r="F853">
        <v>0</v>
      </c>
      <c r="G853">
        <v>1217.71</v>
      </c>
      <c r="H853">
        <v>-1217.71</v>
      </c>
      <c r="I853">
        <v>0</v>
      </c>
      <c r="J853">
        <v>0</v>
      </c>
      <c r="K853" s="249">
        <v>8126</v>
      </c>
      <c r="L853" s="249">
        <v>8633.875</v>
      </c>
      <c r="M853" s="249">
        <v>9238.2462500000001</v>
      </c>
      <c r="N853" s="249">
        <v>9884.9234875000002</v>
      </c>
      <c r="O853" t="str">
        <f t="shared" si="27"/>
        <v>2</v>
      </c>
      <c r="P853" t="str">
        <f t="shared" si="28"/>
        <v>Employee Related Cost</v>
      </c>
    </row>
    <row r="854" spans="1:16" hidden="1" x14ac:dyDescent="0.25">
      <c r="A854" t="s">
        <v>1186</v>
      </c>
      <c r="C854" t="s">
        <v>175</v>
      </c>
      <c r="D854" s="67">
        <v>23049</v>
      </c>
      <c r="E854">
        <v>0</v>
      </c>
      <c r="F854">
        <v>0</v>
      </c>
      <c r="G854">
        <v>1217.71</v>
      </c>
      <c r="H854">
        <v>-1217.71</v>
      </c>
      <c r="I854">
        <v>0</v>
      </c>
      <c r="J854">
        <v>0</v>
      </c>
      <c r="K854" s="249">
        <v>23049</v>
      </c>
      <c r="L854" s="249">
        <v>24489.5625</v>
      </c>
      <c r="M854" s="249">
        <v>26203.831875</v>
      </c>
      <c r="N854" s="249">
        <v>28038.10010625</v>
      </c>
      <c r="O854" t="str">
        <f t="shared" si="27"/>
        <v>2</v>
      </c>
      <c r="P854" t="str">
        <f t="shared" si="28"/>
        <v>Employee Related Cost</v>
      </c>
    </row>
    <row r="855" spans="1:16" hidden="1" x14ac:dyDescent="0.25">
      <c r="A855" t="s">
        <v>1187</v>
      </c>
      <c r="B855" t="s">
        <v>3055</v>
      </c>
      <c r="C855" t="s">
        <v>235</v>
      </c>
      <c r="D855" s="67">
        <v>2700000</v>
      </c>
      <c r="E855">
        <v>0</v>
      </c>
      <c r="F855">
        <v>0</v>
      </c>
      <c r="G855">
        <v>1217.71</v>
      </c>
      <c r="H855">
        <v>-1217.71</v>
      </c>
      <c r="I855">
        <v>0</v>
      </c>
      <c r="J855">
        <v>0</v>
      </c>
      <c r="K855" s="249">
        <v>2700000</v>
      </c>
      <c r="L855" s="249">
        <v>2000000</v>
      </c>
      <c r="M855" s="249">
        <v>2092000</v>
      </c>
      <c r="N855" s="249">
        <v>2188232</v>
      </c>
      <c r="O855" t="str">
        <f t="shared" si="27"/>
        <v>2</v>
      </c>
      <c r="P855" t="str">
        <f t="shared" si="28"/>
        <v>Contracted Services</v>
      </c>
    </row>
    <row r="856" spans="1:16" hidden="1" x14ac:dyDescent="0.25">
      <c r="A856" t="s">
        <v>1188</v>
      </c>
      <c r="C856" t="s">
        <v>235</v>
      </c>
      <c r="D856" s="67">
        <v>900000</v>
      </c>
      <c r="E856">
        <v>0</v>
      </c>
      <c r="F856">
        <v>0</v>
      </c>
      <c r="G856">
        <v>1217.71</v>
      </c>
      <c r="H856">
        <v>-1217.71</v>
      </c>
      <c r="I856">
        <v>0</v>
      </c>
      <c r="J856">
        <v>0</v>
      </c>
      <c r="K856" s="249">
        <v>900000</v>
      </c>
      <c r="L856" s="249">
        <v>0</v>
      </c>
      <c r="M856" s="249">
        <v>0</v>
      </c>
      <c r="N856" s="249">
        <v>0</v>
      </c>
      <c r="O856" t="str">
        <f t="shared" si="27"/>
        <v>2</v>
      </c>
      <c r="P856" t="str">
        <f t="shared" si="28"/>
        <v>Contracted Services</v>
      </c>
    </row>
    <row r="857" spans="1:16" hidden="1" x14ac:dyDescent="0.25">
      <c r="A857" t="s">
        <v>1189</v>
      </c>
      <c r="C857" t="s">
        <v>236</v>
      </c>
      <c r="D857" s="67">
        <v>1800000</v>
      </c>
      <c r="E857">
        <v>0</v>
      </c>
      <c r="F857">
        <v>0</v>
      </c>
      <c r="G857">
        <v>1217.71</v>
      </c>
      <c r="H857">
        <v>-1217.71</v>
      </c>
      <c r="I857">
        <v>0</v>
      </c>
      <c r="J857">
        <v>0</v>
      </c>
      <c r="K857" s="249">
        <v>1800000</v>
      </c>
      <c r="L857" s="249">
        <v>1881000</v>
      </c>
      <c r="M857" s="249">
        <v>1967526</v>
      </c>
      <c r="N857" s="249">
        <v>2058032.196</v>
      </c>
      <c r="O857" t="str">
        <f t="shared" si="27"/>
        <v>2</v>
      </c>
      <c r="P857" t="str">
        <f t="shared" si="28"/>
        <v>Contracted Services</v>
      </c>
    </row>
    <row r="858" spans="1:16" hidden="1" x14ac:dyDescent="0.25">
      <c r="A858" t="s">
        <v>1190</v>
      </c>
      <c r="C858" t="s">
        <v>256</v>
      </c>
      <c r="D858" s="67">
        <v>36722</v>
      </c>
      <c r="E858">
        <v>0</v>
      </c>
      <c r="F858">
        <v>0</v>
      </c>
      <c r="G858">
        <v>1217.71</v>
      </c>
      <c r="H858">
        <v>-1217.71</v>
      </c>
      <c r="I858">
        <v>0</v>
      </c>
      <c r="J858">
        <v>0</v>
      </c>
      <c r="K858" s="249">
        <v>36722</v>
      </c>
      <c r="L858" s="249">
        <v>38374.49</v>
      </c>
      <c r="M858" s="249">
        <v>40139.716540000001</v>
      </c>
      <c r="N858" s="249">
        <v>41986.14350084</v>
      </c>
      <c r="O858" t="str">
        <f t="shared" si="27"/>
        <v>2</v>
      </c>
      <c r="P858" t="str">
        <f t="shared" si="28"/>
        <v>Operational Cost</v>
      </c>
    </row>
    <row r="859" spans="1:16" hidden="1" x14ac:dyDescent="0.25">
      <c r="A859" t="s">
        <v>1191</v>
      </c>
      <c r="C859" t="s">
        <v>265</v>
      </c>
      <c r="D859" s="67">
        <v>48487</v>
      </c>
      <c r="E859">
        <v>0</v>
      </c>
      <c r="F859">
        <v>0</v>
      </c>
      <c r="G859">
        <v>1217.71</v>
      </c>
      <c r="H859">
        <v>-1217.71</v>
      </c>
      <c r="I859">
        <v>0</v>
      </c>
      <c r="J859">
        <v>0</v>
      </c>
      <c r="K859" s="249">
        <v>48487</v>
      </c>
      <c r="L859" s="249">
        <v>50668.915000000001</v>
      </c>
      <c r="M859" s="249">
        <v>52999.685089999999</v>
      </c>
      <c r="N859" s="249">
        <v>55437.670604139996</v>
      </c>
      <c r="O859" t="str">
        <f t="shared" si="27"/>
        <v>2</v>
      </c>
      <c r="P859" t="str">
        <f t="shared" si="28"/>
        <v>Operational Cost</v>
      </c>
    </row>
    <row r="860" spans="1:16" hidden="1" x14ac:dyDescent="0.25">
      <c r="A860" t="s">
        <v>1192</v>
      </c>
      <c r="C860" t="s">
        <v>268</v>
      </c>
      <c r="D860" s="67">
        <v>0</v>
      </c>
      <c r="E860">
        <v>0</v>
      </c>
      <c r="F860">
        <v>0</v>
      </c>
      <c r="G860">
        <v>1217.71</v>
      </c>
      <c r="H860">
        <v>-1217.71</v>
      </c>
      <c r="I860">
        <v>0</v>
      </c>
      <c r="J860">
        <v>90000</v>
      </c>
      <c r="K860" s="249">
        <v>90000</v>
      </c>
      <c r="L860" s="249">
        <v>94050</v>
      </c>
      <c r="M860" s="249">
        <v>98376.3</v>
      </c>
      <c r="N860" s="249">
        <v>102901.60980000001</v>
      </c>
      <c r="O860" t="str">
        <f t="shared" si="27"/>
        <v>2</v>
      </c>
      <c r="P860" t="str">
        <f t="shared" si="28"/>
        <v>Operational Cost</v>
      </c>
    </row>
    <row r="861" spans="1:16" hidden="1" x14ac:dyDescent="0.25">
      <c r="A861" t="s">
        <v>1193</v>
      </c>
      <c r="C861" t="s">
        <v>276</v>
      </c>
      <c r="D861" s="67">
        <v>0</v>
      </c>
      <c r="E861">
        <v>0</v>
      </c>
      <c r="F861">
        <v>0</v>
      </c>
      <c r="G861">
        <v>1217.71</v>
      </c>
      <c r="H861">
        <v>-1217.71</v>
      </c>
      <c r="I861">
        <v>0</v>
      </c>
      <c r="J861">
        <v>95109</v>
      </c>
      <c r="K861" s="249">
        <v>95109</v>
      </c>
      <c r="L861" s="249">
        <v>99388.904999999999</v>
      </c>
      <c r="M861" s="249">
        <v>103960.79463</v>
      </c>
      <c r="N861" s="249">
        <v>108742.99118298001</v>
      </c>
      <c r="O861" t="str">
        <f t="shared" si="27"/>
        <v>2</v>
      </c>
      <c r="P861" t="str">
        <f t="shared" si="28"/>
        <v>Inventory</v>
      </c>
    </row>
    <row r="862" spans="1:16" hidden="1" x14ac:dyDescent="0.25">
      <c r="A862" t="s">
        <v>1194</v>
      </c>
      <c r="C862" t="s">
        <v>291</v>
      </c>
      <c r="D862" s="67">
        <v>0</v>
      </c>
      <c r="E862">
        <v>0</v>
      </c>
      <c r="F862">
        <v>0</v>
      </c>
      <c r="G862">
        <v>1217.71</v>
      </c>
      <c r="H862">
        <v>-1217.71</v>
      </c>
      <c r="I862">
        <v>0</v>
      </c>
      <c r="J862">
        <v>0</v>
      </c>
      <c r="K862" s="249">
        <v>0</v>
      </c>
      <c r="L862" s="249">
        <v>0</v>
      </c>
      <c r="M862" s="249">
        <v>0</v>
      </c>
      <c r="N862" s="249">
        <v>0</v>
      </c>
      <c r="O862" t="str">
        <f t="shared" si="27"/>
        <v>2</v>
      </c>
      <c r="P862" t="str">
        <f t="shared" si="28"/>
        <v>Depreciation &amp; Amortisation</v>
      </c>
    </row>
    <row r="863" spans="1:16" hidden="1" x14ac:dyDescent="0.25">
      <c r="A863" t="s">
        <v>1195</v>
      </c>
      <c r="C863" t="s">
        <v>292</v>
      </c>
      <c r="D863" s="67">
        <v>0</v>
      </c>
      <c r="E863">
        <v>0</v>
      </c>
      <c r="F863">
        <v>0</v>
      </c>
      <c r="G863">
        <v>1217.71</v>
      </c>
      <c r="H863">
        <v>-1217.71</v>
      </c>
      <c r="I863">
        <v>0</v>
      </c>
      <c r="J863">
        <v>0</v>
      </c>
      <c r="K863" s="249">
        <v>0</v>
      </c>
      <c r="L863" s="249">
        <v>0</v>
      </c>
      <c r="M863" s="249">
        <v>0</v>
      </c>
      <c r="N863" s="249">
        <v>0</v>
      </c>
      <c r="O863" t="str">
        <f t="shared" si="27"/>
        <v>2</v>
      </c>
      <c r="P863" t="str">
        <f t="shared" si="28"/>
        <v>Depreciation &amp; Amortisation</v>
      </c>
    </row>
    <row r="864" spans="1:16" hidden="1" x14ac:dyDescent="0.25">
      <c r="A864" t="s">
        <v>1196</v>
      </c>
      <c r="C864" t="s">
        <v>293</v>
      </c>
      <c r="D864" s="67">
        <v>476</v>
      </c>
      <c r="E864">
        <v>0</v>
      </c>
      <c r="F864">
        <v>0</v>
      </c>
      <c r="G864">
        <v>1217.71</v>
      </c>
      <c r="H864">
        <v>-1217.71</v>
      </c>
      <c r="I864">
        <v>0</v>
      </c>
      <c r="J864">
        <v>0</v>
      </c>
      <c r="K864" s="249">
        <v>476</v>
      </c>
      <c r="L864" s="249">
        <v>497.42</v>
      </c>
      <c r="M864" s="249">
        <v>520.30132000000003</v>
      </c>
      <c r="N864" s="249">
        <v>544.23518072000002</v>
      </c>
      <c r="O864" t="str">
        <f t="shared" si="27"/>
        <v>2</v>
      </c>
      <c r="P864" t="str">
        <f t="shared" si="28"/>
        <v>Depreciation &amp; Amortisation</v>
      </c>
    </row>
    <row r="865" spans="1:16" hidden="1" x14ac:dyDescent="0.25">
      <c r="A865" t="s">
        <v>1197</v>
      </c>
      <c r="C865" t="s">
        <v>294</v>
      </c>
      <c r="D865" s="67">
        <v>0</v>
      </c>
      <c r="E865">
        <v>0</v>
      </c>
      <c r="F865">
        <v>0</v>
      </c>
      <c r="G865">
        <v>1217.71</v>
      </c>
      <c r="H865">
        <v>-1217.71</v>
      </c>
      <c r="I865">
        <v>0</v>
      </c>
      <c r="J865">
        <v>3513156.6700000199</v>
      </c>
      <c r="K865" s="249">
        <v>3513156.6700000199</v>
      </c>
      <c r="L865" s="249">
        <v>3671248.7201500209</v>
      </c>
      <c r="M865" s="249">
        <v>3840126.1612769216</v>
      </c>
      <c r="N865" s="249">
        <v>4016771.9646956599</v>
      </c>
      <c r="O865" t="str">
        <f t="shared" si="27"/>
        <v>2</v>
      </c>
      <c r="P865" t="str">
        <f t="shared" si="28"/>
        <v>Depreciation &amp; Amortisation</v>
      </c>
    </row>
    <row r="866" spans="1:16" hidden="1" x14ac:dyDescent="0.25">
      <c r="A866" t="s">
        <v>1198</v>
      </c>
      <c r="C866" t="s">
        <v>296</v>
      </c>
      <c r="D866" s="67">
        <v>530622</v>
      </c>
      <c r="E866">
        <v>0</v>
      </c>
      <c r="F866">
        <v>0</v>
      </c>
      <c r="G866">
        <v>1217.71</v>
      </c>
      <c r="H866">
        <v>-1217.71</v>
      </c>
      <c r="I866">
        <v>0</v>
      </c>
      <c r="J866">
        <v>0</v>
      </c>
      <c r="K866" s="249">
        <v>530622</v>
      </c>
      <c r="L866" s="249">
        <v>554499.99</v>
      </c>
      <c r="M866" s="249">
        <v>580006.98953999998</v>
      </c>
      <c r="N866" s="249">
        <v>606687.31105884002</v>
      </c>
      <c r="O866" t="str">
        <f t="shared" si="27"/>
        <v>2</v>
      </c>
      <c r="P866" t="str">
        <f t="shared" si="28"/>
        <v>Depreciation &amp; Amortisation</v>
      </c>
    </row>
    <row r="867" spans="1:16" hidden="1" x14ac:dyDescent="0.25">
      <c r="A867" t="s">
        <v>1199</v>
      </c>
      <c r="C867" t="s">
        <v>297</v>
      </c>
      <c r="D867" s="67">
        <v>168850</v>
      </c>
      <c r="E867">
        <v>0</v>
      </c>
      <c r="F867">
        <v>0</v>
      </c>
      <c r="G867">
        <v>1217.71</v>
      </c>
      <c r="H867">
        <v>-1217.71</v>
      </c>
      <c r="I867">
        <v>0</v>
      </c>
      <c r="J867">
        <v>0</v>
      </c>
      <c r="K867" s="249">
        <v>168850</v>
      </c>
      <c r="L867" s="249">
        <v>176448.25</v>
      </c>
      <c r="M867" s="249">
        <v>184564.8695</v>
      </c>
      <c r="N867" s="249">
        <v>193054.853497</v>
      </c>
      <c r="O867" t="str">
        <f t="shared" si="27"/>
        <v>2</v>
      </c>
      <c r="P867" t="str">
        <f t="shared" si="28"/>
        <v>Depreciation &amp; Amortisation</v>
      </c>
    </row>
    <row r="868" spans="1:16" hidden="1" x14ac:dyDescent="0.25">
      <c r="A868" t="s">
        <v>1200</v>
      </c>
      <c r="C868" t="s">
        <v>298</v>
      </c>
      <c r="D868" s="67">
        <v>2276857</v>
      </c>
      <c r="E868">
        <v>0</v>
      </c>
      <c r="F868">
        <v>0</v>
      </c>
      <c r="G868">
        <v>1217.71</v>
      </c>
      <c r="H868">
        <v>-1217.71</v>
      </c>
      <c r="I868">
        <v>0</v>
      </c>
      <c r="J868">
        <v>2182253</v>
      </c>
      <c r="K868" s="249">
        <v>4459110</v>
      </c>
      <c r="L868" s="249">
        <v>4659769.95</v>
      </c>
      <c r="M868" s="249">
        <v>4874119.3677000003</v>
      </c>
      <c r="N868" s="249">
        <v>5098328.8586142007</v>
      </c>
      <c r="O868" t="str">
        <f t="shared" si="27"/>
        <v>2</v>
      </c>
      <c r="P868" t="str">
        <f t="shared" si="28"/>
        <v>Depreciation &amp; Amortisation</v>
      </c>
    </row>
    <row r="869" spans="1:16" hidden="1" x14ac:dyDescent="0.25">
      <c r="A869" t="s">
        <v>1201</v>
      </c>
      <c r="C869" t="s">
        <v>303</v>
      </c>
      <c r="D869" s="67">
        <v>3371</v>
      </c>
      <c r="E869">
        <v>0</v>
      </c>
      <c r="F869">
        <v>0</v>
      </c>
      <c r="G869">
        <v>1217.71</v>
      </c>
      <c r="H869">
        <v>-1217.71</v>
      </c>
      <c r="I869">
        <v>0</v>
      </c>
      <c r="J869">
        <v>0</v>
      </c>
      <c r="K869" s="249">
        <v>3371</v>
      </c>
      <c r="L869" s="249">
        <v>3522.6950000000002</v>
      </c>
      <c r="M869" s="249">
        <v>3684.7389700000003</v>
      </c>
      <c r="N869" s="249">
        <v>3854.2369626200002</v>
      </c>
      <c r="O869" t="str">
        <f t="shared" si="27"/>
        <v>2</v>
      </c>
      <c r="P869" t="str">
        <f t="shared" si="28"/>
        <v>Depreciation &amp; Amortisation</v>
      </c>
    </row>
    <row r="870" spans="1:16" x14ac:dyDescent="0.25">
      <c r="A870" s="251" t="s">
        <v>3082</v>
      </c>
      <c r="C870" t="s">
        <v>3043</v>
      </c>
      <c r="D870" s="67">
        <v>0</v>
      </c>
      <c r="M870" s="249">
        <v>12259030</v>
      </c>
      <c r="N870" s="249">
        <v>6000000</v>
      </c>
      <c r="O870" t="str">
        <f t="shared" si="27"/>
        <v>6</v>
      </c>
      <c r="P870">
        <f t="shared" si="28"/>
        <v>0</v>
      </c>
    </row>
    <row r="871" spans="1:16" x14ac:dyDescent="0.25">
      <c r="A871" t="s">
        <v>3083</v>
      </c>
      <c r="C871" t="s">
        <v>3067</v>
      </c>
      <c r="D871" s="67">
        <v>0</v>
      </c>
      <c r="K871" s="249">
        <v>0</v>
      </c>
      <c r="L871" s="249">
        <v>0</v>
      </c>
      <c r="M871" s="249">
        <v>2000000</v>
      </c>
      <c r="N871" s="249">
        <v>6000000</v>
      </c>
      <c r="O871" t="str">
        <f t="shared" si="27"/>
        <v>6</v>
      </c>
      <c r="P871">
        <v>0</v>
      </c>
    </row>
    <row r="872" spans="1:16" x14ac:dyDescent="0.25">
      <c r="A872" t="s">
        <v>3084</v>
      </c>
      <c r="C872" t="s">
        <v>3068</v>
      </c>
      <c r="D872" s="67">
        <v>0</v>
      </c>
      <c r="K872" s="249">
        <v>0</v>
      </c>
      <c r="L872" s="249">
        <v>0</v>
      </c>
      <c r="M872" s="249">
        <v>2000000</v>
      </c>
      <c r="N872" s="249">
        <v>6000000</v>
      </c>
      <c r="O872" t="str">
        <f t="shared" si="27"/>
        <v>6</v>
      </c>
      <c r="P872">
        <v>0</v>
      </c>
    </row>
    <row r="873" spans="1:16" x14ac:dyDescent="0.25">
      <c r="A873" t="s">
        <v>3085</v>
      </c>
      <c r="C873" t="s">
        <v>3069</v>
      </c>
      <c r="M873" s="249">
        <v>2000000</v>
      </c>
      <c r="N873" s="249">
        <v>5905050</v>
      </c>
      <c r="O873" t="str">
        <f t="shared" si="27"/>
        <v>6</v>
      </c>
      <c r="P873">
        <v>0</v>
      </c>
    </row>
    <row r="874" spans="1:16" x14ac:dyDescent="0.25">
      <c r="A874" t="s">
        <v>3086</v>
      </c>
      <c r="C874" t="s">
        <v>3070</v>
      </c>
      <c r="D874" s="67">
        <v>0</v>
      </c>
      <c r="K874" s="249">
        <v>0</v>
      </c>
      <c r="L874" s="249">
        <v>0</v>
      </c>
      <c r="M874" s="249">
        <v>2500000</v>
      </c>
      <c r="N874" s="249">
        <v>6897350</v>
      </c>
      <c r="O874" t="str">
        <f t="shared" si="27"/>
        <v>6</v>
      </c>
      <c r="P874">
        <v>0</v>
      </c>
    </row>
    <row r="875" spans="1:16" hidden="1" x14ac:dyDescent="0.25">
      <c r="A875" t="s">
        <v>1202</v>
      </c>
      <c r="C875" t="s">
        <v>1203</v>
      </c>
      <c r="D875" s="67">
        <v>1000000</v>
      </c>
      <c r="E875">
        <v>0</v>
      </c>
      <c r="F875">
        <v>0</v>
      </c>
      <c r="G875">
        <v>1217.71</v>
      </c>
      <c r="H875">
        <v>-1217.71</v>
      </c>
      <c r="I875">
        <v>0</v>
      </c>
      <c r="J875">
        <v>-37820</v>
      </c>
      <c r="K875" s="249">
        <v>962180</v>
      </c>
      <c r="L875" s="249">
        <v>0</v>
      </c>
      <c r="M875" s="249">
        <v>0</v>
      </c>
      <c r="O875" t="str">
        <f t="shared" si="27"/>
        <v>6</v>
      </c>
      <c r="P875">
        <f t="shared" ref="P875:P906" si="29">VLOOKUP(A875,bud_321,16,FALSE)</f>
        <v>0</v>
      </c>
    </row>
    <row r="876" spans="1:16" hidden="1" x14ac:dyDescent="0.25">
      <c r="A876" t="s">
        <v>3008</v>
      </c>
      <c r="C876" t="s">
        <v>1349</v>
      </c>
      <c r="D876" s="67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L876" s="249">
        <v>0</v>
      </c>
      <c r="M876" s="249">
        <v>0</v>
      </c>
      <c r="O876" t="str">
        <f t="shared" si="27"/>
        <v>6</v>
      </c>
      <c r="P876">
        <f t="shared" si="29"/>
        <v>0</v>
      </c>
    </row>
    <row r="877" spans="1:16" hidden="1" x14ac:dyDescent="0.25">
      <c r="A877" t="s">
        <v>1204</v>
      </c>
      <c r="C877" t="s">
        <v>1205</v>
      </c>
      <c r="D877" s="67">
        <v>3000000</v>
      </c>
      <c r="E877">
        <v>0</v>
      </c>
      <c r="F877">
        <v>0</v>
      </c>
      <c r="G877">
        <v>1217.71</v>
      </c>
      <c r="H877">
        <v>-1217.71</v>
      </c>
      <c r="I877">
        <v>0</v>
      </c>
      <c r="J877">
        <v>-3000000</v>
      </c>
      <c r="K877" s="249">
        <v>0</v>
      </c>
      <c r="L877" s="249">
        <v>0</v>
      </c>
      <c r="M877" s="249">
        <v>0</v>
      </c>
      <c r="O877" t="str">
        <f t="shared" si="27"/>
        <v>6</v>
      </c>
      <c r="P877">
        <f t="shared" si="29"/>
        <v>0</v>
      </c>
    </row>
    <row r="878" spans="1:16" hidden="1" x14ac:dyDescent="0.25">
      <c r="A878" t="s">
        <v>3006</v>
      </c>
      <c r="C878" t="s">
        <v>1347</v>
      </c>
      <c r="D878" s="67">
        <v>0</v>
      </c>
      <c r="I878">
        <v>0</v>
      </c>
      <c r="J878">
        <v>0</v>
      </c>
      <c r="L878" s="249">
        <v>0</v>
      </c>
      <c r="M878" s="249">
        <v>4800000</v>
      </c>
      <c r="N878" s="249">
        <v>8000000</v>
      </c>
      <c r="O878" t="str">
        <f t="shared" si="27"/>
        <v>6</v>
      </c>
      <c r="P878">
        <f t="shared" si="29"/>
        <v>0</v>
      </c>
    </row>
    <row r="879" spans="1:16" hidden="1" x14ac:dyDescent="0.25">
      <c r="A879" t="s">
        <v>1206</v>
      </c>
      <c r="C879" t="s">
        <v>1207</v>
      </c>
      <c r="D879" s="67">
        <v>2220000</v>
      </c>
      <c r="E879">
        <v>0</v>
      </c>
      <c r="F879">
        <v>0</v>
      </c>
      <c r="G879">
        <v>1217.71</v>
      </c>
      <c r="H879">
        <v>-1217.71</v>
      </c>
      <c r="I879">
        <v>0</v>
      </c>
      <c r="J879">
        <v>-2220000</v>
      </c>
      <c r="K879" s="249">
        <v>0</v>
      </c>
      <c r="L879" s="249">
        <v>1260000</v>
      </c>
      <c r="M879" s="249">
        <v>1260000</v>
      </c>
      <c r="N879" s="249">
        <v>0</v>
      </c>
      <c r="O879" t="str">
        <f t="shared" si="27"/>
        <v>6</v>
      </c>
      <c r="P879">
        <f t="shared" si="29"/>
        <v>0</v>
      </c>
    </row>
    <row r="880" spans="1:16" hidden="1" x14ac:dyDescent="0.25">
      <c r="A880" t="s">
        <v>1352</v>
      </c>
      <c r="C880" t="s">
        <v>3044</v>
      </c>
      <c r="D880" s="67">
        <v>0</v>
      </c>
      <c r="E880">
        <v>0</v>
      </c>
      <c r="F880">
        <v>0</v>
      </c>
      <c r="G880">
        <v>1217.71</v>
      </c>
      <c r="H880">
        <v>-1217.71</v>
      </c>
      <c r="I880">
        <v>0</v>
      </c>
      <c r="J880">
        <v>0</v>
      </c>
      <c r="K880" s="249">
        <v>0</v>
      </c>
      <c r="L880" s="249">
        <v>0</v>
      </c>
      <c r="M880" s="249">
        <v>12105000</v>
      </c>
      <c r="N880" s="249">
        <v>7000000</v>
      </c>
      <c r="O880" t="str">
        <f t="shared" si="27"/>
        <v>6</v>
      </c>
      <c r="P880">
        <f t="shared" si="29"/>
        <v>0</v>
      </c>
    </row>
    <row r="881" spans="1:16" hidden="1" x14ac:dyDescent="0.25">
      <c r="A881" t="s">
        <v>1208</v>
      </c>
      <c r="C881" t="s">
        <v>1209</v>
      </c>
      <c r="D881" s="67">
        <v>17000000</v>
      </c>
      <c r="E881">
        <v>0</v>
      </c>
      <c r="F881">
        <v>0</v>
      </c>
      <c r="G881">
        <v>1217.71</v>
      </c>
      <c r="H881">
        <v>-1217.71</v>
      </c>
      <c r="I881">
        <v>0</v>
      </c>
      <c r="J881">
        <v>8110000</v>
      </c>
      <c r="K881" s="249">
        <v>25110000</v>
      </c>
      <c r="L881" s="249">
        <v>4172137.84</v>
      </c>
      <c r="M881" s="249">
        <v>0</v>
      </c>
      <c r="O881" t="str">
        <f t="shared" si="27"/>
        <v>6</v>
      </c>
      <c r="P881">
        <f t="shared" si="29"/>
        <v>0</v>
      </c>
    </row>
    <row r="882" spans="1:16" hidden="1" x14ac:dyDescent="0.25">
      <c r="A882" t="s">
        <v>1210</v>
      </c>
      <c r="C882" t="s">
        <v>1355</v>
      </c>
      <c r="D882" s="67">
        <v>16393450</v>
      </c>
      <c r="E882">
        <v>0</v>
      </c>
      <c r="F882">
        <v>0</v>
      </c>
      <c r="G882">
        <v>1217.71</v>
      </c>
      <c r="H882">
        <v>-1217.71</v>
      </c>
      <c r="I882">
        <v>0</v>
      </c>
      <c r="J882">
        <v>0</v>
      </c>
      <c r="K882" s="249">
        <v>16393450</v>
      </c>
      <c r="L882" s="249">
        <v>14152231.92</v>
      </c>
      <c r="M882" s="249">
        <v>0</v>
      </c>
      <c r="O882" t="str">
        <f t="shared" si="27"/>
        <v>6</v>
      </c>
      <c r="P882">
        <f t="shared" si="29"/>
        <v>0</v>
      </c>
    </row>
    <row r="883" spans="1:16" hidden="1" x14ac:dyDescent="0.25">
      <c r="A883" t="s">
        <v>1345</v>
      </c>
      <c r="C883" t="s">
        <v>1346</v>
      </c>
      <c r="D883" s="67">
        <v>0</v>
      </c>
      <c r="E883">
        <v>0</v>
      </c>
      <c r="F883">
        <v>0</v>
      </c>
      <c r="G883">
        <v>1217.71</v>
      </c>
      <c r="H883">
        <v>-1217.71</v>
      </c>
      <c r="I883">
        <v>0</v>
      </c>
      <c r="J883">
        <v>0</v>
      </c>
      <c r="K883" s="249">
        <v>0</v>
      </c>
      <c r="L883" s="249">
        <v>0</v>
      </c>
      <c r="M883" s="249">
        <v>0</v>
      </c>
      <c r="N883" s="249">
        <v>0</v>
      </c>
      <c r="O883" t="str">
        <f t="shared" si="27"/>
        <v>6</v>
      </c>
      <c r="P883">
        <f t="shared" si="29"/>
        <v>0</v>
      </c>
    </row>
    <row r="884" spans="1:16" hidden="1" x14ac:dyDescent="0.25">
      <c r="A884" t="s">
        <v>1350</v>
      </c>
      <c r="C884" t="s">
        <v>1351</v>
      </c>
      <c r="D884" s="67">
        <v>0</v>
      </c>
      <c r="E884">
        <v>0</v>
      </c>
      <c r="F884">
        <v>0</v>
      </c>
      <c r="G884">
        <v>1217.71</v>
      </c>
      <c r="H884">
        <v>-1217.71</v>
      </c>
      <c r="I884">
        <v>0</v>
      </c>
      <c r="J884">
        <v>0</v>
      </c>
      <c r="K884" s="249">
        <v>0</v>
      </c>
      <c r="L884" s="249">
        <v>14861980.24</v>
      </c>
      <c r="M884" s="249">
        <v>2988019.78</v>
      </c>
      <c r="O884" t="str">
        <f t="shared" si="27"/>
        <v>6</v>
      </c>
      <c r="P884">
        <f t="shared" si="29"/>
        <v>0</v>
      </c>
    </row>
    <row r="885" spans="1:16" hidden="1" x14ac:dyDescent="0.25">
      <c r="A885" t="s">
        <v>1211</v>
      </c>
      <c r="C885" t="s">
        <v>1212</v>
      </c>
      <c r="D885" s="67">
        <v>3000000</v>
      </c>
      <c r="E885">
        <v>0</v>
      </c>
      <c r="F885">
        <v>0</v>
      </c>
      <c r="G885">
        <v>1217.71</v>
      </c>
      <c r="H885">
        <v>-1217.71</v>
      </c>
      <c r="I885">
        <v>0</v>
      </c>
      <c r="J885">
        <v>-1384000</v>
      </c>
      <c r="K885" s="249">
        <v>1616000</v>
      </c>
      <c r="L885" s="249">
        <v>3000000</v>
      </c>
      <c r="M885" s="249">
        <v>0</v>
      </c>
      <c r="O885" t="str">
        <f t="shared" si="27"/>
        <v>6</v>
      </c>
      <c r="P885">
        <f t="shared" si="29"/>
        <v>0</v>
      </c>
    </row>
    <row r="886" spans="1:16" hidden="1" x14ac:dyDescent="0.25">
      <c r="A886" t="s">
        <v>1213</v>
      </c>
      <c r="C886" t="s">
        <v>1214</v>
      </c>
      <c r="D886" s="67">
        <v>800000</v>
      </c>
      <c r="E886">
        <v>0</v>
      </c>
      <c r="F886">
        <v>0</v>
      </c>
      <c r="G886">
        <v>1217.71</v>
      </c>
      <c r="H886">
        <v>-1217.71</v>
      </c>
      <c r="I886">
        <v>0</v>
      </c>
      <c r="J886">
        <v>0</v>
      </c>
      <c r="K886" s="249">
        <v>800000</v>
      </c>
      <c r="L886" s="249">
        <v>0</v>
      </c>
      <c r="M886" s="249">
        <v>0</v>
      </c>
      <c r="O886" t="str">
        <f t="shared" si="27"/>
        <v>6</v>
      </c>
      <c r="P886">
        <f t="shared" si="29"/>
        <v>0</v>
      </c>
    </row>
    <row r="887" spans="1:16" hidden="1" x14ac:dyDescent="0.25">
      <c r="A887" t="s">
        <v>3007</v>
      </c>
      <c r="C887" t="s">
        <v>1348</v>
      </c>
      <c r="D887" s="6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L887" s="249">
        <v>0</v>
      </c>
      <c r="M887" s="249">
        <v>0</v>
      </c>
      <c r="N887" s="249">
        <v>0</v>
      </c>
      <c r="O887" t="str">
        <f t="shared" si="27"/>
        <v>6</v>
      </c>
      <c r="P887">
        <f t="shared" si="29"/>
        <v>0</v>
      </c>
    </row>
    <row r="888" spans="1:16" hidden="1" x14ac:dyDescent="0.25">
      <c r="A888" t="s">
        <v>1215</v>
      </c>
      <c r="C888" t="s">
        <v>1216</v>
      </c>
      <c r="D888" s="67">
        <v>2127821</v>
      </c>
      <c r="E888">
        <v>0</v>
      </c>
      <c r="F888">
        <v>0</v>
      </c>
      <c r="G888">
        <v>1217.71</v>
      </c>
      <c r="H888">
        <v>-1217.71</v>
      </c>
      <c r="I888">
        <v>0</v>
      </c>
      <c r="J888">
        <v>0</v>
      </c>
      <c r="K888" s="249">
        <v>2127821</v>
      </c>
      <c r="L888" s="249">
        <v>0</v>
      </c>
      <c r="M888" s="249">
        <v>0</v>
      </c>
      <c r="O888" t="str">
        <f t="shared" si="27"/>
        <v>6</v>
      </c>
      <c r="P888">
        <f t="shared" si="29"/>
        <v>0</v>
      </c>
    </row>
    <row r="889" spans="1:16" hidden="1" x14ac:dyDescent="0.25">
      <c r="A889" t="s">
        <v>1218</v>
      </c>
      <c r="C889" t="s">
        <v>33</v>
      </c>
      <c r="D889" s="67">
        <v>-1757550</v>
      </c>
      <c r="E889">
        <v>-474821.9</v>
      </c>
      <c r="F889">
        <v>0</v>
      </c>
      <c r="G889">
        <v>-932309.88</v>
      </c>
      <c r="H889">
        <v>-825240.12</v>
      </c>
      <c r="I889">
        <v>53.04</v>
      </c>
      <c r="J889">
        <v>0</v>
      </c>
      <c r="K889" s="249">
        <v>-1757550</v>
      </c>
      <c r="L889" s="249">
        <v>-1746650</v>
      </c>
      <c r="M889" s="249">
        <v>-1886950</v>
      </c>
      <c r="N889" s="249">
        <v>-1989600</v>
      </c>
      <c r="O889" t="str">
        <f t="shared" si="27"/>
        <v>1</v>
      </c>
      <c r="P889">
        <f t="shared" si="29"/>
        <v>0</v>
      </c>
    </row>
    <row r="890" spans="1:16" hidden="1" x14ac:dyDescent="0.25">
      <c r="A890" t="s">
        <v>1219</v>
      </c>
      <c r="C890" t="s">
        <v>37</v>
      </c>
      <c r="D890" s="67">
        <v>-33393460</v>
      </c>
      <c r="E890">
        <v>-16715989.720000001</v>
      </c>
      <c r="F890">
        <v>0</v>
      </c>
      <c r="G890">
        <v>-31038466.530000001</v>
      </c>
      <c r="H890">
        <v>-2354993.4700000002</v>
      </c>
      <c r="I890">
        <v>92.94</v>
      </c>
      <c r="J890">
        <v>0</v>
      </c>
      <c r="K890" s="249">
        <v>-43119460</v>
      </c>
      <c r="L890" s="249">
        <v>-33186350</v>
      </c>
      <c r="M890" s="249">
        <v>-35852050</v>
      </c>
      <c r="N890" s="249">
        <v>-37802400</v>
      </c>
      <c r="O890" t="str">
        <f t="shared" si="27"/>
        <v>1</v>
      </c>
      <c r="P890">
        <f t="shared" si="29"/>
        <v>0</v>
      </c>
    </row>
    <row r="891" spans="1:16" hidden="1" x14ac:dyDescent="0.25">
      <c r="A891" t="s">
        <v>1220</v>
      </c>
      <c r="C891" t="s">
        <v>150</v>
      </c>
      <c r="D891" s="67">
        <v>1709823</v>
      </c>
      <c r="E891">
        <v>0</v>
      </c>
      <c r="F891">
        <v>0</v>
      </c>
      <c r="G891">
        <v>1217.71</v>
      </c>
      <c r="H891">
        <v>-1217.71</v>
      </c>
      <c r="I891">
        <v>0</v>
      </c>
      <c r="J891">
        <v>0</v>
      </c>
      <c r="K891" s="249">
        <v>1709823</v>
      </c>
      <c r="L891" s="249">
        <v>1746650</v>
      </c>
      <c r="M891" s="249">
        <v>1886950</v>
      </c>
      <c r="N891" s="249">
        <v>1989600</v>
      </c>
      <c r="O891" t="str">
        <f t="shared" si="27"/>
        <v>2</v>
      </c>
      <c r="P891" t="str">
        <f t="shared" si="29"/>
        <v>Employee Related Cost</v>
      </c>
    </row>
    <row r="892" spans="1:16" hidden="1" x14ac:dyDescent="0.25">
      <c r="A892" t="s">
        <v>1221</v>
      </c>
      <c r="C892" t="s">
        <v>151</v>
      </c>
      <c r="D892" s="67">
        <v>0</v>
      </c>
      <c r="E892">
        <v>0</v>
      </c>
      <c r="F892">
        <v>0</v>
      </c>
      <c r="G892">
        <v>1217.71</v>
      </c>
      <c r="H892">
        <v>-1217.71</v>
      </c>
      <c r="I892">
        <v>0</v>
      </c>
      <c r="J892">
        <v>16934</v>
      </c>
      <c r="K892" s="249">
        <v>16934</v>
      </c>
      <c r="L892" s="249">
        <v>17992.375</v>
      </c>
      <c r="M892" s="249">
        <v>19251.841250000001</v>
      </c>
      <c r="N892" s="249">
        <v>20599.4701375</v>
      </c>
      <c r="O892" t="str">
        <f t="shared" si="27"/>
        <v>2</v>
      </c>
      <c r="P892" t="str">
        <f t="shared" si="29"/>
        <v>Employee Related Cost</v>
      </c>
    </row>
    <row r="893" spans="1:16" hidden="1" x14ac:dyDescent="0.25">
      <c r="A893" t="s">
        <v>1222</v>
      </c>
      <c r="C893" t="s">
        <v>170</v>
      </c>
      <c r="D893" s="67">
        <v>0</v>
      </c>
      <c r="E893">
        <v>0</v>
      </c>
      <c r="F893">
        <v>0</v>
      </c>
      <c r="G893">
        <v>1217.71</v>
      </c>
      <c r="H893">
        <v>-1217.71</v>
      </c>
      <c r="I893">
        <v>0</v>
      </c>
      <c r="J893">
        <v>1800</v>
      </c>
      <c r="K893" s="249">
        <v>1800</v>
      </c>
      <c r="L893" s="249">
        <v>1912.5</v>
      </c>
      <c r="M893" s="249">
        <v>2046.375</v>
      </c>
      <c r="N893" s="249">
        <v>2189.6212500000001</v>
      </c>
      <c r="O893" t="str">
        <f t="shared" si="27"/>
        <v>2</v>
      </c>
      <c r="P893" t="str">
        <f t="shared" si="29"/>
        <v>Employee Related Cost</v>
      </c>
    </row>
    <row r="894" spans="1:16" hidden="1" x14ac:dyDescent="0.25">
      <c r="A894" t="s">
        <v>1223</v>
      </c>
      <c r="C894" t="s">
        <v>222</v>
      </c>
      <c r="D894" s="67">
        <v>47727</v>
      </c>
      <c r="E894">
        <v>0</v>
      </c>
      <c r="F894">
        <v>0</v>
      </c>
      <c r="G894">
        <v>1217.71</v>
      </c>
      <c r="H894">
        <v>-1217.71</v>
      </c>
      <c r="I894">
        <v>0</v>
      </c>
      <c r="J894">
        <v>0</v>
      </c>
      <c r="K894" s="249">
        <v>47727</v>
      </c>
      <c r="L894" s="249">
        <v>49874.714999999997</v>
      </c>
      <c r="M894" s="249">
        <v>52168.951889999997</v>
      </c>
      <c r="N894" s="249">
        <v>54568.723676939997</v>
      </c>
      <c r="O894" t="str">
        <f t="shared" si="27"/>
        <v>2</v>
      </c>
      <c r="P894" t="str">
        <f t="shared" si="29"/>
        <v>Contracted Services</v>
      </c>
    </row>
    <row r="895" spans="1:16" hidden="1" x14ac:dyDescent="0.25">
      <c r="A895" t="s">
        <v>1224</v>
      </c>
      <c r="C895" t="s">
        <v>223</v>
      </c>
      <c r="D895" s="67">
        <v>1000000</v>
      </c>
      <c r="E895">
        <v>0</v>
      </c>
      <c r="F895">
        <v>0</v>
      </c>
      <c r="G895">
        <v>1217.71</v>
      </c>
      <c r="H895">
        <v>-1217.71</v>
      </c>
      <c r="I895">
        <v>0</v>
      </c>
      <c r="J895">
        <v>-247025</v>
      </c>
      <c r="K895" s="249">
        <v>752975</v>
      </c>
      <c r="L895" s="249">
        <v>0</v>
      </c>
      <c r="M895" s="249">
        <v>0</v>
      </c>
      <c r="N895" s="249">
        <v>0</v>
      </c>
      <c r="O895" t="str">
        <f t="shared" si="27"/>
        <v>2</v>
      </c>
      <c r="P895" t="str">
        <f t="shared" si="29"/>
        <v>Contracted Services</v>
      </c>
    </row>
    <row r="896" spans="1:16" hidden="1" x14ac:dyDescent="0.25">
      <c r="A896" t="s">
        <v>1225</v>
      </c>
      <c r="C896" t="s">
        <v>265</v>
      </c>
      <c r="D896" s="67">
        <v>0</v>
      </c>
      <c r="E896">
        <v>0</v>
      </c>
      <c r="F896">
        <v>0</v>
      </c>
      <c r="G896">
        <v>1217.71</v>
      </c>
      <c r="H896">
        <v>-1217.71</v>
      </c>
      <c r="I896">
        <v>0</v>
      </c>
      <c r="J896">
        <v>15000</v>
      </c>
      <c r="K896" s="249">
        <v>15000</v>
      </c>
      <c r="L896" s="249">
        <v>15937.5</v>
      </c>
      <c r="M896" s="249">
        <v>17053.125</v>
      </c>
      <c r="N896" s="249">
        <v>18246.84375</v>
      </c>
      <c r="O896" t="str">
        <f t="shared" si="27"/>
        <v>2</v>
      </c>
      <c r="P896" t="str">
        <f t="shared" si="29"/>
        <v>Operational Cost</v>
      </c>
    </row>
    <row r="897" spans="1:16" hidden="1" x14ac:dyDescent="0.25">
      <c r="A897" t="s">
        <v>1226</v>
      </c>
      <c r="C897" t="s">
        <v>268</v>
      </c>
      <c r="D897" s="67">
        <v>0</v>
      </c>
      <c r="E897">
        <v>0</v>
      </c>
      <c r="F897">
        <v>0</v>
      </c>
      <c r="G897">
        <v>1217.71</v>
      </c>
      <c r="H897">
        <v>-1217.71</v>
      </c>
      <c r="I897">
        <v>0</v>
      </c>
      <c r="J897">
        <v>4000</v>
      </c>
      <c r="K897" s="249">
        <v>4000</v>
      </c>
      <c r="L897" s="249">
        <v>4250</v>
      </c>
      <c r="M897" s="249">
        <v>4547.5</v>
      </c>
      <c r="N897" s="249">
        <v>4865.8249999999998</v>
      </c>
      <c r="O897" t="str">
        <f t="shared" si="27"/>
        <v>2</v>
      </c>
      <c r="P897" t="str">
        <f t="shared" si="29"/>
        <v>Operational Cost</v>
      </c>
    </row>
    <row r="898" spans="1:16" hidden="1" x14ac:dyDescent="0.25">
      <c r="A898" t="s">
        <v>1227</v>
      </c>
      <c r="C898" t="s">
        <v>291</v>
      </c>
      <c r="D898" s="67">
        <v>3371</v>
      </c>
      <c r="E898">
        <v>0</v>
      </c>
      <c r="F898">
        <v>0</v>
      </c>
      <c r="G898">
        <v>1217.71</v>
      </c>
      <c r="H898">
        <v>-1217.71</v>
      </c>
      <c r="I898">
        <v>0</v>
      </c>
      <c r="J898">
        <v>0</v>
      </c>
      <c r="K898" s="249">
        <v>3371</v>
      </c>
      <c r="L898" s="249">
        <v>3522.6950000000002</v>
      </c>
      <c r="M898" s="249">
        <v>3684.7389700000003</v>
      </c>
      <c r="N898" s="249">
        <v>3854.2369626200002</v>
      </c>
      <c r="O898" t="str">
        <f t="shared" si="27"/>
        <v>2</v>
      </c>
      <c r="P898" t="str">
        <f t="shared" si="29"/>
        <v>Depreciation &amp; Amortisation</v>
      </c>
    </row>
    <row r="899" spans="1:16" hidden="1" x14ac:dyDescent="0.25">
      <c r="A899" t="s">
        <v>1228</v>
      </c>
      <c r="C899" t="s">
        <v>292</v>
      </c>
      <c r="D899" s="67">
        <v>46972</v>
      </c>
      <c r="E899">
        <v>0</v>
      </c>
      <c r="F899">
        <v>0</v>
      </c>
      <c r="G899">
        <v>1217.71</v>
      </c>
      <c r="H899">
        <v>-1217.71</v>
      </c>
      <c r="I899">
        <v>0</v>
      </c>
      <c r="J899">
        <v>0</v>
      </c>
      <c r="K899" s="249">
        <v>46972</v>
      </c>
      <c r="L899" s="249">
        <v>49085.74</v>
      </c>
      <c r="M899" s="249">
        <v>51343.68404</v>
      </c>
      <c r="N899" s="249">
        <v>53705.493505840001</v>
      </c>
      <c r="O899" t="str">
        <f t="shared" ref="O899:O962" si="30">MID(A899,5,1)</f>
        <v>2</v>
      </c>
      <c r="P899" t="str">
        <f t="shared" si="29"/>
        <v>Depreciation &amp; Amortisation</v>
      </c>
    </row>
    <row r="900" spans="1:16" hidden="1" x14ac:dyDescent="0.25">
      <c r="A900" t="s">
        <v>1229</v>
      </c>
      <c r="C900" t="s">
        <v>293</v>
      </c>
      <c r="D900" s="67">
        <v>15501</v>
      </c>
      <c r="E900">
        <v>0</v>
      </c>
      <c r="F900">
        <v>0</v>
      </c>
      <c r="G900">
        <v>1217.71</v>
      </c>
      <c r="H900">
        <v>-1217.71</v>
      </c>
      <c r="I900">
        <v>0</v>
      </c>
      <c r="J900">
        <v>0</v>
      </c>
      <c r="K900" s="249">
        <v>15501</v>
      </c>
      <c r="L900" s="249">
        <v>16198.545</v>
      </c>
      <c r="M900" s="249">
        <v>16943.678070000002</v>
      </c>
      <c r="N900" s="249">
        <v>17723.08726122</v>
      </c>
      <c r="O900" t="str">
        <f t="shared" si="30"/>
        <v>2</v>
      </c>
      <c r="P900" t="str">
        <f t="shared" si="29"/>
        <v>Depreciation &amp; Amortisation</v>
      </c>
    </row>
    <row r="901" spans="1:16" x14ac:dyDescent="0.25">
      <c r="A901" s="251" t="s">
        <v>3094</v>
      </c>
      <c r="C901" t="s">
        <v>3040</v>
      </c>
      <c r="D901" s="67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 s="249">
        <v>0</v>
      </c>
      <c r="L901" s="249">
        <v>-3000000</v>
      </c>
      <c r="M901" s="249">
        <v>0</v>
      </c>
      <c r="N901" s="249">
        <v>0</v>
      </c>
      <c r="O901" t="str">
        <f t="shared" si="30"/>
        <v>1</v>
      </c>
      <c r="P901">
        <f t="shared" si="29"/>
        <v>0</v>
      </c>
    </row>
    <row r="902" spans="1:16" x14ac:dyDescent="0.25">
      <c r="A902" s="251" t="s">
        <v>3095</v>
      </c>
      <c r="C902" t="s">
        <v>3041</v>
      </c>
      <c r="D902" s="67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 s="249">
        <v>0</v>
      </c>
      <c r="L902" s="249">
        <v>-13000000</v>
      </c>
      <c r="M902" s="249">
        <v>-6000000</v>
      </c>
      <c r="N902" s="249">
        <v>-7000000</v>
      </c>
      <c r="O902" t="str">
        <f t="shared" si="30"/>
        <v>1</v>
      </c>
      <c r="P902">
        <f t="shared" si="29"/>
        <v>0</v>
      </c>
    </row>
    <row r="903" spans="1:16" hidden="1" x14ac:dyDescent="0.25">
      <c r="A903" t="s">
        <v>1231</v>
      </c>
      <c r="C903" t="s">
        <v>23</v>
      </c>
      <c r="D903" s="67">
        <v>-30535</v>
      </c>
      <c r="E903">
        <v>0</v>
      </c>
      <c r="F903">
        <v>0</v>
      </c>
      <c r="G903">
        <v>0</v>
      </c>
      <c r="H903">
        <v>-30535</v>
      </c>
      <c r="I903">
        <v>0</v>
      </c>
      <c r="J903">
        <v>0</v>
      </c>
      <c r="K903" s="249">
        <v>0</v>
      </c>
      <c r="L903" s="249">
        <v>-32367.1</v>
      </c>
      <c r="M903" s="249">
        <v>-34632.796999999999</v>
      </c>
      <c r="N903" s="249">
        <v>-37403.420760000001</v>
      </c>
      <c r="O903" t="str">
        <f t="shared" si="30"/>
        <v>1</v>
      </c>
      <c r="P903">
        <f t="shared" si="29"/>
        <v>0</v>
      </c>
    </row>
    <row r="904" spans="1:16" hidden="1" x14ac:dyDescent="0.25">
      <c r="A904" t="s">
        <v>1232</v>
      </c>
      <c r="C904" t="s">
        <v>43</v>
      </c>
      <c r="D904" s="67">
        <v>-56291</v>
      </c>
      <c r="E904">
        <v>0</v>
      </c>
      <c r="F904">
        <v>0</v>
      </c>
      <c r="G904">
        <v>0</v>
      </c>
      <c r="H904">
        <v>-56291</v>
      </c>
      <c r="I904">
        <v>0</v>
      </c>
      <c r="J904">
        <v>0</v>
      </c>
      <c r="K904" s="249">
        <v>-56291</v>
      </c>
      <c r="L904" s="249">
        <v>-60850.570999999996</v>
      </c>
      <c r="M904" s="249">
        <v>-64014.800691999997</v>
      </c>
      <c r="N904" s="249">
        <v>-69712.117953587993</v>
      </c>
      <c r="O904" t="str">
        <f t="shared" si="30"/>
        <v>1</v>
      </c>
      <c r="P904">
        <f t="shared" si="29"/>
        <v>0</v>
      </c>
    </row>
    <row r="905" spans="1:16" hidden="1" x14ac:dyDescent="0.25">
      <c r="A905" t="s">
        <v>1233</v>
      </c>
      <c r="C905" t="s">
        <v>44</v>
      </c>
      <c r="D905" s="67">
        <v>-3611799</v>
      </c>
      <c r="E905">
        <v>0</v>
      </c>
      <c r="F905">
        <v>0</v>
      </c>
      <c r="G905">
        <v>0</v>
      </c>
      <c r="H905">
        <v>-3611799</v>
      </c>
      <c r="I905">
        <v>0</v>
      </c>
      <c r="J905">
        <v>0</v>
      </c>
      <c r="K905" s="249">
        <v>-3611799</v>
      </c>
      <c r="L905" s="249">
        <v>-3904354.719</v>
      </c>
      <c r="M905" s="249">
        <v>-4107381.164388</v>
      </c>
      <c r="N905" s="249">
        <v>-4472938.0880185319</v>
      </c>
      <c r="O905" t="str">
        <f t="shared" si="30"/>
        <v>1</v>
      </c>
      <c r="P905">
        <f t="shared" si="29"/>
        <v>0</v>
      </c>
    </row>
    <row r="906" spans="1:16" hidden="1" x14ac:dyDescent="0.25">
      <c r="A906" t="s">
        <v>1234</v>
      </c>
      <c r="C906" t="s">
        <v>45</v>
      </c>
      <c r="D906" s="67">
        <v>-4019609</v>
      </c>
      <c r="E906">
        <v>-115264.58</v>
      </c>
      <c r="F906">
        <v>0</v>
      </c>
      <c r="G906">
        <v>-891425.05</v>
      </c>
      <c r="H906">
        <v>-3128183.95</v>
      </c>
      <c r="I906">
        <v>22.17</v>
      </c>
      <c r="J906">
        <v>0</v>
      </c>
      <c r="K906" s="249">
        <v>-4019609</v>
      </c>
      <c r="L906" s="249">
        <v>-4345197.3289999999</v>
      </c>
      <c r="M906" s="249">
        <v>-4571147.5901079997</v>
      </c>
      <c r="N906" s="249">
        <v>-4977979.7256276114</v>
      </c>
      <c r="O906" t="str">
        <f t="shared" si="30"/>
        <v>1</v>
      </c>
      <c r="P906">
        <f t="shared" si="29"/>
        <v>0</v>
      </c>
    </row>
    <row r="907" spans="1:16" hidden="1" x14ac:dyDescent="0.25">
      <c r="A907" t="s">
        <v>1235</v>
      </c>
      <c r="C907" t="s">
        <v>46</v>
      </c>
      <c r="D907" s="67">
        <v>-1374256</v>
      </c>
      <c r="E907">
        <v>-445577.79</v>
      </c>
      <c r="F907">
        <v>0</v>
      </c>
      <c r="G907">
        <v>-2911894.37</v>
      </c>
      <c r="H907">
        <v>1537638.37</v>
      </c>
      <c r="I907">
        <v>211.88</v>
      </c>
      <c r="J907">
        <v>0</v>
      </c>
      <c r="K907" s="249">
        <v>-1374256</v>
      </c>
      <c r="L907" s="249">
        <v>-1485570.736</v>
      </c>
      <c r="M907" s="249">
        <v>-1562820.4142720001</v>
      </c>
      <c r="N907" s="249">
        <v>-1701911.4311422082</v>
      </c>
      <c r="O907" t="str">
        <f t="shared" si="30"/>
        <v>1</v>
      </c>
      <c r="P907">
        <f t="shared" ref="P907:P938" si="31">VLOOKUP(A907,bud_321,16,FALSE)</f>
        <v>0</v>
      </c>
    </row>
    <row r="908" spans="1:16" hidden="1" x14ac:dyDescent="0.25">
      <c r="A908" t="s">
        <v>1236</v>
      </c>
      <c r="C908" t="s">
        <v>47</v>
      </c>
      <c r="D908" s="67">
        <v>-145390</v>
      </c>
      <c r="E908">
        <v>5253.04</v>
      </c>
      <c r="F908">
        <v>0</v>
      </c>
      <c r="G908">
        <v>34823.17</v>
      </c>
      <c r="H908">
        <v>-180213.17</v>
      </c>
      <c r="I908">
        <v>-23.95</v>
      </c>
      <c r="J908">
        <v>0</v>
      </c>
      <c r="K908" s="249">
        <v>-145390</v>
      </c>
      <c r="L908" s="249">
        <v>-157166.59</v>
      </c>
      <c r="M908" s="249">
        <v>-165339.25268000001</v>
      </c>
      <c r="N908" s="249">
        <v>-180054.44616852002</v>
      </c>
      <c r="O908" t="str">
        <f t="shared" si="30"/>
        <v>1</v>
      </c>
      <c r="P908">
        <f t="shared" si="31"/>
        <v>0</v>
      </c>
    </row>
    <row r="909" spans="1:16" hidden="1" x14ac:dyDescent="0.25">
      <c r="A909" t="s">
        <v>1237</v>
      </c>
      <c r="C909" t="s">
        <v>48</v>
      </c>
      <c r="D909" s="67">
        <v>-17172</v>
      </c>
      <c r="E909">
        <v>-975.62</v>
      </c>
      <c r="F909">
        <v>0</v>
      </c>
      <c r="G909">
        <v>-8489.01</v>
      </c>
      <c r="H909">
        <v>-8682.99</v>
      </c>
      <c r="I909">
        <v>49.43</v>
      </c>
      <c r="J909">
        <v>0</v>
      </c>
      <c r="K909" s="249">
        <v>-17172</v>
      </c>
      <c r="L909" s="249">
        <v>-18562.932000000001</v>
      </c>
      <c r="M909" s="249">
        <v>-19528.204464000002</v>
      </c>
      <c r="N909" s="249">
        <v>-21266.214661296002</v>
      </c>
      <c r="O909" t="str">
        <f t="shared" si="30"/>
        <v>1</v>
      </c>
      <c r="P909">
        <f t="shared" si="31"/>
        <v>0</v>
      </c>
    </row>
    <row r="910" spans="1:16" hidden="1" x14ac:dyDescent="0.25">
      <c r="A910" t="s">
        <v>1238</v>
      </c>
      <c r="C910" t="s">
        <v>57</v>
      </c>
      <c r="D910" s="67">
        <v>-495509</v>
      </c>
      <c r="E910">
        <v>-17545.96</v>
      </c>
      <c r="F910">
        <v>0</v>
      </c>
      <c r="G910">
        <v>-105597.6</v>
      </c>
      <c r="H910">
        <v>-389911.4</v>
      </c>
      <c r="I910">
        <v>21.31</v>
      </c>
      <c r="J910">
        <v>0</v>
      </c>
      <c r="K910" s="249">
        <v>-495509</v>
      </c>
      <c r="L910" s="249">
        <v>-535645.22900000005</v>
      </c>
      <c r="M910" s="249">
        <v>-563498.78090800007</v>
      </c>
      <c r="N910" s="249">
        <v>-613650.1724088121</v>
      </c>
      <c r="O910" t="str">
        <f t="shared" si="30"/>
        <v>1</v>
      </c>
      <c r="P910">
        <f t="shared" si="31"/>
        <v>0</v>
      </c>
    </row>
    <row r="911" spans="1:16" hidden="1" x14ac:dyDescent="0.25">
      <c r="A911" t="s">
        <v>1239</v>
      </c>
      <c r="C911" t="s">
        <v>150</v>
      </c>
      <c r="D911" s="67">
        <v>1827794</v>
      </c>
      <c r="E911">
        <v>0</v>
      </c>
      <c r="F911">
        <v>0</v>
      </c>
      <c r="G911">
        <v>1217.71</v>
      </c>
      <c r="H911">
        <v>-1217.71</v>
      </c>
      <c r="I911">
        <v>0</v>
      </c>
      <c r="J911">
        <v>0</v>
      </c>
      <c r="K911" s="249">
        <v>1827794</v>
      </c>
      <c r="L911" s="249">
        <v>1942031.125</v>
      </c>
      <c r="M911" s="249">
        <v>2077973.30375</v>
      </c>
      <c r="N911" s="249">
        <v>2223431.4350124998</v>
      </c>
      <c r="O911" t="str">
        <f t="shared" si="30"/>
        <v>2</v>
      </c>
      <c r="P911" t="str">
        <f t="shared" si="31"/>
        <v>Employee Related Cost</v>
      </c>
    </row>
    <row r="912" spans="1:16" hidden="1" x14ac:dyDescent="0.25">
      <c r="A912" t="s">
        <v>1240</v>
      </c>
      <c r="C912" t="s">
        <v>151</v>
      </c>
      <c r="D912" s="67">
        <v>84982</v>
      </c>
      <c r="E912">
        <v>0</v>
      </c>
      <c r="F912">
        <v>0</v>
      </c>
      <c r="G912">
        <v>1217.71</v>
      </c>
      <c r="H912">
        <v>-1217.71</v>
      </c>
      <c r="I912">
        <v>0</v>
      </c>
      <c r="J912">
        <v>-51113.639999999985</v>
      </c>
      <c r="K912" s="249">
        <v>33868.360000000015</v>
      </c>
      <c r="L912" s="249">
        <v>35985.132500000014</v>
      </c>
      <c r="M912" s="249">
        <v>38504.091775000015</v>
      </c>
      <c r="N912" s="249">
        <v>41199.378199250015</v>
      </c>
      <c r="O912" t="str">
        <f t="shared" si="30"/>
        <v>2</v>
      </c>
      <c r="P912" t="str">
        <f t="shared" si="31"/>
        <v>Employee Related Cost</v>
      </c>
    </row>
    <row r="913" spans="1:16" hidden="1" x14ac:dyDescent="0.25">
      <c r="A913" t="s">
        <v>1241</v>
      </c>
      <c r="C913" t="s">
        <v>152</v>
      </c>
      <c r="D913" s="67">
        <v>66300</v>
      </c>
      <c r="E913">
        <v>0</v>
      </c>
      <c r="F913">
        <v>0</v>
      </c>
      <c r="G913">
        <v>1217.71</v>
      </c>
      <c r="H913">
        <v>-1217.71</v>
      </c>
      <c r="I913">
        <v>0</v>
      </c>
      <c r="J913">
        <v>0</v>
      </c>
      <c r="K913" s="249">
        <v>66300</v>
      </c>
      <c r="L913" s="249">
        <v>70443.75</v>
      </c>
      <c r="M913" s="249">
        <v>75374.8125</v>
      </c>
      <c r="N913" s="249">
        <v>80651.049375000002</v>
      </c>
      <c r="O913" t="str">
        <f t="shared" si="30"/>
        <v>2</v>
      </c>
      <c r="P913" t="str">
        <f t="shared" si="31"/>
        <v>Employee Related Cost</v>
      </c>
    </row>
    <row r="914" spans="1:16" hidden="1" x14ac:dyDescent="0.25">
      <c r="A914" t="s">
        <v>1242</v>
      </c>
      <c r="C914" t="s">
        <v>153</v>
      </c>
      <c r="D914" s="67">
        <v>10893</v>
      </c>
      <c r="E914">
        <v>0</v>
      </c>
      <c r="F914">
        <v>0</v>
      </c>
      <c r="G914">
        <v>1217.71</v>
      </c>
      <c r="H914">
        <v>-1217.71</v>
      </c>
      <c r="I914">
        <v>0</v>
      </c>
      <c r="J914">
        <v>0</v>
      </c>
      <c r="K914" s="249">
        <v>10893</v>
      </c>
      <c r="L914" s="249">
        <v>11573.8125</v>
      </c>
      <c r="M914" s="249">
        <v>12383.979375000001</v>
      </c>
      <c r="N914" s="249">
        <v>13250.857931250001</v>
      </c>
      <c r="O914" t="str">
        <f t="shared" si="30"/>
        <v>2</v>
      </c>
      <c r="P914" t="str">
        <f t="shared" si="31"/>
        <v>Employee Related Cost</v>
      </c>
    </row>
    <row r="915" spans="1:16" hidden="1" x14ac:dyDescent="0.25">
      <c r="A915" t="s">
        <v>1243</v>
      </c>
      <c r="C915" t="s">
        <v>155</v>
      </c>
      <c r="D915" s="67">
        <v>60349</v>
      </c>
      <c r="E915">
        <v>0</v>
      </c>
      <c r="F915">
        <v>0</v>
      </c>
      <c r="G915">
        <v>1217.71</v>
      </c>
      <c r="H915">
        <v>-1217.71</v>
      </c>
      <c r="I915">
        <v>0</v>
      </c>
      <c r="J915">
        <v>0</v>
      </c>
      <c r="K915" s="249">
        <v>60349</v>
      </c>
      <c r="L915" s="249">
        <v>64120.8125</v>
      </c>
      <c r="M915" s="249">
        <v>68609.269375000003</v>
      </c>
      <c r="N915" s="249">
        <v>73411.918231250005</v>
      </c>
      <c r="O915" t="str">
        <f t="shared" si="30"/>
        <v>2</v>
      </c>
      <c r="P915" t="str">
        <f t="shared" si="31"/>
        <v>Employee Related Cost</v>
      </c>
    </row>
    <row r="916" spans="1:16" hidden="1" x14ac:dyDescent="0.25">
      <c r="A916" t="s">
        <v>1244</v>
      </c>
      <c r="C916" t="s">
        <v>156</v>
      </c>
      <c r="D916" s="67">
        <v>138573</v>
      </c>
      <c r="E916">
        <v>0</v>
      </c>
      <c r="F916">
        <v>0</v>
      </c>
      <c r="G916">
        <v>1217.71</v>
      </c>
      <c r="H916">
        <v>-1217.71</v>
      </c>
      <c r="I916">
        <v>0</v>
      </c>
      <c r="J916">
        <v>0</v>
      </c>
      <c r="K916" s="249">
        <v>138573</v>
      </c>
      <c r="L916" s="249">
        <v>147233.8125</v>
      </c>
      <c r="M916" s="249">
        <v>157540.17937500001</v>
      </c>
      <c r="N916" s="249">
        <v>168567.99193125</v>
      </c>
      <c r="O916" t="str">
        <f t="shared" si="30"/>
        <v>2</v>
      </c>
      <c r="P916" t="str">
        <f t="shared" si="31"/>
        <v>Employee Related Cost</v>
      </c>
    </row>
    <row r="917" spans="1:16" hidden="1" x14ac:dyDescent="0.25">
      <c r="A917" t="s">
        <v>1245</v>
      </c>
      <c r="C917" t="s">
        <v>157</v>
      </c>
      <c r="D917" s="67">
        <v>12290</v>
      </c>
      <c r="E917">
        <v>0</v>
      </c>
      <c r="F917">
        <v>0</v>
      </c>
      <c r="G917">
        <v>1217.71</v>
      </c>
      <c r="H917">
        <v>-1217.71</v>
      </c>
      <c r="I917">
        <v>0</v>
      </c>
      <c r="J917">
        <v>11242</v>
      </c>
      <c r="K917" s="249">
        <v>23532</v>
      </c>
      <c r="L917" s="249">
        <v>25002.75</v>
      </c>
      <c r="M917" s="249">
        <v>26752.942500000001</v>
      </c>
      <c r="N917" s="249">
        <v>28625.648475000002</v>
      </c>
      <c r="O917" t="str">
        <f t="shared" si="30"/>
        <v>2</v>
      </c>
      <c r="P917" t="str">
        <f t="shared" si="31"/>
        <v>Employee Related Cost</v>
      </c>
    </row>
    <row r="918" spans="1:16" hidden="1" x14ac:dyDescent="0.25">
      <c r="A918" t="s">
        <v>1246</v>
      </c>
      <c r="C918" t="s">
        <v>158</v>
      </c>
      <c r="D918" s="67">
        <v>11242</v>
      </c>
      <c r="E918">
        <v>0</v>
      </c>
      <c r="F918">
        <v>0</v>
      </c>
      <c r="G918">
        <v>1217.71</v>
      </c>
      <c r="H918">
        <v>-1217.71</v>
      </c>
      <c r="I918">
        <v>0</v>
      </c>
      <c r="J918">
        <v>-11242</v>
      </c>
      <c r="K918" s="249">
        <v>0</v>
      </c>
      <c r="L918" s="249">
        <v>0</v>
      </c>
      <c r="M918" s="249">
        <v>0</v>
      </c>
      <c r="N918" s="249">
        <v>0</v>
      </c>
      <c r="O918" t="str">
        <f t="shared" si="30"/>
        <v>2</v>
      </c>
      <c r="P918" t="str">
        <f t="shared" si="31"/>
        <v>Employee Related Cost</v>
      </c>
    </row>
    <row r="919" spans="1:16" hidden="1" x14ac:dyDescent="0.25">
      <c r="A919" t="s">
        <v>1247</v>
      </c>
      <c r="C919" t="s">
        <v>159</v>
      </c>
      <c r="D919" s="67">
        <v>152316</v>
      </c>
      <c r="E919">
        <v>0</v>
      </c>
      <c r="F919">
        <v>0</v>
      </c>
      <c r="G919">
        <v>1217.71</v>
      </c>
      <c r="H919">
        <v>-1217.71</v>
      </c>
      <c r="I919">
        <v>0</v>
      </c>
      <c r="J919">
        <v>0</v>
      </c>
      <c r="K919" s="249">
        <v>152316</v>
      </c>
      <c r="L919" s="249">
        <v>161835.75</v>
      </c>
      <c r="M919" s="249">
        <v>173164.2525</v>
      </c>
      <c r="N919" s="249">
        <v>185285.75017499999</v>
      </c>
      <c r="O919" t="str">
        <f t="shared" si="30"/>
        <v>2</v>
      </c>
      <c r="P919" t="str">
        <f t="shared" si="31"/>
        <v>Employee Related Cost</v>
      </c>
    </row>
    <row r="920" spans="1:16" hidden="1" x14ac:dyDescent="0.25">
      <c r="A920" t="s">
        <v>1248</v>
      </c>
      <c r="C920" t="s">
        <v>162</v>
      </c>
      <c r="D920" s="67">
        <v>221161</v>
      </c>
      <c r="E920">
        <v>0</v>
      </c>
      <c r="F920">
        <v>0</v>
      </c>
      <c r="G920">
        <v>1217.71</v>
      </c>
      <c r="H920">
        <v>-1217.71</v>
      </c>
      <c r="I920">
        <v>0</v>
      </c>
      <c r="J920">
        <v>0</v>
      </c>
      <c r="K920" s="249">
        <v>221161</v>
      </c>
      <c r="L920" s="249">
        <v>234983.5625</v>
      </c>
      <c r="M920" s="249">
        <v>251432.41187499999</v>
      </c>
      <c r="N920" s="249">
        <v>269032.68070625002</v>
      </c>
      <c r="O920" t="str">
        <f t="shared" si="30"/>
        <v>2</v>
      </c>
      <c r="P920" t="str">
        <f t="shared" si="31"/>
        <v>Employee Related Cost</v>
      </c>
    </row>
    <row r="921" spans="1:16" hidden="1" x14ac:dyDescent="0.25">
      <c r="A921" t="s">
        <v>1249</v>
      </c>
      <c r="C921" t="s">
        <v>164</v>
      </c>
      <c r="D921" s="67">
        <v>15692</v>
      </c>
      <c r="E921">
        <v>0</v>
      </c>
      <c r="F921">
        <v>0</v>
      </c>
      <c r="G921">
        <v>1217.71</v>
      </c>
      <c r="H921">
        <v>-1217.71</v>
      </c>
      <c r="I921">
        <v>0</v>
      </c>
      <c r="J921">
        <v>0</v>
      </c>
      <c r="K921" s="249">
        <v>15692</v>
      </c>
      <c r="L921" s="249">
        <v>16672.75</v>
      </c>
      <c r="M921" s="249">
        <v>17839.842499999999</v>
      </c>
      <c r="N921" s="249">
        <v>19088.631474999998</v>
      </c>
      <c r="O921" t="str">
        <f t="shared" si="30"/>
        <v>2</v>
      </c>
      <c r="P921" t="str">
        <f t="shared" si="31"/>
        <v>Employee Related Cost</v>
      </c>
    </row>
    <row r="922" spans="1:16" hidden="1" x14ac:dyDescent="0.25">
      <c r="A922" t="s">
        <v>1250</v>
      </c>
      <c r="C922" t="s">
        <v>167</v>
      </c>
      <c r="D922" s="67">
        <v>562</v>
      </c>
      <c r="E922">
        <v>0</v>
      </c>
      <c r="F922">
        <v>0</v>
      </c>
      <c r="G922">
        <v>1217.71</v>
      </c>
      <c r="H922">
        <v>-1217.71</v>
      </c>
      <c r="I922">
        <v>0</v>
      </c>
      <c r="J922">
        <v>0</v>
      </c>
      <c r="K922" s="249">
        <v>562</v>
      </c>
      <c r="L922" s="249">
        <v>597.125</v>
      </c>
      <c r="M922" s="249">
        <v>638.92375000000004</v>
      </c>
      <c r="N922" s="249">
        <v>683.64841250000006</v>
      </c>
      <c r="O922" t="str">
        <f t="shared" si="30"/>
        <v>2</v>
      </c>
      <c r="P922" t="str">
        <f t="shared" si="31"/>
        <v>Employee Related Cost</v>
      </c>
    </row>
    <row r="923" spans="1:16" hidden="1" x14ac:dyDescent="0.25">
      <c r="A923" t="s">
        <v>1251</v>
      </c>
      <c r="C923" t="s">
        <v>168</v>
      </c>
      <c r="D923" s="67">
        <v>134382</v>
      </c>
      <c r="E923">
        <v>0</v>
      </c>
      <c r="F923">
        <v>0</v>
      </c>
      <c r="G923">
        <v>1217.71</v>
      </c>
      <c r="H923">
        <v>-1217.71</v>
      </c>
      <c r="I923">
        <v>0</v>
      </c>
      <c r="J923">
        <v>0</v>
      </c>
      <c r="K923" s="249">
        <v>134382</v>
      </c>
      <c r="L923" s="249">
        <v>142780.875</v>
      </c>
      <c r="M923" s="249">
        <v>152775.53625</v>
      </c>
      <c r="N923" s="249">
        <v>163469.8237875</v>
      </c>
      <c r="O923" t="str">
        <f t="shared" si="30"/>
        <v>2</v>
      </c>
      <c r="P923" t="str">
        <f t="shared" si="31"/>
        <v>Employee Related Cost</v>
      </c>
    </row>
    <row r="924" spans="1:16" hidden="1" x14ac:dyDescent="0.25">
      <c r="A924" t="s">
        <v>1252</v>
      </c>
      <c r="C924" t="s">
        <v>169</v>
      </c>
      <c r="D924" s="67">
        <v>402115</v>
      </c>
      <c r="E924">
        <v>0</v>
      </c>
      <c r="F924">
        <v>0</v>
      </c>
      <c r="G924">
        <v>1217.71</v>
      </c>
      <c r="H924">
        <v>-1217.71</v>
      </c>
      <c r="I924">
        <v>0</v>
      </c>
      <c r="J924">
        <v>0</v>
      </c>
      <c r="K924" s="249">
        <v>402115</v>
      </c>
      <c r="L924" s="249">
        <v>427247.1875</v>
      </c>
      <c r="M924" s="249">
        <v>457154.49062499998</v>
      </c>
      <c r="N924" s="249">
        <v>489155.30496874999</v>
      </c>
      <c r="O924" t="str">
        <f t="shared" si="30"/>
        <v>2</v>
      </c>
      <c r="P924" t="str">
        <f t="shared" si="31"/>
        <v>Employee Related Cost</v>
      </c>
    </row>
    <row r="925" spans="1:16" hidden="1" x14ac:dyDescent="0.25">
      <c r="A925" t="s">
        <v>1253</v>
      </c>
      <c r="C925" t="s">
        <v>170</v>
      </c>
      <c r="D925" s="67">
        <v>8925</v>
      </c>
      <c r="E925">
        <v>0</v>
      </c>
      <c r="F925">
        <v>0</v>
      </c>
      <c r="G925">
        <v>1217.71</v>
      </c>
      <c r="H925">
        <v>-1217.71</v>
      </c>
      <c r="I925">
        <v>0</v>
      </c>
      <c r="J925">
        <v>0</v>
      </c>
      <c r="K925" s="249">
        <v>8925</v>
      </c>
      <c r="L925" s="249">
        <v>9482.8125</v>
      </c>
      <c r="M925" s="249">
        <v>10146.609375</v>
      </c>
      <c r="N925" s="249">
        <v>10856.872031250001</v>
      </c>
      <c r="O925" t="str">
        <f t="shared" si="30"/>
        <v>2</v>
      </c>
      <c r="P925" t="str">
        <f t="shared" si="31"/>
        <v>Employee Related Cost</v>
      </c>
    </row>
    <row r="926" spans="1:16" hidden="1" x14ac:dyDescent="0.25">
      <c r="A926" t="s">
        <v>1254</v>
      </c>
      <c r="C926" t="s">
        <v>173</v>
      </c>
      <c r="D926" s="67">
        <v>17907</v>
      </c>
      <c r="E926">
        <v>0</v>
      </c>
      <c r="F926">
        <v>0</v>
      </c>
      <c r="G926">
        <v>1217.71</v>
      </c>
      <c r="H926">
        <v>-1217.71</v>
      </c>
      <c r="I926">
        <v>0</v>
      </c>
      <c r="J926">
        <v>0</v>
      </c>
      <c r="K926" s="249">
        <v>17907</v>
      </c>
      <c r="L926" s="249">
        <v>19026.1875</v>
      </c>
      <c r="M926" s="249">
        <v>20358.020625000001</v>
      </c>
      <c r="N926" s="249">
        <v>21783.082068750002</v>
      </c>
      <c r="O926" t="str">
        <f t="shared" si="30"/>
        <v>2</v>
      </c>
      <c r="P926" t="str">
        <f t="shared" si="31"/>
        <v>Employee Related Cost</v>
      </c>
    </row>
    <row r="927" spans="1:16" hidden="1" x14ac:dyDescent="0.25">
      <c r="A927" t="s">
        <v>1255</v>
      </c>
      <c r="C927" t="s">
        <v>174</v>
      </c>
      <c r="D927" s="67">
        <v>14818</v>
      </c>
      <c r="E927">
        <v>0</v>
      </c>
      <c r="F927">
        <v>0</v>
      </c>
      <c r="G927">
        <v>1217.71</v>
      </c>
      <c r="H927">
        <v>-1217.71</v>
      </c>
      <c r="I927">
        <v>0</v>
      </c>
      <c r="J927">
        <v>0</v>
      </c>
      <c r="K927" s="249">
        <v>14818</v>
      </c>
      <c r="L927" s="249">
        <v>15744.125</v>
      </c>
      <c r="M927" s="249">
        <v>16846.213749999999</v>
      </c>
      <c r="N927" s="249">
        <v>18025.448712499998</v>
      </c>
      <c r="O927" t="str">
        <f t="shared" si="30"/>
        <v>2</v>
      </c>
      <c r="P927" t="str">
        <f t="shared" si="31"/>
        <v>Employee Related Cost</v>
      </c>
    </row>
    <row r="928" spans="1:16" hidden="1" x14ac:dyDescent="0.25">
      <c r="A928" t="s">
        <v>1256</v>
      </c>
      <c r="C928" t="s">
        <v>175</v>
      </c>
      <c r="D928" s="67">
        <v>31326</v>
      </c>
      <c r="E928">
        <v>0</v>
      </c>
      <c r="F928">
        <v>0</v>
      </c>
      <c r="G928">
        <v>1217.71</v>
      </c>
      <c r="H928">
        <v>-1217.71</v>
      </c>
      <c r="I928">
        <v>0</v>
      </c>
      <c r="J928">
        <v>0</v>
      </c>
      <c r="K928" s="249">
        <v>31326</v>
      </c>
      <c r="L928" s="249">
        <v>33283.875</v>
      </c>
      <c r="M928" s="249">
        <v>35613.746249999997</v>
      </c>
      <c r="N928" s="249">
        <v>38106.7084875</v>
      </c>
      <c r="O928" t="str">
        <f t="shared" si="30"/>
        <v>2</v>
      </c>
      <c r="P928" t="str">
        <f t="shared" si="31"/>
        <v>Employee Related Cost</v>
      </c>
    </row>
    <row r="929" spans="1:16" hidden="1" x14ac:dyDescent="0.25">
      <c r="A929" t="s">
        <v>1257</v>
      </c>
      <c r="C929" t="s">
        <v>215</v>
      </c>
      <c r="D929" s="67">
        <v>46033</v>
      </c>
      <c r="E929">
        <v>0</v>
      </c>
      <c r="F929">
        <v>0</v>
      </c>
      <c r="G929">
        <v>1217.71</v>
      </c>
      <c r="H929">
        <v>-1217.71</v>
      </c>
      <c r="I929">
        <v>0</v>
      </c>
      <c r="J929">
        <v>-46033</v>
      </c>
      <c r="K929" s="249">
        <v>0</v>
      </c>
      <c r="M929" s="249">
        <v>0</v>
      </c>
      <c r="O929" t="str">
        <f t="shared" si="30"/>
        <v>2</v>
      </c>
      <c r="P929" t="str">
        <f t="shared" si="31"/>
        <v>Contracted Services</v>
      </c>
    </row>
    <row r="930" spans="1:16" hidden="1" x14ac:dyDescent="0.25">
      <c r="A930" t="s">
        <v>1258</v>
      </c>
      <c r="C930" t="s">
        <v>236</v>
      </c>
      <c r="D930" s="67">
        <v>636000</v>
      </c>
      <c r="E930">
        <v>0</v>
      </c>
      <c r="F930">
        <v>0</v>
      </c>
      <c r="G930">
        <v>1217.71</v>
      </c>
      <c r="H930">
        <v>-1217.71</v>
      </c>
      <c r="I930">
        <v>0</v>
      </c>
      <c r="J930">
        <v>0</v>
      </c>
      <c r="K930" s="249">
        <v>636000</v>
      </c>
      <c r="L930" s="249">
        <v>664620</v>
      </c>
      <c r="M930" s="249">
        <v>695192.52</v>
      </c>
      <c r="N930" s="249">
        <v>727171.37592000002</v>
      </c>
      <c r="O930" t="str">
        <f t="shared" si="30"/>
        <v>2</v>
      </c>
      <c r="P930" t="str">
        <f t="shared" si="31"/>
        <v>Contracted Services</v>
      </c>
    </row>
    <row r="931" spans="1:16" hidden="1" x14ac:dyDescent="0.25">
      <c r="A931" t="s">
        <v>1259</v>
      </c>
      <c r="C931" t="s">
        <v>265</v>
      </c>
      <c r="D931" s="67">
        <v>33129</v>
      </c>
      <c r="E931">
        <v>0</v>
      </c>
      <c r="F931">
        <v>0</v>
      </c>
      <c r="G931">
        <v>1217.71</v>
      </c>
      <c r="H931">
        <v>-1217.71</v>
      </c>
      <c r="I931">
        <v>0</v>
      </c>
      <c r="J931">
        <v>0</v>
      </c>
      <c r="K931" s="249">
        <v>33129</v>
      </c>
      <c r="L931" s="249">
        <v>34619.805</v>
      </c>
      <c r="M931" s="249">
        <v>36212.316030000002</v>
      </c>
      <c r="N931" s="249">
        <v>37878.082567379999</v>
      </c>
      <c r="O931" t="str">
        <f t="shared" si="30"/>
        <v>2</v>
      </c>
      <c r="P931" t="str">
        <f t="shared" si="31"/>
        <v>Operational Cost</v>
      </c>
    </row>
    <row r="932" spans="1:16" hidden="1" x14ac:dyDescent="0.25">
      <c r="A932" t="s">
        <v>1260</v>
      </c>
      <c r="C932" t="s">
        <v>268</v>
      </c>
      <c r="D932" s="67">
        <v>76213</v>
      </c>
      <c r="E932">
        <v>0</v>
      </c>
      <c r="F932">
        <v>0</v>
      </c>
      <c r="G932">
        <v>1217.71</v>
      </c>
      <c r="H932">
        <v>-1217.71</v>
      </c>
      <c r="I932">
        <v>0</v>
      </c>
      <c r="J932">
        <v>0</v>
      </c>
      <c r="K932" s="249">
        <v>76213</v>
      </c>
      <c r="L932" s="249">
        <v>79642.585000000006</v>
      </c>
      <c r="M932" s="249">
        <v>83306.143910000013</v>
      </c>
      <c r="N932" s="249">
        <v>87138.22652986001</v>
      </c>
      <c r="O932" t="str">
        <f t="shared" si="30"/>
        <v>2</v>
      </c>
      <c r="P932" t="str">
        <f t="shared" si="31"/>
        <v>Operational Cost</v>
      </c>
    </row>
    <row r="933" spans="1:16" hidden="1" x14ac:dyDescent="0.25">
      <c r="A933" t="s">
        <v>1261</v>
      </c>
      <c r="C933" t="s">
        <v>273</v>
      </c>
      <c r="D933" s="67">
        <v>4355626</v>
      </c>
      <c r="E933">
        <v>0</v>
      </c>
      <c r="F933">
        <v>0</v>
      </c>
      <c r="G933">
        <v>1217.71</v>
      </c>
      <c r="H933">
        <v>-1217.71</v>
      </c>
      <c r="I933">
        <v>0</v>
      </c>
      <c r="J933">
        <v>344539</v>
      </c>
      <c r="K933" s="249">
        <v>4700165</v>
      </c>
      <c r="L933" s="249">
        <v>5080878.3650000002</v>
      </c>
      <c r="M933" s="249">
        <v>5345084.0399799999</v>
      </c>
      <c r="N933" s="249">
        <v>5820796.51953822</v>
      </c>
      <c r="O933" t="str">
        <f t="shared" si="30"/>
        <v>2</v>
      </c>
      <c r="P933" t="str">
        <f t="shared" si="31"/>
        <v>Operational Cost</v>
      </c>
    </row>
    <row r="934" spans="1:16" hidden="1" x14ac:dyDescent="0.25">
      <c r="A934" t="s">
        <v>1262</v>
      </c>
      <c r="C934" t="s">
        <v>281</v>
      </c>
      <c r="D934" s="67">
        <v>8268000</v>
      </c>
      <c r="E934">
        <v>0</v>
      </c>
      <c r="F934">
        <v>0</v>
      </c>
      <c r="G934">
        <v>1217.71</v>
      </c>
      <c r="H934">
        <v>-1217.71</v>
      </c>
      <c r="I934">
        <v>0</v>
      </c>
      <c r="J934">
        <v>0</v>
      </c>
      <c r="K934" s="249">
        <v>8268000</v>
      </c>
      <c r="L934" s="249">
        <v>8937708</v>
      </c>
      <c r="M934" s="249">
        <v>9402468.8159999996</v>
      </c>
      <c r="N934" s="249">
        <v>10239288.540624</v>
      </c>
      <c r="O934" t="str">
        <f t="shared" si="30"/>
        <v>2</v>
      </c>
      <c r="P934" t="str">
        <f t="shared" si="31"/>
        <v>Bulk Purchases</v>
      </c>
    </row>
    <row r="935" spans="1:16" hidden="1" x14ac:dyDescent="0.25">
      <c r="A935" t="s">
        <v>1263</v>
      </c>
      <c r="C935" t="s">
        <v>292</v>
      </c>
      <c r="D935" s="67">
        <v>3371</v>
      </c>
      <c r="E935">
        <v>0</v>
      </c>
      <c r="F935">
        <v>0</v>
      </c>
      <c r="G935">
        <v>1217.71</v>
      </c>
      <c r="H935">
        <v>-1217.71</v>
      </c>
      <c r="I935">
        <v>0</v>
      </c>
      <c r="J935">
        <v>0</v>
      </c>
      <c r="K935" s="249">
        <v>3371</v>
      </c>
      <c r="L935" s="249">
        <v>3522.6950000000002</v>
      </c>
      <c r="M935" s="249">
        <v>3684.7389700000003</v>
      </c>
      <c r="N935" s="249">
        <v>3854.2369626200002</v>
      </c>
      <c r="O935" t="str">
        <f t="shared" si="30"/>
        <v>2</v>
      </c>
      <c r="P935" t="str">
        <f t="shared" si="31"/>
        <v>Depreciation &amp; Amortisation</v>
      </c>
    </row>
    <row r="936" spans="1:16" hidden="1" x14ac:dyDescent="0.25">
      <c r="A936" t="s">
        <v>1264</v>
      </c>
      <c r="C936" t="s">
        <v>293</v>
      </c>
      <c r="D936" s="67">
        <v>5077</v>
      </c>
      <c r="E936">
        <v>0</v>
      </c>
      <c r="F936">
        <v>0</v>
      </c>
      <c r="G936">
        <v>1217.71</v>
      </c>
      <c r="H936">
        <v>-1217.71</v>
      </c>
      <c r="I936">
        <v>0</v>
      </c>
      <c r="J936">
        <v>0</v>
      </c>
      <c r="K936" s="249">
        <v>5077</v>
      </c>
      <c r="L936" s="249">
        <v>5305.4650000000001</v>
      </c>
      <c r="M936" s="249">
        <v>5549.5163899999998</v>
      </c>
      <c r="N936" s="249">
        <v>5804.7941439400001</v>
      </c>
      <c r="O936" t="str">
        <f t="shared" si="30"/>
        <v>2</v>
      </c>
      <c r="P936" t="str">
        <f t="shared" si="31"/>
        <v>Depreciation &amp; Amortisation</v>
      </c>
    </row>
    <row r="937" spans="1:16" hidden="1" x14ac:dyDescent="0.25">
      <c r="A937" t="s">
        <v>1265</v>
      </c>
      <c r="C937" t="s">
        <v>294</v>
      </c>
      <c r="D937" s="67">
        <v>526309</v>
      </c>
      <c r="E937">
        <v>0</v>
      </c>
      <c r="F937">
        <v>0</v>
      </c>
      <c r="G937">
        <v>1217.71</v>
      </c>
      <c r="H937">
        <v>-1217.71</v>
      </c>
      <c r="I937">
        <v>0</v>
      </c>
      <c r="J937">
        <v>0</v>
      </c>
      <c r="K937" s="249">
        <v>526309</v>
      </c>
      <c r="L937" s="249">
        <v>549992.90500000003</v>
      </c>
      <c r="M937" s="249">
        <v>575292.57863</v>
      </c>
      <c r="N937" s="249">
        <v>601756.03724698001</v>
      </c>
      <c r="O937" t="str">
        <f t="shared" si="30"/>
        <v>2</v>
      </c>
      <c r="P937" t="str">
        <f t="shared" si="31"/>
        <v>Depreciation &amp; Amortisation</v>
      </c>
    </row>
    <row r="938" spans="1:16" hidden="1" x14ac:dyDescent="0.25">
      <c r="A938" t="s">
        <v>1266</v>
      </c>
      <c r="C938" t="s">
        <v>296</v>
      </c>
      <c r="D938" s="67">
        <v>25648</v>
      </c>
      <c r="E938">
        <v>0</v>
      </c>
      <c r="F938">
        <v>0</v>
      </c>
      <c r="G938">
        <v>1217.71</v>
      </c>
      <c r="H938">
        <v>-1217.71</v>
      </c>
      <c r="I938">
        <v>0</v>
      </c>
      <c r="J938">
        <v>0</v>
      </c>
      <c r="K938" s="249">
        <v>25648</v>
      </c>
      <c r="L938" s="249">
        <v>26802.16</v>
      </c>
      <c r="M938" s="249">
        <v>28035.059359999999</v>
      </c>
      <c r="N938" s="249">
        <v>29324.672090559998</v>
      </c>
      <c r="O938" t="str">
        <f t="shared" si="30"/>
        <v>2</v>
      </c>
      <c r="P938" t="str">
        <f t="shared" si="31"/>
        <v>Depreciation &amp; Amortisation</v>
      </c>
    </row>
    <row r="939" spans="1:16" hidden="1" x14ac:dyDescent="0.25">
      <c r="A939" t="s">
        <v>1267</v>
      </c>
      <c r="C939" t="s">
        <v>297</v>
      </c>
      <c r="D939" s="67">
        <v>116115</v>
      </c>
      <c r="E939">
        <v>0</v>
      </c>
      <c r="F939">
        <v>0</v>
      </c>
      <c r="G939">
        <v>1217.71</v>
      </c>
      <c r="H939">
        <v>-1217.71</v>
      </c>
      <c r="I939">
        <v>0</v>
      </c>
      <c r="J939">
        <v>0</v>
      </c>
      <c r="K939" s="249">
        <v>116115</v>
      </c>
      <c r="L939" s="249">
        <v>121340.175</v>
      </c>
      <c r="M939" s="249">
        <v>126921.82305000001</v>
      </c>
      <c r="N939" s="249">
        <v>132760.2269103</v>
      </c>
      <c r="O939" t="str">
        <f t="shared" si="30"/>
        <v>2</v>
      </c>
      <c r="P939" t="str">
        <f t="shared" ref="P939:P944" si="32">VLOOKUP(A939,bud_321,16,FALSE)</f>
        <v>Depreciation &amp; Amortisation</v>
      </c>
    </row>
    <row r="940" spans="1:16" x14ac:dyDescent="0.25">
      <c r="A940" s="251" t="s">
        <v>3089</v>
      </c>
      <c r="C940" t="s">
        <v>1271</v>
      </c>
      <c r="O940" t="str">
        <f t="shared" si="30"/>
        <v>6</v>
      </c>
      <c r="P940">
        <f t="shared" si="32"/>
        <v>0</v>
      </c>
    </row>
    <row r="941" spans="1:16" x14ac:dyDescent="0.25">
      <c r="A941" s="251" t="s">
        <v>3088</v>
      </c>
      <c r="C941" t="s">
        <v>3046</v>
      </c>
      <c r="O941" t="str">
        <f t="shared" si="30"/>
        <v>6</v>
      </c>
      <c r="P941">
        <f t="shared" si="32"/>
        <v>0</v>
      </c>
    </row>
    <row r="942" spans="1:16" x14ac:dyDescent="0.25">
      <c r="A942" t="s">
        <v>3087</v>
      </c>
      <c r="C942" t="s">
        <v>3048</v>
      </c>
      <c r="L942" s="249">
        <v>500000</v>
      </c>
      <c r="M942" s="249">
        <v>600000</v>
      </c>
      <c r="N942" s="249">
        <v>0</v>
      </c>
      <c r="O942" t="str">
        <f t="shared" si="30"/>
        <v>6</v>
      </c>
      <c r="P942">
        <f t="shared" si="32"/>
        <v>0</v>
      </c>
    </row>
    <row r="943" spans="1:16" x14ac:dyDescent="0.25">
      <c r="A943" s="251" t="s">
        <v>3090</v>
      </c>
      <c r="C943" t="s">
        <v>3049</v>
      </c>
      <c r="D943" s="67">
        <v>0</v>
      </c>
      <c r="K943" s="249">
        <v>0</v>
      </c>
      <c r="L943" s="249">
        <v>0</v>
      </c>
      <c r="M943" s="249">
        <v>0</v>
      </c>
      <c r="N943" s="249">
        <v>1500000</v>
      </c>
      <c r="O943" t="str">
        <f t="shared" si="30"/>
        <v>6</v>
      </c>
      <c r="P943">
        <f t="shared" si="32"/>
        <v>0</v>
      </c>
    </row>
    <row r="944" spans="1:16" x14ac:dyDescent="0.25">
      <c r="A944" s="251" t="s">
        <v>3091</v>
      </c>
      <c r="C944" t="s">
        <v>1354</v>
      </c>
      <c r="D944" s="67">
        <v>0</v>
      </c>
      <c r="J944">
        <v>0</v>
      </c>
      <c r="K944" s="249">
        <v>0</v>
      </c>
      <c r="L944" s="249">
        <v>0</v>
      </c>
      <c r="M944" s="249">
        <v>0</v>
      </c>
      <c r="N944" s="249">
        <v>0</v>
      </c>
      <c r="O944" t="str">
        <f t="shared" si="30"/>
        <v>6</v>
      </c>
      <c r="P944">
        <f t="shared" si="32"/>
        <v>0</v>
      </c>
    </row>
    <row r="945" spans="1:16" x14ac:dyDescent="0.25">
      <c r="A945" s="251" t="s">
        <v>3092</v>
      </c>
      <c r="C945" t="s">
        <v>3071</v>
      </c>
      <c r="D945" s="67">
        <v>0</v>
      </c>
      <c r="K945" s="249">
        <v>0</v>
      </c>
      <c r="L945" s="249">
        <v>13000000</v>
      </c>
      <c r="M945" s="249">
        <v>6000000</v>
      </c>
      <c r="N945" s="249">
        <v>7000000</v>
      </c>
      <c r="O945" t="str">
        <f t="shared" si="30"/>
        <v>6</v>
      </c>
      <c r="P945">
        <v>0</v>
      </c>
    </row>
    <row r="946" spans="1:16" x14ac:dyDescent="0.25">
      <c r="A946" s="251" t="s">
        <v>3093</v>
      </c>
      <c r="C946" t="s">
        <v>3072</v>
      </c>
      <c r="D946" s="67">
        <v>0</v>
      </c>
      <c r="K946" s="249">
        <v>0</v>
      </c>
      <c r="L946" s="249">
        <v>3000000</v>
      </c>
      <c r="M946" s="249">
        <v>0</v>
      </c>
      <c r="N946" s="249">
        <v>0</v>
      </c>
      <c r="O946" t="str">
        <f t="shared" si="30"/>
        <v>6</v>
      </c>
      <c r="P946">
        <v>0</v>
      </c>
    </row>
    <row r="947" spans="1:16" hidden="1" x14ac:dyDescent="0.25">
      <c r="A947" t="s">
        <v>1268</v>
      </c>
      <c r="B947" t="s">
        <v>3036</v>
      </c>
      <c r="C947" t="s">
        <v>1269</v>
      </c>
      <c r="D947" s="67">
        <v>2000000</v>
      </c>
      <c r="E947">
        <v>0</v>
      </c>
      <c r="F947">
        <v>0</v>
      </c>
      <c r="G947">
        <v>1217.71</v>
      </c>
      <c r="H947">
        <v>-1217.71</v>
      </c>
      <c r="I947">
        <v>0</v>
      </c>
      <c r="J947">
        <v>-787662.5</v>
      </c>
      <c r="K947" s="249">
        <v>1212337.5</v>
      </c>
      <c r="L947" s="249">
        <v>1200000</v>
      </c>
      <c r="M947" s="249">
        <v>1000000</v>
      </c>
      <c r="N947" s="249">
        <v>0</v>
      </c>
      <c r="O947" t="str">
        <f t="shared" si="30"/>
        <v>6</v>
      </c>
      <c r="P947">
        <f t="shared" ref="P947:P978" si="33">VLOOKUP(A947,bud_321,16,FALSE)</f>
        <v>0</v>
      </c>
    </row>
    <row r="948" spans="1:16" hidden="1" x14ac:dyDescent="0.25">
      <c r="A948" t="s">
        <v>1270</v>
      </c>
      <c r="B948" t="s">
        <v>3045</v>
      </c>
      <c r="C948" t="s">
        <v>1271</v>
      </c>
      <c r="D948" s="67">
        <v>3000000</v>
      </c>
      <c r="E948">
        <v>0</v>
      </c>
      <c r="F948">
        <v>0</v>
      </c>
      <c r="G948">
        <v>1217.71</v>
      </c>
      <c r="H948">
        <v>-1217.71</v>
      </c>
      <c r="I948">
        <v>0</v>
      </c>
      <c r="J948">
        <v>0</v>
      </c>
      <c r="K948" s="249">
        <v>3000000</v>
      </c>
      <c r="L948" s="249">
        <v>1700000</v>
      </c>
      <c r="M948" s="249">
        <v>1200000</v>
      </c>
      <c r="N948" s="249">
        <v>3500000</v>
      </c>
      <c r="O948" t="str">
        <f t="shared" si="30"/>
        <v>6</v>
      </c>
      <c r="P948">
        <f t="shared" si="33"/>
        <v>0</v>
      </c>
    </row>
    <row r="949" spans="1:16" hidden="1" x14ac:dyDescent="0.25">
      <c r="A949" t="s">
        <v>1273</v>
      </c>
      <c r="C949" t="s">
        <v>53</v>
      </c>
      <c r="D949" s="67">
        <v>0</v>
      </c>
      <c r="E949">
        <v>0</v>
      </c>
      <c r="F949">
        <v>0</v>
      </c>
      <c r="G949">
        <v>1217.71</v>
      </c>
      <c r="H949">
        <v>-1217.71</v>
      </c>
      <c r="I949">
        <v>0</v>
      </c>
      <c r="J949">
        <v>0</v>
      </c>
      <c r="K949" s="249">
        <v>0</v>
      </c>
      <c r="L949" s="249">
        <v>0</v>
      </c>
      <c r="M949" s="249">
        <v>0</v>
      </c>
      <c r="O949" t="str">
        <f t="shared" si="30"/>
        <v>1</v>
      </c>
      <c r="P949">
        <f t="shared" si="33"/>
        <v>0</v>
      </c>
    </row>
    <row r="950" spans="1:16" hidden="1" x14ac:dyDescent="0.25">
      <c r="A950" t="s">
        <v>1274</v>
      </c>
      <c r="C950" t="s">
        <v>54</v>
      </c>
      <c r="D950" s="67">
        <v>0</v>
      </c>
      <c r="E950">
        <v>0</v>
      </c>
      <c r="F950">
        <v>0</v>
      </c>
      <c r="G950">
        <v>1217.71</v>
      </c>
      <c r="H950">
        <v>-1217.71</v>
      </c>
      <c r="I950">
        <v>0</v>
      </c>
      <c r="J950">
        <v>0</v>
      </c>
      <c r="K950" s="249">
        <v>0</v>
      </c>
      <c r="L950" s="249">
        <v>0</v>
      </c>
      <c r="M950" s="249">
        <v>0</v>
      </c>
      <c r="O950" t="str">
        <f t="shared" si="30"/>
        <v>1</v>
      </c>
      <c r="P950">
        <f t="shared" si="33"/>
        <v>0</v>
      </c>
    </row>
    <row r="951" spans="1:16" hidden="1" x14ac:dyDescent="0.25">
      <c r="A951" t="s">
        <v>1275</v>
      </c>
      <c r="C951" t="s">
        <v>61</v>
      </c>
      <c r="D951" s="67">
        <v>-315185</v>
      </c>
      <c r="E951">
        <v>0</v>
      </c>
      <c r="F951">
        <v>0</v>
      </c>
      <c r="G951">
        <v>1217.71</v>
      </c>
      <c r="H951">
        <v>-1217.71</v>
      </c>
      <c r="I951">
        <v>0</v>
      </c>
      <c r="J951">
        <v>315185</v>
      </c>
      <c r="K951" s="249">
        <v>0</v>
      </c>
      <c r="L951" s="249">
        <v>0</v>
      </c>
      <c r="M951" s="249">
        <v>0</v>
      </c>
      <c r="O951" t="str">
        <f t="shared" si="30"/>
        <v>1</v>
      </c>
      <c r="P951">
        <f t="shared" si="33"/>
        <v>0</v>
      </c>
    </row>
    <row r="952" spans="1:16" hidden="1" x14ac:dyDescent="0.25">
      <c r="A952" t="s">
        <v>1276</v>
      </c>
      <c r="C952" t="s">
        <v>68</v>
      </c>
      <c r="D952" s="67">
        <v>-1696600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 s="249">
        <v>-403536</v>
      </c>
      <c r="L952" s="249">
        <v>-421695.12</v>
      </c>
      <c r="M952" s="249">
        <v>-441093.09551999997</v>
      </c>
      <c r="N952" s="249">
        <v>-461383.37791391998</v>
      </c>
      <c r="O952" t="str">
        <f t="shared" si="30"/>
        <v>1</v>
      </c>
      <c r="P952">
        <f t="shared" si="33"/>
        <v>0</v>
      </c>
    </row>
    <row r="953" spans="1:16" hidden="1" x14ac:dyDescent="0.25">
      <c r="A953" t="s">
        <v>1277</v>
      </c>
      <c r="C953" t="s">
        <v>73</v>
      </c>
      <c r="O953" t="str">
        <f t="shared" si="30"/>
        <v>1</v>
      </c>
      <c r="P953">
        <f t="shared" si="33"/>
        <v>0</v>
      </c>
    </row>
    <row r="954" spans="1:16" hidden="1" x14ac:dyDescent="0.25">
      <c r="A954" t="s">
        <v>1278</v>
      </c>
      <c r="C954" t="s">
        <v>150</v>
      </c>
      <c r="D954" s="67">
        <v>4209658</v>
      </c>
      <c r="E954">
        <v>0</v>
      </c>
      <c r="F954">
        <v>0</v>
      </c>
      <c r="G954">
        <v>1217.71</v>
      </c>
      <c r="H954">
        <v>-1217.71</v>
      </c>
      <c r="I954">
        <v>0</v>
      </c>
      <c r="J954">
        <v>0</v>
      </c>
      <c r="K954" s="249">
        <v>4209658</v>
      </c>
      <c r="L954" s="249">
        <v>4472761.625</v>
      </c>
      <c r="M954" s="249">
        <v>4785854.9387499997</v>
      </c>
      <c r="N954" s="249">
        <v>5120864.7844624994</v>
      </c>
      <c r="O954" t="str">
        <f t="shared" si="30"/>
        <v>2</v>
      </c>
      <c r="P954" t="str">
        <f t="shared" si="33"/>
        <v>Employee Related Cost</v>
      </c>
    </row>
    <row r="955" spans="1:16" hidden="1" x14ac:dyDescent="0.25">
      <c r="A955" t="s">
        <v>1279</v>
      </c>
      <c r="C955" t="s">
        <v>151</v>
      </c>
      <c r="D955" s="67">
        <v>194892</v>
      </c>
      <c r="E955">
        <v>0</v>
      </c>
      <c r="F955">
        <v>0</v>
      </c>
      <c r="G955">
        <v>1217.71</v>
      </c>
      <c r="H955">
        <v>-1217.71</v>
      </c>
      <c r="I955">
        <v>0</v>
      </c>
      <c r="J955">
        <v>-59418.559999999998</v>
      </c>
      <c r="K955" s="249">
        <v>135473.44</v>
      </c>
      <c r="L955" s="249">
        <v>143940.53</v>
      </c>
      <c r="M955" s="249">
        <v>154016.3671</v>
      </c>
      <c r="N955" s="249">
        <v>164797.512797</v>
      </c>
      <c r="O955" t="str">
        <f t="shared" si="30"/>
        <v>2</v>
      </c>
      <c r="P955" t="str">
        <f t="shared" si="33"/>
        <v>Employee Related Cost</v>
      </c>
    </row>
    <row r="956" spans="1:16" hidden="1" x14ac:dyDescent="0.25">
      <c r="A956" t="s">
        <v>1280</v>
      </c>
      <c r="C956" t="s">
        <v>152</v>
      </c>
      <c r="D956" s="67">
        <v>28200</v>
      </c>
      <c r="E956">
        <v>0</v>
      </c>
      <c r="F956">
        <v>0</v>
      </c>
      <c r="G956">
        <v>1217.71</v>
      </c>
      <c r="H956">
        <v>-1217.71</v>
      </c>
      <c r="I956">
        <v>0</v>
      </c>
      <c r="J956">
        <v>0</v>
      </c>
      <c r="K956" s="249">
        <v>28200</v>
      </c>
      <c r="L956" s="249">
        <v>29962.5</v>
      </c>
      <c r="M956" s="249">
        <v>32059.875</v>
      </c>
      <c r="N956" s="249">
        <v>34304.066250000003</v>
      </c>
      <c r="O956" t="str">
        <f t="shared" si="30"/>
        <v>2</v>
      </c>
      <c r="P956" t="str">
        <f t="shared" si="33"/>
        <v>Employee Related Cost</v>
      </c>
    </row>
    <row r="957" spans="1:16" hidden="1" x14ac:dyDescent="0.25">
      <c r="A957" t="s">
        <v>1281</v>
      </c>
      <c r="C957" t="s">
        <v>153</v>
      </c>
      <c r="D957" s="67">
        <v>0</v>
      </c>
      <c r="E957">
        <v>0</v>
      </c>
      <c r="F957">
        <v>0</v>
      </c>
      <c r="G957">
        <v>1217.71</v>
      </c>
      <c r="H957">
        <v>-1217.71</v>
      </c>
      <c r="I957">
        <v>0</v>
      </c>
      <c r="J957">
        <v>12000</v>
      </c>
      <c r="K957" s="249">
        <v>12000</v>
      </c>
      <c r="L957" s="249">
        <v>12750</v>
      </c>
      <c r="M957" s="249">
        <v>13642.5</v>
      </c>
      <c r="N957" s="249">
        <v>14597.475</v>
      </c>
      <c r="O957" t="str">
        <f t="shared" si="30"/>
        <v>2</v>
      </c>
      <c r="P957" t="str">
        <f t="shared" si="33"/>
        <v>Employee Related Cost</v>
      </c>
    </row>
    <row r="958" spans="1:16" hidden="1" x14ac:dyDescent="0.25">
      <c r="A958" t="s">
        <v>1282</v>
      </c>
      <c r="C958" t="s">
        <v>154</v>
      </c>
      <c r="D958" s="67">
        <v>6420</v>
      </c>
      <c r="E958">
        <v>0</v>
      </c>
      <c r="F958">
        <v>0</v>
      </c>
      <c r="G958">
        <v>1217.71</v>
      </c>
      <c r="H958">
        <v>-1217.71</v>
      </c>
      <c r="I958">
        <v>0</v>
      </c>
      <c r="J958">
        <v>0</v>
      </c>
      <c r="K958" s="249">
        <v>6420</v>
      </c>
      <c r="L958" s="249">
        <v>6821.25</v>
      </c>
      <c r="M958" s="249">
        <v>7298.7375000000002</v>
      </c>
      <c r="N958" s="249">
        <v>7809.6491249999999</v>
      </c>
      <c r="O958" t="str">
        <f t="shared" si="30"/>
        <v>2</v>
      </c>
      <c r="P958" t="str">
        <f t="shared" si="33"/>
        <v>Employee Related Cost</v>
      </c>
    </row>
    <row r="959" spans="1:16" hidden="1" x14ac:dyDescent="0.25">
      <c r="A959" t="s">
        <v>1283</v>
      </c>
      <c r="C959" t="s">
        <v>155</v>
      </c>
      <c r="D959" s="67">
        <v>138400</v>
      </c>
      <c r="E959">
        <v>0</v>
      </c>
      <c r="F959">
        <v>0</v>
      </c>
      <c r="G959">
        <v>1217.71</v>
      </c>
      <c r="H959">
        <v>-1217.71</v>
      </c>
      <c r="I959">
        <v>0</v>
      </c>
      <c r="J959">
        <v>0</v>
      </c>
      <c r="K959" s="249">
        <v>138400</v>
      </c>
      <c r="L959" s="249">
        <v>147050</v>
      </c>
      <c r="M959" s="249">
        <v>157343.5</v>
      </c>
      <c r="N959" s="249">
        <v>168357.54500000001</v>
      </c>
      <c r="O959" t="str">
        <f t="shared" si="30"/>
        <v>2</v>
      </c>
      <c r="P959" t="str">
        <f t="shared" si="33"/>
        <v>Employee Related Cost</v>
      </c>
    </row>
    <row r="960" spans="1:16" hidden="1" x14ac:dyDescent="0.25">
      <c r="A960" t="s">
        <v>1284</v>
      </c>
      <c r="C960" t="s">
        <v>156</v>
      </c>
      <c r="D960" s="67">
        <v>185604</v>
      </c>
      <c r="E960">
        <v>0</v>
      </c>
      <c r="F960">
        <v>0</v>
      </c>
      <c r="G960">
        <v>1217.71</v>
      </c>
      <c r="H960">
        <v>-1217.71</v>
      </c>
      <c r="I960">
        <v>0</v>
      </c>
      <c r="J960">
        <v>0</v>
      </c>
      <c r="K960" s="249">
        <v>185604</v>
      </c>
      <c r="L960" s="249">
        <v>197204.25</v>
      </c>
      <c r="M960" s="249">
        <v>211008.54749999999</v>
      </c>
      <c r="N960" s="249">
        <v>225779.14582499999</v>
      </c>
      <c r="O960" t="str">
        <f t="shared" si="30"/>
        <v>2</v>
      </c>
      <c r="P960" t="str">
        <f t="shared" si="33"/>
        <v>Employee Related Cost</v>
      </c>
    </row>
    <row r="961" spans="1:16" hidden="1" x14ac:dyDescent="0.25">
      <c r="A961" t="s">
        <v>1285</v>
      </c>
      <c r="C961" t="s">
        <v>157</v>
      </c>
      <c r="D961" s="67">
        <v>416905</v>
      </c>
      <c r="E961">
        <v>0</v>
      </c>
      <c r="F961">
        <v>0</v>
      </c>
      <c r="G961">
        <v>1217.71</v>
      </c>
      <c r="H961">
        <v>-1217.71</v>
      </c>
      <c r="I961">
        <v>0</v>
      </c>
      <c r="J961">
        <v>-40000</v>
      </c>
      <c r="K961" s="249">
        <v>376905</v>
      </c>
      <c r="L961" s="249">
        <v>400461.5625</v>
      </c>
      <c r="M961" s="249">
        <v>428493.87187500001</v>
      </c>
      <c r="N961" s="249">
        <v>458488.44290625001</v>
      </c>
      <c r="O961" t="str">
        <f t="shared" si="30"/>
        <v>2</v>
      </c>
      <c r="P961" t="str">
        <f t="shared" si="33"/>
        <v>Employee Related Cost</v>
      </c>
    </row>
    <row r="962" spans="1:16" hidden="1" x14ac:dyDescent="0.25">
      <c r="A962" t="s">
        <v>1286</v>
      </c>
      <c r="C962" t="s">
        <v>159</v>
      </c>
      <c r="D962" s="67">
        <v>350805</v>
      </c>
      <c r="E962">
        <v>0</v>
      </c>
      <c r="F962">
        <v>0</v>
      </c>
      <c r="G962">
        <v>1217.71</v>
      </c>
      <c r="H962">
        <v>-1217.71</v>
      </c>
      <c r="I962">
        <v>0</v>
      </c>
      <c r="J962">
        <v>0</v>
      </c>
      <c r="K962" s="249">
        <v>350805</v>
      </c>
      <c r="L962" s="249">
        <v>372730.3125</v>
      </c>
      <c r="M962" s="249">
        <v>398821.43437500001</v>
      </c>
      <c r="N962" s="249">
        <v>426738.93478125002</v>
      </c>
      <c r="O962" t="str">
        <f t="shared" si="30"/>
        <v>2</v>
      </c>
      <c r="P962" t="str">
        <f t="shared" si="33"/>
        <v>Employee Related Cost</v>
      </c>
    </row>
    <row r="963" spans="1:16" hidden="1" x14ac:dyDescent="0.25">
      <c r="A963" t="s">
        <v>1287</v>
      </c>
      <c r="C963" t="s">
        <v>161</v>
      </c>
      <c r="D963" s="67">
        <v>37996</v>
      </c>
      <c r="E963">
        <v>0</v>
      </c>
      <c r="F963">
        <v>0</v>
      </c>
      <c r="G963">
        <v>1217.71</v>
      </c>
      <c r="H963">
        <v>-1217.71</v>
      </c>
      <c r="I963">
        <v>0</v>
      </c>
      <c r="J963">
        <v>0</v>
      </c>
      <c r="K963" s="249">
        <v>37996</v>
      </c>
      <c r="L963" s="249">
        <v>40370.75</v>
      </c>
      <c r="M963" s="249">
        <v>43196.702499999999</v>
      </c>
      <c r="N963" s="249">
        <v>46220.471675000001</v>
      </c>
      <c r="O963" t="str">
        <f t="shared" ref="O963:O996" si="34">MID(A963,5,1)</f>
        <v>2</v>
      </c>
      <c r="P963" t="str">
        <f t="shared" si="33"/>
        <v>Employee Related Cost</v>
      </c>
    </row>
    <row r="964" spans="1:16" hidden="1" x14ac:dyDescent="0.25">
      <c r="A964" t="s">
        <v>1288</v>
      </c>
      <c r="C964" t="s">
        <v>162</v>
      </c>
      <c r="D964" s="67">
        <v>50197</v>
      </c>
      <c r="E964">
        <v>0</v>
      </c>
      <c r="F964">
        <v>0</v>
      </c>
      <c r="G964">
        <v>1217.71</v>
      </c>
      <c r="H964">
        <v>-1217.71</v>
      </c>
      <c r="I964">
        <v>0</v>
      </c>
      <c r="J964">
        <v>40000</v>
      </c>
      <c r="K964" s="249">
        <v>90197</v>
      </c>
      <c r="L964" s="249">
        <v>95834.3125</v>
      </c>
      <c r="M964" s="249">
        <v>102542.714375</v>
      </c>
      <c r="N964" s="249">
        <v>109720.70438124999</v>
      </c>
      <c r="O964" t="str">
        <f t="shared" si="34"/>
        <v>2</v>
      </c>
      <c r="P964" t="str">
        <f t="shared" si="33"/>
        <v>Employee Related Cost</v>
      </c>
    </row>
    <row r="965" spans="1:16" hidden="1" x14ac:dyDescent="0.25">
      <c r="A965" t="s">
        <v>1289</v>
      </c>
      <c r="C965" t="s">
        <v>167</v>
      </c>
      <c r="D965" s="67">
        <v>1910</v>
      </c>
      <c r="E965">
        <v>0</v>
      </c>
      <c r="F965">
        <v>0</v>
      </c>
      <c r="G965">
        <v>1217.71</v>
      </c>
      <c r="H965">
        <v>-1217.71</v>
      </c>
      <c r="I965">
        <v>0</v>
      </c>
      <c r="J965">
        <v>0</v>
      </c>
      <c r="K965" s="249">
        <v>1910</v>
      </c>
      <c r="L965" s="249">
        <v>2029.375</v>
      </c>
      <c r="M965" s="249">
        <v>2171.4312500000001</v>
      </c>
      <c r="N965" s="249">
        <v>2323.4314374999999</v>
      </c>
      <c r="O965" t="str">
        <f t="shared" si="34"/>
        <v>2</v>
      </c>
      <c r="P965" t="str">
        <f t="shared" si="33"/>
        <v>Employee Related Cost</v>
      </c>
    </row>
    <row r="966" spans="1:16" hidden="1" x14ac:dyDescent="0.25">
      <c r="A966" t="s">
        <v>1290</v>
      </c>
      <c r="C966" t="s">
        <v>168</v>
      </c>
      <c r="D966" s="67">
        <v>134382</v>
      </c>
      <c r="E966">
        <v>0</v>
      </c>
      <c r="F966">
        <v>0</v>
      </c>
      <c r="G966">
        <v>1217.71</v>
      </c>
      <c r="H966">
        <v>-1217.71</v>
      </c>
      <c r="I966">
        <v>0</v>
      </c>
      <c r="J966">
        <v>102160.79999999999</v>
      </c>
      <c r="K966" s="249">
        <v>236542.8</v>
      </c>
      <c r="L966" s="249">
        <v>251326.72499999998</v>
      </c>
      <c r="M966" s="249">
        <v>268919.59574999998</v>
      </c>
      <c r="N966" s="249">
        <v>287743.96745249996</v>
      </c>
      <c r="O966" t="str">
        <f t="shared" si="34"/>
        <v>2</v>
      </c>
      <c r="P966" t="str">
        <f t="shared" si="33"/>
        <v>Employee Related Cost</v>
      </c>
    </row>
    <row r="967" spans="1:16" hidden="1" x14ac:dyDescent="0.25">
      <c r="A967" t="s">
        <v>1291</v>
      </c>
      <c r="C967" t="s">
        <v>169</v>
      </c>
      <c r="D967" s="67">
        <v>926125</v>
      </c>
      <c r="E967">
        <v>0</v>
      </c>
      <c r="F967">
        <v>0</v>
      </c>
      <c r="G967">
        <v>1217.71</v>
      </c>
      <c r="H967">
        <v>-1217.71</v>
      </c>
      <c r="I967">
        <v>0</v>
      </c>
      <c r="J967">
        <v>0</v>
      </c>
      <c r="K967" s="249">
        <v>926125</v>
      </c>
      <c r="L967" s="249">
        <v>984007.8125</v>
      </c>
      <c r="M967" s="249">
        <v>1052888.359375</v>
      </c>
      <c r="N967" s="249">
        <v>1126590.5445312499</v>
      </c>
      <c r="O967" t="str">
        <f t="shared" si="34"/>
        <v>2</v>
      </c>
      <c r="P967" t="str">
        <f t="shared" si="33"/>
        <v>Employee Related Cost</v>
      </c>
    </row>
    <row r="968" spans="1:16" hidden="1" x14ac:dyDescent="0.25">
      <c r="A968" t="s">
        <v>1292</v>
      </c>
      <c r="C968" t="s">
        <v>170</v>
      </c>
      <c r="D968" s="67">
        <v>30345</v>
      </c>
      <c r="E968">
        <v>0</v>
      </c>
      <c r="F968">
        <v>0</v>
      </c>
      <c r="G968">
        <v>1217.71</v>
      </c>
      <c r="H968">
        <v>-1217.71</v>
      </c>
      <c r="I968">
        <v>0</v>
      </c>
      <c r="J968">
        <v>0</v>
      </c>
      <c r="K968" s="249">
        <v>30345</v>
      </c>
      <c r="L968" s="249">
        <v>32241.5625</v>
      </c>
      <c r="M968" s="249">
        <v>34498.471875000003</v>
      </c>
      <c r="N968" s="249">
        <v>36913.364906250004</v>
      </c>
      <c r="O968" t="str">
        <f t="shared" si="34"/>
        <v>2</v>
      </c>
      <c r="P968" t="str">
        <f t="shared" si="33"/>
        <v>Employee Related Cost</v>
      </c>
    </row>
    <row r="969" spans="1:16" hidden="1" x14ac:dyDescent="0.25">
      <c r="A969" t="s">
        <v>1293</v>
      </c>
      <c r="C969" t="s">
        <v>173</v>
      </c>
      <c r="D969" s="67">
        <v>82612</v>
      </c>
      <c r="E969">
        <v>0</v>
      </c>
      <c r="F969">
        <v>0</v>
      </c>
      <c r="G969">
        <v>1217.71</v>
      </c>
      <c r="H969">
        <v>-1217.71</v>
      </c>
      <c r="I969">
        <v>0</v>
      </c>
      <c r="J969">
        <v>0</v>
      </c>
      <c r="K969" s="249">
        <v>82612</v>
      </c>
      <c r="L969" s="249">
        <v>87775.25</v>
      </c>
      <c r="M969" s="249">
        <v>93919.517500000002</v>
      </c>
      <c r="N969" s="249">
        <v>100493.88372500001</v>
      </c>
      <c r="O969" t="str">
        <f t="shared" si="34"/>
        <v>2</v>
      </c>
      <c r="P969" t="str">
        <f t="shared" si="33"/>
        <v>Employee Related Cost</v>
      </c>
    </row>
    <row r="970" spans="1:16" hidden="1" x14ac:dyDescent="0.25">
      <c r="A970" t="s">
        <v>1294</v>
      </c>
      <c r="C970" t="s">
        <v>174</v>
      </c>
      <c r="D970" s="67">
        <v>107209</v>
      </c>
      <c r="E970">
        <v>0</v>
      </c>
      <c r="F970">
        <v>0</v>
      </c>
      <c r="G970">
        <v>1217.71</v>
      </c>
      <c r="H970">
        <v>-1217.71</v>
      </c>
      <c r="I970">
        <v>0</v>
      </c>
      <c r="J970">
        <v>0</v>
      </c>
      <c r="K970" s="249">
        <v>107209</v>
      </c>
      <c r="L970" s="249">
        <v>113909.5625</v>
      </c>
      <c r="M970" s="249">
        <v>121883.231875</v>
      </c>
      <c r="N970" s="249">
        <v>130415.05810625</v>
      </c>
      <c r="O970" t="str">
        <f t="shared" si="34"/>
        <v>2</v>
      </c>
      <c r="P970" t="str">
        <f t="shared" si="33"/>
        <v>Employee Related Cost</v>
      </c>
    </row>
    <row r="971" spans="1:16" hidden="1" x14ac:dyDescent="0.25">
      <c r="A971" t="s">
        <v>1295</v>
      </c>
      <c r="C971" t="s">
        <v>175</v>
      </c>
      <c r="D971" s="67">
        <v>53913</v>
      </c>
      <c r="E971">
        <v>0</v>
      </c>
      <c r="F971">
        <v>0</v>
      </c>
      <c r="G971">
        <v>1217.71</v>
      </c>
      <c r="H971">
        <v>-1217.71</v>
      </c>
      <c r="I971">
        <v>0</v>
      </c>
      <c r="J971">
        <v>0</v>
      </c>
      <c r="K971" s="249">
        <v>53913</v>
      </c>
      <c r="L971" s="249">
        <v>57282.5625</v>
      </c>
      <c r="M971" s="249">
        <v>61292.341874999998</v>
      </c>
      <c r="N971" s="249">
        <v>65582.805806249991</v>
      </c>
      <c r="O971" t="str">
        <f t="shared" si="34"/>
        <v>2</v>
      </c>
      <c r="P971" t="str">
        <f t="shared" si="33"/>
        <v>Employee Related Cost</v>
      </c>
    </row>
    <row r="972" spans="1:16" hidden="1" x14ac:dyDescent="0.25">
      <c r="A972" t="s">
        <v>1296</v>
      </c>
      <c r="C972" t="s">
        <v>265</v>
      </c>
      <c r="D972" s="67">
        <v>56387</v>
      </c>
      <c r="E972">
        <v>0</v>
      </c>
      <c r="F972">
        <v>0</v>
      </c>
      <c r="G972">
        <v>1217.71</v>
      </c>
      <c r="H972">
        <v>-1217.71</v>
      </c>
      <c r="I972">
        <v>0</v>
      </c>
      <c r="J972">
        <v>0</v>
      </c>
      <c r="K972" s="249">
        <v>56387</v>
      </c>
      <c r="L972" s="249">
        <v>58924.415000000001</v>
      </c>
      <c r="M972" s="249">
        <v>61634.938090000003</v>
      </c>
      <c r="N972" s="249">
        <v>64470.145242140003</v>
      </c>
      <c r="O972" t="str">
        <f t="shared" si="34"/>
        <v>2</v>
      </c>
      <c r="P972" t="str">
        <f t="shared" si="33"/>
        <v>Operational Cost</v>
      </c>
    </row>
    <row r="973" spans="1:16" hidden="1" x14ac:dyDescent="0.25">
      <c r="A973" t="s">
        <v>1297</v>
      </c>
      <c r="C973" t="s">
        <v>268</v>
      </c>
      <c r="D973" s="67">
        <v>13448</v>
      </c>
      <c r="E973">
        <v>0</v>
      </c>
      <c r="F973">
        <v>0</v>
      </c>
      <c r="G973">
        <v>1217.71</v>
      </c>
      <c r="H973">
        <v>-1217.71</v>
      </c>
      <c r="I973">
        <v>0</v>
      </c>
      <c r="J973">
        <v>36267</v>
      </c>
      <c r="K973" s="249">
        <v>49715</v>
      </c>
      <c r="L973" s="249">
        <v>51952.175000000003</v>
      </c>
      <c r="M973" s="249">
        <v>54341.975050000001</v>
      </c>
      <c r="N973" s="249">
        <v>56841.705902300004</v>
      </c>
      <c r="O973" t="str">
        <f t="shared" si="34"/>
        <v>2</v>
      </c>
      <c r="P973" t="str">
        <f t="shared" si="33"/>
        <v>Operational Cost</v>
      </c>
    </row>
    <row r="974" spans="1:16" hidden="1" x14ac:dyDescent="0.25">
      <c r="A974" t="s">
        <v>1298</v>
      </c>
      <c r="C974" t="s">
        <v>288</v>
      </c>
      <c r="D974" s="67">
        <v>0</v>
      </c>
      <c r="E974">
        <v>0</v>
      </c>
      <c r="F974">
        <v>0</v>
      </c>
      <c r="G974">
        <v>1217.71</v>
      </c>
      <c r="H974">
        <v>-1217.71</v>
      </c>
      <c r="I974">
        <v>0</v>
      </c>
      <c r="J974">
        <v>0</v>
      </c>
      <c r="K974" s="249">
        <v>0</v>
      </c>
      <c r="L974" s="249">
        <v>0</v>
      </c>
      <c r="M974" s="249">
        <v>0</v>
      </c>
      <c r="O974" t="str">
        <f t="shared" si="34"/>
        <v>2</v>
      </c>
      <c r="P974" t="str">
        <f t="shared" si="33"/>
        <v>Bad Debts Written off</v>
      </c>
    </row>
    <row r="975" spans="1:16" hidden="1" x14ac:dyDescent="0.25">
      <c r="A975" t="s">
        <v>1299</v>
      </c>
      <c r="C975" t="s">
        <v>292</v>
      </c>
      <c r="D975" s="67">
        <v>3371</v>
      </c>
      <c r="E975">
        <v>0</v>
      </c>
      <c r="F975">
        <v>0</v>
      </c>
      <c r="G975">
        <v>1217.71</v>
      </c>
      <c r="H975">
        <v>-1217.71</v>
      </c>
      <c r="I975">
        <v>0</v>
      </c>
      <c r="J975">
        <v>0</v>
      </c>
      <c r="K975" s="249">
        <v>3371</v>
      </c>
      <c r="L975" s="249">
        <v>3522.6950000000002</v>
      </c>
      <c r="M975" s="249">
        <v>3684.7389700000003</v>
      </c>
      <c r="N975" s="249">
        <v>3854.2369626200002</v>
      </c>
      <c r="O975" t="str">
        <f t="shared" si="34"/>
        <v>2</v>
      </c>
      <c r="P975" t="str">
        <f t="shared" si="33"/>
        <v>Depreciation &amp; Amortisation</v>
      </c>
    </row>
    <row r="976" spans="1:16" hidden="1" x14ac:dyDescent="0.25">
      <c r="A976" t="s">
        <v>1300</v>
      </c>
      <c r="C976" t="s">
        <v>293</v>
      </c>
      <c r="D976" s="67">
        <v>7219</v>
      </c>
      <c r="E976">
        <v>0</v>
      </c>
      <c r="F976">
        <v>0</v>
      </c>
      <c r="G976">
        <v>1217.71</v>
      </c>
      <c r="H976">
        <v>-1217.71</v>
      </c>
      <c r="I976">
        <v>0</v>
      </c>
      <c r="J976">
        <v>0</v>
      </c>
      <c r="K976" s="249">
        <v>7219</v>
      </c>
      <c r="L976" s="249">
        <v>7543.8549999999996</v>
      </c>
      <c r="M976" s="249">
        <v>7890.8723299999992</v>
      </c>
      <c r="N976" s="249">
        <v>8253.852457179999</v>
      </c>
      <c r="O976" t="str">
        <f t="shared" si="34"/>
        <v>2</v>
      </c>
      <c r="P976" t="str">
        <f t="shared" si="33"/>
        <v>Depreciation &amp; Amortisation</v>
      </c>
    </row>
    <row r="977" spans="1:16" hidden="1" x14ac:dyDescent="0.25">
      <c r="A977" t="s">
        <v>1301</v>
      </c>
      <c r="C977" t="s">
        <v>297</v>
      </c>
      <c r="D977" s="67">
        <v>3371</v>
      </c>
      <c r="E977">
        <v>0</v>
      </c>
      <c r="F977">
        <v>0</v>
      </c>
      <c r="G977">
        <v>1217.71</v>
      </c>
      <c r="H977">
        <v>-1217.71</v>
      </c>
      <c r="I977">
        <v>0</v>
      </c>
      <c r="J977">
        <v>0</v>
      </c>
      <c r="K977" s="249">
        <v>3371</v>
      </c>
      <c r="L977" s="249">
        <v>3522.6950000000002</v>
      </c>
      <c r="M977" s="249">
        <v>3684.7389700000003</v>
      </c>
      <c r="N977" s="249">
        <v>3854.2369626200002</v>
      </c>
      <c r="O977" t="str">
        <f t="shared" si="34"/>
        <v>2</v>
      </c>
      <c r="P977" t="str">
        <f t="shared" si="33"/>
        <v>Depreciation &amp; Amortisation</v>
      </c>
    </row>
    <row r="978" spans="1:16" hidden="1" x14ac:dyDescent="0.25">
      <c r="A978" t="s">
        <v>1303</v>
      </c>
      <c r="C978" t="s">
        <v>52</v>
      </c>
      <c r="D978" s="67">
        <v>0</v>
      </c>
      <c r="E978">
        <v>0</v>
      </c>
      <c r="F978">
        <v>0</v>
      </c>
      <c r="G978">
        <v>1217.71</v>
      </c>
      <c r="H978">
        <v>-1217.71</v>
      </c>
      <c r="I978">
        <v>0</v>
      </c>
      <c r="J978">
        <v>0</v>
      </c>
      <c r="K978" s="249">
        <v>0</v>
      </c>
      <c r="L978" s="249">
        <v>0</v>
      </c>
      <c r="M978" s="249">
        <v>0</v>
      </c>
      <c r="O978" t="str">
        <f t="shared" si="34"/>
        <v>1</v>
      </c>
      <c r="P978">
        <f t="shared" si="33"/>
        <v>0</v>
      </c>
    </row>
    <row r="979" spans="1:16" hidden="1" x14ac:dyDescent="0.25">
      <c r="A979" t="s">
        <v>1304</v>
      </c>
      <c r="C979" t="s">
        <v>60</v>
      </c>
      <c r="D979" s="67">
        <v>-88683</v>
      </c>
      <c r="E979">
        <v>0</v>
      </c>
      <c r="F979">
        <v>0</v>
      </c>
      <c r="G979">
        <v>1217.71</v>
      </c>
      <c r="H979">
        <v>-1217.71</v>
      </c>
      <c r="I979">
        <v>0</v>
      </c>
      <c r="J979">
        <v>88683</v>
      </c>
      <c r="K979" s="249">
        <v>0</v>
      </c>
      <c r="L979" s="249">
        <v>0</v>
      </c>
      <c r="M979" s="249">
        <v>0</v>
      </c>
      <c r="O979" t="str">
        <f t="shared" si="34"/>
        <v>1</v>
      </c>
      <c r="P979">
        <f t="shared" ref="P979:P996" si="35">VLOOKUP(A979,bud_321,16,FALSE)</f>
        <v>0</v>
      </c>
    </row>
    <row r="980" spans="1:16" hidden="1" x14ac:dyDescent="0.25">
      <c r="A980" t="s">
        <v>1305</v>
      </c>
      <c r="C980" t="s">
        <v>68</v>
      </c>
      <c r="D980" s="67">
        <v>-781881</v>
      </c>
      <c r="E980">
        <v>-781881</v>
      </c>
      <c r="F980">
        <v>-781881</v>
      </c>
      <c r="G980">
        <v>-781881</v>
      </c>
      <c r="H980">
        <v>-781881</v>
      </c>
      <c r="I980">
        <v>-781881</v>
      </c>
      <c r="J980">
        <v>-781881</v>
      </c>
      <c r="K980" s="249">
        <v>-261169</v>
      </c>
      <c r="L980" s="249">
        <v>-272921.60499999998</v>
      </c>
      <c r="M980" s="249">
        <v>-285475.99883</v>
      </c>
      <c r="N980" s="249">
        <v>-298607.89477617998</v>
      </c>
      <c r="O980" t="str">
        <f t="shared" si="34"/>
        <v>1</v>
      </c>
      <c r="P980">
        <f t="shared" si="35"/>
        <v>0</v>
      </c>
    </row>
    <row r="981" spans="1:16" hidden="1" x14ac:dyDescent="0.25">
      <c r="A981" t="s">
        <v>1306</v>
      </c>
      <c r="C981" t="s">
        <v>150</v>
      </c>
      <c r="D981" s="67">
        <v>1598343</v>
      </c>
      <c r="E981">
        <v>0</v>
      </c>
      <c r="F981">
        <v>0</v>
      </c>
      <c r="G981">
        <v>1217.71</v>
      </c>
      <c r="H981">
        <v>-1217.71</v>
      </c>
      <c r="I981">
        <v>0</v>
      </c>
      <c r="J981">
        <v>0</v>
      </c>
      <c r="K981" s="249">
        <v>1598343</v>
      </c>
      <c r="L981" s="249">
        <v>1698239.4375</v>
      </c>
      <c r="M981" s="249">
        <v>1817116.1981250001</v>
      </c>
      <c r="N981" s="249">
        <v>1944314.3319937501</v>
      </c>
      <c r="O981" t="str">
        <f t="shared" si="34"/>
        <v>2</v>
      </c>
      <c r="P981" t="str">
        <f t="shared" si="35"/>
        <v>Employee Related Cost</v>
      </c>
    </row>
    <row r="982" spans="1:16" hidden="1" x14ac:dyDescent="0.25">
      <c r="A982" t="s">
        <v>1307</v>
      </c>
      <c r="C982" t="s">
        <v>151</v>
      </c>
      <c r="D982" s="67">
        <v>72197</v>
      </c>
      <c r="E982">
        <v>0</v>
      </c>
      <c r="F982">
        <v>0</v>
      </c>
      <c r="G982">
        <v>1217.71</v>
      </c>
      <c r="H982">
        <v>-1217.71</v>
      </c>
      <c r="I982">
        <v>0</v>
      </c>
      <c r="J982">
        <v>-21394.460000000006</v>
      </c>
      <c r="K982" s="249">
        <v>50802.539999999994</v>
      </c>
      <c r="L982" s="249">
        <v>53977.698749999996</v>
      </c>
      <c r="M982" s="249">
        <v>57756.137662499998</v>
      </c>
      <c r="N982" s="249">
        <v>61799.067298874994</v>
      </c>
      <c r="O982" t="str">
        <f t="shared" si="34"/>
        <v>2</v>
      </c>
      <c r="P982" t="str">
        <f t="shared" si="35"/>
        <v>Employee Related Cost</v>
      </c>
    </row>
    <row r="983" spans="1:16" hidden="1" x14ac:dyDescent="0.25">
      <c r="A983" t="s">
        <v>1308</v>
      </c>
      <c r="C983" t="s">
        <v>155</v>
      </c>
      <c r="D983" s="67">
        <v>51270</v>
      </c>
      <c r="E983">
        <v>0</v>
      </c>
      <c r="F983">
        <v>0</v>
      </c>
      <c r="G983">
        <v>1217.71</v>
      </c>
      <c r="H983">
        <v>-1217.71</v>
      </c>
      <c r="I983">
        <v>0</v>
      </c>
      <c r="J983">
        <v>0</v>
      </c>
      <c r="K983" s="249">
        <v>51270</v>
      </c>
      <c r="L983" s="249">
        <v>54474.375</v>
      </c>
      <c r="M983" s="249">
        <v>58287.581250000003</v>
      </c>
      <c r="N983" s="249">
        <v>62367.711937500004</v>
      </c>
      <c r="O983" t="str">
        <f t="shared" si="34"/>
        <v>2</v>
      </c>
      <c r="P983" t="str">
        <f t="shared" si="35"/>
        <v>Employee Related Cost</v>
      </c>
    </row>
    <row r="984" spans="1:16" hidden="1" x14ac:dyDescent="0.25">
      <c r="A984" t="s">
        <v>1309</v>
      </c>
      <c r="C984" t="s">
        <v>157</v>
      </c>
      <c r="D984" s="67">
        <v>75281</v>
      </c>
      <c r="E984">
        <v>0</v>
      </c>
      <c r="F984">
        <v>0</v>
      </c>
      <c r="G984">
        <v>1217.71</v>
      </c>
      <c r="H984">
        <v>-1217.71</v>
      </c>
      <c r="I984">
        <v>0</v>
      </c>
      <c r="J984">
        <v>-10000</v>
      </c>
      <c r="K984" s="249">
        <v>65281</v>
      </c>
      <c r="L984" s="249">
        <v>69361.0625</v>
      </c>
      <c r="M984" s="249">
        <v>74216.336874999994</v>
      </c>
      <c r="N984" s="249">
        <v>79411.480456249992</v>
      </c>
      <c r="O984" t="str">
        <f t="shared" si="34"/>
        <v>2</v>
      </c>
      <c r="P984" t="str">
        <f t="shared" si="35"/>
        <v>Employee Related Cost</v>
      </c>
    </row>
    <row r="985" spans="1:16" hidden="1" x14ac:dyDescent="0.25">
      <c r="A985" t="s">
        <v>1310</v>
      </c>
      <c r="C985" t="s">
        <v>159</v>
      </c>
      <c r="D985" s="67">
        <v>129955</v>
      </c>
      <c r="E985">
        <v>0</v>
      </c>
      <c r="F985">
        <v>0</v>
      </c>
      <c r="G985">
        <v>1217.71</v>
      </c>
      <c r="H985">
        <v>-1217.71</v>
      </c>
      <c r="I985">
        <v>0</v>
      </c>
      <c r="J985">
        <v>0</v>
      </c>
      <c r="K985" s="249">
        <v>129955</v>
      </c>
      <c r="L985" s="249">
        <v>138077.1875</v>
      </c>
      <c r="M985" s="249">
        <v>147742.59062500001</v>
      </c>
      <c r="N985" s="249">
        <v>158084.57196875001</v>
      </c>
      <c r="O985" t="str">
        <f t="shared" si="34"/>
        <v>2</v>
      </c>
      <c r="P985" t="str">
        <f t="shared" si="35"/>
        <v>Employee Related Cost</v>
      </c>
    </row>
    <row r="986" spans="1:16" hidden="1" x14ac:dyDescent="0.25">
      <c r="A986" t="s">
        <v>1311</v>
      </c>
      <c r="C986" t="s">
        <v>161</v>
      </c>
      <c r="D986" s="67">
        <v>22568</v>
      </c>
      <c r="E986">
        <v>0</v>
      </c>
      <c r="F986">
        <v>0</v>
      </c>
      <c r="G986">
        <v>1217.71</v>
      </c>
      <c r="H986">
        <v>-1217.71</v>
      </c>
      <c r="I986">
        <v>0</v>
      </c>
      <c r="J986">
        <v>0</v>
      </c>
      <c r="K986" s="249">
        <v>22568</v>
      </c>
      <c r="L986" s="249">
        <v>23978.5</v>
      </c>
      <c r="M986" s="249">
        <v>25656.994999999999</v>
      </c>
      <c r="N986" s="249">
        <v>27452.984649999999</v>
      </c>
      <c r="O986" t="str">
        <f t="shared" si="34"/>
        <v>2</v>
      </c>
      <c r="P986" t="str">
        <f t="shared" si="35"/>
        <v>Employee Related Cost</v>
      </c>
    </row>
    <row r="987" spans="1:16" hidden="1" x14ac:dyDescent="0.25">
      <c r="A987" t="s">
        <v>1312</v>
      </c>
      <c r="C987" t="s">
        <v>162</v>
      </c>
      <c r="D987" s="67">
        <v>0</v>
      </c>
      <c r="E987">
        <v>0</v>
      </c>
      <c r="F987">
        <v>0</v>
      </c>
      <c r="G987">
        <v>1217.71</v>
      </c>
      <c r="H987">
        <v>-1217.71</v>
      </c>
      <c r="I987">
        <v>0</v>
      </c>
      <c r="J987">
        <v>10000</v>
      </c>
      <c r="K987" s="249">
        <v>10000</v>
      </c>
      <c r="L987" s="249">
        <v>10625</v>
      </c>
      <c r="M987" s="249">
        <v>11368.75</v>
      </c>
      <c r="N987" s="249">
        <v>12164.5625</v>
      </c>
      <c r="O987" t="str">
        <f t="shared" si="34"/>
        <v>2</v>
      </c>
      <c r="P987" t="str">
        <f t="shared" si="35"/>
        <v>Employee Related Cost</v>
      </c>
    </row>
    <row r="988" spans="1:16" hidden="1" x14ac:dyDescent="0.25">
      <c r="A988" t="s">
        <v>1313</v>
      </c>
      <c r="C988" t="s">
        <v>167</v>
      </c>
      <c r="D988" s="67">
        <v>674</v>
      </c>
      <c r="E988">
        <v>0</v>
      </c>
      <c r="F988">
        <v>0</v>
      </c>
      <c r="G988">
        <v>1217.71</v>
      </c>
      <c r="H988">
        <v>-1217.71</v>
      </c>
      <c r="I988">
        <v>0</v>
      </c>
      <c r="J988">
        <v>0</v>
      </c>
      <c r="K988" s="249">
        <v>674</v>
      </c>
      <c r="L988" s="249">
        <v>716.125</v>
      </c>
      <c r="M988" s="249">
        <v>766.25374999999997</v>
      </c>
      <c r="N988" s="249">
        <v>819.89151249999998</v>
      </c>
      <c r="O988" t="str">
        <f t="shared" si="34"/>
        <v>2</v>
      </c>
      <c r="P988" t="str">
        <f t="shared" si="35"/>
        <v>Employee Related Cost</v>
      </c>
    </row>
    <row r="989" spans="1:16" hidden="1" x14ac:dyDescent="0.25">
      <c r="A989" t="s">
        <v>1314</v>
      </c>
      <c r="C989" t="s">
        <v>168</v>
      </c>
      <c r="D989" s="67">
        <v>67191</v>
      </c>
      <c r="E989">
        <v>0</v>
      </c>
      <c r="F989">
        <v>0</v>
      </c>
      <c r="G989">
        <v>1217.71</v>
      </c>
      <c r="H989">
        <v>-1217.71</v>
      </c>
      <c r="I989">
        <v>0</v>
      </c>
      <c r="J989">
        <v>0</v>
      </c>
      <c r="K989" s="249">
        <v>67191</v>
      </c>
      <c r="L989" s="249">
        <v>71390.4375</v>
      </c>
      <c r="M989" s="249">
        <v>76387.768125000002</v>
      </c>
      <c r="N989" s="249">
        <v>81734.911893750002</v>
      </c>
      <c r="O989" t="str">
        <f t="shared" si="34"/>
        <v>2</v>
      </c>
      <c r="P989" t="str">
        <f t="shared" si="35"/>
        <v>Employee Related Cost</v>
      </c>
    </row>
    <row r="990" spans="1:16" hidden="1" x14ac:dyDescent="0.25">
      <c r="A990" t="s">
        <v>1315</v>
      </c>
      <c r="C990" t="s">
        <v>169</v>
      </c>
      <c r="D990" s="67">
        <v>343082</v>
      </c>
      <c r="E990">
        <v>0</v>
      </c>
      <c r="F990">
        <v>0</v>
      </c>
      <c r="G990">
        <v>1217.71</v>
      </c>
      <c r="H990">
        <v>-1217.71</v>
      </c>
      <c r="I990">
        <v>0</v>
      </c>
      <c r="J990">
        <v>0</v>
      </c>
      <c r="K990" s="249">
        <v>343082</v>
      </c>
      <c r="L990" s="249">
        <v>364524.625</v>
      </c>
      <c r="M990" s="249">
        <v>390041.34875</v>
      </c>
      <c r="N990" s="249">
        <v>417344.24316250003</v>
      </c>
      <c r="O990" t="str">
        <f t="shared" si="34"/>
        <v>2</v>
      </c>
      <c r="P990" t="str">
        <f t="shared" si="35"/>
        <v>Employee Related Cost</v>
      </c>
    </row>
    <row r="991" spans="1:16" hidden="1" x14ac:dyDescent="0.25">
      <c r="A991" t="s">
        <v>1316</v>
      </c>
      <c r="C991" t="s">
        <v>170</v>
      </c>
      <c r="D991" s="67">
        <v>12495</v>
      </c>
      <c r="E991">
        <v>0</v>
      </c>
      <c r="F991">
        <v>0</v>
      </c>
      <c r="G991">
        <v>1217.71</v>
      </c>
      <c r="H991">
        <v>-1217.71</v>
      </c>
      <c r="I991">
        <v>0</v>
      </c>
      <c r="J991">
        <v>0</v>
      </c>
      <c r="K991" s="249">
        <v>12495</v>
      </c>
      <c r="L991" s="249">
        <v>13275.9375</v>
      </c>
      <c r="M991" s="249">
        <v>14205.253124999999</v>
      </c>
      <c r="N991" s="249">
        <v>15199.620843749999</v>
      </c>
      <c r="O991" t="str">
        <f t="shared" si="34"/>
        <v>2</v>
      </c>
      <c r="P991" t="str">
        <f t="shared" si="35"/>
        <v>Employee Related Cost</v>
      </c>
    </row>
    <row r="992" spans="1:16" hidden="1" x14ac:dyDescent="0.25">
      <c r="A992" t="s">
        <v>1317</v>
      </c>
      <c r="C992" t="s">
        <v>173</v>
      </c>
      <c r="D992" s="67">
        <v>30119</v>
      </c>
      <c r="E992">
        <v>0</v>
      </c>
      <c r="F992">
        <v>0</v>
      </c>
      <c r="G992">
        <v>1217.71</v>
      </c>
      <c r="H992">
        <v>-1217.71</v>
      </c>
      <c r="I992">
        <v>0</v>
      </c>
      <c r="J992">
        <v>0</v>
      </c>
      <c r="K992" s="249">
        <v>30119</v>
      </c>
      <c r="L992" s="249">
        <v>32001.4375</v>
      </c>
      <c r="M992" s="249">
        <v>34241.538124999999</v>
      </c>
      <c r="N992" s="249">
        <v>36638.445793749997</v>
      </c>
      <c r="O992" t="str">
        <f t="shared" si="34"/>
        <v>2</v>
      </c>
      <c r="P992" t="str">
        <f t="shared" si="35"/>
        <v>Employee Related Cost</v>
      </c>
    </row>
    <row r="993" spans="1:16" hidden="1" x14ac:dyDescent="0.25">
      <c r="A993" t="s">
        <v>1318</v>
      </c>
      <c r="C993" t="s">
        <v>174</v>
      </c>
      <c r="D993" s="67">
        <v>42336</v>
      </c>
      <c r="E993">
        <v>0</v>
      </c>
      <c r="F993">
        <v>0</v>
      </c>
      <c r="G993">
        <v>1217.71</v>
      </c>
      <c r="H993">
        <v>-1217.71</v>
      </c>
      <c r="I993">
        <v>0</v>
      </c>
      <c r="J993">
        <v>0</v>
      </c>
      <c r="K993" s="249">
        <v>42336</v>
      </c>
      <c r="L993" s="249">
        <v>44982</v>
      </c>
      <c r="M993" s="249">
        <v>48130.74</v>
      </c>
      <c r="N993" s="249">
        <v>51499.891799999998</v>
      </c>
      <c r="O993" t="str">
        <f t="shared" si="34"/>
        <v>2</v>
      </c>
      <c r="P993" t="str">
        <f t="shared" si="35"/>
        <v>Employee Related Cost</v>
      </c>
    </row>
    <row r="994" spans="1:16" hidden="1" x14ac:dyDescent="0.25">
      <c r="A994" t="s">
        <v>1319</v>
      </c>
      <c r="C994" t="s">
        <v>175</v>
      </c>
      <c r="D994" s="67">
        <v>28718</v>
      </c>
      <c r="E994">
        <v>0</v>
      </c>
      <c r="F994">
        <v>0</v>
      </c>
      <c r="G994">
        <v>1217.71</v>
      </c>
      <c r="H994">
        <v>-1217.71</v>
      </c>
      <c r="I994">
        <v>0</v>
      </c>
      <c r="J994">
        <v>0</v>
      </c>
      <c r="K994" s="249">
        <v>28718</v>
      </c>
      <c r="L994" s="249">
        <v>30512.875</v>
      </c>
      <c r="M994" s="249">
        <v>32648.776249999999</v>
      </c>
      <c r="N994" s="249">
        <v>34934.190587500001</v>
      </c>
      <c r="O994" t="str">
        <f t="shared" si="34"/>
        <v>2</v>
      </c>
      <c r="P994" t="str">
        <f t="shared" si="35"/>
        <v>Employee Related Cost</v>
      </c>
    </row>
    <row r="995" spans="1:16" hidden="1" x14ac:dyDescent="0.25">
      <c r="A995" t="s">
        <v>1320</v>
      </c>
      <c r="C995" t="s">
        <v>265</v>
      </c>
      <c r="D995" s="67">
        <v>50136</v>
      </c>
      <c r="E995">
        <v>0</v>
      </c>
      <c r="F995">
        <v>0</v>
      </c>
      <c r="G995">
        <v>1217.71</v>
      </c>
      <c r="H995">
        <v>-1217.71</v>
      </c>
      <c r="I995">
        <v>0</v>
      </c>
      <c r="J995">
        <v>0</v>
      </c>
      <c r="K995" s="249">
        <v>50136</v>
      </c>
      <c r="L995" s="249">
        <v>52392.12</v>
      </c>
      <c r="M995" s="249">
        <v>54802.157520000001</v>
      </c>
      <c r="N995" s="249">
        <v>57323.056765920002</v>
      </c>
      <c r="O995" t="str">
        <f t="shared" si="34"/>
        <v>2</v>
      </c>
      <c r="P995" t="str">
        <f t="shared" si="35"/>
        <v>Operational Cost</v>
      </c>
    </row>
    <row r="996" spans="1:16" hidden="1" x14ac:dyDescent="0.25">
      <c r="A996" t="s">
        <v>1321</v>
      </c>
      <c r="C996" t="s">
        <v>268</v>
      </c>
      <c r="D996" s="67">
        <v>11957</v>
      </c>
      <c r="E996">
        <v>0</v>
      </c>
      <c r="F996">
        <v>0</v>
      </c>
      <c r="G996">
        <v>1217.71</v>
      </c>
      <c r="H996">
        <v>-1217.71</v>
      </c>
      <c r="I996">
        <v>0</v>
      </c>
      <c r="J996">
        <v>-10000</v>
      </c>
      <c r="K996" s="249">
        <v>1957</v>
      </c>
      <c r="L996" s="249">
        <v>2045.0650000000001</v>
      </c>
      <c r="M996" s="249">
        <v>2139.1379900000002</v>
      </c>
      <c r="N996" s="249">
        <v>2237.5383375400002</v>
      </c>
      <c r="O996" t="str">
        <f t="shared" si="34"/>
        <v>2</v>
      </c>
      <c r="P996" t="str">
        <f t="shared" si="35"/>
        <v>Operational Cost</v>
      </c>
    </row>
    <row r="997" spans="1:16" hidden="1" x14ac:dyDescent="0.25"/>
    <row r="998" spans="1:16" hidden="1" x14ac:dyDescent="0.25"/>
    <row r="999" spans="1:16" hidden="1" x14ac:dyDescent="0.25"/>
    <row r="1000" spans="1:16" hidden="1" x14ac:dyDescent="0.25"/>
    <row r="1001" spans="1:16" hidden="1" x14ac:dyDescent="0.25"/>
    <row r="1002" spans="1:16" hidden="1" x14ac:dyDescent="0.25"/>
    <row r="1003" spans="1:16" hidden="1" x14ac:dyDescent="0.25"/>
    <row r="1004" spans="1:16" hidden="1" x14ac:dyDescent="0.25"/>
    <row r="1005" spans="1:16" hidden="1" x14ac:dyDescent="0.25"/>
    <row r="1006" spans="1:16" hidden="1" x14ac:dyDescent="0.25"/>
    <row r="1007" spans="1:16" hidden="1" x14ac:dyDescent="0.25"/>
    <row r="1008" spans="1:16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</sheetData>
  <autoFilter ref="A1:P3059">
    <filterColumn colId="0">
      <filters>
        <filter val="350523815_new 1"/>
        <filter val="350623_new"/>
        <filter val="350761_new"/>
        <filter val="3510230_new 1"/>
        <filter val="401023_new"/>
        <filter val="502022_NEW1"/>
        <filter val="50202260_new 1"/>
        <filter val="5515642_new 1"/>
        <filter val="5515642_new 2"/>
        <filter val="600664_ new1"/>
        <filter val="600664_new3"/>
        <filter val="600664_new4"/>
        <filter val="600664_new5"/>
        <filter val="600664_new6"/>
        <filter val="60081_new1"/>
        <filter val="60081_new2"/>
        <filter val="6008643_new1"/>
        <filter val="6008643_new2"/>
        <filter val="6008643_new3"/>
        <filter val="6008643_new4"/>
        <filter val="6008643_new5"/>
        <filter val="6008643_new6"/>
        <filter val="6008643_new7"/>
      </filters>
    </filterColumn>
  </autoFilter>
  <sortState ref="A2:N3059">
    <sortCondition ref="A2:A3059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59"/>
  <sheetViews>
    <sheetView topLeftCell="A2865" workbookViewId="0">
      <selection activeCell="C2888" sqref="C2888"/>
    </sheetView>
  </sheetViews>
  <sheetFormatPr defaultRowHeight="15" x14ac:dyDescent="0.25"/>
  <cols>
    <col min="1" max="1" width="27.28515625" customWidth="1"/>
    <col min="2" max="2" width="13.42578125" customWidth="1"/>
    <col min="3" max="3" width="42.42578125" customWidth="1"/>
    <col min="4" max="4" width="27.28515625" style="67" customWidth="1"/>
    <col min="5" max="10" width="4.28515625" customWidth="1"/>
    <col min="11" max="14" width="27.28515625" style="249" customWidth="1"/>
  </cols>
  <sheetData>
    <row r="1" spans="1:14" ht="30" x14ac:dyDescent="0.25">
      <c r="A1" t="s">
        <v>0</v>
      </c>
      <c r="B1" t="s">
        <v>1356</v>
      </c>
      <c r="C1" t="s">
        <v>1</v>
      </c>
      <c r="D1" s="67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1322</v>
      </c>
      <c r="K1" s="249" t="s">
        <v>3012</v>
      </c>
      <c r="L1" s="249" t="s">
        <v>3013</v>
      </c>
      <c r="M1" s="249" t="s">
        <v>3014</v>
      </c>
      <c r="N1" s="249" t="s">
        <v>3015</v>
      </c>
    </row>
    <row r="3" spans="1:14" x14ac:dyDescent="0.25">
      <c r="C3" t="s">
        <v>321</v>
      </c>
    </row>
    <row r="4" spans="1:14" x14ac:dyDescent="0.25">
      <c r="C4" t="s">
        <v>9</v>
      </c>
    </row>
    <row r="5" spans="1:14" x14ac:dyDescent="0.25">
      <c r="C5" t="s">
        <v>81</v>
      </c>
    </row>
    <row r="7" spans="1:14" x14ac:dyDescent="0.25">
      <c r="A7" t="s">
        <v>322</v>
      </c>
      <c r="C7" t="s">
        <v>89</v>
      </c>
      <c r="D7" s="67">
        <v>-276424</v>
      </c>
      <c r="E7">
        <v>0</v>
      </c>
      <c r="F7">
        <v>0</v>
      </c>
      <c r="G7">
        <v>-712288.67</v>
      </c>
      <c r="H7">
        <v>435864.67</v>
      </c>
      <c r="I7">
        <v>257.67</v>
      </c>
      <c r="J7">
        <v>276424</v>
      </c>
      <c r="K7" s="249">
        <v>0</v>
      </c>
      <c r="L7" s="249">
        <v>-1000000</v>
      </c>
      <c r="M7" s="249">
        <v>-1046000</v>
      </c>
      <c r="N7" s="249">
        <v>-1094116</v>
      </c>
    </row>
    <row r="9" spans="1:14" x14ac:dyDescent="0.25">
      <c r="C9" t="s">
        <v>90</v>
      </c>
      <c r="D9" s="67">
        <v>-276424</v>
      </c>
      <c r="E9">
        <v>0</v>
      </c>
      <c r="F9">
        <v>0</v>
      </c>
      <c r="G9">
        <v>-712288.67</v>
      </c>
      <c r="H9">
        <v>435864.67</v>
      </c>
      <c r="I9">
        <v>257.67</v>
      </c>
      <c r="J9">
        <v>276424</v>
      </c>
      <c r="K9" s="249">
        <v>0</v>
      </c>
      <c r="L9" s="249">
        <v>-1000000</v>
      </c>
      <c r="M9" s="249">
        <v>-1046000</v>
      </c>
      <c r="N9" s="249">
        <v>-1094116</v>
      </c>
    </row>
    <row r="11" spans="1:14" x14ac:dyDescent="0.25">
      <c r="C11" t="s">
        <v>94</v>
      </c>
      <c r="D11" s="67">
        <v>-276424</v>
      </c>
      <c r="E11">
        <v>0</v>
      </c>
      <c r="F11">
        <v>0</v>
      </c>
      <c r="G11">
        <v>-712288.67</v>
      </c>
      <c r="H11">
        <v>435864.67</v>
      </c>
      <c r="I11">
        <v>257.67</v>
      </c>
      <c r="J11">
        <v>276424</v>
      </c>
      <c r="K11" s="249">
        <v>0</v>
      </c>
      <c r="L11" s="249">
        <v>-1000000</v>
      </c>
      <c r="M11" s="249">
        <v>-1046000</v>
      </c>
      <c r="N11" s="249">
        <v>-1094116</v>
      </c>
    </row>
    <row r="13" spans="1:14" x14ac:dyDescent="0.25">
      <c r="C13" t="s">
        <v>95</v>
      </c>
      <c r="D13" s="67">
        <v>-276424</v>
      </c>
      <c r="E13">
        <v>0</v>
      </c>
      <c r="F13">
        <v>0</v>
      </c>
      <c r="G13">
        <v>-712288.67</v>
      </c>
      <c r="H13">
        <v>435864.67</v>
      </c>
      <c r="I13">
        <v>257.67</v>
      </c>
      <c r="J13">
        <v>276424</v>
      </c>
      <c r="K13" s="249">
        <v>0</v>
      </c>
      <c r="L13" s="249">
        <v>-1000000</v>
      </c>
      <c r="M13" s="249">
        <v>-1046000</v>
      </c>
      <c r="N13" s="249">
        <v>-1094116</v>
      </c>
    </row>
    <row r="15" spans="1:14" x14ac:dyDescent="0.25">
      <c r="C15" t="s">
        <v>96</v>
      </c>
    </row>
    <row r="16" spans="1:14" x14ac:dyDescent="0.25">
      <c r="C16" t="s">
        <v>97</v>
      </c>
    </row>
    <row r="17" spans="1:14" x14ac:dyDescent="0.25">
      <c r="C17" t="s">
        <v>98</v>
      </c>
    </row>
    <row r="19" spans="1:14" x14ac:dyDescent="0.25">
      <c r="A19" t="s">
        <v>323</v>
      </c>
      <c r="C19" t="s">
        <v>116</v>
      </c>
      <c r="D19" s="67">
        <v>745888</v>
      </c>
      <c r="E19">
        <v>71806.25</v>
      </c>
      <c r="F19">
        <v>0</v>
      </c>
      <c r="G19">
        <v>430837.5</v>
      </c>
      <c r="H19">
        <v>315050.5</v>
      </c>
      <c r="I19">
        <v>57.761688081856796</v>
      </c>
      <c r="J19">
        <v>0</v>
      </c>
      <c r="K19" s="249">
        <v>745888</v>
      </c>
      <c r="L19" s="249">
        <v>792506</v>
      </c>
      <c r="M19" s="249">
        <v>847981.42</v>
      </c>
      <c r="N19" s="249">
        <v>907340.11940000008</v>
      </c>
    </row>
    <row r="20" spans="1:14" x14ac:dyDescent="0.25">
      <c r="A20" t="s">
        <v>324</v>
      </c>
      <c r="C20" t="s">
        <v>117</v>
      </c>
      <c r="D20" s="67">
        <v>37294</v>
      </c>
      <c r="E20">
        <v>0</v>
      </c>
      <c r="F20">
        <v>0</v>
      </c>
      <c r="G20">
        <v>0</v>
      </c>
      <c r="H20">
        <v>37294</v>
      </c>
      <c r="I20">
        <v>0</v>
      </c>
      <c r="J20">
        <v>0</v>
      </c>
      <c r="K20" s="249">
        <v>37294</v>
      </c>
      <c r="L20" s="249">
        <v>39624.875</v>
      </c>
      <c r="M20" s="249">
        <v>42398.616249999999</v>
      </c>
      <c r="N20" s="249">
        <v>45366.519387499997</v>
      </c>
    </row>
    <row r="21" spans="1:14" x14ac:dyDescent="0.25">
      <c r="A21" t="s">
        <v>325</v>
      </c>
      <c r="C21" t="s">
        <v>118</v>
      </c>
      <c r="D21" s="67">
        <v>40000</v>
      </c>
      <c r="E21">
        <v>3333.33</v>
      </c>
      <c r="F21">
        <v>0</v>
      </c>
      <c r="G21">
        <v>19999.98</v>
      </c>
      <c r="H21">
        <v>20000.02</v>
      </c>
      <c r="I21">
        <v>49.999949999999998</v>
      </c>
      <c r="J21">
        <v>0</v>
      </c>
      <c r="K21" s="249">
        <v>40000</v>
      </c>
      <c r="L21" s="249">
        <v>42500</v>
      </c>
      <c r="M21" s="249">
        <v>45475</v>
      </c>
      <c r="N21" s="249">
        <v>48658.25</v>
      </c>
    </row>
    <row r="22" spans="1:14" x14ac:dyDescent="0.25">
      <c r="A22" t="s">
        <v>326</v>
      </c>
      <c r="C22" t="s">
        <v>119</v>
      </c>
      <c r="D22" s="67">
        <v>147584</v>
      </c>
      <c r="E22">
        <v>0</v>
      </c>
      <c r="F22">
        <v>0</v>
      </c>
      <c r="G22">
        <v>0</v>
      </c>
      <c r="H22">
        <v>147584</v>
      </c>
      <c r="I22">
        <v>0</v>
      </c>
      <c r="J22">
        <v>0</v>
      </c>
      <c r="K22" s="249">
        <v>147584</v>
      </c>
      <c r="L22" s="249">
        <v>156808</v>
      </c>
      <c r="M22" s="249">
        <v>167784.56</v>
      </c>
      <c r="N22" s="249">
        <v>179529.4792</v>
      </c>
    </row>
    <row r="23" spans="1:14" x14ac:dyDescent="0.25">
      <c r="A23" t="s">
        <v>327</v>
      </c>
      <c r="C23" t="s">
        <v>120</v>
      </c>
      <c r="D23" s="67">
        <v>15692</v>
      </c>
      <c r="E23">
        <v>0</v>
      </c>
      <c r="F23">
        <v>0</v>
      </c>
      <c r="G23">
        <v>0</v>
      </c>
      <c r="H23">
        <v>15692</v>
      </c>
      <c r="I23">
        <v>0</v>
      </c>
      <c r="J23">
        <v>0</v>
      </c>
      <c r="K23" s="249">
        <v>15692</v>
      </c>
      <c r="L23" s="249">
        <v>16672.75</v>
      </c>
      <c r="M23" s="249">
        <v>17839.842499999999</v>
      </c>
      <c r="N23" s="249">
        <v>19088.631474999998</v>
      </c>
    </row>
    <row r="24" spans="1:14" x14ac:dyDescent="0.25">
      <c r="A24" t="s">
        <v>328</v>
      </c>
      <c r="C24" t="s">
        <v>121</v>
      </c>
      <c r="D24" s="67">
        <v>20876</v>
      </c>
      <c r="E24">
        <v>0</v>
      </c>
      <c r="F24">
        <v>0</v>
      </c>
      <c r="G24">
        <v>0</v>
      </c>
      <c r="H24">
        <v>20876</v>
      </c>
      <c r="I24">
        <v>0</v>
      </c>
      <c r="J24">
        <v>-20876</v>
      </c>
      <c r="K24" s="249">
        <v>0</v>
      </c>
      <c r="L24" s="249">
        <v>0</v>
      </c>
      <c r="M24" s="249">
        <v>0</v>
      </c>
    </row>
    <row r="26" spans="1:14" x14ac:dyDescent="0.25">
      <c r="C26" t="s">
        <v>122</v>
      </c>
      <c r="D26" s="67">
        <v>1007334</v>
      </c>
      <c r="E26">
        <v>75139.58</v>
      </c>
      <c r="F26">
        <v>0</v>
      </c>
      <c r="G26">
        <v>450837.48</v>
      </c>
      <c r="H26">
        <v>556496.52</v>
      </c>
      <c r="I26">
        <v>107.7616380818568</v>
      </c>
      <c r="J26">
        <v>-20876</v>
      </c>
      <c r="K26" s="249">
        <v>986458</v>
      </c>
      <c r="L26" s="249">
        <v>1048111.625</v>
      </c>
      <c r="M26" s="249">
        <v>1121479.43875</v>
      </c>
      <c r="N26" s="249">
        <v>1199982.9994625</v>
      </c>
    </row>
    <row r="28" spans="1:14" x14ac:dyDescent="0.25">
      <c r="C28" t="s">
        <v>146</v>
      </c>
      <c r="D28" s="67">
        <v>1007334</v>
      </c>
      <c r="E28">
        <v>75139.58</v>
      </c>
      <c r="F28">
        <v>0</v>
      </c>
      <c r="G28">
        <v>450837.48</v>
      </c>
      <c r="H28">
        <v>556496.52</v>
      </c>
      <c r="I28">
        <v>44.755511081726617</v>
      </c>
      <c r="J28">
        <v>-20876</v>
      </c>
      <c r="K28" s="249">
        <v>986458</v>
      </c>
      <c r="L28" s="249">
        <v>1048111.625</v>
      </c>
      <c r="M28" s="249">
        <v>1121479.43875</v>
      </c>
      <c r="N28" s="249">
        <v>1199982.9994625</v>
      </c>
    </row>
    <row r="30" spans="1:14" x14ac:dyDescent="0.25">
      <c r="C30" t="s">
        <v>147</v>
      </c>
      <c r="D30" s="67">
        <v>1007334</v>
      </c>
      <c r="E30">
        <v>75139.58</v>
      </c>
      <c r="F30">
        <v>0</v>
      </c>
      <c r="G30">
        <v>450837.48</v>
      </c>
      <c r="H30">
        <v>556496.52</v>
      </c>
      <c r="I30">
        <v>44.755511081726617</v>
      </c>
      <c r="J30">
        <v>-20876</v>
      </c>
      <c r="K30" s="249">
        <v>986458</v>
      </c>
      <c r="L30" s="249">
        <v>1048111.625</v>
      </c>
      <c r="M30" s="249">
        <v>1121479.43875</v>
      </c>
      <c r="N30" s="249">
        <v>1199982.9994625</v>
      </c>
    </row>
    <row r="32" spans="1:14" x14ac:dyDescent="0.25">
      <c r="C32" t="s">
        <v>148</v>
      </c>
    </row>
    <row r="34" spans="1:14" x14ac:dyDescent="0.25">
      <c r="A34" t="s">
        <v>329</v>
      </c>
      <c r="C34" t="s">
        <v>150</v>
      </c>
      <c r="D34" s="67">
        <v>5188430</v>
      </c>
      <c r="E34">
        <v>498043.44</v>
      </c>
      <c r="F34">
        <v>0</v>
      </c>
      <c r="G34">
        <v>2905499.61</v>
      </c>
      <c r="H34">
        <v>2282930.39</v>
      </c>
      <c r="I34">
        <v>55.999591591290624</v>
      </c>
      <c r="J34">
        <v>0</v>
      </c>
      <c r="K34" s="249">
        <v>5188430</v>
      </c>
      <c r="L34" s="249">
        <v>5512706.875</v>
      </c>
      <c r="M34" s="249">
        <v>5898596.3562500002</v>
      </c>
      <c r="N34" s="249">
        <v>6311498.1011875002</v>
      </c>
    </row>
    <row r="35" spans="1:14" x14ac:dyDescent="0.25">
      <c r="A35" t="s">
        <v>330</v>
      </c>
      <c r="C35" t="s">
        <v>151</v>
      </c>
      <c r="D35" s="67">
        <v>258705</v>
      </c>
      <c r="E35">
        <v>252230.43</v>
      </c>
      <c r="F35">
        <v>0</v>
      </c>
      <c r="G35">
        <v>426408.16</v>
      </c>
      <c r="H35">
        <v>-167703.15999999997</v>
      </c>
      <c r="I35">
        <v>164.82408921358302</v>
      </c>
      <c r="J35">
        <v>-39791.380000000005</v>
      </c>
      <c r="K35" s="249">
        <v>218913.62</v>
      </c>
      <c r="L35" s="249">
        <v>232595.72125</v>
      </c>
      <c r="M35" s="249">
        <v>248877.4217375</v>
      </c>
      <c r="N35" s="249">
        <v>266298.84125912498</v>
      </c>
    </row>
    <row r="36" spans="1:14" x14ac:dyDescent="0.25">
      <c r="A36" t="s">
        <v>331</v>
      </c>
      <c r="C36" t="s">
        <v>152</v>
      </c>
      <c r="D36" s="67">
        <v>38100</v>
      </c>
      <c r="E36">
        <v>3172.75</v>
      </c>
      <c r="F36">
        <v>0</v>
      </c>
      <c r="G36">
        <v>19036.5</v>
      </c>
      <c r="H36">
        <v>19063.5</v>
      </c>
      <c r="I36">
        <v>49.964566929133859</v>
      </c>
      <c r="J36">
        <v>0</v>
      </c>
      <c r="K36" s="249">
        <v>38100</v>
      </c>
      <c r="L36" s="249">
        <v>40481.25</v>
      </c>
      <c r="M36" s="249">
        <v>43314.9375</v>
      </c>
      <c r="N36" s="249">
        <v>46346.983124999999</v>
      </c>
    </row>
    <row r="37" spans="1:14" x14ac:dyDescent="0.25">
      <c r="A37" t="s">
        <v>332</v>
      </c>
      <c r="C37" t="s">
        <v>153</v>
      </c>
      <c r="D37" s="67">
        <v>10893</v>
      </c>
      <c r="E37">
        <v>0</v>
      </c>
      <c r="F37">
        <v>0</v>
      </c>
      <c r="G37">
        <v>0</v>
      </c>
      <c r="H37">
        <v>10893</v>
      </c>
      <c r="I37">
        <v>0</v>
      </c>
      <c r="J37">
        <v>0</v>
      </c>
      <c r="K37" s="249">
        <v>10893</v>
      </c>
      <c r="L37" s="249">
        <v>11573.8125</v>
      </c>
      <c r="M37" s="249">
        <v>12383.979375000001</v>
      </c>
      <c r="N37" s="249">
        <v>13250.857931250001</v>
      </c>
    </row>
    <row r="38" spans="1:14" x14ac:dyDescent="0.25">
      <c r="A38" t="s">
        <v>333</v>
      </c>
      <c r="C38" t="s">
        <v>155</v>
      </c>
      <c r="D38" s="67">
        <v>183716</v>
      </c>
      <c r="E38">
        <v>0</v>
      </c>
      <c r="F38">
        <v>0</v>
      </c>
      <c r="G38">
        <v>0</v>
      </c>
      <c r="H38">
        <v>183716</v>
      </c>
      <c r="I38">
        <v>0</v>
      </c>
      <c r="J38">
        <v>0</v>
      </c>
      <c r="K38" s="249">
        <v>183716</v>
      </c>
      <c r="L38" s="249">
        <v>195198.25</v>
      </c>
      <c r="M38" s="249">
        <v>208862.1275</v>
      </c>
      <c r="N38" s="249">
        <v>223482.476425</v>
      </c>
    </row>
    <row r="39" spans="1:14" x14ac:dyDescent="0.25">
      <c r="A39" t="s">
        <v>334</v>
      </c>
      <c r="C39" t="s">
        <v>156</v>
      </c>
      <c r="D39" s="67">
        <v>138573</v>
      </c>
      <c r="E39">
        <v>13313.45</v>
      </c>
      <c r="F39">
        <v>0</v>
      </c>
      <c r="G39">
        <v>79880.7</v>
      </c>
      <c r="H39">
        <v>58692.3</v>
      </c>
      <c r="I39">
        <v>57.645212270788683</v>
      </c>
      <c r="J39">
        <v>0</v>
      </c>
      <c r="K39" s="249">
        <v>138573</v>
      </c>
      <c r="L39" s="249">
        <v>147233.8125</v>
      </c>
      <c r="M39" s="249">
        <v>157540.17937500001</v>
      </c>
      <c r="N39" s="249">
        <v>168567.99193125</v>
      </c>
    </row>
    <row r="40" spans="1:14" x14ac:dyDescent="0.25">
      <c r="A40" t="s">
        <v>335</v>
      </c>
      <c r="C40" t="s">
        <v>157</v>
      </c>
      <c r="D40" s="67">
        <v>97631</v>
      </c>
      <c r="E40">
        <v>43288.32</v>
      </c>
      <c r="F40">
        <v>0</v>
      </c>
      <c r="G40">
        <v>120401.67</v>
      </c>
      <c r="H40">
        <v>-22770.67</v>
      </c>
      <c r="I40">
        <v>123.32319652569367</v>
      </c>
      <c r="J40">
        <v>150000</v>
      </c>
      <c r="K40" s="249">
        <v>247631</v>
      </c>
      <c r="L40" s="249">
        <v>263107.9375</v>
      </c>
      <c r="M40" s="249">
        <v>281525.49312499998</v>
      </c>
      <c r="N40" s="249">
        <v>301232.27764374996</v>
      </c>
    </row>
    <row r="41" spans="1:14" x14ac:dyDescent="0.25">
      <c r="A41" t="s">
        <v>336</v>
      </c>
      <c r="C41" t="s">
        <v>158</v>
      </c>
      <c r="D41" s="67">
        <v>11138</v>
      </c>
      <c r="E41">
        <v>0</v>
      </c>
      <c r="F41">
        <v>0</v>
      </c>
      <c r="G41">
        <v>56328.93</v>
      </c>
      <c r="H41">
        <v>-45190.93</v>
      </c>
      <c r="I41">
        <v>505.73648769976654</v>
      </c>
      <c r="J41">
        <v>60000</v>
      </c>
      <c r="K41" s="249">
        <v>71138</v>
      </c>
      <c r="L41" s="249">
        <v>75584.125</v>
      </c>
      <c r="M41" s="249">
        <v>80875.013749999998</v>
      </c>
      <c r="N41" s="249">
        <v>86536.264712499993</v>
      </c>
    </row>
    <row r="42" spans="1:14" x14ac:dyDescent="0.25">
      <c r="A42" t="s">
        <v>337</v>
      </c>
      <c r="C42" t="s">
        <v>159</v>
      </c>
      <c r="D42" s="67">
        <v>425436</v>
      </c>
      <c r="E42">
        <v>0</v>
      </c>
      <c r="F42">
        <v>0</v>
      </c>
      <c r="G42">
        <v>0</v>
      </c>
      <c r="H42">
        <v>425436</v>
      </c>
      <c r="I42">
        <v>0</v>
      </c>
      <c r="J42">
        <v>0</v>
      </c>
      <c r="K42" s="249">
        <v>425436</v>
      </c>
      <c r="L42" s="249">
        <v>452025.75</v>
      </c>
      <c r="M42" s="249">
        <v>483667.55249999999</v>
      </c>
      <c r="N42" s="249">
        <v>517524.28117500001</v>
      </c>
    </row>
    <row r="43" spans="1:14" x14ac:dyDescent="0.25">
      <c r="A43" t="s">
        <v>338</v>
      </c>
      <c r="C43" t="s">
        <v>161</v>
      </c>
      <c r="D43" s="67">
        <v>71952</v>
      </c>
      <c r="E43">
        <v>0</v>
      </c>
      <c r="F43">
        <v>0</v>
      </c>
      <c r="G43">
        <v>64501.53</v>
      </c>
      <c r="H43">
        <v>7450.4700000000012</v>
      </c>
      <c r="I43">
        <v>89.645221814543035</v>
      </c>
      <c r="J43">
        <v>0</v>
      </c>
      <c r="K43" s="249">
        <v>71952</v>
      </c>
      <c r="L43" s="249">
        <v>76449</v>
      </c>
      <c r="M43" s="249">
        <v>81800.429999999993</v>
      </c>
      <c r="N43" s="249">
        <v>87526.460099999997</v>
      </c>
    </row>
    <row r="44" spans="1:14" x14ac:dyDescent="0.25">
      <c r="A44" t="s">
        <v>339</v>
      </c>
      <c r="C44" t="s">
        <v>162</v>
      </c>
      <c r="D44" s="67">
        <v>0</v>
      </c>
      <c r="E44">
        <v>956.72</v>
      </c>
      <c r="F44">
        <v>0</v>
      </c>
      <c r="G44">
        <v>1733.61</v>
      </c>
      <c r="H44">
        <v>-1733.61</v>
      </c>
      <c r="I44">
        <v>0</v>
      </c>
      <c r="J44">
        <v>4000</v>
      </c>
      <c r="K44" s="249">
        <v>4000</v>
      </c>
      <c r="L44" s="249">
        <v>4250</v>
      </c>
      <c r="M44" s="249">
        <v>4547.5</v>
      </c>
      <c r="N44" s="249">
        <v>4865.8249999999998</v>
      </c>
    </row>
    <row r="45" spans="1:14" x14ac:dyDescent="0.25">
      <c r="A45" t="s">
        <v>340</v>
      </c>
      <c r="C45" t="s">
        <v>163</v>
      </c>
      <c r="D45" s="67">
        <v>17000</v>
      </c>
      <c r="E45">
        <v>0</v>
      </c>
      <c r="F45">
        <v>0</v>
      </c>
      <c r="G45">
        <v>0</v>
      </c>
      <c r="H45">
        <v>17000</v>
      </c>
      <c r="I45">
        <v>0</v>
      </c>
      <c r="J45">
        <v>-10000</v>
      </c>
      <c r="K45" s="249">
        <v>7000</v>
      </c>
      <c r="L45" s="249">
        <v>7437.5</v>
      </c>
      <c r="M45" s="249">
        <v>7958.125</v>
      </c>
      <c r="N45" s="249">
        <v>8515.1937500000004</v>
      </c>
    </row>
    <row r="46" spans="1:14" x14ac:dyDescent="0.25">
      <c r="A46" t="s">
        <v>341</v>
      </c>
      <c r="C46" t="s">
        <v>164</v>
      </c>
      <c r="D46" s="67">
        <v>36468</v>
      </c>
      <c r="E46">
        <v>1307.7</v>
      </c>
      <c r="F46">
        <v>0</v>
      </c>
      <c r="G46">
        <v>7846.2</v>
      </c>
      <c r="H46">
        <v>28621.8</v>
      </c>
      <c r="I46">
        <v>21.515301085883515</v>
      </c>
      <c r="J46">
        <v>0</v>
      </c>
      <c r="K46" s="249">
        <v>36468</v>
      </c>
      <c r="L46" s="249">
        <v>38747.25</v>
      </c>
      <c r="M46" s="249">
        <v>41459.557500000003</v>
      </c>
      <c r="N46" s="249">
        <v>44361.726525000005</v>
      </c>
    </row>
    <row r="48" spans="1:14" x14ac:dyDescent="0.25">
      <c r="C48" t="s">
        <v>165</v>
      </c>
      <c r="D48" s="67">
        <v>6478042</v>
      </c>
      <c r="E48">
        <v>812312.80999999982</v>
      </c>
      <c r="F48">
        <v>0</v>
      </c>
      <c r="G48">
        <v>3681636.91</v>
      </c>
      <c r="H48">
        <v>2796405.09</v>
      </c>
      <c r="I48">
        <v>56.832556967058878</v>
      </c>
      <c r="J48">
        <v>164208.62000000011</v>
      </c>
      <c r="K48" s="249">
        <v>6642250.6200000001</v>
      </c>
      <c r="L48" s="249">
        <v>7057391.2837500004</v>
      </c>
      <c r="M48" s="249">
        <v>7551408.6736125015</v>
      </c>
      <c r="N48" s="249">
        <v>8080007.2807653742</v>
      </c>
    </row>
    <row r="50" spans="1:14" x14ac:dyDescent="0.25">
      <c r="C50" t="s">
        <v>166</v>
      </c>
    </row>
    <row r="52" spans="1:14" x14ac:dyDescent="0.25">
      <c r="A52" t="s">
        <v>342</v>
      </c>
      <c r="C52" t="s">
        <v>167</v>
      </c>
      <c r="D52" s="67">
        <v>3371</v>
      </c>
      <c r="E52">
        <v>274.94</v>
      </c>
      <c r="F52">
        <v>0</v>
      </c>
      <c r="G52">
        <v>1603.04</v>
      </c>
      <c r="H52">
        <v>1767.96</v>
      </c>
      <c r="I52">
        <v>47.553841590032633</v>
      </c>
      <c r="K52" s="249">
        <v>3371</v>
      </c>
      <c r="L52" s="249">
        <v>3581.6875</v>
      </c>
      <c r="M52" s="249">
        <v>3832.4056249999999</v>
      </c>
      <c r="N52" s="249">
        <v>4100.67401875</v>
      </c>
    </row>
    <row r="53" spans="1:14" x14ac:dyDescent="0.25">
      <c r="A53" t="s">
        <v>343</v>
      </c>
      <c r="C53" t="s">
        <v>168</v>
      </c>
      <c r="D53" s="67">
        <v>1293797</v>
      </c>
      <c r="E53">
        <v>50940.15</v>
      </c>
      <c r="F53">
        <v>0</v>
      </c>
      <c r="G53">
        <v>363987.45</v>
      </c>
      <c r="H53">
        <v>929809.55</v>
      </c>
      <c r="I53">
        <v>28.133273612475527</v>
      </c>
      <c r="J53">
        <v>-500000</v>
      </c>
      <c r="K53" s="249">
        <v>793797</v>
      </c>
      <c r="L53" s="249">
        <v>843409.3125</v>
      </c>
      <c r="M53" s="249">
        <v>902447.96437499998</v>
      </c>
      <c r="N53" s="249">
        <v>965619.32188125001</v>
      </c>
    </row>
    <row r="54" spans="1:14" x14ac:dyDescent="0.25">
      <c r="A54" t="s">
        <v>344</v>
      </c>
      <c r="C54" t="s">
        <v>169</v>
      </c>
      <c r="D54" s="67">
        <v>1123150</v>
      </c>
      <c r="E54">
        <v>105476.44</v>
      </c>
      <c r="F54">
        <v>0</v>
      </c>
      <c r="G54">
        <v>617398.25</v>
      </c>
      <c r="H54">
        <v>505751.75</v>
      </c>
      <c r="I54">
        <v>54.970239950140233</v>
      </c>
      <c r="K54" s="249">
        <v>1123150</v>
      </c>
      <c r="L54" s="249">
        <v>1193346.875</v>
      </c>
      <c r="M54" s="249">
        <v>1276881.15625</v>
      </c>
      <c r="N54" s="249">
        <v>1366262.8371875</v>
      </c>
    </row>
    <row r="55" spans="1:14" x14ac:dyDescent="0.25">
      <c r="A55" t="s">
        <v>345</v>
      </c>
      <c r="C55" t="s">
        <v>170</v>
      </c>
      <c r="D55" s="67">
        <v>49980</v>
      </c>
      <c r="E55">
        <v>4377.84</v>
      </c>
      <c r="F55">
        <v>0</v>
      </c>
      <c r="G55">
        <v>25698.48</v>
      </c>
      <c r="H55">
        <v>24281.52</v>
      </c>
      <c r="I55">
        <v>51.417527010804321</v>
      </c>
      <c r="K55" s="249">
        <v>49980</v>
      </c>
      <c r="L55" s="249">
        <v>53103.75</v>
      </c>
      <c r="M55" s="249">
        <v>56821.012499999997</v>
      </c>
      <c r="N55" s="249">
        <v>60798.483374999996</v>
      </c>
    </row>
    <row r="57" spans="1:14" x14ac:dyDescent="0.25">
      <c r="C57" t="s">
        <v>171</v>
      </c>
      <c r="D57" s="67">
        <v>2470298</v>
      </c>
      <c r="E57">
        <v>161069.37</v>
      </c>
      <c r="F57">
        <v>0</v>
      </c>
      <c r="G57">
        <v>1008687.22</v>
      </c>
      <c r="H57">
        <v>1461610.78</v>
      </c>
      <c r="I57">
        <v>38.61</v>
      </c>
      <c r="J57">
        <v>-500000</v>
      </c>
      <c r="K57" s="249">
        <v>1970298</v>
      </c>
      <c r="L57" s="249">
        <v>2093441.625</v>
      </c>
      <c r="M57" s="249">
        <v>2239982.5387500003</v>
      </c>
      <c r="N57" s="249">
        <v>2396781.3164625</v>
      </c>
    </row>
    <row r="59" spans="1:14" x14ac:dyDescent="0.25">
      <c r="C59" t="s">
        <v>172</v>
      </c>
    </row>
    <row r="61" spans="1:14" x14ac:dyDescent="0.25">
      <c r="A61" t="s">
        <v>346</v>
      </c>
      <c r="C61" t="s">
        <v>173</v>
      </c>
      <c r="D61" s="67">
        <v>112883</v>
      </c>
      <c r="E61">
        <v>0</v>
      </c>
      <c r="F61">
        <v>0</v>
      </c>
      <c r="G61">
        <v>0</v>
      </c>
      <c r="H61">
        <v>112883</v>
      </c>
      <c r="I61">
        <v>0</v>
      </c>
      <c r="K61" s="249">
        <v>112883</v>
      </c>
      <c r="L61" s="249">
        <v>119938.1875</v>
      </c>
      <c r="M61" s="249">
        <v>128333.860625</v>
      </c>
      <c r="N61" s="249">
        <v>137317.23086874999</v>
      </c>
    </row>
    <row r="62" spans="1:14" x14ac:dyDescent="0.25">
      <c r="A62" t="s">
        <v>347</v>
      </c>
      <c r="C62" t="s">
        <v>174</v>
      </c>
      <c r="D62" s="67">
        <v>142433</v>
      </c>
      <c r="E62">
        <v>0</v>
      </c>
      <c r="F62">
        <v>0</v>
      </c>
      <c r="G62">
        <v>0</v>
      </c>
      <c r="H62">
        <v>142433</v>
      </c>
      <c r="I62">
        <v>0</v>
      </c>
      <c r="K62" s="249">
        <v>142433</v>
      </c>
      <c r="L62" s="249">
        <v>151335.0625</v>
      </c>
      <c r="M62" s="249">
        <v>161928.516875</v>
      </c>
      <c r="N62" s="249">
        <v>173263.51305625</v>
      </c>
    </row>
    <row r="63" spans="1:14" x14ac:dyDescent="0.25">
      <c r="A63" t="s">
        <v>1391</v>
      </c>
      <c r="C63" t="s">
        <v>1392</v>
      </c>
      <c r="D63" s="67">
        <v>0</v>
      </c>
      <c r="E63">
        <v>0</v>
      </c>
      <c r="F63">
        <v>0</v>
      </c>
      <c r="G63">
        <v>0</v>
      </c>
      <c r="H63">
        <v>0</v>
      </c>
      <c r="J63">
        <v>350000</v>
      </c>
      <c r="K63" s="249">
        <v>350000</v>
      </c>
      <c r="L63" s="249">
        <v>371875</v>
      </c>
      <c r="M63" s="249">
        <v>397906.25</v>
      </c>
      <c r="N63" s="249">
        <v>425759.6875</v>
      </c>
    </row>
    <row r="64" spans="1:14" x14ac:dyDescent="0.25">
      <c r="A64" t="s">
        <v>348</v>
      </c>
      <c r="C64" t="s">
        <v>175</v>
      </c>
      <c r="D64" s="67">
        <v>79236</v>
      </c>
      <c r="E64">
        <v>0</v>
      </c>
      <c r="F64">
        <v>0</v>
      </c>
      <c r="G64">
        <v>0</v>
      </c>
      <c r="H64">
        <v>79236</v>
      </c>
      <c r="I64">
        <v>0</v>
      </c>
      <c r="J64">
        <v>0</v>
      </c>
      <c r="K64" s="249">
        <v>79236</v>
      </c>
      <c r="L64" s="249">
        <v>84188.25</v>
      </c>
      <c r="M64" s="249">
        <v>90081.427500000005</v>
      </c>
      <c r="N64" s="249">
        <v>96387.127425000013</v>
      </c>
    </row>
    <row r="65" spans="1:14" x14ac:dyDescent="0.25">
      <c r="J65">
        <v>0</v>
      </c>
    </row>
    <row r="66" spans="1:14" x14ac:dyDescent="0.25">
      <c r="C66" t="s">
        <v>176</v>
      </c>
      <c r="D66" s="67">
        <v>334552</v>
      </c>
      <c r="E66">
        <v>0</v>
      </c>
      <c r="F66">
        <v>0</v>
      </c>
      <c r="G66">
        <v>0</v>
      </c>
      <c r="H66">
        <v>334552</v>
      </c>
      <c r="I66">
        <v>0</v>
      </c>
      <c r="J66">
        <v>350000</v>
      </c>
      <c r="K66" s="249">
        <v>684552</v>
      </c>
      <c r="L66" s="249">
        <v>727336.5</v>
      </c>
      <c r="M66" s="249">
        <v>778250.05499999993</v>
      </c>
      <c r="N66" s="249">
        <v>832727.55884999991</v>
      </c>
    </row>
    <row r="67" spans="1:14" x14ac:dyDescent="0.25">
      <c r="J67">
        <v>0</v>
      </c>
    </row>
    <row r="68" spans="1:14" x14ac:dyDescent="0.25">
      <c r="C68" t="s">
        <v>177</v>
      </c>
      <c r="D68" s="67">
        <v>9282892</v>
      </c>
      <c r="E68">
        <v>973382.17999999982</v>
      </c>
      <c r="F68">
        <v>0</v>
      </c>
      <c r="G68">
        <v>4690324.13</v>
      </c>
      <c r="H68">
        <v>4592567.87</v>
      </c>
      <c r="I68">
        <v>49.93</v>
      </c>
      <c r="J68">
        <v>14208.620000001043</v>
      </c>
      <c r="K68" s="249">
        <v>9297100.620000001</v>
      </c>
      <c r="L68" s="249">
        <v>9878169.4087500013</v>
      </c>
      <c r="M68" s="249">
        <v>10569641.267362501</v>
      </c>
      <c r="N68" s="249">
        <v>11309516.156077875</v>
      </c>
    </row>
    <row r="69" spans="1:14" x14ac:dyDescent="0.25">
      <c r="J69">
        <v>0</v>
      </c>
    </row>
    <row r="70" spans="1:14" x14ac:dyDescent="0.25">
      <c r="C70" t="s">
        <v>178</v>
      </c>
      <c r="D70" s="67">
        <v>10290226</v>
      </c>
      <c r="E70">
        <v>1048521.7599999998</v>
      </c>
      <c r="F70">
        <v>0</v>
      </c>
      <c r="G70">
        <v>5141161.6099999994</v>
      </c>
      <c r="H70">
        <v>5149064.3900000006</v>
      </c>
      <c r="I70">
        <v>49.42</v>
      </c>
      <c r="J70">
        <v>-6667.3799999989569</v>
      </c>
      <c r="K70" s="249">
        <v>10283558.620000001</v>
      </c>
      <c r="L70" s="249">
        <v>10926281.033750001</v>
      </c>
      <c r="M70" s="249">
        <v>11691120.706112502</v>
      </c>
      <c r="N70" s="249">
        <v>12509499.155540375</v>
      </c>
    </row>
    <row r="71" spans="1:14" x14ac:dyDescent="0.25">
      <c r="J71">
        <v>0</v>
      </c>
    </row>
    <row r="72" spans="1:14" x14ac:dyDescent="0.25">
      <c r="C72" t="s">
        <v>208</v>
      </c>
      <c r="J72">
        <v>0</v>
      </c>
    </row>
    <row r="73" spans="1:14" x14ac:dyDescent="0.25">
      <c r="J73">
        <v>0</v>
      </c>
    </row>
    <row r="74" spans="1:14" x14ac:dyDescent="0.25">
      <c r="C74" t="s">
        <v>209</v>
      </c>
      <c r="J74">
        <v>0</v>
      </c>
    </row>
    <row r="75" spans="1:14" x14ac:dyDescent="0.25">
      <c r="J75">
        <v>0</v>
      </c>
    </row>
    <row r="76" spans="1:14" x14ac:dyDescent="0.25">
      <c r="A76" t="s">
        <v>349</v>
      </c>
      <c r="C76" t="s">
        <v>216</v>
      </c>
      <c r="D76" s="67">
        <v>8639351</v>
      </c>
      <c r="E76">
        <v>650483.55000000005</v>
      </c>
      <c r="F76">
        <v>0</v>
      </c>
      <c r="G76">
        <v>3552775.02</v>
      </c>
      <c r="H76">
        <v>5086575.9800000004</v>
      </c>
      <c r="I76">
        <v>41.123170247394739</v>
      </c>
      <c r="J76">
        <v>0</v>
      </c>
      <c r="K76" s="249">
        <v>8639351</v>
      </c>
      <c r="L76" s="249">
        <v>9028121.7949999999</v>
      </c>
      <c r="M76" s="249">
        <v>9443415.3975699991</v>
      </c>
      <c r="N76" s="249">
        <v>9877812.5058582183</v>
      </c>
    </row>
    <row r="77" spans="1:14" x14ac:dyDescent="0.25">
      <c r="J77">
        <v>0</v>
      </c>
    </row>
    <row r="78" spans="1:14" x14ac:dyDescent="0.25">
      <c r="C78" t="s">
        <v>217</v>
      </c>
      <c r="D78" s="67">
        <v>8639351</v>
      </c>
      <c r="E78">
        <v>650483.55000000005</v>
      </c>
      <c r="F78">
        <v>0</v>
      </c>
      <c r="G78">
        <v>3552775.02</v>
      </c>
      <c r="H78">
        <v>5086575.9800000004</v>
      </c>
      <c r="I78">
        <v>33.590000000000003</v>
      </c>
      <c r="J78">
        <v>0</v>
      </c>
      <c r="K78" s="249">
        <v>8639351</v>
      </c>
      <c r="L78" s="249">
        <v>9028121.7949999999</v>
      </c>
      <c r="M78" s="249">
        <v>9443415.3975699991</v>
      </c>
      <c r="N78" s="249">
        <v>9877812.5058582183</v>
      </c>
    </row>
    <row r="79" spans="1:14" x14ac:dyDescent="0.25">
      <c r="J79">
        <v>0</v>
      </c>
    </row>
    <row r="80" spans="1:14" x14ac:dyDescent="0.25">
      <c r="C80" t="s">
        <v>228</v>
      </c>
      <c r="J80">
        <v>0</v>
      </c>
    </row>
    <row r="81" spans="1:14" x14ac:dyDescent="0.25">
      <c r="J81">
        <v>0</v>
      </c>
    </row>
    <row r="82" spans="1:14" x14ac:dyDescent="0.25">
      <c r="A82" t="s">
        <v>350</v>
      </c>
      <c r="C82" t="s">
        <v>234</v>
      </c>
      <c r="D82" s="67">
        <v>400000</v>
      </c>
      <c r="E82">
        <v>42566.65</v>
      </c>
      <c r="F82">
        <v>27772</v>
      </c>
      <c r="G82">
        <v>300133.27</v>
      </c>
      <c r="H82">
        <v>99866.73</v>
      </c>
      <c r="I82">
        <v>75.03</v>
      </c>
      <c r="J82">
        <v>0</v>
      </c>
      <c r="K82" s="249">
        <v>400000</v>
      </c>
      <c r="L82" s="249">
        <v>400000</v>
      </c>
      <c r="M82" s="249">
        <v>418400</v>
      </c>
      <c r="N82" s="249">
        <v>437646.4</v>
      </c>
    </row>
    <row r="83" spans="1:14" x14ac:dyDescent="0.25">
      <c r="A83" t="s">
        <v>351</v>
      </c>
      <c r="C83" t="s">
        <v>234</v>
      </c>
      <c r="D83" s="67">
        <v>150000</v>
      </c>
      <c r="E83">
        <v>0</v>
      </c>
      <c r="F83">
        <v>66000</v>
      </c>
      <c r="G83">
        <v>49410</v>
      </c>
      <c r="H83">
        <v>100590</v>
      </c>
      <c r="I83">
        <v>32.94</v>
      </c>
      <c r="J83">
        <v>0</v>
      </c>
      <c r="K83" s="249">
        <v>150000</v>
      </c>
      <c r="L83" s="249">
        <v>156750</v>
      </c>
      <c r="M83" s="249">
        <v>163960.5</v>
      </c>
      <c r="N83" s="249">
        <v>171502.68299999999</v>
      </c>
    </row>
    <row r="84" spans="1:14" x14ac:dyDescent="0.25">
      <c r="A84" t="s">
        <v>352</v>
      </c>
      <c r="C84" t="s">
        <v>235</v>
      </c>
      <c r="D84" s="67">
        <v>200000</v>
      </c>
      <c r="E84">
        <v>0</v>
      </c>
      <c r="F84">
        <v>0</v>
      </c>
      <c r="G84">
        <v>70483.69</v>
      </c>
      <c r="H84">
        <v>129516.31</v>
      </c>
      <c r="I84">
        <v>35.24</v>
      </c>
      <c r="J84">
        <v>0</v>
      </c>
      <c r="K84" s="249">
        <v>200000</v>
      </c>
      <c r="L84" s="249">
        <v>209000</v>
      </c>
      <c r="M84" s="249">
        <v>218614</v>
      </c>
      <c r="N84" s="249">
        <v>228670.24400000001</v>
      </c>
    </row>
    <row r="85" spans="1:14" x14ac:dyDescent="0.25">
      <c r="J85">
        <v>0</v>
      </c>
    </row>
    <row r="86" spans="1:14" x14ac:dyDescent="0.25">
      <c r="C86" t="s">
        <v>239</v>
      </c>
      <c r="D86" s="67">
        <v>750000</v>
      </c>
      <c r="E86">
        <v>42566.65</v>
      </c>
      <c r="F86">
        <v>93772</v>
      </c>
      <c r="G86">
        <v>420026.96</v>
      </c>
      <c r="H86">
        <v>329973.03999999998</v>
      </c>
      <c r="I86">
        <v>56</v>
      </c>
      <c r="J86">
        <v>0</v>
      </c>
      <c r="K86" s="249">
        <v>750000</v>
      </c>
      <c r="L86" s="249">
        <v>765750</v>
      </c>
      <c r="M86" s="249">
        <v>800974.5</v>
      </c>
      <c r="N86" s="249">
        <v>837819.32700000005</v>
      </c>
    </row>
    <row r="87" spans="1:14" x14ac:dyDescent="0.25">
      <c r="J87">
        <v>0</v>
      </c>
    </row>
    <row r="88" spans="1:14" x14ac:dyDescent="0.25">
      <c r="C88" t="s">
        <v>240</v>
      </c>
      <c r="D88" s="67">
        <v>9389351</v>
      </c>
      <c r="E88">
        <v>693050.20000000007</v>
      </c>
      <c r="F88">
        <v>93772</v>
      </c>
      <c r="G88">
        <v>3972801.98</v>
      </c>
      <c r="H88">
        <v>5416549.0200000005</v>
      </c>
      <c r="I88">
        <v>35.380000000000003</v>
      </c>
      <c r="J88">
        <v>0</v>
      </c>
      <c r="K88" s="249">
        <v>9389351</v>
      </c>
      <c r="L88" s="249">
        <v>9793871.7949999999</v>
      </c>
      <c r="M88" s="249">
        <v>10244389.897569999</v>
      </c>
      <c r="N88" s="249">
        <v>10715631.832858218</v>
      </c>
    </row>
    <row r="89" spans="1:14" x14ac:dyDescent="0.25">
      <c r="J89">
        <v>0</v>
      </c>
    </row>
    <row r="90" spans="1:14" x14ac:dyDescent="0.25">
      <c r="C90" t="s">
        <v>241</v>
      </c>
      <c r="J90">
        <v>0</v>
      </c>
    </row>
    <row r="91" spans="1:14" x14ac:dyDescent="0.25">
      <c r="J91">
        <v>0</v>
      </c>
    </row>
    <row r="92" spans="1:14" x14ac:dyDescent="0.25">
      <c r="A92" t="s">
        <v>353</v>
      </c>
      <c r="C92" t="s">
        <v>250</v>
      </c>
      <c r="D92" s="67">
        <v>689000</v>
      </c>
      <c r="E92">
        <v>0</v>
      </c>
      <c r="F92">
        <v>0</v>
      </c>
      <c r="G92">
        <v>132072.35999999999</v>
      </c>
      <c r="H92">
        <v>556927.64</v>
      </c>
      <c r="I92">
        <v>19.168702467343977</v>
      </c>
      <c r="J92">
        <v>0</v>
      </c>
      <c r="K92" s="249">
        <v>689000</v>
      </c>
      <c r="L92" s="249">
        <v>720005</v>
      </c>
      <c r="M92" s="249">
        <v>753125.23</v>
      </c>
      <c r="N92" s="249">
        <v>787768.99057999998</v>
      </c>
    </row>
    <row r="93" spans="1:14" x14ac:dyDescent="0.25">
      <c r="A93" t="s">
        <v>354</v>
      </c>
      <c r="C93" t="s">
        <v>251</v>
      </c>
      <c r="D93" s="67">
        <v>707862</v>
      </c>
      <c r="E93">
        <v>142631.6</v>
      </c>
      <c r="F93">
        <v>0</v>
      </c>
      <c r="G93">
        <v>479164.38</v>
      </c>
      <c r="H93">
        <v>228697.62</v>
      </c>
      <c r="I93">
        <v>67.691778906057962</v>
      </c>
      <c r="J93">
        <v>0</v>
      </c>
      <c r="K93" s="249">
        <v>707862</v>
      </c>
      <c r="L93" s="249">
        <v>739715.79</v>
      </c>
      <c r="M93" s="249">
        <v>773742.71634000004</v>
      </c>
      <c r="N93" s="249">
        <v>809334.88129163999</v>
      </c>
    </row>
    <row r="94" spans="1:14" x14ac:dyDescent="0.25">
      <c r="A94" t="s">
        <v>355</v>
      </c>
      <c r="C94" t="s">
        <v>253</v>
      </c>
      <c r="D94" s="67">
        <v>2000</v>
      </c>
      <c r="E94">
        <v>0</v>
      </c>
      <c r="F94">
        <v>0</v>
      </c>
      <c r="G94">
        <v>426.95</v>
      </c>
      <c r="H94">
        <v>1573.05</v>
      </c>
      <c r="I94">
        <v>21.3475</v>
      </c>
      <c r="J94">
        <v>0</v>
      </c>
      <c r="K94" s="249">
        <v>2000</v>
      </c>
      <c r="L94" s="249">
        <v>2090</v>
      </c>
      <c r="M94" s="249">
        <v>2186.14</v>
      </c>
      <c r="N94" s="249">
        <v>2286.70244</v>
      </c>
    </row>
    <row r="95" spans="1:14" x14ac:dyDescent="0.25">
      <c r="A95" t="s">
        <v>356</v>
      </c>
      <c r="C95" t="s">
        <v>259</v>
      </c>
      <c r="D95" s="67">
        <v>234398</v>
      </c>
      <c r="E95">
        <v>0</v>
      </c>
      <c r="F95">
        <v>0</v>
      </c>
      <c r="G95">
        <v>124894.9</v>
      </c>
      <c r="H95">
        <v>109503.1</v>
      </c>
      <c r="I95">
        <v>53.283261802575112</v>
      </c>
      <c r="J95">
        <v>-50000</v>
      </c>
      <c r="K95" s="249">
        <v>184398</v>
      </c>
      <c r="L95" s="249">
        <v>192695.91</v>
      </c>
      <c r="M95" s="249">
        <v>201559.92186</v>
      </c>
      <c r="N95" s="249">
        <v>210831.67826556001</v>
      </c>
    </row>
    <row r="96" spans="1:14" x14ac:dyDescent="0.25">
      <c r="A96" t="s">
        <v>357</v>
      </c>
      <c r="C96" t="s">
        <v>265</v>
      </c>
      <c r="D96" s="67">
        <v>0</v>
      </c>
      <c r="E96">
        <v>8906.7099999999991</v>
      </c>
      <c r="F96">
        <v>0</v>
      </c>
      <c r="G96">
        <v>41524.839999999997</v>
      </c>
      <c r="H96">
        <v>-41524.839999999997</v>
      </c>
      <c r="I96">
        <v>0</v>
      </c>
      <c r="J96">
        <v>0</v>
      </c>
      <c r="K96" s="249">
        <v>0</v>
      </c>
      <c r="L96" s="249">
        <v>0</v>
      </c>
      <c r="M96" s="249">
        <v>0</v>
      </c>
      <c r="N96" s="249">
        <v>0</v>
      </c>
    </row>
    <row r="97" spans="1:14" x14ac:dyDescent="0.25">
      <c r="A97" t="s">
        <v>3016</v>
      </c>
      <c r="C97" t="s">
        <v>3017</v>
      </c>
      <c r="L97" s="249">
        <v>0</v>
      </c>
      <c r="M97" s="249">
        <v>0</v>
      </c>
      <c r="N97" s="249">
        <v>0</v>
      </c>
    </row>
    <row r="98" spans="1:14" x14ac:dyDescent="0.25">
      <c r="A98" t="s">
        <v>358</v>
      </c>
      <c r="C98" t="s">
        <v>268</v>
      </c>
      <c r="D98" s="67">
        <v>175000</v>
      </c>
      <c r="E98">
        <v>8953.15</v>
      </c>
      <c r="F98">
        <v>0</v>
      </c>
      <c r="G98">
        <v>25501.31</v>
      </c>
      <c r="H98">
        <v>149498.69</v>
      </c>
      <c r="I98">
        <v>14.572177142857143</v>
      </c>
      <c r="J98">
        <v>-49499</v>
      </c>
      <c r="K98" s="249">
        <v>125501</v>
      </c>
      <c r="L98" s="249">
        <v>131148.54500000001</v>
      </c>
      <c r="M98" s="249">
        <v>137181.37807000001</v>
      </c>
      <c r="N98" s="249">
        <v>143491.72146122</v>
      </c>
    </row>
    <row r="99" spans="1:14" x14ac:dyDescent="0.25">
      <c r="A99" t="s">
        <v>3018</v>
      </c>
      <c r="C99" t="s">
        <v>3019</v>
      </c>
      <c r="L99" s="249">
        <v>0</v>
      </c>
      <c r="N99" s="249">
        <v>0</v>
      </c>
    </row>
    <row r="100" spans="1:14" x14ac:dyDescent="0.25">
      <c r="A100" t="s">
        <v>3020</v>
      </c>
      <c r="C100" t="s">
        <v>3021</v>
      </c>
      <c r="L100" s="249">
        <v>0</v>
      </c>
      <c r="N100" s="249">
        <v>0</v>
      </c>
    </row>
    <row r="101" spans="1:14" x14ac:dyDescent="0.25">
      <c r="A101" t="s">
        <v>3022</v>
      </c>
      <c r="C101" t="s">
        <v>3028</v>
      </c>
      <c r="L101" s="249">
        <v>0</v>
      </c>
      <c r="N101" s="249">
        <v>0</v>
      </c>
    </row>
    <row r="102" spans="1:14" x14ac:dyDescent="0.25">
      <c r="A102" t="s">
        <v>3023</v>
      </c>
      <c r="C102" t="s">
        <v>269</v>
      </c>
      <c r="L102" s="249">
        <v>0</v>
      </c>
      <c r="N102" s="249">
        <v>0</v>
      </c>
    </row>
    <row r="103" spans="1:14" x14ac:dyDescent="0.25">
      <c r="A103" t="s">
        <v>3024</v>
      </c>
      <c r="C103" t="s">
        <v>3029</v>
      </c>
      <c r="L103" s="249">
        <v>0</v>
      </c>
      <c r="N103" s="249">
        <v>0</v>
      </c>
    </row>
    <row r="104" spans="1:14" x14ac:dyDescent="0.25">
      <c r="A104" t="s">
        <v>3025</v>
      </c>
      <c r="C104" t="s">
        <v>3030</v>
      </c>
      <c r="L104" s="249">
        <v>0</v>
      </c>
      <c r="N104" s="249">
        <v>0</v>
      </c>
    </row>
    <row r="105" spans="1:14" x14ac:dyDescent="0.25">
      <c r="A105" t="s">
        <v>3026</v>
      </c>
      <c r="C105" t="s">
        <v>3031</v>
      </c>
      <c r="L105" s="249">
        <v>0</v>
      </c>
      <c r="N105" s="249">
        <v>0</v>
      </c>
    </row>
    <row r="106" spans="1:14" x14ac:dyDescent="0.25">
      <c r="A106" t="s">
        <v>3027</v>
      </c>
      <c r="C106" t="s">
        <v>3032</v>
      </c>
      <c r="L106" s="249">
        <v>0</v>
      </c>
      <c r="N106" s="249">
        <v>0</v>
      </c>
    </row>
    <row r="107" spans="1:14" x14ac:dyDescent="0.25">
      <c r="A107" t="s">
        <v>359</v>
      </c>
      <c r="C107" t="s">
        <v>268</v>
      </c>
      <c r="D107" s="67">
        <v>254263</v>
      </c>
      <c r="E107">
        <v>0</v>
      </c>
      <c r="F107">
        <v>33225.660000000003</v>
      </c>
      <c r="G107">
        <v>138103.96</v>
      </c>
      <c r="H107">
        <v>116159.04000000001</v>
      </c>
      <c r="I107">
        <v>54.315397836098846</v>
      </c>
      <c r="J107">
        <v>0</v>
      </c>
      <c r="K107" s="249">
        <v>254263</v>
      </c>
      <c r="L107" s="249">
        <v>265704.83500000002</v>
      </c>
      <c r="M107" s="249">
        <v>277927.25741000002</v>
      </c>
      <c r="N107" s="249">
        <v>290711.91125086002</v>
      </c>
    </row>
    <row r="108" spans="1:14" x14ac:dyDescent="0.25">
      <c r="A108" t="s">
        <v>360</v>
      </c>
      <c r="C108" t="s">
        <v>270</v>
      </c>
      <c r="D108" s="67">
        <v>636000</v>
      </c>
      <c r="E108">
        <v>136630</v>
      </c>
      <c r="F108">
        <v>0</v>
      </c>
      <c r="G108">
        <v>609748</v>
      </c>
      <c r="H108">
        <v>26252</v>
      </c>
      <c r="I108">
        <v>95.872327044025155</v>
      </c>
      <c r="J108">
        <v>650000</v>
      </c>
      <c r="K108" s="249">
        <v>1286000</v>
      </c>
      <c r="L108" s="249">
        <v>650000</v>
      </c>
      <c r="M108" s="249">
        <v>679900</v>
      </c>
      <c r="N108" s="249">
        <v>711175.4</v>
      </c>
    </row>
    <row r="109" spans="1:14" x14ac:dyDescent="0.25">
      <c r="A109" t="s">
        <v>361</v>
      </c>
      <c r="C109" t="s">
        <v>271</v>
      </c>
      <c r="D109" s="67">
        <v>129035</v>
      </c>
      <c r="E109">
        <v>0</v>
      </c>
      <c r="F109">
        <v>0</v>
      </c>
      <c r="G109">
        <v>44880.94</v>
      </c>
      <c r="H109">
        <v>84154.06</v>
      </c>
      <c r="I109">
        <v>34.781989382725619</v>
      </c>
      <c r="J109">
        <v>0</v>
      </c>
      <c r="K109" s="249">
        <v>129035</v>
      </c>
      <c r="L109" s="249">
        <v>134841.57500000001</v>
      </c>
      <c r="M109" s="249">
        <v>141044.28745</v>
      </c>
      <c r="N109" s="249">
        <v>147532.32467269999</v>
      </c>
    </row>
    <row r="111" spans="1:14" x14ac:dyDescent="0.25">
      <c r="C111" t="s">
        <v>274</v>
      </c>
      <c r="D111" s="67">
        <v>2827558</v>
      </c>
      <c r="E111">
        <v>297121.45999999996</v>
      </c>
      <c r="F111">
        <v>33225.660000000003</v>
      </c>
      <c r="G111">
        <v>1596317.64</v>
      </c>
      <c r="H111">
        <v>1231240.3600000001</v>
      </c>
      <c r="I111">
        <v>361.03313458168378</v>
      </c>
      <c r="J111">
        <v>550501</v>
      </c>
      <c r="K111" s="249">
        <v>3378059</v>
      </c>
      <c r="L111" s="249">
        <v>2836201.6550000003</v>
      </c>
      <c r="M111" s="249">
        <v>2966666.9311300004</v>
      </c>
      <c r="N111" s="249">
        <v>3103133.6099619796</v>
      </c>
    </row>
    <row r="112" spans="1:14" x14ac:dyDescent="0.25">
      <c r="J112">
        <v>0</v>
      </c>
    </row>
    <row r="113" spans="1:14" x14ac:dyDescent="0.25">
      <c r="C113" t="s">
        <v>275</v>
      </c>
      <c r="J113">
        <v>0</v>
      </c>
    </row>
    <row r="114" spans="1:14" x14ac:dyDescent="0.25">
      <c r="J114">
        <v>0</v>
      </c>
    </row>
    <row r="115" spans="1:14" x14ac:dyDescent="0.25">
      <c r="A115" t="s">
        <v>362</v>
      </c>
      <c r="C115" t="s">
        <v>276</v>
      </c>
      <c r="D115" s="67">
        <v>659231</v>
      </c>
      <c r="E115">
        <v>0</v>
      </c>
      <c r="F115">
        <v>0</v>
      </c>
      <c r="G115">
        <v>165938.96</v>
      </c>
      <c r="H115">
        <v>493292.04</v>
      </c>
      <c r="I115">
        <v>25.17</v>
      </c>
      <c r="J115">
        <v>0</v>
      </c>
      <c r="K115" s="249">
        <v>659231</v>
      </c>
      <c r="L115" s="249">
        <v>688896.39500000002</v>
      </c>
      <c r="M115" s="249">
        <v>720585.62916999997</v>
      </c>
      <c r="N115" s="249">
        <v>753732.56811181991</v>
      </c>
    </row>
    <row r="116" spans="1:14" x14ac:dyDescent="0.25">
      <c r="A116" t="s">
        <v>363</v>
      </c>
      <c r="C116" t="s">
        <v>277</v>
      </c>
      <c r="D116" s="67">
        <v>530000</v>
      </c>
      <c r="E116">
        <v>26608.560000000001</v>
      </c>
      <c r="F116">
        <v>0</v>
      </c>
      <c r="G116">
        <v>239859.36</v>
      </c>
      <c r="H116">
        <v>290140.64</v>
      </c>
      <c r="I116">
        <v>45.25</v>
      </c>
      <c r="J116">
        <v>0</v>
      </c>
      <c r="K116" s="249">
        <v>530000</v>
      </c>
      <c r="L116" s="249">
        <v>553850</v>
      </c>
      <c r="M116" s="249">
        <v>579327.1</v>
      </c>
      <c r="N116" s="249">
        <v>605976.14659999998</v>
      </c>
    </row>
    <row r="117" spans="1:14" x14ac:dyDescent="0.25">
      <c r="A117" t="s">
        <v>364</v>
      </c>
      <c r="C117" t="s">
        <v>278</v>
      </c>
      <c r="D117" s="67">
        <v>53000</v>
      </c>
      <c r="E117">
        <v>0</v>
      </c>
      <c r="F117">
        <v>0</v>
      </c>
      <c r="G117">
        <v>769.7</v>
      </c>
      <c r="H117">
        <v>52230.3</v>
      </c>
      <c r="I117">
        <v>1.45</v>
      </c>
      <c r="J117">
        <v>-40000</v>
      </c>
      <c r="K117" s="249">
        <v>13000</v>
      </c>
      <c r="L117" s="249">
        <v>53000</v>
      </c>
      <c r="M117" s="249">
        <v>55438</v>
      </c>
      <c r="N117" s="249">
        <v>57988.148000000001</v>
      </c>
    </row>
    <row r="118" spans="1:14" x14ac:dyDescent="0.25">
      <c r="J118">
        <v>0</v>
      </c>
    </row>
    <row r="119" spans="1:14" x14ac:dyDescent="0.25">
      <c r="C119" t="s">
        <v>279</v>
      </c>
      <c r="D119" s="67">
        <v>1242231</v>
      </c>
      <c r="E119">
        <v>26608.560000000001</v>
      </c>
      <c r="F119">
        <v>0</v>
      </c>
      <c r="G119">
        <v>406568.01999999996</v>
      </c>
      <c r="H119">
        <v>835662.98</v>
      </c>
      <c r="I119">
        <v>32.72</v>
      </c>
      <c r="J119">
        <v>-40000</v>
      </c>
      <c r="K119" s="249">
        <v>1202231</v>
      </c>
      <c r="L119" s="249">
        <v>1295746.395</v>
      </c>
      <c r="M119" s="249">
        <v>1355350.7291699999</v>
      </c>
      <c r="N119" s="249">
        <v>1417696.8627118198</v>
      </c>
    </row>
    <row r="120" spans="1:14" x14ac:dyDescent="0.25">
      <c r="J120">
        <v>0</v>
      </c>
    </row>
    <row r="121" spans="1:14" x14ac:dyDescent="0.25">
      <c r="C121" t="s">
        <v>285</v>
      </c>
      <c r="J121">
        <v>0</v>
      </c>
    </row>
    <row r="122" spans="1:14" x14ac:dyDescent="0.25">
      <c r="J122">
        <v>0</v>
      </c>
    </row>
    <row r="123" spans="1:14" x14ac:dyDescent="0.25">
      <c r="A123" t="s">
        <v>365</v>
      </c>
      <c r="C123" t="s">
        <v>286</v>
      </c>
      <c r="D123" s="67">
        <v>400000</v>
      </c>
      <c r="E123">
        <v>44113.22</v>
      </c>
      <c r="F123">
        <v>0</v>
      </c>
      <c r="G123">
        <v>246703.31</v>
      </c>
      <c r="H123">
        <v>153296.69</v>
      </c>
      <c r="I123">
        <v>61.67</v>
      </c>
      <c r="J123">
        <v>0</v>
      </c>
      <c r="K123" s="249">
        <v>400000</v>
      </c>
      <c r="L123" s="249">
        <v>418000</v>
      </c>
      <c r="M123" s="249">
        <v>437228</v>
      </c>
      <c r="N123" s="249">
        <v>457340.48800000001</v>
      </c>
    </row>
    <row r="124" spans="1:14" x14ac:dyDescent="0.25">
      <c r="A124" t="s">
        <v>366</v>
      </c>
      <c r="C124" t="s">
        <v>286</v>
      </c>
      <c r="D124" s="67">
        <v>149705</v>
      </c>
      <c r="E124">
        <v>0</v>
      </c>
      <c r="F124">
        <v>0</v>
      </c>
      <c r="G124">
        <v>0</v>
      </c>
      <c r="H124">
        <v>149705</v>
      </c>
      <c r="I124">
        <v>0</v>
      </c>
      <c r="J124">
        <v>0</v>
      </c>
      <c r="K124" s="249">
        <v>149705</v>
      </c>
      <c r="L124" s="249">
        <v>156441.72500000001</v>
      </c>
      <c r="M124" s="249">
        <v>163638.04435000001</v>
      </c>
      <c r="N124" s="249">
        <v>171165.3943901</v>
      </c>
    </row>
    <row r="125" spans="1:14" x14ac:dyDescent="0.25">
      <c r="A125" t="s">
        <v>3073</v>
      </c>
      <c r="C125" t="s">
        <v>3056</v>
      </c>
      <c r="D125" s="67">
        <v>0</v>
      </c>
      <c r="K125" s="249">
        <v>0</v>
      </c>
      <c r="L125" s="249">
        <v>2400000</v>
      </c>
      <c r="M125" s="249">
        <v>2510400</v>
      </c>
      <c r="N125" s="249">
        <v>2625878.4</v>
      </c>
    </row>
    <row r="126" spans="1:14" x14ac:dyDescent="0.25">
      <c r="J126">
        <v>0</v>
      </c>
    </row>
    <row r="127" spans="1:14" x14ac:dyDescent="0.25">
      <c r="C127" t="s">
        <v>287</v>
      </c>
      <c r="D127" s="67">
        <v>549705</v>
      </c>
      <c r="E127">
        <v>44113.22</v>
      </c>
      <c r="F127">
        <v>0</v>
      </c>
      <c r="G127">
        <v>246703.31</v>
      </c>
      <c r="H127">
        <v>303001.69</v>
      </c>
      <c r="I127">
        <v>44.87</v>
      </c>
      <c r="J127">
        <v>0</v>
      </c>
      <c r="K127" s="249">
        <v>549705</v>
      </c>
      <c r="L127" s="249">
        <v>2974441.7250000001</v>
      </c>
      <c r="M127" s="249">
        <v>3111266.0443500001</v>
      </c>
      <c r="N127" s="249">
        <v>3254384.2823901</v>
      </c>
    </row>
    <row r="129" spans="1:14" x14ac:dyDescent="0.25">
      <c r="C129" t="s">
        <v>290</v>
      </c>
      <c r="J129">
        <v>0</v>
      </c>
    </row>
    <row r="131" spans="1:14" x14ac:dyDescent="0.25">
      <c r="A131" t="s">
        <v>367</v>
      </c>
      <c r="C131" t="s">
        <v>291</v>
      </c>
      <c r="D131" s="67">
        <v>19193</v>
      </c>
      <c r="E131">
        <v>2808.4</v>
      </c>
      <c r="F131">
        <v>0</v>
      </c>
      <c r="G131">
        <v>8600.0499999999993</v>
      </c>
      <c r="H131">
        <v>10592.95</v>
      </c>
      <c r="I131">
        <v>44.8</v>
      </c>
      <c r="J131">
        <v>790000</v>
      </c>
      <c r="K131" s="249">
        <v>809193</v>
      </c>
      <c r="L131" s="249">
        <v>845606.68500000006</v>
      </c>
      <c r="M131" s="249">
        <v>884504.5925100001</v>
      </c>
      <c r="N131" s="249">
        <v>925191.80376546015</v>
      </c>
    </row>
    <row r="132" spans="1:14" x14ac:dyDescent="0.25">
      <c r="A132" t="s">
        <v>368</v>
      </c>
      <c r="C132" t="s">
        <v>292</v>
      </c>
      <c r="D132" s="67">
        <v>3371</v>
      </c>
      <c r="E132">
        <v>9921.94</v>
      </c>
      <c r="F132">
        <v>0</v>
      </c>
      <c r="G132">
        <v>32271.75</v>
      </c>
      <c r="H132">
        <v>-28900.75</v>
      </c>
      <c r="I132">
        <v>957.33</v>
      </c>
      <c r="J132">
        <v>0</v>
      </c>
      <c r="K132" s="249">
        <v>3371</v>
      </c>
      <c r="L132" s="249">
        <v>3522.6950000000002</v>
      </c>
      <c r="M132" s="249">
        <v>3684.7389700000003</v>
      </c>
      <c r="N132" s="249">
        <v>3854.2369626200002</v>
      </c>
    </row>
    <row r="133" spans="1:14" x14ac:dyDescent="0.25">
      <c r="A133" t="s">
        <v>369</v>
      </c>
      <c r="C133" t="s">
        <v>293</v>
      </c>
      <c r="D133" s="67">
        <v>3371</v>
      </c>
      <c r="E133">
        <v>53495.18</v>
      </c>
      <c r="F133">
        <v>0</v>
      </c>
      <c r="G133">
        <v>126598.65</v>
      </c>
      <c r="H133">
        <v>-123227.65</v>
      </c>
      <c r="I133">
        <v>999.99</v>
      </c>
      <c r="J133">
        <v>0</v>
      </c>
      <c r="K133" s="249">
        <v>3371</v>
      </c>
      <c r="L133" s="249">
        <v>3522.6950000000002</v>
      </c>
      <c r="M133" s="249">
        <v>3684.7389700000003</v>
      </c>
      <c r="N133" s="249">
        <v>3854.2369626200002</v>
      </c>
    </row>
    <row r="134" spans="1:14" x14ac:dyDescent="0.25">
      <c r="A134" t="s">
        <v>370</v>
      </c>
      <c r="C134" t="s">
        <v>296</v>
      </c>
      <c r="D134" s="67">
        <v>5618</v>
      </c>
      <c r="E134">
        <v>220.9</v>
      </c>
      <c r="F134">
        <v>0</v>
      </c>
      <c r="G134">
        <v>618.51</v>
      </c>
      <c r="H134">
        <v>4999.49</v>
      </c>
      <c r="I134">
        <v>11</v>
      </c>
      <c r="J134">
        <v>0</v>
      </c>
      <c r="K134" s="249">
        <v>5618</v>
      </c>
      <c r="L134" s="249">
        <v>5870.81</v>
      </c>
      <c r="M134" s="249">
        <v>6140.86726</v>
      </c>
      <c r="N134" s="249">
        <v>6423.3471539599996</v>
      </c>
    </row>
    <row r="135" spans="1:14" x14ac:dyDescent="0.25">
      <c r="A135" t="s">
        <v>371</v>
      </c>
      <c r="C135" t="s">
        <v>297</v>
      </c>
      <c r="D135" s="67">
        <v>52313</v>
      </c>
      <c r="E135">
        <v>22667.22</v>
      </c>
      <c r="F135">
        <v>0</v>
      </c>
      <c r="G135">
        <v>55785.81</v>
      </c>
      <c r="H135">
        <v>-3472.81</v>
      </c>
      <c r="I135">
        <v>106.63</v>
      </c>
      <c r="J135">
        <v>0</v>
      </c>
      <c r="K135" s="249">
        <v>52313</v>
      </c>
      <c r="L135" s="249">
        <v>54667.084999999999</v>
      </c>
      <c r="M135" s="249">
        <v>57181.770909999999</v>
      </c>
      <c r="N135" s="249">
        <v>59812.132371859996</v>
      </c>
    </row>
    <row r="136" spans="1:14" x14ac:dyDescent="0.25">
      <c r="A136" t="s">
        <v>372</v>
      </c>
      <c r="C136" t="s">
        <v>298</v>
      </c>
      <c r="D136" s="67">
        <v>0</v>
      </c>
      <c r="E136">
        <v>4578.74</v>
      </c>
      <c r="F136">
        <v>0</v>
      </c>
      <c r="G136">
        <v>11446.86</v>
      </c>
      <c r="H136">
        <v>-11446.86</v>
      </c>
      <c r="I136">
        <v>0</v>
      </c>
      <c r="J136">
        <v>0</v>
      </c>
      <c r="K136" s="249">
        <v>0</v>
      </c>
      <c r="L136" s="249">
        <v>0</v>
      </c>
      <c r="M136" s="249">
        <v>0</v>
      </c>
      <c r="N136" s="249">
        <v>0</v>
      </c>
    </row>
    <row r="137" spans="1:14" x14ac:dyDescent="0.25">
      <c r="A137" t="s">
        <v>373</v>
      </c>
      <c r="C137" t="s">
        <v>299</v>
      </c>
      <c r="D137" s="67">
        <v>41469</v>
      </c>
      <c r="E137">
        <v>0</v>
      </c>
      <c r="F137">
        <v>0</v>
      </c>
      <c r="G137">
        <v>0</v>
      </c>
      <c r="H137">
        <v>41469</v>
      </c>
      <c r="I137">
        <v>0</v>
      </c>
      <c r="J137">
        <v>0</v>
      </c>
      <c r="K137" s="249">
        <v>41469</v>
      </c>
      <c r="L137" s="249">
        <v>43335.105000000003</v>
      </c>
      <c r="M137" s="249">
        <v>45328.519830000005</v>
      </c>
      <c r="N137" s="249">
        <v>47413.631742180005</v>
      </c>
    </row>
    <row r="138" spans="1:14" x14ac:dyDescent="0.25">
      <c r="A138" t="s">
        <v>374</v>
      </c>
      <c r="C138" t="s">
        <v>300</v>
      </c>
      <c r="D138" s="67">
        <v>113175</v>
      </c>
      <c r="E138">
        <v>16557.72</v>
      </c>
      <c r="F138">
        <v>0</v>
      </c>
      <c r="G138">
        <v>33128.800000000003</v>
      </c>
      <c r="H138">
        <v>80046.2</v>
      </c>
      <c r="I138">
        <v>29.27</v>
      </c>
      <c r="J138">
        <v>0</v>
      </c>
      <c r="K138" s="249">
        <v>113175</v>
      </c>
      <c r="L138" s="249">
        <v>118267.875</v>
      </c>
      <c r="M138" s="249">
        <v>123708.19725</v>
      </c>
      <c r="N138" s="249">
        <v>129398.77432349999</v>
      </c>
    </row>
    <row r="139" spans="1:14" x14ac:dyDescent="0.25">
      <c r="A139" t="s">
        <v>375</v>
      </c>
      <c r="C139" t="s">
        <v>303</v>
      </c>
      <c r="D139" s="67">
        <v>74216</v>
      </c>
      <c r="E139">
        <v>12908.16</v>
      </c>
      <c r="F139">
        <v>0</v>
      </c>
      <c r="G139">
        <v>30406.99</v>
      </c>
      <c r="H139">
        <v>43809.01</v>
      </c>
      <c r="I139">
        <v>40.97</v>
      </c>
      <c r="J139">
        <v>0</v>
      </c>
      <c r="K139" s="249">
        <v>74216</v>
      </c>
      <c r="L139" s="249">
        <v>77555.72</v>
      </c>
      <c r="M139" s="249">
        <v>81123.283120000007</v>
      </c>
      <c r="N139" s="249">
        <v>84854.954143520008</v>
      </c>
    </row>
    <row r="141" spans="1:14" x14ac:dyDescent="0.25">
      <c r="C141" t="s">
        <v>304</v>
      </c>
      <c r="D141" s="67">
        <v>312726</v>
      </c>
      <c r="E141">
        <v>123158.26000000001</v>
      </c>
      <c r="F141">
        <v>0</v>
      </c>
      <c r="G141">
        <v>298857.42</v>
      </c>
      <c r="H141">
        <v>13868.579999999994</v>
      </c>
      <c r="I141">
        <v>95.56</v>
      </c>
      <c r="J141">
        <v>790000</v>
      </c>
      <c r="K141" s="249">
        <v>1102726</v>
      </c>
      <c r="L141" s="249">
        <v>1152348.67</v>
      </c>
      <c r="M141" s="249">
        <v>1205356.7088200001</v>
      </c>
      <c r="N141" s="249">
        <v>1260803.1174257202</v>
      </c>
    </row>
    <row r="143" spans="1:14" x14ac:dyDescent="0.25">
      <c r="C143" t="s">
        <v>305</v>
      </c>
      <c r="D143" s="67">
        <v>24611797</v>
      </c>
      <c r="E143">
        <v>2232573.46</v>
      </c>
      <c r="F143">
        <v>126997.66</v>
      </c>
      <c r="G143">
        <v>11662409.98</v>
      </c>
      <c r="H143">
        <v>12949387.02</v>
      </c>
      <c r="I143">
        <v>44.04</v>
      </c>
      <c r="J143">
        <v>1293833.620000001</v>
      </c>
      <c r="K143" s="249">
        <v>25905630.620000001</v>
      </c>
      <c r="L143" s="249">
        <v>28978891.27375</v>
      </c>
      <c r="M143" s="249">
        <v>30574151.017152503</v>
      </c>
      <c r="N143" s="249">
        <v>32261148.860888213</v>
      </c>
    </row>
    <row r="145" spans="1:14" x14ac:dyDescent="0.25">
      <c r="C145" t="s">
        <v>306</v>
      </c>
      <c r="D145" s="67">
        <v>24335373</v>
      </c>
      <c r="E145">
        <v>2232573.46</v>
      </c>
      <c r="F145">
        <v>126997.66</v>
      </c>
      <c r="G145">
        <v>10950121.310000001</v>
      </c>
      <c r="H145">
        <v>13385251.689999999</v>
      </c>
      <c r="I145">
        <v>41.61</v>
      </c>
      <c r="J145">
        <v>1570257.620000001</v>
      </c>
      <c r="K145" s="249">
        <v>25905630.620000001</v>
      </c>
      <c r="L145" s="249">
        <v>27978891.27375</v>
      </c>
      <c r="M145" s="249">
        <v>29528151.017152503</v>
      </c>
      <c r="N145" s="249">
        <v>31167032.860888213</v>
      </c>
    </row>
    <row r="147" spans="1:14" x14ac:dyDescent="0.25">
      <c r="C147" t="s">
        <v>308</v>
      </c>
      <c r="J147">
        <v>0</v>
      </c>
    </row>
    <row r="149" spans="1:14" x14ac:dyDescent="0.25">
      <c r="A149" t="s">
        <v>1337</v>
      </c>
      <c r="C149" t="s">
        <v>1338</v>
      </c>
      <c r="D149" s="67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 s="249">
        <v>0</v>
      </c>
      <c r="L149" s="249">
        <v>0</v>
      </c>
      <c r="M149" s="249">
        <v>2000000</v>
      </c>
      <c r="N149" s="249">
        <v>700000</v>
      </c>
    </row>
    <row r="150" spans="1:14" x14ac:dyDescent="0.25">
      <c r="A150" t="s">
        <v>376</v>
      </c>
      <c r="C150" t="s">
        <v>377</v>
      </c>
      <c r="D150" s="67">
        <v>250000</v>
      </c>
      <c r="E150">
        <v>0</v>
      </c>
      <c r="F150">
        <v>0</v>
      </c>
      <c r="G150">
        <v>0</v>
      </c>
      <c r="H150">
        <v>250000</v>
      </c>
      <c r="I150">
        <v>0</v>
      </c>
      <c r="J150">
        <v>0</v>
      </c>
      <c r="K150" s="249">
        <v>250000</v>
      </c>
      <c r="L150" s="249">
        <v>300000</v>
      </c>
      <c r="M150" s="249">
        <v>0</v>
      </c>
      <c r="N150" s="249">
        <v>315000</v>
      </c>
    </row>
    <row r="152" spans="1:14" x14ac:dyDescent="0.25">
      <c r="C152" t="s">
        <v>320</v>
      </c>
      <c r="D152" s="67">
        <v>250000</v>
      </c>
      <c r="E152">
        <v>0</v>
      </c>
      <c r="F152">
        <v>0</v>
      </c>
      <c r="G152">
        <v>0</v>
      </c>
      <c r="H152">
        <v>250000</v>
      </c>
      <c r="I152">
        <v>0</v>
      </c>
      <c r="J152">
        <v>0</v>
      </c>
      <c r="K152" s="249">
        <v>250000</v>
      </c>
      <c r="L152" s="249">
        <v>300000</v>
      </c>
      <c r="M152" s="249">
        <v>2000000</v>
      </c>
      <c r="N152" s="249">
        <v>1015000</v>
      </c>
    </row>
    <row r="154" spans="1:14" x14ac:dyDescent="0.25">
      <c r="C154" t="s">
        <v>378</v>
      </c>
      <c r="J154">
        <v>0</v>
      </c>
    </row>
    <row r="156" spans="1:14" x14ac:dyDescent="0.25">
      <c r="C156" t="s">
        <v>9</v>
      </c>
      <c r="J156">
        <v>0</v>
      </c>
    </row>
    <row r="158" spans="1:14" x14ac:dyDescent="0.25">
      <c r="C158" t="s">
        <v>70</v>
      </c>
      <c r="J158">
        <v>0</v>
      </c>
    </row>
    <row r="160" spans="1:14" x14ac:dyDescent="0.25">
      <c r="A160" t="s">
        <v>379</v>
      </c>
      <c r="C160" t="s">
        <v>76</v>
      </c>
      <c r="D160" s="67">
        <v>-204317</v>
      </c>
      <c r="E160">
        <v>0</v>
      </c>
      <c r="F160">
        <v>0</v>
      </c>
      <c r="G160">
        <v>-70522.350000000006</v>
      </c>
      <c r="H160">
        <v>-133794.65</v>
      </c>
      <c r="I160">
        <v>34.51</v>
      </c>
      <c r="J160">
        <v>0</v>
      </c>
      <c r="K160" s="249">
        <v>-204317</v>
      </c>
      <c r="L160" s="249">
        <v>-213511.26500000001</v>
      </c>
      <c r="M160" s="249">
        <v>-223332.78319000002</v>
      </c>
      <c r="N160" s="249">
        <v>-233606.09121674002</v>
      </c>
    </row>
    <row r="162" spans="1:14" x14ac:dyDescent="0.25">
      <c r="C162" t="s">
        <v>77</v>
      </c>
      <c r="D162" s="67">
        <v>-204317</v>
      </c>
      <c r="E162">
        <v>0</v>
      </c>
      <c r="F162">
        <v>0</v>
      </c>
      <c r="G162">
        <v>-70522.350000000006</v>
      </c>
      <c r="H162">
        <v>-133794.65</v>
      </c>
      <c r="I162">
        <v>34.51</v>
      </c>
      <c r="J162">
        <v>0</v>
      </c>
      <c r="K162" s="249">
        <v>-204317</v>
      </c>
      <c r="L162" s="249">
        <v>-213511.26500000001</v>
      </c>
      <c r="M162" s="249">
        <v>-223332.78319000002</v>
      </c>
      <c r="N162" s="249">
        <v>-233606.09121674002</v>
      </c>
    </row>
    <row r="164" spans="1:14" x14ac:dyDescent="0.25">
      <c r="C164" t="s">
        <v>94</v>
      </c>
      <c r="D164" s="67">
        <v>-204317</v>
      </c>
      <c r="E164">
        <v>0</v>
      </c>
      <c r="F164">
        <v>0</v>
      </c>
      <c r="G164">
        <v>-70522.350000000006</v>
      </c>
      <c r="H164">
        <v>-133794.65</v>
      </c>
      <c r="I164">
        <v>34.51</v>
      </c>
      <c r="J164">
        <v>0</v>
      </c>
      <c r="K164" s="249">
        <v>-204317</v>
      </c>
      <c r="L164" s="249">
        <v>-213511.26500000001</v>
      </c>
      <c r="M164" s="249">
        <v>-223332.78319000002</v>
      </c>
      <c r="N164" s="249">
        <v>-233606.09121674002</v>
      </c>
    </row>
    <row r="166" spans="1:14" x14ac:dyDescent="0.25">
      <c r="C166" t="s">
        <v>95</v>
      </c>
      <c r="D166" s="67">
        <v>-204317</v>
      </c>
      <c r="E166">
        <v>0</v>
      </c>
      <c r="F166">
        <v>0</v>
      </c>
      <c r="G166">
        <v>-70522.350000000006</v>
      </c>
      <c r="H166">
        <v>-133794.65</v>
      </c>
      <c r="I166">
        <v>34.51</v>
      </c>
      <c r="J166">
        <v>0</v>
      </c>
      <c r="K166" s="249">
        <v>-204317</v>
      </c>
      <c r="L166" s="249">
        <v>-213511.26500000001</v>
      </c>
      <c r="M166" s="249">
        <v>-223332.78319000002</v>
      </c>
      <c r="N166" s="249">
        <v>-233606.09121674002</v>
      </c>
    </row>
    <row r="168" spans="1:14" x14ac:dyDescent="0.25">
      <c r="C168" t="s">
        <v>96</v>
      </c>
      <c r="J168">
        <v>0</v>
      </c>
    </row>
    <row r="169" spans="1:14" x14ac:dyDescent="0.25">
      <c r="C169" t="s">
        <v>97</v>
      </c>
      <c r="J169">
        <v>0</v>
      </c>
    </row>
    <row r="170" spans="1:14" x14ac:dyDescent="0.25">
      <c r="C170" t="s">
        <v>148</v>
      </c>
      <c r="J170">
        <v>0</v>
      </c>
    </row>
    <row r="171" spans="1:14" x14ac:dyDescent="0.25">
      <c r="C171" t="s">
        <v>149</v>
      </c>
      <c r="J171">
        <v>0</v>
      </c>
    </row>
    <row r="173" spans="1:14" x14ac:dyDescent="0.25">
      <c r="A173" t="s">
        <v>380</v>
      </c>
      <c r="C173" t="s">
        <v>150</v>
      </c>
      <c r="D173" s="67">
        <v>1546512</v>
      </c>
      <c r="E173">
        <v>128292.72</v>
      </c>
      <c r="F173">
        <v>0</v>
      </c>
      <c r="G173">
        <v>762945.09</v>
      </c>
      <c r="H173">
        <v>783566.91</v>
      </c>
      <c r="I173">
        <v>49.33</v>
      </c>
      <c r="J173">
        <v>0</v>
      </c>
      <c r="K173" s="249">
        <v>1546512</v>
      </c>
      <c r="L173" s="249">
        <v>1643169</v>
      </c>
      <c r="M173" s="249">
        <v>1758190.83</v>
      </c>
      <c r="N173" s="249">
        <v>1881264.1881000001</v>
      </c>
    </row>
    <row r="174" spans="1:14" x14ac:dyDescent="0.25">
      <c r="A174" t="s">
        <v>381</v>
      </c>
      <c r="C174" t="s">
        <v>151</v>
      </c>
      <c r="D174" s="67">
        <v>70585</v>
      </c>
      <c r="E174">
        <v>33868.36</v>
      </c>
      <c r="F174">
        <v>0</v>
      </c>
      <c r="G174">
        <v>128290.03</v>
      </c>
      <c r="H174">
        <v>-57705.03</v>
      </c>
      <c r="I174">
        <v>181.75</v>
      </c>
      <c r="J174">
        <v>-36716.639999999999</v>
      </c>
      <c r="K174" s="249">
        <v>33868.36</v>
      </c>
      <c r="L174" s="249">
        <v>35985.1325</v>
      </c>
      <c r="M174" s="249">
        <v>38504.091775000001</v>
      </c>
      <c r="N174" s="249">
        <v>41199.378199250001</v>
      </c>
    </row>
    <row r="175" spans="1:14" x14ac:dyDescent="0.25">
      <c r="A175" t="s">
        <v>382</v>
      </c>
      <c r="C175" t="s">
        <v>152</v>
      </c>
      <c r="D175" s="67">
        <v>52200</v>
      </c>
      <c r="E175">
        <v>4345.5</v>
      </c>
      <c r="F175">
        <v>0</v>
      </c>
      <c r="G175">
        <v>26073</v>
      </c>
      <c r="H175">
        <v>26127</v>
      </c>
      <c r="I175">
        <v>49.94</v>
      </c>
      <c r="J175">
        <v>0</v>
      </c>
      <c r="K175" s="249">
        <v>52200</v>
      </c>
      <c r="L175" s="249">
        <v>55462.5</v>
      </c>
      <c r="M175" s="249">
        <v>59344.875</v>
      </c>
      <c r="N175" s="249">
        <v>63499.016250000001</v>
      </c>
    </row>
    <row r="176" spans="1:14" x14ac:dyDescent="0.25">
      <c r="A176" t="s">
        <v>383</v>
      </c>
      <c r="C176" t="s">
        <v>153</v>
      </c>
      <c r="D176" s="67">
        <v>10893</v>
      </c>
      <c r="E176">
        <v>907.77</v>
      </c>
      <c r="F176">
        <v>0</v>
      </c>
      <c r="G176">
        <v>5446.62</v>
      </c>
      <c r="H176">
        <v>5446.38</v>
      </c>
      <c r="I176">
        <v>50</v>
      </c>
      <c r="J176">
        <v>0</v>
      </c>
      <c r="K176" s="249">
        <v>10893</v>
      </c>
      <c r="L176" s="249">
        <v>11573.8125</v>
      </c>
      <c r="M176" s="249">
        <v>12383.979375000001</v>
      </c>
      <c r="N176" s="249">
        <v>13250.857931250001</v>
      </c>
    </row>
    <row r="177" spans="1:14" x14ac:dyDescent="0.25">
      <c r="A177" t="s">
        <v>384</v>
      </c>
      <c r="C177" t="s">
        <v>155</v>
      </c>
      <c r="D177" s="67">
        <v>50125</v>
      </c>
      <c r="E177">
        <v>0</v>
      </c>
      <c r="F177">
        <v>0</v>
      </c>
      <c r="G177">
        <v>0</v>
      </c>
      <c r="H177">
        <v>50125</v>
      </c>
      <c r="I177">
        <v>0</v>
      </c>
      <c r="J177">
        <v>0</v>
      </c>
      <c r="K177" s="249">
        <v>50125</v>
      </c>
      <c r="L177" s="249">
        <v>53257.8125</v>
      </c>
      <c r="M177" s="249">
        <v>56985.859375</v>
      </c>
      <c r="N177" s="249">
        <v>60974.869531249999</v>
      </c>
    </row>
    <row r="178" spans="1:14" x14ac:dyDescent="0.25">
      <c r="A178" t="s">
        <v>385</v>
      </c>
      <c r="C178" t="s">
        <v>156</v>
      </c>
      <c r="D178" s="67">
        <v>330862</v>
      </c>
      <c r="E178">
        <v>28101.08</v>
      </c>
      <c r="F178">
        <v>0</v>
      </c>
      <c r="G178">
        <v>166996.79999999999</v>
      </c>
      <c r="H178">
        <v>163865.20000000001</v>
      </c>
      <c r="I178">
        <v>50.47</v>
      </c>
      <c r="J178">
        <v>0</v>
      </c>
      <c r="K178" s="249">
        <v>330862</v>
      </c>
      <c r="L178" s="249">
        <v>351540.875</v>
      </c>
      <c r="M178" s="249">
        <v>376148.73625000002</v>
      </c>
      <c r="N178" s="249">
        <v>402479.1477875</v>
      </c>
    </row>
    <row r="179" spans="1:14" x14ac:dyDescent="0.25">
      <c r="A179" t="s">
        <v>386</v>
      </c>
      <c r="C179" t="s">
        <v>157</v>
      </c>
      <c r="D179" s="67">
        <v>5418</v>
      </c>
      <c r="E179">
        <v>0</v>
      </c>
      <c r="F179">
        <v>0</v>
      </c>
      <c r="G179">
        <v>0</v>
      </c>
      <c r="H179">
        <v>5418</v>
      </c>
      <c r="I179">
        <v>0</v>
      </c>
      <c r="J179">
        <v>0</v>
      </c>
      <c r="K179" s="249">
        <v>5418</v>
      </c>
      <c r="L179" s="249">
        <v>5756.625</v>
      </c>
      <c r="M179" s="249">
        <v>6159.5887499999999</v>
      </c>
      <c r="N179" s="249">
        <v>6590.7599625000003</v>
      </c>
    </row>
    <row r="180" spans="1:14" x14ac:dyDescent="0.25">
      <c r="A180" t="s">
        <v>387</v>
      </c>
      <c r="C180" t="s">
        <v>158</v>
      </c>
      <c r="D180" s="67">
        <v>11405</v>
      </c>
      <c r="E180">
        <v>-800</v>
      </c>
      <c r="F180">
        <v>0</v>
      </c>
      <c r="G180">
        <v>26999.64</v>
      </c>
      <c r="H180">
        <v>-15594.64</v>
      </c>
      <c r="I180">
        <v>236.73</v>
      </c>
      <c r="J180">
        <v>30000</v>
      </c>
      <c r="K180" s="249">
        <v>41405</v>
      </c>
      <c r="L180" s="249">
        <v>43992.8125</v>
      </c>
      <c r="M180" s="249">
        <v>47072.309374999997</v>
      </c>
      <c r="N180" s="249">
        <v>50367.371031249997</v>
      </c>
    </row>
    <row r="181" spans="1:14" x14ac:dyDescent="0.25">
      <c r="A181" t="s">
        <v>388</v>
      </c>
      <c r="C181" t="s">
        <v>159</v>
      </c>
      <c r="D181" s="67">
        <v>125876</v>
      </c>
      <c r="E181">
        <v>0</v>
      </c>
      <c r="F181">
        <v>0</v>
      </c>
      <c r="G181">
        <v>0</v>
      </c>
      <c r="H181">
        <v>125876</v>
      </c>
      <c r="I181">
        <v>0</v>
      </c>
      <c r="J181">
        <v>0</v>
      </c>
      <c r="K181" s="249">
        <v>125876</v>
      </c>
      <c r="L181" s="249">
        <v>133743.25</v>
      </c>
      <c r="M181" s="249">
        <v>143105.2775</v>
      </c>
      <c r="N181" s="249">
        <v>153122.64692500001</v>
      </c>
    </row>
    <row r="182" spans="1:14" x14ac:dyDescent="0.25">
      <c r="A182" t="s">
        <v>389</v>
      </c>
      <c r="C182" t="s">
        <v>164</v>
      </c>
      <c r="D182" s="67">
        <v>15692</v>
      </c>
      <c r="E182">
        <v>1307.7</v>
      </c>
      <c r="F182">
        <v>0</v>
      </c>
      <c r="G182">
        <v>7846.2</v>
      </c>
      <c r="H182">
        <v>7845.8</v>
      </c>
      <c r="I182">
        <v>50</v>
      </c>
      <c r="J182">
        <v>0</v>
      </c>
      <c r="K182" s="249">
        <v>15692</v>
      </c>
      <c r="L182" s="249">
        <v>16672.75</v>
      </c>
      <c r="M182" s="249">
        <v>17839.842499999999</v>
      </c>
      <c r="N182" s="249">
        <v>19088.631474999998</v>
      </c>
    </row>
    <row r="184" spans="1:14" x14ac:dyDescent="0.25">
      <c r="C184" t="s">
        <v>165</v>
      </c>
      <c r="D184" s="67">
        <v>2219568</v>
      </c>
      <c r="E184">
        <v>196023.13</v>
      </c>
      <c r="F184">
        <v>0</v>
      </c>
      <c r="G184">
        <v>1124597.3799999999</v>
      </c>
      <c r="H184">
        <v>1094970.6199999999</v>
      </c>
      <c r="I184">
        <v>50.66</v>
      </c>
      <c r="J184">
        <v>-6716.6399999996647</v>
      </c>
      <c r="K184" s="249">
        <v>2212851.3600000003</v>
      </c>
      <c r="L184" s="249">
        <v>2351154.5700000003</v>
      </c>
      <c r="M184" s="249">
        <v>2515735.3899000003</v>
      </c>
      <c r="N184" s="249">
        <v>2691836.8671930004</v>
      </c>
    </row>
    <row r="186" spans="1:14" x14ac:dyDescent="0.25">
      <c r="C186" t="s">
        <v>166</v>
      </c>
      <c r="J186">
        <v>0</v>
      </c>
    </row>
    <row r="188" spans="1:14" x14ac:dyDescent="0.25">
      <c r="A188" t="s">
        <v>390</v>
      </c>
      <c r="C188" t="s">
        <v>167</v>
      </c>
      <c r="D188" s="67">
        <v>449</v>
      </c>
      <c r="E188">
        <v>37.28</v>
      </c>
      <c r="F188">
        <v>0</v>
      </c>
      <c r="G188">
        <v>223.68</v>
      </c>
      <c r="H188">
        <v>225.32</v>
      </c>
      <c r="I188">
        <v>49.81</v>
      </c>
      <c r="J188">
        <v>0</v>
      </c>
      <c r="K188" s="249">
        <v>449</v>
      </c>
      <c r="L188" s="249">
        <v>477.0625</v>
      </c>
      <c r="M188" s="249">
        <v>510.45687499999997</v>
      </c>
      <c r="N188" s="249">
        <v>546.18885624999996</v>
      </c>
    </row>
    <row r="189" spans="1:14" x14ac:dyDescent="0.25">
      <c r="A189" t="s">
        <v>391</v>
      </c>
      <c r="C189" t="s">
        <v>168</v>
      </c>
      <c r="D189" s="67">
        <v>215633</v>
      </c>
      <c r="E189">
        <v>9751.2000000000007</v>
      </c>
      <c r="F189">
        <v>0</v>
      </c>
      <c r="G189">
        <v>57466.8</v>
      </c>
      <c r="H189">
        <v>158166.20000000001</v>
      </c>
      <c r="I189">
        <v>26.65</v>
      </c>
      <c r="J189">
        <v>0</v>
      </c>
      <c r="K189" s="249">
        <v>215633</v>
      </c>
      <c r="L189" s="249">
        <v>229110.0625</v>
      </c>
      <c r="M189" s="249">
        <v>245147.766875</v>
      </c>
      <c r="N189" s="249">
        <v>262308.11055624997</v>
      </c>
    </row>
    <row r="190" spans="1:14" x14ac:dyDescent="0.25">
      <c r="A190" t="s">
        <v>392</v>
      </c>
      <c r="C190" t="s">
        <v>169</v>
      </c>
      <c r="D190" s="67">
        <v>332313</v>
      </c>
      <c r="E190">
        <v>24387.23</v>
      </c>
      <c r="F190">
        <v>0</v>
      </c>
      <c r="G190">
        <v>144975.98000000001</v>
      </c>
      <c r="H190">
        <v>187337.02</v>
      </c>
      <c r="I190">
        <v>43.62</v>
      </c>
      <c r="J190">
        <v>0</v>
      </c>
      <c r="K190" s="249">
        <v>332313</v>
      </c>
      <c r="L190" s="249">
        <v>353082.5625</v>
      </c>
      <c r="M190" s="249">
        <v>377798.34187499998</v>
      </c>
      <c r="N190" s="249">
        <v>404244.22580625</v>
      </c>
    </row>
    <row r="191" spans="1:14" x14ac:dyDescent="0.25">
      <c r="A191" t="s">
        <v>393</v>
      </c>
      <c r="C191" t="s">
        <v>170</v>
      </c>
      <c r="D191" s="67">
        <v>7140</v>
      </c>
      <c r="E191">
        <v>594.88</v>
      </c>
      <c r="F191">
        <v>0</v>
      </c>
      <c r="G191">
        <v>3569.28</v>
      </c>
      <c r="H191">
        <v>3570.72</v>
      </c>
      <c r="I191">
        <v>49.98</v>
      </c>
      <c r="J191">
        <v>0</v>
      </c>
      <c r="K191" s="249">
        <v>7140</v>
      </c>
      <c r="L191" s="249">
        <v>7586.25</v>
      </c>
      <c r="M191" s="249">
        <v>8117.2875000000004</v>
      </c>
      <c r="N191" s="249">
        <v>8685.497625</v>
      </c>
    </row>
    <row r="193" spans="1:14" x14ac:dyDescent="0.25">
      <c r="C193" t="s">
        <v>171</v>
      </c>
      <c r="D193" s="67">
        <v>555535</v>
      </c>
      <c r="E193">
        <v>34770.589999999997</v>
      </c>
      <c r="F193">
        <v>0</v>
      </c>
      <c r="G193">
        <v>206235.74000000002</v>
      </c>
      <c r="H193">
        <v>349299.26</v>
      </c>
      <c r="I193">
        <v>37.119999999999997</v>
      </c>
      <c r="J193">
        <v>0</v>
      </c>
      <c r="K193" s="249">
        <v>555535</v>
      </c>
      <c r="L193" s="249">
        <v>590255.9375</v>
      </c>
      <c r="M193" s="249">
        <v>631573.85312500002</v>
      </c>
      <c r="N193" s="249">
        <v>675784.02284374996</v>
      </c>
    </row>
    <row r="195" spans="1:14" x14ac:dyDescent="0.25">
      <c r="C195" t="s">
        <v>172</v>
      </c>
      <c r="J195">
        <v>0</v>
      </c>
    </row>
    <row r="197" spans="1:14" x14ac:dyDescent="0.25">
      <c r="A197" t="s">
        <v>394</v>
      </c>
      <c r="C197" t="s">
        <v>173</v>
      </c>
      <c r="D197" s="67">
        <v>8010</v>
      </c>
      <c r="E197">
        <v>0</v>
      </c>
      <c r="F197">
        <v>0</v>
      </c>
      <c r="G197">
        <v>0</v>
      </c>
      <c r="H197">
        <v>8010</v>
      </c>
      <c r="I197">
        <v>0</v>
      </c>
      <c r="J197">
        <v>0</v>
      </c>
      <c r="K197" s="249">
        <v>8010</v>
      </c>
      <c r="L197" s="249">
        <v>8510.625</v>
      </c>
      <c r="M197" s="249">
        <v>9106.3687499999996</v>
      </c>
      <c r="N197" s="249">
        <v>9743.8145624999997</v>
      </c>
    </row>
    <row r="198" spans="1:14" x14ac:dyDescent="0.25">
      <c r="A198" t="s">
        <v>395</v>
      </c>
      <c r="C198" t="s">
        <v>174</v>
      </c>
      <c r="D198" s="67">
        <v>9043</v>
      </c>
      <c r="E198">
        <v>0</v>
      </c>
      <c r="F198">
        <v>0</v>
      </c>
      <c r="G198">
        <v>0</v>
      </c>
      <c r="H198">
        <v>9043</v>
      </c>
      <c r="I198">
        <v>0</v>
      </c>
      <c r="J198">
        <v>0</v>
      </c>
      <c r="K198" s="249">
        <v>9043</v>
      </c>
      <c r="L198" s="249">
        <v>9608.1875</v>
      </c>
      <c r="M198" s="249">
        <v>10280.760625000001</v>
      </c>
      <c r="N198" s="249">
        <v>11000.413868750002</v>
      </c>
    </row>
    <row r="199" spans="1:14" x14ac:dyDescent="0.25">
      <c r="A199" t="s">
        <v>396</v>
      </c>
      <c r="C199" t="s">
        <v>175</v>
      </c>
      <c r="D199" s="67">
        <v>14441</v>
      </c>
      <c r="E199">
        <v>0</v>
      </c>
      <c r="F199">
        <v>0</v>
      </c>
      <c r="G199">
        <v>0</v>
      </c>
      <c r="H199">
        <v>14441</v>
      </c>
      <c r="I199">
        <v>0</v>
      </c>
      <c r="J199">
        <v>0</v>
      </c>
      <c r="K199" s="249">
        <v>14441</v>
      </c>
      <c r="L199" s="249">
        <v>15343.5625</v>
      </c>
      <c r="M199" s="249">
        <v>16417.611874999999</v>
      </c>
      <c r="N199" s="249">
        <v>17566.844706249998</v>
      </c>
    </row>
    <row r="201" spans="1:14" x14ac:dyDescent="0.25">
      <c r="C201" t="s">
        <v>176</v>
      </c>
      <c r="D201" s="67">
        <v>31494</v>
      </c>
      <c r="E201">
        <v>0</v>
      </c>
      <c r="F201">
        <v>0</v>
      </c>
      <c r="G201">
        <v>0</v>
      </c>
      <c r="H201">
        <v>31494</v>
      </c>
      <c r="I201">
        <v>0</v>
      </c>
      <c r="J201">
        <v>0</v>
      </c>
      <c r="K201" s="249">
        <v>31494</v>
      </c>
      <c r="L201" s="249">
        <v>33462.375</v>
      </c>
      <c r="M201" s="249">
        <v>35804.741249999999</v>
      </c>
      <c r="N201" s="249">
        <v>38311.073137500003</v>
      </c>
    </row>
    <row r="203" spans="1:14" x14ac:dyDescent="0.25">
      <c r="C203" t="s">
        <v>177</v>
      </c>
      <c r="D203" s="67">
        <v>2806597</v>
      </c>
      <c r="E203">
        <v>230793.72</v>
      </c>
      <c r="F203">
        <v>0</v>
      </c>
      <c r="G203">
        <v>1330833.1199999999</v>
      </c>
      <c r="H203">
        <v>1475763.88</v>
      </c>
      <c r="I203">
        <v>47.41</v>
      </c>
      <c r="J203">
        <v>-6716.6399999996647</v>
      </c>
      <c r="K203" s="249">
        <v>2799880.3600000003</v>
      </c>
      <c r="L203" s="249">
        <v>2974872.8825000003</v>
      </c>
      <c r="M203" s="249">
        <v>3183113.9842750002</v>
      </c>
      <c r="N203" s="249">
        <v>3405931.9631742504</v>
      </c>
    </row>
    <row r="205" spans="1:14" x14ac:dyDescent="0.25">
      <c r="C205" t="s">
        <v>178</v>
      </c>
      <c r="D205" s="67">
        <v>2806597</v>
      </c>
      <c r="E205">
        <v>230793.72</v>
      </c>
      <c r="F205">
        <v>0</v>
      </c>
      <c r="G205">
        <v>1330833.1199999999</v>
      </c>
      <c r="H205">
        <v>1475763.88</v>
      </c>
      <c r="I205">
        <v>47.41</v>
      </c>
      <c r="J205">
        <v>-6716.6399999996647</v>
      </c>
      <c r="K205" s="249">
        <v>2799880.3600000003</v>
      </c>
      <c r="L205" s="249">
        <v>2974872.8825000003</v>
      </c>
      <c r="M205" s="249">
        <v>3183113.9842750002</v>
      </c>
      <c r="N205" s="249">
        <v>3405931.9631742504</v>
      </c>
    </row>
    <row r="207" spans="1:14" x14ac:dyDescent="0.25">
      <c r="C207" t="s">
        <v>208</v>
      </c>
    </row>
    <row r="209" spans="1:14" x14ac:dyDescent="0.25">
      <c r="C209" t="s">
        <v>209</v>
      </c>
    </row>
    <row r="211" spans="1:14" x14ac:dyDescent="0.25">
      <c r="A211" t="s">
        <v>397</v>
      </c>
      <c r="C211" t="s">
        <v>211</v>
      </c>
      <c r="D211" s="67">
        <v>1000000</v>
      </c>
      <c r="E211">
        <v>406934.52</v>
      </c>
      <c r="F211">
        <v>0</v>
      </c>
      <c r="G211">
        <v>1406934.52</v>
      </c>
      <c r="H211">
        <v>-406934.52</v>
      </c>
      <c r="I211">
        <v>140.69</v>
      </c>
      <c r="J211">
        <v>1000000</v>
      </c>
      <c r="K211" s="249">
        <v>2000000</v>
      </c>
      <c r="L211" s="249">
        <v>400000</v>
      </c>
      <c r="M211" s="249">
        <v>418400</v>
      </c>
      <c r="N211" s="249">
        <v>437646.4</v>
      </c>
    </row>
    <row r="212" spans="1:14" x14ac:dyDescent="0.25">
      <c r="A212" t="s">
        <v>398</v>
      </c>
      <c r="C212" t="s">
        <v>211</v>
      </c>
      <c r="D212" s="67">
        <v>117299</v>
      </c>
      <c r="E212">
        <v>0</v>
      </c>
      <c r="F212">
        <v>0</v>
      </c>
      <c r="G212">
        <v>0</v>
      </c>
      <c r="H212">
        <v>117299</v>
      </c>
      <c r="I212">
        <v>0</v>
      </c>
      <c r="J212">
        <v>0</v>
      </c>
      <c r="K212" s="249">
        <v>117299</v>
      </c>
      <c r="L212" s="249">
        <v>122577.455</v>
      </c>
      <c r="M212" s="249">
        <v>128216.01793</v>
      </c>
      <c r="N212" s="249">
        <v>134113.95475477999</v>
      </c>
    </row>
    <row r="214" spans="1:14" x14ac:dyDescent="0.25">
      <c r="C214" t="s">
        <v>217</v>
      </c>
      <c r="D214" s="67">
        <v>1117299</v>
      </c>
      <c r="E214">
        <v>406934.52</v>
      </c>
      <c r="F214">
        <v>0</v>
      </c>
      <c r="G214">
        <v>1406934.52</v>
      </c>
      <c r="H214">
        <v>-289635.52</v>
      </c>
      <c r="I214">
        <v>125.92</v>
      </c>
      <c r="J214">
        <v>1000000</v>
      </c>
      <c r="K214" s="249">
        <v>2117299</v>
      </c>
      <c r="L214" s="249">
        <v>522577.45500000002</v>
      </c>
      <c r="M214" s="249">
        <v>546616.01792999997</v>
      </c>
      <c r="N214" s="249">
        <v>571760.35475477995</v>
      </c>
    </row>
    <row r="216" spans="1:14" x14ac:dyDescent="0.25">
      <c r="C216" t="s">
        <v>228</v>
      </c>
    </row>
    <row r="218" spans="1:14" x14ac:dyDescent="0.25">
      <c r="A218" t="s">
        <v>399</v>
      </c>
      <c r="B218" t="s">
        <v>1371</v>
      </c>
      <c r="C218" t="s">
        <v>230</v>
      </c>
      <c r="D218" s="67">
        <v>400000</v>
      </c>
      <c r="E218">
        <v>0</v>
      </c>
      <c r="F218">
        <v>152176</v>
      </c>
      <c r="G218">
        <v>248182.39999999999</v>
      </c>
      <c r="H218">
        <v>151817.60000000001</v>
      </c>
      <c r="I218">
        <v>62.0456</v>
      </c>
      <c r="J218">
        <v>150000</v>
      </c>
      <c r="K218" s="249">
        <v>550000</v>
      </c>
      <c r="L218" s="249">
        <v>424000</v>
      </c>
      <c r="M218" s="249">
        <v>443504</v>
      </c>
      <c r="N218" s="249">
        <v>463905.18400000001</v>
      </c>
    </row>
    <row r="219" spans="1:14" x14ac:dyDescent="0.25">
      <c r="A219" t="s">
        <v>400</v>
      </c>
      <c r="C219" t="s">
        <v>231</v>
      </c>
      <c r="D219" s="67">
        <v>150000</v>
      </c>
      <c r="E219">
        <v>0</v>
      </c>
      <c r="F219">
        <v>0</v>
      </c>
      <c r="G219">
        <v>0</v>
      </c>
      <c r="H219">
        <v>150000</v>
      </c>
      <c r="I219">
        <v>0</v>
      </c>
      <c r="J219">
        <v>-100000</v>
      </c>
      <c r="K219" s="249">
        <v>50000</v>
      </c>
      <c r="L219" s="249">
        <v>52250</v>
      </c>
      <c r="M219" s="249">
        <v>54653.5</v>
      </c>
      <c r="N219" s="249">
        <v>57167.561000000002</v>
      </c>
    </row>
    <row r="220" spans="1:14" x14ac:dyDescent="0.25">
      <c r="A220" t="s">
        <v>401</v>
      </c>
      <c r="C220" t="s">
        <v>232</v>
      </c>
      <c r="D220" s="67">
        <v>700000</v>
      </c>
      <c r="E220">
        <v>0</v>
      </c>
      <c r="F220">
        <v>0</v>
      </c>
      <c r="G220">
        <v>0</v>
      </c>
      <c r="H220">
        <v>700000</v>
      </c>
      <c r="I220">
        <v>0</v>
      </c>
      <c r="J220">
        <v>-700000</v>
      </c>
      <c r="K220" s="249">
        <v>0</v>
      </c>
      <c r="L220" s="249">
        <v>0</v>
      </c>
      <c r="M220" s="249">
        <v>0</v>
      </c>
      <c r="N220" s="249">
        <v>0</v>
      </c>
    </row>
    <row r="222" spans="1:14" x14ac:dyDescent="0.25">
      <c r="C222" t="s">
        <v>239</v>
      </c>
      <c r="D222" s="67">
        <v>1250000</v>
      </c>
      <c r="E222">
        <v>0</v>
      </c>
      <c r="F222">
        <v>152176</v>
      </c>
      <c r="G222">
        <v>248182.39999999999</v>
      </c>
      <c r="H222">
        <v>1001817.6</v>
      </c>
      <c r="I222">
        <v>19.04</v>
      </c>
      <c r="J222">
        <v>-650000</v>
      </c>
      <c r="K222" s="249">
        <v>600000</v>
      </c>
      <c r="L222" s="249">
        <v>476250</v>
      </c>
      <c r="M222" s="249">
        <v>498157.5</v>
      </c>
      <c r="N222" s="249">
        <v>521072.745</v>
      </c>
    </row>
    <row r="224" spans="1:14" x14ac:dyDescent="0.25">
      <c r="C224" t="s">
        <v>240</v>
      </c>
      <c r="D224" s="67">
        <v>2367299</v>
      </c>
      <c r="E224">
        <v>406934.52</v>
      </c>
      <c r="F224">
        <v>152176</v>
      </c>
      <c r="G224">
        <v>1655116.92</v>
      </c>
      <c r="H224">
        <v>712182.08</v>
      </c>
      <c r="I224">
        <v>69.915837416397324</v>
      </c>
      <c r="J224">
        <v>350000</v>
      </c>
      <c r="K224" s="249">
        <v>2717299</v>
      </c>
      <c r="L224" s="249">
        <v>998827.45500000007</v>
      </c>
      <c r="M224" s="249">
        <v>1044773.51793</v>
      </c>
      <c r="N224" s="249">
        <v>1092833.0997547801</v>
      </c>
    </row>
    <row r="226" spans="1:14" x14ac:dyDescent="0.25">
      <c r="C226" t="s">
        <v>241</v>
      </c>
    </row>
    <row r="228" spans="1:14" x14ac:dyDescent="0.25">
      <c r="A228" t="s">
        <v>402</v>
      </c>
      <c r="C228" t="s">
        <v>242</v>
      </c>
      <c r="D228" s="67">
        <v>63600</v>
      </c>
      <c r="E228">
        <v>0</v>
      </c>
      <c r="F228">
        <v>0</v>
      </c>
      <c r="G228">
        <v>0</v>
      </c>
      <c r="H228">
        <v>63600</v>
      </c>
      <c r="I228">
        <v>0</v>
      </c>
      <c r="J228">
        <v>0</v>
      </c>
      <c r="K228" s="249">
        <v>63600</v>
      </c>
      <c r="L228" s="249">
        <v>66462</v>
      </c>
      <c r="M228" s="249">
        <v>69519.251999999993</v>
      </c>
      <c r="N228" s="249">
        <v>72717.137591999999</v>
      </c>
    </row>
    <row r="229" spans="1:14" x14ac:dyDescent="0.25">
      <c r="A229" t="s">
        <v>403</v>
      </c>
      <c r="C229" t="s">
        <v>243</v>
      </c>
      <c r="D229" s="67">
        <v>100000</v>
      </c>
      <c r="E229">
        <v>0</v>
      </c>
      <c r="F229">
        <v>23350.09</v>
      </c>
      <c r="G229">
        <v>89474.35</v>
      </c>
      <c r="H229">
        <v>10525.649999999994</v>
      </c>
      <c r="I229">
        <v>89.474350000000001</v>
      </c>
      <c r="J229">
        <v>30000</v>
      </c>
      <c r="K229" s="249">
        <v>130000</v>
      </c>
      <c r="L229" s="249">
        <v>135850</v>
      </c>
      <c r="M229" s="249">
        <v>142099.1</v>
      </c>
      <c r="N229" s="249">
        <v>148635.6586</v>
      </c>
    </row>
    <row r="230" spans="1:14" x14ac:dyDescent="0.25">
      <c r="A230" t="s">
        <v>404</v>
      </c>
      <c r="C230" t="s">
        <v>247</v>
      </c>
      <c r="D230" s="67">
        <v>500000</v>
      </c>
      <c r="E230">
        <v>0</v>
      </c>
      <c r="F230">
        <v>0</v>
      </c>
      <c r="G230">
        <v>405182.32</v>
      </c>
      <c r="H230">
        <v>94817.68</v>
      </c>
      <c r="I230">
        <v>81.036463999999995</v>
      </c>
      <c r="J230">
        <v>0</v>
      </c>
      <c r="K230" s="249">
        <v>500000</v>
      </c>
      <c r="L230" s="249">
        <v>522500</v>
      </c>
      <c r="M230" s="249">
        <v>546535</v>
      </c>
      <c r="N230" s="249">
        <v>571675.61</v>
      </c>
    </row>
    <row r="231" spans="1:14" x14ac:dyDescent="0.25">
      <c r="A231" t="s">
        <v>405</v>
      </c>
      <c r="C231" t="s">
        <v>247</v>
      </c>
      <c r="D231" s="67">
        <v>53287</v>
      </c>
      <c r="E231">
        <v>0</v>
      </c>
      <c r="F231">
        <v>0</v>
      </c>
      <c r="G231">
        <v>0</v>
      </c>
      <c r="H231">
        <v>53287</v>
      </c>
      <c r="I231">
        <v>0</v>
      </c>
      <c r="J231">
        <v>0</v>
      </c>
      <c r="K231" s="249">
        <v>53287</v>
      </c>
      <c r="L231" s="249">
        <v>55684.915000000001</v>
      </c>
      <c r="M231" s="249">
        <v>58246.421090000003</v>
      </c>
      <c r="N231" s="249">
        <v>60925.756460140001</v>
      </c>
    </row>
    <row r="232" spans="1:14" x14ac:dyDescent="0.25">
      <c r="A232" t="s">
        <v>406</v>
      </c>
      <c r="C232" t="s">
        <v>261</v>
      </c>
      <c r="D232" s="67">
        <v>1049400</v>
      </c>
      <c r="E232">
        <v>0</v>
      </c>
      <c r="F232">
        <v>0</v>
      </c>
      <c r="G232">
        <v>914865</v>
      </c>
      <c r="H232">
        <v>134535</v>
      </c>
      <c r="I232">
        <v>87.179817038307604</v>
      </c>
      <c r="J232">
        <v>0</v>
      </c>
      <c r="K232" s="249">
        <v>1049400</v>
      </c>
      <c r="L232" s="249">
        <v>1096623</v>
      </c>
      <c r="M232" s="249">
        <v>1147067.6580000001</v>
      </c>
      <c r="N232" s="249">
        <v>1199832.770268</v>
      </c>
    </row>
    <row r="233" spans="1:14" x14ac:dyDescent="0.25">
      <c r="A233" t="s">
        <v>407</v>
      </c>
      <c r="C233" t="s">
        <v>261</v>
      </c>
      <c r="D233" s="67">
        <v>7553</v>
      </c>
      <c r="E233">
        <v>0</v>
      </c>
      <c r="F233">
        <v>0</v>
      </c>
      <c r="G233">
        <v>5868.7</v>
      </c>
      <c r="H233">
        <v>1684.3000000000002</v>
      </c>
      <c r="I233">
        <v>77.700251555673233</v>
      </c>
      <c r="J233">
        <v>0</v>
      </c>
      <c r="K233" s="249">
        <v>7553</v>
      </c>
      <c r="L233" s="249">
        <v>7892.8850000000002</v>
      </c>
      <c r="M233" s="249">
        <v>8255.9577100000006</v>
      </c>
      <c r="N233" s="249">
        <v>8635.7317646600004</v>
      </c>
    </row>
    <row r="234" spans="1:14" x14ac:dyDescent="0.25">
      <c r="A234" t="s">
        <v>408</v>
      </c>
      <c r="B234" t="s">
        <v>1372</v>
      </c>
      <c r="C234" t="s">
        <v>263</v>
      </c>
      <c r="D234" s="67">
        <v>689000</v>
      </c>
      <c r="E234">
        <v>0</v>
      </c>
      <c r="F234">
        <v>15033.18</v>
      </c>
      <c r="G234">
        <v>337514.89</v>
      </c>
      <c r="H234">
        <v>351485.11</v>
      </c>
      <c r="I234">
        <v>48.986195936139332</v>
      </c>
      <c r="J234">
        <v>50000</v>
      </c>
      <c r="K234" s="249">
        <v>739000</v>
      </c>
      <c r="L234" s="249">
        <v>772255</v>
      </c>
      <c r="M234" s="249">
        <v>807778.73</v>
      </c>
      <c r="N234" s="249">
        <v>844936.55157999997</v>
      </c>
    </row>
    <row r="235" spans="1:14" x14ac:dyDescent="0.25">
      <c r="A235" t="s">
        <v>3074</v>
      </c>
      <c r="C235" t="s">
        <v>3039</v>
      </c>
      <c r="L235" s="249">
        <v>213511.26500000001</v>
      </c>
      <c r="M235" s="249">
        <v>223332.78319000002</v>
      </c>
      <c r="N235" s="249">
        <v>233606.09121674002</v>
      </c>
    </row>
    <row r="236" spans="1:14" x14ac:dyDescent="0.25">
      <c r="A236" t="s">
        <v>409</v>
      </c>
      <c r="C236" t="s">
        <v>265</v>
      </c>
      <c r="D236" s="67">
        <v>164046</v>
      </c>
      <c r="E236">
        <v>1910.89</v>
      </c>
      <c r="F236">
        <v>0</v>
      </c>
      <c r="G236">
        <v>11043.15</v>
      </c>
      <c r="H236">
        <v>153002.85</v>
      </c>
      <c r="I236">
        <v>6.731739877839142</v>
      </c>
      <c r="J236">
        <v>-100000</v>
      </c>
      <c r="K236" s="249">
        <v>64046</v>
      </c>
      <c r="L236" s="249">
        <v>66928.070000000007</v>
      </c>
      <c r="M236" s="249">
        <v>70006.76122</v>
      </c>
      <c r="N236" s="249">
        <v>73227.072236120002</v>
      </c>
    </row>
    <row r="237" spans="1:14" x14ac:dyDescent="0.25">
      <c r="A237" t="s">
        <v>410</v>
      </c>
      <c r="C237" t="s">
        <v>268</v>
      </c>
      <c r="D237" s="67">
        <v>0</v>
      </c>
      <c r="E237">
        <v>6776.37</v>
      </c>
      <c r="F237">
        <v>0</v>
      </c>
      <c r="G237">
        <v>46729.41</v>
      </c>
      <c r="H237">
        <v>-46729.41</v>
      </c>
      <c r="I237">
        <v>0</v>
      </c>
      <c r="J237">
        <v>100000</v>
      </c>
      <c r="K237" s="249">
        <v>100000</v>
      </c>
      <c r="L237" s="249">
        <v>104500</v>
      </c>
      <c r="M237" s="249">
        <v>109307</v>
      </c>
      <c r="N237" s="249">
        <v>114335.122</v>
      </c>
    </row>
    <row r="238" spans="1:14" x14ac:dyDescent="0.25">
      <c r="A238" t="s">
        <v>411</v>
      </c>
      <c r="C238" t="s">
        <v>268</v>
      </c>
      <c r="D238" s="67">
        <v>105300</v>
      </c>
      <c r="E238">
        <v>716.53</v>
      </c>
      <c r="F238">
        <v>0</v>
      </c>
      <c r="G238">
        <v>23427.25</v>
      </c>
      <c r="H238">
        <v>81872.75</v>
      </c>
      <c r="I238">
        <v>22.248100664767332</v>
      </c>
      <c r="J238">
        <v>-30000</v>
      </c>
      <c r="K238" s="249">
        <v>75300</v>
      </c>
      <c r="L238" s="249">
        <v>78688.5</v>
      </c>
      <c r="M238" s="249">
        <v>82308.171000000002</v>
      </c>
      <c r="N238" s="249">
        <v>86094.346866000007</v>
      </c>
    </row>
    <row r="239" spans="1:14" x14ac:dyDescent="0.25">
      <c r="A239" t="s">
        <v>412</v>
      </c>
      <c r="C239" t="s">
        <v>269</v>
      </c>
      <c r="D239" s="67">
        <v>80000</v>
      </c>
      <c r="E239">
        <v>6500</v>
      </c>
      <c r="F239">
        <v>0</v>
      </c>
      <c r="G239">
        <v>39650</v>
      </c>
      <c r="H239">
        <v>40350</v>
      </c>
      <c r="I239">
        <v>49.5625</v>
      </c>
      <c r="J239">
        <v>0</v>
      </c>
      <c r="K239" s="249">
        <v>80000</v>
      </c>
      <c r="L239" s="249">
        <v>83600</v>
      </c>
      <c r="M239" s="249">
        <v>87445.6</v>
      </c>
      <c r="N239" s="249">
        <v>91468.097600000008</v>
      </c>
    </row>
    <row r="240" spans="1:14" x14ac:dyDescent="0.25">
      <c r="A240" t="s">
        <v>413</v>
      </c>
      <c r="C240" t="s">
        <v>269</v>
      </c>
      <c r="D240" s="67">
        <v>60000</v>
      </c>
      <c r="E240">
        <v>0</v>
      </c>
      <c r="F240">
        <v>6800</v>
      </c>
      <c r="G240">
        <v>40770.68</v>
      </c>
      <c r="H240">
        <v>19229.32</v>
      </c>
      <c r="I240">
        <v>67.951133333333331</v>
      </c>
      <c r="J240">
        <v>0</v>
      </c>
      <c r="K240" s="249">
        <v>60000</v>
      </c>
      <c r="L240" s="249">
        <v>62700</v>
      </c>
      <c r="M240" s="249">
        <v>65584.2</v>
      </c>
      <c r="N240" s="249">
        <v>68601.073199999999</v>
      </c>
    </row>
    <row r="242" spans="1:14" x14ac:dyDescent="0.25">
      <c r="C242" t="s">
        <v>274</v>
      </c>
      <c r="D242" s="67">
        <v>2872186</v>
      </c>
      <c r="E242">
        <v>15903.79</v>
      </c>
      <c r="F242">
        <v>45183.270000000004</v>
      </c>
      <c r="G242">
        <v>1914525.7499999995</v>
      </c>
      <c r="H242">
        <v>957660.24999999988</v>
      </c>
      <c r="I242">
        <v>66.657443146091495</v>
      </c>
      <c r="J242">
        <v>50000</v>
      </c>
      <c r="K242" s="249">
        <v>2922186</v>
      </c>
      <c r="L242" s="249">
        <v>3267195.6349999998</v>
      </c>
      <c r="M242" s="249">
        <v>3417486.6342100007</v>
      </c>
      <c r="N242" s="249">
        <v>3574691.0193836601</v>
      </c>
    </row>
    <row r="244" spans="1:14" x14ac:dyDescent="0.25">
      <c r="C244" t="s">
        <v>290</v>
      </c>
    </row>
    <row r="246" spans="1:14" x14ac:dyDescent="0.25">
      <c r="A246" t="s">
        <v>414</v>
      </c>
      <c r="C246" t="s">
        <v>292</v>
      </c>
      <c r="D246" s="67">
        <v>3371</v>
      </c>
      <c r="E246">
        <v>1549.14</v>
      </c>
      <c r="F246">
        <v>0</v>
      </c>
      <c r="G246">
        <v>4306.75</v>
      </c>
      <c r="H246">
        <v>-935.75</v>
      </c>
      <c r="I246">
        <v>127.75</v>
      </c>
      <c r="J246">
        <v>0</v>
      </c>
      <c r="K246" s="249">
        <v>3371</v>
      </c>
      <c r="L246" s="249">
        <v>3522.6950000000002</v>
      </c>
      <c r="M246" s="249">
        <v>3684.7389700000003</v>
      </c>
      <c r="N246" s="249">
        <v>3854.2369626200002</v>
      </c>
    </row>
    <row r="247" spans="1:14" x14ac:dyDescent="0.25">
      <c r="A247" t="s">
        <v>415</v>
      </c>
      <c r="C247" t="s">
        <v>293</v>
      </c>
      <c r="D247" s="67">
        <v>11148</v>
      </c>
      <c r="E247">
        <v>2594.58</v>
      </c>
      <c r="F247">
        <v>0</v>
      </c>
      <c r="G247">
        <v>5509.33</v>
      </c>
      <c r="H247">
        <v>5638.67</v>
      </c>
      <c r="I247">
        <v>49.41</v>
      </c>
      <c r="J247">
        <v>0</v>
      </c>
      <c r="K247" s="249">
        <v>11148</v>
      </c>
      <c r="L247" s="249">
        <v>11649.66</v>
      </c>
      <c r="M247" s="249">
        <v>12185.54436</v>
      </c>
      <c r="N247" s="249">
        <v>12746.07940056</v>
      </c>
    </row>
    <row r="249" spans="1:14" x14ac:dyDescent="0.25">
      <c r="C249" t="s">
        <v>304</v>
      </c>
      <c r="D249" s="67">
        <v>14519</v>
      </c>
      <c r="E249">
        <v>4143.72</v>
      </c>
      <c r="F249">
        <v>0</v>
      </c>
      <c r="G249">
        <v>9816.08</v>
      </c>
      <c r="H249">
        <v>4702.92</v>
      </c>
      <c r="I249">
        <v>67.599999999999994</v>
      </c>
      <c r="J249">
        <v>0</v>
      </c>
      <c r="K249" s="249">
        <v>14519</v>
      </c>
      <c r="L249" s="249">
        <v>15172.355</v>
      </c>
      <c r="M249" s="249">
        <v>15870.28333</v>
      </c>
      <c r="N249" s="249">
        <v>16600.316363180002</v>
      </c>
    </row>
    <row r="251" spans="1:14" x14ac:dyDescent="0.25">
      <c r="C251" t="s">
        <v>305</v>
      </c>
      <c r="D251" s="67">
        <v>8060601</v>
      </c>
      <c r="E251">
        <v>657775.75</v>
      </c>
      <c r="F251">
        <v>197359.27000000002</v>
      </c>
      <c r="G251">
        <v>4910291.8699999992</v>
      </c>
      <c r="H251">
        <v>3150309.13</v>
      </c>
      <c r="I251">
        <v>58.33</v>
      </c>
      <c r="J251">
        <v>393283.3599999994</v>
      </c>
      <c r="K251" s="249">
        <v>8453884.3599999994</v>
      </c>
      <c r="L251" s="249">
        <v>7256068.3275000006</v>
      </c>
      <c r="M251" s="249">
        <v>7661244.419745001</v>
      </c>
      <c r="N251" s="249">
        <v>8090056.3986758702</v>
      </c>
    </row>
    <row r="253" spans="1:14" x14ac:dyDescent="0.25">
      <c r="C253" t="s">
        <v>306</v>
      </c>
      <c r="D253" s="67">
        <v>7856284</v>
      </c>
      <c r="E253">
        <v>657775.75</v>
      </c>
      <c r="F253">
        <v>197359.27000000002</v>
      </c>
      <c r="G253">
        <v>4839769.5199999996</v>
      </c>
      <c r="H253">
        <v>3016514.48</v>
      </c>
      <c r="I253">
        <v>58.95</v>
      </c>
      <c r="J253">
        <v>393283.3599999994</v>
      </c>
      <c r="K253" s="249">
        <v>8249567.3599999994</v>
      </c>
      <c r="L253" s="249">
        <v>7042557.0625000009</v>
      </c>
      <c r="M253" s="249">
        <v>7437911.6365550011</v>
      </c>
      <c r="N253" s="249">
        <v>7856450.30745913</v>
      </c>
    </row>
    <row r="255" spans="1:14" x14ac:dyDescent="0.25">
      <c r="C255" t="s">
        <v>308</v>
      </c>
    </row>
    <row r="257" spans="1:14" x14ac:dyDescent="0.25">
      <c r="A257" t="s">
        <v>416</v>
      </c>
      <c r="C257" t="s">
        <v>417</v>
      </c>
      <c r="D257" s="67">
        <v>50000</v>
      </c>
      <c r="E257">
        <v>0</v>
      </c>
      <c r="F257">
        <v>0</v>
      </c>
      <c r="G257">
        <v>28720</v>
      </c>
      <c r="H257">
        <v>21280</v>
      </c>
      <c r="I257">
        <v>57.44</v>
      </c>
      <c r="J257">
        <v>-21280</v>
      </c>
      <c r="K257" s="249">
        <v>28720</v>
      </c>
      <c r="L257" s="249">
        <v>53000</v>
      </c>
      <c r="M257" s="249">
        <v>53000</v>
      </c>
      <c r="N257" s="249">
        <v>0</v>
      </c>
    </row>
    <row r="259" spans="1:14" x14ac:dyDescent="0.25">
      <c r="C259" t="s">
        <v>320</v>
      </c>
      <c r="D259" s="67">
        <v>50000</v>
      </c>
      <c r="E259">
        <v>0</v>
      </c>
      <c r="F259">
        <v>0</v>
      </c>
      <c r="G259">
        <v>28720</v>
      </c>
      <c r="H259">
        <v>21280</v>
      </c>
      <c r="I259">
        <v>57.44</v>
      </c>
      <c r="J259">
        <v>-21280</v>
      </c>
      <c r="K259" s="249">
        <v>28720</v>
      </c>
      <c r="L259" s="249">
        <v>53000</v>
      </c>
      <c r="M259" s="249">
        <v>53000</v>
      </c>
      <c r="N259" s="249">
        <v>0</v>
      </c>
    </row>
    <row r="261" spans="1:14" x14ac:dyDescent="0.25">
      <c r="C261" t="s">
        <v>418</v>
      </c>
    </row>
    <row r="263" spans="1:14" x14ac:dyDescent="0.25">
      <c r="C263" t="s">
        <v>96</v>
      </c>
    </row>
    <row r="264" spans="1:14" x14ac:dyDescent="0.25">
      <c r="C264" t="s">
        <v>97</v>
      </c>
    </row>
    <row r="265" spans="1:14" x14ac:dyDescent="0.25">
      <c r="C265" t="s">
        <v>148</v>
      </c>
    </row>
    <row r="266" spans="1:14" x14ac:dyDescent="0.25">
      <c r="C266" t="s">
        <v>149</v>
      </c>
    </row>
    <row r="268" spans="1:14" x14ac:dyDescent="0.25">
      <c r="A268" t="s">
        <v>419</v>
      </c>
      <c r="C268" t="s">
        <v>150</v>
      </c>
      <c r="D268" s="67">
        <v>921699</v>
      </c>
      <c r="E268">
        <v>85296.76</v>
      </c>
      <c r="F268">
        <v>0</v>
      </c>
      <c r="G268">
        <v>503290.41</v>
      </c>
      <c r="H268">
        <v>418408.59</v>
      </c>
      <c r="I268">
        <v>54.6</v>
      </c>
      <c r="J268">
        <v>0</v>
      </c>
      <c r="K268" s="249">
        <v>921699</v>
      </c>
      <c r="L268" s="249">
        <v>979305.1875</v>
      </c>
      <c r="M268" s="249">
        <v>1047856.550625</v>
      </c>
      <c r="N268" s="249">
        <v>1121206.5091687501</v>
      </c>
    </row>
    <row r="269" spans="1:14" x14ac:dyDescent="0.25">
      <c r="A269" t="s">
        <v>420</v>
      </c>
      <c r="C269" t="s">
        <v>151</v>
      </c>
      <c r="D269" s="67">
        <v>41388</v>
      </c>
      <c r="E269">
        <v>21167.72</v>
      </c>
      <c r="F269">
        <v>0</v>
      </c>
      <c r="G269">
        <v>103575.6</v>
      </c>
      <c r="H269">
        <v>-62187.6</v>
      </c>
      <c r="I269">
        <v>250.25</v>
      </c>
      <c r="J269">
        <v>-20220.28</v>
      </c>
      <c r="K269" s="249">
        <v>21167.72</v>
      </c>
      <c r="L269" s="249">
        <v>22490.702499999999</v>
      </c>
      <c r="M269" s="249">
        <v>24065.051674999999</v>
      </c>
      <c r="N269" s="249">
        <v>25749.605292249998</v>
      </c>
    </row>
    <row r="270" spans="1:14" x14ac:dyDescent="0.25">
      <c r="A270" t="s">
        <v>421</v>
      </c>
      <c r="C270" t="s">
        <v>152</v>
      </c>
      <c r="D270" s="67">
        <v>38100</v>
      </c>
      <c r="E270">
        <v>3172.75</v>
      </c>
      <c r="F270">
        <v>0</v>
      </c>
      <c r="G270">
        <v>19036.5</v>
      </c>
      <c r="H270">
        <v>19063.5</v>
      </c>
      <c r="I270">
        <v>49.96</v>
      </c>
      <c r="J270">
        <v>0</v>
      </c>
      <c r="K270" s="249">
        <v>38100</v>
      </c>
      <c r="L270" s="249">
        <v>40481.25</v>
      </c>
      <c r="M270" s="249">
        <v>43314.9375</v>
      </c>
      <c r="N270" s="249">
        <v>46346.983124999999</v>
      </c>
    </row>
    <row r="271" spans="1:14" x14ac:dyDescent="0.25">
      <c r="A271" t="s">
        <v>422</v>
      </c>
      <c r="C271" t="s">
        <v>153</v>
      </c>
      <c r="D271" s="67">
        <v>10893</v>
      </c>
      <c r="E271">
        <v>907.77</v>
      </c>
      <c r="F271">
        <v>0</v>
      </c>
      <c r="G271">
        <v>5446.62</v>
      </c>
      <c r="H271">
        <v>5446.38</v>
      </c>
      <c r="I271">
        <v>50</v>
      </c>
      <c r="J271">
        <v>0</v>
      </c>
      <c r="K271" s="249">
        <v>10893</v>
      </c>
      <c r="L271" s="249">
        <v>11573.8125</v>
      </c>
      <c r="M271" s="249">
        <v>12383.979375000001</v>
      </c>
      <c r="N271" s="249">
        <v>13250.857931250001</v>
      </c>
    </row>
    <row r="272" spans="1:14" x14ac:dyDescent="0.25">
      <c r="A272" t="s">
        <v>423</v>
      </c>
      <c r="C272" t="s">
        <v>155</v>
      </c>
      <c r="D272" s="67">
        <v>29391</v>
      </c>
      <c r="E272">
        <v>0</v>
      </c>
      <c r="F272">
        <v>0</v>
      </c>
      <c r="G272">
        <v>0</v>
      </c>
      <c r="H272">
        <v>29391</v>
      </c>
      <c r="I272">
        <v>0</v>
      </c>
      <c r="J272">
        <v>0</v>
      </c>
      <c r="K272" s="249">
        <v>29391</v>
      </c>
      <c r="L272" s="249">
        <v>31227.9375</v>
      </c>
      <c r="M272" s="249">
        <v>33413.893125000002</v>
      </c>
      <c r="N272" s="249">
        <v>35752.865643750003</v>
      </c>
    </row>
    <row r="273" spans="1:14" x14ac:dyDescent="0.25">
      <c r="A273" t="s">
        <v>424</v>
      </c>
      <c r="C273" t="s">
        <v>156</v>
      </c>
      <c r="D273" s="67">
        <v>153077</v>
      </c>
      <c r="E273">
        <v>13001.46</v>
      </c>
      <c r="F273">
        <v>0</v>
      </c>
      <c r="G273">
        <v>77094.720000000001</v>
      </c>
      <c r="H273">
        <v>75982.28</v>
      </c>
      <c r="I273">
        <v>50.36</v>
      </c>
      <c r="J273">
        <v>0</v>
      </c>
      <c r="K273" s="249">
        <v>153077</v>
      </c>
      <c r="L273" s="249">
        <v>162644.3125</v>
      </c>
      <c r="M273" s="249">
        <v>174029.41437499999</v>
      </c>
      <c r="N273" s="249">
        <v>186211.47338124999</v>
      </c>
    </row>
    <row r="274" spans="1:14" x14ac:dyDescent="0.25">
      <c r="A274" t="s">
        <v>425</v>
      </c>
      <c r="C274" t="s">
        <v>158</v>
      </c>
      <c r="D274" s="67">
        <v>12246</v>
      </c>
      <c r="E274">
        <v>0</v>
      </c>
      <c r="F274">
        <v>0</v>
      </c>
      <c r="G274">
        <v>0</v>
      </c>
      <c r="H274">
        <v>12246</v>
      </c>
      <c r="I274">
        <v>0</v>
      </c>
      <c r="J274">
        <v>-12246</v>
      </c>
      <c r="K274" s="249">
        <v>0</v>
      </c>
      <c r="L274" s="249">
        <v>0</v>
      </c>
      <c r="M274" s="249">
        <v>0</v>
      </c>
      <c r="N274" s="249">
        <v>0</v>
      </c>
    </row>
    <row r="275" spans="1:14" x14ac:dyDescent="0.25">
      <c r="A275" t="s">
        <v>426</v>
      </c>
      <c r="C275" t="s">
        <v>159</v>
      </c>
      <c r="D275" s="67">
        <v>73808</v>
      </c>
      <c r="E275">
        <v>0</v>
      </c>
      <c r="F275">
        <v>0</v>
      </c>
      <c r="G275">
        <v>0</v>
      </c>
      <c r="H275">
        <v>73808</v>
      </c>
      <c r="I275">
        <v>0</v>
      </c>
      <c r="J275">
        <v>17447</v>
      </c>
      <c r="K275" s="249">
        <v>91255</v>
      </c>
      <c r="L275" s="249">
        <v>96958.4375</v>
      </c>
      <c r="M275" s="249">
        <v>103745.528125</v>
      </c>
      <c r="N275" s="249">
        <v>111007.71509375</v>
      </c>
    </row>
    <row r="276" spans="1:14" x14ac:dyDescent="0.25">
      <c r="A276" t="s">
        <v>427</v>
      </c>
      <c r="C276" t="s">
        <v>164</v>
      </c>
      <c r="D276" s="67">
        <v>15692</v>
      </c>
      <c r="E276">
        <v>1307.7</v>
      </c>
      <c r="F276">
        <v>0</v>
      </c>
      <c r="G276">
        <v>7846.2</v>
      </c>
      <c r="H276">
        <v>7845.8</v>
      </c>
      <c r="I276">
        <v>50</v>
      </c>
      <c r="J276">
        <v>0</v>
      </c>
      <c r="K276" s="249">
        <v>15692</v>
      </c>
      <c r="L276" s="249">
        <v>16672.75</v>
      </c>
      <c r="M276" s="249">
        <v>17839.842499999999</v>
      </c>
      <c r="N276" s="249">
        <v>19088.631474999998</v>
      </c>
    </row>
    <row r="278" spans="1:14" x14ac:dyDescent="0.25">
      <c r="C278" t="s">
        <v>165</v>
      </c>
      <c r="D278" s="67">
        <v>1296294</v>
      </c>
      <c r="E278">
        <v>124854.15999999999</v>
      </c>
      <c r="F278">
        <v>0</v>
      </c>
      <c r="G278">
        <v>716290.04999999993</v>
      </c>
      <c r="H278">
        <v>580003.95000000007</v>
      </c>
      <c r="I278">
        <v>55.25</v>
      </c>
      <c r="J278">
        <v>-15019.280000000028</v>
      </c>
      <c r="K278" s="249">
        <v>1281274.72</v>
      </c>
      <c r="L278" s="249">
        <v>1361354.3900000001</v>
      </c>
      <c r="M278" s="249">
        <v>1456649.1973000001</v>
      </c>
      <c r="N278" s="249">
        <v>1558614.641111</v>
      </c>
    </row>
    <row r="280" spans="1:14" x14ac:dyDescent="0.25">
      <c r="C280" t="s">
        <v>166</v>
      </c>
    </row>
    <row r="282" spans="1:14" x14ac:dyDescent="0.25">
      <c r="A282" t="s">
        <v>428</v>
      </c>
      <c r="C282" t="s">
        <v>167</v>
      </c>
      <c r="D282" s="67">
        <v>225</v>
      </c>
      <c r="E282">
        <v>23.3</v>
      </c>
      <c r="F282">
        <v>0</v>
      </c>
      <c r="G282">
        <v>139.80000000000001</v>
      </c>
      <c r="H282">
        <v>85.2</v>
      </c>
      <c r="I282">
        <v>62.13</v>
      </c>
      <c r="J282">
        <v>0</v>
      </c>
      <c r="K282" s="249">
        <v>225</v>
      </c>
      <c r="L282" s="249">
        <v>239.0625</v>
      </c>
      <c r="M282" s="249">
        <v>255.796875</v>
      </c>
      <c r="N282" s="249">
        <v>273.70265625000002</v>
      </c>
    </row>
    <row r="283" spans="1:14" x14ac:dyDescent="0.25">
      <c r="A283" t="s">
        <v>429</v>
      </c>
      <c r="C283" t="s">
        <v>168</v>
      </c>
      <c r="D283" s="67">
        <v>107816</v>
      </c>
      <c r="E283">
        <v>8948.4</v>
      </c>
      <c r="F283">
        <v>0</v>
      </c>
      <c r="G283">
        <v>53690.400000000001</v>
      </c>
      <c r="H283">
        <v>54125.599999999999</v>
      </c>
      <c r="I283">
        <v>49.79</v>
      </c>
      <c r="J283">
        <v>0</v>
      </c>
      <c r="K283" s="249">
        <v>107816</v>
      </c>
      <c r="L283" s="249">
        <v>114554.5</v>
      </c>
      <c r="M283" s="249">
        <v>122573.315</v>
      </c>
      <c r="N283" s="249">
        <v>131153.44705000002</v>
      </c>
    </row>
    <row r="284" spans="1:14" x14ac:dyDescent="0.25">
      <c r="A284" t="s">
        <v>430</v>
      </c>
      <c r="C284" t="s">
        <v>169</v>
      </c>
      <c r="D284" s="67">
        <v>194854</v>
      </c>
      <c r="E284">
        <v>16282.23</v>
      </c>
      <c r="F284">
        <v>0</v>
      </c>
      <c r="G284">
        <v>96143.39</v>
      </c>
      <c r="H284">
        <v>98710.61</v>
      </c>
      <c r="I284">
        <v>49.34</v>
      </c>
      <c r="J284">
        <v>0</v>
      </c>
      <c r="K284" s="249">
        <v>194854</v>
      </c>
      <c r="L284" s="249">
        <v>207032.375</v>
      </c>
      <c r="M284" s="249">
        <v>221524.64124999999</v>
      </c>
      <c r="N284" s="249">
        <v>237031.36613749998</v>
      </c>
    </row>
    <row r="285" spans="1:14" x14ac:dyDescent="0.25">
      <c r="A285" t="s">
        <v>431</v>
      </c>
      <c r="C285" t="s">
        <v>170</v>
      </c>
      <c r="D285" s="67">
        <v>3570</v>
      </c>
      <c r="E285">
        <v>371.8</v>
      </c>
      <c r="F285">
        <v>0</v>
      </c>
      <c r="G285">
        <v>2230.8000000000002</v>
      </c>
      <c r="H285">
        <v>1339.2</v>
      </c>
      <c r="I285">
        <v>62.48</v>
      </c>
      <c r="J285">
        <v>0</v>
      </c>
      <c r="K285" s="249">
        <v>3570</v>
      </c>
      <c r="L285" s="249">
        <v>3793.125</v>
      </c>
      <c r="M285" s="249">
        <v>4058.6437500000002</v>
      </c>
      <c r="N285" s="249">
        <v>4342.7488125</v>
      </c>
    </row>
    <row r="287" spans="1:14" x14ac:dyDescent="0.25">
      <c r="C287" t="s">
        <v>171</v>
      </c>
      <c r="D287" s="67">
        <v>306465</v>
      </c>
      <c r="E287">
        <v>25625.73</v>
      </c>
      <c r="F287">
        <v>0</v>
      </c>
      <c r="G287">
        <v>152204.38999999998</v>
      </c>
      <c r="H287">
        <v>154260.61000000002</v>
      </c>
      <c r="I287">
        <v>49.66</v>
      </c>
      <c r="J287">
        <v>0</v>
      </c>
      <c r="K287" s="249">
        <v>306465</v>
      </c>
      <c r="L287" s="249">
        <v>325619.0625</v>
      </c>
      <c r="M287" s="249">
        <v>348412.39687499998</v>
      </c>
      <c r="N287" s="249">
        <v>372801.26465624996</v>
      </c>
    </row>
    <row r="289" spans="1:14" x14ac:dyDescent="0.25">
      <c r="C289" t="s">
        <v>172</v>
      </c>
    </row>
    <row r="291" spans="1:14" x14ac:dyDescent="0.25">
      <c r="A291" t="s">
        <v>432</v>
      </c>
      <c r="C291" t="s">
        <v>173</v>
      </c>
      <c r="D291" s="67">
        <v>3453</v>
      </c>
      <c r="E291">
        <v>0</v>
      </c>
      <c r="F291">
        <v>0</v>
      </c>
      <c r="G291">
        <v>0</v>
      </c>
      <c r="H291">
        <v>3453</v>
      </c>
      <c r="I291">
        <v>0</v>
      </c>
      <c r="J291">
        <v>0</v>
      </c>
      <c r="K291" s="249">
        <v>3453</v>
      </c>
      <c r="L291" s="249">
        <v>3668.8125</v>
      </c>
      <c r="M291" s="249">
        <v>3925.629375</v>
      </c>
      <c r="N291" s="249">
        <v>4200.4234312500002</v>
      </c>
    </row>
    <row r="292" spans="1:14" x14ac:dyDescent="0.25">
      <c r="A292" t="s">
        <v>433</v>
      </c>
      <c r="C292" t="s">
        <v>174</v>
      </c>
      <c r="D292" s="67">
        <v>1415</v>
      </c>
      <c r="E292">
        <v>0</v>
      </c>
      <c r="F292">
        <v>0</v>
      </c>
      <c r="G292">
        <v>0</v>
      </c>
      <c r="H292">
        <v>1415</v>
      </c>
      <c r="I292">
        <v>0</v>
      </c>
      <c r="J292">
        <v>0</v>
      </c>
      <c r="K292" s="249">
        <v>1415</v>
      </c>
      <c r="L292" s="249">
        <v>1503.4375</v>
      </c>
      <c r="M292" s="249">
        <v>1608.6781249999999</v>
      </c>
      <c r="N292" s="249">
        <v>1721.2855937499999</v>
      </c>
    </row>
    <row r="293" spans="1:14" x14ac:dyDescent="0.25">
      <c r="A293" t="s">
        <v>434</v>
      </c>
      <c r="C293" t="s">
        <v>175</v>
      </c>
      <c r="D293" s="67">
        <v>9596</v>
      </c>
      <c r="E293">
        <v>0</v>
      </c>
      <c r="F293">
        <v>0</v>
      </c>
      <c r="G293">
        <v>0</v>
      </c>
      <c r="H293">
        <v>9596</v>
      </c>
      <c r="I293">
        <v>0</v>
      </c>
      <c r="J293">
        <v>0</v>
      </c>
      <c r="K293" s="249">
        <v>9596</v>
      </c>
      <c r="L293" s="249">
        <v>10195.75</v>
      </c>
      <c r="M293" s="249">
        <v>10909.452499999999</v>
      </c>
      <c r="N293" s="249">
        <v>11673.114174999999</v>
      </c>
    </row>
    <row r="295" spans="1:14" x14ac:dyDescent="0.25">
      <c r="C295" t="s">
        <v>176</v>
      </c>
      <c r="D295" s="67">
        <v>14464</v>
      </c>
      <c r="E295">
        <v>0</v>
      </c>
      <c r="F295">
        <v>0</v>
      </c>
      <c r="G295">
        <v>0</v>
      </c>
      <c r="H295">
        <v>14464</v>
      </c>
      <c r="I295">
        <v>0</v>
      </c>
      <c r="J295">
        <v>0</v>
      </c>
      <c r="K295" s="249">
        <v>14464</v>
      </c>
      <c r="L295" s="249">
        <v>15368</v>
      </c>
      <c r="M295" s="249">
        <v>16443.759999999998</v>
      </c>
      <c r="N295" s="249">
        <v>17594.823199999999</v>
      </c>
    </row>
    <row r="297" spans="1:14" x14ac:dyDescent="0.25">
      <c r="C297" t="s">
        <v>177</v>
      </c>
      <c r="D297" s="67">
        <v>1617223</v>
      </c>
      <c r="E297">
        <v>150479.88999999998</v>
      </c>
      <c r="F297">
        <v>0</v>
      </c>
      <c r="G297">
        <v>868494.44</v>
      </c>
      <c r="H297">
        <v>748728.56</v>
      </c>
      <c r="I297">
        <v>53.7</v>
      </c>
      <c r="J297">
        <v>-15019.280000000028</v>
      </c>
      <c r="K297" s="249">
        <v>1602203.72</v>
      </c>
      <c r="L297" s="249">
        <v>1702341.4525000001</v>
      </c>
      <c r="M297" s="249">
        <v>1821505.3541750002</v>
      </c>
      <c r="N297" s="249">
        <v>1949010.7289672499</v>
      </c>
    </row>
    <row r="299" spans="1:14" x14ac:dyDescent="0.25">
      <c r="C299" t="s">
        <v>178</v>
      </c>
      <c r="D299" s="67">
        <v>1617223</v>
      </c>
      <c r="E299">
        <v>150479.88999999998</v>
      </c>
      <c r="F299">
        <v>0</v>
      </c>
      <c r="G299">
        <v>868494.44</v>
      </c>
      <c r="H299">
        <v>748728.56</v>
      </c>
      <c r="I299">
        <v>53.7</v>
      </c>
      <c r="J299">
        <v>-15019.280000000028</v>
      </c>
      <c r="K299" s="249">
        <v>1602203.72</v>
      </c>
      <c r="L299" s="249">
        <v>1702341.4525000001</v>
      </c>
      <c r="M299" s="249">
        <v>1821505.3541750002</v>
      </c>
      <c r="N299" s="249">
        <v>1949010.7289672499</v>
      </c>
    </row>
    <row r="301" spans="1:14" x14ac:dyDescent="0.25">
      <c r="C301" t="s">
        <v>208</v>
      </c>
    </row>
    <row r="302" spans="1:14" x14ac:dyDescent="0.25">
      <c r="C302" t="s">
        <v>209</v>
      </c>
    </row>
    <row r="303" spans="1:14" x14ac:dyDescent="0.25">
      <c r="C303" t="s">
        <v>228</v>
      </c>
    </row>
    <row r="305" spans="1:14" x14ac:dyDescent="0.25">
      <c r="A305" t="s">
        <v>435</v>
      </c>
      <c r="B305" t="s">
        <v>1364</v>
      </c>
      <c r="C305" t="s">
        <v>233</v>
      </c>
      <c r="D305" s="67">
        <v>84047</v>
      </c>
      <c r="E305">
        <v>0</v>
      </c>
      <c r="F305">
        <v>0</v>
      </c>
      <c r="G305">
        <v>28976.22</v>
      </c>
      <c r="H305">
        <v>55070.78</v>
      </c>
      <c r="I305">
        <v>34.47</v>
      </c>
      <c r="J305">
        <v>0</v>
      </c>
      <c r="K305" s="249">
        <v>84047</v>
      </c>
      <c r="L305" s="249">
        <v>87829.115000000005</v>
      </c>
      <c r="M305" s="249">
        <v>91869.254290000012</v>
      </c>
      <c r="N305" s="249">
        <v>96095.239987340014</v>
      </c>
    </row>
    <row r="306" spans="1:14" x14ac:dyDescent="0.25">
      <c r="A306" t="s">
        <v>436</v>
      </c>
      <c r="B306" t="s">
        <v>1365</v>
      </c>
      <c r="C306" t="s">
        <v>235</v>
      </c>
      <c r="D306" s="67">
        <v>400000</v>
      </c>
      <c r="E306">
        <v>195500</v>
      </c>
      <c r="F306">
        <v>0</v>
      </c>
      <c r="G306">
        <v>446611.24</v>
      </c>
      <c r="H306">
        <v>13388.76</v>
      </c>
      <c r="I306">
        <v>97.08</v>
      </c>
      <c r="J306">
        <v>60000.000000000116</v>
      </c>
      <c r="K306" s="249">
        <v>460000.00000000012</v>
      </c>
      <c r="L306" s="249">
        <v>800000</v>
      </c>
      <c r="M306" s="249">
        <v>836800</v>
      </c>
      <c r="N306" s="249">
        <v>875292.8</v>
      </c>
    </row>
    <row r="307" spans="1:14" x14ac:dyDescent="0.25">
      <c r="A307" t="s">
        <v>437</v>
      </c>
      <c r="B307" t="s">
        <v>1366</v>
      </c>
      <c r="C307" t="s">
        <v>235</v>
      </c>
      <c r="D307" s="67">
        <v>600000</v>
      </c>
      <c r="E307">
        <v>52764</v>
      </c>
      <c r="F307">
        <v>0</v>
      </c>
      <c r="G307">
        <v>347609.27</v>
      </c>
      <c r="H307">
        <v>192390.73</v>
      </c>
      <c r="I307">
        <v>64.37</v>
      </c>
      <c r="J307">
        <v>-60000.000000000116</v>
      </c>
      <c r="K307" s="249">
        <v>539999.99999999988</v>
      </c>
      <c r="L307" s="249">
        <v>700000</v>
      </c>
      <c r="M307" s="249">
        <v>732200</v>
      </c>
      <c r="N307" s="249">
        <v>765881.2</v>
      </c>
    </row>
    <row r="309" spans="1:14" x14ac:dyDescent="0.25">
      <c r="C309" t="s">
        <v>239</v>
      </c>
      <c r="D309" s="67">
        <v>1084047</v>
      </c>
      <c r="E309">
        <v>248264</v>
      </c>
      <c r="F309">
        <v>0</v>
      </c>
      <c r="G309">
        <v>823196.73</v>
      </c>
      <c r="H309">
        <v>260850.27000000002</v>
      </c>
      <c r="I309">
        <v>75.930000000000007</v>
      </c>
      <c r="J309">
        <v>0</v>
      </c>
      <c r="K309" s="249">
        <v>1084047</v>
      </c>
      <c r="L309" s="249">
        <v>1587829.115</v>
      </c>
      <c r="M309" s="249">
        <v>1660869.2542900001</v>
      </c>
      <c r="N309" s="249">
        <v>1737269.2399873401</v>
      </c>
    </row>
    <row r="311" spans="1:14" x14ac:dyDescent="0.25">
      <c r="C311" t="s">
        <v>240</v>
      </c>
      <c r="D311" s="67">
        <v>1084047</v>
      </c>
      <c r="E311">
        <v>248264</v>
      </c>
      <c r="F311">
        <v>0</v>
      </c>
      <c r="G311">
        <v>823196.73</v>
      </c>
      <c r="H311">
        <v>260850.27000000002</v>
      </c>
      <c r="I311">
        <v>75.930000000000007</v>
      </c>
      <c r="J311">
        <v>0</v>
      </c>
      <c r="K311" s="249">
        <v>1084047</v>
      </c>
      <c r="L311" s="249">
        <v>1587829.115</v>
      </c>
      <c r="M311" s="249">
        <v>1660869.2542900001</v>
      </c>
      <c r="N311" s="249">
        <v>1737269.2399873401</v>
      </c>
    </row>
    <row r="313" spans="1:14" x14ac:dyDescent="0.25">
      <c r="C313" t="s">
        <v>241</v>
      </c>
    </row>
    <row r="315" spans="1:14" x14ac:dyDescent="0.25">
      <c r="A315" t="s">
        <v>438</v>
      </c>
      <c r="C315" t="s">
        <v>249</v>
      </c>
      <c r="D315" s="67">
        <v>1497385</v>
      </c>
      <c r="E315">
        <v>1877.85</v>
      </c>
      <c r="F315">
        <v>0</v>
      </c>
      <c r="G315">
        <v>747953.79</v>
      </c>
      <c r="H315">
        <v>749431.21</v>
      </c>
      <c r="I315">
        <v>49.95</v>
      </c>
      <c r="J315">
        <v>200000</v>
      </c>
      <c r="K315" s="249">
        <v>1697385</v>
      </c>
      <c r="L315" s="249">
        <v>1700000</v>
      </c>
      <c r="M315" s="249">
        <v>1778200</v>
      </c>
      <c r="N315" s="249">
        <v>1859997.2</v>
      </c>
    </row>
    <row r="316" spans="1:14" x14ac:dyDescent="0.25">
      <c r="A316" t="s">
        <v>439</v>
      </c>
      <c r="C316" t="s">
        <v>265</v>
      </c>
      <c r="D316" s="67">
        <v>0</v>
      </c>
      <c r="E316">
        <v>1248.05</v>
      </c>
      <c r="F316">
        <v>0</v>
      </c>
      <c r="G316">
        <v>7193.06</v>
      </c>
      <c r="H316">
        <v>-7193.06</v>
      </c>
      <c r="I316">
        <v>0</v>
      </c>
      <c r="J316">
        <v>15000</v>
      </c>
      <c r="K316" s="249">
        <v>15000</v>
      </c>
      <c r="L316" s="249">
        <v>15675</v>
      </c>
      <c r="M316" s="249">
        <v>16396.05</v>
      </c>
      <c r="N316" s="249">
        <v>17150.2683</v>
      </c>
    </row>
    <row r="317" spans="1:14" x14ac:dyDescent="0.25">
      <c r="A317" t="s">
        <v>440</v>
      </c>
      <c r="C317" t="s">
        <v>268</v>
      </c>
      <c r="D317" s="67">
        <v>0</v>
      </c>
      <c r="E317">
        <v>0</v>
      </c>
      <c r="F317">
        <v>0</v>
      </c>
      <c r="G317">
        <v>14967.14</v>
      </c>
      <c r="H317">
        <v>-14967.14</v>
      </c>
      <c r="I317">
        <v>0</v>
      </c>
      <c r="J317">
        <v>35000</v>
      </c>
      <c r="K317" s="249">
        <v>35000</v>
      </c>
      <c r="L317" s="249">
        <v>36575</v>
      </c>
      <c r="M317" s="249">
        <v>38257.449999999997</v>
      </c>
      <c r="N317" s="249">
        <v>40017.292699999998</v>
      </c>
    </row>
    <row r="319" spans="1:14" x14ac:dyDescent="0.25">
      <c r="C319" t="s">
        <v>274</v>
      </c>
      <c r="D319" s="67">
        <v>1497385</v>
      </c>
      <c r="E319">
        <v>3125.8999999999996</v>
      </c>
      <c r="F319">
        <v>0</v>
      </c>
      <c r="G319">
        <v>770113.99000000011</v>
      </c>
      <c r="H319">
        <v>727271.00999999989</v>
      </c>
      <c r="I319">
        <v>51.43</v>
      </c>
      <c r="J319">
        <v>250000</v>
      </c>
      <c r="K319" s="249">
        <v>1747385</v>
      </c>
      <c r="L319" s="249">
        <v>1752250</v>
      </c>
      <c r="M319" s="249">
        <v>1832853.5</v>
      </c>
      <c r="N319" s="249">
        <v>1917164.7610000002</v>
      </c>
    </row>
    <row r="321" spans="1:14" x14ac:dyDescent="0.25">
      <c r="C321" t="s">
        <v>290</v>
      </c>
    </row>
    <row r="323" spans="1:14" x14ac:dyDescent="0.25">
      <c r="A323" t="s">
        <v>441</v>
      </c>
      <c r="C323" t="s">
        <v>291</v>
      </c>
      <c r="D323" s="67">
        <v>3371</v>
      </c>
      <c r="E323">
        <v>9285.52</v>
      </c>
      <c r="F323">
        <v>0</v>
      </c>
      <c r="G323">
        <v>25943.09</v>
      </c>
      <c r="H323">
        <v>-22572.09</v>
      </c>
      <c r="I323">
        <v>769.59</v>
      </c>
      <c r="J323">
        <v>0</v>
      </c>
      <c r="K323" s="249">
        <v>3371</v>
      </c>
      <c r="L323" s="249">
        <v>3522.6950000000002</v>
      </c>
      <c r="M323" s="249">
        <v>3684.7389700000003</v>
      </c>
      <c r="N323" s="249">
        <v>3854.2369626200002</v>
      </c>
    </row>
    <row r="324" spans="1:14" x14ac:dyDescent="0.25">
      <c r="A324" t="s">
        <v>442</v>
      </c>
      <c r="C324" t="s">
        <v>292</v>
      </c>
      <c r="D324" s="67">
        <v>92300</v>
      </c>
      <c r="E324">
        <v>50623.56</v>
      </c>
      <c r="F324">
        <v>0</v>
      </c>
      <c r="G324">
        <v>134807.10999999999</v>
      </c>
      <c r="H324">
        <v>-42507.11</v>
      </c>
      <c r="I324">
        <v>146.05000000000001</v>
      </c>
      <c r="J324">
        <v>0</v>
      </c>
      <c r="K324" s="249">
        <v>92300</v>
      </c>
      <c r="L324" s="249">
        <v>96453.5</v>
      </c>
      <c r="M324" s="249">
        <v>100890.361</v>
      </c>
      <c r="N324" s="249">
        <v>105531.317606</v>
      </c>
    </row>
    <row r="325" spans="1:14" x14ac:dyDescent="0.25">
      <c r="A325" t="s">
        <v>443</v>
      </c>
      <c r="C325" t="s">
        <v>293</v>
      </c>
      <c r="D325" s="67">
        <v>438975</v>
      </c>
      <c r="E325">
        <v>131600.20000000001</v>
      </c>
      <c r="F325">
        <v>0</v>
      </c>
      <c r="G325">
        <v>263250.40000000002</v>
      </c>
      <c r="H325">
        <v>175724.6</v>
      </c>
      <c r="I325">
        <v>59.96</v>
      </c>
      <c r="J325">
        <v>0</v>
      </c>
      <c r="K325" s="249">
        <v>438975</v>
      </c>
      <c r="L325" s="249">
        <v>458728.875</v>
      </c>
      <c r="M325" s="249">
        <v>479830.40324999997</v>
      </c>
      <c r="N325" s="249">
        <v>501902.60179949994</v>
      </c>
    </row>
    <row r="327" spans="1:14" x14ac:dyDescent="0.25">
      <c r="C327" t="s">
        <v>304</v>
      </c>
      <c r="D327" s="67">
        <v>534646</v>
      </c>
      <c r="E327">
        <v>191509.28000000003</v>
      </c>
      <c r="F327">
        <v>0</v>
      </c>
      <c r="G327">
        <v>424000.6</v>
      </c>
      <c r="H327">
        <v>110645.40000000001</v>
      </c>
      <c r="I327">
        <v>79.3</v>
      </c>
      <c r="J327">
        <v>0</v>
      </c>
      <c r="K327" s="249">
        <v>534646</v>
      </c>
      <c r="L327" s="249">
        <v>558705.07000000007</v>
      </c>
      <c r="M327" s="249">
        <v>584405.50321999996</v>
      </c>
      <c r="N327" s="249">
        <v>611288.15636811987</v>
      </c>
    </row>
    <row r="329" spans="1:14" x14ac:dyDescent="0.25">
      <c r="C329" t="s">
        <v>305</v>
      </c>
      <c r="D329" s="67">
        <v>4733301</v>
      </c>
      <c r="E329">
        <v>593379.07000000007</v>
      </c>
      <c r="F329">
        <v>0</v>
      </c>
      <c r="G329">
        <v>2885805.7600000002</v>
      </c>
      <c r="H329">
        <v>1847495.2399999998</v>
      </c>
      <c r="I329">
        <v>60.96</v>
      </c>
      <c r="J329">
        <v>234980.71999999974</v>
      </c>
      <c r="K329" s="249">
        <v>4968281.72</v>
      </c>
      <c r="L329" s="249">
        <v>5601125.6375000002</v>
      </c>
      <c r="M329" s="249">
        <v>5899633.6116850004</v>
      </c>
      <c r="N329" s="249">
        <v>6214732.8863227097</v>
      </c>
    </row>
    <row r="331" spans="1:14" x14ac:dyDescent="0.25">
      <c r="C331" t="s">
        <v>306</v>
      </c>
      <c r="D331" s="67">
        <v>4733301</v>
      </c>
      <c r="E331">
        <v>593379.07000000007</v>
      </c>
      <c r="F331">
        <v>0</v>
      </c>
      <c r="G331">
        <v>2885805.7600000002</v>
      </c>
      <c r="H331">
        <v>1847495.2399999998</v>
      </c>
      <c r="I331">
        <v>60.96</v>
      </c>
      <c r="J331">
        <v>234980.71999999974</v>
      </c>
      <c r="K331" s="249">
        <v>4968281.72</v>
      </c>
      <c r="L331" s="249">
        <v>5601125.6375000002</v>
      </c>
      <c r="M331" s="249">
        <v>5899633.6116850004</v>
      </c>
      <c r="N331" s="249">
        <v>6214732.8863227097</v>
      </c>
    </row>
    <row r="333" spans="1:14" x14ac:dyDescent="0.25">
      <c r="C333" t="s">
        <v>308</v>
      </c>
    </row>
    <row r="335" spans="1:14" x14ac:dyDescent="0.25">
      <c r="A335" t="s">
        <v>444</v>
      </c>
      <c r="C335" t="s">
        <v>445</v>
      </c>
      <c r="D335" s="67">
        <v>600000</v>
      </c>
      <c r="E335">
        <v>0</v>
      </c>
      <c r="F335">
        <v>0</v>
      </c>
      <c r="G335">
        <v>79951.679999999993</v>
      </c>
      <c r="H335">
        <v>520048.32</v>
      </c>
      <c r="I335">
        <v>13.32</v>
      </c>
      <c r="J335">
        <v>0</v>
      </c>
      <c r="K335" s="249">
        <v>600000</v>
      </c>
      <c r="L335" s="249">
        <v>0</v>
      </c>
      <c r="M335" s="249">
        <v>0</v>
      </c>
      <c r="N335" s="249">
        <v>0</v>
      </c>
    </row>
    <row r="336" spans="1:14" x14ac:dyDescent="0.25">
      <c r="A336" t="s">
        <v>3075</v>
      </c>
      <c r="C336" t="s">
        <v>1367</v>
      </c>
      <c r="D336" s="67">
        <v>0</v>
      </c>
      <c r="E336">
        <v>0</v>
      </c>
      <c r="F336">
        <v>0</v>
      </c>
      <c r="G336">
        <v>0</v>
      </c>
      <c r="H336">
        <v>0</v>
      </c>
      <c r="K336" s="249">
        <v>0</v>
      </c>
      <c r="L336" s="249">
        <v>2000000</v>
      </c>
      <c r="M336" s="249">
        <v>500000</v>
      </c>
      <c r="N336" s="249">
        <v>500000</v>
      </c>
    </row>
    <row r="337" spans="1:14" x14ac:dyDescent="0.25">
      <c r="A337" t="s">
        <v>446</v>
      </c>
      <c r="C337" t="s">
        <v>3033</v>
      </c>
      <c r="D337" s="67">
        <v>1100000</v>
      </c>
      <c r="E337">
        <v>196880</v>
      </c>
      <c r="F337">
        <v>0</v>
      </c>
      <c r="G337">
        <v>567480</v>
      </c>
      <c r="H337">
        <v>532520</v>
      </c>
      <c r="I337">
        <v>51.58</v>
      </c>
      <c r="J337">
        <v>0</v>
      </c>
      <c r="K337" s="249">
        <v>1100000</v>
      </c>
      <c r="L337" s="249">
        <v>600000</v>
      </c>
      <c r="M337" s="249">
        <v>636000</v>
      </c>
      <c r="N337" s="249">
        <v>674160</v>
      </c>
    </row>
    <row r="339" spans="1:14" x14ac:dyDescent="0.25">
      <c r="C339" t="s">
        <v>320</v>
      </c>
      <c r="D339" s="67">
        <v>1700000</v>
      </c>
      <c r="E339">
        <v>196880</v>
      </c>
      <c r="F339">
        <v>0</v>
      </c>
      <c r="G339">
        <v>647431.67999999993</v>
      </c>
      <c r="H339">
        <v>1052568.32</v>
      </c>
      <c r="I339">
        <v>38.084216470588231</v>
      </c>
      <c r="J339">
        <v>0</v>
      </c>
      <c r="K339" s="249">
        <v>1700000</v>
      </c>
      <c r="L339" s="249">
        <v>2600000</v>
      </c>
      <c r="M339" s="249">
        <v>1136000</v>
      </c>
      <c r="N339" s="249">
        <v>1174160</v>
      </c>
    </row>
    <row r="341" spans="1:14" x14ac:dyDescent="0.25">
      <c r="C341" t="s">
        <v>448</v>
      </c>
    </row>
    <row r="342" spans="1:14" x14ac:dyDescent="0.25">
      <c r="C342" t="s">
        <v>96</v>
      </c>
    </row>
    <row r="343" spans="1:14" x14ac:dyDescent="0.25">
      <c r="C343" t="s">
        <v>97</v>
      </c>
    </row>
    <row r="344" spans="1:14" x14ac:dyDescent="0.25">
      <c r="C344" t="s">
        <v>148</v>
      </c>
    </row>
    <row r="345" spans="1:14" x14ac:dyDescent="0.25">
      <c r="C345" t="s">
        <v>149</v>
      </c>
    </row>
    <row r="347" spans="1:14" x14ac:dyDescent="0.25">
      <c r="A347" t="s">
        <v>449</v>
      </c>
      <c r="C347" t="s">
        <v>150</v>
      </c>
      <c r="D347" s="67">
        <v>1238187</v>
      </c>
      <c r="E347">
        <v>102521.85</v>
      </c>
      <c r="F347">
        <v>0</v>
      </c>
      <c r="G347">
        <v>626003.01</v>
      </c>
      <c r="H347">
        <v>612183.99</v>
      </c>
      <c r="I347">
        <v>50.55</v>
      </c>
      <c r="J347">
        <v>0</v>
      </c>
      <c r="K347" s="249">
        <v>1238187</v>
      </c>
      <c r="L347" s="249">
        <v>1315573.6875</v>
      </c>
      <c r="M347" s="249">
        <v>1407663.8456250001</v>
      </c>
      <c r="N347" s="249">
        <v>1506200.3148187501</v>
      </c>
    </row>
    <row r="348" spans="1:14" x14ac:dyDescent="0.25">
      <c r="A348" t="s">
        <v>450</v>
      </c>
      <c r="C348" t="s">
        <v>151</v>
      </c>
      <c r="D348" s="67">
        <v>56405</v>
      </c>
      <c r="E348">
        <v>25401.27</v>
      </c>
      <c r="F348">
        <v>0</v>
      </c>
      <c r="G348">
        <v>102844.51</v>
      </c>
      <c r="H348">
        <v>-46439.51</v>
      </c>
      <c r="I348">
        <v>182.33</v>
      </c>
      <c r="J348">
        <v>-31003.73000000001</v>
      </c>
      <c r="K348" s="249">
        <v>25401.26999999999</v>
      </c>
      <c r="L348" s="249">
        <v>26988.849374999991</v>
      </c>
      <c r="M348" s="249">
        <v>28878.068831249991</v>
      </c>
      <c r="N348" s="249">
        <v>30899.53364943749</v>
      </c>
    </row>
    <row r="349" spans="1:14" x14ac:dyDescent="0.25">
      <c r="A349" t="s">
        <v>451</v>
      </c>
      <c r="C349" t="s">
        <v>152</v>
      </c>
      <c r="D349" s="67">
        <v>52200</v>
      </c>
      <c r="E349">
        <v>4346.09</v>
      </c>
      <c r="F349">
        <v>0</v>
      </c>
      <c r="G349">
        <v>26076.54</v>
      </c>
      <c r="H349">
        <v>26123.46</v>
      </c>
      <c r="I349">
        <v>49.95</v>
      </c>
      <c r="J349">
        <v>0</v>
      </c>
      <c r="K349" s="249">
        <v>52200</v>
      </c>
      <c r="L349" s="249">
        <v>55462.5</v>
      </c>
      <c r="M349" s="249">
        <v>59344.875</v>
      </c>
      <c r="N349" s="249">
        <v>63499.016250000001</v>
      </c>
    </row>
    <row r="350" spans="1:14" x14ac:dyDescent="0.25">
      <c r="A350" t="s">
        <v>452</v>
      </c>
      <c r="C350" t="s">
        <v>153</v>
      </c>
      <c r="D350" s="67">
        <v>10893</v>
      </c>
      <c r="E350">
        <v>0</v>
      </c>
      <c r="F350">
        <v>0</v>
      </c>
      <c r="G350">
        <v>0</v>
      </c>
      <c r="H350">
        <v>10893</v>
      </c>
      <c r="I350">
        <v>0</v>
      </c>
      <c r="J350">
        <v>0</v>
      </c>
      <c r="K350" s="249">
        <v>10893</v>
      </c>
      <c r="L350" s="249">
        <v>11573.8125</v>
      </c>
      <c r="M350" s="249">
        <v>12383.979375000001</v>
      </c>
      <c r="N350" s="249">
        <v>13250.857931250001</v>
      </c>
    </row>
    <row r="351" spans="1:14" x14ac:dyDescent="0.25">
      <c r="A351" t="s">
        <v>453</v>
      </c>
      <c r="C351" t="s">
        <v>155</v>
      </c>
      <c r="D351" s="67">
        <v>40056</v>
      </c>
      <c r="E351">
        <v>0</v>
      </c>
      <c r="F351">
        <v>0</v>
      </c>
      <c r="G351">
        <v>0</v>
      </c>
      <c r="H351">
        <v>40056</v>
      </c>
      <c r="I351">
        <v>0</v>
      </c>
      <c r="J351">
        <v>0</v>
      </c>
      <c r="K351" s="249">
        <v>40056</v>
      </c>
      <c r="L351" s="249">
        <v>42559.5</v>
      </c>
      <c r="M351" s="249">
        <v>45538.665000000001</v>
      </c>
      <c r="N351" s="249">
        <v>48726.371550000003</v>
      </c>
    </row>
    <row r="352" spans="1:14" x14ac:dyDescent="0.25">
      <c r="A352" t="s">
        <v>454</v>
      </c>
      <c r="C352" t="s">
        <v>156</v>
      </c>
      <c r="D352" s="67">
        <v>300547</v>
      </c>
      <c r="E352">
        <v>25276.16</v>
      </c>
      <c r="F352">
        <v>0</v>
      </c>
      <c r="G352">
        <v>150624.94</v>
      </c>
      <c r="H352">
        <v>149922.06</v>
      </c>
      <c r="I352">
        <v>50.11</v>
      </c>
      <c r="J352">
        <v>0</v>
      </c>
      <c r="K352" s="249">
        <v>300547</v>
      </c>
      <c r="L352" s="249">
        <v>319331.1875</v>
      </c>
      <c r="M352" s="249">
        <v>341684.37062499998</v>
      </c>
      <c r="N352" s="249">
        <v>365602.27656874998</v>
      </c>
    </row>
    <row r="353" spans="1:14" x14ac:dyDescent="0.25">
      <c r="A353" t="s">
        <v>455</v>
      </c>
      <c r="C353" t="s">
        <v>158</v>
      </c>
      <c r="D353" s="67">
        <v>11405</v>
      </c>
      <c r="E353">
        <v>0</v>
      </c>
      <c r="F353">
        <v>0</v>
      </c>
      <c r="G353">
        <v>0</v>
      </c>
      <c r="H353">
        <v>11405</v>
      </c>
      <c r="I353">
        <v>0</v>
      </c>
      <c r="J353">
        <v>0</v>
      </c>
      <c r="K353" s="249">
        <v>11405</v>
      </c>
      <c r="L353" s="249">
        <v>12117.8125</v>
      </c>
      <c r="M353" s="249">
        <v>12966.059375000001</v>
      </c>
      <c r="N353" s="249">
        <v>13873.683531250001</v>
      </c>
    </row>
    <row r="354" spans="1:14" x14ac:dyDescent="0.25">
      <c r="A354" t="s">
        <v>456</v>
      </c>
      <c r="C354" t="s">
        <v>159</v>
      </c>
      <c r="D354" s="67">
        <v>100182</v>
      </c>
      <c r="E354">
        <v>0</v>
      </c>
      <c r="F354">
        <v>0</v>
      </c>
      <c r="G354">
        <v>0</v>
      </c>
      <c r="H354">
        <v>100182</v>
      </c>
      <c r="I354">
        <v>0</v>
      </c>
      <c r="J354">
        <v>0</v>
      </c>
      <c r="K354" s="249">
        <v>100182</v>
      </c>
      <c r="L354" s="249">
        <v>106443.375</v>
      </c>
      <c r="M354" s="249">
        <v>113894.41125</v>
      </c>
      <c r="N354" s="249">
        <v>121867.0200375</v>
      </c>
    </row>
    <row r="355" spans="1:14" x14ac:dyDescent="0.25">
      <c r="A355" t="s">
        <v>457</v>
      </c>
      <c r="C355" t="s">
        <v>161</v>
      </c>
      <c r="D355" s="67">
        <v>24284</v>
      </c>
      <c r="E355">
        <v>0</v>
      </c>
      <c r="F355">
        <v>0</v>
      </c>
      <c r="G355">
        <v>0</v>
      </c>
      <c r="H355">
        <v>24284</v>
      </c>
      <c r="I355">
        <v>0</v>
      </c>
      <c r="J355">
        <v>0</v>
      </c>
      <c r="K355" s="249">
        <v>24284</v>
      </c>
      <c r="L355" s="249">
        <v>25801.75</v>
      </c>
      <c r="M355" s="249">
        <v>27607.872500000001</v>
      </c>
      <c r="N355" s="249">
        <v>29540.423575000001</v>
      </c>
    </row>
    <row r="356" spans="1:14" x14ac:dyDescent="0.25">
      <c r="A356" t="s">
        <v>458</v>
      </c>
      <c r="C356" t="s">
        <v>164</v>
      </c>
      <c r="D356" s="67">
        <v>15692</v>
      </c>
      <c r="E356">
        <v>1307.7</v>
      </c>
      <c r="F356">
        <v>0</v>
      </c>
      <c r="G356">
        <v>7846.2</v>
      </c>
      <c r="H356">
        <v>7845.8</v>
      </c>
      <c r="I356">
        <v>50</v>
      </c>
      <c r="J356">
        <v>0</v>
      </c>
      <c r="K356" s="249">
        <v>15692</v>
      </c>
      <c r="L356" s="249">
        <v>16672.75</v>
      </c>
      <c r="M356" s="249">
        <v>17839.842499999999</v>
      </c>
      <c r="N356" s="249">
        <v>19088.631474999998</v>
      </c>
    </row>
    <row r="358" spans="1:14" x14ac:dyDescent="0.25">
      <c r="C358" t="s">
        <v>165</v>
      </c>
      <c r="D358" s="67">
        <v>1849851</v>
      </c>
      <c r="E358">
        <v>158853.07000000004</v>
      </c>
      <c r="F358">
        <v>0</v>
      </c>
      <c r="G358">
        <v>913395.19999999995</v>
      </c>
      <c r="H358">
        <v>936455.8</v>
      </c>
      <c r="I358">
        <v>49.37</v>
      </c>
      <c r="J358">
        <v>-31003.729999999981</v>
      </c>
      <c r="K358" s="249">
        <v>1818847.27</v>
      </c>
      <c r="L358" s="249">
        <v>1932525.224375</v>
      </c>
      <c r="M358" s="249">
        <v>2067801.9900812504</v>
      </c>
      <c r="N358" s="249">
        <v>2212548.1293869382</v>
      </c>
    </row>
    <row r="360" spans="1:14" x14ac:dyDescent="0.25">
      <c r="C360" t="s">
        <v>166</v>
      </c>
    </row>
    <row r="362" spans="1:14" x14ac:dyDescent="0.25">
      <c r="A362" t="s">
        <v>459</v>
      </c>
      <c r="C362" t="s">
        <v>167</v>
      </c>
      <c r="D362" s="67">
        <v>337</v>
      </c>
      <c r="E362">
        <v>27.96</v>
      </c>
      <c r="F362">
        <v>0</v>
      </c>
      <c r="G362">
        <v>167.76</v>
      </c>
      <c r="H362">
        <v>169.24</v>
      </c>
      <c r="I362">
        <v>49.78</v>
      </c>
      <c r="J362">
        <v>0</v>
      </c>
      <c r="K362" s="249">
        <v>337</v>
      </c>
      <c r="L362" s="249">
        <v>358.0625</v>
      </c>
      <c r="M362" s="249">
        <v>383.12687499999998</v>
      </c>
      <c r="N362" s="249">
        <v>409.94575624999999</v>
      </c>
    </row>
    <row r="363" spans="1:14" x14ac:dyDescent="0.25">
      <c r="A363" t="s">
        <v>460</v>
      </c>
      <c r="C363" t="s">
        <v>168</v>
      </c>
      <c r="D363" s="67">
        <v>161725</v>
      </c>
      <c r="E363">
        <v>7625.4</v>
      </c>
      <c r="F363">
        <v>0</v>
      </c>
      <c r="G363">
        <v>45752.4</v>
      </c>
      <c r="H363">
        <v>115972.6</v>
      </c>
      <c r="I363">
        <v>28.29</v>
      </c>
      <c r="J363">
        <v>0</v>
      </c>
      <c r="K363" s="249">
        <v>161725</v>
      </c>
      <c r="L363" s="249">
        <v>171832.8125</v>
      </c>
      <c r="M363" s="249">
        <v>183861.109375</v>
      </c>
      <c r="N363" s="249">
        <v>196731.38703124999</v>
      </c>
    </row>
    <row r="364" spans="1:14" x14ac:dyDescent="0.25">
      <c r="A364" t="s">
        <v>461</v>
      </c>
      <c r="C364" t="s">
        <v>169</v>
      </c>
      <c r="D364" s="67">
        <v>264481</v>
      </c>
      <c r="E364">
        <v>20617.39</v>
      </c>
      <c r="F364">
        <v>0</v>
      </c>
      <c r="G364">
        <v>122932.35</v>
      </c>
      <c r="H364">
        <v>141548.65</v>
      </c>
      <c r="I364">
        <v>46.48</v>
      </c>
      <c r="J364">
        <v>0</v>
      </c>
      <c r="K364" s="249">
        <v>264481</v>
      </c>
      <c r="L364" s="249">
        <v>281011.0625</v>
      </c>
      <c r="M364" s="249">
        <v>300681.83687499998</v>
      </c>
      <c r="N364" s="249">
        <v>321729.56545624998</v>
      </c>
    </row>
    <row r="365" spans="1:14" x14ac:dyDescent="0.25">
      <c r="A365" t="s">
        <v>462</v>
      </c>
      <c r="C365" t="s">
        <v>170</v>
      </c>
      <c r="D365" s="67">
        <v>5355</v>
      </c>
      <c r="E365">
        <v>446.16</v>
      </c>
      <c r="F365">
        <v>0</v>
      </c>
      <c r="G365">
        <v>2826.96</v>
      </c>
      <c r="H365">
        <v>2528.04</v>
      </c>
      <c r="I365">
        <v>52.79</v>
      </c>
      <c r="J365">
        <v>0</v>
      </c>
      <c r="K365" s="249">
        <v>5355</v>
      </c>
      <c r="L365" s="249">
        <v>5689.6875</v>
      </c>
      <c r="M365" s="249">
        <v>6087.9656249999998</v>
      </c>
      <c r="N365" s="249">
        <v>6514.12321875</v>
      </c>
    </row>
    <row r="367" spans="1:14" x14ac:dyDescent="0.25">
      <c r="C367" t="s">
        <v>171</v>
      </c>
      <c r="D367" s="67">
        <v>431898</v>
      </c>
      <c r="E367">
        <v>28716.91</v>
      </c>
      <c r="F367">
        <v>0</v>
      </c>
      <c r="G367">
        <v>171679.47</v>
      </c>
      <c r="H367">
        <v>260218.53</v>
      </c>
      <c r="I367">
        <v>39.75</v>
      </c>
      <c r="J367">
        <v>0</v>
      </c>
      <c r="K367" s="249">
        <v>431898</v>
      </c>
      <c r="L367" s="249">
        <v>458891.625</v>
      </c>
      <c r="M367" s="249">
        <v>491014.03875000001</v>
      </c>
      <c r="N367" s="249">
        <v>525385.02146249998</v>
      </c>
    </row>
    <row r="369" spans="1:14" x14ac:dyDescent="0.25">
      <c r="C369" t="s">
        <v>172</v>
      </c>
    </row>
    <row r="371" spans="1:14" x14ac:dyDescent="0.25">
      <c r="A371" t="s">
        <v>463</v>
      </c>
      <c r="C371" t="s">
        <v>173</v>
      </c>
      <c r="D371" s="67">
        <v>16993</v>
      </c>
      <c r="E371">
        <v>0</v>
      </c>
      <c r="F371">
        <v>0</v>
      </c>
      <c r="G371">
        <v>0</v>
      </c>
      <c r="H371">
        <v>16993</v>
      </c>
      <c r="I371">
        <v>0</v>
      </c>
      <c r="J371">
        <v>0</v>
      </c>
      <c r="K371" s="249">
        <v>16993</v>
      </c>
      <c r="L371" s="249">
        <v>18055.0625</v>
      </c>
      <c r="M371" s="249">
        <v>19318.916874999999</v>
      </c>
      <c r="N371" s="249">
        <v>20671.241056250001</v>
      </c>
    </row>
    <row r="372" spans="1:14" x14ac:dyDescent="0.25">
      <c r="A372" t="s">
        <v>464</v>
      </c>
      <c r="C372" t="s">
        <v>174</v>
      </c>
      <c r="D372" s="67">
        <v>17974</v>
      </c>
      <c r="E372">
        <v>0</v>
      </c>
      <c r="F372">
        <v>0</v>
      </c>
      <c r="G372">
        <v>0</v>
      </c>
      <c r="H372">
        <v>17974</v>
      </c>
      <c r="I372">
        <v>0</v>
      </c>
      <c r="J372">
        <v>0</v>
      </c>
      <c r="K372" s="249">
        <v>17974</v>
      </c>
      <c r="L372" s="249">
        <v>19097.375</v>
      </c>
      <c r="M372" s="249">
        <v>20434.19125</v>
      </c>
      <c r="N372" s="249">
        <v>21864.5846375</v>
      </c>
    </row>
    <row r="373" spans="1:14" x14ac:dyDescent="0.25">
      <c r="A373" t="s">
        <v>465</v>
      </c>
      <c r="C373" t="s">
        <v>175</v>
      </c>
      <c r="D373" s="67">
        <v>13156</v>
      </c>
      <c r="E373">
        <v>0</v>
      </c>
      <c r="F373">
        <v>0</v>
      </c>
      <c r="G373">
        <v>0</v>
      </c>
      <c r="H373">
        <v>13156</v>
      </c>
      <c r="I373">
        <v>0</v>
      </c>
      <c r="J373">
        <v>0</v>
      </c>
      <c r="K373" s="249">
        <v>13156</v>
      </c>
      <c r="L373" s="249">
        <v>13978.25</v>
      </c>
      <c r="M373" s="249">
        <v>14956.727500000001</v>
      </c>
      <c r="N373" s="249">
        <v>16003.698425</v>
      </c>
    </row>
    <row r="375" spans="1:14" x14ac:dyDescent="0.25">
      <c r="C375" t="s">
        <v>176</v>
      </c>
      <c r="D375" s="67">
        <v>48123</v>
      </c>
      <c r="E375">
        <v>0</v>
      </c>
      <c r="F375">
        <v>0</v>
      </c>
      <c r="G375">
        <v>0</v>
      </c>
      <c r="H375">
        <v>48123</v>
      </c>
      <c r="I375">
        <v>0</v>
      </c>
      <c r="J375">
        <v>0</v>
      </c>
      <c r="K375" s="249">
        <v>48123</v>
      </c>
      <c r="L375" s="249">
        <v>51130.6875</v>
      </c>
      <c r="M375" s="249">
        <v>54709.835625</v>
      </c>
      <c r="N375" s="249">
        <v>58539.52411875</v>
      </c>
    </row>
    <row r="377" spans="1:14" x14ac:dyDescent="0.25">
      <c r="C377" t="s">
        <v>177</v>
      </c>
      <c r="D377" s="67">
        <v>2329872</v>
      </c>
      <c r="E377">
        <v>187569.98000000004</v>
      </c>
      <c r="F377">
        <v>0</v>
      </c>
      <c r="G377">
        <v>1085074.67</v>
      </c>
      <c r="H377">
        <v>1244797.33</v>
      </c>
      <c r="I377">
        <v>46.57</v>
      </c>
      <c r="J377">
        <v>-31003.729999999981</v>
      </c>
      <c r="K377" s="249">
        <v>2298868.27</v>
      </c>
      <c r="L377" s="249">
        <v>2442547.5368750002</v>
      </c>
      <c r="M377" s="249">
        <v>2613525.8644562503</v>
      </c>
      <c r="N377" s="249">
        <v>2796472.6749681882</v>
      </c>
    </row>
    <row r="379" spans="1:14" x14ac:dyDescent="0.25">
      <c r="C379" t="s">
        <v>178</v>
      </c>
      <c r="D379" s="67">
        <v>2329872</v>
      </c>
      <c r="E379">
        <v>187569.98000000004</v>
      </c>
      <c r="F379">
        <v>0</v>
      </c>
      <c r="G379">
        <v>1085074.67</v>
      </c>
      <c r="H379">
        <v>1244797.33</v>
      </c>
      <c r="I379">
        <v>46.57</v>
      </c>
      <c r="J379">
        <v>-31003.729999999981</v>
      </c>
      <c r="K379" s="249">
        <v>2298868.27</v>
      </c>
      <c r="L379" s="249">
        <v>2442547.5368750002</v>
      </c>
      <c r="M379" s="249">
        <v>2613525.8644562503</v>
      </c>
      <c r="N379" s="249">
        <v>2796472.6749681882</v>
      </c>
    </row>
    <row r="381" spans="1:14" x14ac:dyDescent="0.25">
      <c r="C381" t="s">
        <v>241</v>
      </c>
    </row>
    <row r="383" spans="1:14" x14ac:dyDescent="0.25">
      <c r="A383" t="s">
        <v>466</v>
      </c>
      <c r="C383" t="s">
        <v>263</v>
      </c>
      <c r="D383" s="67">
        <v>424000</v>
      </c>
      <c r="E383">
        <v>0</v>
      </c>
      <c r="F383">
        <v>0</v>
      </c>
      <c r="G383">
        <v>143900</v>
      </c>
      <c r="H383">
        <v>280100</v>
      </c>
      <c r="I383">
        <v>33.938679245283019</v>
      </c>
      <c r="J383">
        <v>200000</v>
      </c>
      <c r="K383" s="249">
        <v>624000</v>
      </c>
      <c r="L383" s="249">
        <v>652080</v>
      </c>
      <c r="M383" s="249">
        <v>682075.68</v>
      </c>
      <c r="N383" s="249">
        <v>713451.16128</v>
      </c>
    </row>
    <row r="384" spans="1:14" x14ac:dyDescent="0.25">
      <c r="A384" t="s">
        <v>467</v>
      </c>
      <c r="C384" t="s">
        <v>263</v>
      </c>
      <c r="D384" s="67">
        <v>1219000</v>
      </c>
      <c r="E384">
        <v>93150</v>
      </c>
      <c r="F384">
        <v>45152.17</v>
      </c>
      <c r="G384">
        <v>989056.15</v>
      </c>
      <c r="H384">
        <v>229943.84999999998</v>
      </c>
      <c r="I384">
        <v>81.136681706316665</v>
      </c>
      <c r="J384">
        <v>-200000</v>
      </c>
      <c r="K384" s="249">
        <v>1019000</v>
      </c>
      <c r="L384" s="249">
        <v>1064855</v>
      </c>
      <c r="M384" s="249">
        <v>1113838.33</v>
      </c>
      <c r="N384" s="249">
        <v>1165074.8931800001</v>
      </c>
    </row>
    <row r="385" spans="1:14" x14ac:dyDescent="0.25">
      <c r="A385" t="s">
        <v>468</v>
      </c>
      <c r="C385" t="s">
        <v>264</v>
      </c>
      <c r="D385" s="67">
        <v>2304000</v>
      </c>
      <c r="E385">
        <v>0</v>
      </c>
      <c r="F385">
        <v>0</v>
      </c>
      <c r="G385">
        <v>943200</v>
      </c>
      <c r="H385">
        <v>1360800</v>
      </c>
      <c r="I385">
        <v>40.9375</v>
      </c>
      <c r="J385">
        <v>0</v>
      </c>
      <c r="K385" s="249">
        <v>2304000</v>
      </c>
      <c r="L385" s="249">
        <v>2304000</v>
      </c>
      <c r="M385" s="249">
        <v>2409984</v>
      </c>
      <c r="N385" s="249">
        <v>2520843.264</v>
      </c>
    </row>
    <row r="386" spans="1:14" x14ac:dyDescent="0.25">
      <c r="A386" t="s">
        <v>469</v>
      </c>
      <c r="C386" t="s">
        <v>265</v>
      </c>
      <c r="D386" s="67">
        <v>0</v>
      </c>
      <c r="E386">
        <v>1596.75</v>
      </c>
      <c r="F386">
        <v>0</v>
      </c>
      <c r="G386">
        <v>9006.24</v>
      </c>
      <c r="H386">
        <v>-9006.24</v>
      </c>
      <c r="I386">
        <v>0</v>
      </c>
      <c r="J386">
        <v>20000</v>
      </c>
      <c r="K386" s="249">
        <v>20000</v>
      </c>
      <c r="L386" s="249">
        <v>20900</v>
      </c>
      <c r="M386" s="249">
        <v>21861.4</v>
      </c>
      <c r="N386" s="249">
        <v>22867.024400000002</v>
      </c>
    </row>
    <row r="387" spans="1:14" x14ac:dyDescent="0.25">
      <c r="A387" t="s">
        <v>470</v>
      </c>
      <c r="C387" t="s">
        <v>267</v>
      </c>
      <c r="D387" s="67">
        <v>700000</v>
      </c>
      <c r="E387">
        <v>0</v>
      </c>
      <c r="F387">
        <v>0</v>
      </c>
      <c r="G387">
        <v>220620</v>
      </c>
      <c r="H387">
        <v>479380</v>
      </c>
      <c r="I387">
        <v>31.517142857142854</v>
      </c>
      <c r="J387">
        <v>0</v>
      </c>
      <c r="K387" s="249">
        <v>700000</v>
      </c>
      <c r="L387" s="249">
        <v>731500</v>
      </c>
      <c r="M387" s="249">
        <v>765149</v>
      </c>
      <c r="N387" s="249">
        <v>800345.85400000005</v>
      </c>
    </row>
    <row r="388" spans="1:14" x14ac:dyDescent="0.25">
      <c r="A388" t="s">
        <v>471</v>
      </c>
      <c r="C388" t="s">
        <v>268</v>
      </c>
      <c r="D388" s="67">
        <v>0</v>
      </c>
      <c r="E388">
        <v>18839.46</v>
      </c>
      <c r="F388">
        <v>0</v>
      </c>
      <c r="G388">
        <v>70159.350000000006</v>
      </c>
      <c r="H388">
        <v>-70159.350000000006</v>
      </c>
      <c r="I388">
        <v>0</v>
      </c>
      <c r="J388">
        <v>140000</v>
      </c>
      <c r="K388" s="249">
        <v>140000</v>
      </c>
      <c r="L388" s="249">
        <v>146300</v>
      </c>
      <c r="M388" s="249">
        <v>153029.79999999999</v>
      </c>
      <c r="N388" s="249">
        <v>160069.17079999999</v>
      </c>
    </row>
    <row r="390" spans="1:14" x14ac:dyDescent="0.25">
      <c r="C390" t="s">
        <v>274</v>
      </c>
      <c r="D390" s="67">
        <v>4647000</v>
      </c>
      <c r="E390">
        <v>113586.20999999999</v>
      </c>
      <c r="F390">
        <v>45152.17</v>
      </c>
      <c r="G390">
        <v>2375941.7399999998</v>
      </c>
      <c r="H390">
        <v>2271058.2600000002</v>
      </c>
      <c r="I390">
        <v>50.15</v>
      </c>
      <c r="J390">
        <v>160000</v>
      </c>
      <c r="K390" s="249">
        <v>4807000</v>
      </c>
      <c r="L390" s="249">
        <v>4919635</v>
      </c>
      <c r="M390" s="249">
        <v>5145938.21</v>
      </c>
      <c r="N390" s="249">
        <v>5382651.3676600019</v>
      </c>
    </row>
    <row r="392" spans="1:14" x14ac:dyDescent="0.25">
      <c r="C392" t="s">
        <v>290</v>
      </c>
    </row>
    <row r="394" spans="1:14" x14ac:dyDescent="0.25">
      <c r="A394" t="s">
        <v>472</v>
      </c>
      <c r="C394" t="s">
        <v>292</v>
      </c>
      <c r="D394" s="67">
        <v>620</v>
      </c>
      <c r="E394">
        <v>1286.54</v>
      </c>
      <c r="F394">
        <v>0</v>
      </c>
      <c r="G394">
        <v>3404.15</v>
      </c>
      <c r="H394">
        <v>-2784.15</v>
      </c>
      <c r="I394">
        <v>549.04999999999995</v>
      </c>
      <c r="J394">
        <v>0</v>
      </c>
      <c r="K394" s="249">
        <v>620</v>
      </c>
      <c r="L394" s="249">
        <v>647.9</v>
      </c>
      <c r="M394" s="249">
        <v>677.70339999999999</v>
      </c>
      <c r="N394" s="249">
        <v>708.87775639999995</v>
      </c>
    </row>
    <row r="395" spans="1:14" x14ac:dyDescent="0.25">
      <c r="A395" t="s">
        <v>473</v>
      </c>
      <c r="C395" t="s">
        <v>293</v>
      </c>
      <c r="D395" s="67">
        <v>39428</v>
      </c>
      <c r="E395">
        <v>6492.48</v>
      </c>
      <c r="F395">
        <v>0</v>
      </c>
      <c r="G395">
        <v>14376.42</v>
      </c>
      <c r="H395">
        <v>25051.58</v>
      </c>
      <c r="I395">
        <v>36.46</v>
      </c>
      <c r="J395">
        <v>0</v>
      </c>
      <c r="K395" s="249">
        <v>39428</v>
      </c>
      <c r="L395" s="249">
        <v>41202.26</v>
      </c>
      <c r="M395" s="249">
        <v>43097.563959999999</v>
      </c>
      <c r="N395" s="249">
        <v>45080.051902159998</v>
      </c>
    </row>
    <row r="396" spans="1:14" x14ac:dyDescent="0.25">
      <c r="A396" t="s">
        <v>474</v>
      </c>
      <c r="C396" t="s">
        <v>297</v>
      </c>
      <c r="D396" s="67">
        <v>184915</v>
      </c>
      <c r="E396">
        <v>0</v>
      </c>
      <c r="F396">
        <v>0</v>
      </c>
      <c r="G396">
        <v>16884.22</v>
      </c>
      <c r="H396">
        <v>168030.78</v>
      </c>
      <c r="I396">
        <v>9.1300000000000008</v>
      </c>
      <c r="J396">
        <v>0</v>
      </c>
      <c r="K396" s="249">
        <v>184915</v>
      </c>
      <c r="L396" s="249">
        <v>193236.17499999999</v>
      </c>
      <c r="M396" s="249">
        <v>202125.03904999999</v>
      </c>
      <c r="N396" s="249">
        <v>211422.79084629999</v>
      </c>
    </row>
    <row r="397" spans="1:14" x14ac:dyDescent="0.25">
      <c r="A397" t="s">
        <v>475</v>
      </c>
      <c r="C397" t="s">
        <v>298</v>
      </c>
      <c r="D397" s="67">
        <v>0</v>
      </c>
      <c r="E397">
        <v>26288.98</v>
      </c>
      <c r="F397">
        <v>0</v>
      </c>
      <c r="G397">
        <v>52577.96</v>
      </c>
      <c r="H397">
        <v>-52577.96</v>
      </c>
      <c r="I397">
        <v>0</v>
      </c>
      <c r="J397">
        <v>0</v>
      </c>
      <c r="K397" s="249">
        <v>0</v>
      </c>
      <c r="L397" s="249">
        <v>0</v>
      </c>
      <c r="M397" s="249">
        <v>0</v>
      </c>
    </row>
    <row r="399" spans="1:14" x14ac:dyDescent="0.25">
      <c r="C399" t="s">
        <v>304</v>
      </c>
      <c r="D399" s="67">
        <v>224963</v>
      </c>
      <c r="E399">
        <v>34068</v>
      </c>
      <c r="F399">
        <v>0</v>
      </c>
      <c r="G399">
        <v>87242.75</v>
      </c>
      <c r="H399">
        <v>137720.25</v>
      </c>
      <c r="I399">
        <v>594.64</v>
      </c>
      <c r="J399">
        <v>0</v>
      </c>
      <c r="K399" s="249">
        <v>224963</v>
      </c>
      <c r="L399" s="249">
        <v>235086.33499999999</v>
      </c>
      <c r="M399" s="249">
        <v>245900.30640999999</v>
      </c>
      <c r="N399" s="249">
        <v>257211.72050485999</v>
      </c>
    </row>
    <row r="401" spans="1:14" x14ac:dyDescent="0.25">
      <c r="C401" t="s">
        <v>3004</v>
      </c>
    </row>
    <row r="403" spans="1:14" x14ac:dyDescent="0.25">
      <c r="A403" t="s">
        <v>2335</v>
      </c>
      <c r="C403" t="s">
        <v>2336</v>
      </c>
      <c r="D403" s="67">
        <v>0</v>
      </c>
      <c r="L403" s="249">
        <v>250000</v>
      </c>
      <c r="M403" s="249">
        <v>261500</v>
      </c>
      <c r="N403" s="249">
        <v>273529</v>
      </c>
    </row>
    <row r="405" spans="1:14" x14ac:dyDescent="0.25">
      <c r="C405" t="s">
        <v>3005</v>
      </c>
      <c r="D405" s="67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 s="249">
        <v>0</v>
      </c>
      <c r="L405" s="249">
        <v>250000</v>
      </c>
      <c r="M405" s="249">
        <v>261500</v>
      </c>
      <c r="N405" s="249">
        <v>273529</v>
      </c>
    </row>
    <row r="407" spans="1:14" x14ac:dyDescent="0.25">
      <c r="C407" t="s">
        <v>305</v>
      </c>
      <c r="D407" s="67">
        <v>7201835</v>
      </c>
      <c r="E407">
        <v>335224.19000000006</v>
      </c>
      <c r="F407">
        <v>45152.17</v>
      </c>
      <c r="G407">
        <v>3548259.1599999997</v>
      </c>
      <c r="H407">
        <v>3653575.8400000003</v>
      </c>
      <c r="I407">
        <v>691.36</v>
      </c>
      <c r="J407">
        <v>128996.27000000002</v>
      </c>
      <c r="K407" s="249">
        <v>7330831.2699999996</v>
      </c>
      <c r="L407" s="249">
        <v>7847268.8718750002</v>
      </c>
      <c r="M407" s="249">
        <v>8266864.38086625</v>
      </c>
      <c r="N407" s="249">
        <v>8709864.763133049</v>
      </c>
    </row>
    <row r="409" spans="1:14" x14ac:dyDescent="0.25">
      <c r="C409" t="s">
        <v>306</v>
      </c>
      <c r="D409" s="67">
        <v>7201835</v>
      </c>
      <c r="E409">
        <v>335224.19000000006</v>
      </c>
      <c r="F409">
        <v>45152.17</v>
      </c>
      <c r="G409">
        <v>3548259.1599999997</v>
      </c>
      <c r="H409">
        <v>3653575.8400000003</v>
      </c>
      <c r="I409">
        <v>691.36</v>
      </c>
      <c r="J409">
        <v>128996.27000000002</v>
      </c>
      <c r="K409" s="249">
        <v>7330831.2699999996</v>
      </c>
      <c r="L409" s="249">
        <v>7847268.8718750002</v>
      </c>
      <c r="M409" s="249">
        <v>8266864.38086625</v>
      </c>
      <c r="N409" s="249">
        <v>8709864.763133049</v>
      </c>
    </row>
    <row r="412" spans="1:14" x14ac:dyDescent="0.25">
      <c r="C412" t="s">
        <v>3038</v>
      </c>
      <c r="D412" s="67">
        <v>-480741</v>
      </c>
      <c r="E412">
        <v>0</v>
      </c>
      <c r="F412">
        <v>0</v>
      </c>
      <c r="G412">
        <v>-782811.02</v>
      </c>
      <c r="H412">
        <v>302070.02</v>
      </c>
      <c r="I412">
        <v>292.18</v>
      </c>
      <c r="J412">
        <v>276424</v>
      </c>
      <c r="K412" s="249">
        <v>-204317</v>
      </c>
      <c r="L412" s="249">
        <v>-1213511.2650000001</v>
      </c>
      <c r="M412" s="249">
        <v>-1269332.7831900001</v>
      </c>
      <c r="N412" s="249">
        <v>-1327722.09121674</v>
      </c>
    </row>
    <row r="413" spans="1:14" x14ac:dyDescent="0.25">
      <c r="C413" t="s">
        <v>3052</v>
      </c>
      <c r="D413" s="67">
        <v>44607534</v>
      </c>
      <c r="E413">
        <v>3818952.47</v>
      </c>
      <c r="F413">
        <v>369509.10000000003</v>
      </c>
      <c r="G413">
        <v>23006766.77</v>
      </c>
      <c r="H413">
        <v>21600767.229999997</v>
      </c>
      <c r="I413">
        <v>854.69</v>
      </c>
      <c r="J413">
        <v>2051093.9700000002</v>
      </c>
      <c r="K413" s="249">
        <v>46658627.969999999</v>
      </c>
      <c r="L413" s="249">
        <v>49683354.110625006</v>
      </c>
      <c r="M413" s="249">
        <v>52401893.429448754</v>
      </c>
      <c r="N413" s="249">
        <v>55275802.909019843</v>
      </c>
    </row>
    <row r="414" spans="1:14" x14ac:dyDescent="0.25">
      <c r="C414" t="s">
        <v>3053</v>
      </c>
      <c r="D414" s="67">
        <v>2000000</v>
      </c>
      <c r="E414">
        <v>196880</v>
      </c>
      <c r="F414">
        <v>0</v>
      </c>
      <c r="G414">
        <v>676151.67999999993</v>
      </c>
      <c r="H414">
        <v>1323848.32</v>
      </c>
      <c r="I414">
        <v>95.524216470588229</v>
      </c>
      <c r="J414">
        <v>-21280</v>
      </c>
      <c r="K414" s="249">
        <v>1978720</v>
      </c>
      <c r="L414" s="249">
        <v>2953000</v>
      </c>
      <c r="M414" s="249">
        <v>3189000</v>
      </c>
      <c r="N414" s="249">
        <v>2189160</v>
      </c>
    </row>
    <row r="416" spans="1:14" ht="30" x14ac:dyDescent="0.25">
      <c r="A416" t="s">
        <v>0</v>
      </c>
      <c r="B416" t="s">
        <v>1356</v>
      </c>
      <c r="C416" t="s">
        <v>1</v>
      </c>
      <c r="D416" s="67" t="s">
        <v>2</v>
      </c>
      <c r="E416" t="s">
        <v>3</v>
      </c>
      <c r="F416" t="s">
        <v>4</v>
      </c>
      <c r="G416" t="s">
        <v>5</v>
      </c>
      <c r="H416" t="s">
        <v>6</v>
      </c>
      <c r="I416" t="s">
        <v>7</v>
      </c>
      <c r="J416" t="s">
        <v>1322</v>
      </c>
      <c r="K416" s="249" t="s">
        <v>3012</v>
      </c>
      <c r="L416" s="249" t="s">
        <v>3013</v>
      </c>
      <c r="M416" s="249" t="s">
        <v>3014</v>
      </c>
      <c r="N416" s="249" t="s">
        <v>3015</v>
      </c>
    </row>
    <row r="418" spans="1:14" x14ac:dyDescent="0.25">
      <c r="C418" t="s">
        <v>476</v>
      </c>
    </row>
    <row r="419" spans="1:14" x14ac:dyDescent="0.25">
      <c r="C419" t="s">
        <v>96</v>
      </c>
    </row>
    <row r="420" spans="1:14" x14ac:dyDescent="0.25">
      <c r="C420" t="s">
        <v>97</v>
      </c>
    </row>
    <row r="421" spans="1:14" x14ac:dyDescent="0.25">
      <c r="C421" t="s">
        <v>98</v>
      </c>
    </row>
    <row r="422" spans="1:14" x14ac:dyDescent="0.25">
      <c r="C422" t="s">
        <v>99</v>
      </c>
    </row>
    <row r="423" spans="1:14" x14ac:dyDescent="0.25">
      <c r="C423" t="s">
        <v>123</v>
      </c>
    </row>
    <row r="425" spans="1:14" x14ac:dyDescent="0.25">
      <c r="A425" t="s">
        <v>477</v>
      </c>
      <c r="C425" t="s">
        <v>124</v>
      </c>
      <c r="D425" s="67">
        <v>928990</v>
      </c>
      <c r="E425">
        <v>0</v>
      </c>
      <c r="F425">
        <v>0</v>
      </c>
      <c r="G425">
        <v>0</v>
      </c>
      <c r="H425">
        <v>928990</v>
      </c>
      <c r="I425">
        <v>0</v>
      </c>
      <c r="J425">
        <v>-464495</v>
      </c>
      <c r="K425" s="249">
        <v>464495</v>
      </c>
      <c r="L425" s="249">
        <v>493525.9375</v>
      </c>
      <c r="M425" s="249">
        <v>528072.75312500005</v>
      </c>
      <c r="N425" s="249">
        <v>565037.84584375005</v>
      </c>
    </row>
    <row r="426" spans="1:14" x14ac:dyDescent="0.25">
      <c r="A426" t="s">
        <v>478</v>
      </c>
      <c r="C426" t="s">
        <v>125</v>
      </c>
      <c r="D426" s="67">
        <v>46450</v>
      </c>
      <c r="E426">
        <v>0</v>
      </c>
      <c r="F426">
        <v>0</v>
      </c>
      <c r="G426">
        <v>0</v>
      </c>
      <c r="H426">
        <v>928990</v>
      </c>
      <c r="I426">
        <v>0</v>
      </c>
      <c r="J426">
        <v>-23225</v>
      </c>
      <c r="K426" s="249">
        <v>23225</v>
      </c>
      <c r="L426" s="249">
        <v>24676.5625</v>
      </c>
      <c r="M426" s="249">
        <v>26403.921875</v>
      </c>
      <c r="N426" s="249">
        <v>28252.196406250001</v>
      </c>
    </row>
    <row r="427" spans="1:14" x14ac:dyDescent="0.25">
      <c r="A427" t="s">
        <v>479</v>
      </c>
      <c r="C427" t="s">
        <v>126</v>
      </c>
      <c r="D427" s="67">
        <v>40000</v>
      </c>
      <c r="E427">
        <v>0</v>
      </c>
      <c r="F427">
        <v>0</v>
      </c>
      <c r="G427">
        <v>0</v>
      </c>
      <c r="H427">
        <v>928990</v>
      </c>
      <c r="I427">
        <v>0</v>
      </c>
      <c r="J427">
        <v>-20000</v>
      </c>
      <c r="K427" s="249">
        <v>20000</v>
      </c>
      <c r="L427" s="249">
        <v>21250</v>
      </c>
      <c r="M427" s="249">
        <v>22737.5</v>
      </c>
      <c r="N427" s="249">
        <v>24329.125</v>
      </c>
    </row>
    <row r="428" spans="1:14" x14ac:dyDescent="0.25">
      <c r="A428" t="s">
        <v>480</v>
      </c>
      <c r="C428" t="s">
        <v>127</v>
      </c>
      <c r="D428" s="67">
        <v>17000</v>
      </c>
      <c r="E428">
        <v>0</v>
      </c>
      <c r="F428">
        <v>0</v>
      </c>
      <c r="G428">
        <v>0</v>
      </c>
      <c r="H428">
        <v>928990</v>
      </c>
      <c r="I428">
        <v>0</v>
      </c>
      <c r="J428">
        <v>-8500</v>
      </c>
      <c r="K428" s="249">
        <v>8500</v>
      </c>
      <c r="L428" s="249">
        <v>9031.25</v>
      </c>
      <c r="M428" s="249">
        <v>9663.4375</v>
      </c>
      <c r="N428" s="249">
        <v>10339.878124999999</v>
      </c>
    </row>
    <row r="429" spans="1:14" x14ac:dyDescent="0.25">
      <c r="A429" t="s">
        <v>481</v>
      </c>
      <c r="C429" t="s">
        <v>128</v>
      </c>
      <c r="D429" s="67">
        <v>18580</v>
      </c>
      <c r="E429">
        <v>0</v>
      </c>
      <c r="F429">
        <v>0</v>
      </c>
      <c r="G429">
        <v>0</v>
      </c>
      <c r="H429">
        <v>928990</v>
      </c>
      <c r="I429">
        <v>0</v>
      </c>
      <c r="J429">
        <v>-18580</v>
      </c>
      <c r="K429" s="249">
        <v>0</v>
      </c>
      <c r="L429" s="249">
        <v>0</v>
      </c>
      <c r="M429" s="249">
        <v>0</v>
      </c>
      <c r="N429" s="249">
        <v>0</v>
      </c>
    </row>
    <row r="430" spans="1:14" x14ac:dyDescent="0.25">
      <c r="J430">
        <v>0</v>
      </c>
    </row>
    <row r="431" spans="1:14" x14ac:dyDescent="0.25">
      <c r="C431" t="s">
        <v>129</v>
      </c>
      <c r="D431" s="67">
        <v>1051020</v>
      </c>
      <c r="E431">
        <v>0</v>
      </c>
      <c r="F431">
        <v>0</v>
      </c>
      <c r="G431">
        <v>0</v>
      </c>
      <c r="H431">
        <v>4644950</v>
      </c>
      <c r="I431">
        <v>0</v>
      </c>
      <c r="J431">
        <v>-534800</v>
      </c>
      <c r="K431" s="249">
        <v>516220</v>
      </c>
      <c r="L431" s="249">
        <v>548483.75</v>
      </c>
      <c r="M431" s="249">
        <v>586877.61250000005</v>
      </c>
      <c r="N431" s="249">
        <v>627959.0453750001</v>
      </c>
    </row>
    <row r="433" spans="1:14" x14ac:dyDescent="0.25">
      <c r="C433" t="s">
        <v>146</v>
      </c>
      <c r="D433" s="67">
        <v>1051020</v>
      </c>
      <c r="E433">
        <v>0</v>
      </c>
      <c r="F433">
        <v>0</v>
      </c>
      <c r="G433">
        <v>0</v>
      </c>
      <c r="H433">
        <v>4644950</v>
      </c>
      <c r="I433">
        <v>0</v>
      </c>
      <c r="J433">
        <v>-534800</v>
      </c>
      <c r="K433" s="249">
        <v>516220</v>
      </c>
      <c r="L433" s="249">
        <v>548483.75</v>
      </c>
      <c r="M433" s="249">
        <v>586877.61250000005</v>
      </c>
      <c r="N433" s="249">
        <v>627959.0453750001</v>
      </c>
    </row>
    <row r="435" spans="1:14" x14ac:dyDescent="0.25">
      <c r="C435" t="s">
        <v>147</v>
      </c>
      <c r="D435" s="67">
        <v>1051020</v>
      </c>
      <c r="E435">
        <v>0</v>
      </c>
      <c r="F435">
        <v>0</v>
      </c>
      <c r="G435">
        <v>0</v>
      </c>
      <c r="H435">
        <v>4644950</v>
      </c>
      <c r="I435">
        <v>0</v>
      </c>
      <c r="J435">
        <v>-534800</v>
      </c>
      <c r="K435" s="249">
        <v>516220</v>
      </c>
      <c r="L435" s="249">
        <v>548483.75</v>
      </c>
      <c r="M435" s="249">
        <v>586877.61250000005</v>
      </c>
      <c r="N435" s="249">
        <v>627959.0453750001</v>
      </c>
    </row>
    <row r="436" spans="1:14" x14ac:dyDescent="0.25">
      <c r="J436">
        <v>0</v>
      </c>
    </row>
    <row r="437" spans="1:14" x14ac:dyDescent="0.25">
      <c r="C437" t="s">
        <v>148</v>
      </c>
      <c r="J437">
        <v>0</v>
      </c>
    </row>
    <row r="438" spans="1:14" x14ac:dyDescent="0.25">
      <c r="C438" t="s">
        <v>149</v>
      </c>
      <c r="J438">
        <v>0</v>
      </c>
    </row>
    <row r="439" spans="1:14" x14ac:dyDescent="0.25">
      <c r="J439">
        <v>0</v>
      </c>
    </row>
    <row r="440" spans="1:14" x14ac:dyDescent="0.25">
      <c r="A440" t="s">
        <v>482</v>
      </c>
      <c r="C440" t="s">
        <v>150</v>
      </c>
      <c r="D440" s="67">
        <v>627000</v>
      </c>
      <c r="E440">
        <v>0</v>
      </c>
      <c r="F440">
        <v>0</v>
      </c>
      <c r="G440">
        <v>0</v>
      </c>
      <c r="H440">
        <v>928990</v>
      </c>
      <c r="I440">
        <v>0</v>
      </c>
      <c r="J440">
        <v>0</v>
      </c>
      <c r="K440" s="249">
        <v>627000</v>
      </c>
      <c r="L440" s="249">
        <v>666187.5</v>
      </c>
      <c r="M440" s="249">
        <v>712820.625</v>
      </c>
      <c r="N440" s="249">
        <v>762718.06874999998</v>
      </c>
    </row>
    <row r="441" spans="1:14" x14ac:dyDescent="0.25">
      <c r="A441" t="s">
        <v>483</v>
      </c>
      <c r="C441" t="s">
        <v>151</v>
      </c>
      <c r="D441" s="67">
        <v>29299</v>
      </c>
      <c r="E441">
        <v>0</v>
      </c>
      <c r="F441">
        <v>0</v>
      </c>
      <c r="G441">
        <v>0</v>
      </c>
      <c r="H441">
        <v>928990</v>
      </c>
      <c r="I441">
        <v>0</v>
      </c>
      <c r="J441">
        <v>-12364.82</v>
      </c>
      <c r="K441" s="249">
        <v>16934.18</v>
      </c>
      <c r="L441" s="249">
        <v>17992.56625</v>
      </c>
      <c r="M441" s="249">
        <v>19252.0458875</v>
      </c>
      <c r="N441" s="249">
        <v>20599.689099625</v>
      </c>
    </row>
    <row r="442" spans="1:14" x14ac:dyDescent="0.25">
      <c r="A442" t="s">
        <v>484</v>
      </c>
      <c r="C442" t="s">
        <v>152</v>
      </c>
      <c r="D442" s="67">
        <v>24000</v>
      </c>
      <c r="E442">
        <v>0</v>
      </c>
      <c r="F442">
        <v>0</v>
      </c>
      <c r="G442">
        <v>0</v>
      </c>
      <c r="H442">
        <v>928990</v>
      </c>
      <c r="I442">
        <v>0</v>
      </c>
      <c r="J442">
        <v>0</v>
      </c>
      <c r="K442" s="249">
        <v>24000</v>
      </c>
      <c r="L442" s="249">
        <v>25500</v>
      </c>
      <c r="M442" s="249">
        <v>27285</v>
      </c>
      <c r="N442" s="249">
        <v>29194.95</v>
      </c>
    </row>
    <row r="443" spans="1:14" x14ac:dyDescent="0.25">
      <c r="A443" t="s">
        <v>485</v>
      </c>
      <c r="C443" t="s">
        <v>153</v>
      </c>
      <c r="D443" s="67">
        <v>10893</v>
      </c>
      <c r="E443">
        <v>0</v>
      </c>
      <c r="F443">
        <v>0</v>
      </c>
      <c r="G443">
        <v>0</v>
      </c>
      <c r="H443">
        <v>928990</v>
      </c>
      <c r="I443">
        <v>0</v>
      </c>
      <c r="J443">
        <v>0</v>
      </c>
      <c r="K443" s="249">
        <v>10893</v>
      </c>
      <c r="L443" s="249">
        <v>11573.8125</v>
      </c>
      <c r="M443" s="249">
        <v>12383.979375000001</v>
      </c>
      <c r="N443" s="249">
        <v>13250.857931250001</v>
      </c>
    </row>
    <row r="444" spans="1:14" x14ac:dyDescent="0.25">
      <c r="A444" t="s">
        <v>486</v>
      </c>
      <c r="C444" t="s">
        <v>155</v>
      </c>
      <c r="D444" s="67">
        <v>20806</v>
      </c>
      <c r="E444">
        <v>0</v>
      </c>
      <c r="F444">
        <v>0</v>
      </c>
      <c r="G444">
        <v>0</v>
      </c>
      <c r="H444">
        <v>928990</v>
      </c>
      <c r="I444">
        <v>0</v>
      </c>
      <c r="J444">
        <v>0</v>
      </c>
      <c r="K444" s="249">
        <v>20806</v>
      </c>
      <c r="L444" s="249">
        <v>22106.375</v>
      </c>
      <c r="M444" s="249">
        <v>23653.821250000001</v>
      </c>
      <c r="N444" s="249">
        <v>25309.588737500002</v>
      </c>
    </row>
    <row r="445" spans="1:14" x14ac:dyDescent="0.25">
      <c r="A445" t="s">
        <v>487</v>
      </c>
      <c r="C445" t="s">
        <v>156</v>
      </c>
      <c r="D445" s="67">
        <v>156750</v>
      </c>
      <c r="E445">
        <v>0</v>
      </c>
      <c r="F445">
        <v>0</v>
      </c>
      <c r="G445">
        <v>0</v>
      </c>
      <c r="H445">
        <v>928990</v>
      </c>
      <c r="I445">
        <v>0</v>
      </c>
      <c r="J445">
        <v>0</v>
      </c>
      <c r="K445" s="249">
        <v>156750</v>
      </c>
      <c r="L445" s="249">
        <v>166546.875</v>
      </c>
      <c r="M445" s="249">
        <v>178205.15625</v>
      </c>
      <c r="N445" s="249">
        <v>190679.51718749999</v>
      </c>
    </row>
    <row r="446" spans="1:14" x14ac:dyDescent="0.25">
      <c r="A446" t="s">
        <v>488</v>
      </c>
      <c r="C446" t="s">
        <v>158</v>
      </c>
      <c r="D446" s="67">
        <v>12657</v>
      </c>
      <c r="E446">
        <v>0</v>
      </c>
      <c r="F446">
        <v>0</v>
      </c>
      <c r="G446">
        <v>0</v>
      </c>
      <c r="H446">
        <v>928990</v>
      </c>
      <c r="I446">
        <v>0</v>
      </c>
      <c r="J446">
        <v>-12657</v>
      </c>
      <c r="K446" s="249">
        <v>0</v>
      </c>
      <c r="L446" s="249">
        <v>0</v>
      </c>
      <c r="M446" s="249">
        <v>0</v>
      </c>
      <c r="N446" s="249">
        <v>0</v>
      </c>
    </row>
    <row r="447" spans="1:14" x14ac:dyDescent="0.25">
      <c r="A447" t="s">
        <v>489</v>
      </c>
      <c r="C447" t="s">
        <v>159</v>
      </c>
      <c r="D447" s="67">
        <v>52250</v>
      </c>
      <c r="E447">
        <v>0</v>
      </c>
      <c r="F447">
        <v>0</v>
      </c>
      <c r="G447">
        <v>0</v>
      </c>
      <c r="H447">
        <v>928990</v>
      </c>
      <c r="I447">
        <v>0</v>
      </c>
      <c r="J447">
        <v>0</v>
      </c>
      <c r="K447" s="249">
        <v>52250</v>
      </c>
      <c r="L447" s="249">
        <v>55515.625</v>
      </c>
      <c r="M447" s="249">
        <v>59401.71875</v>
      </c>
      <c r="N447" s="249">
        <v>63559.839062500003</v>
      </c>
    </row>
    <row r="448" spans="1:14" x14ac:dyDescent="0.25">
      <c r="A448" t="s">
        <v>490</v>
      </c>
      <c r="C448" t="s">
        <v>163</v>
      </c>
      <c r="D448" s="67">
        <v>15692</v>
      </c>
      <c r="E448">
        <v>0</v>
      </c>
      <c r="F448">
        <v>0</v>
      </c>
      <c r="G448">
        <v>0</v>
      </c>
      <c r="H448">
        <v>928990</v>
      </c>
      <c r="I448">
        <v>0</v>
      </c>
      <c r="J448">
        <v>0</v>
      </c>
      <c r="K448" s="249">
        <v>15692</v>
      </c>
      <c r="L448" s="249">
        <v>16672.75</v>
      </c>
      <c r="M448" s="249">
        <v>17839.842499999999</v>
      </c>
      <c r="N448" s="249">
        <v>19088.631474999998</v>
      </c>
    </row>
    <row r="449" spans="1:14" x14ac:dyDescent="0.25">
      <c r="A449" t="s">
        <v>491</v>
      </c>
      <c r="C449" t="s">
        <v>164</v>
      </c>
      <c r="D449" s="67">
        <v>37160</v>
      </c>
      <c r="E449">
        <v>0</v>
      </c>
      <c r="F449">
        <v>0</v>
      </c>
      <c r="G449">
        <v>0</v>
      </c>
      <c r="H449">
        <v>928990</v>
      </c>
      <c r="I449">
        <v>0</v>
      </c>
      <c r="J449">
        <v>0</v>
      </c>
      <c r="K449" s="249">
        <v>37160</v>
      </c>
      <c r="L449" s="249">
        <v>39482.5</v>
      </c>
      <c r="M449" s="249">
        <v>42246.275000000001</v>
      </c>
      <c r="N449" s="249">
        <v>45203.51425</v>
      </c>
    </row>
    <row r="450" spans="1:14" x14ac:dyDescent="0.25">
      <c r="J450">
        <v>0</v>
      </c>
    </row>
    <row r="451" spans="1:14" x14ac:dyDescent="0.25">
      <c r="C451" t="s">
        <v>165</v>
      </c>
      <c r="D451" s="67">
        <v>986507</v>
      </c>
      <c r="E451">
        <v>0</v>
      </c>
      <c r="F451">
        <v>0</v>
      </c>
      <c r="G451">
        <v>0</v>
      </c>
      <c r="H451">
        <v>9289900</v>
      </c>
      <c r="I451">
        <v>59.55</v>
      </c>
      <c r="J451">
        <v>-25021.819999999949</v>
      </c>
      <c r="K451" s="249">
        <v>961485.18</v>
      </c>
      <c r="L451" s="249">
        <v>1021578.00375</v>
      </c>
      <c r="M451" s="249">
        <v>1093088.4640124999</v>
      </c>
      <c r="N451" s="249">
        <v>1169604.6564933748</v>
      </c>
    </row>
    <row r="452" spans="1:14" x14ac:dyDescent="0.25">
      <c r="J452">
        <v>0</v>
      </c>
    </row>
    <row r="453" spans="1:14" x14ac:dyDescent="0.25">
      <c r="C453" t="s">
        <v>166</v>
      </c>
      <c r="J453">
        <v>0</v>
      </c>
    </row>
    <row r="454" spans="1:14" x14ac:dyDescent="0.25">
      <c r="J454">
        <v>0</v>
      </c>
    </row>
    <row r="455" spans="1:14" x14ac:dyDescent="0.25">
      <c r="A455" t="s">
        <v>492</v>
      </c>
      <c r="C455" t="s">
        <v>167</v>
      </c>
      <c r="D455" s="67">
        <v>112</v>
      </c>
      <c r="E455">
        <v>0</v>
      </c>
      <c r="F455">
        <v>0</v>
      </c>
      <c r="G455">
        <v>0</v>
      </c>
      <c r="H455">
        <v>928990</v>
      </c>
      <c r="I455">
        <v>0</v>
      </c>
      <c r="J455">
        <v>188</v>
      </c>
      <c r="K455" s="249">
        <v>300</v>
      </c>
      <c r="L455" s="249">
        <v>318.75</v>
      </c>
      <c r="M455" s="249">
        <v>341.0625</v>
      </c>
      <c r="N455" s="249">
        <v>364.93687499999999</v>
      </c>
    </row>
    <row r="456" spans="1:14" x14ac:dyDescent="0.25">
      <c r="A456" t="s">
        <v>493</v>
      </c>
      <c r="C456" t="s">
        <v>168</v>
      </c>
      <c r="D456" s="67">
        <v>53908</v>
      </c>
      <c r="E456">
        <v>0</v>
      </c>
      <c r="F456">
        <v>0</v>
      </c>
      <c r="G456">
        <v>0</v>
      </c>
      <c r="H456">
        <v>928990</v>
      </c>
      <c r="I456">
        <v>0</v>
      </c>
      <c r="J456">
        <v>0</v>
      </c>
      <c r="K456" s="249">
        <v>53908</v>
      </c>
      <c r="L456" s="249">
        <v>57277.25</v>
      </c>
      <c r="M456" s="249">
        <v>61286.657500000001</v>
      </c>
      <c r="N456" s="249">
        <v>65576.723525000009</v>
      </c>
    </row>
    <row r="457" spans="1:14" x14ac:dyDescent="0.25">
      <c r="A457" t="s">
        <v>494</v>
      </c>
      <c r="C457" t="s">
        <v>169</v>
      </c>
      <c r="D457" s="67">
        <v>137940</v>
      </c>
      <c r="E457">
        <v>0</v>
      </c>
      <c r="F457">
        <v>0</v>
      </c>
      <c r="G457">
        <v>0</v>
      </c>
      <c r="H457">
        <v>928990</v>
      </c>
      <c r="I457">
        <v>0</v>
      </c>
      <c r="J457">
        <v>0</v>
      </c>
      <c r="K457" s="249">
        <v>137940</v>
      </c>
      <c r="L457" s="249">
        <v>146561.25</v>
      </c>
      <c r="M457" s="249">
        <v>156820.53750000001</v>
      </c>
      <c r="N457" s="249">
        <v>167797.975125</v>
      </c>
    </row>
    <row r="458" spans="1:14" x14ac:dyDescent="0.25">
      <c r="A458" t="s">
        <v>495</v>
      </c>
      <c r="C458" t="s">
        <v>170</v>
      </c>
      <c r="D458" s="67">
        <v>1785</v>
      </c>
      <c r="E458">
        <v>0</v>
      </c>
      <c r="F458">
        <v>0</v>
      </c>
      <c r="G458">
        <v>0</v>
      </c>
      <c r="H458">
        <v>928990</v>
      </c>
      <c r="I458">
        <v>0</v>
      </c>
      <c r="J458">
        <v>1215</v>
      </c>
      <c r="K458" s="249">
        <v>3000</v>
      </c>
      <c r="L458" s="249">
        <v>3187.5</v>
      </c>
      <c r="M458" s="249">
        <v>3410.625</v>
      </c>
      <c r="N458" s="249">
        <v>3649.3687500000001</v>
      </c>
    </row>
    <row r="459" spans="1:14" x14ac:dyDescent="0.25">
      <c r="J459">
        <v>0</v>
      </c>
    </row>
    <row r="460" spans="1:14" x14ac:dyDescent="0.25">
      <c r="C460" t="s">
        <v>171</v>
      </c>
      <c r="D460" s="67">
        <v>193745</v>
      </c>
      <c r="E460">
        <v>0</v>
      </c>
      <c r="F460">
        <v>0</v>
      </c>
      <c r="G460">
        <v>0</v>
      </c>
      <c r="H460">
        <v>3715960</v>
      </c>
      <c r="I460">
        <v>60.96</v>
      </c>
      <c r="J460">
        <v>1403</v>
      </c>
      <c r="K460" s="249">
        <v>195148</v>
      </c>
      <c r="L460" s="249">
        <v>207344.75</v>
      </c>
      <c r="M460" s="249">
        <v>221858.88250000001</v>
      </c>
      <c r="N460" s="249">
        <v>237389.00427499998</v>
      </c>
    </row>
    <row r="461" spans="1:14" x14ac:dyDescent="0.25">
      <c r="J461">
        <v>0</v>
      </c>
    </row>
    <row r="462" spans="1:14" x14ac:dyDescent="0.25">
      <c r="C462" t="s">
        <v>172</v>
      </c>
      <c r="J462">
        <v>0</v>
      </c>
    </row>
    <row r="463" spans="1:14" x14ac:dyDescent="0.25">
      <c r="J463">
        <v>0</v>
      </c>
    </row>
    <row r="464" spans="1:14" x14ac:dyDescent="0.25">
      <c r="A464" t="s">
        <v>496</v>
      </c>
      <c r="C464" t="s">
        <v>173</v>
      </c>
      <c r="D464" s="67">
        <v>2151</v>
      </c>
      <c r="E464">
        <v>0</v>
      </c>
      <c r="F464">
        <v>0</v>
      </c>
      <c r="G464">
        <v>0</v>
      </c>
      <c r="H464">
        <v>928990</v>
      </c>
      <c r="I464">
        <v>0</v>
      </c>
      <c r="J464">
        <v>0</v>
      </c>
      <c r="K464" s="249">
        <v>2151</v>
      </c>
      <c r="L464" s="249">
        <v>2285.4375</v>
      </c>
      <c r="M464" s="249">
        <v>2445.4181250000001</v>
      </c>
      <c r="N464" s="249">
        <v>2616.5973937500003</v>
      </c>
    </row>
    <row r="465" spans="1:14" x14ac:dyDescent="0.25">
      <c r="A465" t="s">
        <v>497</v>
      </c>
      <c r="C465" t="s">
        <v>174</v>
      </c>
      <c r="D465" s="67">
        <v>1460</v>
      </c>
      <c r="E465">
        <v>0</v>
      </c>
      <c r="F465">
        <v>0</v>
      </c>
      <c r="G465">
        <v>0</v>
      </c>
      <c r="H465">
        <v>928990</v>
      </c>
      <c r="I465">
        <v>0</v>
      </c>
      <c r="J465">
        <v>0</v>
      </c>
      <c r="K465" s="249">
        <v>1460</v>
      </c>
      <c r="L465" s="249">
        <v>1551.25</v>
      </c>
      <c r="M465" s="249">
        <v>1659.8375000000001</v>
      </c>
      <c r="N465" s="249">
        <v>1776.0261250000001</v>
      </c>
    </row>
    <row r="466" spans="1:14" x14ac:dyDescent="0.25">
      <c r="A466" t="s">
        <v>498</v>
      </c>
      <c r="C466" t="s">
        <v>175</v>
      </c>
      <c r="D466" s="67">
        <v>14285</v>
      </c>
      <c r="E466">
        <v>0</v>
      </c>
      <c r="F466">
        <v>0</v>
      </c>
      <c r="G466">
        <v>0</v>
      </c>
      <c r="H466">
        <v>928990</v>
      </c>
      <c r="I466">
        <v>0</v>
      </c>
      <c r="J466">
        <v>0</v>
      </c>
      <c r="K466" s="249">
        <v>14285</v>
      </c>
      <c r="L466" s="249">
        <v>15177.8125</v>
      </c>
      <c r="M466" s="249">
        <v>16240.259375</v>
      </c>
      <c r="N466" s="249">
        <v>17377.077531250001</v>
      </c>
    </row>
    <row r="467" spans="1:14" x14ac:dyDescent="0.25">
      <c r="J467">
        <v>0</v>
      </c>
    </row>
    <row r="468" spans="1:14" x14ac:dyDescent="0.25">
      <c r="C468" t="s">
        <v>176</v>
      </c>
      <c r="D468" s="67">
        <v>17896</v>
      </c>
      <c r="E468">
        <v>0</v>
      </c>
      <c r="F468">
        <v>0</v>
      </c>
      <c r="G468">
        <v>0</v>
      </c>
      <c r="H468">
        <v>2786970</v>
      </c>
      <c r="I468">
        <v>0</v>
      </c>
      <c r="J468">
        <v>0</v>
      </c>
      <c r="K468" s="249">
        <v>17896</v>
      </c>
      <c r="L468" s="249">
        <v>19014.5</v>
      </c>
      <c r="M468" s="249">
        <v>20345.514999999999</v>
      </c>
      <c r="N468" s="249">
        <v>21769.701050000003</v>
      </c>
    </row>
    <row r="469" spans="1:14" x14ac:dyDescent="0.25">
      <c r="J469">
        <v>0</v>
      </c>
    </row>
    <row r="470" spans="1:14" x14ac:dyDescent="0.25">
      <c r="C470" t="s">
        <v>177</v>
      </c>
      <c r="D470" s="67">
        <v>1198148</v>
      </c>
      <c r="E470">
        <v>0</v>
      </c>
      <c r="F470">
        <v>0</v>
      </c>
      <c r="G470">
        <v>0</v>
      </c>
      <c r="H470">
        <v>15792830</v>
      </c>
      <c r="I470">
        <v>58.89</v>
      </c>
      <c r="J470">
        <v>-23618.819999999832</v>
      </c>
      <c r="K470" s="249">
        <v>1174529.1800000002</v>
      </c>
      <c r="L470" s="249">
        <v>1247937.2537500001</v>
      </c>
      <c r="M470" s="249">
        <v>1335292.8615124999</v>
      </c>
      <c r="N470" s="249">
        <v>1428763.3618183748</v>
      </c>
    </row>
    <row r="471" spans="1:14" x14ac:dyDescent="0.25">
      <c r="J471">
        <v>0</v>
      </c>
    </row>
    <row r="472" spans="1:14" x14ac:dyDescent="0.25">
      <c r="C472" t="s">
        <v>178</v>
      </c>
      <c r="D472" s="67">
        <v>2249168</v>
      </c>
      <c r="E472">
        <v>0</v>
      </c>
      <c r="F472">
        <v>0</v>
      </c>
      <c r="G472">
        <v>0</v>
      </c>
      <c r="H472">
        <v>20437780</v>
      </c>
      <c r="I472">
        <v>31.37</v>
      </c>
      <c r="J472">
        <v>-558418.81999999983</v>
      </c>
      <c r="K472" s="249">
        <v>1690749.1800000002</v>
      </c>
      <c r="L472" s="249">
        <v>1796421.0037500001</v>
      </c>
      <c r="M472" s="249">
        <v>1922170.4740124999</v>
      </c>
      <c r="N472" s="249">
        <v>2056722.4071933748</v>
      </c>
    </row>
    <row r="473" spans="1:14" x14ac:dyDescent="0.25">
      <c r="J473">
        <v>0</v>
      </c>
    </row>
    <row r="474" spans="1:14" x14ac:dyDescent="0.25">
      <c r="C474" t="s">
        <v>241</v>
      </c>
      <c r="J474">
        <v>0</v>
      </c>
    </row>
    <row r="475" spans="1:14" x14ac:dyDescent="0.25">
      <c r="J475">
        <v>0</v>
      </c>
    </row>
    <row r="476" spans="1:14" x14ac:dyDescent="0.25">
      <c r="A476" t="s">
        <v>499</v>
      </c>
      <c r="C476" t="s">
        <v>242</v>
      </c>
      <c r="D476" s="67">
        <v>84029</v>
      </c>
      <c r="E476">
        <v>0</v>
      </c>
      <c r="F476">
        <v>0</v>
      </c>
      <c r="G476">
        <v>0</v>
      </c>
      <c r="H476">
        <v>928990</v>
      </c>
      <c r="I476">
        <v>0</v>
      </c>
      <c r="J476">
        <v>-60000</v>
      </c>
      <c r="K476" s="249">
        <v>24029</v>
      </c>
      <c r="L476" s="249">
        <v>25110.305</v>
      </c>
      <c r="M476" s="249">
        <v>26265.37903</v>
      </c>
      <c r="N476" s="249">
        <v>27473.586465380002</v>
      </c>
    </row>
    <row r="477" spans="1:14" x14ac:dyDescent="0.25">
      <c r="A477" t="s">
        <v>500</v>
      </c>
      <c r="C477" t="s">
        <v>253</v>
      </c>
      <c r="D477" s="67">
        <v>2000</v>
      </c>
      <c r="E477">
        <v>0</v>
      </c>
      <c r="F477">
        <v>0</v>
      </c>
      <c r="G477">
        <v>0</v>
      </c>
      <c r="H477">
        <v>928990</v>
      </c>
      <c r="I477">
        <v>0</v>
      </c>
      <c r="J477">
        <v>0</v>
      </c>
      <c r="K477" s="249">
        <v>2000</v>
      </c>
      <c r="L477" s="249">
        <v>2000</v>
      </c>
      <c r="M477" s="249">
        <v>2000</v>
      </c>
      <c r="N477" s="249">
        <v>2000</v>
      </c>
    </row>
    <row r="478" spans="1:14" x14ac:dyDescent="0.25">
      <c r="A478" t="s">
        <v>501</v>
      </c>
      <c r="C478" t="s">
        <v>258</v>
      </c>
      <c r="D478" s="67">
        <v>480000</v>
      </c>
      <c r="E478">
        <v>0</v>
      </c>
      <c r="F478">
        <v>0</v>
      </c>
      <c r="G478">
        <v>0</v>
      </c>
      <c r="H478">
        <v>928990</v>
      </c>
      <c r="I478">
        <v>0</v>
      </c>
      <c r="J478">
        <v>0</v>
      </c>
      <c r="K478" s="249">
        <v>480000</v>
      </c>
      <c r="L478" s="249">
        <v>0</v>
      </c>
      <c r="M478" s="249">
        <v>0</v>
      </c>
      <c r="N478" s="249">
        <v>0</v>
      </c>
    </row>
    <row r="479" spans="1:14" x14ac:dyDescent="0.25">
      <c r="A479" t="s">
        <v>502</v>
      </c>
      <c r="C479" t="s">
        <v>265</v>
      </c>
      <c r="D479" s="67">
        <v>64698</v>
      </c>
      <c r="E479">
        <v>0</v>
      </c>
      <c r="F479">
        <v>0</v>
      </c>
      <c r="G479">
        <v>0</v>
      </c>
      <c r="H479">
        <v>928990</v>
      </c>
      <c r="I479">
        <v>0</v>
      </c>
      <c r="J479">
        <v>-50000</v>
      </c>
      <c r="K479" s="249">
        <v>14698</v>
      </c>
      <c r="L479" s="249">
        <v>15359.41</v>
      </c>
      <c r="M479" s="249">
        <v>16065.942859999999</v>
      </c>
      <c r="N479" s="249">
        <v>16804.976231559998</v>
      </c>
    </row>
    <row r="480" spans="1:14" x14ac:dyDescent="0.25">
      <c r="A480" t="s">
        <v>503</v>
      </c>
      <c r="C480" t="s">
        <v>268</v>
      </c>
      <c r="D480" s="67">
        <v>156818</v>
      </c>
      <c r="E480">
        <v>0</v>
      </c>
      <c r="F480">
        <v>0</v>
      </c>
      <c r="G480">
        <v>0</v>
      </c>
      <c r="H480">
        <v>928990</v>
      </c>
      <c r="I480">
        <v>0</v>
      </c>
      <c r="J480">
        <v>-49000</v>
      </c>
      <c r="K480" s="249">
        <v>107818</v>
      </c>
      <c r="L480" s="249">
        <v>112669.81</v>
      </c>
      <c r="M480" s="249">
        <v>117852.62126</v>
      </c>
      <c r="N480" s="249">
        <v>123273.84183796</v>
      </c>
    </row>
    <row r="481" spans="1:14" x14ac:dyDescent="0.25">
      <c r="A481" t="s">
        <v>504</v>
      </c>
      <c r="C481" t="s">
        <v>269</v>
      </c>
      <c r="D481" s="67">
        <v>50000</v>
      </c>
      <c r="E481">
        <v>0</v>
      </c>
      <c r="F481">
        <v>0</v>
      </c>
      <c r="G481">
        <v>0</v>
      </c>
      <c r="H481">
        <v>928990</v>
      </c>
      <c r="I481">
        <v>0</v>
      </c>
      <c r="J481">
        <v>-30000</v>
      </c>
      <c r="K481" s="249">
        <v>20000</v>
      </c>
      <c r="L481" s="249">
        <v>20900</v>
      </c>
      <c r="M481" s="249">
        <v>21861.4</v>
      </c>
      <c r="N481" s="249">
        <v>22867.024400000002</v>
      </c>
    </row>
    <row r="482" spans="1:14" x14ac:dyDescent="0.25">
      <c r="J482">
        <v>0</v>
      </c>
    </row>
    <row r="483" spans="1:14" x14ac:dyDescent="0.25">
      <c r="C483" t="s">
        <v>274</v>
      </c>
      <c r="D483" s="67">
        <v>837545</v>
      </c>
      <c r="E483">
        <v>0</v>
      </c>
      <c r="F483">
        <v>0</v>
      </c>
      <c r="G483">
        <v>0</v>
      </c>
      <c r="H483">
        <v>5573940</v>
      </c>
      <c r="I483">
        <v>18.190000000000001</v>
      </c>
      <c r="J483">
        <v>-189000</v>
      </c>
      <c r="K483" s="249">
        <v>648545</v>
      </c>
      <c r="L483" s="249">
        <v>176039.52499999999</v>
      </c>
      <c r="M483" s="249">
        <v>184045.34315</v>
      </c>
      <c r="N483" s="249">
        <v>192419.4289349</v>
      </c>
    </row>
    <row r="484" spans="1:14" x14ac:dyDescent="0.25">
      <c r="J484">
        <v>0</v>
      </c>
    </row>
    <row r="485" spans="1:14" x14ac:dyDescent="0.25">
      <c r="C485" t="s">
        <v>290</v>
      </c>
      <c r="J485">
        <v>0</v>
      </c>
    </row>
    <row r="486" spans="1:14" x14ac:dyDescent="0.25">
      <c r="J486">
        <v>0</v>
      </c>
    </row>
    <row r="487" spans="1:14" x14ac:dyDescent="0.25">
      <c r="A487" t="s">
        <v>505</v>
      </c>
      <c r="C487" t="s">
        <v>292</v>
      </c>
      <c r="D487" s="67">
        <v>549</v>
      </c>
      <c r="E487">
        <v>0</v>
      </c>
      <c r="F487">
        <v>0</v>
      </c>
      <c r="G487">
        <v>0</v>
      </c>
      <c r="H487">
        <v>928990</v>
      </c>
      <c r="I487">
        <v>0</v>
      </c>
      <c r="J487">
        <v>0</v>
      </c>
      <c r="K487" s="249">
        <v>549</v>
      </c>
      <c r="L487" s="249">
        <v>573.70500000000004</v>
      </c>
      <c r="M487" s="249">
        <v>600.09543000000008</v>
      </c>
      <c r="N487" s="249">
        <v>627.6998197800001</v>
      </c>
    </row>
    <row r="488" spans="1:14" x14ac:dyDescent="0.25">
      <c r="A488" t="s">
        <v>506</v>
      </c>
      <c r="C488" t="s">
        <v>293</v>
      </c>
      <c r="D488" s="67">
        <v>12600</v>
      </c>
      <c r="E488">
        <v>0</v>
      </c>
      <c r="F488">
        <v>0</v>
      </c>
      <c r="G488">
        <v>0</v>
      </c>
      <c r="H488">
        <v>928990</v>
      </c>
      <c r="I488">
        <v>0</v>
      </c>
      <c r="J488">
        <v>0</v>
      </c>
      <c r="K488" s="249">
        <v>12600</v>
      </c>
      <c r="L488" s="249">
        <v>13167</v>
      </c>
      <c r="M488" s="249">
        <v>13772.682000000001</v>
      </c>
      <c r="N488" s="249">
        <v>14406.225372000001</v>
      </c>
    </row>
    <row r="489" spans="1:14" x14ac:dyDescent="0.25">
      <c r="A489" t="s">
        <v>507</v>
      </c>
      <c r="C489" t="s">
        <v>300</v>
      </c>
      <c r="D489" s="67">
        <v>22976</v>
      </c>
      <c r="E489">
        <v>0</v>
      </c>
      <c r="F489">
        <v>0</v>
      </c>
      <c r="G489">
        <v>0</v>
      </c>
      <c r="H489">
        <v>928990</v>
      </c>
      <c r="I489">
        <v>0</v>
      </c>
      <c r="J489">
        <v>0</v>
      </c>
      <c r="K489" s="249">
        <v>22976</v>
      </c>
      <c r="L489" s="249">
        <v>24009.919999999998</v>
      </c>
      <c r="M489" s="249">
        <v>25114.376319999999</v>
      </c>
      <c r="N489" s="249">
        <v>26269.637630720001</v>
      </c>
    </row>
    <row r="490" spans="1:14" x14ac:dyDescent="0.25">
      <c r="J490">
        <v>0</v>
      </c>
    </row>
    <row r="491" spans="1:14" x14ac:dyDescent="0.25">
      <c r="C491" t="s">
        <v>304</v>
      </c>
      <c r="D491" s="67">
        <v>36125</v>
      </c>
      <c r="E491">
        <v>0</v>
      </c>
      <c r="F491">
        <v>0</v>
      </c>
      <c r="G491">
        <v>0</v>
      </c>
      <c r="H491">
        <v>2786970</v>
      </c>
      <c r="I491">
        <v>25.47</v>
      </c>
      <c r="J491">
        <v>0</v>
      </c>
      <c r="K491" s="249">
        <v>36125</v>
      </c>
      <c r="L491" s="249">
        <v>37750.625</v>
      </c>
      <c r="M491" s="249">
        <v>39487.153749999998</v>
      </c>
      <c r="N491" s="249">
        <v>41303.562822500004</v>
      </c>
    </row>
    <row r="492" spans="1:14" x14ac:dyDescent="0.25">
      <c r="J492">
        <v>0</v>
      </c>
    </row>
    <row r="493" spans="1:14" x14ac:dyDescent="0.25">
      <c r="C493" t="s">
        <v>305</v>
      </c>
      <c r="D493" s="67">
        <v>3122838</v>
      </c>
      <c r="E493">
        <v>0</v>
      </c>
      <c r="F493">
        <v>0</v>
      </c>
      <c r="G493">
        <v>0</v>
      </c>
      <c r="H493">
        <v>28798690</v>
      </c>
      <c r="I493">
        <v>27.76</v>
      </c>
      <c r="J493">
        <v>-747418.81999999983</v>
      </c>
      <c r="K493" s="249">
        <v>2375419.1800000002</v>
      </c>
      <c r="L493" s="249">
        <v>2010211.1537500001</v>
      </c>
      <c r="M493" s="249">
        <v>2145702.9709124998</v>
      </c>
      <c r="N493" s="249">
        <v>2290445.3989507747</v>
      </c>
    </row>
    <row r="494" spans="1:14" x14ac:dyDescent="0.25">
      <c r="J494">
        <v>0</v>
      </c>
    </row>
    <row r="495" spans="1:14" x14ac:dyDescent="0.25">
      <c r="C495" t="s">
        <v>306</v>
      </c>
      <c r="D495" s="67">
        <v>3122838</v>
      </c>
      <c r="E495">
        <v>0</v>
      </c>
      <c r="F495">
        <v>0</v>
      </c>
      <c r="G495">
        <v>0</v>
      </c>
      <c r="H495">
        <v>28798690</v>
      </c>
      <c r="I495">
        <v>27.76</v>
      </c>
      <c r="J495">
        <v>-747418.81999999983</v>
      </c>
      <c r="K495" s="249">
        <v>2375419.1800000002</v>
      </c>
      <c r="L495" s="249">
        <v>2010211.1537500001</v>
      </c>
      <c r="M495" s="249">
        <v>2145702.9709124998</v>
      </c>
      <c r="N495" s="249">
        <v>2290445.3989507747</v>
      </c>
    </row>
    <row r="496" spans="1:14" x14ac:dyDescent="0.25">
      <c r="J496">
        <v>0</v>
      </c>
    </row>
    <row r="497" spans="1:14" x14ac:dyDescent="0.25">
      <c r="C497" t="s">
        <v>508</v>
      </c>
      <c r="J497">
        <v>0</v>
      </c>
    </row>
    <row r="498" spans="1:14" x14ac:dyDescent="0.25">
      <c r="C498" t="s">
        <v>9</v>
      </c>
      <c r="J498">
        <v>0</v>
      </c>
    </row>
    <row r="499" spans="1:14" x14ac:dyDescent="0.25">
      <c r="J499">
        <v>0</v>
      </c>
    </row>
    <row r="500" spans="1:14" x14ac:dyDescent="0.25">
      <c r="C500" t="s">
        <v>56</v>
      </c>
      <c r="J500">
        <v>0</v>
      </c>
    </row>
    <row r="501" spans="1:14" x14ac:dyDescent="0.25">
      <c r="J501">
        <v>0</v>
      </c>
    </row>
    <row r="502" spans="1:14" x14ac:dyDescent="0.25">
      <c r="A502" t="s">
        <v>509</v>
      </c>
      <c r="C502" t="s">
        <v>63</v>
      </c>
      <c r="D502" s="67">
        <v>0</v>
      </c>
      <c r="E502">
        <v>-3359.36</v>
      </c>
      <c r="F502">
        <v>0</v>
      </c>
      <c r="G502">
        <v>-23178.240000000002</v>
      </c>
      <c r="H502">
        <v>23178.240000000002</v>
      </c>
      <c r="I502">
        <v>0</v>
      </c>
      <c r="J502">
        <v>0</v>
      </c>
      <c r="K502" s="249">
        <v>-50000</v>
      </c>
      <c r="L502" s="249">
        <v>-52450</v>
      </c>
      <c r="M502" s="249">
        <v>-54967.6</v>
      </c>
      <c r="N502" s="249">
        <v>-57606.044799999996</v>
      </c>
    </row>
    <row r="503" spans="1:14" x14ac:dyDescent="0.25">
      <c r="J503">
        <v>0</v>
      </c>
    </row>
    <row r="504" spans="1:14" x14ac:dyDescent="0.25">
      <c r="C504" t="s">
        <v>64</v>
      </c>
      <c r="D504" s="67">
        <v>0</v>
      </c>
      <c r="E504">
        <v>-3359.36</v>
      </c>
      <c r="F504">
        <v>0</v>
      </c>
      <c r="G504">
        <v>-23178.240000000002</v>
      </c>
      <c r="H504">
        <v>23178.240000000002</v>
      </c>
      <c r="I504">
        <v>0</v>
      </c>
      <c r="J504">
        <v>0</v>
      </c>
      <c r="K504" s="249">
        <v>-50000</v>
      </c>
      <c r="L504" s="249">
        <v>-52450</v>
      </c>
      <c r="M504" s="249">
        <v>-54967.6</v>
      </c>
      <c r="N504" s="249">
        <v>-57606.044799999996</v>
      </c>
    </row>
    <row r="505" spans="1:14" x14ac:dyDescent="0.25">
      <c r="J505">
        <v>0</v>
      </c>
    </row>
    <row r="506" spans="1:14" x14ac:dyDescent="0.25">
      <c r="C506" t="s">
        <v>70</v>
      </c>
      <c r="J506">
        <v>0</v>
      </c>
    </row>
    <row r="507" spans="1:14" x14ac:dyDescent="0.25">
      <c r="J507">
        <v>0</v>
      </c>
    </row>
    <row r="508" spans="1:14" x14ac:dyDescent="0.25">
      <c r="C508" t="s">
        <v>81</v>
      </c>
      <c r="J508">
        <v>0</v>
      </c>
    </row>
    <row r="509" spans="1:14" x14ac:dyDescent="0.25">
      <c r="J509">
        <v>0</v>
      </c>
    </row>
    <row r="510" spans="1:14" x14ac:dyDescent="0.25">
      <c r="A510" t="s">
        <v>510</v>
      </c>
      <c r="C510" t="s">
        <v>86</v>
      </c>
      <c r="D510" s="67">
        <v>-10462</v>
      </c>
      <c r="E510">
        <v>0</v>
      </c>
      <c r="F510">
        <v>0</v>
      </c>
      <c r="G510">
        <v>-9352.99</v>
      </c>
      <c r="H510">
        <v>-1109.01</v>
      </c>
      <c r="I510">
        <v>89.39</v>
      </c>
      <c r="J510">
        <v>0</v>
      </c>
      <c r="K510" s="249">
        <v>-30462</v>
      </c>
      <c r="L510" s="249">
        <v>-31832.79</v>
      </c>
      <c r="M510" s="249">
        <v>-33297.098340000004</v>
      </c>
      <c r="N510" s="249">
        <v>-34828.764863640004</v>
      </c>
    </row>
    <row r="512" spans="1:14" x14ac:dyDescent="0.25">
      <c r="C512" t="s">
        <v>90</v>
      </c>
      <c r="D512" s="67">
        <v>-10462</v>
      </c>
      <c r="E512">
        <v>0</v>
      </c>
      <c r="F512">
        <v>0</v>
      </c>
      <c r="G512">
        <v>-9352.99</v>
      </c>
      <c r="H512">
        <v>-1109.01</v>
      </c>
      <c r="I512">
        <v>0</v>
      </c>
      <c r="K512" s="249">
        <v>-30462</v>
      </c>
      <c r="L512" s="249">
        <v>-31832.79</v>
      </c>
      <c r="M512" s="249">
        <v>-33297.098340000004</v>
      </c>
      <c r="N512" s="249">
        <v>-34828.764863640004</v>
      </c>
    </row>
    <row r="514" spans="1:14" x14ac:dyDescent="0.25">
      <c r="C514" t="s">
        <v>95</v>
      </c>
      <c r="D514" s="67">
        <v>-10462</v>
      </c>
      <c r="E514">
        <v>-3359.36</v>
      </c>
      <c r="F514">
        <v>0</v>
      </c>
      <c r="G514">
        <v>-32531.230000000003</v>
      </c>
      <c r="H514">
        <v>22069.230000000003</v>
      </c>
      <c r="I514">
        <v>221.54</v>
      </c>
      <c r="J514">
        <v>-70000</v>
      </c>
      <c r="K514" s="249">
        <v>-80462</v>
      </c>
      <c r="L514" s="249">
        <v>-84282.790000000008</v>
      </c>
      <c r="M514" s="249">
        <v>-88264.698340000003</v>
      </c>
      <c r="N514" s="249">
        <v>-92434.809663640001</v>
      </c>
    </row>
    <row r="516" spans="1:14" x14ac:dyDescent="0.25">
      <c r="C516" t="s">
        <v>96</v>
      </c>
    </row>
    <row r="517" spans="1:14" x14ac:dyDescent="0.25">
      <c r="C517" t="s">
        <v>97</v>
      </c>
    </row>
    <row r="518" spans="1:14" x14ac:dyDescent="0.25">
      <c r="C518" t="s">
        <v>148</v>
      </c>
    </row>
    <row r="519" spans="1:14" x14ac:dyDescent="0.25">
      <c r="C519" t="s">
        <v>149</v>
      </c>
    </row>
    <row r="521" spans="1:14" x14ac:dyDescent="0.25">
      <c r="A521" t="s">
        <v>511</v>
      </c>
      <c r="C521" t="s">
        <v>150</v>
      </c>
      <c r="D521" s="67">
        <v>663000</v>
      </c>
      <c r="E521">
        <v>0</v>
      </c>
      <c r="F521">
        <v>0</v>
      </c>
      <c r="G521">
        <v>0</v>
      </c>
      <c r="H521">
        <v>928990</v>
      </c>
      <c r="I521">
        <v>0</v>
      </c>
      <c r="J521">
        <v>0</v>
      </c>
      <c r="K521" s="249">
        <v>663000</v>
      </c>
      <c r="L521" s="249">
        <v>704437.5</v>
      </c>
      <c r="M521" s="249">
        <v>753748.125</v>
      </c>
      <c r="N521" s="249">
        <v>806510.49375000002</v>
      </c>
    </row>
    <row r="522" spans="1:14" x14ac:dyDescent="0.25">
      <c r="A522" t="s">
        <v>512</v>
      </c>
      <c r="C522" t="s">
        <v>151</v>
      </c>
      <c r="D522" s="67">
        <v>29299</v>
      </c>
      <c r="E522">
        <v>0</v>
      </c>
      <c r="F522">
        <v>0</v>
      </c>
      <c r="G522">
        <v>0</v>
      </c>
      <c r="H522">
        <v>928990</v>
      </c>
      <c r="I522">
        <v>0</v>
      </c>
      <c r="J522">
        <v>-20831.909999999996</v>
      </c>
      <c r="K522" s="249">
        <v>8467.0900000000038</v>
      </c>
      <c r="L522" s="249">
        <v>8996.2831250000036</v>
      </c>
      <c r="M522" s="249">
        <v>9626.0229437500038</v>
      </c>
      <c r="N522" s="249">
        <v>10299.844549812504</v>
      </c>
    </row>
    <row r="523" spans="1:14" x14ac:dyDescent="0.25">
      <c r="A523" t="s">
        <v>513</v>
      </c>
      <c r="C523" t="s">
        <v>152</v>
      </c>
      <c r="D523" s="67">
        <v>24000</v>
      </c>
      <c r="E523">
        <v>0</v>
      </c>
      <c r="F523">
        <v>0</v>
      </c>
      <c r="G523">
        <v>0</v>
      </c>
      <c r="H523">
        <v>928990</v>
      </c>
      <c r="I523">
        <v>0</v>
      </c>
      <c r="J523">
        <v>0</v>
      </c>
      <c r="K523" s="249">
        <v>24000</v>
      </c>
      <c r="L523" s="249">
        <v>25500</v>
      </c>
      <c r="M523" s="249">
        <v>27285</v>
      </c>
      <c r="N523" s="249">
        <v>29194.95</v>
      </c>
    </row>
    <row r="524" spans="1:14" x14ac:dyDescent="0.25">
      <c r="A524" t="s">
        <v>514</v>
      </c>
      <c r="C524" t="s">
        <v>153</v>
      </c>
      <c r="D524" s="67">
        <v>10893</v>
      </c>
      <c r="E524">
        <v>0</v>
      </c>
      <c r="F524">
        <v>0</v>
      </c>
      <c r="G524">
        <v>0</v>
      </c>
      <c r="H524">
        <v>928990</v>
      </c>
      <c r="I524">
        <v>0</v>
      </c>
      <c r="J524">
        <v>0</v>
      </c>
      <c r="K524" s="249">
        <v>10893</v>
      </c>
      <c r="L524" s="249">
        <v>11573.8125</v>
      </c>
      <c r="M524" s="249">
        <v>12383.979375000001</v>
      </c>
      <c r="N524" s="249">
        <v>13250.857931250001</v>
      </c>
    </row>
    <row r="525" spans="1:14" x14ac:dyDescent="0.25">
      <c r="A525" t="s">
        <v>515</v>
      </c>
      <c r="C525" t="s">
        <v>155</v>
      </c>
      <c r="D525" s="67">
        <v>20806</v>
      </c>
      <c r="E525">
        <v>0</v>
      </c>
      <c r="F525">
        <v>0</v>
      </c>
      <c r="G525">
        <v>0</v>
      </c>
      <c r="H525">
        <v>928990</v>
      </c>
      <c r="I525">
        <v>0</v>
      </c>
      <c r="J525">
        <v>101194</v>
      </c>
      <c r="K525" s="249">
        <v>122000</v>
      </c>
      <c r="L525" s="249">
        <v>129625</v>
      </c>
      <c r="M525" s="249">
        <v>138698.75</v>
      </c>
      <c r="N525" s="249">
        <v>148407.66250000001</v>
      </c>
    </row>
    <row r="526" spans="1:14" x14ac:dyDescent="0.25">
      <c r="A526" t="s">
        <v>516</v>
      </c>
      <c r="C526" t="s">
        <v>156</v>
      </c>
      <c r="D526" s="67">
        <v>156750</v>
      </c>
      <c r="E526">
        <v>0</v>
      </c>
      <c r="F526">
        <v>0</v>
      </c>
      <c r="G526">
        <v>0</v>
      </c>
      <c r="H526">
        <v>928990</v>
      </c>
      <c r="I526">
        <v>0</v>
      </c>
      <c r="J526">
        <v>0</v>
      </c>
      <c r="K526" s="249">
        <v>156750</v>
      </c>
      <c r="L526" s="249">
        <v>166546.875</v>
      </c>
      <c r="M526" s="249">
        <v>178205.15625</v>
      </c>
      <c r="N526" s="249">
        <v>190679.51718749999</v>
      </c>
    </row>
    <row r="527" spans="1:14" x14ac:dyDescent="0.25">
      <c r="A527" t="s">
        <v>517</v>
      </c>
      <c r="C527" t="s">
        <v>158</v>
      </c>
      <c r="D527" s="67">
        <v>12657</v>
      </c>
      <c r="E527">
        <v>0</v>
      </c>
      <c r="F527">
        <v>0</v>
      </c>
      <c r="G527">
        <v>0</v>
      </c>
      <c r="H527">
        <v>928990</v>
      </c>
      <c r="I527">
        <v>0</v>
      </c>
      <c r="J527">
        <v>-12657</v>
      </c>
      <c r="K527" s="249">
        <v>0</v>
      </c>
      <c r="L527" s="249">
        <v>0</v>
      </c>
      <c r="M527" s="249">
        <v>0</v>
      </c>
      <c r="N527" s="249">
        <v>0</v>
      </c>
    </row>
    <row r="528" spans="1:14" x14ac:dyDescent="0.25">
      <c r="A528" t="s">
        <v>518</v>
      </c>
      <c r="C528" t="s">
        <v>159</v>
      </c>
      <c r="D528" s="67">
        <v>52250</v>
      </c>
      <c r="E528">
        <v>0</v>
      </c>
      <c r="F528">
        <v>0</v>
      </c>
      <c r="G528">
        <v>0</v>
      </c>
      <c r="H528">
        <v>928990</v>
      </c>
      <c r="I528">
        <v>0</v>
      </c>
      <c r="J528">
        <v>0</v>
      </c>
      <c r="K528" s="249">
        <v>52250</v>
      </c>
      <c r="L528" s="249">
        <v>55515.625</v>
      </c>
      <c r="M528" s="249">
        <v>59401.71875</v>
      </c>
      <c r="N528" s="249">
        <v>63559.839062500003</v>
      </c>
    </row>
    <row r="529" spans="1:14" x14ac:dyDescent="0.25">
      <c r="A529" t="s">
        <v>519</v>
      </c>
      <c r="C529" t="s">
        <v>164</v>
      </c>
      <c r="D529" s="67">
        <v>15692</v>
      </c>
      <c r="E529">
        <v>0</v>
      </c>
      <c r="F529">
        <v>0</v>
      </c>
      <c r="G529">
        <v>0</v>
      </c>
      <c r="H529">
        <v>928990</v>
      </c>
      <c r="I529">
        <v>0</v>
      </c>
      <c r="J529">
        <v>0</v>
      </c>
      <c r="K529" s="249">
        <v>15692</v>
      </c>
      <c r="L529" s="249">
        <v>16672.75</v>
      </c>
      <c r="M529" s="249">
        <v>17839.842499999999</v>
      </c>
      <c r="N529" s="249">
        <v>19088.631474999998</v>
      </c>
    </row>
    <row r="530" spans="1:14" x14ac:dyDescent="0.25">
      <c r="J530">
        <v>0</v>
      </c>
    </row>
    <row r="531" spans="1:14" x14ac:dyDescent="0.25">
      <c r="C531" t="s">
        <v>165</v>
      </c>
      <c r="D531" s="67">
        <v>985347</v>
      </c>
      <c r="E531">
        <v>78342.05</v>
      </c>
      <c r="F531">
        <v>0</v>
      </c>
      <c r="G531">
        <v>442716.85</v>
      </c>
      <c r="H531">
        <v>542630.15</v>
      </c>
      <c r="I531">
        <v>44.93</v>
      </c>
      <c r="J531">
        <v>67705.089999999851</v>
      </c>
      <c r="K531" s="249">
        <v>1053052.0899999999</v>
      </c>
      <c r="L531" s="249">
        <v>1118867.8456250001</v>
      </c>
      <c r="M531" s="249">
        <v>1197188.5948187502</v>
      </c>
      <c r="N531" s="249">
        <v>1280991.7964560625</v>
      </c>
    </row>
    <row r="532" spans="1:14" x14ac:dyDescent="0.25">
      <c r="J532">
        <v>0</v>
      </c>
    </row>
    <row r="533" spans="1:14" x14ac:dyDescent="0.25">
      <c r="C533" t="s">
        <v>166</v>
      </c>
      <c r="J533">
        <v>0</v>
      </c>
    </row>
    <row r="534" spans="1:14" x14ac:dyDescent="0.25">
      <c r="J534">
        <v>0</v>
      </c>
    </row>
    <row r="535" spans="1:14" x14ac:dyDescent="0.25">
      <c r="A535" t="s">
        <v>520</v>
      </c>
      <c r="C535" t="s">
        <v>167</v>
      </c>
      <c r="D535" s="67">
        <v>112</v>
      </c>
      <c r="E535">
        <v>0</v>
      </c>
      <c r="F535">
        <v>0</v>
      </c>
      <c r="G535">
        <v>0</v>
      </c>
      <c r="H535">
        <v>928990</v>
      </c>
      <c r="I535">
        <v>0</v>
      </c>
      <c r="J535">
        <v>0</v>
      </c>
      <c r="K535" s="249">
        <v>112</v>
      </c>
      <c r="L535" s="249">
        <v>119</v>
      </c>
      <c r="M535" s="249">
        <v>127.33</v>
      </c>
      <c r="N535" s="249">
        <v>136.2431</v>
      </c>
    </row>
    <row r="536" spans="1:14" x14ac:dyDescent="0.25">
      <c r="A536" t="s">
        <v>521</v>
      </c>
      <c r="C536" t="s">
        <v>168</v>
      </c>
      <c r="D536" s="67">
        <v>53908</v>
      </c>
      <c r="E536">
        <v>0</v>
      </c>
      <c r="F536">
        <v>0</v>
      </c>
      <c r="G536">
        <v>0</v>
      </c>
      <c r="H536">
        <v>928990</v>
      </c>
      <c r="I536">
        <v>0</v>
      </c>
      <c r="J536">
        <v>0</v>
      </c>
      <c r="K536" s="249">
        <v>53908</v>
      </c>
      <c r="L536" s="249">
        <v>57277.25</v>
      </c>
      <c r="M536" s="249">
        <v>61286.657500000001</v>
      </c>
      <c r="N536" s="249">
        <v>65576.723525000009</v>
      </c>
    </row>
    <row r="537" spans="1:14" x14ac:dyDescent="0.25">
      <c r="A537" t="s">
        <v>522</v>
      </c>
      <c r="C537" t="s">
        <v>169</v>
      </c>
      <c r="D537" s="67">
        <v>137940</v>
      </c>
      <c r="E537">
        <v>0</v>
      </c>
      <c r="F537">
        <v>0</v>
      </c>
      <c r="G537">
        <v>0</v>
      </c>
      <c r="H537">
        <v>928990</v>
      </c>
      <c r="I537">
        <v>0</v>
      </c>
      <c r="J537">
        <v>0</v>
      </c>
      <c r="K537" s="249">
        <v>137940</v>
      </c>
      <c r="L537" s="249">
        <v>146561.25</v>
      </c>
      <c r="M537" s="249">
        <v>156820.53750000001</v>
      </c>
      <c r="N537" s="249">
        <v>167797.975125</v>
      </c>
    </row>
    <row r="538" spans="1:14" x14ac:dyDescent="0.25">
      <c r="A538" t="s">
        <v>523</v>
      </c>
      <c r="C538" t="s">
        <v>170</v>
      </c>
      <c r="D538" s="67">
        <v>3570</v>
      </c>
      <c r="E538">
        <v>0</v>
      </c>
      <c r="F538">
        <v>0</v>
      </c>
      <c r="G538">
        <v>0</v>
      </c>
      <c r="H538">
        <v>928990</v>
      </c>
      <c r="I538">
        <v>0</v>
      </c>
      <c r="J538">
        <v>0</v>
      </c>
      <c r="K538" s="249">
        <v>3570</v>
      </c>
      <c r="L538" s="249">
        <v>3793.125</v>
      </c>
      <c r="M538" s="249">
        <v>4058.6437500000002</v>
      </c>
      <c r="N538" s="249">
        <v>4342.7488125</v>
      </c>
    </row>
    <row r="539" spans="1:14" x14ac:dyDescent="0.25">
      <c r="J539">
        <v>0</v>
      </c>
    </row>
    <row r="540" spans="1:14" x14ac:dyDescent="0.25">
      <c r="C540" t="s">
        <v>171</v>
      </c>
      <c r="D540" s="67">
        <v>195530</v>
      </c>
      <c r="E540">
        <v>0</v>
      </c>
      <c r="F540">
        <v>0</v>
      </c>
      <c r="G540">
        <v>0</v>
      </c>
      <c r="H540">
        <v>3715960</v>
      </c>
      <c r="I540">
        <v>50.29</v>
      </c>
      <c r="J540">
        <v>0</v>
      </c>
      <c r="K540" s="249">
        <v>195530</v>
      </c>
      <c r="L540" s="249">
        <v>207750.625</v>
      </c>
      <c r="M540" s="249">
        <v>222293.16875000001</v>
      </c>
      <c r="N540" s="249">
        <v>237853.69056250001</v>
      </c>
    </row>
    <row r="541" spans="1:14" x14ac:dyDescent="0.25">
      <c r="J541">
        <v>0</v>
      </c>
    </row>
    <row r="542" spans="1:14" x14ac:dyDescent="0.25">
      <c r="C542" t="s">
        <v>172</v>
      </c>
      <c r="J542">
        <v>0</v>
      </c>
    </row>
    <row r="543" spans="1:14" x14ac:dyDescent="0.25">
      <c r="J543">
        <v>0</v>
      </c>
    </row>
    <row r="544" spans="1:14" x14ac:dyDescent="0.25">
      <c r="A544" t="s">
        <v>524</v>
      </c>
      <c r="C544" t="s">
        <v>173</v>
      </c>
      <c r="D544" s="67">
        <v>5543</v>
      </c>
      <c r="E544">
        <v>0</v>
      </c>
      <c r="F544">
        <v>0</v>
      </c>
      <c r="G544">
        <v>0</v>
      </c>
      <c r="H544">
        <v>928990</v>
      </c>
      <c r="I544">
        <v>0</v>
      </c>
      <c r="J544">
        <v>0</v>
      </c>
      <c r="K544" s="249">
        <v>5543</v>
      </c>
      <c r="L544" s="249">
        <v>5889.4375</v>
      </c>
      <c r="M544" s="249">
        <v>6301.6981249999999</v>
      </c>
      <c r="N544" s="249">
        <v>6742.8169937499997</v>
      </c>
    </row>
    <row r="545" spans="1:14" x14ac:dyDescent="0.25">
      <c r="A545" t="s">
        <v>525</v>
      </c>
      <c r="C545" t="s">
        <v>174</v>
      </c>
      <c r="D545" s="67">
        <v>8283</v>
      </c>
      <c r="E545">
        <v>0</v>
      </c>
      <c r="F545">
        <v>0</v>
      </c>
      <c r="G545">
        <v>0</v>
      </c>
      <c r="H545">
        <v>928990</v>
      </c>
      <c r="I545">
        <v>0</v>
      </c>
      <c r="J545">
        <v>0</v>
      </c>
      <c r="K545" s="249">
        <v>8283</v>
      </c>
      <c r="L545" s="249">
        <v>8800.6875</v>
      </c>
      <c r="M545" s="249">
        <v>9416.7356249999993</v>
      </c>
      <c r="N545" s="249">
        <v>10075.907118749999</v>
      </c>
    </row>
    <row r="546" spans="1:14" x14ac:dyDescent="0.25">
      <c r="A546" t="s">
        <v>526</v>
      </c>
      <c r="C546" t="s">
        <v>175</v>
      </c>
      <c r="D546" s="67">
        <v>10931</v>
      </c>
      <c r="E546">
        <v>0</v>
      </c>
      <c r="F546">
        <v>0</v>
      </c>
      <c r="G546">
        <v>0</v>
      </c>
      <c r="H546">
        <v>928990</v>
      </c>
      <c r="I546">
        <v>0</v>
      </c>
      <c r="J546">
        <v>0</v>
      </c>
      <c r="K546" s="249">
        <v>10931</v>
      </c>
      <c r="L546" s="249">
        <v>11614.1875</v>
      </c>
      <c r="M546" s="249">
        <v>12427.180625000001</v>
      </c>
      <c r="N546" s="249">
        <v>13297.083268750001</v>
      </c>
    </row>
    <row r="547" spans="1:14" x14ac:dyDescent="0.25">
      <c r="J547">
        <v>0</v>
      </c>
    </row>
    <row r="548" spans="1:14" x14ac:dyDescent="0.25">
      <c r="C548" t="s">
        <v>176</v>
      </c>
      <c r="D548" s="67">
        <v>24757</v>
      </c>
      <c r="E548">
        <v>0</v>
      </c>
      <c r="F548">
        <v>0</v>
      </c>
      <c r="G548">
        <v>0</v>
      </c>
      <c r="H548">
        <v>2786970</v>
      </c>
      <c r="I548">
        <v>0</v>
      </c>
      <c r="J548">
        <v>0</v>
      </c>
      <c r="K548" s="249">
        <v>24757</v>
      </c>
      <c r="L548" s="249">
        <v>26304.3125</v>
      </c>
      <c r="M548" s="249">
        <v>28145.614375000001</v>
      </c>
      <c r="N548" s="249">
        <v>30115.807381250001</v>
      </c>
    </row>
    <row r="549" spans="1:14" x14ac:dyDescent="0.25">
      <c r="J549">
        <v>0</v>
      </c>
    </row>
    <row r="550" spans="1:14" x14ac:dyDescent="0.25">
      <c r="C550" t="s">
        <v>177</v>
      </c>
      <c r="D550" s="67">
        <v>1205634</v>
      </c>
      <c r="E550">
        <v>78342.05</v>
      </c>
      <c r="F550">
        <v>0</v>
      </c>
      <c r="G550">
        <v>442716.85</v>
      </c>
      <c r="H550">
        <v>7045560.1500000004</v>
      </c>
      <c r="I550">
        <v>44.87</v>
      </c>
      <c r="J550">
        <v>67705.089999999851</v>
      </c>
      <c r="K550" s="249">
        <v>1273339.0899999999</v>
      </c>
      <c r="L550" s="249">
        <v>1352922.7831250001</v>
      </c>
      <c r="M550" s="249">
        <v>1447627.37794375</v>
      </c>
      <c r="N550" s="249">
        <v>1548961.2943998124</v>
      </c>
    </row>
    <row r="551" spans="1:14" x14ac:dyDescent="0.25">
      <c r="J551">
        <v>0</v>
      </c>
    </row>
    <row r="552" spans="1:14" x14ac:dyDescent="0.25">
      <c r="C552" t="s">
        <v>178</v>
      </c>
      <c r="D552" s="67">
        <v>1205634</v>
      </c>
      <c r="E552">
        <v>78342.05</v>
      </c>
      <c r="F552">
        <v>0</v>
      </c>
      <c r="G552">
        <v>442716.85</v>
      </c>
      <c r="H552">
        <v>7045560.1500000004</v>
      </c>
      <c r="I552">
        <v>44.87</v>
      </c>
      <c r="J552">
        <v>67705.089999999851</v>
      </c>
      <c r="K552" s="249">
        <v>1273339.0899999999</v>
      </c>
      <c r="L552" s="249">
        <v>1352922.7831250001</v>
      </c>
      <c r="M552" s="249">
        <v>1447627.37794375</v>
      </c>
      <c r="N552" s="249">
        <v>1548961.2943998124</v>
      </c>
    </row>
    <row r="553" spans="1:14" x14ac:dyDescent="0.25">
      <c r="J553">
        <v>0</v>
      </c>
    </row>
    <row r="554" spans="1:14" x14ac:dyDescent="0.25">
      <c r="C554" t="s">
        <v>208</v>
      </c>
      <c r="J554">
        <v>0</v>
      </c>
    </row>
    <row r="555" spans="1:14" x14ac:dyDescent="0.25">
      <c r="J555">
        <v>0</v>
      </c>
    </row>
    <row r="556" spans="1:14" x14ac:dyDescent="0.25">
      <c r="C556" t="s">
        <v>209</v>
      </c>
      <c r="J556">
        <v>0</v>
      </c>
    </row>
    <row r="557" spans="1:14" x14ac:dyDescent="0.25">
      <c r="J557">
        <v>0</v>
      </c>
    </row>
    <row r="558" spans="1:14" x14ac:dyDescent="0.25">
      <c r="A558" t="s">
        <v>527</v>
      </c>
      <c r="C558" t="s">
        <v>212</v>
      </c>
      <c r="D558" s="67">
        <v>802176</v>
      </c>
      <c r="E558">
        <v>0</v>
      </c>
      <c r="F558">
        <v>0</v>
      </c>
      <c r="G558">
        <v>0</v>
      </c>
      <c r="H558">
        <v>928990</v>
      </c>
      <c r="I558">
        <v>0</v>
      </c>
      <c r="J558">
        <v>-100000</v>
      </c>
      <c r="K558" s="249">
        <v>702176</v>
      </c>
      <c r="L558" s="249">
        <v>733773.92</v>
      </c>
      <c r="M558" s="249">
        <v>767527.52032000001</v>
      </c>
      <c r="N558" s="249">
        <v>802833.78625472006</v>
      </c>
    </row>
    <row r="559" spans="1:14" x14ac:dyDescent="0.25">
      <c r="J559">
        <v>0</v>
      </c>
    </row>
    <row r="560" spans="1:14" x14ac:dyDescent="0.25">
      <c r="C560" t="s">
        <v>217</v>
      </c>
      <c r="D560" s="67">
        <v>802176</v>
      </c>
      <c r="E560">
        <v>0</v>
      </c>
      <c r="F560">
        <v>32745</v>
      </c>
      <c r="G560">
        <v>100692</v>
      </c>
      <c r="H560">
        <v>701484</v>
      </c>
      <c r="I560">
        <v>12.55</v>
      </c>
      <c r="J560">
        <v>-100000</v>
      </c>
      <c r="K560" s="249">
        <v>702176</v>
      </c>
      <c r="L560" s="249">
        <v>733773.92</v>
      </c>
      <c r="M560" s="249">
        <v>767527.52032000001</v>
      </c>
      <c r="N560" s="249">
        <v>802833.78625472006</v>
      </c>
    </row>
    <row r="561" spans="1:14" x14ac:dyDescent="0.25">
      <c r="J561">
        <v>0</v>
      </c>
    </row>
    <row r="562" spans="1:14" x14ac:dyDescent="0.25">
      <c r="C562" t="s">
        <v>218</v>
      </c>
      <c r="J562">
        <v>0</v>
      </c>
    </row>
    <row r="563" spans="1:14" x14ac:dyDescent="0.25">
      <c r="J563">
        <v>0</v>
      </c>
    </row>
    <row r="564" spans="1:14" x14ac:dyDescent="0.25">
      <c r="A564" t="s">
        <v>528</v>
      </c>
      <c r="B564" t="s">
        <v>1396</v>
      </c>
      <c r="C564" t="s">
        <v>224</v>
      </c>
      <c r="D564" s="67">
        <v>1200000</v>
      </c>
      <c r="E564">
        <v>0</v>
      </c>
      <c r="F564">
        <v>0</v>
      </c>
      <c r="G564">
        <v>0</v>
      </c>
      <c r="H564">
        <v>928990</v>
      </c>
      <c r="I564">
        <v>0</v>
      </c>
      <c r="J564">
        <v>-200000</v>
      </c>
      <c r="K564" s="249">
        <v>1000000</v>
      </c>
      <c r="L564" s="249">
        <v>0</v>
      </c>
      <c r="M564" s="249">
        <v>0</v>
      </c>
      <c r="N564" s="249">
        <v>0</v>
      </c>
    </row>
    <row r="565" spans="1:14" x14ac:dyDescent="0.25">
      <c r="A565" t="s">
        <v>529</v>
      </c>
      <c r="C565" t="s">
        <v>225</v>
      </c>
      <c r="D565" s="67">
        <v>600000</v>
      </c>
      <c r="E565">
        <v>0</v>
      </c>
      <c r="F565">
        <v>0</v>
      </c>
      <c r="G565">
        <v>0</v>
      </c>
      <c r="H565">
        <v>928990</v>
      </c>
      <c r="I565">
        <v>0</v>
      </c>
      <c r="J565">
        <v>-100000</v>
      </c>
      <c r="K565" s="249">
        <v>500000</v>
      </c>
      <c r="L565" s="249">
        <v>0</v>
      </c>
      <c r="M565" s="249">
        <v>0</v>
      </c>
      <c r="N565" s="249">
        <v>0</v>
      </c>
    </row>
    <row r="566" spans="1:14" x14ac:dyDescent="0.25">
      <c r="A566" t="s">
        <v>530</v>
      </c>
      <c r="C566" t="s">
        <v>225</v>
      </c>
      <c r="D566" s="67">
        <v>500000</v>
      </c>
      <c r="E566">
        <v>0</v>
      </c>
      <c r="F566">
        <v>0</v>
      </c>
      <c r="G566">
        <v>0</v>
      </c>
      <c r="H566">
        <v>928990</v>
      </c>
      <c r="I566">
        <v>0</v>
      </c>
      <c r="J566">
        <v>-15000</v>
      </c>
      <c r="K566" s="249">
        <v>485000</v>
      </c>
      <c r="L566" s="249">
        <v>500000</v>
      </c>
      <c r="M566" s="249">
        <v>0</v>
      </c>
      <c r="N566" s="249">
        <v>500000</v>
      </c>
    </row>
    <row r="567" spans="1:14" x14ac:dyDescent="0.25">
      <c r="A567" t="s">
        <v>531</v>
      </c>
      <c r="C567" t="s">
        <v>225</v>
      </c>
      <c r="D567" s="67">
        <v>80000</v>
      </c>
      <c r="E567">
        <v>0</v>
      </c>
      <c r="F567">
        <v>0</v>
      </c>
      <c r="G567">
        <v>0</v>
      </c>
      <c r="H567">
        <v>928990</v>
      </c>
      <c r="I567">
        <v>0</v>
      </c>
      <c r="J567">
        <v>0</v>
      </c>
      <c r="K567" s="249">
        <v>80000</v>
      </c>
      <c r="L567" s="249">
        <v>100000</v>
      </c>
      <c r="M567" s="249">
        <v>0</v>
      </c>
      <c r="N567" s="249">
        <v>0</v>
      </c>
    </row>
    <row r="568" spans="1:14" x14ac:dyDescent="0.25">
      <c r="A568" t="s">
        <v>532</v>
      </c>
      <c r="C568" t="s">
        <v>225</v>
      </c>
      <c r="D568" s="67">
        <v>1000000</v>
      </c>
      <c r="E568">
        <v>0</v>
      </c>
      <c r="F568">
        <v>0</v>
      </c>
      <c r="G568">
        <v>0</v>
      </c>
      <c r="H568">
        <v>928990</v>
      </c>
      <c r="I568">
        <v>0</v>
      </c>
      <c r="J568">
        <v>-106650</v>
      </c>
      <c r="K568" s="249">
        <v>893350</v>
      </c>
      <c r="L568" s="249">
        <v>540000</v>
      </c>
      <c r="M568" s="249">
        <v>0</v>
      </c>
      <c r="N568" s="249">
        <v>0</v>
      </c>
    </row>
    <row r="569" spans="1:14" x14ac:dyDescent="0.25">
      <c r="A569" t="s">
        <v>1339</v>
      </c>
      <c r="C569" t="s">
        <v>225</v>
      </c>
      <c r="D569" s="67">
        <v>0</v>
      </c>
      <c r="E569">
        <v>0</v>
      </c>
      <c r="F569">
        <v>0</v>
      </c>
      <c r="G569">
        <v>0</v>
      </c>
      <c r="H569">
        <v>928990</v>
      </c>
      <c r="I569">
        <v>0</v>
      </c>
      <c r="J569">
        <v>0</v>
      </c>
      <c r="K569" s="249">
        <v>0</v>
      </c>
      <c r="L569" s="249">
        <v>0</v>
      </c>
      <c r="M569" s="249">
        <v>200000</v>
      </c>
      <c r="N569" s="249">
        <v>200000</v>
      </c>
    </row>
    <row r="570" spans="1:14" x14ac:dyDescent="0.25">
      <c r="A570" t="s">
        <v>2746</v>
      </c>
      <c r="C570" t="s">
        <v>1340</v>
      </c>
      <c r="J570">
        <v>0</v>
      </c>
      <c r="K570" s="249">
        <v>0</v>
      </c>
      <c r="L570" s="249">
        <v>180000</v>
      </c>
      <c r="M570" s="249">
        <v>125000</v>
      </c>
      <c r="N570" s="249">
        <v>0</v>
      </c>
    </row>
    <row r="572" spans="1:14" x14ac:dyDescent="0.25">
      <c r="C572" t="s">
        <v>227</v>
      </c>
      <c r="D572" s="67">
        <v>3380000</v>
      </c>
      <c r="E572">
        <v>0</v>
      </c>
      <c r="F572">
        <v>0</v>
      </c>
      <c r="G572">
        <v>0</v>
      </c>
      <c r="H572">
        <v>5573940</v>
      </c>
      <c r="I572">
        <v>2.5499999999999998</v>
      </c>
      <c r="J572">
        <v>-421650</v>
      </c>
      <c r="K572" s="249">
        <v>2958350</v>
      </c>
      <c r="L572" s="249">
        <v>1320000</v>
      </c>
      <c r="M572" s="249">
        <v>325000</v>
      </c>
      <c r="N572" s="249">
        <v>700000</v>
      </c>
    </row>
    <row r="574" spans="1:14" x14ac:dyDescent="0.25">
      <c r="C574" t="s">
        <v>228</v>
      </c>
      <c r="J574">
        <v>0</v>
      </c>
    </row>
    <row r="576" spans="1:14" x14ac:dyDescent="0.25">
      <c r="A576" t="s">
        <v>533</v>
      </c>
      <c r="B576" t="s">
        <v>3057</v>
      </c>
      <c r="C576" t="s">
        <v>238</v>
      </c>
      <c r="D576" s="67">
        <v>74600</v>
      </c>
      <c r="E576">
        <v>0</v>
      </c>
      <c r="F576">
        <v>0</v>
      </c>
      <c r="G576">
        <v>0</v>
      </c>
      <c r="H576">
        <v>928990</v>
      </c>
      <c r="I576">
        <v>0</v>
      </c>
      <c r="J576">
        <v>0</v>
      </c>
      <c r="K576" s="249">
        <v>74600</v>
      </c>
      <c r="L576" s="249">
        <v>80000</v>
      </c>
      <c r="M576" s="249">
        <v>83680</v>
      </c>
      <c r="N576" s="249">
        <v>87529.279999999999</v>
      </c>
    </row>
    <row r="577" spans="1:14" x14ac:dyDescent="0.25">
      <c r="J577">
        <v>0</v>
      </c>
    </row>
    <row r="578" spans="1:14" x14ac:dyDescent="0.25">
      <c r="C578" t="s">
        <v>239</v>
      </c>
      <c r="D578" s="67">
        <v>74600</v>
      </c>
      <c r="E578">
        <v>3500</v>
      </c>
      <c r="F578">
        <v>0</v>
      </c>
      <c r="G578">
        <v>21200</v>
      </c>
      <c r="H578">
        <v>53400</v>
      </c>
      <c r="I578">
        <v>28.41</v>
      </c>
      <c r="J578">
        <v>0</v>
      </c>
      <c r="K578" s="249">
        <v>74600</v>
      </c>
      <c r="L578" s="249">
        <v>80000</v>
      </c>
      <c r="M578" s="249">
        <v>83680</v>
      </c>
      <c r="N578" s="249">
        <v>87529.279999999999</v>
      </c>
    </row>
    <row r="579" spans="1:14" x14ac:dyDescent="0.25">
      <c r="J579">
        <v>0</v>
      </c>
    </row>
    <row r="580" spans="1:14" x14ac:dyDescent="0.25">
      <c r="C580" t="s">
        <v>240</v>
      </c>
      <c r="D580" s="67">
        <v>4256776</v>
      </c>
      <c r="E580">
        <v>3500</v>
      </c>
      <c r="F580">
        <v>37745</v>
      </c>
      <c r="G580">
        <v>208152.87</v>
      </c>
      <c r="H580">
        <v>4048623.13</v>
      </c>
      <c r="I580">
        <v>4.88</v>
      </c>
      <c r="J580">
        <v>-521650</v>
      </c>
      <c r="K580" s="249">
        <v>3735126</v>
      </c>
      <c r="L580" s="249">
        <v>2133773.92</v>
      </c>
      <c r="M580" s="249">
        <v>1176207.5203200001</v>
      </c>
      <c r="N580" s="249">
        <v>1590363.0662547201</v>
      </c>
    </row>
    <row r="582" spans="1:14" x14ac:dyDescent="0.25">
      <c r="C582" t="s">
        <v>241</v>
      </c>
      <c r="J582">
        <v>0</v>
      </c>
    </row>
    <row r="583" spans="1:14" x14ac:dyDescent="0.25">
      <c r="J583">
        <v>0</v>
      </c>
    </row>
    <row r="584" spans="1:14" x14ac:dyDescent="0.25">
      <c r="A584" t="s">
        <v>534</v>
      </c>
      <c r="C584" t="s">
        <v>242</v>
      </c>
      <c r="D584" s="67">
        <v>105566</v>
      </c>
      <c r="E584">
        <v>0</v>
      </c>
      <c r="F584">
        <v>0</v>
      </c>
      <c r="G584">
        <v>0</v>
      </c>
      <c r="H584">
        <v>928990</v>
      </c>
      <c r="I584">
        <v>0</v>
      </c>
      <c r="J584">
        <v>0</v>
      </c>
      <c r="K584" s="249">
        <v>105566</v>
      </c>
      <c r="L584" s="249">
        <v>560000</v>
      </c>
      <c r="M584" s="249">
        <v>585760</v>
      </c>
      <c r="N584" s="249">
        <v>612704.96</v>
      </c>
    </row>
    <row r="585" spans="1:14" x14ac:dyDescent="0.25">
      <c r="A585" t="s">
        <v>3076</v>
      </c>
      <c r="C585" t="s">
        <v>3059</v>
      </c>
      <c r="K585" s="249">
        <v>0</v>
      </c>
      <c r="L585" s="249">
        <v>150000</v>
      </c>
      <c r="M585" s="249">
        <v>156900</v>
      </c>
      <c r="N585" s="249">
        <v>164117.4</v>
      </c>
    </row>
    <row r="586" spans="1:14" x14ac:dyDescent="0.25">
      <c r="A586" t="s">
        <v>535</v>
      </c>
      <c r="C586" t="s">
        <v>265</v>
      </c>
      <c r="D586" s="67">
        <v>0</v>
      </c>
      <c r="E586">
        <v>0</v>
      </c>
      <c r="F586">
        <v>0</v>
      </c>
      <c r="G586">
        <v>0</v>
      </c>
      <c r="H586">
        <v>928990</v>
      </c>
      <c r="I586">
        <v>0</v>
      </c>
      <c r="J586">
        <v>10000</v>
      </c>
      <c r="K586" s="249">
        <v>10000</v>
      </c>
      <c r="L586" s="249">
        <v>10450</v>
      </c>
      <c r="M586" s="249">
        <v>10930.7</v>
      </c>
      <c r="N586" s="249">
        <v>11433.512200000001</v>
      </c>
    </row>
    <row r="587" spans="1:14" x14ac:dyDescent="0.25">
      <c r="A587" t="s">
        <v>536</v>
      </c>
      <c r="B587" t="s">
        <v>3058</v>
      </c>
      <c r="C587" t="s">
        <v>266</v>
      </c>
      <c r="D587" s="67">
        <v>500000</v>
      </c>
      <c r="E587">
        <v>0</v>
      </c>
      <c r="F587">
        <v>0</v>
      </c>
      <c r="G587">
        <v>0</v>
      </c>
      <c r="H587">
        <v>928990</v>
      </c>
      <c r="I587">
        <v>0</v>
      </c>
      <c r="J587">
        <v>-80000</v>
      </c>
      <c r="K587" s="249">
        <v>420000</v>
      </c>
      <c r="L587" s="249">
        <v>700000</v>
      </c>
      <c r="M587" s="249">
        <v>700000</v>
      </c>
      <c r="N587" s="249">
        <v>700000</v>
      </c>
    </row>
    <row r="588" spans="1:14" x14ac:dyDescent="0.25">
      <c r="A588" t="s">
        <v>537</v>
      </c>
      <c r="C588" t="s">
        <v>268</v>
      </c>
      <c r="D588" s="67">
        <v>78000</v>
      </c>
      <c r="E588">
        <v>0</v>
      </c>
      <c r="F588">
        <v>0</v>
      </c>
      <c r="G588">
        <v>0</v>
      </c>
      <c r="H588">
        <v>928990</v>
      </c>
      <c r="I588">
        <v>0</v>
      </c>
      <c r="J588">
        <v>-50000</v>
      </c>
      <c r="K588" s="249">
        <v>28000</v>
      </c>
      <c r="L588" s="249">
        <v>29260</v>
      </c>
      <c r="M588" s="249">
        <v>30605.96</v>
      </c>
      <c r="N588" s="249">
        <v>32013.834159999999</v>
      </c>
    </row>
    <row r="589" spans="1:14" x14ac:dyDescent="0.25">
      <c r="J589">
        <v>0</v>
      </c>
    </row>
    <row r="590" spans="1:14" x14ac:dyDescent="0.25">
      <c r="C590" t="s">
        <v>274</v>
      </c>
      <c r="D590" s="67">
        <v>683566</v>
      </c>
      <c r="E590">
        <v>761.78</v>
      </c>
      <c r="F590">
        <v>0</v>
      </c>
      <c r="G590">
        <v>7292.53</v>
      </c>
      <c r="H590">
        <v>676273.47</v>
      </c>
      <c r="I590">
        <v>1.06</v>
      </c>
      <c r="J590">
        <v>-120000</v>
      </c>
      <c r="K590" s="249">
        <v>563566</v>
      </c>
      <c r="L590" s="249">
        <v>1449710</v>
      </c>
      <c r="M590" s="249">
        <v>1484196.66</v>
      </c>
      <c r="N590" s="249">
        <v>1520269.7063600002</v>
      </c>
    </row>
    <row r="591" spans="1:14" x14ac:dyDescent="0.25">
      <c r="J591">
        <v>0</v>
      </c>
    </row>
    <row r="592" spans="1:14" x14ac:dyDescent="0.25">
      <c r="C592" t="s">
        <v>290</v>
      </c>
      <c r="J592">
        <v>0</v>
      </c>
    </row>
    <row r="593" spans="1:14" x14ac:dyDescent="0.25">
      <c r="J593">
        <v>0</v>
      </c>
    </row>
    <row r="594" spans="1:14" x14ac:dyDescent="0.25">
      <c r="A594" t="s">
        <v>538</v>
      </c>
      <c r="C594" t="s">
        <v>293</v>
      </c>
      <c r="D594" s="67">
        <v>10946</v>
      </c>
      <c r="E594">
        <v>0</v>
      </c>
      <c r="F594">
        <v>0</v>
      </c>
      <c r="G594">
        <v>0</v>
      </c>
      <c r="H594">
        <v>928990</v>
      </c>
      <c r="I594">
        <v>0</v>
      </c>
      <c r="J594">
        <v>0</v>
      </c>
      <c r="K594" s="249">
        <v>10946</v>
      </c>
      <c r="L594" s="249">
        <v>11438.57</v>
      </c>
      <c r="M594" s="249">
        <v>11964.74422</v>
      </c>
      <c r="N594" s="249">
        <v>12515.122454120001</v>
      </c>
    </row>
    <row r="595" spans="1:14" x14ac:dyDescent="0.25">
      <c r="J595">
        <v>0</v>
      </c>
    </row>
    <row r="596" spans="1:14" x14ac:dyDescent="0.25">
      <c r="C596" t="s">
        <v>304</v>
      </c>
      <c r="D596" s="67">
        <v>10946</v>
      </c>
      <c r="E596">
        <v>1257.5</v>
      </c>
      <c r="F596">
        <v>0</v>
      </c>
      <c r="G596">
        <v>3131.54</v>
      </c>
      <c r="H596">
        <v>7814.46</v>
      </c>
      <c r="I596">
        <v>28.6</v>
      </c>
      <c r="J596">
        <v>0</v>
      </c>
      <c r="K596" s="249">
        <v>10946</v>
      </c>
      <c r="L596" s="249">
        <v>11438.57</v>
      </c>
      <c r="M596" s="249">
        <v>11964.74422</v>
      </c>
      <c r="N596" s="249">
        <v>12515.122454120001</v>
      </c>
    </row>
    <row r="597" spans="1:14" x14ac:dyDescent="0.25">
      <c r="J597">
        <v>0</v>
      </c>
    </row>
    <row r="598" spans="1:14" x14ac:dyDescent="0.25">
      <c r="C598" t="s">
        <v>305</v>
      </c>
      <c r="D598" s="67">
        <v>6156922</v>
      </c>
      <c r="E598">
        <v>100227.56</v>
      </c>
      <c r="F598">
        <v>37745</v>
      </c>
      <c r="G598">
        <v>759641.17</v>
      </c>
      <c r="H598">
        <v>5397280.8300000001</v>
      </c>
      <c r="I598">
        <v>12.33</v>
      </c>
      <c r="J598">
        <v>-573944.91000000015</v>
      </c>
      <c r="K598" s="249">
        <v>5582977.0899999999</v>
      </c>
      <c r="L598" s="249">
        <v>4947845.2731250003</v>
      </c>
      <c r="M598" s="249">
        <v>4119996.30248375</v>
      </c>
      <c r="N598" s="249">
        <v>4672109.189468652</v>
      </c>
    </row>
    <row r="599" spans="1:14" x14ac:dyDescent="0.25">
      <c r="J599">
        <v>0</v>
      </c>
    </row>
    <row r="600" spans="1:14" x14ac:dyDescent="0.25">
      <c r="C600" t="s">
        <v>539</v>
      </c>
      <c r="J600">
        <v>0</v>
      </c>
    </row>
    <row r="601" spans="1:14" x14ac:dyDescent="0.25">
      <c r="C601" t="s">
        <v>9</v>
      </c>
      <c r="J601">
        <v>0</v>
      </c>
    </row>
    <row r="602" spans="1:14" x14ac:dyDescent="0.25">
      <c r="C602" t="s">
        <v>70</v>
      </c>
      <c r="J602">
        <v>0</v>
      </c>
    </row>
    <row r="603" spans="1:14" x14ac:dyDescent="0.25">
      <c r="J603">
        <v>0</v>
      </c>
    </row>
    <row r="604" spans="1:14" x14ac:dyDescent="0.25">
      <c r="A604" t="s">
        <v>540</v>
      </c>
      <c r="C604" t="s">
        <v>75</v>
      </c>
      <c r="D604" s="67">
        <v>-15000000</v>
      </c>
      <c r="E604">
        <v>0</v>
      </c>
      <c r="F604">
        <v>0</v>
      </c>
      <c r="G604">
        <v>0</v>
      </c>
      <c r="H604">
        <v>-15000000</v>
      </c>
      <c r="I604">
        <v>0</v>
      </c>
      <c r="J604">
        <v>0</v>
      </c>
      <c r="K604" s="249">
        <v>-7500000</v>
      </c>
      <c r="L604" s="249">
        <v>-7500000</v>
      </c>
      <c r="M604" s="249">
        <v>-7500000</v>
      </c>
      <c r="N604" s="249">
        <v>-7500000</v>
      </c>
    </row>
    <row r="605" spans="1:14" x14ac:dyDescent="0.25">
      <c r="J605">
        <v>0</v>
      </c>
    </row>
    <row r="606" spans="1:14" x14ac:dyDescent="0.25">
      <c r="C606" t="s">
        <v>77</v>
      </c>
      <c r="D606" s="67">
        <v>-15000000</v>
      </c>
      <c r="E606">
        <v>0</v>
      </c>
      <c r="F606">
        <v>0</v>
      </c>
      <c r="G606">
        <v>0</v>
      </c>
      <c r="H606">
        <v>-15000000</v>
      </c>
      <c r="I606">
        <v>0</v>
      </c>
      <c r="J606">
        <v>0</v>
      </c>
      <c r="K606" s="249">
        <v>-7500000</v>
      </c>
      <c r="L606" s="249">
        <v>-7500000</v>
      </c>
      <c r="M606" s="249">
        <v>-7500000</v>
      </c>
      <c r="N606" s="249">
        <v>-7500000</v>
      </c>
    </row>
    <row r="607" spans="1:14" x14ac:dyDescent="0.25">
      <c r="J607">
        <v>0</v>
      </c>
    </row>
    <row r="608" spans="1:14" x14ac:dyDescent="0.25">
      <c r="C608" t="s">
        <v>81</v>
      </c>
      <c r="J608">
        <v>0</v>
      </c>
    </row>
    <row r="609" spans="1:14" x14ac:dyDescent="0.25">
      <c r="J609">
        <v>0</v>
      </c>
    </row>
    <row r="610" spans="1:14" x14ac:dyDescent="0.25">
      <c r="A610" t="s">
        <v>541</v>
      </c>
      <c r="C610" t="s">
        <v>82</v>
      </c>
      <c r="D610" s="67">
        <v>-4640</v>
      </c>
      <c r="E610">
        <v>0</v>
      </c>
      <c r="F610">
        <v>0</v>
      </c>
      <c r="G610">
        <v>0</v>
      </c>
      <c r="H610">
        <v>-4640</v>
      </c>
      <c r="I610">
        <v>0</v>
      </c>
      <c r="J610">
        <v>0</v>
      </c>
      <c r="K610" s="249">
        <v>-4640</v>
      </c>
      <c r="L610" s="249">
        <v>-4848.8</v>
      </c>
      <c r="M610" s="249">
        <v>-5071.8447999999999</v>
      </c>
      <c r="N610" s="249">
        <v>-5305.1496607999998</v>
      </c>
    </row>
    <row r="611" spans="1:14" x14ac:dyDescent="0.25">
      <c r="A611" t="s">
        <v>542</v>
      </c>
      <c r="C611" t="s">
        <v>85</v>
      </c>
      <c r="D611" s="67">
        <v>-41011</v>
      </c>
      <c r="E611">
        <v>0</v>
      </c>
      <c r="F611">
        <v>0</v>
      </c>
      <c r="G611">
        <v>-13216.23</v>
      </c>
      <c r="H611">
        <v>-27794.77</v>
      </c>
      <c r="I611">
        <v>32.22</v>
      </c>
      <c r="J611">
        <v>0</v>
      </c>
      <c r="K611" s="249">
        <v>-41011</v>
      </c>
      <c r="L611" s="249">
        <v>-42856.495000000003</v>
      </c>
      <c r="M611" s="249">
        <v>-44827.893770000002</v>
      </c>
      <c r="N611" s="249">
        <v>-46889.97688342</v>
      </c>
    </row>
    <row r="612" spans="1:14" x14ac:dyDescent="0.25">
      <c r="A612" t="s">
        <v>543</v>
      </c>
      <c r="C612" t="s">
        <v>86</v>
      </c>
      <c r="D612" s="67">
        <v>0</v>
      </c>
      <c r="E612">
        <v>0</v>
      </c>
      <c r="F612">
        <v>0</v>
      </c>
      <c r="G612">
        <v>0</v>
      </c>
      <c r="H612">
        <v>928990</v>
      </c>
      <c r="I612">
        <v>0</v>
      </c>
      <c r="J612">
        <v>0</v>
      </c>
      <c r="K612" s="249">
        <v>0</v>
      </c>
      <c r="L612" s="249">
        <v>0</v>
      </c>
      <c r="M612" s="249">
        <v>0</v>
      </c>
      <c r="N612" s="249">
        <v>0</v>
      </c>
    </row>
    <row r="613" spans="1:14" x14ac:dyDescent="0.25">
      <c r="A613" t="s">
        <v>544</v>
      </c>
      <c r="C613" t="s">
        <v>87</v>
      </c>
      <c r="D613" s="67">
        <v>-4715</v>
      </c>
      <c r="E613">
        <v>-1881.4</v>
      </c>
      <c r="F613">
        <v>0</v>
      </c>
      <c r="G613">
        <v>-2020.53</v>
      </c>
      <c r="H613">
        <v>-2694.47</v>
      </c>
      <c r="I613">
        <v>42.85</v>
      </c>
      <c r="J613">
        <v>0</v>
      </c>
      <c r="K613" s="249">
        <v>-4715</v>
      </c>
      <c r="L613" s="249">
        <v>-4927.1750000000002</v>
      </c>
      <c r="M613" s="249">
        <v>-5153.8250500000004</v>
      </c>
      <c r="N613" s="249">
        <v>-5390.9010023000001</v>
      </c>
    </row>
    <row r="614" spans="1:14" x14ac:dyDescent="0.25">
      <c r="A614" t="s">
        <v>545</v>
      </c>
      <c r="C614" t="s">
        <v>88</v>
      </c>
      <c r="D614" s="67">
        <v>-58934</v>
      </c>
      <c r="E614">
        <v>0</v>
      </c>
      <c r="F614">
        <v>0</v>
      </c>
      <c r="G614">
        <v>0</v>
      </c>
      <c r="H614">
        <v>-58934</v>
      </c>
      <c r="I614">
        <v>0</v>
      </c>
      <c r="J614">
        <v>0</v>
      </c>
      <c r="K614" s="249">
        <v>-58934</v>
      </c>
      <c r="L614" s="249">
        <v>-61586.03</v>
      </c>
      <c r="M614" s="249">
        <v>-64418.987379999999</v>
      </c>
      <c r="N614" s="249">
        <v>-67382.260799479991</v>
      </c>
    </row>
    <row r="615" spans="1:14" x14ac:dyDescent="0.25">
      <c r="J615">
        <v>0</v>
      </c>
    </row>
    <row r="616" spans="1:14" x14ac:dyDescent="0.25">
      <c r="C616" t="s">
        <v>90</v>
      </c>
      <c r="D616" s="67">
        <v>-109300</v>
      </c>
      <c r="E616">
        <v>-1881.4</v>
      </c>
      <c r="F616">
        <v>0</v>
      </c>
      <c r="G616">
        <v>-24589.75</v>
      </c>
      <c r="H616">
        <v>-84710.25</v>
      </c>
      <c r="I616">
        <v>22.49</v>
      </c>
      <c r="J616">
        <v>0</v>
      </c>
      <c r="K616" s="249">
        <v>-109300</v>
      </c>
      <c r="L616" s="249">
        <v>-114218.5</v>
      </c>
      <c r="M616" s="249">
        <v>-119472.55100000001</v>
      </c>
      <c r="N616" s="249">
        <v>-124968.28834599999</v>
      </c>
    </row>
    <row r="617" spans="1:14" x14ac:dyDescent="0.25">
      <c r="J617">
        <v>0</v>
      </c>
    </row>
    <row r="618" spans="1:14" x14ac:dyDescent="0.25">
      <c r="C618" t="s">
        <v>94</v>
      </c>
      <c r="D618" s="67">
        <v>-15109300</v>
      </c>
      <c r="E618">
        <v>-1881.4</v>
      </c>
      <c r="F618">
        <v>0</v>
      </c>
      <c r="G618">
        <v>-24589.75</v>
      </c>
      <c r="H618">
        <v>-15084710.25</v>
      </c>
      <c r="I618">
        <v>0.16</v>
      </c>
      <c r="J618">
        <v>7500000</v>
      </c>
      <c r="K618" s="249">
        <v>-7609300</v>
      </c>
      <c r="L618" s="249">
        <v>-7614218.5</v>
      </c>
      <c r="M618" s="249">
        <v>-7619472.551</v>
      </c>
      <c r="N618" s="249">
        <v>-7624968.288346</v>
      </c>
    </row>
    <row r="619" spans="1:14" x14ac:dyDescent="0.25">
      <c r="J619">
        <v>0</v>
      </c>
    </row>
    <row r="620" spans="1:14" x14ac:dyDescent="0.25">
      <c r="C620" t="s">
        <v>95</v>
      </c>
      <c r="D620" s="67">
        <v>-15109300</v>
      </c>
      <c r="E620">
        <v>-1881.4</v>
      </c>
      <c r="F620">
        <v>0</v>
      </c>
      <c r="G620">
        <v>-24589.75</v>
      </c>
      <c r="H620">
        <v>-15084710.25</v>
      </c>
      <c r="I620">
        <v>0.16</v>
      </c>
      <c r="J620">
        <v>7500000</v>
      </c>
      <c r="K620" s="249">
        <v>-7609300</v>
      </c>
      <c r="L620" s="249">
        <v>-7614218.5</v>
      </c>
      <c r="M620" s="249">
        <v>-7619472.551</v>
      </c>
      <c r="N620" s="249">
        <v>-7624968.288346</v>
      </c>
    </row>
    <row r="621" spans="1:14" x14ac:dyDescent="0.25">
      <c r="J621">
        <v>0</v>
      </c>
    </row>
    <row r="622" spans="1:14" x14ac:dyDescent="0.25">
      <c r="C622" t="s">
        <v>96</v>
      </c>
      <c r="J622">
        <v>0</v>
      </c>
    </row>
    <row r="623" spans="1:14" x14ac:dyDescent="0.25">
      <c r="C623" t="s">
        <v>97</v>
      </c>
      <c r="J623">
        <v>0</v>
      </c>
    </row>
    <row r="624" spans="1:14" x14ac:dyDescent="0.25">
      <c r="C624" t="s">
        <v>148</v>
      </c>
      <c r="J624">
        <v>0</v>
      </c>
    </row>
    <row r="625" spans="1:14" x14ac:dyDescent="0.25">
      <c r="C625" t="s">
        <v>149</v>
      </c>
      <c r="J625">
        <v>0</v>
      </c>
    </row>
    <row r="626" spans="1:14" x14ac:dyDescent="0.25">
      <c r="J626">
        <v>0</v>
      </c>
    </row>
    <row r="627" spans="1:14" x14ac:dyDescent="0.25">
      <c r="A627" t="s">
        <v>546</v>
      </c>
      <c r="C627" t="s">
        <v>150</v>
      </c>
      <c r="D627" s="67">
        <v>1017319</v>
      </c>
      <c r="E627">
        <v>0</v>
      </c>
      <c r="F627">
        <v>0</v>
      </c>
      <c r="G627">
        <v>0</v>
      </c>
      <c r="H627">
        <v>928990</v>
      </c>
      <c r="I627">
        <v>0</v>
      </c>
      <c r="J627">
        <v>0</v>
      </c>
      <c r="K627" s="249">
        <v>1017319</v>
      </c>
      <c r="L627" s="249">
        <v>1080901.4375</v>
      </c>
      <c r="M627" s="249">
        <v>1156564.538125</v>
      </c>
      <c r="N627" s="249">
        <v>1237524.0557937499</v>
      </c>
    </row>
    <row r="628" spans="1:14" x14ac:dyDescent="0.25">
      <c r="A628" t="s">
        <v>547</v>
      </c>
      <c r="C628" t="s">
        <v>151</v>
      </c>
      <c r="D628" s="67">
        <v>45594</v>
      </c>
      <c r="E628">
        <v>0</v>
      </c>
      <c r="F628">
        <v>0</v>
      </c>
      <c r="G628">
        <v>0</v>
      </c>
      <c r="H628">
        <v>928990</v>
      </c>
      <c r="I628">
        <v>0</v>
      </c>
      <c r="J628">
        <v>-28659.82</v>
      </c>
      <c r="K628" s="249">
        <v>16934.18</v>
      </c>
      <c r="L628" s="249">
        <v>17992.56625</v>
      </c>
      <c r="M628" s="249">
        <v>19252.0458875</v>
      </c>
      <c r="N628" s="249">
        <v>20599.689099625</v>
      </c>
    </row>
    <row r="629" spans="1:14" x14ac:dyDescent="0.25">
      <c r="A629" t="s">
        <v>548</v>
      </c>
      <c r="C629" t="s">
        <v>152</v>
      </c>
      <c r="D629" s="67">
        <v>38100</v>
      </c>
      <c r="E629">
        <v>0</v>
      </c>
      <c r="F629">
        <v>0</v>
      </c>
      <c r="G629">
        <v>0</v>
      </c>
      <c r="H629">
        <v>928990</v>
      </c>
      <c r="I629">
        <v>0</v>
      </c>
      <c r="J629">
        <v>0</v>
      </c>
      <c r="K629" s="249">
        <v>38100</v>
      </c>
      <c r="L629" s="249">
        <v>40481.25</v>
      </c>
      <c r="M629" s="249">
        <v>43314.9375</v>
      </c>
      <c r="N629" s="249">
        <v>46346.983124999999</v>
      </c>
    </row>
    <row r="630" spans="1:14" x14ac:dyDescent="0.25">
      <c r="A630" t="s">
        <v>549</v>
      </c>
      <c r="C630" t="s">
        <v>153</v>
      </c>
      <c r="D630" s="67">
        <v>10893</v>
      </c>
      <c r="E630">
        <v>0</v>
      </c>
      <c r="F630">
        <v>0</v>
      </c>
      <c r="G630">
        <v>0</v>
      </c>
      <c r="H630">
        <v>928990</v>
      </c>
      <c r="I630">
        <v>0</v>
      </c>
      <c r="J630">
        <v>0</v>
      </c>
      <c r="K630" s="249">
        <v>10893</v>
      </c>
      <c r="L630" s="249">
        <v>11573.8125</v>
      </c>
      <c r="M630" s="249">
        <v>12383.979375000001</v>
      </c>
      <c r="N630" s="249">
        <v>13250.857931250001</v>
      </c>
    </row>
    <row r="631" spans="1:14" x14ac:dyDescent="0.25">
      <c r="A631" t="s">
        <v>550</v>
      </c>
      <c r="C631" t="s">
        <v>155</v>
      </c>
      <c r="D631" s="67">
        <v>32378</v>
      </c>
      <c r="E631">
        <v>0</v>
      </c>
      <c r="F631">
        <v>0</v>
      </c>
      <c r="G631">
        <v>0</v>
      </c>
      <c r="H631">
        <v>928990</v>
      </c>
      <c r="I631">
        <v>0</v>
      </c>
      <c r="J631">
        <v>0</v>
      </c>
      <c r="K631" s="249">
        <v>32378</v>
      </c>
      <c r="L631" s="249">
        <v>34401.625</v>
      </c>
      <c r="M631" s="249">
        <v>36809.738749999997</v>
      </c>
      <c r="N631" s="249">
        <v>39386.420462499998</v>
      </c>
    </row>
    <row r="632" spans="1:14" x14ac:dyDescent="0.25">
      <c r="A632" t="s">
        <v>551</v>
      </c>
      <c r="C632" t="s">
        <v>156</v>
      </c>
      <c r="D632" s="67">
        <v>243929</v>
      </c>
      <c r="E632">
        <v>0</v>
      </c>
      <c r="F632">
        <v>0</v>
      </c>
      <c r="G632">
        <v>0</v>
      </c>
      <c r="H632">
        <v>928990</v>
      </c>
      <c r="I632">
        <v>0</v>
      </c>
      <c r="J632">
        <v>0</v>
      </c>
      <c r="K632" s="249">
        <v>243929</v>
      </c>
      <c r="L632" s="249">
        <v>259174.5625</v>
      </c>
      <c r="M632" s="249">
        <v>277316.78187499999</v>
      </c>
      <c r="N632" s="249">
        <v>296728.95660624997</v>
      </c>
    </row>
    <row r="633" spans="1:14" x14ac:dyDescent="0.25">
      <c r="A633" t="s">
        <v>552</v>
      </c>
      <c r="C633" t="s">
        <v>158</v>
      </c>
      <c r="D633" s="67">
        <v>0</v>
      </c>
      <c r="E633">
        <v>0</v>
      </c>
      <c r="F633">
        <v>0</v>
      </c>
      <c r="G633">
        <v>0</v>
      </c>
      <c r="H633">
        <v>928990</v>
      </c>
      <c r="I633">
        <v>0</v>
      </c>
      <c r="J633">
        <v>0</v>
      </c>
      <c r="K633" s="249">
        <v>0</v>
      </c>
      <c r="L633" s="249">
        <v>0</v>
      </c>
      <c r="M633" s="249">
        <v>0</v>
      </c>
      <c r="N633" s="249">
        <v>0</v>
      </c>
    </row>
    <row r="634" spans="1:14" x14ac:dyDescent="0.25">
      <c r="A634" t="s">
        <v>553</v>
      </c>
      <c r="C634" t="s">
        <v>159</v>
      </c>
      <c r="D634" s="67">
        <v>81310</v>
      </c>
      <c r="E634">
        <v>0</v>
      </c>
      <c r="F634">
        <v>0</v>
      </c>
      <c r="G634">
        <v>0</v>
      </c>
      <c r="H634">
        <v>928990</v>
      </c>
      <c r="I634">
        <v>0</v>
      </c>
      <c r="J634">
        <v>0</v>
      </c>
      <c r="K634" s="249">
        <v>81310</v>
      </c>
      <c r="L634" s="249">
        <v>86391.875</v>
      </c>
      <c r="M634" s="249">
        <v>92439.306249999994</v>
      </c>
      <c r="N634" s="249">
        <v>98910.057687499997</v>
      </c>
    </row>
    <row r="635" spans="1:14" x14ac:dyDescent="0.25">
      <c r="A635" t="s">
        <v>554</v>
      </c>
      <c r="C635" t="s">
        <v>164</v>
      </c>
      <c r="D635" s="67">
        <v>15692</v>
      </c>
      <c r="E635">
        <v>0</v>
      </c>
      <c r="F635">
        <v>0</v>
      </c>
      <c r="G635">
        <v>0</v>
      </c>
      <c r="H635">
        <v>928990</v>
      </c>
      <c r="I635">
        <v>0</v>
      </c>
      <c r="J635">
        <v>0</v>
      </c>
      <c r="K635" s="249">
        <v>15692</v>
      </c>
      <c r="L635" s="249">
        <v>16672.75</v>
      </c>
      <c r="M635" s="249">
        <v>17839.842499999999</v>
      </c>
      <c r="N635" s="249">
        <v>19088.631474999998</v>
      </c>
    </row>
    <row r="636" spans="1:14" x14ac:dyDescent="0.25">
      <c r="J636">
        <v>0</v>
      </c>
      <c r="L636" s="249">
        <v>0</v>
      </c>
    </row>
    <row r="637" spans="1:14" x14ac:dyDescent="0.25">
      <c r="C637" t="s">
        <v>165</v>
      </c>
      <c r="D637" s="67">
        <v>1485215</v>
      </c>
      <c r="E637">
        <v>125004.59</v>
      </c>
      <c r="F637">
        <v>0</v>
      </c>
      <c r="G637">
        <v>699742.98</v>
      </c>
      <c r="H637">
        <v>785472.02</v>
      </c>
      <c r="I637">
        <v>47.11</v>
      </c>
      <c r="J637">
        <v>-28659.819999999832</v>
      </c>
      <c r="K637" s="249">
        <v>1456555.1800000002</v>
      </c>
      <c r="L637" s="249">
        <v>1547589.8787499999</v>
      </c>
      <c r="M637" s="249">
        <v>1655921.1702624999</v>
      </c>
      <c r="N637" s="249">
        <v>1771835.652180875</v>
      </c>
    </row>
    <row r="638" spans="1:14" x14ac:dyDescent="0.25">
      <c r="J638">
        <v>0</v>
      </c>
    </row>
    <row r="639" spans="1:14" x14ac:dyDescent="0.25">
      <c r="C639" t="s">
        <v>166</v>
      </c>
      <c r="J639">
        <v>0</v>
      </c>
    </row>
    <row r="640" spans="1:14" x14ac:dyDescent="0.25">
      <c r="J640">
        <v>0</v>
      </c>
    </row>
    <row r="641" spans="1:14" x14ac:dyDescent="0.25">
      <c r="A641" t="s">
        <v>555</v>
      </c>
      <c r="C641" t="s">
        <v>167</v>
      </c>
      <c r="D641" s="67">
        <v>225</v>
      </c>
      <c r="E641">
        <v>0</v>
      </c>
      <c r="F641">
        <v>0</v>
      </c>
      <c r="G641">
        <v>0</v>
      </c>
      <c r="H641">
        <v>928990</v>
      </c>
      <c r="I641">
        <v>0</v>
      </c>
      <c r="J641">
        <v>0</v>
      </c>
      <c r="K641" s="249">
        <v>225</v>
      </c>
      <c r="L641" s="249">
        <v>239.0625</v>
      </c>
      <c r="M641" s="249">
        <v>255.796875</v>
      </c>
      <c r="N641" s="249">
        <v>273.70265625000002</v>
      </c>
    </row>
    <row r="642" spans="1:14" x14ac:dyDescent="0.25">
      <c r="A642" t="s">
        <v>556</v>
      </c>
      <c r="C642" t="s">
        <v>168</v>
      </c>
      <c r="D642" s="67">
        <v>107816</v>
      </c>
      <c r="E642">
        <v>0</v>
      </c>
      <c r="F642">
        <v>0</v>
      </c>
      <c r="G642">
        <v>0</v>
      </c>
      <c r="H642">
        <v>928990</v>
      </c>
      <c r="I642">
        <v>0</v>
      </c>
      <c r="J642">
        <v>0</v>
      </c>
      <c r="K642" s="249">
        <v>107816</v>
      </c>
      <c r="L642" s="249">
        <v>114554.5</v>
      </c>
      <c r="M642" s="249">
        <v>122573.315</v>
      </c>
      <c r="N642" s="249">
        <v>131153.44705000002</v>
      </c>
    </row>
    <row r="643" spans="1:14" x14ac:dyDescent="0.25">
      <c r="A643" t="s">
        <v>557</v>
      </c>
      <c r="C643" t="s">
        <v>169</v>
      </c>
      <c r="D643" s="67">
        <v>214658</v>
      </c>
      <c r="E643">
        <v>0</v>
      </c>
      <c r="F643">
        <v>0</v>
      </c>
      <c r="G643">
        <v>0</v>
      </c>
      <c r="H643">
        <v>928990</v>
      </c>
      <c r="I643">
        <v>0</v>
      </c>
      <c r="J643">
        <v>0</v>
      </c>
      <c r="K643" s="249">
        <v>214658</v>
      </c>
      <c r="L643" s="249">
        <v>228074.125</v>
      </c>
      <c r="M643" s="249">
        <v>244039.31375</v>
      </c>
      <c r="N643" s="249">
        <v>261122.06571250001</v>
      </c>
    </row>
    <row r="644" spans="1:14" x14ac:dyDescent="0.25">
      <c r="A644" t="s">
        <v>558</v>
      </c>
      <c r="C644" t="s">
        <v>170</v>
      </c>
      <c r="D644" s="67">
        <v>5355</v>
      </c>
      <c r="E644">
        <v>0</v>
      </c>
      <c r="F644">
        <v>0</v>
      </c>
      <c r="G644">
        <v>0</v>
      </c>
      <c r="H644">
        <v>928990</v>
      </c>
      <c r="I644">
        <v>0</v>
      </c>
      <c r="J644">
        <v>0</v>
      </c>
      <c r="K644" s="249">
        <v>5355</v>
      </c>
      <c r="L644" s="249">
        <v>5689.6875</v>
      </c>
      <c r="M644" s="249">
        <v>6087.9656249999998</v>
      </c>
      <c r="N644" s="249">
        <v>6514.12321875</v>
      </c>
    </row>
    <row r="645" spans="1:14" x14ac:dyDescent="0.25">
      <c r="J645">
        <v>0</v>
      </c>
    </row>
    <row r="646" spans="1:14" x14ac:dyDescent="0.25">
      <c r="C646" t="s">
        <v>171</v>
      </c>
      <c r="D646" s="67">
        <v>328054</v>
      </c>
      <c r="E646">
        <v>21701.040000000001</v>
      </c>
      <c r="F646">
        <v>0</v>
      </c>
      <c r="G646">
        <v>129945.8</v>
      </c>
      <c r="H646">
        <v>198108.2</v>
      </c>
      <c r="I646">
        <v>39.61</v>
      </c>
      <c r="J646">
        <v>0</v>
      </c>
      <c r="K646" s="249">
        <v>328054</v>
      </c>
      <c r="L646" s="249">
        <v>348557.375</v>
      </c>
      <c r="M646" s="249">
        <v>372956.39125000004</v>
      </c>
      <c r="N646" s="249">
        <v>399063.33863750007</v>
      </c>
    </row>
    <row r="647" spans="1:14" x14ac:dyDescent="0.25">
      <c r="J647">
        <v>0</v>
      </c>
    </row>
    <row r="648" spans="1:14" x14ac:dyDescent="0.25">
      <c r="C648" t="s">
        <v>172</v>
      </c>
      <c r="J648">
        <v>0</v>
      </c>
    </row>
    <row r="649" spans="1:14" x14ac:dyDescent="0.25">
      <c r="J649">
        <v>0</v>
      </c>
    </row>
    <row r="650" spans="1:14" x14ac:dyDescent="0.25">
      <c r="A650" t="s">
        <v>559</v>
      </c>
      <c r="C650" t="s">
        <v>173</v>
      </c>
      <c r="D650" s="67">
        <v>881</v>
      </c>
      <c r="E650">
        <v>0</v>
      </c>
      <c r="F650">
        <v>0</v>
      </c>
      <c r="G650">
        <v>0</v>
      </c>
      <c r="H650">
        <v>928990</v>
      </c>
      <c r="I650">
        <v>0</v>
      </c>
      <c r="J650">
        <v>0</v>
      </c>
      <c r="K650" s="249">
        <v>881</v>
      </c>
      <c r="L650" s="249">
        <v>936.0625</v>
      </c>
      <c r="M650" s="249">
        <v>1001.586875</v>
      </c>
      <c r="N650" s="249">
        <v>1071.6979562500001</v>
      </c>
    </row>
    <row r="651" spans="1:14" x14ac:dyDescent="0.25">
      <c r="A651" t="s">
        <v>560</v>
      </c>
      <c r="C651" t="s">
        <v>174</v>
      </c>
      <c r="D651" s="67">
        <v>275</v>
      </c>
      <c r="E651">
        <v>0</v>
      </c>
      <c r="F651">
        <v>0</v>
      </c>
      <c r="G651">
        <v>0</v>
      </c>
      <c r="H651">
        <v>928990</v>
      </c>
      <c r="I651">
        <v>0</v>
      </c>
      <c r="J651">
        <v>0</v>
      </c>
      <c r="K651" s="249">
        <v>275</v>
      </c>
      <c r="L651" s="249">
        <v>292.1875</v>
      </c>
      <c r="M651" s="249">
        <v>312.640625</v>
      </c>
      <c r="N651" s="249">
        <v>334.52546875000002</v>
      </c>
    </row>
    <row r="652" spans="1:14" x14ac:dyDescent="0.25">
      <c r="A652" t="s">
        <v>561</v>
      </c>
      <c r="C652" t="s">
        <v>175</v>
      </c>
      <c r="D652" s="67">
        <v>10931</v>
      </c>
      <c r="E652">
        <v>0</v>
      </c>
      <c r="F652">
        <v>0</v>
      </c>
      <c r="G652">
        <v>0</v>
      </c>
      <c r="H652">
        <v>928990</v>
      </c>
      <c r="I652">
        <v>0</v>
      </c>
      <c r="J652">
        <v>0</v>
      </c>
      <c r="K652" s="249">
        <v>10931</v>
      </c>
      <c r="L652" s="249">
        <v>11614.1875</v>
      </c>
      <c r="M652" s="249">
        <v>12427.180625000001</v>
      </c>
      <c r="N652" s="249">
        <v>13297.083268750001</v>
      </c>
    </row>
    <row r="653" spans="1:14" x14ac:dyDescent="0.25">
      <c r="J653">
        <v>0</v>
      </c>
    </row>
    <row r="654" spans="1:14" x14ac:dyDescent="0.25">
      <c r="C654" t="s">
        <v>176</v>
      </c>
      <c r="D654" s="67">
        <v>12087</v>
      </c>
      <c r="E654">
        <v>0</v>
      </c>
      <c r="F654">
        <v>0</v>
      </c>
      <c r="G654">
        <v>0</v>
      </c>
      <c r="H654">
        <v>12087</v>
      </c>
      <c r="I654">
        <v>0</v>
      </c>
      <c r="J654">
        <v>0</v>
      </c>
      <c r="K654" s="249">
        <v>12087</v>
      </c>
      <c r="L654" s="249">
        <v>12842.4375</v>
      </c>
      <c r="M654" s="249">
        <v>13741.408125000002</v>
      </c>
      <c r="N654" s="249">
        <v>14703.306693750001</v>
      </c>
    </row>
    <row r="655" spans="1:14" x14ac:dyDescent="0.25">
      <c r="J655">
        <v>0</v>
      </c>
    </row>
    <row r="656" spans="1:14" x14ac:dyDescent="0.25">
      <c r="C656" t="s">
        <v>177</v>
      </c>
      <c r="D656" s="67">
        <v>1825356</v>
      </c>
      <c r="E656">
        <v>146705.63</v>
      </c>
      <c r="F656">
        <v>0</v>
      </c>
      <c r="G656">
        <v>829688.78</v>
      </c>
      <c r="H656">
        <v>995667.22</v>
      </c>
      <c r="I656">
        <v>45.45</v>
      </c>
      <c r="J656">
        <v>-28659.819999999832</v>
      </c>
      <c r="K656" s="249">
        <v>1796696.1800000002</v>
      </c>
      <c r="L656" s="249">
        <v>1908989.6912499999</v>
      </c>
      <c r="M656" s="249">
        <v>2042618.9696375001</v>
      </c>
      <c r="N656" s="249">
        <v>2185602.2975121248</v>
      </c>
    </row>
    <row r="657" spans="1:14" x14ac:dyDescent="0.25">
      <c r="J657">
        <v>0</v>
      </c>
    </row>
    <row r="658" spans="1:14" x14ac:dyDescent="0.25">
      <c r="C658" t="s">
        <v>178</v>
      </c>
      <c r="D658" s="67">
        <v>1825356</v>
      </c>
      <c r="E658">
        <v>146705.63</v>
      </c>
      <c r="F658">
        <v>0</v>
      </c>
      <c r="G658">
        <v>829688.78</v>
      </c>
      <c r="H658">
        <v>995667.22</v>
      </c>
      <c r="I658">
        <v>45.45</v>
      </c>
      <c r="J658">
        <v>-28659.819999999832</v>
      </c>
      <c r="K658" s="249">
        <v>1796696.1800000002</v>
      </c>
      <c r="L658" s="249">
        <v>1908989.6912499999</v>
      </c>
      <c r="M658" s="249">
        <v>2042618.9696375001</v>
      </c>
      <c r="N658" s="249">
        <v>2185602.2975121248</v>
      </c>
    </row>
    <row r="659" spans="1:14" x14ac:dyDescent="0.25">
      <c r="J659">
        <v>0</v>
      </c>
    </row>
    <row r="660" spans="1:14" x14ac:dyDescent="0.25">
      <c r="C660" t="s">
        <v>241</v>
      </c>
      <c r="J660">
        <v>0</v>
      </c>
    </row>
    <row r="661" spans="1:14" x14ac:dyDescent="0.25">
      <c r="J661">
        <v>0</v>
      </c>
    </row>
    <row r="662" spans="1:14" x14ac:dyDescent="0.25">
      <c r="A662" t="s">
        <v>562</v>
      </c>
      <c r="C662" t="s">
        <v>265</v>
      </c>
      <c r="D662" s="67">
        <v>0</v>
      </c>
      <c r="E662">
        <v>0</v>
      </c>
      <c r="F662">
        <v>0</v>
      </c>
      <c r="G662">
        <v>0</v>
      </c>
      <c r="H662">
        <v>928990</v>
      </c>
      <c r="I662">
        <v>0</v>
      </c>
      <c r="J662">
        <v>20000</v>
      </c>
      <c r="K662" s="249">
        <v>20000</v>
      </c>
      <c r="L662" s="249">
        <v>20900</v>
      </c>
      <c r="M662" s="249">
        <v>21861.4</v>
      </c>
      <c r="N662" s="249">
        <v>22867.024400000002</v>
      </c>
    </row>
    <row r="663" spans="1:14" x14ac:dyDescent="0.25">
      <c r="A663" t="s">
        <v>563</v>
      </c>
      <c r="C663" t="s">
        <v>268</v>
      </c>
      <c r="D663" s="67">
        <v>0</v>
      </c>
      <c r="E663">
        <v>0</v>
      </c>
      <c r="F663">
        <v>0</v>
      </c>
      <c r="G663">
        <v>0</v>
      </c>
      <c r="H663">
        <v>928990</v>
      </c>
      <c r="I663">
        <v>0</v>
      </c>
      <c r="J663">
        <v>120000</v>
      </c>
      <c r="K663" s="249">
        <v>120000</v>
      </c>
      <c r="L663" s="249">
        <v>125400</v>
      </c>
      <c r="M663" s="249">
        <v>131168.4</v>
      </c>
      <c r="N663" s="249">
        <v>137202.1464</v>
      </c>
    </row>
    <row r="664" spans="1:14" x14ac:dyDescent="0.25">
      <c r="J664">
        <v>0</v>
      </c>
    </row>
    <row r="665" spans="1:14" x14ac:dyDescent="0.25">
      <c r="C665" t="s">
        <v>274</v>
      </c>
      <c r="D665" s="67">
        <v>0</v>
      </c>
      <c r="E665">
        <v>21528.59</v>
      </c>
      <c r="F665">
        <v>0</v>
      </c>
      <c r="G665">
        <v>66246.38</v>
      </c>
      <c r="H665">
        <v>-66246.38</v>
      </c>
      <c r="I665">
        <v>0</v>
      </c>
      <c r="J665">
        <v>140000</v>
      </c>
      <c r="K665" s="249">
        <v>140000</v>
      </c>
      <c r="L665" s="249">
        <v>146300</v>
      </c>
      <c r="M665" s="249">
        <v>153029.79999999999</v>
      </c>
      <c r="N665" s="249">
        <v>160069.17079999999</v>
      </c>
    </row>
    <row r="666" spans="1:14" x14ac:dyDescent="0.25">
      <c r="J666">
        <v>0</v>
      </c>
    </row>
    <row r="667" spans="1:14" x14ac:dyDescent="0.25">
      <c r="C667" t="s">
        <v>290</v>
      </c>
      <c r="J667">
        <v>0</v>
      </c>
    </row>
    <row r="668" spans="1:14" x14ac:dyDescent="0.25">
      <c r="J668">
        <v>0</v>
      </c>
    </row>
    <row r="669" spans="1:14" x14ac:dyDescent="0.25">
      <c r="A669" t="s">
        <v>564</v>
      </c>
      <c r="C669" t="s">
        <v>291</v>
      </c>
      <c r="D669" s="67">
        <v>4770</v>
      </c>
      <c r="E669">
        <v>0</v>
      </c>
      <c r="F669">
        <v>0</v>
      </c>
      <c r="G669">
        <v>0</v>
      </c>
      <c r="H669">
        <v>928990</v>
      </c>
      <c r="I669">
        <v>0</v>
      </c>
      <c r="J669">
        <v>-4770</v>
      </c>
      <c r="K669" s="249">
        <v>0</v>
      </c>
      <c r="L669" s="249">
        <v>0</v>
      </c>
      <c r="M669" s="249">
        <v>0</v>
      </c>
      <c r="N669" s="249">
        <v>0</v>
      </c>
    </row>
    <row r="670" spans="1:14" x14ac:dyDescent="0.25">
      <c r="A670" t="s">
        <v>565</v>
      </c>
      <c r="C670" t="s">
        <v>292</v>
      </c>
      <c r="D670" s="67">
        <v>4770</v>
      </c>
      <c r="E670">
        <v>0</v>
      </c>
      <c r="F670">
        <v>0</v>
      </c>
      <c r="G670">
        <v>0</v>
      </c>
      <c r="H670">
        <v>928990</v>
      </c>
      <c r="I670">
        <v>0</v>
      </c>
      <c r="J670">
        <v>0</v>
      </c>
      <c r="K670" s="249">
        <v>4770</v>
      </c>
      <c r="L670" s="249">
        <v>4984.6499999999996</v>
      </c>
      <c r="M670" s="249">
        <v>5213.9438999999993</v>
      </c>
      <c r="N670" s="249">
        <v>5453.785319399999</v>
      </c>
    </row>
    <row r="671" spans="1:14" x14ac:dyDescent="0.25">
      <c r="A671" t="s">
        <v>566</v>
      </c>
      <c r="C671" t="s">
        <v>293</v>
      </c>
      <c r="D671" s="67">
        <v>19904</v>
      </c>
      <c r="E671">
        <v>0</v>
      </c>
      <c r="F671">
        <v>0</v>
      </c>
      <c r="G671">
        <v>0</v>
      </c>
      <c r="H671">
        <v>928990</v>
      </c>
      <c r="I671">
        <v>0</v>
      </c>
      <c r="J671">
        <v>0</v>
      </c>
      <c r="K671" s="249">
        <v>19904</v>
      </c>
      <c r="L671" s="249">
        <v>20799.68</v>
      </c>
      <c r="M671" s="249">
        <v>21756.46528</v>
      </c>
      <c r="N671" s="249">
        <v>22757.262682880002</v>
      </c>
    </row>
    <row r="672" spans="1:14" x14ac:dyDescent="0.25">
      <c r="A672" t="s">
        <v>567</v>
      </c>
      <c r="C672" t="s">
        <v>297</v>
      </c>
      <c r="D672" s="67">
        <v>0</v>
      </c>
      <c r="E672">
        <v>0</v>
      </c>
      <c r="F672">
        <v>0</v>
      </c>
      <c r="G672">
        <v>0</v>
      </c>
      <c r="H672">
        <v>928990</v>
      </c>
      <c r="I672">
        <v>0</v>
      </c>
      <c r="J672">
        <v>0</v>
      </c>
      <c r="K672" s="249">
        <v>0</v>
      </c>
      <c r="L672" s="249">
        <v>0</v>
      </c>
      <c r="M672" s="249">
        <v>0</v>
      </c>
      <c r="N672" s="249">
        <v>0</v>
      </c>
    </row>
    <row r="673" spans="1:14" x14ac:dyDescent="0.25">
      <c r="J673">
        <v>0</v>
      </c>
    </row>
    <row r="674" spans="1:14" x14ac:dyDescent="0.25">
      <c r="C674" t="s">
        <v>304</v>
      </c>
      <c r="D674" s="67">
        <v>29444</v>
      </c>
      <c r="E674">
        <v>0</v>
      </c>
      <c r="F674">
        <v>0</v>
      </c>
      <c r="G674">
        <v>0</v>
      </c>
      <c r="H674">
        <v>3715960</v>
      </c>
      <c r="I674">
        <v>163.22999999999999</v>
      </c>
      <c r="J674">
        <v>-4770</v>
      </c>
      <c r="K674" s="249">
        <v>24674</v>
      </c>
      <c r="L674" s="249">
        <v>25784.33</v>
      </c>
      <c r="M674" s="249">
        <v>26970.409179999999</v>
      </c>
      <c r="N674" s="249">
        <v>28211.04800228</v>
      </c>
    </row>
    <row r="675" spans="1:14" x14ac:dyDescent="0.25">
      <c r="J675">
        <v>0</v>
      </c>
    </row>
    <row r="676" spans="1:14" x14ac:dyDescent="0.25">
      <c r="C676" t="s">
        <v>305</v>
      </c>
      <c r="D676" s="67">
        <v>1854800</v>
      </c>
      <c r="E676">
        <v>168234.22</v>
      </c>
      <c r="F676">
        <v>0</v>
      </c>
      <c r="G676">
        <v>895935.16</v>
      </c>
      <c r="H676">
        <v>4645380.84</v>
      </c>
      <c r="I676">
        <v>208.68</v>
      </c>
      <c r="J676">
        <v>106570.18000000017</v>
      </c>
      <c r="K676" s="249">
        <v>1961370.1800000002</v>
      </c>
      <c r="L676" s="249">
        <v>2081074.02125</v>
      </c>
      <c r="M676" s="249">
        <v>2222619.1788174999</v>
      </c>
      <c r="N676" s="249">
        <v>2373882.5163144046</v>
      </c>
    </row>
    <row r="677" spans="1:14" x14ac:dyDescent="0.25">
      <c r="J677">
        <v>0</v>
      </c>
    </row>
    <row r="678" spans="1:14" x14ac:dyDescent="0.25">
      <c r="C678" t="s">
        <v>568</v>
      </c>
      <c r="J678">
        <v>0</v>
      </c>
    </row>
    <row r="679" spans="1:14" x14ac:dyDescent="0.25">
      <c r="C679" t="s">
        <v>96</v>
      </c>
      <c r="J679">
        <v>0</v>
      </c>
    </row>
    <row r="680" spans="1:14" x14ac:dyDescent="0.25">
      <c r="C680" t="s">
        <v>97</v>
      </c>
      <c r="J680">
        <v>0</v>
      </c>
    </row>
    <row r="681" spans="1:14" x14ac:dyDescent="0.25">
      <c r="C681" t="s">
        <v>148</v>
      </c>
      <c r="J681">
        <v>0</v>
      </c>
    </row>
    <row r="682" spans="1:14" x14ac:dyDescent="0.25">
      <c r="C682" t="s">
        <v>149</v>
      </c>
      <c r="J682">
        <v>0</v>
      </c>
    </row>
    <row r="683" spans="1:14" x14ac:dyDescent="0.25">
      <c r="J683">
        <v>0</v>
      </c>
    </row>
    <row r="684" spans="1:14" x14ac:dyDescent="0.25">
      <c r="A684" t="s">
        <v>569</v>
      </c>
      <c r="C684" t="s">
        <v>150</v>
      </c>
      <c r="D684" s="67">
        <v>210622</v>
      </c>
      <c r="E684">
        <v>0</v>
      </c>
      <c r="F684">
        <v>0</v>
      </c>
      <c r="G684">
        <v>0</v>
      </c>
      <c r="H684">
        <v>928990</v>
      </c>
      <c r="I684">
        <v>0</v>
      </c>
      <c r="J684">
        <v>0</v>
      </c>
      <c r="K684" s="249">
        <v>210622</v>
      </c>
      <c r="L684" s="249">
        <v>223785.875</v>
      </c>
      <c r="M684" s="249">
        <v>239450.88625000001</v>
      </c>
      <c r="N684" s="249">
        <v>256212.44828750001</v>
      </c>
    </row>
    <row r="685" spans="1:14" x14ac:dyDescent="0.25">
      <c r="A685" t="s">
        <v>570</v>
      </c>
      <c r="C685" t="s">
        <v>151</v>
      </c>
      <c r="D685" s="67">
        <v>9842</v>
      </c>
      <c r="E685">
        <v>0</v>
      </c>
      <c r="F685">
        <v>0</v>
      </c>
      <c r="G685">
        <v>0</v>
      </c>
      <c r="H685">
        <v>928990</v>
      </c>
      <c r="I685">
        <v>0</v>
      </c>
      <c r="J685">
        <v>0</v>
      </c>
      <c r="K685" s="249">
        <v>9842</v>
      </c>
      <c r="L685" s="249">
        <v>10457.125</v>
      </c>
      <c r="M685" s="249">
        <v>11189.123750000001</v>
      </c>
      <c r="N685" s="249">
        <v>11972.362412500001</v>
      </c>
    </row>
    <row r="686" spans="1:14" x14ac:dyDescent="0.25">
      <c r="A686" t="s">
        <v>571</v>
      </c>
      <c r="C686" t="s">
        <v>153</v>
      </c>
      <c r="D686" s="67">
        <v>10893</v>
      </c>
      <c r="E686">
        <v>0</v>
      </c>
      <c r="F686">
        <v>0</v>
      </c>
      <c r="G686">
        <v>0</v>
      </c>
      <c r="H686">
        <v>928990</v>
      </c>
      <c r="I686">
        <v>0</v>
      </c>
      <c r="J686">
        <v>0</v>
      </c>
      <c r="K686" s="249">
        <v>10893</v>
      </c>
      <c r="L686" s="249">
        <v>11573.8125</v>
      </c>
      <c r="M686" s="249">
        <v>12383.979375000001</v>
      </c>
      <c r="N686" s="249">
        <v>13250.857931250001</v>
      </c>
    </row>
    <row r="687" spans="1:14" x14ac:dyDescent="0.25">
      <c r="A687" t="s">
        <v>572</v>
      </c>
      <c r="C687" t="s">
        <v>155</v>
      </c>
      <c r="D687" s="67">
        <v>6989</v>
      </c>
      <c r="E687">
        <v>0</v>
      </c>
      <c r="F687">
        <v>0</v>
      </c>
      <c r="G687">
        <v>0</v>
      </c>
      <c r="H687">
        <v>928990</v>
      </c>
      <c r="I687">
        <v>0</v>
      </c>
      <c r="J687">
        <v>0</v>
      </c>
      <c r="K687" s="249">
        <v>6989</v>
      </c>
      <c r="L687" s="249">
        <v>7425.8125</v>
      </c>
      <c r="M687" s="249">
        <v>7945.6193750000002</v>
      </c>
      <c r="N687" s="249">
        <v>8501.8127312500001</v>
      </c>
    </row>
    <row r="688" spans="1:14" x14ac:dyDescent="0.25">
      <c r="A688" t="s">
        <v>573</v>
      </c>
      <c r="C688" t="s">
        <v>157</v>
      </c>
      <c r="D688" s="67">
        <v>7374</v>
      </c>
      <c r="E688">
        <v>0</v>
      </c>
      <c r="F688">
        <v>0</v>
      </c>
      <c r="G688">
        <v>0</v>
      </c>
      <c r="H688">
        <v>928990</v>
      </c>
      <c r="I688">
        <v>0</v>
      </c>
      <c r="J688">
        <v>0</v>
      </c>
      <c r="K688" s="249">
        <v>7374</v>
      </c>
      <c r="L688" s="249">
        <v>7834.875</v>
      </c>
      <c r="M688" s="249">
        <v>8383.3162499999999</v>
      </c>
      <c r="N688" s="249">
        <v>8970.1483874999994</v>
      </c>
    </row>
    <row r="689" spans="1:14" x14ac:dyDescent="0.25">
      <c r="A689" t="s">
        <v>574</v>
      </c>
      <c r="C689" t="s">
        <v>159</v>
      </c>
      <c r="D689" s="67">
        <v>17552</v>
      </c>
      <c r="E689">
        <v>0</v>
      </c>
      <c r="F689">
        <v>0</v>
      </c>
      <c r="G689">
        <v>0</v>
      </c>
      <c r="H689">
        <v>928990</v>
      </c>
      <c r="I689">
        <v>0</v>
      </c>
      <c r="J689">
        <v>0</v>
      </c>
      <c r="K689" s="249">
        <v>17552</v>
      </c>
      <c r="L689" s="249">
        <v>18649</v>
      </c>
      <c r="M689" s="249">
        <v>19954.43</v>
      </c>
      <c r="N689" s="249">
        <v>21351.240099999999</v>
      </c>
    </row>
    <row r="690" spans="1:14" x14ac:dyDescent="0.25">
      <c r="J690">
        <v>0</v>
      </c>
    </row>
    <row r="691" spans="1:14" x14ac:dyDescent="0.25">
      <c r="C691" t="s">
        <v>165</v>
      </c>
      <c r="D691" s="67">
        <v>263272</v>
      </c>
      <c r="E691">
        <v>0</v>
      </c>
      <c r="F691">
        <v>0</v>
      </c>
      <c r="G691">
        <v>0</v>
      </c>
      <c r="H691">
        <v>263272</v>
      </c>
      <c r="I691">
        <v>0</v>
      </c>
      <c r="J691">
        <v>0</v>
      </c>
      <c r="K691" s="249">
        <v>263272</v>
      </c>
      <c r="L691" s="249">
        <v>279726.5</v>
      </c>
      <c r="M691" s="249">
        <v>299307.35499999998</v>
      </c>
      <c r="N691" s="249">
        <v>320258.86985000008</v>
      </c>
    </row>
    <row r="692" spans="1:14" x14ac:dyDescent="0.25">
      <c r="J692">
        <v>0</v>
      </c>
    </row>
    <row r="693" spans="1:14" x14ac:dyDescent="0.25">
      <c r="C693" t="s">
        <v>166</v>
      </c>
      <c r="J693">
        <v>0</v>
      </c>
    </row>
    <row r="694" spans="1:14" x14ac:dyDescent="0.25">
      <c r="J694">
        <v>0</v>
      </c>
    </row>
    <row r="695" spans="1:14" x14ac:dyDescent="0.25">
      <c r="A695" t="s">
        <v>575</v>
      </c>
      <c r="C695" t="s">
        <v>167</v>
      </c>
      <c r="D695" s="67">
        <v>112</v>
      </c>
      <c r="E695">
        <v>0</v>
      </c>
      <c r="F695">
        <v>0</v>
      </c>
      <c r="G695">
        <v>0</v>
      </c>
      <c r="H695">
        <v>928990</v>
      </c>
      <c r="I695">
        <v>0</v>
      </c>
      <c r="J695">
        <v>0</v>
      </c>
      <c r="K695" s="249">
        <v>112</v>
      </c>
      <c r="L695" s="249">
        <v>119</v>
      </c>
      <c r="M695" s="249">
        <v>127.33</v>
      </c>
      <c r="N695" s="249">
        <v>136.2431</v>
      </c>
    </row>
    <row r="696" spans="1:14" x14ac:dyDescent="0.25">
      <c r="A696" t="s">
        <v>576</v>
      </c>
      <c r="C696" t="s">
        <v>168</v>
      </c>
      <c r="D696" s="67">
        <v>53908</v>
      </c>
      <c r="E696">
        <v>0</v>
      </c>
      <c r="F696">
        <v>0</v>
      </c>
      <c r="G696">
        <v>0</v>
      </c>
      <c r="H696">
        <v>928990</v>
      </c>
      <c r="I696">
        <v>0</v>
      </c>
      <c r="J696">
        <v>0</v>
      </c>
      <c r="K696" s="249">
        <v>53908</v>
      </c>
      <c r="L696" s="249">
        <v>57277.25</v>
      </c>
      <c r="M696" s="249">
        <v>61286.657500000001</v>
      </c>
      <c r="N696" s="249">
        <v>65576.723525000009</v>
      </c>
    </row>
    <row r="697" spans="1:14" x14ac:dyDescent="0.25">
      <c r="A697" t="s">
        <v>577</v>
      </c>
      <c r="C697" t="s">
        <v>169</v>
      </c>
      <c r="D697" s="67">
        <v>46337</v>
      </c>
      <c r="E697">
        <v>0</v>
      </c>
      <c r="F697">
        <v>0</v>
      </c>
      <c r="G697">
        <v>0</v>
      </c>
      <c r="H697">
        <v>928990</v>
      </c>
      <c r="I697">
        <v>0</v>
      </c>
      <c r="J697">
        <v>0</v>
      </c>
      <c r="K697" s="249">
        <v>46337</v>
      </c>
      <c r="L697" s="249">
        <v>49233.0625</v>
      </c>
      <c r="M697" s="249">
        <v>52679.376875000002</v>
      </c>
      <c r="N697" s="249">
        <v>56366.933256249999</v>
      </c>
    </row>
    <row r="698" spans="1:14" x14ac:dyDescent="0.25">
      <c r="A698" t="s">
        <v>578</v>
      </c>
      <c r="C698" t="s">
        <v>170</v>
      </c>
      <c r="D698" s="67">
        <v>1785</v>
      </c>
      <c r="E698">
        <v>0</v>
      </c>
      <c r="F698">
        <v>0</v>
      </c>
      <c r="G698">
        <v>0</v>
      </c>
      <c r="H698">
        <v>928990</v>
      </c>
      <c r="I698">
        <v>0</v>
      </c>
      <c r="J698">
        <v>0</v>
      </c>
      <c r="K698" s="249">
        <v>1785</v>
      </c>
      <c r="L698" s="249">
        <v>1896.5625</v>
      </c>
      <c r="M698" s="249">
        <v>2029.3218750000001</v>
      </c>
      <c r="N698" s="249">
        <v>2171.37440625</v>
      </c>
    </row>
    <row r="699" spans="1:14" x14ac:dyDescent="0.25">
      <c r="J699">
        <v>0</v>
      </c>
    </row>
    <row r="700" spans="1:14" x14ac:dyDescent="0.25">
      <c r="C700" t="s">
        <v>171</v>
      </c>
      <c r="D700" s="67">
        <v>102142</v>
      </c>
      <c r="E700">
        <v>0</v>
      </c>
      <c r="F700">
        <v>0</v>
      </c>
      <c r="G700">
        <v>0</v>
      </c>
      <c r="H700">
        <v>102142</v>
      </c>
      <c r="I700">
        <v>0</v>
      </c>
      <c r="J700">
        <v>0</v>
      </c>
      <c r="K700" s="249">
        <v>102142</v>
      </c>
      <c r="L700" s="249">
        <v>108525.875</v>
      </c>
      <c r="M700" s="249">
        <v>116122.68625</v>
      </c>
      <c r="N700" s="249">
        <v>124251.27428750003</v>
      </c>
    </row>
    <row r="701" spans="1:14" x14ac:dyDescent="0.25">
      <c r="J701">
        <v>0</v>
      </c>
    </row>
    <row r="702" spans="1:14" x14ac:dyDescent="0.25">
      <c r="C702" t="s">
        <v>172</v>
      </c>
      <c r="J702">
        <v>0</v>
      </c>
    </row>
    <row r="703" spans="1:14" x14ac:dyDescent="0.25">
      <c r="J703">
        <v>0</v>
      </c>
    </row>
    <row r="704" spans="1:14" x14ac:dyDescent="0.25">
      <c r="A704" t="s">
        <v>579</v>
      </c>
      <c r="C704" t="s">
        <v>173</v>
      </c>
      <c r="D704" s="67">
        <v>312</v>
      </c>
      <c r="E704">
        <v>0</v>
      </c>
      <c r="F704">
        <v>0</v>
      </c>
      <c r="G704">
        <v>0</v>
      </c>
      <c r="H704">
        <v>928990</v>
      </c>
      <c r="I704">
        <v>0</v>
      </c>
      <c r="J704">
        <v>0</v>
      </c>
      <c r="K704" s="249">
        <v>312</v>
      </c>
      <c r="L704" s="249">
        <v>331.5</v>
      </c>
      <c r="M704" s="249">
        <v>354.70499999999998</v>
      </c>
      <c r="N704" s="249">
        <v>379.53434999999996</v>
      </c>
    </row>
    <row r="705" spans="1:14" x14ac:dyDescent="0.25">
      <c r="A705" t="s">
        <v>580</v>
      </c>
      <c r="C705" t="s">
        <v>174</v>
      </c>
      <c r="D705" s="67">
        <v>113</v>
      </c>
      <c r="E705">
        <v>0</v>
      </c>
      <c r="F705">
        <v>0</v>
      </c>
      <c r="G705">
        <v>0</v>
      </c>
      <c r="H705">
        <v>928990</v>
      </c>
      <c r="I705">
        <v>0</v>
      </c>
      <c r="J705">
        <v>0</v>
      </c>
      <c r="K705" s="249">
        <v>113</v>
      </c>
      <c r="L705" s="249">
        <v>120.0625</v>
      </c>
      <c r="M705" s="249">
        <v>128.46687499999999</v>
      </c>
      <c r="N705" s="249">
        <v>137.45955624999999</v>
      </c>
    </row>
    <row r="706" spans="1:14" x14ac:dyDescent="0.25">
      <c r="A706" t="s">
        <v>581</v>
      </c>
      <c r="C706" t="s">
        <v>175</v>
      </c>
      <c r="D706" s="67">
        <v>944</v>
      </c>
      <c r="E706">
        <v>0</v>
      </c>
      <c r="F706">
        <v>0</v>
      </c>
      <c r="G706">
        <v>0</v>
      </c>
      <c r="H706">
        <v>928990</v>
      </c>
      <c r="I706">
        <v>0</v>
      </c>
      <c r="J706">
        <v>0</v>
      </c>
      <c r="K706" s="249">
        <v>944</v>
      </c>
      <c r="L706" s="249">
        <v>1003</v>
      </c>
      <c r="M706" s="249">
        <v>1073.21</v>
      </c>
      <c r="N706" s="249">
        <v>1148.3347000000001</v>
      </c>
    </row>
    <row r="707" spans="1:14" x14ac:dyDescent="0.25">
      <c r="J707">
        <v>0</v>
      </c>
    </row>
    <row r="708" spans="1:14" x14ac:dyDescent="0.25">
      <c r="C708" t="s">
        <v>176</v>
      </c>
      <c r="D708" s="67">
        <v>1369</v>
      </c>
      <c r="E708">
        <v>0</v>
      </c>
      <c r="F708">
        <v>0</v>
      </c>
      <c r="G708">
        <v>0</v>
      </c>
      <c r="H708">
        <v>1369</v>
      </c>
      <c r="I708">
        <v>0</v>
      </c>
      <c r="J708">
        <v>0</v>
      </c>
      <c r="K708" s="249">
        <v>1369</v>
      </c>
      <c r="L708" s="249">
        <v>1454.5625</v>
      </c>
      <c r="M708" s="249">
        <v>1556.381875</v>
      </c>
      <c r="N708" s="249">
        <v>1665.3286062500001</v>
      </c>
    </row>
    <row r="709" spans="1:14" x14ac:dyDescent="0.25">
      <c r="J709">
        <v>0</v>
      </c>
    </row>
    <row r="710" spans="1:14" x14ac:dyDescent="0.25">
      <c r="C710" t="s">
        <v>177</v>
      </c>
      <c r="D710" s="67">
        <v>366783</v>
      </c>
      <c r="E710">
        <v>0</v>
      </c>
      <c r="F710">
        <v>0</v>
      </c>
      <c r="G710">
        <v>0</v>
      </c>
      <c r="H710">
        <v>366783</v>
      </c>
      <c r="I710">
        <v>0</v>
      </c>
      <c r="J710">
        <v>0</v>
      </c>
      <c r="K710" s="249">
        <v>366783</v>
      </c>
      <c r="L710" s="249">
        <v>389706.9375</v>
      </c>
      <c r="M710" s="249">
        <v>416986.42312500003</v>
      </c>
      <c r="N710" s="249">
        <v>446175.47274375008</v>
      </c>
    </row>
    <row r="711" spans="1:14" x14ac:dyDescent="0.25">
      <c r="J711">
        <v>0</v>
      </c>
    </row>
    <row r="712" spans="1:14" x14ac:dyDescent="0.25">
      <c r="C712" t="s">
        <v>178</v>
      </c>
      <c r="D712" s="67">
        <v>366783</v>
      </c>
      <c r="E712">
        <v>0</v>
      </c>
      <c r="F712">
        <v>0</v>
      </c>
      <c r="G712">
        <v>0</v>
      </c>
      <c r="H712">
        <v>366783</v>
      </c>
      <c r="I712">
        <v>0</v>
      </c>
      <c r="J712">
        <v>0</v>
      </c>
      <c r="K712" s="249">
        <v>366783</v>
      </c>
      <c r="L712" s="249">
        <v>389706.9375</v>
      </c>
      <c r="M712" s="249">
        <v>416986.42312500003</v>
      </c>
      <c r="N712" s="249">
        <v>446175.47274375008</v>
      </c>
    </row>
    <row r="713" spans="1:14" x14ac:dyDescent="0.25">
      <c r="J713">
        <v>0</v>
      </c>
    </row>
    <row r="714" spans="1:14" x14ac:dyDescent="0.25">
      <c r="C714" t="s">
        <v>305</v>
      </c>
      <c r="D714" s="67">
        <v>366783</v>
      </c>
      <c r="E714">
        <v>0</v>
      </c>
      <c r="F714">
        <v>0</v>
      </c>
      <c r="G714">
        <v>0</v>
      </c>
      <c r="H714">
        <v>366783</v>
      </c>
      <c r="I714">
        <v>0</v>
      </c>
      <c r="J714">
        <v>0</v>
      </c>
      <c r="K714" s="249">
        <v>366783</v>
      </c>
      <c r="L714" s="249">
        <v>389706.9375</v>
      </c>
      <c r="M714" s="249">
        <v>416986.42312500003</v>
      </c>
      <c r="N714" s="249">
        <v>446175.47274375008</v>
      </c>
    </row>
    <row r="716" spans="1:14" x14ac:dyDescent="0.25">
      <c r="C716" t="s">
        <v>3038</v>
      </c>
      <c r="D716" s="67">
        <v>-15119762</v>
      </c>
      <c r="E716">
        <v>-5240.76</v>
      </c>
      <c r="F716">
        <v>0</v>
      </c>
      <c r="G716">
        <v>-57120.98</v>
      </c>
      <c r="H716">
        <v>-15062641.02</v>
      </c>
      <c r="I716">
        <v>221.7</v>
      </c>
      <c r="J716">
        <v>7430000</v>
      </c>
      <c r="K716" s="249">
        <v>-7689762</v>
      </c>
      <c r="L716" s="249">
        <v>-7698501.29</v>
      </c>
      <c r="M716" s="249">
        <v>-7707737.2493399996</v>
      </c>
      <c r="N716" s="249">
        <v>-7717403.0980096404</v>
      </c>
    </row>
    <row r="717" spans="1:14" x14ac:dyDescent="0.25">
      <c r="C717" t="s">
        <v>3052</v>
      </c>
      <c r="D717" s="67">
        <v>11501343</v>
      </c>
      <c r="E717">
        <v>268461.78000000003</v>
      </c>
      <c r="F717">
        <v>37745</v>
      </c>
      <c r="G717">
        <v>1655576.33</v>
      </c>
      <c r="H717">
        <v>39208134.670000002</v>
      </c>
      <c r="I717">
        <v>248.77</v>
      </c>
      <c r="J717">
        <v>-1214793.5499999998</v>
      </c>
      <c r="K717" s="249">
        <v>10286549.449999999</v>
      </c>
      <c r="L717" s="249">
        <v>9428837.385625001</v>
      </c>
      <c r="M717" s="249">
        <v>8905304.87533875</v>
      </c>
      <c r="N717" s="249">
        <v>9782612.5774775799</v>
      </c>
    </row>
    <row r="718" spans="1:14" x14ac:dyDescent="0.25">
      <c r="C718" t="s">
        <v>3053</v>
      </c>
    </row>
    <row r="719" spans="1:14" ht="30" x14ac:dyDescent="0.25">
      <c r="A719" t="s">
        <v>0</v>
      </c>
      <c r="B719" t="s">
        <v>1356</v>
      </c>
      <c r="C719" t="s">
        <v>1</v>
      </c>
      <c r="D719" s="67" t="s">
        <v>2</v>
      </c>
      <c r="E719" t="s">
        <v>3</v>
      </c>
      <c r="F719" t="s">
        <v>4</v>
      </c>
      <c r="G719" t="s">
        <v>5</v>
      </c>
      <c r="H719" t="s">
        <v>6</v>
      </c>
      <c r="I719" t="s">
        <v>7</v>
      </c>
      <c r="J719" t="s">
        <v>1322</v>
      </c>
      <c r="K719" s="249" t="s">
        <v>3012</v>
      </c>
      <c r="L719" s="249" t="s">
        <v>3013</v>
      </c>
      <c r="M719" s="249" t="s">
        <v>3014</v>
      </c>
      <c r="N719" s="249" t="s">
        <v>3015</v>
      </c>
    </row>
    <row r="721" spans="1:14" x14ac:dyDescent="0.25">
      <c r="C721" t="s">
        <v>582</v>
      </c>
    </row>
    <row r="722" spans="1:14" x14ac:dyDescent="0.25">
      <c r="C722" t="s">
        <v>96</v>
      </c>
    </row>
    <row r="723" spans="1:14" x14ac:dyDescent="0.25">
      <c r="C723" t="s">
        <v>97</v>
      </c>
    </row>
    <row r="724" spans="1:14" x14ac:dyDescent="0.25">
      <c r="C724" t="s">
        <v>98</v>
      </c>
    </row>
    <row r="725" spans="1:14" x14ac:dyDescent="0.25">
      <c r="C725" t="s">
        <v>99</v>
      </c>
    </row>
    <row r="727" spans="1:14" x14ac:dyDescent="0.25">
      <c r="A727" t="s">
        <v>583</v>
      </c>
      <c r="C727" t="s">
        <v>100</v>
      </c>
      <c r="D727" s="67">
        <v>891108</v>
      </c>
      <c r="E727">
        <v>91950.73</v>
      </c>
      <c r="F727">
        <v>0</v>
      </c>
      <c r="G727">
        <v>551704.38</v>
      </c>
      <c r="H727">
        <v>339403.62</v>
      </c>
      <c r="I727">
        <v>61.91</v>
      </c>
      <c r="J727">
        <v>0</v>
      </c>
      <c r="K727" s="249">
        <v>891108</v>
      </c>
      <c r="L727" s="249">
        <v>946802.25</v>
      </c>
      <c r="M727" s="249">
        <v>1013078.4075</v>
      </c>
      <c r="N727" s="249">
        <v>1083993.8960249999</v>
      </c>
    </row>
    <row r="728" spans="1:14" x14ac:dyDescent="0.25">
      <c r="A728" t="s">
        <v>584</v>
      </c>
      <c r="C728" t="s">
        <v>101</v>
      </c>
      <c r="D728" s="67">
        <v>44555</v>
      </c>
      <c r="E728">
        <v>91950.73</v>
      </c>
      <c r="F728">
        <v>0</v>
      </c>
      <c r="G728">
        <v>551704.38</v>
      </c>
      <c r="H728">
        <v>339403.62</v>
      </c>
      <c r="I728">
        <v>61.91</v>
      </c>
      <c r="J728">
        <v>0</v>
      </c>
      <c r="K728" s="249">
        <v>44555</v>
      </c>
      <c r="L728" s="249">
        <v>47339.6875</v>
      </c>
      <c r="M728" s="249">
        <v>50653.465624999997</v>
      </c>
      <c r="N728" s="249">
        <v>54199.208218749998</v>
      </c>
    </row>
    <row r="729" spans="1:14" x14ac:dyDescent="0.25">
      <c r="A729" t="s">
        <v>585</v>
      </c>
      <c r="C729" t="s">
        <v>102</v>
      </c>
      <c r="D729" s="67">
        <v>40000</v>
      </c>
      <c r="E729">
        <v>91950.73</v>
      </c>
      <c r="F729">
        <v>0</v>
      </c>
      <c r="G729">
        <v>551704.38</v>
      </c>
      <c r="H729">
        <v>339403.62</v>
      </c>
      <c r="I729">
        <v>61.91</v>
      </c>
      <c r="J729">
        <v>0</v>
      </c>
      <c r="K729" s="249">
        <v>40000</v>
      </c>
      <c r="L729" s="249">
        <v>42500</v>
      </c>
      <c r="M729" s="249">
        <v>45475</v>
      </c>
      <c r="N729" s="249">
        <v>48658.25</v>
      </c>
    </row>
    <row r="730" spans="1:14" x14ac:dyDescent="0.25">
      <c r="A730" t="s">
        <v>586</v>
      </c>
      <c r="C730" t="s">
        <v>103</v>
      </c>
      <c r="D730" s="67">
        <v>253608</v>
      </c>
      <c r="E730">
        <v>91950.73</v>
      </c>
      <c r="F730">
        <v>0</v>
      </c>
      <c r="G730">
        <v>551704.38</v>
      </c>
      <c r="H730">
        <v>339403.62</v>
      </c>
      <c r="I730">
        <v>61.91</v>
      </c>
      <c r="J730">
        <v>0</v>
      </c>
      <c r="K730" s="249">
        <v>253608</v>
      </c>
      <c r="L730" s="249">
        <v>269458.5</v>
      </c>
      <c r="M730" s="249">
        <v>288320.59499999997</v>
      </c>
      <c r="N730" s="249">
        <v>308503.03664999997</v>
      </c>
    </row>
    <row r="731" spans="1:14" x14ac:dyDescent="0.25">
      <c r="A731" t="s">
        <v>587</v>
      </c>
      <c r="C731" t="s">
        <v>104</v>
      </c>
      <c r="D731" s="67">
        <v>31385</v>
      </c>
      <c r="E731">
        <v>91950.73</v>
      </c>
      <c r="F731">
        <v>0</v>
      </c>
      <c r="G731">
        <v>551704.38</v>
      </c>
      <c r="H731">
        <v>339403.62</v>
      </c>
      <c r="I731">
        <v>61.91</v>
      </c>
      <c r="J731">
        <v>0</v>
      </c>
      <c r="K731" s="249">
        <v>31385</v>
      </c>
      <c r="L731" s="249">
        <v>33346.5625</v>
      </c>
      <c r="M731" s="249">
        <v>35680.821875000001</v>
      </c>
      <c r="N731" s="249">
        <v>38178.47940625</v>
      </c>
    </row>
    <row r="732" spans="1:14" x14ac:dyDescent="0.25">
      <c r="A732" t="s">
        <v>588</v>
      </c>
      <c r="C732" t="s">
        <v>105</v>
      </c>
      <c r="D732" s="67">
        <v>17004</v>
      </c>
      <c r="E732">
        <v>91950.73</v>
      </c>
      <c r="F732">
        <v>0</v>
      </c>
      <c r="G732">
        <v>551704.38</v>
      </c>
      <c r="H732">
        <v>339403.62</v>
      </c>
      <c r="I732">
        <v>61.91</v>
      </c>
      <c r="J732">
        <v>0</v>
      </c>
      <c r="K732" s="249">
        <v>17004</v>
      </c>
      <c r="L732" s="249">
        <v>18066.75</v>
      </c>
      <c r="M732" s="249">
        <v>19331.422500000001</v>
      </c>
      <c r="N732" s="249">
        <v>20684.622074999999</v>
      </c>
    </row>
    <row r="734" spans="1:14" x14ac:dyDescent="0.25">
      <c r="C734" t="s">
        <v>106</v>
      </c>
      <c r="D734" s="67">
        <v>1277660</v>
      </c>
      <c r="E734">
        <v>95284.06</v>
      </c>
      <c r="F734">
        <v>0</v>
      </c>
      <c r="G734">
        <v>3310226.28</v>
      </c>
      <c r="H734">
        <v>705955.64</v>
      </c>
      <c r="I734">
        <v>44.74</v>
      </c>
      <c r="J734">
        <v>0</v>
      </c>
      <c r="K734" s="249">
        <v>1277660</v>
      </c>
      <c r="L734" s="249">
        <v>1357513.75</v>
      </c>
      <c r="M734" s="249">
        <v>1452539.7124999999</v>
      </c>
      <c r="N734" s="249">
        <v>1554217.4923749999</v>
      </c>
    </row>
    <row r="736" spans="1:14" x14ac:dyDescent="0.25">
      <c r="C736" t="s">
        <v>146</v>
      </c>
      <c r="D736" s="67">
        <v>1277660</v>
      </c>
      <c r="E736">
        <v>95284.06</v>
      </c>
      <c r="F736">
        <v>0</v>
      </c>
      <c r="G736">
        <v>571704.36</v>
      </c>
      <c r="H736">
        <v>705955.64</v>
      </c>
      <c r="I736">
        <v>44.74</v>
      </c>
      <c r="J736">
        <v>0</v>
      </c>
      <c r="K736" s="249">
        <v>1277660</v>
      </c>
      <c r="L736" s="249">
        <v>1357513.75</v>
      </c>
      <c r="M736" s="249">
        <v>1452539.7124999999</v>
      </c>
      <c r="N736" s="249">
        <v>1554217.4923749999</v>
      </c>
    </row>
    <row r="738" spans="1:14" x14ac:dyDescent="0.25">
      <c r="C738" t="s">
        <v>147</v>
      </c>
      <c r="D738" s="67">
        <v>1277660</v>
      </c>
      <c r="E738">
        <v>95284.06</v>
      </c>
      <c r="F738">
        <v>0</v>
      </c>
      <c r="G738">
        <v>571704.36</v>
      </c>
      <c r="H738">
        <v>705955.64</v>
      </c>
      <c r="I738">
        <v>44.74</v>
      </c>
      <c r="J738">
        <v>0</v>
      </c>
      <c r="K738" s="249">
        <v>1277660</v>
      </c>
      <c r="L738" s="249">
        <v>1357513.75</v>
      </c>
      <c r="M738" s="249">
        <v>1452539.7124999999</v>
      </c>
      <c r="N738" s="249">
        <v>1554217.4923749999</v>
      </c>
    </row>
    <row r="740" spans="1:14" x14ac:dyDescent="0.25">
      <c r="C740" t="s">
        <v>148</v>
      </c>
      <c r="J740">
        <v>276424</v>
      </c>
      <c r="K740" s="249">
        <v>0</v>
      </c>
    </row>
    <row r="742" spans="1:14" x14ac:dyDescent="0.25">
      <c r="C742" t="s">
        <v>149</v>
      </c>
      <c r="J742">
        <v>276424</v>
      </c>
      <c r="K742" s="249">
        <v>0</v>
      </c>
    </row>
    <row r="744" spans="1:14" x14ac:dyDescent="0.25">
      <c r="A744" t="s">
        <v>589</v>
      </c>
      <c r="C744" t="s">
        <v>150</v>
      </c>
      <c r="D744" s="67">
        <v>1773819</v>
      </c>
      <c r="E744">
        <v>91950.73</v>
      </c>
      <c r="F744">
        <v>0</v>
      </c>
      <c r="G744">
        <v>551704.38</v>
      </c>
      <c r="H744">
        <v>339403.62</v>
      </c>
      <c r="I744">
        <v>61.91</v>
      </c>
      <c r="J744">
        <v>0</v>
      </c>
      <c r="K744" s="249">
        <v>1773819</v>
      </c>
      <c r="L744" s="249">
        <v>1884682.6875</v>
      </c>
      <c r="M744" s="249">
        <v>2016610.475625</v>
      </c>
      <c r="N744" s="249">
        <v>2157773.2089187498</v>
      </c>
    </row>
    <row r="745" spans="1:14" x14ac:dyDescent="0.25">
      <c r="A745" t="s">
        <v>590</v>
      </c>
      <c r="C745" t="s">
        <v>151</v>
      </c>
      <c r="D745" s="67">
        <v>88691</v>
      </c>
      <c r="E745">
        <v>91950.73</v>
      </c>
      <c r="F745">
        <v>0</v>
      </c>
      <c r="G745">
        <v>551704.38</v>
      </c>
      <c r="H745">
        <v>339403.62</v>
      </c>
      <c r="I745">
        <v>61.91</v>
      </c>
      <c r="J745">
        <v>-63289.729999999996</v>
      </c>
      <c r="K745" s="249">
        <v>25401.270000000004</v>
      </c>
      <c r="L745" s="249">
        <v>26988.849375000005</v>
      </c>
      <c r="M745" s="249">
        <v>28878.068831250006</v>
      </c>
      <c r="N745" s="249">
        <v>30899.533649437508</v>
      </c>
    </row>
    <row r="746" spans="1:14" x14ac:dyDescent="0.25">
      <c r="A746" t="s">
        <v>591</v>
      </c>
      <c r="C746" t="s">
        <v>152</v>
      </c>
      <c r="D746" s="67">
        <v>62100</v>
      </c>
      <c r="E746">
        <v>91950.73</v>
      </c>
      <c r="F746">
        <v>0</v>
      </c>
      <c r="G746">
        <v>551704.38</v>
      </c>
      <c r="H746">
        <v>339403.62</v>
      </c>
      <c r="I746">
        <v>61.91</v>
      </c>
      <c r="J746">
        <v>0</v>
      </c>
      <c r="K746" s="249">
        <v>62100</v>
      </c>
      <c r="L746" s="249">
        <v>65981.25</v>
      </c>
      <c r="M746" s="249">
        <v>70599.9375</v>
      </c>
      <c r="N746" s="249">
        <v>75541.933124999996</v>
      </c>
    </row>
    <row r="747" spans="1:14" x14ac:dyDescent="0.25">
      <c r="A747" t="s">
        <v>592</v>
      </c>
      <c r="C747" t="s">
        <v>153</v>
      </c>
      <c r="D747" s="67">
        <v>21786</v>
      </c>
      <c r="E747">
        <v>91950.73</v>
      </c>
      <c r="F747">
        <v>0</v>
      </c>
      <c r="G747">
        <v>551704.38</v>
      </c>
      <c r="H747">
        <v>339403.62</v>
      </c>
      <c r="I747">
        <v>61.91</v>
      </c>
      <c r="J747">
        <v>0</v>
      </c>
      <c r="K747" s="249">
        <v>21786</v>
      </c>
      <c r="L747" s="249">
        <v>23147.625</v>
      </c>
      <c r="M747" s="249">
        <v>24767.958750000002</v>
      </c>
      <c r="N747" s="249">
        <v>26501.715862500001</v>
      </c>
    </row>
    <row r="748" spans="1:14" x14ac:dyDescent="0.25">
      <c r="A748" t="s">
        <v>593</v>
      </c>
      <c r="C748" t="s">
        <v>155</v>
      </c>
      <c r="D748" s="67">
        <v>58863</v>
      </c>
      <c r="E748">
        <v>91950.73</v>
      </c>
      <c r="F748">
        <v>0</v>
      </c>
      <c r="G748">
        <v>551704.38</v>
      </c>
      <c r="H748">
        <v>339403.62</v>
      </c>
      <c r="I748">
        <v>61.91</v>
      </c>
      <c r="J748">
        <v>0</v>
      </c>
      <c r="K748" s="249">
        <v>58863</v>
      </c>
      <c r="L748" s="249">
        <v>62541.9375</v>
      </c>
      <c r="M748" s="249">
        <v>66919.873124999998</v>
      </c>
      <c r="N748" s="249">
        <v>71604.264243750004</v>
      </c>
    </row>
    <row r="749" spans="1:14" x14ac:dyDescent="0.25">
      <c r="A749" t="s">
        <v>594</v>
      </c>
      <c r="C749" t="s">
        <v>156</v>
      </c>
      <c r="D749" s="67">
        <v>443455</v>
      </c>
      <c r="E749">
        <v>91950.73</v>
      </c>
      <c r="F749">
        <v>0</v>
      </c>
      <c r="G749">
        <v>551704.38</v>
      </c>
      <c r="H749">
        <v>339403.62</v>
      </c>
      <c r="I749">
        <v>61.91</v>
      </c>
      <c r="J749">
        <v>0</v>
      </c>
      <c r="K749" s="249">
        <v>443455</v>
      </c>
      <c r="L749" s="249">
        <v>471170.9375</v>
      </c>
      <c r="M749" s="249">
        <v>504152.90312500001</v>
      </c>
      <c r="N749" s="249">
        <v>539443.60634375003</v>
      </c>
    </row>
    <row r="750" spans="1:14" x14ac:dyDescent="0.25">
      <c r="A750" t="s">
        <v>595</v>
      </c>
      <c r="C750" t="s">
        <v>158</v>
      </c>
      <c r="D750" s="67">
        <v>35475</v>
      </c>
      <c r="E750">
        <v>91950.73</v>
      </c>
      <c r="F750">
        <v>0</v>
      </c>
      <c r="G750">
        <v>551704.38</v>
      </c>
      <c r="H750">
        <v>339403.62</v>
      </c>
      <c r="I750">
        <v>61.91</v>
      </c>
      <c r="J750">
        <v>-35475</v>
      </c>
      <c r="K750" s="249">
        <v>0</v>
      </c>
      <c r="L750" s="249">
        <v>0</v>
      </c>
      <c r="M750" s="249">
        <v>0</v>
      </c>
      <c r="N750" s="249">
        <v>0</v>
      </c>
    </row>
    <row r="751" spans="1:14" x14ac:dyDescent="0.25">
      <c r="A751" t="s">
        <v>596</v>
      </c>
      <c r="C751" t="s">
        <v>159</v>
      </c>
      <c r="D751" s="67">
        <v>147818</v>
      </c>
      <c r="E751">
        <v>91950.73</v>
      </c>
      <c r="F751">
        <v>0</v>
      </c>
      <c r="G751">
        <v>551704.38</v>
      </c>
      <c r="H751">
        <v>339403.62</v>
      </c>
      <c r="I751">
        <v>61.91</v>
      </c>
      <c r="J751">
        <v>0</v>
      </c>
      <c r="K751" s="249">
        <v>147818</v>
      </c>
      <c r="L751" s="249">
        <v>157056.625</v>
      </c>
      <c r="M751" s="249">
        <v>168050.58875</v>
      </c>
      <c r="N751" s="249">
        <v>179814.12996249998</v>
      </c>
    </row>
    <row r="752" spans="1:14" x14ac:dyDescent="0.25">
      <c r="A752" t="s">
        <v>597</v>
      </c>
      <c r="C752" t="s">
        <v>164</v>
      </c>
      <c r="D752" s="67">
        <v>44412</v>
      </c>
      <c r="E752">
        <v>91950.73</v>
      </c>
      <c r="F752">
        <v>0</v>
      </c>
      <c r="G752">
        <v>551704.38</v>
      </c>
      <c r="H752">
        <v>339403.62</v>
      </c>
      <c r="I752">
        <v>61.91</v>
      </c>
      <c r="J752">
        <v>149534.76</v>
      </c>
      <c r="K752" s="249">
        <v>193946.76</v>
      </c>
      <c r="L752" s="249">
        <v>206068.4325</v>
      </c>
      <c r="M752" s="249">
        <v>220493.222775</v>
      </c>
      <c r="N752" s="249">
        <v>235927.74836925001</v>
      </c>
    </row>
    <row r="754" spans="1:14" x14ac:dyDescent="0.25">
      <c r="C754" t="s">
        <v>165</v>
      </c>
      <c r="D754" s="67">
        <v>2676419</v>
      </c>
      <c r="E754">
        <v>153223.46</v>
      </c>
      <c r="F754">
        <v>0</v>
      </c>
      <c r="G754">
        <v>806654.96</v>
      </c>
      <c r="H754">
        <v>1869764.04</v>
      </c>
      <c r="I754">
        <v>30.13</v>
      </c>
      <c r="J754">
        <v>50770.030000000261</v>
      </c>
      <c r="K754" s="249">
        <v>2727189.0300000003</v>
      </c>
      <c r="L754" s="249">
        <v>2897638.3443750003</v>
      </c>
      <c r="M754" s="249">
        <v>3100473.0284812506</v>
      </c>
      <c r="N754" s="249">
        <v>3317506.1404749374</v>
      </c>
    </row>
    <row r="756" spans="1:14" x14ac:dyDescent="0.25">
      <c r="C756" t="s">
        <v>166</v>
      </c>
      <c r="J756">
        <v>0</v>
      </c>
    </row>
    <row r="758" spans="1:14" x14ac:dyDescent="0.25">
      <c r="A758" t="s">
        <v>598</v>
      </c>
      <c r="C758" t="s">
        <v>167</v>
      </c>
      <c r="D758" s="67">
        <v>449</v>
      </c>
      <c r="E758">
        <v>91950.73</v>
      </c>
      <c r="F758">
        <v>0</v>
      </c>
      <c r="G758">
        <v>551704.38</v>
      </c>
      <c r="H758">
        <v>339403.62</v>
      </c>
      <c r="I758">
        <v>61.91</v>
      </c>
      <c r="J758">
        <v>0</v>
      </c>
      <c r="K758" s="249">
        <v>449</v>
      </c>
      <c r="L758" s="249">
        <v>477.0625</v>
      </c>
      <c r="M758" s="249">
        <v>510.45687499999997</v>
      </c>
      <c r="N758" s="249">
        <v>546.18885624999996</v>
      </c>
    </row>
    <row r="759" spans="1:14" x14ac:dyDescent="0.25">
      <c r="A759" t="s">
        <v>599</v>
      </c>
      <c r="C759" t="s">
        <v>168</v>
      </c>
      <c r="D759" s="67">
        <v>215633</v>
      </c>
      <c r="E759">
        <v>91950.73</v>
      </c>
      <c r="F759">
        <v>0</v>
      </c>
      <c r="G759">
        <v>551704.38</v>
      </c>
      <c r="H759">
        <v>339403.62</v>
      </c>
      <c r="I759">
        <v>61.91</v>
      </c>
      <c r="J759">
        <v>0</v>
      </c>
      <c r="K759" s="249">
        <v>215633</v>
      </c>
      <c r="L759" s="249">
        <v>229110.0625</v>
      </c>
      <c r="M759" s="249">
        <v>245147.766875</v>
      </c>
      <c r="N759" s="249">
        <v>262308.11055624997</v>
      </c>
    </row>
    <row r="760" spans="1:14" x14ac:dyDescent="0.25">
      <c r="A760" t="s">
        <v>600</v>
      </c>
      <c r="C760" t="s">
        <v>169</v>
      </c>
      <c r="D760" s="67">
        <v>390240</v>
      </c>
      <c r="E760">
        <v>91950.73</v>
      </c>
      <c r="F760">
        <v>0</v>
      </c>
      <c r="G760">
        <v>551704.38</v>
      </c>
      <c r="H760">
        <v>339403.62</v>
      </c>
      <c r="I760">
        <v>61.91</v>
      </c>
      <c r="J760">
        <v>0</v>
      </c>
      <c r="K760" s="249">
        <v>390240</v>
      </c>
      <c r="L760" s="249">
        <v>414630</v>
      </c>
      <c r="M760" s="249">
        <v>443654.1</v>
      </c>
      <c r="N760" s="249">
        <v>474709.88699999999</v>
      </c>
    </row>
    <row r="761" spans="1:14" x14ac:dyDescent="0.25">
      <c r="A761" t="s">
        <v>601</v>
      </c>
      <c r="C761" t="s">
        <v>170</v>
      </c>
      <c r="D761" s="67">
        <v>7140</v>
      </c>
      <c r="E761">
        <v>91950.73</v>
      </c>
      <c r="F761">
        <v>0</v>
      </c>
      <c r="G761">
        <v>551704.38</v>
      </c>
      <c r="H761">
        <v>339403.62</v>
      </c>
      <c r="I761">
        <v>61.91</v>
      </c>
      <c r="J761">
        <v>0</v>
      </c>
      <c r="K761" s="249">
        <v>7140</v>
      </c>
      <c r="L761" s="249">
        <v>7586.25</v>
      </c>
      <c r="M761" s="249">
        <v>8117.2875000000004</v>
      </c>
      <c r="N761" s="249">
        <v>8685.497625</v>
      </c>
    </row>
    <row r="763" spans="1:14" x14ac:dyDescent="0.25">
      <c r="C763" t="s">
        <v>171</v>
      </c>
      <c r="D763" s="67">
        <v>613462</v>
      </c>
      <c r="E763">
        <v>27707.32</v>
      </c>
      <c r="F763">
        <v>0</v>
      </c>
      <c r="G763">
        <v>165892.92000000001</v>
      </c>
      <c r="H763">
        <v>447569.08</v>
      </c>
      <c r="I763">
        <v>27.04</v>
      </c>
      <c r="J763">
        <v>0</v>
      </c>
      <c r="K763" s="249">
        <v>613462</v>
      </c>
      <c r="L763" s="249">
        <v>651803.375</v>
      </c>
      <c r="M763" s="249">
        <v>697429.61124999996</v>
      </c>
      <c r="N763" s="249">
        <v>746249.68403749994</v>
      </c>
    </row>
    <row r="765" spans="1:14" x14ac:dyDescent="0.25">
      <c r="C765" t="s">
        <v>172</v>
      </c>
      <c r="J765">
        <v>0</v>
      </c>
    </row>
    <row r="767" spans="1:14" x14ac:dyDescent="0.25">
      <c r="A767" t="s">
        <v>602</v>
      </c>
      <c r="C767" t="s">
        <v>173</v>
      </c>
      <c r="D767" s="67">
        <v>15638</v>
      </c>
      <c r="E767">
        <v>91950.73</v>
      </c>
      <c r="F767">
        <v>0</v>
      </c>
      <c r="G767">
        <v>551704.38</v>
      </c>
      <c r="H767">
        <v>339403.62</v>
      </c>
      <c r="I767">
        <v>61.91</v>
      </c>
      <c r="J767">
        <v>0</v>
      </c>
      <c r="K767" s="249">
        <v>15638</v>
      </c>
      <c r="L767" s="249">
        <v>16615.375</v>
      </c>
      <c r="M767" s="249">
        <v>17778.451249999998</v>
      </c>
      <c r="N767" s="249">
        <v>19022.942837499999</v>
      </c>
    </row>
    <row r="768" spans="1:14" x14ac:dyDescent="0.25">
      <c r="A768" t="s">
        <v>603</v>
      </c>
      <c r="C768" t="s">
        <v>174</v>
      </c>
      <c r="D768" s="67">
        <v>19697</v>
      </c>
      <c r="E768">
        <v>91950.73</v>
      </c>
      <c r="F768">
        <v>0</v>
      </c>
      <c r="G768">
        <v>551704.38</v>
      </c>
      <c r="H768">
        <v>339403.62</v>
      </c>
      <c r="I768">
        <v>61.91</v>
      </c>
      <c r="J768">
        <v>0</v>
      </c>
      <c r="K768" s="249">
        <v>19697</v>
      </c>
      <c r="L768" s="249">
        <v>20928.0625</v>
      </c>
      <c r="M768" s="249">
        <v>22393.026875</v>
      </c>
      <c r="N768" s="249">
        <v>23960.53875625</v>
      </c>
    </row>
    <row r="769" spans="1:14" x14ac:dyDescent="0.25">
      <c r="A769" t="s">
        <v>604</v>
      </c>
      <c r="C769" t="s">
        <v>175</v>
      </c>
      <c r="D769" s="67">
        <v>16419</v>
      </c>
      <c r="E769">
        <v>91950.73</v>
      </c>
      <c r="F769">
        <v>0</v>
      </c>
      <c r="G769">
        <v>551704.38</v>
      </c>
      <c r="H769">
        <v>339403.62</v>
      </c>
      <c r="I769">
        <v>61.91</v>
      </c>
      <c r="J769">
        <v>0</v>
      </c>
      <c r="K769" s="249">
        <v>16419</v>
      </c>
      <c r="L769" s="249">
        <v>17445.1875</v>
      </c>
      <c r="M769" s="249">
        <v>18666.350624999999</v>
      </c>
      <c r="N769" s="249">
        <v>19972.99516875</v>
      </c>
    </row>
    <row r="771" spans="1:14" x14ac:dyDescent="0.25">
      <c r="C771" t="s">
        <v>176</v>
      </c>
      <c r="D771" s="67">
        <v>51754</v>
      </c>
      <c r="E771">
        <v>0</v>
      </c>
      <c r="F771">
        <v>0</v>
      </c>
      <c r="G771">
        <v>0</v>
      </c>
      <c r="H771">
        <v>51754</v>
      </c>
      <c r="I771">
        <v>0</v>
      </c>
      <c r="J771">
        <v>0</v>
      </c>
      <c r="K771" s="249">
        <v>51754</v>
      </c>
      <c r="L771" s="249">
        <v>54988.625</v>
      </c>
      <c r="M771" s="249">
        <v>58837.828749999993</v>
      </c>
      <c r="N771" s="249">
        <v>62956.476762499995</v>
      </c>
    </row>
    <row r="773" spans="1:14" x14ac:dyDescent="0.25">
      <c r="C773" t="s">
        <v>177</v>
      </c>
      <c r="D773" s="67">
        <v>3341635</v>
      </c>
      <c r="E773">
        <v>180930.78</v>
      </c>
      <c r="F773">
        <v>0</v>
      </c>
      <c r="G773">
        <v>972547.88</v>
      </c>
      <c r="H773">
        <v>2369087.12</v>
      </c>
      <c r="I773">
        <v>29.1</v>
      </c>
      <c r="J773">
        <v>50770.030000000261</v>
      </c>
      <c r="K773" s="249">
        <v>3392405.0300000003</v>
      </c>
      <c r="L773" s="249">
        <v>3604430.3443750003</v>
      </c>
      <c r="M773" s="249">
        <v>3856740.4684812506</v>
      </c>
      <c r="N773" s="249">
        <v>4126712.3012749376</v>
      </c>
    </row>
    <row r="775" spans="1:14" x14ac:dyDescent="0.25">
      <c r="C775" t="s">
        <v>178</v>
      </c>
      <c r="D775" s="67">
        <v>4619295</v>
      </c>
      <c r="E775">
        <v>276214.84000000003</v>
      </c>
      <c r="F775">
        <v>0</v>
      </c>
      <c r="G775">
        <v>1544252.24</v>
      </c>
      <c r="H775">
        <v>3075042.76</v>
      </c>
      <c r="I775">
        <v>33.43</v>
      </c>
      <c r="J775">
        <v>50770.030000000261</v>
      </c>
      <c r="K775" s="249">
        <v>4670065.03</v>
      </c>
      <c r="L775" s="249">
        <v>4961944.0943750003</v>
      </c>
      <c r="M775" s="249">
        <v>5309280.1809812505</v>
      </c>
      <c r="N775" s="249">
        <v>5680929.793649938</v>
      </c>
    </row>
    <row r="777" spans="1:14" x14ac:dyDescent="0.25">
      <c r="C777" t="s">
        <v>208</v>
      </c>
    </row>
    <row r="778" spans="1:14" x14ac:dyDescent="0.25">
      <c r="C778" t="s">
        <v>209</v>
      </c>
    </row>
    <row r="780" spans="1:14" x14ac:dyDescent="0.25">
      <c r="A780" t="s">
        <v>605</v>
      </c>
      <c r="C780" t="s">
        <v>214</v>
      </c>
      <c r="D780" s="67">
        <v>200000</v>
      </c>
      <c r="E780">
        <v>91950.73</v>
      </c>
      <c r="F780">
        <v>0</v>
      </c>
      <c r="G780">
        <v>551704.38</v>
      </c>
      <c r="H780">
        <v>339403.62</v>
      </c>
      <c r="I780">
        <v>61.91</v>
      </c>
      <c r="J780">
        <v>-30000</v>
      </c>
      <c r="K780" s="249">
        <v>170000</v>
      </c>
      <c r="L780" s="249">
        <v>177650</v>
      </c>
      <c r="M780" s="249">
        <v>185821.9</v>
      </c>
      <c r="N780" s="249">
        <v>194369.70739999998</v>
      </c>
    </row>
    <row r="782" spans="1:14" x14ac:dyDescent="0.25">
      <c r="C782" t="s">
        <v>217</v>
      </c>
      <c r="D782" s="67">
        <v>200000</v>
      </c>
      <c r="E782">
        <v>0</v>
      </c>
      <c r="F782">
        <v>2500</v>
      </c>
      <c r="G782">
        <v>53108.62</v>
      </c>
      <c r="H782">
        <v>146891.38</v>
      </c>
      <c r="I782">
        <v>26.55</v>
      </c>
      <c r="J782">
        <v>-30000</v>
      </c>
      <c r="K782" s="249">
        <v>170000</v>
      </c>
      <c r="L782" s="249">
        <v>177650</v>
      </c>
      <c r="M782" s="249">
        <v>185821.9</v>
      </c>
      <c r="N782" s="249">
        <v>194369.70739999998</v>
      </c>
    </row>
    <row r="784" spans="1:14" x14ac:dyDescent="0.25">
      <c r="C784" t="s">
        <v>218</v>
      </c>
    </row>
    <row r="786" spans="1:14" x14ac:dyDescent="0.25">
      <c r="C786" t="s">
        <v>228</v>
      </c>
    </row>
    <row r="788" spans="1:14" x14ac:dyDescent="0.25">
      <c r="C788" t="s">
        <v>240</v>
      </c>
      <c r="D788" s="67">
        <v>200000</v>
      </c>
      <c r="E788">
        <v>0</v>
      </c>
      <c r="F788">
        <v>2500</v>
      </c>
      <c r="G788">
        <v>53108.62</v>
      </c>
      <c r="H788">
        <v>146891.38</v>
      </c>
      <c r="I788">
        <v>26.55</v>
      </c>
      <c r="J788">
        <v>-30000</v>
      </c>
      <c r="K788" s="249">
        <v>170000</v>
      </c>
      <c r="L788" s="249">
        <v>177650</v>
      </c>
      <c r="M788" s="249">
        <v>185821.9</v>
      </c>
      <c r="N788" s="249">
        <v>194369.70739999998</v>
      </c>
    </row>
    <row r="790" spans="1:14" x14ac:dyDescent="0.25">
      <c r="C790" t="s">
        <v>241</v>
      </c>
    </row>
    <row r="792" spans="1:14" x14ac:dyDescent="0.25">
      <c r="A792" t="s">
        <v>606</v>
      </c>
      <c r="B792" t="s">
        <v>1359</v>
      </c>
      <c r="C792" t="s">
        <v>242</v>
      </c>
      <c r="D792" s="67">
        <v>50473</v>
      </c>
      <c r="E792">
        <v>91950.73</v>
      </c>
      <c r="F792">
        <v>0</v>
      </c>
      <c r="G792">
        <v>551704.38</v>
      </c>
      <c r="H792">
        <v>339403.62</v>
      </c>
      <c r="I792">
        <v>61.91</v>
      </c>
      <c r="J792">
        <v>-20000</v>
      </c>
      <c r="K792" s="249">
        <v>30473</v>
      </c>
      <c r="L792" s="249">
        <v>31844.285</v>
      </c>
      <c r="M792" s="249">
        <v>33309.122109999997</v>
      </c>
      <c r="N792" s="249">
        <v>34841.341727059997</v>
      </c>
    </row>
    <row r="793" spans="1:14" x14ac:dyDescent="0.25">
      <c r="A793" t="s">
        <v>607</v>
      </c>
      <c r="B793" t="s">
        <v>1358</v>
      </c>
      <c r="C793" t="s">
        <v>242</v>
      </c>
      <c r="D793" s="67">
        <v>950000</v>
      </c>
      <c r="E793">
        <v>91950.73</v>
      </c>
      <c r="F793">
        <v>0</v>
      </c>
      <c r="G793">
        <v>551704.38</v>
      </c>
      <c r="H793">
        <v>339403.62</v>
      </c>
      <c r="I793">
        <v>61.91</v>
      </c>
      <c r="J793">
        <v>0</v>
      </c>
      <c r="K793" s="249">
        <v>950000</v>
      </c>
      <c r="L793" s="249">
        <v>992750</v>
      </c>
      <c r="M793" s="249">
        <v>1038416.5</v>
      </c>
      <c r="N793" s="249">
        <v>1086183.659</v>
      </c>
    </row>
    <row r="794" spans="1:14" x14ac:dyDescent="0.25">
      <c r="A794" t="s">
        <v>608</v>
      </c>
      <c r="B794" t="s">
        <v>1357</v>
      </c>
      <c r="C794" t="s">
        <v>242</v>
      </c>
      <c r="D794" s="67">
        <v>236200</v>
      </c>
      <c r="E794">
        <v>91950.73</v>
      </c>
      <c r="F794">
        <v>0</v>
      </c>
      <c r="G794">
        <v>551704.38</v>
      </c>
      <c r="H794">
        <v>339403.62</v>
      </c>
      <c r="I794">
        <v>61.91</v>
      </c>
      <c r="J794">
        <v>30000</v>
      </c>
      <c r="K794" s="249">
        <v>266200</v>
      </c>
      <c r="L794" s="249">
        <v>278179</v>
      </c>
      <c r="M794" s="249">
        <v>290975.234</v>
      </c>
      <c r="N794" s="249">
        <v>304360.09476399998</v>
      </c>
    </row>
    <row r="795" spans="1:14" x14ac:dyDescent="0.25">
      <c r="A795" t="s">
        <v>609</v>
      </c>
      <c r="C795" t="s">
        <v>253</v>
      </c>
      <c r="D795" s="67">
        <v>2000</v>
      </c>
      <c r="E795">
        <v>91950.73</v>
      </c>
      <c r="F795">
        <v>0</v>
      </c>
      <c r="G795">
        <v>551704.38</v>
      </c>
      <c r="H795">
        <v>339403.62</v>
      </c>
      <c r="I795">
        <v>61.91</v>
      </c>
      <c r="J795">
        <v>0</v>
      </c>
      <c r="K795" s="249">
        <v>2000</v>
      </c>
      <c r="L795" s="249">
        <v>2090</v>
      </c>
      <c r="M795" s="249">
        <v>2186.14</v>
      </c>
      <c r="N795" s="249">
        <v>2286.70244</v>
      </c>
    </row>
    <row r="796" spans="1:14" x14ac:dyDescent="0.25">
      <c r="A796" t="s">
        <v>610</v>
      </c>
      <c r="B796" t="s">
        <v>1360</v>
      </c>
      <c r="C796" t="s">
        <v>254</v>
      </c>
      <c r="D796" s="67">
        <v>1000</v>
      </c>
      <c r="E796">
        <v>91950.73</v>
      </c>
      <c r="F796">
        <v>0</v>
      </c>
      <c r="G796">
        <v>551704.38</v>
      </c>
      <c r="H796">
        <v>339403.62</v>
      </c>
      <c r="I796">
        <v>61.91</v>
      </c>
      <c r="J796">
        <v>0</v>
      </c>
      <c r="K796" s="249">
        <v>1000</v>
      </c>
      <c r="L796" s="249">
        <v>1045</v>
      </c>
      <c r="M796" s="249">
        <v>1093.07</v>
      </c>
      <c r="N796" s="249">
        <v>1143.35122</v>
      </c>
    </row>
    <row r="797" spans="1:14" x14ac:dyDescent="0.25">
      <c r="A797" t="s">
        <v>611</v>
      </c>
      <c r="C797" t="s">
        <v>265</v>
      </c>
      <c r="D797" s="67">
        <v>238204</v>
      </c>
      <c r="E797">
        <v>91950.73</v>
      </c>
      <c r="F797">
        <v>0</v>
      </c>
      <c r="G797">
        <v>551704.38</v>
      </c>
      <c r="H797">
        <v>339403.62</v>
      </c>
      <c r="I797">
        <v>61.91</v>
      </c>
      <c r="J797">
        <v>-200000</v>
      </c>
      <c r="K797" s="249">
        <v>38204</v>
      </c>
      <c r="L797" s="249">
        <v>39923.18</v>
      </c>
      <c r="M797" s="249">
        <v>41759.646280000001</v>
      </c>
      <c r="N797" s="249">
        <v>43680.590008879997</v>
      </c>
    </row>
    <row r="798" spans="1:14" x14ac:dyDescent="0.25">
      <c r="A798" t="s">
        <v>612</v>
      </c>
      <c r="B798" t="s">
        <v>1361</v>
      </c>
      <c r="C798" t="s">
        <v>268</v>
      </c>
      <c r="D798" s="67">
        <v>380000</v>
      </c>
      <c r="E798">
        <v>91950.73</v>
      </c>
      <c r="F798">
        <v>0</v>
      </c>
      <c r="G798">
        <v>551704.38</v>
      </c>
      <c r="H798">
        <v>339403.62</v>
      </c>
      <c r="I798">
        <v>61.91</v>
      </c>
      <c r="J798">
        <v>-100000</v>
      </c>
      <c r="K798" s="249">
        <v>280000</v>
      </c>
      <c r="L798" s="249">
        <v>292600</v>
      </c>
      <c r="M798" s="249">
        <v>306059.59999999998</v>
      </c>
      <c r="N798" s="249">
        <v>320138.34159999999</v>
      </c>
    </row>
    <row r="799" spans="1:14" x14ac:dyDescent="0.25">
      <c r="A799" t="s">
        <v>613</v>
      </c>
      <c r="C799" t="s">
        <v>268</v>
      </c>
      <c r="D799" s="67">
        <v>300000</v>
      </c>
      <c r="E799">
        <v>91950.73</v>
      </c>
      <c r="F799">
        <v>0</v>
      </c>
      <c r="G799">
        <v>551704.38</v>
      </c>
      <c r="H799">
        <v>339403.62</v>
      </c>
      <c r="I799">
        <v>61.91</v>
      </c>
      <c r="J799">
        <v>-100000</v>
      </c>
      <c r="K799" s="249">
        <v>200000</v>
      </c>
      <c r="L799" s="249">
        <v>209000</v>
      </c>
      <c r="M799" s="249">
        <v>218614</v>
      </c>
      <c r="N799" s="249">
        <v>228670.24400000001</v>
      </c>
    </row>
    <row r="800" spans="1:14" x14ac:dyDescent="0.25">
      <c r="A800" t="s">
        <v>614</v>
      </c>
      <c r="C800" t="s">
        <v>269</v>
      </c>
      <c r="D800" s="67">
        <v>70000</v>
      </c>
      <c r="E800">
        <v>91950.73</v>
      </c>
      <c r="F800">
        <v>0</v>
      </c>
      <c r="G800">
        <v>551704.38</v>
      </c>
      <c r="H800">
        <v>339403.62</v>
      </c>
      <c r="I800">
        <v>61.91</v>
      </c>
      <c r="J800">
        <v>-40000</v>
      </c>
      <c r="K800" s="249">
        <v>30000</v>
      </c>
      <c r="L800" s="249">
        <v>31350</v>
      </c>
      <c r="M800" s="249">
        <v>32792.1</v>
      </c>
      <c r="N800" s="249">
        <v>34300.536599999999</v>
      </c>
    </row>
    <row r="802" spans="1:14" x14ac:dyDescent="0.25">
      <c r="C802" t="s">
        <v>274</v>
      </c>
      <c r="D802" s="67">
        <v>2227877</v>
      </c>
      <c r="E802">
        <v>827556.57</v>
      </c>
      <c r="F802">
        <v>0</v>
      </c>
      <c r="G802">
        <v>4965339.42</v>
      </c>
      <c r="H802">
        <v>3054632.5800000005</v>
      </c>
      <c r="I802">
        <v>222.87313976489727</v>
      </c>
      <c r="J802">
        <v>-430000</v>
      </c>
      <c r="K802" s="249">
        <v>1797877</v>
      </c>
      <c r="L802" s="249">
        <v>1878781.4650000001</v>
      </c>
      <c r="M802" s="249">
        <v>1965205.4123899997</v>
      </c>
      <c r="N802" s="249">
        <v>2055604.8613599399</v>
      </c>
    </row>
    <row r="804" spans="1:14" x14ac:dyDescent="0.25">
      <c r="C804" t="s">
        <v>290</v>
      </c>
    </row>
    <row r="806" spans="1:14" x14ac:dyDescent="0.25">
      <c r="A806" t="s">
        <v>615</v>
      </c>
      <c r="C806" t="s">
        <v>292</v>
      </c>
      <c r="D806" s="67">
        <v>3371</v>
      </c>
      <c r="E806">
        <v>91950.73</v>
      </c>
      <c r="F806">
        <v>0</v>
      </c>
      <c r="G806">
        <v>551704.38</v>
      </c>
      <c r="H806">
        <v>339403.62</v>
      </c>
      <c r="I806">
        <v>61.91</v>
      </c>
      <c r="J806">
        <v>0</v>
      </c>
      <c r="K806" s="249">
        <v>3371</v>
      </c>
      <c r="L806" s="249">
        <v>3522.6950000000002</v>
      </c>
      <c r="M806" s="249">
        <v>3684.7389700000003</v>
      </c>
      <c r="N806" s="249">
        <v>3854.2369626200002</v>
      </c>
    </row>
    <row r="807" spans="1:14" x14ac:dyDescent="0.25">
      <c r="A807" t="s">
        <v>616</v>
      </c>
      <c r="C807" t="s">
        <v>293</v>
      </c>
      <c r="D807" s="67">
        <v>7399</v>
      </c>
      <c r="E807">
        <v>91950.73</v>
      </c>
      <c r="F807">
        <v>0</v>
      </c>
      <c r="G807">
        <v>551704.38</v>
      </c>
      <c r="H807">
        <v>339403.62</v>
      </c>
      <c r="I807">
        <v>61.91</v>
      </c>
      <c r="J807">
        <v>0</v>
      </c>
      <c r="K807" s="249">
        <v>7399</v>
      </c>
      <c r="L807" s="249">
        <v>7731.9549999999999</v>
      </c>
      <c r="M807" s="249">
        <v>8087.6249299999999</v>
      </c>
      <c r="N807" s="249">
        <v>8459.6556767799993</v>
      </c>
    </row>
    <row r="808" spans="1:14" x14ac:dyDescent="0.25">
      <c r="A808" t="s">
        <v>617</v>
      </c>
      <c r="C808" t="s">
        <v>295</v>
      </c>
      <c r="D808" s="67">
        <v>48688</v>
      </c>
      <c r="E808">
        <v>91950.73</v>
      </c>
      <c r="F808">
        <v>0</v>
      </c>
      <c r="G808">
        <v>551704.38</v>
      </c>
      <c r="H808">
        <v>339403.62</v>
      </c>
      <c r="I808">
        <v>61.91</v>
      </c>
      <c r="J808">
        <v>0</v>
      </c>
      <c r="K808" s="249">
        <v>48688</v>
      </c>
      <c r="L808" s="249">
        <v>50878.96</v>
      </c>
      <c r="M808" s="249">
        <v>53219.392159999996</v>
      </c>
      <c r="N808" s="249">
        <v>55667.484199359998</v>
      </c>
    </row>
    <row r="809" spans="1:14" x14ac:dyDescent="0.25">
      <c r="A809" t="s">
        <v>618</v>
      </c>
      <c r="C809" t="s">
        <v>296</v>
      </c>
      <c r="D809" s="67">
        <v>38659</v>
      </c>
      <c r="E809">
        <v>91950.73</v>
      </c>
      <c r="F809">
        <v>0</v>
      </c>
      <c r="G809">
        <v>551704.38</v>
      </c>
      <c r="H809">
        <v>339403.62</v>
      </c>
      <c r="I809">
        <v>61.91</v>
      </c>
      <c r="J809">
        <v>0</v>
      </c>
      <c r="K809" s="249">
        <v>38659</v>
      </c>
      <c r="L809" s="249">
        <v>40398.654999999999</v>
      </c>
      <c r="M809" s="249">
        <v>42256.993129999995</v>
      </c>
      <c r="N809" s="249">
        <v>44200.814813979996</v>
      </c>
    </row>
    <row r="810" spans="1:14" x14ac:dyDescent="0.25">
      <c r="A810" t="s">
        <v>1394</v>
      </c>
      <c r="E810">
        <v>91950.73</v>
      </c>
      <c r="F810">
        <v>0</v>
      </c>
      <c r="G810">
        <v>551704.38</v>
      </c>
      <c r="H810">
        <v>339403.62</v>
      </c>
      <c r="I810">
        <v>61.91</v>
      </c>
      <c r="L810" s="249">
        <v>0</v>
      </c>
      <c r="M810" s="249">
        <v>0</v>
      </c>
      <c r="N810" s="249">
        <v>0</v>
      </c>
    </row>
    <row r="811" spans="1:14" x14ac:dyDescent="0.25">
      <c r="A811" t="s">
        <v>619</v>
      </c>
      <c r="C811" t="s">
        <v>298</v>
      </c>
      <c r="D811" s="67">
        <v>0</v>
      </c>
      <c r="E811">
        <v>91950.73</v>
      </c>
      <c r="F811">
        <v>0</v>
      </c>
      <c r="G811">
        <v>551704.38</v>
      </c>
      <c r="H811">
        <v>339403.62</v>
      </c>
      <c r="I811">
        <v>61.91</v>
      </c>
      <c r="J811">
        <v>0</v>
      </c>
      <c r="K811" s="249">
        <v>0</v>
      </c>
      <c r="L811" s="249">
        <v>0</v>
      </c>
      <c r="M811" s="249">
        <v>0</v>
      </c>
      <c r="N811" s="249">
        <v>0</v>
      </c>
    </row>
    <row r="812" spans="1:14" x14ac:dyDescent="0.25">
      <c r="A812" t="s">
        <v>620</v>
      </c>
      <c r="C812" t="s">
        <v>299</v>
      </c>
      <c r="D812" s="67">
        <v>1701</v>
      </c>
      <c r="E812">
        <v>91950.73</v>
      </c>
      <c r="F812">
        <v>0</v>
      </c>
      <c r="G812">
        <v>551704.38</v>
      </c>
      <c r="H812">
        <v>339403.62</v>
      </c>
      <c r="I812">
        <v>61.91</v>
      </c>
      <c r="J812">
        <v>0</v>
      </c>
      <c r="K812" s="249">
        <v>1701</v>
      </c>
      <c r="L812" s="249">
        <v>1777.5450000000001</v>
      </c>
      <c r="M812" s="249">
        <v>1859.3120699999999</v>
      </c>
      <c r="N812" s="249">
        <v>1944.84042522</v>
      </c>
    </row>
    <row r="813" spans="1:14" x14ac:dyDescent="0.25">
      <c r="A813" t="s">
        <v>621</v>
      </c>
      <c r="C813" t="s">
        <v>300</v>
      </c>
      <c r="D813" s="67">
        <v>148336</v>
      </c>
      <c r="E813">
        <v>91950.73</v>
      </c>
      <c r="F813">
        <v>0</v>
      </c>
      <c r="G813">
        <v>551704.38</v>
      </c>
      <c r="H813">
        <v>339403.62</v>
      </c>
      <c r="I813">
        <v>61.91</v>
      </c>
      <c r="J813">
        <v>0</v>
      </c>
      <c r="K813" s="249">
        <v>148336</v>
      </c>
      <c r="L813" s="249">
        <v>155011.12</v>
      </c>
      <c r="M813" s="249">
        <v>162141.63152</v>
      </c>
      <c r="N813" s="249">
        <v>169600.14656992001</v>
      </c>
    </row>
    <row r="814" spans="1:14" x14ac:dyDescent="0.25">
      <c r="A814" t="s">
        <v>622</v>
      </c>
      <c r="C814" t="s">
        <v>303</v>
      </c>
      <c r="D814" s="67">
        <v>594034</v>
      </c>
      <c r="E814">
        <v>91950.73</v>
      </c>
      <c r="F814">
        <v>0</v>
      </c>
      <c r="G814">
        <v>551704.38</v>
      </c>
      <c r="H814">
        <v>339403.62</v>
      </c>
      <c r="I814">
        <v>61.91</v>
      </c>
      <c r="J814">
        <v>0</v>
      </c>
      <c r="K814" s="249">
        <v>594034</v>
      </c>
      <c r="L814" s="249">
        <v>620765.53</v>
      </c>
      <c r="M814" s="249">
        <v>649320.74438000005</v>
      </c>
      <c r="N814" s="249">
        <v>679189.49862148007</v>
      </c>
    </row>
    <row r="816" spans="1:14" x14ac:dyDescent="0.25">
      <c r="C816" t="s">
        <v>304</v>
      </c>
      <c r="D816" s="67">
        <v>842188</v>
      </c>
      <c r="E816">
        <v>1981896.84</v>
      </c>
      <c r="F816">
        <v>0</v>
      </c>
      <c r="G816">
        <v>3990655.83</v>
      </c>
      <c r="H816">
        <v>-3148467.83</v>
      </c>
      <c r="I816">
        <v>473.84</v>
      </c>
      <c r="J816">
        <v>0</v>
      </c>
      <c r="K816" s="249">
        <v>842188</v>
      </c>
      <c r="L816" s="249">
        <v>880086.46</v>
      </c>
      <c r="M816" s="249">
        <v>920570.43715999997</v>
      </c>
      <c r="N816" s="249">
        <v>962916.67726936005</v>
      </c>
    </row>
    <row r="818" spans="1:14" x14ac:dyDescent="0.25">
      <c r="C818" t="s">
        <v>305</v>
      </c>
      <c r="D818" s="67">
        <v>7889360</v>
      </c>
      <c r="E818">
        <v>2430220.75</v>
      </c>
      <c r="F818">
        <v>64825.02</v>
      </c>
      <c r="G818">
        <v>6142653.6500000004</v>
      </c>
      <c r="H818">
        <v>1746706.35</v>
      </c>
      <c r="I818">
        <v>77.849999999999994</v>
      </c>
      <c r="J818">
        <v>-409229.96999999974</v>
      </c>
      <c r="K818" s="249">
        <v>7480130.0300000003</v>
      </c>
      <c r="L818" s="249">
        <v>7898462.0193750001</v>
      </c>
      <c r="M818" s="249">
        <v>8380877.9305312503</v>
      </c>
      <c r="N818" s="249">
        <v>8893821.0396792367</v>
      </c>
    </row>
    <row r="820" spans="1:14" x14ac:dyDescent="0.25">
      <c r="C820" t="s">
        <v>306</v>
      </c>
      <c r="D820" s="67">
        <v>7889360</v>
      </c>
      <c r="E820">
        <v>2430220.75</v>
      </c>
      <c r="F820">
        <v>64825.02</v>
      </c>
      <c r="G820">
        <v>6142653.6500000004</v>
      </c>
      <c r="H820">
        <v>1746706.35</v>
      </c>
      <c r="I820">
        <v>77.849999999999994</v>
      </c>
      <c r="J820">
        <v>-409229.96999999974</v>
      </c>
      <c r="K820" s="249">
        <v>7480130.0300000003</v>
      </c>
      <c r="L820" s="249">
        <v>7898462.0193750001</v>
      </c>
      <c r="M820" s="249">
        <v>8380877.9305312503</v>
      </c>
      <c r="N820" s="249">
        <v>8893821.0396792367</v>
      </c>
    </row>
    <row r="822" spans="1:14" x14ac:dyDescent="0.25">
      <c r="C822" t="s">
        <v>623</v>
      </c>
    </row>
    <row r="823" spans="1:14" x14ac:dyDescent="0.25">
      <c r="C823" t="s">
        <v>96</v>
      </c>
    </row>
    <row r="824" spans="1:14" x14ac:dyDescent="0.25">
      <c r="C824" t="s">
        <v>97</v>
      </c>
    </row>
    <row r="825" spans="1:14" x14ac:dyDescent="0.25">
      <c r="C825" t="s">
        <v>148</v>
      </c>
    </row>
    <row r="826" spans="1:14" x14ac:dyDescent="0.25">
      <c r="C826" t="s">
        <v>149</v>
      </c>
    </row>
    <row r="828" spans="1:14" x14ac:dyDescent="0.25">
      <c r="A828" t="s">
        <v>624</v>
      </c>
      <c r="C828" t="s">
        <v>150</v>
      </c>
      <c r="D828" s="67">
        <v>570271</v>
      </c>
      <c r="E828">
        <v>91950.73</v>
      </c>
      <c r="F828">
        <v>0</v>
      </c>
      <c r="G828">
        <v>551704.38</v>
      </c>
      <c r="H828">
        <v>339403.62</v>
      </c>
      <c r="I828">
        <v>61.91</v>
      </c>
      <c r="J828">
        <v>0</v>
      </c>
      <c r="K828" s="249">
        <v>570271</v>
      </c>
      <c r="L828" s="249">
        <v>605912.9375</v>
      </c>
      <c r="M828" s="249">
        <v>648326.84312500001</v>
      </c>
      <c r="N828" s="249">
        <v>693709.72214375006</v>
      </c>
    </row>
    <row r="829" spans="1:14" x14ac:dyDescent="0.25">
      <c r="A829" t="s">
        <v>625</v>
      </c>
      <c r="C829" t="s">
        <v>151</v>
      </c>
      <c r="D829" s="67">
        <v>28514</v>
      </c>
      <c r="E829">
        <v>91950.73</v>
      </c>
      <c r="F829">
        <v>0</v>
      </c>
      <c r="G829">
        <v>551704.38</v>
      </c>
      <c r="H829">
        <v>339403.62</v>
      </c>
      <c r="I829">
        <v>61.91</v>
      </c>
      <c r="J829">
        <v>-20046.909999999996</v>
      </c>
      <c r="K829" s="249">
        <v>8467.0900000000038</v>
      </c>
      <c r="L829" s="249">
        <v>8996.2831250000036</v>
      </c>
      <c r="M829" s="249">
        <v>9626.0229437500038</v>
      </c>
      <c r="N829" s="249">
        <v>10299.844549812504</v>
      </c>
    </row>
    <row r="830" spans="1:14" x14ac:dyDescent="0.25">
      <c r="A830" t="s">
        <v>626</v>
      </c>
      <c r="C830" t="s">
        <v>152</v>
      </c>
      <c r="D830" s="67">
        <v>24000</v>
      </c>
      <c r="E830">
        <v>91950.73</v>
      </c>
      <c r="F830">
        <v>0</v>
      </c>
      <c r="G830">
        <v>551704.38</v>
      </c>
      <c r="H830">
        <v>339403.62</v>
      </c>
      <c r="I830">
        <v>61.91</v>
      </c>
      <c r="J830">
        <v>0</v>
      </c>
      <c r="K830" s="249">
        <v>24000</v>
      </c>
      <c r="L830" s="249">
        <v>25500</v>
      </c>
      <c r="M830" s="249">
        <v>27285</v>
      </c>
      <c r="N830" s="249">
        <v>29194.95</v>
      </c>
    </row>
    <row r="831" spans="1:14" x14ac:dyDescent="0.25">
      <c r="A831" t="s">
        <v>627</v>
      </c>
      <c r="C831" t="s">
        <v>153</v>
      </c>
      <c r="D831" s="67">
        <v>10893</v>
      </c>
      <c r="E831">
        <v>91950.73</v>
      </c>
      <c r="F831">
        <v>0</v>
      </c>
      <c r="G831">
        <v>551704.38</v>
      </c>
      <c r="H831">
        <v>339403.62</v>
      </c>
      <c r="I831">
        <v>61.91</v>
      </c>
      <c r="J831">
        <v>0</v>
      </c>
      <c r="K831" s="249">
        <v>10893</v>
      </c>
      <c r="L831" s="249">
        <v>11573.8125</v>
      </c>
      <c r="M831" s="249">
        <v>12383.979375000001</v>
      </c>
      <c r="N831" s="249">
        <v>13250.857931250001</v>
      </c>
    </row>
    <row r="832" spans="1:14" x14ac:dyDescent="0.25">
      <c r="A832" t="s">
        <v>628</v>
      </c>
      <c r="C832" t="s">
        <v>155</v>
      </c>
      <c r="D832" s="67">
        <v>18924</v>
      </c>
      <c r="E832">
        <v>91950.73</v>
      </c>
      <c r="F832">
        <v>0</v>
      </c>
      <c r="G832">
        <v>551704.38</v>
      </c>
      <c r="H832">
        <v>339403.62</v>
      </c>
      <c r="I832">
        <v>61.91</v>
      </c>
      <c r="J832">
        <v>0</v>
      </c>
      <c r="K832" s="249">
        <v>18924</v>
      </c>
      <c r="L832" s="249">
        <v>20106.75</v>
      </c>
      <c r="M832" s="249">
        <v>21514.2225</v>
      </c>
      <c r="N832" s="249">
        <v>23020.218075000001</v>
      </c>
    </row>
    <row r="833" spans="1:14" x14ac:dyDescent="0.25">
      <c r="A833" t="s">
        <v>629</v>
      </c>
      <c r="C833" t="s">
        <v>156</v>
      </c>
      <c r="D833" s="67">
        <v>142568</v>
      </c>
      <c r="E833">
        <v>91950.73</v>
      </c>
      <c r="F833">
        <v>0</v>
      </c>
      <c r="G833">
        <v>551704.38</v>
      </c>
      <c r="H833">
        <v>339403.62</v>
      </c>
      <c r="I833">
        <v>61.91</v>
      </c>
      <c r="J833">
        <v>0</v>
      </c>
      <c r="K833" s="249">
        <v>142568</v>
      </c>
      <c r="L833" s="249">
        <v>151478.5</v>
      </c>
      <c r="M833" s="249">
        <v>162081.995</v>
      </c>
      <c r="N833" s="249">
        <v>173427.73465</v>
      </c>
    </row>
    <row r="834" spans="1:14" x14ac:dyDescent="0.25">
      <c r="A834" t="s">
        <v>630</v>
      </c>
      <c r="C834" t="s">
        <v>158</v>
      </c>
      <c r="D834" s="67">
        <v>11405</v>
      </c>
      <c r="E834">
        <v>91950.73</v>
      </c>
      <c r="F834">
        <v>0</v>
      </c>
      <c r="G834">
        <v>551704.38</v>
      </c>
      <c r="H834">
        <v>339403.62</v>
      </c>
      <c r="I834">
        <v>61.91</v>
      </c>
      <c r="J834">
        <v>0</v>
      </c>
      <c r="K834" s="249">
        <v>11405</v>
      </c>
      <c r="L834" s="249">
        <v>12117.8125</v>
      </c>
      <c r="M834" s="249">
        <v>12966.059375000001</v>
      </c>
      <c r="N834" s="249">
        <v>13873.683531250001</v>
      </c>
    </row>
    <row r="835" spans="1:14" x14ac:dyDescent="0.25">
      <c r="A835" t="s">
        <v>631</v>
      </c>
      <c r="C835" t="s">
        <v>159</v>
      </c>
      <c r="D835" s="67">
        <v>47523</v>
      </c>
      <c r="E835">
        <v>91950.73</v>
      </c>
      <c r="F835">
        <v>0</v>
      </c>
      <c r="G835">
        <v>551704.38</v>
      </c>
      <c r="H835">
        <v>339403.62</v>
      </c>
      <c r="I835">
        <v>61.91</v>
      </c>
      <c r="J835">
        <v>0</v>
      </c>
      <c r="K835" s="249">
        <v>47523</v>
      </c>
      <c r="L835" s="249">
        <v>50493.1875</v>
      </c>
      <c r="M835" s="249">
        <v>54027.710625</v>
      </c>
      <c r="N835" s="249">
        <v>57809.650368750001</v>
      </c>
    </row>
    <row r="836" spans="1:14" x14ac:dyDescent="0.25">
      <c r="A836" t="s">
        <v>632</v>
      </c>
      <c r="C836" t="s">
        <v>164</v>
      </c>
      <c r="D836" s="67">
        <v>15692</v>
      </c>
      <c r="E836">
        <v>91950.73</v>
      </c>
      <c r="F836">
        <v>0</v>
      </c>
      <c r="G836">
        <v>551704.38</v>
      </c>
      <c r="H836">
        <v>339403.62</v>
      </c>
      <c r="I836">
        <v>61.91</v>
      </c>
      <c r="J836">
        <v>0</v>
      </c>
      <c r="K836" s="249">
        <v>15692</v>
      </c>
      <c r="L836" s="249">
        <v>16672.75</v>
      </c>
      <c r="M836" s="249">
        <v>17839.842499999999</v>
      </c>
      <c r="N836" s="249">
        <v>19088.631474999998</v>
      </c>
    </row>
    <row r="838" spans="1:14" x14ac:dyDescent="0.25">
      <c r="C838" t="s">
        <v>165</v>
      </c>
      <c r="D838" s="67">
        <v>869790</v>
      </c>
      <c r="E838">
        <v>72319.05</v>
      </c>
      <c r="F838">
        <v>0</v>
      </c>
      <c r="G838">
        <v>434623.54</v>
      </c>
      <c r="H838">
        <v>435166.46</v>
      </c>
      <c r="I838">
        <v>49.96</v>
      </c>
      <c r="J838">
        <v>-20046.910000000033</v>
      </c>
      <c r="K838" s="249">
        <v>849743.09</v>
      </c>
      <c r="L838" s="249">
        <v>902852.03312499996</v>
      </c>
      <c r="M838" s="249">
        <v>966051.67544374999</v>
      </c>
      <c r="N838" s="249">
        <v>1033675.2927248124</v>
      </c>
    </row>
    <row r="840" spans="1:14" x14ac:dyDescent="0.25">
      <c r="C840" t="s">
        <v>166</v>
      </c>
    </row>
    <row r="842" spans="1:14" x14ac:dyDescent="0.25">
      <c r="A842" t="s">
        <v>633</v>
      </c>
      <c r="C842" t="s">
        <v>167</v>
      </c>
      <c r="D842" s="67">
        <v>112</v>
      </c>
      <c r="E842">
        <v>91950.73</v>
      </c>
      <c r="F842">
        <v>0</v>
      </c>
      <c r="G842">
        <v>551704.38</v>
      </c>
      <c r="H842">
        <v>339403.62</v>
      </c>
      <c r="I842">
        <v>61.91</v>
      </c>
      <c r="J842">
        <v>0</v>
      </c>
      <c r="K842" s="249">
        <v>112</v>
      </c>
      <c r="L842" s="249">
        <v>119</v>
      </c>
      <c r="M842" s="249">
        <v>127.33</v>
      </c>
      <c r="N842" s="249">
        <v>136.2431</v>
      </c>
    </row>
    <row r="843" spans="1:14" x14ac:dyDescent="0.25">
      <c r="A843" t="s">
        <v>634</v>
      </c>
      <c r="C843" t="s">
        <v>168</v>
      </c>
      <c r="D843" s="67">
        <v>0</v>
      </c>
      <c r="E843">
        <v>91950.73</v>
      </c>
      <c r="F843">
        <v>0</v>
      </c>
      <c r="G843">
        <v>551704.38</v>
      </c>
      <c r="H843">
        <v>339403.62</v>
      </c>
      <c r="I843">
        <v>61.91</v>
      </c>
      <c r="J843">
        <v>50000</v>
      </c>
      <c r="K843" s="249">
        <v>50000</v>
      </c>
      <c r="L843" s="249">
        <v>53125</v>
      </c>
      <c r="M843" s="249">
        <v>56843.75</v>
      </c>
      <c r="N843" s="249">
        <v>60822.8125</v>
      </c>
    </row>
    <row r="844" spans="1:14" x14ac:dyDescent="0.25">
      <c r="A844" t="s">
        <v>635</v>
      </c>
      <c r="C844" t="s">
        <v>169</v>
      </c>
      <c r="D844" s="67">
        <v>125460</v>
      </c>
      <c r="E844">
        <v>91950.73</v>
      </c>
      <c r="F844">
        <v>0</v>
      </c>
      <c r="G844">
        <v>551704.38</v>
      </c>
      <c r="H844">
        <v>339403.62</v>
      </c>
      <c r="I844">
        <v>61.91</v>
      </c>
      <c r="J844">
        <v>0</v>
      </c>
      <c r="K844" s="249">
        <v>125460</v>
      </c>
      <c r="L844" s="249">
        <v>133301.25</v>
      </c>
      <c r="M844" s="249">
        <v>142632.33749999999</v>
      </c>
      <c r="N844" s="249">
        <v>152616.60112499999</v>
      </c>
    </row>
    <row r="845" spans="1:14" x14ac:dyDescent="0.25">
      <c r="A845" t="s">
        <v>636</v>
      </c>
      <c r="C845" t="s">
        <v>170</v>
      </c>
      <c r="D845" s="67">
        <v>1785</v>
      </c>
      <c r="E845">
        <v>91950.73</v>
      </c>
      <c r="F845">
        <v>0</v>
      </c>
      <c r="G845">
        <v>551704.38</v>
      </c>
      <c r="H845">
        <v>339403.62</v>
      </c>
      <c r="I845">
        <v>61.91</v>
      </c>
      <c r="J845">
        <v>0</v>
      </c>
      <c r="K845" s="249">
        <v>1785</v>
      </c>
      <c r="L845" s="249">
        <v>1896.5625</v>
      </c>
      <c r="M845" s="249">
        <v>2029.3218750000001</v>
      </c>
      <c r="N845" s="249">
        <v>2171.37440625</v>
      </c>
    </row>
    <row r="847" spans="1:14" x14ac:dyDescent="0.25">
      <c r="C847" t="s">
        <v>171</v>
      </c>
      <c r="D847" s="67">
        <v>127357</v>
      </c>
      <c r="E847">
        <v>12322.81</v>
      </c>
      <c r="F847">
        <v>0</v>
      </c>
      <c r="G847">
        <v>73324.02</v>
      </c>
      <c r="H847">
        <v>54032.98</v>
      </c>
      <c r="I847">
        <v>57.57</v>
      </c>
      <c r="J847">
        <v>50000</v>
      </c>
      <c r="K847" s="249">
        <v>177357</v>
      </c>
      <c r="L847" s="249">
        <v>188441.8125</v>
      </c>
      <c r="M847" s="249">
        <v>201632.73937499998</v>
      </c>
      <c r="N847" s="249">
        <v>215747.03113124997</v>
      </c>
    </row>
    <row r="849" spans="1:14" x14ac:dyDescent="0.25">
      <c r="C849" t="s">
        <v>172</v>
      </c>
    </row>
    <row r="851" spans="1:14" x14ac:dyDescent="0.25">
      <c r="A851" t="s">
        <v>637</v>
      </c>
      <c r="C851" t="s">
        <v>173</v>
      </c>
      <c r="D851" s="67">
        <v>4563</v>
      </c>
      <c r="E851">
        <v>91950.73</v>
      </c>
      <c r="F851">
        <v>0</v>
      </c>
      <c r="G851">
        <v>551704.38</v>
      </c>
      <c r="H851">
        <v>339403.62</v>
      </c>
      <c r="I851">
        <v>61.91</v>
      </c>
      <c r="J851">
        <v>0</v>
      </c>
      <c r="K851" s="249">
        <v>4563</v>
      </c>
      <c r="L851" s="249">
        <v>4848.1875</v>
      </c>
      <c r="M851" s="249">
        <v>5187.5606250000001</v>
      </c>
      <c r="N851" s="249">
        <v>5550.6898687499997</v>
      </c>
    </row>
    <row r="852" spans="1:14" x14ac:dyDescent="0.25">
      <c r="A852" t="s">
        <v>638</v>
      </c>
      <c r="C852" t="s">
        <v>174</v>
      </c>
      <c r="D852" s="67">
        <v>7289</v>
      </c>
      <c r="E852">
        <v>91950.73</v>
      </c>
      <c r="F852">
        <v>0</v>
      </c>
      <c r="G852">
        <v>551704.38</v>
      </c>
      <c r="H852">
        <v>339403.62</v>
      </c>
      <c r="I852">
        <v>61.91</v>
      </c>
      <c r="J852">
        <v>0</v>
      </c>
      <c r="K852" s="249">
        <v>7289</v>
      </c>
      <c r="L852" s="249">
        <v>7744.5625</v>
      </c>
      <c r="M852" s="249">
        <v>8286.6818750000002</v>
      </c>
      <c r="N852" s="249">
        <v>8866.7496062499995</v>
      </c>
    </row>
    <row r="853" spans="1:14" x14ac:dyDescent="0.25">
      <c r="A853" t="s">
        <v>639</v>
      </c>
      <c r="C853" t="s">
        <v>175</v>
      </c>
      <c r="D853" s="67">
        <v>4874</v>
      </c>
      <c r="E853">
        <v>91950.73</v>
      </c>
      <c r="F853">
        <v>0</v>
      </c>
      <c r="G853">
        <v>551704.38</v>
      </c>
      <c r="H853">
        <v>339403.62</v>
      </c>
      <c r="I853">
        <v>61.91</v>
      </c>
      <c r="J853">
        <v>0</v>
      </c>
      <c r="K853" s="249">
        <v>4874</v>
      </c>
      <c r="L853" s="249">
        <v>5178.625</v>
      </c>
      <c r="M853" s="249">
        <v>5541.1287499999999</v>
      </c>
      <c r="N853" s="249">
        <v>5929.0077624999994</v>
      </c>
    </row>
    <row r="855" spans="1:14" x14ac:dyDescent="0.25">
      <c r="C855" t="s">
        <v>176</v>
      </c>
      <c r="D855" s="67">
        <v>16726</v>
      </c>
      <c r="E855">
        <v>0</v>
      </c>
      <c r="F855">
        <v>0</v>
      </c>
      <c r="G855">
        <v>0</v>
      </c>
      <c r="H855">
        <v>16726</v>
      </c>
      <c r="I855">
        <v>0</v>
      </c>
      <c r="J855">
        <v>0</v>
      </c>
      <c r="K855" s="249">
        <v>16726</v>
      </c>
      <c r="L855" s="249">
        <v>17771.375</v>
      </c>
      <c r="M855" s="249">
        <v>19015.37125</v>
      </c>
      <c r="N855" s="249">
        <v>20346.447237499997</v>
      </c>
    </row>
    <row r="857" spans="1:14" x14ac:dyDescent="0.25">
      <c r="C857" t="s">
        <v>177</v>
      </c>
      <c r="D857" s="67">
        <v>1013873</v>
      </c>
      <c r="E857">
        <v>84641.86</v>
      </c>
      <c r="F857">
        <v>0</v>
      </c>
      <c r="G857">
        <v>507947.56</v>
      </c>
      <c r="H857">
        <v>505925.44</v>
      </c>
      <c r="I857">
        <v>50.09</v>
      </c>
      <c r="J857">
        <v>29953.089999999967</v>
      </c>
      <c r="K857" s="249">
        <v>1043826.09</v>
      </c>
      <c r="L857" s="249">
        <v>1109065.2206250001</v>
      </c>
      <c r="M857" s="249">
        <v>1186699.7860687501</v>
      </c>
      <c r="N857" s="249">
        <v>1269768.7710935622</v>
      </c>
    </row>
    <row r="859" spans="1:14" x14ac:dyDescent="0.25">
      <c r="C859" t="s">
        <v>178</v>
      </c>
      <c r="D859" s="67">
        <v>1013873</v>
      </c>
      <c r="E859">
        <v>84641.86</v>
      </c>
      <c r="F859">
        <v>0</v>
      </c>
      <c r="G859">
        <v>507947.56</v>
      </c>
      <c r="H859">
        <v>505925.44</v>
      </c>
      <c r="I859">
        <v>50.09</v>
      </c>
      <c r="J859">
        <v>29953.089999999967</v>
      </c>
      <c r="K859" s="249">
        <v>1043826.09</v>
      </c>
      <c r="L859" s="249">
        <v>1109065.2206250001</v>
      </c>
      <c r="M859" s="249">
        <v>1186699.7860687501</v>
      </c>
      <c r="N859" s="249">
        <v>1269768.7710935622</v>
      </c>
    </row>
    <row r="861" spans="1:14" x14ac:dyDescent="0.25">
      <c r="C861" t="s">
        <v>208</v>
      </c>
    </row>
    <row r="863" spans="1:14" x14ac:dyDescent="0.25">
      <c r="C863" t="s">
        <v>209</v>
      </c>
    </row>
    <row r="865" spans="1:14" x14ac:dyDescent="0.25">
      <c r="A865" t="s">
        <v>640</v>
      </c>
      <c r="B865" t="s">
        <v>1362</v>
      </c>
      <c r="C865" t="s">
        <v>212</v>
      </c>
      <c r="D865" s="67">
        <v>300000</v>
      </c>
      <c r="E865">
        <v>91950.73</v>
      </c>
      <c r="F865">
        <v>0</v>
      </c>
      <c r="G865">
        <v>551704.38</v>
      </c>
      <c r="H865">
        <v>339403.62</v>
      </c>
      <c r="I865">
        <v>61.91</v>
      </c>
      <c r="J865">
        <v>0</v>
      </c>
      <c r="K865" s="249">
        <v>300000</v>
      </c>
      <c r="L865" s="249">
        <v>313500</v>
      </c>
      <c r="M865" s="249">
        <v>327921</v>
      </c>
      <c r="N865" s="249">
        <v>343005.36599999998</v>
      </c>
    </row>
    <row r="867" spans="1:14" x14ac:dyDescent="0.25">
      <c r="C867" t="s">
        <v>217</v>
      </c>
      <c r="D867" s="67">
        <v>300000</v>
      </c>
      <c r="E867">
        <v>0</v>
      </c>
      <c r="F867">
        <v>0</v>
      </c>
      <c r="G867">
        <v>108913.5</v>
      </c>
      <c r="H867">
        <v>191086.5</v>
      </c>
      <c r="I867">
        <v>36.299999999999997</v>
      </c>
      <c r="J867">
        <v>0</v>
      </c>
      <c r="K867" s="249">
        <v>300000</v>
      </c>
      <c r="L867" s="249">
        <v>313500</v>
      </c>
      <c r="M867" s="249">
        <v>327921</v>
      </c>
      <c r="N867" s="249">
        <v>343005.36599999998</v>
      </c>
    </row>
    <row r="869" spans="1:14" x14ac:dyDescent="0.25">
      <c r="C869" t="s">
        <v>218</v>
      </c>
    </row>
    <row r="871" spans="1:14" x14ac:dyDescent="0.25">
      <c r="A871" t="s">
        <v>641</v>
      </c>
      <c r="C871" t="s">
        <v>226</v>
      </c>
      <c r="D871" s="67">
        <v>1200000</v>
      </c>
      <c r="E871">
        <v>91950.73</v>
      </c>
      <c r="F871">
        <v>0</v>
      </c>
      <c r="G871">
        <v>551704.38</v>
      </c>
      <c r="H871">
        <v>339403.62</v>
      </c>
      <c r="I871">
        <v>61.91</v>
      </c>
      <c r="J871">
        <v>0</v>
      </c>
      <c r="K871" s="249">
        <v>1200000</v>
      </c>
      <c r="L871" s="249">
        <v>1254000</v>
      </c>
      <c r="M871" s="249">
        <v>1311684</v>
      </c>
      <c r="N871" s="249">
        <v>1372021.4639999999</v>
      </c>
    </row>
    <row r="873" spans="1:14" x14ac:dyDescent="0.25">
      <c r="C873" t="s">
        <v>227</v>
      </c>
      <c r="D873" s="67">
        <v>1200000</v>
      </c>
      <c r="E873">
        <v>212960.86</v>
      </c>
      <c r="F873">
        <v>0</v>
      </c>
      <c r="G873">
        <v>300304.96999999997</v>
      </c>
      <c r="H873">
        <v>899695.03</v>
      </c>
      <c r="I873">
        <v>25.02</v>
      </c>
      <c r="J873">
        <v>0</v>
      </c>
      <c r="K873" s="249">
        <v>1200000</v>
      </c>
      <c r="L873" s="249">
        <v>1254000</v>
      </c>
      <c r="M873" s="249">
        <v>1311684</v>
      </c>
      <c r="N873" s="249">
        <v>1372021.4639999999</v>
      </c>
    </row>
    <row r="875" spans="1:14" x14ac:dyDescent="0.25">
      <c r="C875" t="s">
        <v>240</v>
      </c>
      <c r="D875" s="67">
        <v>1500000</v>
      </c>
      <c r="E875">
        <v>212960.86</v>
      </c>
      <c r="F875">
        <v>0</v>
      </c>
      <c r="G875">
        <v>409218.47</v>
      </c>
      <c r="H875">
        <v>1090781.53</v>
      </c>
      <c r="I875">
        <v>27.28</v>
      </c>
      <c r="J875">
        <v>0</v>
      </c>
      <c r="K875" s="249">
        <v>1500000</v>
      </c>
      <c r="L875" s="249">
        <v>1567500</v>
      </c>
      <c r="M875" s="249">
        <v>1639605</v>
      </c>
      <c r="N875" s="249">
        <v>1715026.8299999998</v>
      </c>
    </row>
    <row r="877" spans="1:14" x14ac:dyDescent="0.25">
      <c r="C877" t="s">
        <v>241</v>
      </c>
    </row>
    <row r="879" spans="1:14" x14ac:dyDescent="0.25">
      <c r="A879" t="s">
        <v>642</v>
      </c>
      <c r="C879" t="s">
        <v>265</v>
      </c>
      <c r="D879" s="67">
        <v>0</v>
      </c>
      <c r="E879">
        <v>91950.73</v>
      </c>
      <c r="F879">
        <v>0</v>
      </c>
      <c r="G879">
        <v>551704.38</v>
      </c>
      <c r="H879">
        <v>339403.62</v>
      </c>
      <c r="I879">
        <v>61.91</v>
      </c>
      <c r="J879">
        <v>10000</v>
      </c>
      <c r="K879" s="249">
        <v>10000</v>
      </c>
      <c r="L879" s="249">
        <v>10450</v>
      </c>
      <c r="M879" s="249">
        <v>10930.7</v>
      </c>
      <c r="N879" s="249">
        <v>11433.512200000001</v>
      </c>
    </row>
    <row r="880" spans="1:14" x14ac:dyDescent="0.25">
      <c r="A880" t="s">
        <v>643</v>
      </c>
      <c r="B880" t="s">
        <v>1361</v>
      </c>
      <c r="C880" t="s">
        <v>268</v>
      </c>
      <c r="D880" s="67">
        <v>0</v>
      </c>
      <c r="E880">
        <v>91950.73</v>
      </c>
      <c r="F880">
        <v>0</v>
      </c>
      <c r="G880">
        <v>551704.38</v>
      </c>
      <c r="H880">
        <v>339403.62</v>
      </c>
      <c r="I880">
        <v>61.91</v>
      </c>
      <c r="J880">
        <v>20000</v>
      </c>
      <c r="K880" s="249">
        <v>20000</v>
      </c>
      <c r="L880" s="249">
        <v>20900</v>
      </c>
      <c r="M880" s="249">
        <v>21861.4</v>
      </c>
      <c r="N880" s="249">
        <v>22867.024400000002</v>
      </c>
    </row>
    <row r="882" spans="1:14" x14ac:dyDescent="0.25">
      <c r="C882" t="s">
        <v>274</v>
      </c>
      <c r="D882" s="67">
        <v>0</v>
      </c>
      <c r="E882">
        <v>5682.77</v>
      </c>
      <c r="F882">
        <v>0</v>
      </c>
      <c r="G882">
        <v>13907.24</v>
      </c>
      <c r="H882">
        <v>-13907.24</v>
      </c>
      <c r="I882">
        <v>0</v>
      </c>
      <c r="J882">
        <v>30000</v>
      </c>
      <c r="K882" s="249">
        <v>30000</v>
      </c>
      <c r="L882" s="249">
        <v>31350</v>
      </c>
      <c r="M882" s="249">
        <v>32792.100000000006</v>
      </c>
      <c r="N882" s="249">
        <v>34300.536600000007</v>
      </c>
    </row>
    <row r="884" spans="1:14" x14ac:dyDescent="0.25">
      <c r="C884" t="s">
        <v>305</v>
      </c>
      <c r="D884" s="67">
        <v>2513873</v>
      </c>
      <c r="E884">
        <v>303285.49</v>
      </c>
      <c r="F884">
        <v>0</v>
      </c>
      <c r="G884">
        <v>931073.27</v>
      </c>
      <c r="H884">
        <v>1582799.73</v>
      </c>
      <c r="I884">
        <v>77.37</v>
      </c>
      <c r="J884">
        <v>59953.089999999967</v>
      </c>
      <c r="K884" s="249">
        <v>2573826.09</v>
      </c>
      <c r="L884" s="249">
        <v>2707915.2206250001</v>
      </c>
      <c r="M884" s="249">
        <v>2859096.8860687502</v>
      </c>
      <c r="N884" s="249">
        <v>3019096.1376935625</v>
      </c>
    </row>
    <row r="886" spans="1:14" x14ac:dyDescent="0.25">
      <c r="C886" t="s">
        <v>1325</v>
      </c>
    </row>
    <row r="888" spans="1:14" x14ac:dyDescent="0.25">
      <c r="C888" t="s">
        <v>96</v>
      </c>
    </row>
    <row r="889" spans="1:14" x14ac:dyDescent="0.25">
      <c r="C889" t="s">
        <v>97</v>
      </c>
    </row>
    <row r="890" spans="1:14" x14ac:dyDescent="0.25">
      <c r="C890" t="s">
        <v>148</v>
      </c>
    </row>
    <row r="891" spans="1:14" x14ac:dyDescent="0.25">
      <c r="C891" t="s">
        <v>149</v>
      </c>
    </row>
    <row r="893" spans="1:14" x14ac:dyDescent="0.25">
      <c r="A893" t="s">
        <v>644</v>
      </c>
      <c r="C893" t="s">
        <v>150</v>
      </c>
      <c r="D893" s="67">
        <v>390877</v>
      </c>
      <c r="E893">
        <v>91950.73</v>
      </c>
      <c r="F893">
        <v>0</v>
      </c>
      <c r="G893">
        <v>551704.38</v>
      </c>
      <c r="H893">
        <v>339403.62</v>
      </c>
      <c r="I893">
        <v>61.91</v>
      </c>
      <c r="J893">
        <v>0</v>
      </c>
      <c r="K893" s="249">
        <v>390877</v>
      </c>
      <c r="L893" s="249">
        <v>415306.8125</v>
      </c>
      <c r="M893" s="249">
        <v>444378.28937499999</v>
      </c>
      <c r="N893" s="249">
        <v>475484.76963125</v>
      </c>
    </row>
    <row r="894" spans="1:14" x14ac:dyDescent="0.25">
      <c r="A894" t="s">
        <v>645</v>
      </c>
      <c r="C894" t="s">
        <v>151</v>
      </c>
      <c r="D894" s="67">
        <v>17744</v>
      </c>
      <c r="E894">
        <v>91950.73</v>
      </c>
      <c r="F894">
        <v>0</v>
      </c>
      <c r="G894">
        <v>551704.38</v>
      </c>
      <c r="H894">
        <v>339403.62</v>
      </c>
      <c r="I894">
        <v>61.91</v>
      </c>
      <c r="J894">
        <v>-9276.9100000000035</v>
      </c>
      <c r="K894" s="249">
        <v>8467.0899999999965</v>
      </c>
      <c r="L894" s="249">
        <v>8996.2831249999963</v>
      </c>
      <c r="M894" s="249">
        <v>9626.0229437499966</v>
      </c>
      <c r="N894" s="249">
        <v>10299.844549812497</v>
      </c>
    </row>
    <row r="895" spans="1:14" x14ac:dyDescent="0.25">
      <c r="A895" t="s">
        <v>646</v>
      </c>
      <c r="C895" t="s">
        <v>152</v>
      </c>
      <c r="D895" s="67">
        <v>14100</v>
      </c>
      <c r="E895">
        <v>91950.73</v>
      </c>
      <c r="F895">
        <v>0</v>
      </c>
      <c r="G895">
        <v>551704.38</v>
      </c>
      <c r="H895">
        <v>339403.62</v>
      </c>
      <c r="I895">
        <v>61.91</v>
      </c>
      <c r="J895">
        <v>0</v>
      </c>
      <c r="K895" s="249">
        <v>14100</v>
      </c>
      <c r="L895" s="249">
        <v>14981.25</v>
      </c>
      <c r="M895" s="249">
        <v>16029.9375</v>
      </c>
      <c r="N895" s="249">
        <v>17152.033125000002</v>
      </c>
    </row>
    <row r="896" spans="1:14" x14ac:dyDescent="0.25">
      <c r="A896" t="s">
        <v>647</v>
      </c>
      <c r="C896" t="s">
        <v>155</v>
      </c>
      <c r="D896" s="67">
        <v>11776</v>
      </c>
      <c r="E896">
        <v>91950.73</v>
      </c>
      <c r="F896">
        <v>0</v>
      </c>
      <c r="G896">
        <v>551704.38</v>
      </c>
      <c r="H896">
        <v>339403.62</v>
      </c>
      <c r="I896">
        <v>61.91</v>
      </c>
      <c r="J896">
        <v>0</v>
      </c>
      <c r="K896" s="249">
        <v>11776</v>
      </c>
      <c r="L896" s="249">
        <v>12512</v>
      </c>
      <c r="M896" s="249">
        <v>13387.84</v>
      </c>
      <c r="N896" s="249">
        <v>14324.988800000001</v>
      </c>
    </row>
    <row r="897" spans="1:14" x14ac:dyDescent="0.25">
      <c r="A897" t="s">
        <v>648</v>
      </c>
      <c r="C897" t="s">
        <v>156</v>
      </c>
      <c r="D897" s="67">
        <v>88719</v>
      </c>
      <c r="E897">
        <v>91950.73</v>
      </c>
      <c r="F897">
        <v>0</v>
      </c>
      <c r="G897">
        <v>551704.38</v>
      </c>
      <c r="H897">
        <v>339403.62</v>
      </c>
      <c r="I897">
        <v>61.91</v>
      </c>
      <c r="J897">
        <v>0</v>
      </c>
      <c r="K897" s="249">
        <v>88719</v>
      </c>
      <c r="L897" s="249">
        <v>94263.9375</v>
      </c>
      <c r="M897" s="249">
        <v>100862.41312500001</v>
      </c>
      <c r="N897" s="249">
        <v>107922.78204375</v>
      </c>
    </row>
    <row r="898" spans="1:14" x14ac:dyDescent="0.25">
      <c r="A898" t="s">
        <v>649</v>
      </c>
      <c r="C898" t="s">
        <v>158</v>
      </c>
      <c r="D898" s="67">
        <v>7098</v>
      </c>
      <c r="E898">
        <v>91950.73</v>
      </c>
      <c r="F898">
        <v>0</v>
      </c>
      <c r="G898">
        <v>551704.38</v>
      </c>
      <c r="H898">
        <v>339403.62</v>
      </c>
      <c r="I898">
        <v>61.91</v>
      </c>
      <c r="J898">
        <v>0</v>
      </c>
      <c r="K898" s="249">
        <v>7098</v>
      </c>
      <c r="L898" s="249">
        <v>7541.625</v>
      </c>
      <c r="M898" s="249">
        <v>8069.5387499999997</v>
      </c>
      <c r="N898" s="249">
        <v>8634.4064624999992</v>
      </c>
    </row>
    <row r="899" spans="1:14" x14ac:dyDescent="0.25">
      <c r="A899" t="s">
        <v>650</v>
      </c>
      <c r="C899" t="s">
        <v>159</v>
      </c>
      <c r="D899" s="67">
        <v>29573</v>
      </c>
      <c r="E899">
        <v>91950.73</v>
      </c>
      <c r="F899">
        <v>0</v>
      </c>
      <c r="G899">
        <v>551704.38</v>
      </c>
      <c r="H899">
        <v>339403.62</v>
      </c>
      <c r="I899">
        <v>61.91</v>
      </c>
      <c r="J899">
        <v>0</v>
      </c>
      <c r="K899" s="249">
        <v>29573</v>
      </c>
      <c r="L899" s="249">
        <v>31421.3125</v>
      </c>
      <c r="M899" s="249">
        <v>33620.804375</v>
      </c>
      <c r="N899" s="249">
        <v>35974.260681250002</v>
      </c>
    </row>
    <row r="900" spans="1:14" x14ac:dyDescent="0.25">
      <c r="A900" t="s">
        <v>651</v>
      </c>
      <c r="C900" t="s">
        <v>164</v>
      </c>
      <c r="D900" s="67">
        <v>15692</v>
      </c>
      <c r="E900">
        <v>91950.73</v>
      </c>
      <c r="F900">
        <v>0</v>
      </c>
      <c r="G900">
        <v>551704.38</v>
      </c>
      <c r="H900">
        <v>339403.62</v>
      </c>
      <c r="I900">
        <v>61.91</v>
      </c>
      <c r="J900">
        <v>0</v>
      </c>
      <c r="K900" s="249">
        <v>15692</v>
      </c>
      <c r="L900" s="249">
        <v>16672.75</v>
      </c>
      <c r="M900" s="249">
        <v>17839.842499999999</v>
      </c>
      <c r="N900" s="249">
        <v>19088.631474999998</v>
      </c>
    </row>
    <row r="902" spans="1:14" x14ac:dyDescent="0.25">
      <c r="C902" t="s">
        <v>165</v>
      </c>
      <c r="D902" s="67">
        <v>575579</v>
      </c>
      <c r="E902">
        <v>47318.239999999998</v>
      </c>
      <c r="F902">
        <v>0</v>
      </c>
      <c r="G902">
        <v>269239.21000000002</v>
      </c>
      <c r="H902">
        <v>306339.78999999998</v>
      </c>
      <c r="I902">
        <v>46.77</v>
      </c>
      <c r="J902">
        <v>-9276.9100000000326</v>
      </c>
      <c r="K902" s="249">
        <v>566302.09</v>
      </c>
      <c r="L902" s="249">
        <v>601695.97062500007</v>
      </c>
      <c r="M902" s="249">
        <v>643814.68856874993</v>
      </c>
      <c r="N902" s="249">
        <v>688881.71676856244</v>
      </c>
    </row>
    <row r="904" spans="1:14" x14ac:dyDescent="0.25">
      <c r="C904" t="s">
        <v>166</v>
      </c>
    </row>
    <row r="906" spans="1:14" x14ac:dyDescent="0.25">
      <c r="A906" t="s">
        <v>652</v>
      </c>
      <c r="C906" t="s">
        <v>167</v>
      </c>
      <c r="D906" s="67">
        <v>112</v>
      </c>
      <c r="E906">
        <v>91950.73</v>
      </c>
      <c r="F906">
        <v>0</v>
      </c>
      <c r="G906">
        <v>551704.38</v>
      </c>
      <c r="H906">
        <v>339403.62</v>
      </c>
      <c r="I906">
        <v>61.91</v>
      </c>
      <c r="J906">
        <v>0</v>
      </c>
      <c r="K906" s="249">
        <v>112</v>
      </c>
      <c r="L906" s="249">
        <v>119</v>
      </c>
      <c r="M906" s="249">
        <v>127.33</v>
      </c>
      <c r="N906" s="249">
        <v>136.2431</v>
      </c>
    </row>
    <row r="907" spans="1:14" x14ac:dyDescent="0.25">
      <c r="A907" t="s">
        <v>653</v>
      </c>
      <c r="C907" t="s">
        <v>168</v>
      </c>
      <c r="D907" s="67">
        <v>53908</v>
      </c>
      <c r="E907">
        <v>91950.73</v>
      </c>
      <c r="F907">
        <v>0</v>
      </c>
      <c r="G907">
        <v>551704.38</v>
      </c>
      <c r="H907">
        <v>339403.62</v>
      </c>
      <c r="I907">
        <v>61.91</v>
      </c>
      <c r="J907">
        <v>0</v>
      </c>
      <c r="K907" s="249">
        <v>53908</v>
      </c>
      <c r="L907" s="249">
        <v>57277.25</v>
      </c>
      <c r="M907" s="249">
        <v>61286.657500000001</v>
      </c>
      <c r="N907" s="249">
        <v>65576.723525000009</v>
      </c>
    </row>
    <row r="908" spans="1:14" x14ac:dyDescent="0.25">
      <c r="A908" t="s">
        <v>654</v>
      </c>
      <c r="C908" t="s">
        <v>169</v>
      </c>
      <c r="D908" s="67">
        <v>78073</v>
      </c>
      <c r="E908">
        <v>91950.73</v>
      </c>
      <c r="F908">
        <v>0</v>
      </c>
      <c r="G908">
        <v>551704.38</v>
      </c>
      <c r="H908">
        <v>339403.62</v>
      </c>
      <c r="I908">
        <v>61.91</v>
      </c>
      <c r="J908">
        <v>0</v>
      </c>
      <c r="K908" s="249">
        <v>78073</v>
      </c>
      <c r="L908" s="249">
        <v>82952.5625</v>
      </c>
      <c r="M908" s="249">
        <v>88759.241875000007</v>
      </c>
      <c r="N908" s="249">
        <v>94972.388806250005</v>
      </c>
    </row>
    <row r="909" spans="1:14" x14ac:dyDescent="0.25">
      <c r="A909" t="s">
        <v>655</v>
      </c>
      <c r="C909" t="s">
        <v>170</v>
      </c>
      <c r="D909" s="67">
        <v>1785</v>
      </c>
      <c r="E909">
        <v>91950.73</v>
      </c>
      <c r="F909">
        <v>0</v>
      </c>
      <c r="G909">
        <v>551704.38</v>
      </c>
      <c r="H909">
        <v>339403.62</v>
      </c>
      <c r="I909">
        <v>61.91</v>
      </c>
      <c r="J909">
        <v>0</v>
      </c>
      <c r="K909" s="249">
        <v>1785</v>
      </c>
      <c r="L909" s="249">
        <v>1896.5625</v>
      </c>
      <c r="M909" s="249">
        <v>2029.3218750000001</v>
      </c>
      <c r="N909" s="249">
        <v>2171.37440625</v>
      </c>
    </row>
    <row r="911" spans="1:14" x14ac:dyDescent="0.25">
      <c r="C911" t="s">
        <v>171</v>
      </c>
      <c r="D911" s="67">
        <v>133878</v>
      </c>
      <c r="E911">
        <v>8343.1299999999992</v>
      </c>
      <c r="F911">
        <v>0</v>
      </c>
      <c r="G911">
        <v>49803.94</v>
      </c>
      <c r="H911">
        <v>84074.06</v>
      </c>
      <c r="I911">
        <v>37.200000000000003</v>
      </c>
      <c r="J911">
        <v>0</v>
      </c>
      <c r="K911" s="249">
        <v>133878</v>
      </c>
      <c r="L911" s="249">
        <v>142245.375</v>
      </c>
      <c r="M911" s="249">
        <v>152202.55124999999</v>
      </c>
      <c r="N911" s="249">
        <v>162856.7298375</v>
      </c>
    </row>
    <row r="913" spans="1:14" x14ac:dyDescent="0.25">
      <c r="C913" t="s">
        <v>172</v>
      </c>
    </row>
    <row r="915" spans="1:14" x14ac:dyDescent="0.25">
      <c r="A915" t="s">
        <v>656</v>
      </c>
      <c r="C915" t="s">
        <v>173</v>
      </c>
      <c r="D915" s="67">
        <v>753</v>
      </c>
      <c r="E915">
        <v>91950.73</v>
      </c>
      <c r="F915">
        <v>0</v>
      </c>
      <c r="G915">
        <v>551704.38</v>
      </c>
      <c r="H915">
        <v>339403.62</v>
      </c>
      <c r="I915">
        <v>61.91</v>
      </c>
      <c r="J915">
        <v>0</v>
      </c>
      <c r="K915" s="249">
        <v>753</v>
      </c>
      <c r="L915" s="249">
        <v>800.0625</v>
      </c>
      <c r="M915" s="249">
        <v>856.06687499999998</v>
      </c>
      <c r="N915" s="249">
        <v>915.99155625000003</v>
      </c>
    </row>
    <row r="916" spans="1:14" x14ac:dyDescent="0.25">
      <c r="A916" t="s">
        <v>657</v>
      </c>
      <c r="C916" t="s">
        <v>174</v>
      </c>
      <c r="D916" s="67">
        <v>398</v>
      </c>
      <c r="E916">
        <v>91950.73</v>
      </c>
      <c r="F916">
        <v>0</v>
      </c>
      <c r="G916">
        <v>551704.38</v>
      </c>
      <c r="H916">
        <v>339403.62</v>
      </c>
      <c r="I916">
        <v>61.91</v>
      </c>
      <c r="J916">
        <v>0</v>
      </c>
      <c r="K916" s="249">
        <v>398</v>
      </c>
      <c r="L916" s="249">
        <v>422.875</v>
      </c>
      <c r="M916" s="249">
        <v>452.47624999999999</v>
      </c>
      <c r="N916" s="249">
        <v>484.1495875</v>
      </c>
    </row>
    <row r="917" spans="1:14" x14ac:dyDescent="0.25">
      <c r="A917" t="s">
        <v>658</v>
      </c>
      <c r="C917" t="s">
        <v>175</v>
      </c>
      <c r="D917" s="67">
        <v>2789</v>
      </c>
      <c r="E917">
        <v>91950.73</v>
      </c>
      <c r="F917">
        <v>0</v>
      </c>
      <c r="G917">
        <v>551704.38</v>
      </c>
      <c r="H917">
        <v>339403.62</v>
      </c>
      <c r="I917">
        <v>61.91</v>
      </c>
      <c r="J917">
        <v>0</v>
      </c>
      <c r="K917" s="249">
        <v>2789</v>
      </c>
      <c r="L917" s="249">
        <v>2963.3125</v>
      </c>
      <c r="M917" s="249">
        <v>3170.7443750000002</v>
      </c>
      <c r="N917" s="249">
        <v>3392.69648125</v>
      </c>
    </row>
    <row r="919" spans="1:14" x14ac:dyDescent="0.25">
      <c r="C919" t="s">
        <v>176</v>
      </c>
      <c r="D919" s="67">
        <v>3940</v>
      </c>
      <c r="E919">
        <v>0</v>
      </c>
      <c r="F919">
        <v>0</v>
      </c>
      <c r="G919">
        <v>0</v>
      </c>
      <c r="H919">
        <v>3940</v>
      </c>
      <c r="I919">
        <v>0</v>
      </c>
      <c r="J919">
        <v>0</v>
      </c>
      <c r="K919" s="249">
        <v>3940</v>
      </c>
      <c r="L919" s="249">
        <v>4186.25</v>
      </c>
      <c r="M919" s="249">
        <v>4479.2875000000004</v>
      </c>
      <c r="N919" s="249">
        <v>4792.8376250000001</v>
      </c>
    </row>
    <row r="921" spans="1:14" x14ac:dyDescent="0.25">
      <c r="C921" t="s">
        <v>177</v>
      </c>
      <c r="D921" s="67">
        <v>713397</v>
      </c>
      <c r="E921">
        <v>55661.37</v>
      </c>
      <c r="F921">
        <v>0</v>
      </c>
      <c r="G921">
        <v>319043.15000000002</v>
      </c>
      <c r="H921">
        <v>394353.85</v>
      </c>
      <c r="I921">
        <v>44.72</v>
      </c>
      <c r="J921">
        <v>-9276.9100000000326</v>
      </c>
      <c r="K921" s="249">
        <v>704120.09</v>
      </c>
      <c r="L921" s="249">
        <v>748127.59562500007</v>
      </c>
      <c r="M921" s="249">
        <v>800496.52731874993</v>
      </c>
      <c r="N921" s="249">
        <v>856531.28423106251</v>
      </c>
    </row>
    <row r="923" spans="1:14" x14ac:dyDescent="0.25">
      <c r="C923" t="s">
        <v>178</v>
      </c>
      <c r="D923" s="67">
        <v>713397</v>
      </c>
      <c r="E923">
        <v>55661.37</v>
      </c>
      <c r="F923">
        <v>0</v>
      </c>
      <c r="G923">
        <v>319043.15000000002</v>
      </c>
      <c r="H923">
        <v>394353.85</v>
      </c>
      <c r="I923">
        <v>44.72</v>
      </c>
      <c r="J923">
        <v>-9276.9100000000326</v>
      </c>
      <c r="K923" s="249">
        <v>704120.09</v>
      </c>
      <c r="L923" s="249">
        <v>748127.59562500007</v>
      </c>
      <c r="M923" s="249">
        <v>800496.52731874993</v>
      </c>
      <c r="N923" s="249">
        <v>856531.28423106251</v>
      </c>
    </row>
    <row r="925" spans="1:14" x14ac:dyDescent="0.25">
      <c r="C925" t="s">
        <v>241</v>
      </c>
    </row>
    <row r="927" spans="1:14" x14ac:dyDescent="0.25">
      <c r="A927" t="s">
        <v>659</v>
      </c>
      <c r="B927" t="s">
        <v>1363</v>
      </c>
      <c r="C927" t="s">
        <v>242</v>
      </c>
      <c r="D927" s="67">
        <v>521759</v>
      </c>
      <c r="E927">
        <v>91950.73</v>
      </c>
      <c r="F927">
        <v>0</v>
      </c>
      <c r="G927">
        <v>551704.38</v>
      </c>
      <c r="H927">
        <v>339403.62</v>
      </c>
      <c r="I927">
        <v>61.91</v>
      </c>
      <c r="J927">
        <v>21280</v>
      </c>
      <c r="K927" s="249">
        <v>543039</v>
      </c>
      <c r="L927" s="249">
        <v>553064</v>
      </c>
      <c r="M927" s="249">
        <v>582929</v>
      </c>
      <c r="N927" s="249">
        <v>620819</v>
      </c>
    </row>
    <row r="928" spans="1:14" x14ac:dyDescent="0.25">
      <c r="A928" t="s">
        <v>3077</v>
      </c>
      <c r="C928" t="s">
        <v>3054</v>
      </c>
      <c r="D928" s="67">
        <v>0</v>
      </c>
      <c r="L928" s="249">
        <v>106000</v>
      </c>
      <c r="M928" s="249">
        <v>111724</v>
      </c>
      <c r="N928" s="249">
        <v>118986</v>
      </c>
    </row>
    <row r="929" spans="1:14" x14ac:dyDescent="0.25">
      <c r="A929" t="s">
        <v>660</v>
      </c>
      <c r="C929" t="s">
        <v>260</v>
      </c>
      <c r="D929" s="67">
        <v>1101000</v>
      </c>
      <c r="E929">
        <v>91950.73</v>
      </c>
      <c r="F929">
        <v>0</v>
      </c>
      <c r="G929">
        <v>551704.38</v>
      </c>
      <c r="H929">
        <v>339403.62</v>
      </c>
      <c r="I929">
        <v>61.91</v>
      </c>
      <c r="J929">
        <v>100000</v>
      </c>
      <c r="K929" s="249">
        <v>1201000</v>
      </c>
      <c r="L929" s="249">
        <v>1167060</v>
      </c>
      <c r="M929" s="249">
        <v>1230081</v>
      </c>
      <c r="N929" s="249">
        <v>1310000</v>
      </c>
    </row>
    <row r="930" spans="1:14" x14ac:dyDescent="0.25">
      <c r="A930" t="s">
        <v>661</v>
      </c>
      <c r="C930" t="s">
        <v>265</v>
      </c>
      <c r="D930" s="67">
        <v>0</v>
      </c>
      <c r="E930">
        <v>91950.73</v>
      </c>
      <c r="F930">
        <v>0</v>
      </c>
      <c r="G930">
        <v>551704.38</v>
      </c>
      <c r="H930">
        <v>339403.62</v>
      </c>
      <c r="I930">
        <v>61.91</v>
      </c>
      <c r="J930">
        <v>6000</v>
      </c>
      <c r="K930" s="249">
        <v>6000</v>
      </c>
      <c r="L930" s="249">
        <v>6270</v>
      </c>
      <c r="M930" s="249">
        <v>6558.42</v>
      </c>
      <c r="N930" s="249">
        <v>6860.1073200000001</v>
      </c>
    </row>
    <row r="931" spans="1:14" x14ac:dyDescent="0.25">
      <c r="A931" t="s">
        <v>662</v>
      </c>
      <c r="B931" t="s">
        <v>1361</v>
      </c>
      <c r="C931" t="s">
        <v>268</v>
      </c>
      <c r="D931" s="67">
        <v>0</v>
      </c>
      <c r="E931">
        <v>91950.73</v>
      </c>
      <c r="F931">
        <v>0</v>
      </c>
      <c r="G931">
        <v>551704.38</v>
      </c>
      <c r="H931">
        <v>339403.62</v>
      </c>
      <c r="I931">
        <v>61.91</v>
      </c>
      <c r="J931">
        <v>40000</v>
      </c>
      <c r="K931" s="249">
        <v>40000</v>
      </c>
      <c r="L931" s="249">
        <v>41800</v>
      </c>
      <c r="M931" s="249">
        <v>43722.8</v>
      </c>
      <c r="N931" s="249">
        <v>45734.048800000004</v>
      </c>
    </row>
    <row r="933" spans="1:14" x14ac:dyDescent="0.25">
      <c r="C933" t="s">
        <v>274</v>
      </c>
      <c r="D933" s="67">
        <v>1622759</v>
      </c>
      <c r="E933">
        <v>367802.92</v>
      </c>
      <c r="F933">
        <v>0</v>
      </c>
      <c r="G933">
        <v>2206817.52</v>
      </c>
      <c r="H933">
        <v>1357614.48</v>
      </c>
      <c r="I933">
        <v>44.49</v>
      </c>
      <c r="J933">
        <v>167280</v>
      </c>
      <c r="K933" s="249">
        <v>1790039</v>
      </c>
      <c r="L933" s="249">
        <v>1874194</v>
      </c>
      <c r="M933" s="249">
        <v>1975015.22</v>
      </c>
      <c r="N933" s="249">
        <v>2102399.1561199999</v>
      </c>
    </row>
    <row r="935" spans="1:14" x14ac:dyDescent="0.25">
      <c r="C935" t="s">
        <v>305</v>
      </c>
      <c r="D935" s="67">
        <v>2336156</v>
      </c>
      <c r="E935">
        <v>423464.29</v>
      </c>
      <c r="F935">
        <v>0</v>
      </c>
      <c r="G935">
        <v>2525860.67</v>
      </c>
      <c r="H935">
        <v>1751968.33</v>
      </c>
      <c r="I935">
        <v>44.49</v>
      </c>
      <c r="J935">
        <v>158003.08999999985</v>
      </c>
      <c r="K935" s="249">
        <v>2494159.09</v>
      </c>
      <c r="L935" s="249">
        <v>2622321.5956250001</v>
      </c>
      <c r="M935" s="249">
        <v>2775511.7473187498</v>
      </c>
      <c r="N935" s="249">
        <v>2958930.4403510625</v>
      </c>
    </row>
    <row r="937" spans="1:14" x14ac:dyDescent="0.25">
      <c r="C937" t="s">
        <v>306</v>
      </c>
      <c r="D937" s="67">
        <v>2336156</v>
      </c>
      <c r="E937">
        <v>423464.29</v>
      </c>
      <c r="F937">
        <v>0</v>
      </c>
      <c r="G937">
        <v>2525860.67</v>
      </c>
      <c r="H937">
        <v>1751968.33</v>
      </c>
      <c r="I937">
        <v>44.49</v>
      </c>
      <c r="J937">
        <v>158003.08999999985</v>
      </c>
      <c r="K937" s="249">
        <v>2494159.09</v>
      </c>
      <c r="L937" s="249">
        <v>2622321.5956250001</v>
      </c>
      <c r="M937" s="249">
        <v>2775511.7473187498</v>
      </c>
      <c r="N937" s="249">
        <v>2958930.4403510625</v>
      </c>
    </row>
    <row r="939" spans="1:14" x14ac:dyDescent="0.25">
      <c r="C939" t="s">
        <v>308</v>
      </c>
    </row>
    <row r="941" spans="1:14" x14ac:dyDescent="0.25">
      <c r="A941" t="s">
        <v>1579</v>
      </c>
      <c r="B941" t="s">
        <v>3050</v>
      </c>
      <c r="C941" t="s">
        <v>1342</v>
      </c>
      <c r="D941" s="67">
        <v>150000</v>
      </c>
      <c r="E941">
        <v>91950.73</v>
      </c>
      <c r="F941">
        <v>0</v>
      </c>
      <c r="G941">
        <v>551704.38</v>
      </c>
      <c r="H941">
        <v>339403.62</v>
      </c>
      <c r="I941">
        <v>61.91</v>
      </c>
      <c r="J941">
        <v>0</v>
      </c>
      <c r="K941" s="249">
        <v>150000</v>
      </c>
      <c r="L941" s="249">
        <v>150000</v>
      </c>
      <c r="M941" s="249">
        <v>150000</v>
      </c>
      <c r="N941" s="249">
        <v>0</v>
      </c>
    </row>
    <row r="942" spans="1:14" x14ac:dyDescent="0.25">
      <c r="A942" t="s">
        <v>2620</v>
      </c>
    </row>
    <row r="943" spans="1:14" x14ac:dyDescent="0.25">
      <c r="C943" t="s">
        <v>320</v>
      </c>
      <c r="D943" s="67">
        <v>150000</v>
      </c>
      <c r="E943">
        <v>91950.73</v>
      </c>
      <c r="F943">
        <v>0</v>
      </c>
      <c r="G943">
        <v>551704.38</v>
      </c>
      <c r="H943">
        <v>339403.62</v>
      </c>
      <c r="I943">
        <v>0</v>
      </c>
      <c r="J943">
        <v>0</v>
      </c>
      <c r="K943" s="249">
        <v>150000</v>
      </c>
      <c r="L943" s="249">
        <v>150000</v>
      </c>
      <c r="M943" s="249">
        <v>150000</v>
      </c>
      <c r="N943" s="249">
        <v>0</v>
      </c>
    </row>
    <row r="945" spans="1:14" x14ac:dyDescent="0.25">
      <c r="C945" t="s">
        <v>663</v>
      </c>
    </row>
    <row r="946" spans="1:14" x14ac:dyDescent="0.25">
      <c r="C946" t="s">
        <v>96</v>
      </c>
    </row>
    <row r="947" spans="1:14" x14ac:dyDescent="0.25">
      <c r="C947" t="s">
        <v>97</v>
      </c>
    </row>
    <row r="948" spans="1:14" x14ac:dyDescent="0.25">
      <c r="C948" t="s">
        <v>148</v>
      </c>
    </row>
    <row r="949" spans="1:14" x14ac:dyDescent="0.25">
      <c r="C949" t="s">
        <v>149</v>
      </c>
    </row>
    <row r="951" spans="1:14" x14ac:dyDescent="0.25">
      <c r="A951" t="s">
        <v>664</v>
      </c>
      <c r="C951" t="s">
        <v>150</v>
      </c>
      <c r="D951" s="67">
        <v>853944</v>
      </c>
      <c r="E951">
        <v>91950.73</v>
      </c>
      <c r="F951">
        <v>0</v>
      </c>
      <c r="G951">
        <v>551704.38</v>
      </c>
      <c r="H951">
        <v>339403.62</v>
      </c>
      <c r="I951">
        <v>61.91</v>
      </c>
      <c r="J951">
        <v>0</v>
      </c>
      <c r="K951" s="249">
        <v>853944</v>
      </c>
      <c r="L951" s="249">
        <v>907315.5</v>
      </c>
      <c r="M951" s="249">
        <v>970827.58499999996</v>
      </c>
      <c r="N951" s="249">
        <v>1038785.5159499999</v>
      </c>
    </row>
    <row r="952" spans="1:14" x14ac:dyDescent="0.25">
      <c r="A952" t="s">
        <v>665</v>
      </c>
      <c r="C952" t="s">
        <v>151</v>
      </c>
      <c r="D952" s="67">
        <v>42697</v>
      </c>
      <c r="E952">
        <v>91950.73</v>
      </c>
      <c r="F952">
        <v>0</v>
      </c>
      <c r="G952">
        <v>551704.38</v>
      </c>
      <c r="H952">
        <v>339403.62</v>
      </c>
      <c r="I952">
        <v>61.91</v>
      </c>
      <c r="J952">
        <v>-34229.909999999996</v>
      </c>
      <c r="K952" s="249">
        <v>8467.0900000000038</v>
      </c>
      <c r="L952" s="249">
        <v>8996.2831250000036</v>
      </c>
      <c r="M952" s="249">
        <v>9626.0229437500038</v>
      </c>
      <c r="N952" s="249">
        <v>10299.844549812504</v>
      </c>
    </row>
    <row r="953" spans="1:14" x14ac:dyDescent="0.25">
      <c r="A953" t="s">
        <v>666</v>
      </c>
      <c r="C953" t="s">
        <v>152</v>
      </c>
      <c r="D953" s="67">
        <v>24000</v>
      </c>
      <c r="E953">
        <v>91950.73</v>
      </c>
      <c r="F953">
        <v>0</v>
      </c>
      <c r="G953">
        <v>551704.38</v>
      </c>
      <c r="H953">
        <v>339403.62</v>
      </c>
      <c r="I953">
        <v>61.91</v>
      </c>
      <c r="J953">
        <v>0</v>
      </c>
      <c r="K953" s="249">
        <v>24000</v>
      </c>
      <c r="L953" s="249">
        <v>25500</v>
      </c>
      <c r="M953" s="249">
        <v>27285</v>
      </c>
      <c r="N953" s="249">
        <v>29194.95</v>
      </c>
    </row>
    <row r="954" spans="1:14" x14ac:dyDescent="0.25">
      <c r="A954" t="s">
        <v>667</v>
      </c>
      <c r="C954" t="s">
        <v>153</v>
      </c>
      <c r="D954" s="67">
        <v>21786</v>
      </c>
      <c r="E954">
        <v>91950.73</v>
      </c>
      <c r="F954">
        <v>0</v>
      </c>
      <c r="G954">
        <v>551704.38</v>
      </c>
      <c r="H954">
        <v>339403.62</v>
      </c>
      <c r="I954">
        <v>61.91</v>
      </c>
      <c r="J954">
        <v>0</v>
      </c>
      <c r="K954" s="249">
        <v>21786</v>
      </c>
      <c r="L954" s="249">
        <v>23147.625</v>
      </c>
      <c r="M954" s="249">
        <v>24767.958750000002</v>
      </c>
      <c r="N954" s="249">
        <v>26501.715862500001</v>
      </c>
    </row>
    <row r="955" spans="1:14" x14ac:dyDescent="0.25">
      <c r="A955" t="s">
        <v>668</v>
      </c>
      <c r="C955" t="s">
        <v>155</v>
      </c>
      <c r="D955" s="67">
        <v>20806</v>
      </c>
      <c r="E955">
        <v>91950.73</v>
      </c>
      <c r="F955">
        <v>0</v>
      </c>
      <c r="G955">
        <v>551704.38</v>
      </c>
      <c r="H955">
        <v>339403.62</v>
      </c>
      <c r="I955">
        <v>61.91</v>
      </c>
      <c r="J955">
        <v>0</v>
      </c>
      <c r="K955" s="249">
        <v>20806</v>
      </c>
      <c r="L955" s="249">
        <v>22106.375</v>
      </c>
      <c r="M955" s="249">
        <v>23653.821250000001</v>
      </c>
      <c r="N955" s="249">
        <v>25309.588737500002</v>
      </c>
    </row>
    <row r="956" spans="1:14" x14ac:dyDescent="0.25">
      <c r="A956" t="s">
        <v>669</v>
      </c>
      <c r="C956" t="s">
        <v>156</v>
      </c>
      <c r="D956" s="67">
        <v>156750</v>
      </c>
      <c r="E956">
        <v>91950.73</v>
      </c>
      <c r="F956">
        <v>0</v>
      </c>
      <c r="G956">
        <v>551704.38</v>
      </c>
      <c r="H956">
        <v>339403.62</v>
      </c>
      <c r="I956">
        <v>61.91</v>
      </c>
      <c r="J956">
        <v>0</v>
      </c>
      <c r="K956" s="249">
        <v>156750</v>
      </c>
      <c r="L956" s="249">
        <v>166546.875</v>
      </c>
      <c r="M956" s="249">
        <v>178205.15625</v>
      </c>
      <c r="N956" s="249">
        <v>190679.51718749999</v>
      </c>
    </row>
    <row r="957" spans="1:14" x14ac:dyDescent="0.25">
      <c r="A957" t="s">
        <v>670</v>
      </c>
      <c r="C957" t="s">
        <v>158</v>
      </c>
      <c r="D957" s="67">
        <v>12540</v>
      </c>
      <c r="E957">
        <v>91950.73</v>
      </c>
      <c r="F957">
        <v>0</v>
      </c>
      <c r="G957">
        <v>551704.38</v>
      </c>
      <c r="H957">
        <v>339403.62</v>
      </c>
      <c r="I957">
        <v>61.91</v>
      </c>
      <c r="J957">
        <v>0</v>
      </c>
      <c r="K957" s="249">
        <v>12540</v>
      </c>
      <c r="L957" s="249">
        <v>13323.75</v>
      </c>
      <c r="M957" s="249">
        <v>14256.4125</v>
      </c>
      <c r="N957" s="249">
        <v>15254.361375</v>
      </c>
    </row>
    <row r="958" spans="1:14" x14ac:dyDescent="0.25">
      <c r="A958" t="s">
        <v>671</v>
      </c>
      <c r="C958" t="s">
        <v>159</v>
      </c>
      <c r="D958" s="67">
        <v>71162</v>
      </c>
      <c r="E958">
        <v>91950.73</v>
      </c>
      <c r="F958">
        <v>0</v>
      </c>
      <c r="G958">
        <v>551704.38</v>
      </c>
      <c r="H958">
        <v>339403.62</v>
      </c>
      <c r="I958">
        <v>61.91</v>
      </c>
      <c r="J958">
        <v>0</v>
      </c>
      <c r="K958" s="249">
        <v>71162</v>
      </c>
      <c r="L958" s="249">
        <v>75609.625</v>
      </c>
      <c r="M958" s="249">
        <v>80902.298750000002</v>
      </c>
      <c r="N958" s="249">
        <v>86565.459662499998</v>
      </c>
    </row>
    <row r="959" spans="1:14" x14ac:dyDescent="0.25">
      <c r="A959" t="s">
        <v>672</v>
      </c>
      <c r="C959" t="s">
        <v>164</v>
      </c>
      <c r="D959" s="67">
        <v>15692</v>
      </c>
      <c r="E959">
        <v>91950.73</v>
      </c>
      <c r="F959">
        <v>0</v>
      </c>
      <c r="G959">
        <v>551704.38</v>
      </c>
      <c r="H959">
        <v>339403.62</v>
      </c>
      <c r="I959">
        <v>61.91</v>
      </c>
      <c r="J959">
        <v>0</v>
      </c>
      <c r="K959" s="249">
        <v>15692</v>
      </c>
      <c r="L959" s="249">
        <v>16672.75</v>
      </c>
      <c r="M959" s="249">
        <v>17839.842499999999</v>
      </c>
      <c r="N959" s="249">
        <v>19088.631474999998</v>
      </c>
    </row>
    <row r="961" spans="1:14" x14ac:dyDescent="0.25">
      <c r="C961" t="s">
        <v>165</v>
      </c>
      <c r="D961" s="67">
        <v>1219377</v>
      </c>
      <c r="E961">
        <v>129695.66</v>
      </c>
      <c r="F961">
        <v>0</v>
      </c>
      <c r="G961">
        <v>475809.41</v>
      </c>
      <c r="H961">
        <v>743567.59</v>
      </c>
      <c r="I961">
        <v>39.020000000000003</v>
      </c>
      <c r="J961">
        <v>-34229.910000000149</v>
      </c>
      <c r="K961" s="249">
        <v>1185147.0899999999</v>
      </c>
      <c r="L961" s="249">
        <v>1259218.7831250001</v>
      </c>
      <c r="M961" s="249">
        <v>1347364.0979437502</v>
      </c>
      <c r="N961" s="249">
        <v>1441679.5847998124</v>
      </c>
    </row>
    <row r="963" spans="1:14" x14ac:dyDescent="0.25">
      <c r="C963" t="s">
        <v>166</v>
      </c>
    </row>
    <row r="965" spans="1:14" x14ac:dyDescent="0.25">
      <c r="A965" t="s">
        <v>673</v>
      </c>
      <c r="C965" t="s">
        <v>167</v>
      </c>
      <c r="D965" s="67">
        <v>224</v>
      </c>
      <c r="E965">
        <v>91950.73</v>
      </c>
      <c r="F965">
        <v>0</v>
      </c>
      <c r="G965">
        <v>551704.38</v>
      </c>
      <c r="H965">
        <v>339403.62</v>
      </c>
      <c r="I965">
        <v>61.91</v>
      </c>
      <c r="J965">
        <v>0</v>
      </c>
      <c r="K965" s="249">
        <v>224</v>
      </c>
      <c r="L965" s="249">
        <v>238</v>
      </c>
      <c r="M965" s="249">
        <v>254.66</v>
      </c>
      <c r="N965" s="249">
        <v>272.4862</v>
      </c>
    </row>
    <row r="966" spans="1:14" x14ac:dyDescent="0.25">
      <c r="A966" t="s">
        <v>674</v>
      </c>
      <c r="C966" t="s">
        <v>168</v>
      </c>
      <c r="D966" s="67">
        <v>107816</v>
      </c>
      <c r="E966">
        <v>91950.73</v>
      </c>
      <c r="F966">
        <v>0</v>
      </c>
      <c r="G966">
        <v>551704.38</v>
      </c>
      <c r="H966">
        <v>339403.62</v>
      </c>
      <c r="I966">
        <v>61.91</v>
      </c>
      <c r="J966">
        <v>-60000</v>
      </c>
      <c r="K966" s="249">
        <v>47816</v>
      </c>
      <c r="L966" s="249">
        <v>50804.5</v>
      </c>
      <c r="M966" s="249">
        <v>54360.815000000002</v>
      </c>
      <c r="N966" s="249">
        <v>58166.072050000002</v>
      </c>
    </row>
    <row r="967" spans="1:14" x14ac:dyDescent="0.25">
      <c r="A967" t="s">
        <v>675</v>
      </c>
      <c r="C967" t="s">
        <v>169</v>
      </c>
      <c r="D967" s="67">
        <v>187868</v>
      </c>
      <c r="E967">
        <v>91950.73</v>
      </c>
      <c r="F967">
        <v>0</v>
      </c>
      <c r="G967">
        <v>551704.38</v>
      </c>
      <c r="H967">
        <v>339403.62</v>
      </c>
      <c r="I967">
        <v>61.91</v>
      </c>
      <c r="J967">
        <v>0</v>
      </c>
      <c r="K967" s="249">
        <v>187868</v>
      </c>
      <c r="L967" s="249">
        <v>199609.75</v>
      </c>
      <c r="M967" s="249">
        <v>213582.4325</v>
      </c>
      <c r="N967" s="249">
        <v>228533.20277499998</v>
      </c>
    </row>
    <row r="968" spans="1:14" x14ac:dyDescent="0.25">
      <c r="A968" t="s">
        <v>676</v>
      </c>
      <c r="C968" t="s">
        <v>170</v>
      </c>
      <c r="D968" s="67">
        <v>3570</v>
      </c>
      <c r="E968">
        <v>91950.73</v>
      </c>
      <c r="F968">
        <v>0</v>
      </c>
      <c r="G968">
        <v>551704.38</v>
      </c>
      <c r="H968">
        <v>339403.62</v>
      </c>
      <c r="I968">
        <v>61.91</v>
      </c>
      <c r="J968">
        <v>0</v>
      </c>
      <c r="K968" s="249">
        <v>3570</v>
      </c>
      <c r="L968" s="249">
        <v>3793.125</v>
      </c>
      <c r="M968" s="249">
        <v>4058.6437500000002</v>
      </c>
      <c r="N968" s="249">
        <v>4342.7488125</v>
      </c>
    </row>
    <row r="970" spans="1:14" x14ac:dyDescent="0.25">
      <c r="C970" t="s">
        <v>171</v>
      </c>
      <c r="D970" s="67">
        <v>299478</v>
      </c>
      <c r="E970">
        <v>13732.92</v>
      </c>
      <c r="F970">
        <v>0</v>
      </c>
      <c r="G970">
        <v>82397.52</v>
      </c>
      <c r="H970">
        <v>217080.48</v>
      </c>
      <c r="I970">
        <v>27.51</v>
      </c>
      <c r="J970">
        <v>-60000</v>
      </c>
      <c r="K970" s="249">
        <v>239478</v>
      </c>
      <c r="L970" s="249">
        <v>254445.375</v>
      </c>
      <c r="M970" s="249">
        <v>272256.55124999996</v>
      </c>
      <c r="N970" s="249">
        <v>291314.50983749999</v>
      </c>
    </row>
    <row r="972" spans="1:14" x14ac:dyDescent="0.25">
      <c r="C972" t="s">
        <v>172</v>
      </c>
    </row>
    <row r="974" spans="1:14" x14ac:dyDescent="0.25">
      <c r="A974" t="s">
        <v>677</v>
      </c>
      <c r="C974" t="s">
        <v>173</v>
      </c>
      <c r="D974" s="67">
        <v>20768</v>
      </c>
      <c r="E974">
        <v>91950.73</v>
      </c>
      <c r="F974">
        <v>0</v>
      </c>
      <c r="G974">
        <v>551704.38</v>
      </c>
      <c r="H974">
        <v>339403.62</v>
      </c>
      <c r="I974">
        <v>61.91</v>
      </c>
      <c r="J974">
        <v>0</v>
      </c>
      <c r="K974" s="249">
        <v>20768</v>
      </c>
      <c r="L974" s="249">
        <v>22066</v>
      </c>
      <c r="M974" s="249">
        <v>23610.62</v>
      </c>
      <c r="N974" s="249">
        <v>25263.363399999998</v>
      </c>
    </row>
    <row r="975" spans="1:14" x14ac:dyDescent="0.25">
      <c r="A975" t="s">
        <v>678</v>
      </c>
      <c r="C975" t="s">
        <v>174</v>
      </c>
      <c r="D975" s="67">
        <v>19770</v>
      </c>
      <c r="E975">
        <v>91950.73</v>
      </c>
      <c r="F975">
        <v>0</v>
      </c>
      <c r="G975">
        <v>551704.38</v>
      </c>
      <c r="H975">
        <v>339403.62</v>
      </c>
      <c r="I975">
        <v>61.91</v>
      </c>
      <c r="J975">
        <v>0</v>
      </c>
      <c r="K975" s="249">
        <v>19770</v>
      </c>
      <c r="L975" s="249">
        <v>21005.625</v>
      </c>
      <c r="M975" s="249">
        <v>22476.018749999999</v>
      </c>
      <c r="N975" s="249">
        <v>24049.340062499999</v>
      </c>
    </row>
    <row r="976" spans="1:14" x14ac:dyDescent="0.25">
      <c r="A976" t="s">
        <v>679</v>
      </c>
      <c r="C976" t="s">
        <v>175</v>
      </c>
      <c r="D976" s="67">
        <v>6053</v>
      </c>
      <c r="E976">
        <v>91950.73</v>
      </c>
      <c r="F976">
        <v>0</v>
      </c>
      <c r="G976">
        <v>551704.38</v>
      </c>
      <c r="H976">
        <v>339403.62</v>
      </c>
      <c r="I976">
        <v>61.91</v>
      </c>
      <c r="J976">
        <v>0</v>
      </c>
      <c r="K976" s="249">
        <v>6053</v>
      </c>
      <c r="L976" s="249">
        <v>6431.3125</v>
      </c>
      <c r="M976" s="249">
        <v>6881.5043750000004</v>
      </c>
      <c r="N976" s="249">
        <v>7363.2096812500004</v>
      </c>
    </row>
    <row r="978" spans="1:14" x14ac:dyDescent="0.25">
      <c r="C978" t="s">
        <v>176</v>
      </c>
      <c r="D978" s="67">
        <v>46591</v>
      </c>
      <c r="E978">
        <v>0</v>
      </c>
      <c r="F978">
        <v>0</v>
      </c>
      <c r="G978">
        <v>0</v>
      </c>
      <c r="H978">
        <v>46591</v>
      </c>
      <c r="I978">
        <v>0</v>
      </c>
      <c r="J978">
        <v>0</v>
      </c>
      <c r="K978" s="249">
        <v>46591</v>
      </c>
      <c r="L978" s="249">
        <v>49502.9375</v>
      </c>
      <c r="M978" s="249">
        <v>52968.143125000002</v>
      </c>
      <c r="N978" s="249">
        <v>56675.913143749996</v>
      </c>
    </row>
    <row r="980" spans="1:14" x14ac:dyDescent="0.25">
      <c r="C980" t="s">
        <v>177</v>
      </c>
      <c r="D980" s="67">
        <v>1565446</v>
      </c>
      <c r="E980">
        <v>143428.57999999999</v>
      </c>
      <c r="F980">
        <v>0</v>
      </c>
      <c r="G980">
        <v>558206.93000000005</v>
      </c>
      <c r="H980">
        <v>1007239.07</v>
      </c>
      <c r="I980">
        <v>35.65</v>
      </c>
      <c r="J980">
        <v>-94229.910000000149</v>
      </c>
      <c r="K980" s="249">
        <v>1471216.0899999999</v>
      </c>
      <c r="L980" s="249">
        <v>1563167.0956250001</v>
      </c>
      <c r="M980" s="249">
        <v>1672588.7923187502</v>
      </c>
      <c r="N980" s="249">
        <v>1789670.0077810625</v>
      </c>
    </row>
    <row r="982" spans="1:14" x14ac:dyDescent="0.25">
      <c r="C982" t="s">
        <v>178</v>
      </c>
      <c r="D982" s="67">
        <v>1565446</v>
      </c>
      <c r="E982">
        <v>143428.57999999999</v>
      </c>
      <c r="F982">
        <v>0</v>
      </c>
      <c r="G982">
        <v>558206.93000000005</v>
      </c>
      <c r="H982">
        <v>1007239.07</v>
      </c>
      <c r="I982">
        <v>35.65</v>
      </c>
      <c r="J982">
        <v>-94229.910000000149</v>
      </c>
      <c r="K982" s="249">
        <v>1471216.0899999999</v>
      </c>
      <c r="L982" s="249">
        <v>1563167.0956250001</v>
      </c>
      <c r="M982" s="249">
        <v>1672588.7923187502</v>
      </c>
      <c r="N982" s="249">
        <v>1789670.0077810625</v>
      </c>
    </row>
    <row r="984" spans="1:14" x14ac:dyDescent="0.25">
      <c r="C984" t="s">
        <v>208</v>
      </c>
    </row>
    <row r="986" spans="1:14" x14ac:dyDescent="0.25">
      <c r="C986" t="s">
        <v>218</v>
      </c>
    </row>
    <row r="988" spans="1:14" x14ac:dyDescent="0.25">
      <c r="A988" t="s">
        <v>680</v>
      </c>
      <c r="C988" t="s">
        <v>221</v>
      </c>
      <c r="D988" s="67">
        <v>400000</v>
      </c>
      <c r="E988">
        <v>91950.73</v>
      </c>
      <c r="F988">
        <v>0</v>
      </c>
      <c r="G988">
        <v>551704.38</v>
      </c>
      <c r="H988">
        <v>339403.62</v>
      </c>
      <c r="I988">
        <v>61.91</v>
      </c>
      <c r="J988">
        <v>0</v>
      </c>
      <c r="K988" s="249">
        <v>400000</v>
      </c>
      <c r="L988" s="249">
        <v>418000</v>
      </c>
      <c r="M988" s="249">
        <v>437228</v>
      </c>
      <c r="N988" s="249">
        <v>457340.48800000001</v>
      </c>
    </row>
    <row r="990" spans="1:14" x14ac:dyDescent="0.25">
      <c r="C990" t="s">
        <v>227</v>
      </c>
      <c r="D990" s="67">
        <v>400000</v>
      </c>
      <c r="E990">
        <v>0</v>
      </c>
      <c r="F990">
        <v>0</v>
      </c>
      <c r="G990">
        <v>18671.25</v>
      </c>
      <c r="H990">
        <v>381328.75</v>
      </c>
      <c r="I990">
        <v>4.66</v>
      </c>
      <c r="J990">
        <v>0</v>
      </c>
      <c r="K990" s="249">
        <v>400000</v>
      </c>
      <c r="L990" s="249">
        <v>418000</v>
      </c>
      <c r="M990" s="249">
        <v>437228</v>
      </c>
      <c r="N990" s="249">
        <v>457340.48800000001</v>
      </c>
    </row>
    <row r="992" spans="1:14" x14ac:dyDescent="0.25">
      <c r="C992" t="s">
        <v>228</v>
      </c>
    </row>
    <row r="994" spans="1:14" x14ac:dyDescent="0.25">
      <c r="C994" t="s">
        <v>240</v>
      </c>
      <c r="D994" s="67">
        <v>400000</v>
      </c>
      <c r="E994">
        <v>0</v>
      </c>
      <c r="F994">
        <v>0</v>
      </c>
      <c r="G994">
        <v>18671.25</v>
      </c>
      <c r="H994">
        <v>381328.75</v>
      </c>
      <c r="I994">
        <v>4.66</v>
      </c>
      <c r="J994">
        <v>0</v>
      </c>
      <c r="K994" s="249">
        <v>400000</v>
      </c>
      <c r="L994" s="249">
        <v>418000</v>
      </c>
      <c r="M994" s="249">
        <v>437228</v>
      </c>
      <c r="N994" s="249">
        <v>457340.48800000001</v>
      </c>
    </row>
    <row r="996" spans="1:14" x14ac:dyDescent="0.25">
      <c r="C996" t="s">
        <v>241</v>
      </c>
    </row>
    <row r="998" spans="1:14" x14ac:dyDescent="0.25">
      <c r="A998" t="s">
        <v>681</v>
      </c>
      <c r="C998" t="s">
        <v>265</v>
      </c>
      <c r="D998" s="67">
        <v>0</v>
      </c>
      <c r="E998">
        <v>91950.73</v>
      </c>
      <c r="F998">
        <v>0</v>
      </c>
      <c r="G998">
        <v>551704.38</v>
      </c>
      <c r="H998">
        <v>339403.62</v>
      </c>
      <c r="I998">
        <v>61.91</v>
      </c>
      <c r="J998">
        <v>10000</v>
      </c>
      <c r="K998" s="249">
        <v>10000</v>
      </c>
      <c r="L998" s="249">
        <v>10450</v>
      </c>
      <c r="M998" s="249">
        <v>10930.7</v>
      </c>
      <c r="N998" s="249">
        <v>11433.512200000001</v>
      </c>
    </row>
    <row r="999" spans="1:14" x14ac:dyDescent="0.25">
      <c r="A999" t="s">
        <v>682</v>
      </c>
      <c r="C999" t="s">
        <v>268</v>
      </c>
      <c r="D999" s="67">
        <v>0</v>
      </c>
      <c r="E999">
        <v>91950.73</v>
      </c>
      <c r="F999">
        <v>0</v>
      </c>
      <c r="G999">
        <v>551704.38</v>
      </c>
      <c r="H999">
        <v>339403.62</v>
      </c>
      <c r="I999">
        <v>61.91</v>
      </c>
      <c r="J999">
        <v>25000</v>
      </c>
      <c r="K999" s="249">
        <v>25000</v>
      </c>
      <c r="L999" s="249">
        <v>26125</v>
      </c>
      <c r="M999" s="249">
        <v>27326.75</v>
      </c>
      <c r="N999" s="249">
        <v>28583.780500000001</v>
      </c>
    </row>
    <row r="1001" spans="1:14" x14ac:dyDescent="0.25">
      <c r="C1001" t="s">
        <v>274</v>
      </c>
      <c r="D1001" s="67">
        <v>0</v>
      </c>
      <c r="E1001">
        <v>1253.29</v>
      </c>
      <c r="F1001">
        <v>0</v>
      </c>
      <c r="G1001">
        <v>15759.65</v>
      </c>
      <c r="H1001">
        <v>-15759.65</v>
      </c>
      <c r="I1001">
        <v>0</v>
      </c>
      <c r="J1001">
        <v>35000</v>
      </c>
      <c r="K1001" s="249">
        <v>35000</v>
      </c>
      <c r="L1001" s="249">
        <v>36575</v>
      </c>
      <c r="M1001" s="249">
        <v>38257.449999999997</v>
      </c>
      <c r="N1001" s="249">
        <v>40017.292700000005</v>
      </c>
    </row>
    <row r="1003" spans="1:14" x14ac:dyDescent="0.25">
      <c r="C1003" t="s">
        <v>305</v>
      </c>
      <c r="D1003" s="67">
        <v>1965446</v>
      </c>
      <c r="E1003">
        <v>144681.87</v>
      </c>
      <c r="F1003">
        <v>0</v>
      </c>
      <c r="G1003">
        <v>592637.82999999996</v>
      </c>
      <c r="H1003">
        <v>1372808.17</v>
      </c>
      <c r="I1003">
        <v>30.15</v>
      </c>
      <c r="J1003">
        <v>-59229.910000000149</v>
      </c>
      <c r="K1003" s="249">
        <v>1906216.0899999999</v>
      </c>
      <c r="L1003" s="249">
        <v>2017742.0956250001</v>
      </c>
      <c r="M1003" s="249">
        <v>2148074.2423187504</v>
      </c>
      <c r="N1003" s="249">
        <v>2287027.7884810627</v>
      </c>
    </row>
    <row r="1005" spans="1:14" x14ac:dyDescent="0.25">
      <c r="C1005" t="s">
        <v>306</v>
      </c>
      <c r="D1005" s="67">
        <v>1965446</v>
      </c>
      <c r="E1005">
        <v>144681.87</v>
      </c>
      <c r="F1005">
        <v>0</v>
      </c>
      <c r="G1005">
        <v>592637.82999999996</v>
      </c>
      <c r="H1005">
        <v>1372808.17</v>
      </c>
      <c r="I1005">
        <v>30.15</v>
      </c>
      <c r="J1005">
        <v>-59229.910000000149</v>
      </c>
      <c r="K1005" s="249">
        <v>1906216.0899999999</v>
      </c>
      <c r="L1005" s="249">
        <v>2017742.0956250001</v>
      </c>
      <c r="M1005" s="249">
        <v>2148074.2423187504</v>
      </c>
      <c r="N1005" s="249">
        <v>2287027.7884810627</v>
      </c>
    </row>
    <row r="1007" spans="1:14" x14ac:dyDescent="0.25">
      <c r="C1007" t="s">
        <v>308</v>
      </c>
    </row>
    <row r="1009" spans="1:14" x14ac:dyDescent="0.25">
      <c r="A1009" t="s">
        <v>1343</v>
      </c>
      <c r="C1009" t="s">
        <v>1344</v>
      </c>
      <c r="D1009" s="67">
        <v>0</v>
      </c>
      <c r="E1009">
        <v>91950.73</v>
      </c>
      <c r="F1009">
        <v>0</v>
      </c>
      <c r="G1009">
        <v>551704.38</v>
      </c>
      <c r="H1009">
        <v>339403.62</v>
      </c>
      <c r="I1009">
        <v>61.91</v>
      </c>
      <c r="J1009">
        <v>0</v>
      </c>
      <c r="K1009" s="249">
        <v>0</v>
      </c>
      <c r="L1009" s="249">
        <v>800000</v>
      </c>
      <c r="M1009" s="249">
        <v>900000</v>
      </c>
      <c r="N1009" s="249">
        <v>0</v>
      </c>
    </row>
    <row r="1011" spans="1:14" x14ac:dyDescent="0.25">
      <c r="B1011" t="s">
        <v>320</v>
      </c>
      <c r="C1011" t="s">
        <v>320</v>
      </c>
      <c r="D1011" s="67">
        <v>0</v>
      </c>
      <c r="E1011">
        <v>91950.73</v>
      </c>
      <c r="F1011">
        <v>0</v>
      </c>
      <c r="G1011">
        <v>551704.38</v>
      </c>
      <c r="H1011">
        <v>339403.62</v>
      </c>
      <c r="I1011">
        <v>100</v>
      </c>
      <c r="J1011">
        <v>0</v>
      </c>
      <c r="K1011" s="249">
        <v>0</v>
      </c>
      <c r="L1011" s="249">
        <v>800000</v>
      </c>
      <c r="M1011" s="249">
        <v>900000</v>
      </c>
      <c r="N1011" s="249">
        <v>0</v>
      </c>
    </row>
    <row r="1013" spans="1:14" x14ac:dyDescent="0.25">
      <c r="C1013" t="s">
        <v>683</v>
      </c>
    </row>
    <row r="1015" spans="1:14" x14ac:dyDescent="0.25">
      <c r="C1015" t="s">
        <v>96</v>
      </c>
    </row>
    <row r="1016" spans="1:14" x14ac:dyDescent="0.25">
      <c r="C1016" t="s">
        <v>97</v>
      </c>
    </row>
    <row r="1017" spans="1:14" x14ac:dyDescent="0.25">
      <c r="C1017" t="s">
        <v>148</v>
      </c>
    </row>
    <row r="1018" spans="1:14" x14ac:dyDescent="0.25">
      <c r="C1018" t="s">
        <v>149</v>
      </c>
    </row>
    <row r="1020" spans="1:14" x14ac:dyDescent="0.25">
      <c r="A1020" t="s">
        <v>684</v>
      </c>
      <c r="C1020" t="s">
        <v>150</v>
      </c>
      <c r="D1020" s="67">
        <v>1364454</v>
      </c>
      <c r="E1020">
        <v>91950.73</v>
      </c>
      <c r="F1020">
        <v>0</v>
      </c>
      <c r="G1020">
        <v>551704.38</v>
      </c>
      <c r="H1020">
        <v>339403.62</v>
      </c>
      <c r="I1020">
        <v>61.91</v>
      </c>
      <c r="J1020">
        <v>0</v>
      </c>
      <c r="K1020" s="249">
        <v>1364454</v>
      </c>
      <c r="L1020" s="249">
        <v>1449732.375</v>
      </c>
      <c r="M1020" s="249">
        <v>1551213.6412500001</v>
      </c>
      <c r="N1020" s="249">
        <v>1659798.5961375001</v>
      </c>
    </row>
    <row r="1021" spans="1:14" x14ac:dyDescent="0.25">
      <c r="A1021" t="s">
        <v>685</v>
      </c>
      <c r="C1021" t="s">
        <v>150</v>
      </c>
      <c r="D1021" s="67">
        <v>80600</v>
      </c>
      <c r="E1021">
        <v>91950.73</v>
      </c>
      <c r="F1021">
        <v>0</v>
      </c>
      <c r="G1021">
        <v>551704.38</v>
      </c>
      <c r="H1021">
        <v>339403.62</v>
      </c>
      <c r="I1021">
        <v>61.91</v>
      </c>
      <c r="J1021">
        <v>0</v>
      </c>
      <c r="K1021" s="249">
        <v>80600</v>
      </c>
      <c r="L1021" s="249">
        <v>85637.5</v>
      </c>
      <c r="M1021" s="249">
        <v>91632.125</v>
      </c>
      <c r="N1021" s="249">
        <v>98046.373749999999</v>
      </c>
    </row>
    <row r="1022" spans="1:14" x14ac:dyDescent="0.25">
      <c r="A1022" t="s">
        <v>686</v>
      </c>
      <c r="C1022" t="s">
        <v>151</v>
      </c>
      <c r="D1022" s="67">
        <v>66423</v>
      </c>
      <c r="E1022">
        <v>91950.73</v>
      </c>
      <c r="F1022">
        <v>0</v>
      </c>
      <c r="G1022">
        <v>551704.38</v>
      </c>
      <c r="H1022">
        <v>339403.62</v>
      </c>
      <c r="I1022">
        <v>61.91</v>
      </c>
      <c r="J1022">
        <v>-41021.729999999996</v>
      </c>
      <c r="K1022" s="249">
        <v>25401.270000000004</v>
      </c>
      <c r="L1022" s="249">
        <v>26988.849375000005</v>
      </c>
      <c r="M1022" s="249">
        <v>28878.068831250006</v>
      </c>
      <c r="N1022" s="249">
        <v>30899.533649437508</v>
      </c>
    </row>
    <row r="1023" spans="1:14" x14ac:dyDescent="0.25">
      <c r="A1023" t="s">
        <v>687</v>
      </c>
      <c r="C1023" t="s">
        <v>152</v>
      </c>
      <c r="D1023" s="67">
        <v>52200</v>
      </c>
      <c r="E1023">
        <v>91950.73</v>
      </c>
      <c r="F1023">
        <v>0</v>
      </c>
      <c r="G1023">
        <v>551704.38</v>
      </c>
      <c r="H1023">
        <v>339403.62</v>
      </c>
      <c r="I1023">
        <v>61.91</v>
      </c>
      <c r="J1023">
        <v>0</v>
      </c>
      <c r="K1023" s="249">
        <v>52200</v>
      </c>
      <c r="L1023" s="249">
        <v>55462.5</v>
      </c>
      <c r="M1023" s="249">
        <v>59344.875</v>
      </c>
      <c r="N1023" s="249">
        <v>63499.016250000001</v>
      </c>
    </row>
    <row r="1024" spans="1:14" x14ac:dyDescent="0.25">
      <c r="A1024" t="s">
        <v>688</v>
      </c>
      <c r="C1024" t="s">
        <v>153</v>
      </c>
      <c r="D1024" s="67">
        <v>21786</v>
      </c>
      <c r="E1024">
        <v>91950.73</v>
      </c>
      <c r="F1024">
        <v>0</v>
      </c>
      <c r="G1024">
        <v>551704.38</v>
      </c>
      <c r="H1024">
        <v>339403.62</v>
      </c>
      <c r="I1024">
        <v>61.91</v>
      </c>
      <c r="J1024">
        <v>0</v>
      </c>
      <c r="K1024" s="249">
        <v>21786</v>
      </c>
      <c r="L1024" s="249">
        <v>23147.625</v>
      </c>
      <c r="M1024" s="249">
        <v>24767.958750000002</v>
      </c>
      <c r="N1024" s="249">
        <v>26501.715862500001</v>
      </c>
    </row>
    <row r="1025" spans="1:14" x14ac:dyDescent="0.25">
      <c r="A1025" t="s">
        <v>689</v>
      </c>
      <c r="C1025" t="s">
        <v>155</v>
      </c>
      <c r="D1025" s="67">
        <v>44083</v>
      </c>
      <c r="E1025">
        <v>91950.73</v>
      </c>
      <c r="F1025">
        <v>0</v>
      </c>
      <c r="G1025">
        <v>551704.38</v>
      </c>
      <c r="H1025">
        <v>339403.62</v>
      </c>
      <c r="I1025">
        <v>61.91</v>
      </c>
      <c r="J1025">
        <v>0</v>
      </c>
      <c r="K1025" s="249">
        <v>44083</v>
      </c>
      <c r="L1025" s="249">
        <v>46838.1875</v>
      </c>
      <c r="M1025" s="249">
        <v>50116.860625000001</v>
      </c>
      <c r="N1025" s="249">
        <v>53625.040868750002</v>
      </c>
    </row>
    <row r="1026" spans="1:14" x14ac:dyDescent="0.25">
      <c r="A1026" t="s">
        <v>690</v>
      </c>
      <c r="C1026" t="s">
        <v>156</v>
      </c>
      <c r="D1026" s="67">
        <v>332114</v>
      </c>
      <c r="E1026">
        <v>91950.73</v>
      </c>
      <c r="F1026">
        <v>0</v>
      </c>
      <c r="G1026">
        <v>551704.38</v>
      </c>
      <c r="H1026">
        <v>339403.62</v>
      </c>
      <c r="I1026">
        <v>61.91</v>
      </c>
      <c r="J1026">
        <v>0</v>
      </c>
      <c r="K1026" s="249">
        <v>332114</v>
      </c>
      <c r="L1026" s="249">
        <v>352871.125</v>
      </c>
      <c r="M1026" s="249">
        <v>377572.10375000001</v>
      </c>
      <c r="N1026" s="249">
        <v>404002.15101249999</v>
      </c>
    </row>
    <row r="1027" spans="1:14" x14ac:dyDescent="0.25">
      <c r="A1027" t="s">
        <v>691</v>
      </c>
      <c r="C1027" t="s">
        <v>158</v>
      </c>
      <c r="D1027" s="67">
        <v>26569</v>
      </c>
      <c r="E1027">
        <v>91950.73</v>
      </c>
      <c r="F1027">
        <v>0</v>
      </c>
      <c r="G1027">
        <v>551704.38</v>
      </c>
      <c r="H1027">
        <v>339403.62</v>
      </c>
      <c r="I1027">
        <v>61.91</v>
      </c>
      <c r="J1027">
        <v>26569</v>
      </c>
      <c r="K1027" s="249">
        <v>53138</v>
      </c>
      <c r="L1027" s="249">
        <v>56459.125</v>
      </c>
      <c r="M1027" s="249">
        <v>60411.263749999998</v>
      </c>
      <c r="N1027" s="249">
        <v>64640.052212499999</v>
      </c>
    </row>
    <row r="1028" spans="1:14" x14ac:dyDescent="0.25">
      <c r="A1028" t="s">
        <v>692</v>
      </c>
      <c r="C1028" t="s">
        <v>159</v>
      </c>
      <c r="D1028" s="67">
        <v>110705</v>
      </c>
      <c r="E1028">
        <v>91950.73</v>
      </c>
      <c r="F1028">
        <v>0</v>
      </c>
      <c r="G1028">
        <v>551704.38</v>
      </c>
      <c r="H1028">
        <v>339403.62</v>
      </c>
      <c r="I1028">
        <v>61.91</v>
      </c>
      <c r="J1028">
        <v>0</v>
      </c>
      <c r="K1028" s="249">
        <v>110705</v>
      </c>
      <c r="L1028" s="249">
        <v>117624.0625</v>
      </c>
      <c r="M1028" s="249">
        <v>125857.746875</v>
      </c>
      <c r="N1028" s="249">
        <v>134667.78915624999</v>
      </c>
    </row>
    <row r="1029" spans="1:14" x14ac:dyDescent="0.25">
      <c r="A1029" t="s">
        <v>693</v>
      </c>
      <c r="C1029" t="s">
        <v>164</v>
      </c>
      <c r="D1029" s="67">
        <v>15692</v>
      </c>
      <c r="E1029">
        <v>91950.73</v>
      </c>
      <c r="F1029">
        <v>0</v>
      </c>
      <c r="G1029">
        <v>551704.38</v>
      </c>
      <c r="H1029">
        <v>339403.62</v>
      </c>
      <c r="I1029">
        <v>61.91</v>
      </c>
      <c r="J1029">
        <v>0</v>
      </c>
      <c r="K1029" s="249">
        <v>15692</v>
      </c>
      <c r="L1029" s="249">
        <v>16672.75</v>
      </c>
      <c r="M1029" s="249">
        <v>17839.842499999999</v>
      </c>
      <c r="N1029" s="249">
        <v>19088.631474999998</v>
      </c>
    </row>
    <row r="1031" spans="1:14" x14ac:dyDescent="0.25">
      <c r="C1031" t="s">
        <v>165</v>
      </c>
      <c r="D1031" s="67">
        <v>2114626</v>
      </c>
      <c r="E1031">
        <v>171940.66</v>
      </c>
      <c r="F1031">
        <v>0</v>
      </c>
      <c r="G1031">
        <v>928030.41</v>
      </c>
      <c r="H1031">
        <v>1186595.5900000001</v>
      </c>
      <c r="I1031">
        <v>43.88</v>
      </c>
      <c r="J1031">
        <v>-14452.729999999981</v>
      </c>
      <c r="K1031" s="249">
        <v>2100173.27</v>
      </c>
      <c r="L1031" s="249">
        <v>2231434.0993750002</v>
      </c>
      <c r="M1031" s="249">
        <v>2387634.4863312501</v>
      </c>
      <c r="N1031" s="249">
        <v>2554768.9003744381</v>
      </c>
    </row>
    <row r="1033" spans="1:14" x14ac:dyDescent="0.25">
      <c r="C1033" t="s">
        <v>166</v>
      </c>
    </row>
    <row r="1035" spans="1:14" x14ac:dyDescent="0.25">
      <c r="A1035" t="s">
        <v>694</v>
      </c>
      <c r="C1035" t="s">
        <v>167</v>
      </c>
      <c r="D1035" s="67">
        <v>337</v>
      </c>
      <c r="E1035">
        <v>91950.73</v>
      </c>
      <c r="F1035">
        <v>0</v>
      </c>
      <c r="G1035">
        <v>551704.38</v>
      </c>
      <c r="H1035">
        <v>339403.62</v>
      </c>
      <c r="I1035">
        <v>61.91</v>
      </c>
      <c r="J1035">
        <v>0</v>
      </c>
      <c r="K1035" s="249">
        <v>337</v>
      </c>
      <c r="L1035" s="249">
        <v>358.0625</v>
      </c>
      <c r="M1035" s="249">
        <v>383.12687499999998</v>
      </c>
      <c r="N1035" s="249">
        <v>409.94575624999999</v>
      </c>
    </row>
    <row r="1036" spans="1:14" x14ac:dyDescent="0.25">
      <c r="A1036" t="s">
        <v>695</v>
      </c>
      <c r="C1036" t="s">
        <v>168</v>
      </c>
      <c r="D1036" s="67">
        <v>161725</v>
      </c>
      <c r="E1036">
        <v>91950.73</v>
      </c>
      <c r="F1036">
        <v>0</v>
      </c>
      <c r="G1036">
        <v>551704.38</v>
      </c>
      <c r="H1036">
        <v>339403.62</v>
      </c>
      <c r="I1036">
        <v>61.91</v>
      </c>
      <c r="J1036">
        <v>0</v>
      </c>
      <c r="K1036" s="249">
        <v>161725</v>
      </c>
      <c r="L1036" s="249">
        <v>171832.8125</v>
      </c>
      <c r="M1036" s="249">
        <v>183861.109375</v>
      </c>
      <c r="N1036" s="249">
        <v>196731.38703124999</v>
      </c>
    </row>
    <row r="1037" spans="1:14" x14ac:dyDescent="0.25">
      <c r="A1037" t="s">
        <v>696</v>
      </c>
      <c r="C1037" t="s">
        <v>169</v>
      </c>
      <c r="D1037" s="67">
        <v>278128</v>
      </c>
      <c r="E1037">
        <v>91950.73</v>
      </c>
      <c r="F1037">
        <v>0</v>
      </c>
      <c r="G1037">
        <v>551704.38</v>
      </c>
      <c r="H1037">
        <v>339403.62</v>
      </c>
      <c r="I1037">
        <v>61.91</v>
      </c>
      <c r="J1037">
        <v>0</v>
      </c>
      <c r="K1037" s="249">
        <v>278128</v>
      </c>
      <c r="L1037" s="249">
        <v>295511</v>
      </c>
      <c r="M1037" s="249">
        <v>316196.77</v>
      </c>
      <c r="N1037" s="249">
        <v>338330.54390000005</v>
      </c>
    </row>
    <row r="1038" spans="1:14" x14ac:dyDescent="0.25">
      <c r="A1038" t="s">
        <v>697</v>
      </c>
      <c r="C1038" t="s">
        <v>170</v>
      </c>
      <c r="D1038" s="67">
        <v>5355</v>
      </c>
      <c r="E1038">
        <v>91950.73</v>
      </c>
      <c r="F1038">
        <v>0</v>
      </c>
      <c r="G1038">
        <v>551704.38</v>
      </c>
      <c r="H1038">
        <v>339403.62</v>
      </c>
      <c r="I1038">
        <v>61.91</v>
      </c>
      <c r="J1038">
        <v>0</v>
      </c>
      <c r="K1038" s="249">
        <v>5355</v>
      </c>
      <c r="L1038" s="249">
        <v>5689.6875</v>
      </c>
      <c r="M1038" s="249">
        <v>6087.9656249999998</v>
      </c>
      <c r="N1038" s="249">
        <v>6514.12321875</v>
      </c>
    </row>
    <row r="1039" spans="1:14" x14ac:dyDescent="0.25">
      <c r="A1039" t="s">
        <v>698</v>
      </c>
      <c r="C1039" t="s">
        <v>170</v>
      </c>
      <c r="D1039" s="67">
        <v>0</v>
      </c>
      <c r="E1039">
        <v>91950.73</v>
      </c>
      <c r="F1039">
        <v>0</v>
      </c>
      <c r="G1039">
        <v>551704.38</v>
      </c>
      <c r="H1039">
        <v>339403.62</v>
      </c>
      <c r="I1039">
        <v>61.91</v>
      </c>
      <c r="J1039">
        <v>0</v>
      </c>
      <c r="K1039" s="249">
        <v>0</v>
      </c>
      <c r="L1039" s="249">
        <v>0</v>
      </c>
      <c r="M1039" s="249">
        <v>0</v>
      </c>
    </row>
    <row r="1041" spans="1:14" x14ac:dyDescent="0.25">
      <c r="C1041" t="s">
        <v>171</v>
      </c>
      <c r="D1041" s="67">
        <v>445545</v>
      </c>
      <c r="E1041">
        <v>30888.05</v>
      </c>
      <c r="F1041">
        <v>0</v>
      </c>
      <c r="G1041">
        <v>185025.75</v>
      </c>
      <c r="H1041">
        <v>260519.25</v>
      </c>
      <c r="I1041">
        <v>41.52</v>
      </c>
      <c r="J1041">
        <v>0</v>
      </c>
      <c r="K1041" s="249">
        <v>445545</v>
      </c>
      <c r="L1041" s="249">
        <v>473391.5625</v>
      </c>
      <c r="M1041" s="249">
        <v>506528.97187499999</v>
      </c>
      <c r="N1041" s="249">
        <v>541985.99990625004</v>
      </c>
    </row>
    <row r="1043" spans="1:14" x14ac:dyDescent="0.25">
      <c r="C1043" t="s">
        <v>172</v>
      </c>
    </row>
    <row r="1045" spans="1:14" x14ac:dyDescent="0.25">
      <c r="A1045" t="s">
        <v>699</v>
      </c>
      <c r="C1045" t="s">
        <v>173</v>
      </c>
      <c r="D1045" s="67">
        <v>8794</v>
      </c>
      <c r="E1045">
        <v>91950.73</v>
      </c>
      <c r="F1045">
        <v>0</v>
      </c>
      <c r="G1045">
        <v>551704.38</v>
      </c>
      <c r="H1045">
        <v>339403.62</v>
      </c>
      <c r="I1045">
        <v>61.91</v>
      </c>
      <c r="J1045">
        <v>0</v>
      </c>
      <c r="K1045" s="249">
        <v>8794</v>
      </c>
      <c r="L1045" s="249">
        <v>9343.625</v>
      </c>
      <c r="M1045" s="249">
        <v>9997.6787499999991</v>
      </c>
      <c r="N1045" s="249">
        <v>10697.516262499999</v>
      </c>
    </row>
    <row r="1046" spans="1:14" x14ac:dyDescent="0.25">
      <c r="A1046" t="s">
        <v>700</v>
      </c>
      <c r="C1046" t="s">
        <v>174</v>
      </c>
      <c r="D1046" s="67">
        <v>8346</v>
      </c>
      <c r="E1046">
        <v>91950.73</v>
      </c>
      <c r="F1046">
        <v>0</v>
      </c>
      <c r="G1046">
        <v>551704.38</v>
      </c>
      <c r="H1046">
        <v>339403.62</v>
      </c>
      <c r="I1046">
        <v>61.91</v>
      </c>
      <c r="J1046">
        <v>0</v>
      </c>
      <c r="K1046" s="249">
        <v>8346</v>
      </c>
      <c r="L1046" s="249">
        <v>8867.625</v>
      </c>
      <c r="M1046" s="249">
        <v>9488.3587499999994</v>
      </c>
      <c r="N1046" s="249">
        <v>10152.543862499999</v>
      </c>
    </row>
    <row r="1047" spans="1:14" x14ac:dyDescent="0.25">
      <c r="A1047" t="s">
        <v>701</v>
      </c>
      <c r="C1047" t="s">
        <v>175</v>
      </c>
      <c r="D1047" s="67">
        <v>11677</v>
      </c>
      <c r="E1047">
        <v>91950.73</v>
      </c>
      <c r="F1047">
        <v>0</v>
      </c>
      <c r="G1047">
        <v>551704.38</v>
      </c>
      <c r="H1047">
        <v>339403.62</v>
      </c>
      <c r="I1047">
        <v>61.91</v>
      </c>
      <c r="J1047">
        <v>0</v>
      </c>
      <c r="K1047" s="249">
        <v>11677</v>
      </c>
      <c r="L1047" s="249">
        <v>12406.8125</v>
      </c>
      <c r="M1047" s="249">
        <v>13275.289375</v>
      </c>
      <c r="N1047" s="249">
        <v>14204.55963125</v>
      </c>
    </row>
    <row r="1049" spans="1:14" x14ac:dyDescent="0.25">
      <c r="C1049" t="s">
        <v>176</v>
      </c>
      <c r="D1049" s="67">
        <v>28817</v>
      </c>
      <c r="E1049">
        <v>0</v>
      </c>
      <c r="F1049">
        <v>0</v>
      </c>
      <c r="G1049">
        <v>0</v>
      </c>
      <c r="H1049">
        <v>28817</v>
      </c>
      <c r="I1049">
        <v>0</v>
      </c>
      <c r="J1049">
        <v>0</v>
      </c>
      <c r="K1049" s="249">
        <v>28817</v>
      </c>
      <c r="L1049" s="249">
        <v>30618.0625</v>
      </c>
      <c r="M1049" s="249">
        <v>32761.326874999999</v>
      </c>
      <c r="N1049" s="249">
        <v>35054.619756249995</v>
      </c>
    </row>
    <row r="1051" spans="1:14" x14ac:dyDescent="0.25">
      <c r="C1051" t="s">
        <v>177</v>
      </c>
      <c r="D1051" s="67">
        <v>2588988</v>
      </c>
      <c r="E1051">
        <v>202828.71</v>
      </c>
      <c r="F1051">
        <v>0</v>
      </c>
      <c r="G1051">
        <v>1113056.1599999999</v>
      </c>
      <c r="H1051">
        <v>1475931.84</v>
      </c>
      <c r="I1051">
        <v>42.99</v>
      </c>
      <c r="J1051">
        <v>-14452.729999999981</v>
      </c>
      <c r="K1051" s="249">
        <v>2574535.27</v>
      </c>
      <c r="L1051" s="249">
        <v>2735443.7243750002</v>
      </c>
      <c r="M1051" s="249">
        <v>2926924.7850812497</v>
      </c>
      <c r="N1051" s="249">
        <v>3131809.5200369381</v>
      </c>
    </row>
    <row r="1053" spans="1:14" x14ac:dyDescent="0.25">
      <c r="C1053" t="s">
        <v>178</v>
      </c>
      <c r="D1053" s="67">
        <v>2588988</v>
      </c>
      <c r="E1053">
        <v>202828.71</v>
      </c>
      <c r="F1053">
        <v>0</v>
      </c>
      <c r="G1053">
        <v>1113056.1599999999</v>
      </c>
      <c r="H1053">
        <v>1475931.84</v>
      </c>
      <c r="I1053">
        <v>42.99</v>
      </c>
      <c r="J1053">
        <v>-14452.729999999981</v>
      </c>
      <c r="K1053" s="249">
        <v>2574535.27</v>
      </c>
      <c r="L1053" s="249">
        <v>2735443.7243750002</v>
      </c>
      <c r="M1053" s="249">
        <v>2926924.7850812497</v>
      </c>
      <c r="N1053" s="249">
        <v>3131809.5200369381</v>
      </c>
    </row>
    <row r="1055" spans="1:14" x14ac:dyDescent="0.25">
      <c r="C1055" t="s">
        <v>208</v>
      </c>
    </row>
    <row r="1057" spans="1:14" x14ac:dyDescent="0.25">
      <c r="C1057" t="s">
        <v>218</v>
      </c>
    </row>
    <row r="1059" spans="1:14" x14ac:dyDescent="0.25">
      <c r="A1059" t="s">
        <v>702</v>
      </c>
      <c r="C1059" t="s">
        <v>220</v>
      </c>
      <c r="D1059" s="67">
        <v>424278</v>
      </c>
      <c r="E1059">
        <v>91950.73</v>
      </c>
      <c r="F1059">
        <v>0</v>
      </c>
      <c r="G1059">
        <v>551704.38</v>
      </c>
      <c r="H1059">
        <v>339403.62</v>
      </c>
      <c r="I1059">
        <v>61.91</v>
      </c>
      <c r="J1059">
        <v>0</v>
      </c>
      <c r="K1059" s="249">
        <v>424278</v>
      </c>
      <c r="L1059" s="249">
        <v>443370.51</v>
      </c>
      <c r="M1059" s="249">
        <v>463765.55346000002</v>
      </c>
      <c r="N1059" s="249">
        <v>485098.76891916001</v>
      </c>
    </row>
    <row r="1061" spans="1:14" x14ac:dyDescent="0.25">
      <c r="C1061" t="s">
        <v>227</v>
      </c>
      <c r="D1061" s="67">
        <v>424278</v>
      </c>
      <c r="E1061">
        <v>23638.44</v>
      </c>
      <c r="F1061">
        <v>0</v>
      </c>
      <c r="G1061">
        <v>212544.28</v>
      </c>
      <c r="H1061">
        <v>211733.72</v>
      </c>
      <c r="I1061">
        <v>50.09</v>
      </c>
      <c r="J1061">
        <v>0</v>
      </c>
      <c r="K1061" s="249">
        <v>424278</v>
      </c>
      <c r="L1061" s="249">
        <v>443370.51</v>
      </c>
      <c r="M1061" s="249">
        <v>463765.55346000002</v>
      </c>
      <c r="N1061" s="249">
        <v>485098.76891916001</v>
      </c>
    </row>
    <row r="1063" spans="1:14" x14ac:dyDescent="0.25">
      <c r="C1063" t="s">
        <v>228</v>
      </c>
    </row>
    <row r="1065" spans="1:14" x14ac:dyDescent="0.25">
      <c r="C1065" t="s">
        <v>240</v>
      </c>
      <c r="D1065" s="67">
        <v>424278</v>
      </c>
      <c r="E1065">
        <v>23638.44</v>
      </c>
      <c r="F1065">
        <v>0</v>
      </c>
      <c r="G1065">
        <v>212544.28</v>
      </c>
      <c r="H1065">
        <v>211733.72</v>
      </c>
      <c r="I1065">
        <v>50.09</v>
      </c>
      <c r="J1065">
        <v>0</v>
      </c>
      <c r="K1065" s="249">
        <v>424278</v>
      </c>
      <c r="L1065" s="249">
        <v>443370.51</v>
      </c>
      <c r="M1065" s="249">
        <v>463765.55346000002</v>
      </c>
      <c r="N1065" s="249">
        <v>485098.76891916001</v>
      </c>
    </row>
    <row r="1067" spans="1:14" x14ac:dyDescent="0.25">
      <c r="C1067" t="s">
        <v>241</v>
      </c>
    </row>
    <row r="1069" spans="1:14" x14ac:dyDescent="0.25">
      <c r="A1069" t="s">
        <v>703</v>
      </c>
      <c r="C1069" t="s">
        <v>244</v>
      </c>
      <c r="D1069" s="67">
        <v>3000000</v>
      </c>
      <c r="E1069">
        <v>91950.73</v>
      </c>
      <c r="F1069">
        <v>0</v>
      </c>
      <c r="G1069">
        <v>551704.38</v>
      </c>
      <c r="H1069">
        <v>339403.62</v>
      </c>
      <c r="I1069">
        <v>61.91</v>
      </c>
      <c r="J1069">
        <v>0</v>
      </c>
      <c r="K1069" s="249">
        <v>3000000</v>
      </c>
      <c r="L1069" s="249">
        <v>3135000</v>
      </c>
      <c r="M1069" s="249">
        <v>3279210</v>
      </c>
      <c r="N1069" s="249">
        <v>3430053.66</v>
      </c>
    </row>
    <row r="1070" spans="1:14" x14ac:dyDescent="0.25">
      <c r="A1070" t="s">
        <v>704</v>
      </c>
      <c r="C1070" t="s">
        <v>257</v>
      </c>
      <c r="D1070" s="67">
        <v>790000</v>
      </c>
      <c r="E1070">
        <v>91950.73</v>
      </c>
      <c r="F1070">
        <v>0</v>
      </c>
      <c r="G1070">
        <v>551704.38</v>
      </c>
      <c r="H1070">
        <v>339403.62</v>
      </c>
      <c r="I1070">
        <v>61.91</v>
      </c>
      <c r="J1070">
        <v>0</v>
      </c>
      <c r="K1070" s="249">
        <v>790000</v>
      </c>
      <c r="L1070" s="249">
        <v>825550</v>
      </c>
      <c r="M1070" s="249">
        <v>863525.3</v>
      </c>
      <c r="N1070" s="249">
        <v>903247.46380000003</v>
      </c>
    </row>
    <row r="1071" spans="1:14" x14ac:dyDescent="0.25">
      <c r="A1071" t="s">
        <v>705</v>
      </c>
      <c r="C1071" t="s">
        <v>265</v>
      </c>
      <c r="D1071" s="67">
        <v>0</v>
      </c>
      <c r="E1071">
        <v>91950.73</v>
      </c>
      <c r="F1071">
        <v>0</v>
      </c>
      <c r="G1071">
        <v>551704.38</v>
      </c>
      <c r="H1071">
        <v>339403.62</v>
      </c>
      <c r="I1071">
        <v>61.91</v>
      </c>
      <c r="J1071">
        <v>20000</v>
      </c>
      <c r="K1071" s="249">
        <v>20000</v>
      </c>
      <c r="L1071" s="249">
        <v>20900</v>
      </c>
      <c r="M1071" s="249">
        <v>21861.4</v>
      </c>
      <c r="N1071" s="249">
        <v>22867.024400000002</v>
      </c>
    </row>
    <row r="1072" spans="1:14" x14ac:dyDescent="0.25">
      <c r="A1072" t="s">
        <v>706</v>
      </c>
      <c r="C1072" t="s">
        <v>268</v>
      </c>
      <c r="D1072" s="67">
        <v>0</v>
      </c>
      <c r="E1072">
        <v>91950.73</v>
      </c>
      <c r="F1072">
        <v>0</v>
      </c>
      <c r="G1072">
        <v>551704.38</v>
      </c>
      <c r="H1072">
        <v>339403.62</v>
      </c>
      <c r="I1072">
        <v>61.91</v>
      </c>
      <c r="J1072">
        <v>40000</v>
      </c>
      <c r="K1072" s="249">
        <v>40000</v>
      </c>
      <c r="L1072" s="249">
        <v>41800</v>
      </c>
      <c r="M1072" s="249">
        <v>43722.8</v>
      </c>
      <c r="N1072" s="249">
        <v>45734.048800000004</v>
      </c>
    </row>
    <row r="1074" spans="1:14" x14ac:dyDescent="0.25">
      <c r="C1074" t="s">
        <v>274</v>
      </c>
      <c r="D1074" s="67">
        <v>3790000</v>
      </c>
      <c r="E1074">
        <v>1349300.95</v>
      </c>
      <c r="F1074">
        <v>0</v>
      </c>
      <c r="G1074">
        <v>3276752.4</v>
      </c>
      <c r="H1074">
        <v>513247.6</v>
      </c>
      <c r="I1074">
        <v>86.45</v>
      </c>
      <c r="J1074">
        <v>60000</v>
      </c>
      <c r="K1074" s="249">
        <v>3850000</v>
      </c>
      <c r="L1074" s="249">
        <v>4023250</v>
      </c>
      <c r="M1074" s="249">
        <v>4208319.5</v>
      </c>
      <c r="N1074" s="249">
        <v>4401902.1970000006</v>
      </c>
    </row>
    <row r="1076" spans="1:14" x14ac:dyDescent="0.25">
      <c r="C1076" t="s">
        <v>290</v>
      </c>
    </row>
    <row r="1078" spans="1:14" x14ac:dyDescent="0.25">
      <c r="A1078" t="s">
        <v>707</v>
      </c>
      <c r="C1078" t="s">
        <v>292</v>
      </c>
      <c r="D1078" s="67">
        <v>11399</v>
      </c>
      <c r="E1078">
        <v>91950.73</v>
      </c>
      <c r="F1078">
        <v>0</v>
      </c>
      <c r="G1078">
        <v>551704.38</v>
      </c>
      <c r="H1078">
        <v>339403.62</v>
      </c>
      <c r="I1078">
        <v>61.91</v>
      </c>
      <c r="J1078">
        <v>0</v>
      </c>
      <c r="K1078" s="249">
        <v>11399</v>
      </c>
      <c r="L1078" s="249">
        <v>11911.955</v>
      </c>
      <c r="M1078" s="249">
        <v>12459.904930000001</v>
      </c>
      <c r="N1078" s="249">
        <v>13033.060556780001</v>
      </c>
    </row>
    <row r="1079" spans="1:14" x14ac:dyDescent="0.25">
      <c r="A1079" t="s">
        <v>708</v>
      </c>
      <c r="C1079" t="s">
        <v>293</v>
      </c>
      <c r="D1079" s="67">
        <v>2988</v>
      </c>
      <c r="E1079">
        <v>91950.73</v>
      </c>
      <c r="F1079">
        <v>0</v>
      </c>
      <c r="G1079">
        <v>551704.38</v>
      </c>
      <c r="H1079">
        <v>339403.62</v>
      </c>
      <c r="I1079">
        <v>61.91</v>
      </c>
      <c r="J1079">
        <v>0</v>
      </c>
      <c r="K1079" s="249">
        <v>2988</v>
      </c>
      <c r="L1079" s="249">
        <v>3122.46</v>
      </c>
      <c r="M1079" s="249">
        <v>3266.0931599999999</v>
      </c>
      <c r="N1079" s="249">
        <v>3416.33344536</v>
      </c>
    </row>
    <row r="1081" spans="1:14" x14ac:dyDescent="0.25">
      <c r="C1081" t="s">
        <v>304</v>
      </c>
      <c r="D1081" s="67">
        <v>14387</v>
      </c>
      <c r="E1081">
        <v>2105.1999999999998</v>
      </c>
      <c r="F1081">
        <v>0</v>
      </c>
      <c r="G1081">
        <v>5160.3599999999997</v>
      </c>
      <c r="H1081">
        <v>9226.64</v>
      </c>
      <c r="I1081">
        <v>35.86</v>
      </c>
      <c r="J1081">
        <v>0</v>
      </c>
      <c r="K1081" s="249">
        <v>14387</v>
      </c>
      <c r="L1081" s="249">
        <v>15034.415000000001</v>
      </c>
      <c r="M1081" s="249">
        <v>15725.998090000001</v>
      </c>
      <c r="N1081" s="249">
        <v>16449.394002140001</v>
      </c>
    </row>
    <row r="1083" spans="1:14" x14ac:dyDescent="0.25">
      <c r="C1083" t="s">
        <v>305</v>
      </c>
      <c r="D1083" s="67">
        <v>6817653</v>
      </c>
      <c r="E1083">
        <v>1577873.3</v>
      </c>
      <c r="F1083">
        <v>0</v>
      </c>
      <c r="G1083">
        <v>4607513.2</v>
      </c>
      <c r="H1083">
        <v>2210139.7999999998</v>
      </c>
      <c r="I1083">
        <v>67.58</v>
      </c>
      <c r="J1083">
        <v>45547.269999999553</v>
      </c>
      <c r="K1083" s="249">
        <v>6863200.2699999996</v>
      </c>
      <c r="L1083" s="249">
        <v>7217098.649375</v>
      </c>
      <c r="M1083" s="249">
        <v>7614735.8366312496</v>
      </c>
      <c r="N1083" s="249">
        <v>8035259.8799582385</v>
      </c>
    </row>
    <row r="1085" spans="1:14" x14ac:dyDescent="0.25">
      <c r="C1085" t="s">
        <v>306</v>
      </c>
      <c r="D1085" s="67">
        <v>6817653</v>
      </c>
      <c r="E1085">
        <v>1577873.3</v>
      </c>
      <c r="F1085">
        <v>0</v>
      </c>
      <c r="G1085">
        <v>4607513.2</v>
      </c>
      <c r="H1085">
        <v>2210139.7999999998</v>
      </c>
      <c r="I1085">
        <v>67.58</v>
      </c>
      <c r="J1085">
        <v>45547.269999999553</v>
      </c>
      <c r="K1085" s="249">
        <v>6863200.2699999996</v>
      </c>
      <c r="L1085" s="249">
        <v>7217098.649375</v>
      </c>
      <c r="M1085" s="249">
        <v>7614735.8366312496</v>
      </c>
      <c r="N1085" s="249">
        <v>8035259.8799582385</v>
      </c>
    </row>
    <row r="1087" spans="1:14" x14ac:dyDescent="0.25">
      <c r="C1087" t="s">
        <v>3038</v>
      </c>
    </row>
    <row r="1088" spans="1:14" x14ac:dyDescent="0.25">
      <c r="C1088" t="s">
        <v>3052</v>
      </c>
      <c r="D1088" s="67">
        <v>21522488</v>
      </c>
      <c r="E1088">
        <v>4879525.7</v>
      </c>
      <c r="F1088">
        <v>64825.02</v>
      </c>
      <c r="G1088">
        <v>14799738.620000001</v>
      </c>
      <c r="H1088">
        <v>8664422.379999999</v>
      </c>
      <c r="I1088">
        <v>297.44</v>
      </c>
      <c r="J1088">
        <v>-204956.43000000052</v>
      </c>
      <c r="K1088" s="249">
        <v>21317531.57</v>
      </c>
      <c r="L1088" s="249">
        <v>22463539.580625001</v>
      </c>
      <c r="M1088" s="249">
        <v>23778296.64286875</v>
      </c>
      <c r="N1088" s="249">
        <v>25194135.286163162</v>
      </c>
    </row>
    <row r="1089" spans="1:14" x14ac:dyDescent="0.25">
      <c r="C1089" t="s">
        <v>3053</v>
      </c>
      <c r="D1089" s="67">
        <v>150000</v>
      </c>
      <c r="E1089">
        <v>183901.46</v>
      </c>
      <c r="F1089">
        <v>0</v>
      </c>
      <c r="G1089">
        <v>1103408.76</v>
      </c>
      <c r="H1089">
        <v>678807.24</v>
      </c>
      <c r="I1089">
        <v>100</v>
      </c>
      <c r="J1089">
        <v>0</v>
      </c>
      <c r="K1089" s="249">
        <v>150000</v>
      </c>
      <c r="L1089" s="249">
        <v>950000</v>
      </c>
      <c r="M1089" s="249">
        <v>1050000</v>
      </c>
      <c r="N1089" s="249">
        <v>0</v>
      </c>
    </row>
    <row r="1091" spans="1:14" ht="30" x14ac:dyDescent="0.25">
      <c r="A1091" t="s">
        <v>0</v>
      </c>
      <c r="B1091" t="s">
        <v>1356</v>
      </c>
      <c r="C1091" t="s">
        <v>1</v>
      </c>
      <c r="D1091" s="67" t="s">
        <v>2</v>
      </c>
      <c r="E1091" t="s">
        <v>3</v>
      </c>
      <c r="F1091" t="s">
        <v>4</v>
      </c>
      <c r="G1091" t="s">
        <v>5</v>
      </c>
      <c r="H1091" t="s">
        <v>6</v>
      </c>
      <c r="I1091" t="s">
        <v>7</v>
      </c>
      <c r="J1091" t="s">
        <v>1322</v>
      </c>
      <c r="K1091" s="249" t="s">
        <v>3012</v>
      </c>
      <c r="L1091" s="249" t="s">
        <v>3013</v>
      </c>
      <c r="M1091" s="249" t="s">
        <v>3014</v>
      </c>
      <c r="N1091" s="249" t="s">
        <v>3015</v>
      </c>
    </row>
    <row r="1093" spans="1:14" x14ac:dyDescent="0.25">
      <c r="C1093" t="s">
        <v>709</v>
      </c>
    </row>
    <row r="1094" spans="1:14" x14ac:dyDescent="0.25">
      <c r="C1094" t="s">
        <v>96</v>
      </c>
    </row>
    <row r="1095" spans="1:14" x14ac:dyDescent="0.25">
      <c r="C1095" t="s">
        <v>97</v>
      </c>
    </row>
    <row r="1096" spans="1:14" x14ac:dyDescent="0.25">
      <c r="C1096" t="s">
        <v>148</v>
      </c>
    </row>
    <row r="1097" spans="1:14" x14ac:dyDescent="0.25">
      <c r="C1097" t="s">
        <v>149</v>
      </c>
    </row>
    <row r="1099" spans="1:14" x14ac:dyDescent="0.25">
      <c r="A1099" t="s">
        <v>710</v>
      </c>
      <c r="C1099" t="s">
        <v>150</v>
      </c>
      <c r="D1099" s="67">
        <v>1335043</v>
      </c>
      <c r="E1099">
        <v>65927.72</v>
      </c>
      <c r="F1099">
        <v>0</v>
      </c>
      <c r="G1099">
        <v>401539.33</v>
      </c>
      <c r="H1099">
        <v>933503.67</v>
      </c>
      <c r="I1099">
        <v>30.07</v>
      </c>
      <c r="J1099">
        <v>0</v>
      </c>
      <c r="K1099" s="249">
        <v>1335043</v>
      </c>
      <c r="L1099" s="249">
        <v>1418483.1875</v>
      </c>
      <c r="M1099" s="249">
        <v>1517777.0106250001</v>
      </c>
      <c r="N1099" s="249">
        <v>1624021.40136875</v>
      </c>
    </row>
    <row r="1100" spans="1:14" x14ac:dyDescent="0.25">
      <c r="A1100" t="s">
        <v>711</v>
      </c>
      <c r="C1100" t="s">
        <v>151</v>
      </c>
      <c r="D1100" s="67">
        <v>66752</v>
      </c>
      <c r="E1100">
        <v>65927.72</v>
      </c>
      <c r="F1100">
        <v>0</v>
      </c>
      <c r="G1100">
        <v>401539.33</v>
      </c>
      <c r="H1100">
        <v>933503.67</v>
      </c>
      <c r="I1100">
        <v>30.07</v>
      </c>
      <c r="J1100">
        <v>-41350.730000000003</v>
      </c>
      <c r="K1100" s="249">
        <v>25401.269999999997</v>
      </c>
      <c r="L1100" s="249">
        <v>26988.849374999998</v>
      </c>
      <c r="M1100" s="249">
        <v>28878.068831249999</v>
      </c>
      <c r="N1100" s="249">
        <v>30899.533649437497</v>
      </c>
    </row>
    <row r="1101" spans="1:14" x14ac:dyDescent="0.25">
      <c r="A1101" t="s">
        <v>712</v>
      </c>
      <c r="C1101" t="s">
        <v>152</v>
      </c>
      <c r="D1101" s="67">
        <v>66300</v>
      </c>
      <c r="E1101">
        <v>65927.72</v>
      </c>
      <c r="F1101">
        <v>0</v>
      </c>
      <c r="G1101">
        <v>401539.33</v>
      </c>
      <c r="H1101">
        <v>933503.67</v>
      </c>
      <c r="I1101">
        <v>30.07</v>
      </c>
      <c r="J1101">
        <v>0</v>
      </c>
      <c r="K1101" s="249">
        <v>66300</v>
      </c>
      <c r="L1101" s="249">
        <v>70443.75</v>
      </c>
      <c r="M1101" s="249">
        <v>75374.8125</v>
      </c>
      <c r="N1101" s="249">
        <v>80651.049375000002</v>
      </c>
    </row>
    <row r="1102" spans="1:14" x14ac:dyDescent="0.25">
      <c r="A1102" t="s">
        <v>713</v>
      </c>
      <c r="C1102" t="s">
        <v>153</v>
      </c>
      <c r="D1102" s="67">
        <v>10893</v>
      </c>
      <c r="E1102">
        <v>65927.72</v>
      </c>
      <c r="F1102">
        <v>0</v>
      </c>
      <c r="G1102">
        <v>401539.33</v>
      </c>
      <c r="H1102">
        <v>933503.67</v>
      </c>
      <c r="I1102">
        <v>30.07</v>
      </c>
      <c r="J1102">
        <v>0</v>
      </c>
      <c r="K1102" s="249">
        <v>10893</v>
      </c>
      <c r="L1102" s="249">
        <v>11573.8125</v>
      </c>
      <c r="M1102" s="249">
        <v>12383.979375000001</v>
      </c>
      <c r="N1102" s="249">
        <v>13250.857931250001</v>
      </c>
    </row>
    <row r="1103" spans="1:14" x14ac:dyDescent="0.25">
      <c r="A1103" t="s">
        <v>714</v>
      </c>
      <c r="C1103" t="s">
        <v>154</v>
      </c>
      <c r="D1103" s="67">
        <v>6420</v>
      </c>
      <c r="E1103">
        <v>65927.72</v>
      </c>
      <c r="F1103">
        <v>0</v>
      </c>
      <c r="G1103">
        <v>401539.33</v>
      </c>
      <c r="H1103">
        <v>933503.67</v>
      </c>
      <c r="I1103">
        <v>30.07</v>
      </c>
      <c r="J1103">
        <v>0</v>
      </c>
      <c r="K1103" s="249">
        <v>6420</v>
      </c>
      <c r="L1103" s="249">
        <v>6821.25</v>
      </c>
      <c r="M1103" s="249">
        <v>7298.7375000000002</v>
      </c>
      <c r="N1103" s="249">
        <v>7809.6491249999999</v>
      </c>
    </row>
    <row r="1104" spans="1:14" x14ac:dyDescent="0.25">
      <c r="A1104" t="s">
        <v>715</v>
      </c>
      <c r="C1104" t="s">
        <v>155</v>
      </c>
      <c r="D1104" s="67">
        <v>34278</v>
      </c>
      <c r="E1104">
        <v>65927.72</v>
      </c>
      <c r="F1104">
        <v>0</v>
      </c>
      <c r="G1104">
        <v>401539.33</v>
      </c>
      <c r="H1104">
        <v>933503.67</v>
      </c>
      <c r="I1104">
        <v>30.07</v>
      </c>
      <c r="J1104">
        <v>0</v>
      </c>
      <c r="K1104" s="249">
        <v>34278</v>
      </c>
      <c r="L1104" s="249">
        <v>36420.375</v>
      </c>
      <c r="M1104" s="249">
        <v>38969.801249999997</v>
      </c>
      <c r="N1104" s="249">
        <v>41697.6873375</v>
      </c>
    </row>
    <row r="1105" spans="1:14" x14ac:dyDescent="0.25">
      <c r="A1105" t="s">
        <v>716</v>
      </c>
      <c r="C1105" t="s">
        <v>156</v>
      </c>
      <c r="D1105" s="67">
        <v>219886</v>
      </c>
      <c r="E1105">
        <v>65927.72</v>
      </c>
      <c r="F1105">
        <v>0</v>
      </c>
      <c r="G1105">
        <v>401539.33</v>
      </c>
      <c r="H1105">
        <v>933503.67</v>
      </c>
      <c r="I1105">
        <v>30.07</v>
      </c>
      <c r="J1105">
        <v>0</v>
      </c>
      <c r="K1105" s="249">
        <v>219886</v>
      </c>
      <c r="L1105" s="249">
        <v>233628.875</v>
      </c>
      <c r="M1105" s="249">
        <v>249982.89624999999</v>
      </c>
      <c r="N1105" s="249">
        <v>267481.69898749999</v>
      </c>
    </row>
    <row r="1106" spans="1:14" x14ac:dyDescent="0.25">
      <c r="A1106" t="s">
        <v>717</v>
      </c>
      <c r="C1106" t="s">
        <v>157</v>
      </c>
      <c r="D1106" s="67">
        <v>15152</v>
      </c>
      <c r="E1106">
        <v>65927.72</v>
      </c>
      <c r="F1106">
        <v>0</v>
      </c>
      <c r="G1106">
        <v>401539.33</v>
      </c>
      <c r="H1106">
        <v>933503.67</v>
      </c>
      <c r="I1106">
        <v>30.07</v>
      </c>
      <c r="J1106">
        <v>-5152</v>
      </c>
      <c r="K1106" s="249">
        <v>10000</v>
      </c>
      <c r="L1106" s="249">
        <v>10625</v>
      </c>
      <c r="M1106" s="249">
        <v>11368.75</v>
      </c>
      <c r="N1106" s="249">
        <v>12164.5625</v>
      </c>
    </row>
    <row r="1107" spans="1:14" x14ac:dyDescent="0.25">
      <c r="A1107" t="s">
        <v>718</v>
      </c>
      <c r="C1107" t="s">
        <v>159</v>
      </c>
      <c r="D1107" s="67">
        <v>111254</v>
      </c>
      <c r="E1107">
        <v>65927.72</v>
      </c>
      <c r="F1107">
        <v>0</v>
      </c>
      <c r="G1107">
        <v>401539.33</v>
      </c>
      <c r="H1107">
        <v>933503.67</v>
      </c>
      <c r="I1107">
        <v>30.07</v>
      </c>
      <c r="J1107">
        <v>0</v>
      </c>
      <c r="K1107" s="249">
        <v>111254</v>
      </c>
      <c r="L1107" s="249">
        <v>118207.375</v>
      </c>
      <c r="M1107" s="249">
        <v>126481.89125</v>
      </c>
      <c r="N1107" s="249">
        <v>135335.62363749999</v>
      </c>
    </row>
    <row r="1108" spans="1:14" x14ac:dyDescent="0.25">
      <c r="A1108" t="s">
        <v>719</v>
      </c>
      <c r="C1108" t="s">
        <v>162</v>
      </c>
      <c r="D1108" s="67">
        <v>50926</v>
      </c>
      <c r="E1108">
        <v>65927.72</v>
      </c>
      <c r="F1108">
        <v>0</v>
      </c>
      <c r="G1108">
        <v>401539.33</v>
      </c>
      <c r="H1108">
        <v>933503.67</v>
      </c>
      <c r="I1108">
        <v>30.07</v>
      </c>
      <c r="J1108">
        <v>-25000</v>
      </c>
      <c r="K1108" s="249">
        <v>25926</v>
      </c>
      <c r="L1108" s="249">
        <v>27546.375</v>
      </c>
      <c r="M1108" s="249">
        <v>29474.62125</v>
      </c>
      <c r="N1108" s="249">
        <v>31537.8447375</v>
      </c>
    </row>
    <row r="1109" spans="1:14" x14ac:dyDescent="0.25">
      <c r="A1109" t="s">
        <v>720</v>
      </c>
      <c r="C1109" t="s">
        <v>164</v>
      </c>
      <c r="D1109" s="67">
        <v>15692</v>
      </c>
      <c r="E1109">
        <v>65927.72</v>
      </c>
      <c r="F1109">
        <v>0</v>
      </c>
      <c r="G1109">
        <v>401539.33</v>
      </c>
      <c r="H1109">
        <v>933503.67</v>
      </c>
      <c r="I1109">
        <v>30.07</v>
      </c>
      <c r="J1109">
        <v>0</v>
      </c>
      <c r="K1109" s="249">
        <v>15692</v>
      </c>
      <c r="L1109" s="249">
        <v>16672.75</v>
      </c>
      <c r="M1109" s="249">
        <v>17839.842499999999</v>
      </c>
      <c r="N1109" s="249">
        <v>19088.631474999998</v>
      </c>
    </row>
    <row r="1111" spans="1:14" x14ac:dyDescent="0.25">
      <c r="C1111" t="s">
        <v>165</v>
      </c>
      <c r="D1111" s="67">
        <v>1932596</v>
      </c>
      <c r="E1111">
        <v>725204.91999999981</v>
      </c>
      <c r="F1111">
        <v>0</v>
      </c>
      <c r="G1111">
        <v>4416932.63</v>
      </c>
      <c r="H1111">
        <v>10268540.370000001</v>
      </c>
      <c r="I1111">
        <v>27.69</v>
      </c>
      <c r="J1111">
        <v>-71502.729999999981</v>
      </c>
      <c r="K1111" s="249">
        <v>1861093.27</v>
      </c>
      <c r="L1111" s="249">
        <v>1977411.599375</v>
      </c>
      <c r="M1111" s="249">
        <v>2115830.4113312503</v>
      </c>
      <c r="N1111" s="249">
        <v>2263938.5401244378</v>
      </c>
    </row>
    <row r="1113" spans="1:14" x14ac:dyDescent="0.25">
      <c r="C1113" t="s">
        <v>166</v>
      </c>
      <c r="J1113">
        <v>0</v>
      </c>
    </row>
    <row r="1115" spans="1:14" x14ac:dyDescent="0.25">
      <c r="A1115" t="s">
        <v>721</v>
      </c>
      <c r="C1115" t="s">
        <v>167</v>
      </c>
      <c r="D1115" s="67">
        <v>449</v>
      </c>
      <c r="E1115">
        <v>65927.72</v>
      </c>
      <c r="F1115">
        <v>0</v>
      </c>
      <c r="G1115">
        <v>401539.33</v>
      </c>
      <c r="H1115">
        <v>933503.67</v>
      </c>
      <c r="I1115">
        <v>30.07</v>
      </c>
      <c r="J1115">
        <v>0</v>
      </c>
      <c r="K1115" s="249">
        <v>449</v>
      </c>
      <c r="L1115" s="249">
        <v>477.0625</v>
      </c>
      <c r="M1115" s="249">
        <v>510.45687499999997</v>
      </c>
      <c r="N1115" s="249">
        <v>546.18885624999996</v>
      </c>
    </row>
    <row r="1116" spans="1:14" x14ac:dyDescent="0.25">
      <c r="A1116" t="s">
        <v>722</v>
      </c>
      <c r="C1116" t="s">
        <v>168</v>
      </c>
      <c r="D1116" s="67">
        <v>107816</v>
      </c>
      <c r="E1116">
        <v>65927.72</v>
      </c>
      <c r="F1116">
        <v>0</v>
      </c>
      <c r="G1116">
        <v>401539.33</v>
      </c>
      <c r="H1116">
        <v>933503.67</v>
      </c>
      <c r="I1116">
        <v>30.07</v>
      </c>
      <c r="J1116">
        <v>0</v>
      </c>
      <c r="K1116" s="249">
        <v>107816</v>
      </c>
      <c r="L1116" s="249">
        <v>114554.5</v>
      </c>
      <c r="M1116" s="249">
        <v>122573.315</v>
      </c>
      <c r="N1116" s="249">
        <v>131153.44705000002</v>
      </c>
    </row>
    <row r="1117" spans="1:14" x14ac:dyDescent="0.25">
      <c r="A1117" t="s">
        <v>723</v>
      </c>
      <c r="C1117" t="s">
        <v>169</v>
      </c>
      <c r="D1117" s="67">
        <v>293709</v>
      </c>
      <c r="E1117">
        <v>65927.72</v>
      </c>
      <c r="F1117">
        <v>0</v>
      </c>
      <c r="G1117">
        <v>401539.33</v>
      </c>
      <c r="H1117">
        <v>933503.67</v>
      </c>
      <c r="I1117">
        <v>30.07</v>
      </c>
      <c r="J1117">
        <v>0</v>
      </c>
      <c r="K1117" s="249">
        <v>293709</v>
      </c>
      <c r="L1117" s="249">
        <v>312065.8125</v>
      </c>
      <c r="M1117" s="249">
        <v>333910.419375</v>
      </c>
      <c r="N1117" s="249">
        <v>357284.14873124997</v>
      </c>
    </row>
    <row r="1118" spans="1:14" x14ac:dyDescent="0.25">
      <c r="A1118" t="s">
        <v>724</v>
      </c>
      <c r="C1118" t="s">
        <v>170</v>
      </c>
      <c r="D1118" s="67">
        <v>7140</v>
      </c>
      <c r="E1118">
        <v>65927.72</v>
      </c>
      <c r="F1118">
        <v>0</v>
      </c>
      <c r="G1118">
        <v>401539.33</v>
      </c>
      <c r="H1118">
        <v>933503.67</v>
      </c>
      <c r="I1118">
        <v>30.07</v>
      </c>
      <c r="J1118">
        <v>0</v>
      </c>
      <c r="K1118" s="249">
        <v>7140</v>
      </c>
      <c r="L1118" s="249">
        <v>7586.25</v>
      </c>
      <c r="M1118" s="249">
        <v>8117.2875000000004</v>
      </c>
      <c r="N1118" s="249">
        <v>8685.497625</v>
      </c>
    </row>
    <row r="1120" spans="1:14" x14ac:dyDescent="0.25">
      <c r="C1120" t="s">
        <v>171</v>
      </c>
      <c r="D1120" s="67">
        <v>409114</v>
      </c>
      <c r="E1120">
        <v>263710.88</v>
      </c>
      <c r="F1120">
        <v>0</v>
      </c>
      <c r="G1120">
        <v>1606157.32</v>
      </c>
      <c r="H1120">
        <v>3734014.68</v>
      </c>
      <c r="I1120">
        <v>26.44</v>
      </c>
      <c r="J1120">
        <v>0</v>
      </c>
      <c r="K1120" s="249">
        <v>409114</v>
      </c>
      <c r="L1120" s="249">
        <v>434683.625</v>
      </c>
      <c r="M1120" s="249">
        <v>465111.47875000001</v>
      </c>
      <c r="N1120" s="249">
        <v>497669.28226249997</v>
      </c>
    </row>
    <row r="1122" spans="1:14" x14ac:dyDescent="0.25">
      <c r="C1122" t="s">
        <v>172</v>
      </c>
    </row>
    <row r="1124" spans="1:14" x14ac:dyDescent="0.25">
      <c r="A1124" t="s">
        <v>725</v>
      </c>
      <c r="C1124" t="s">
        <v>173</v>
      </c>
      <c r="D1124" s="67">
        <v>4606</v>
      </c>
      <c r="E1124">
        <v>65927.72</v>
      </c>
      <c r="F1124">
        <v>0</v>
      </c>
      <c r="G1124">
        <v>401539.33</v>
      </c>
      <c r="H1124">
        <v>933503.67</v>
      </c>
      <c r="I1124">
        <v>30.07</v>
      </c>
      <c r="J1124">
        <v>0</v>
      </c>
      <c r="K1124" s="249">
        <v>4606</v>
      </c>
      <c r="L1124" s="249">
        <v>4893.875</v>
      </c>
      <c r="M1124" s="249">
        <v>5236.44625</v>
      </c>
      <c r="N1124" s="249">
        <v>5602.9974874999998</v>
      </c>
    </row>
    <row r="1125" spans="1:14" x14ac:dyDescent="0.25">
      <c r="A1125" t="s">
        <v>726</v>
      </c>
      <c r="C1125" t="s">
        <v>174</v>
      </c>
      <c r="D1125" s="67">
        <v>7357</v>
      </c>
      <c r="E1125">
        <v>65927.72</v>
      </c>
      <c r="F1125">
        <v>0</v>
      </c>
      <c r="G1125">
        <v>401539.33</v>
      </c>
      <c r="H1125">
        <v>933503.67</v>
      </c>
      <c r="I1125">
        <v>30.07</v>
      </c>
      <c r="J1125">
        <v>0</v>
      </c>
      <c r="K1125" s="249">
        <v>7357</v>
      </c>
      <c r="L1125" s="249">
        <v>7816.8125</v>
      </c>
      <c r="M1125" s="249">
        <v>8363.9893749999992</v>
      </c>
      <c r="N1125" s="249">
        <v>8949.4686312499998</v>
      </c>
    </row>
    <row r="1126" spans="1:14" x14ac:dyDescent="0.25">
      <c r="A1126" t="s">
        <v>727</v>
      </c>
      <c r="C1126" t="s">
        <v>175</v>
      </c>
      <c r="D1126" s="67">
        <v>4920</v>
      </c>
      <c r="E1126">
        <v>65927.72</v>
      </c>
      <c r="F1126">
        <v>0</v>
      </c>
      <c r="G1126">
        <v>401539.33</v>
      </c>
      <c r="H1126">
        <v>933503.67</v>
      </c>
      <c r="I1126">
        <v>30.07</v>
      </c>
      <c r="J1126">
        <v>0</v>
      </c>
      <c r="K1126" s="249">
        <v>4920</v>
      </c>
      <c r="L1126" s="249">
        <v>5227.5</v>
      </c>
      <c r="M1126" s="249">
        <v>5593.4250000000002</v>
      </c>
      <c r="N1126" s="249">
        <v>5984.9647500000001</v>
      </c>
    </row>
    <row r="1128" spans="1:14" x14ac:dyDescent="0.25">
      <c r="C1128" t="s">
        <v>176</v>
      </c>
      <c r="D1128" s="67">
        <v>16883</v>
      </c>
      <c r="E1128">
        <v>197783.16</v>
      </c>
      <c r="F1128">
        <v>0</v>
      </c>
      <c r="G1128">
        <v>1204617.99</v>
      </c>
      <c r="H1128">
        <v>2800511.0100000002</v>
      </c>
      <c r="I1128">
        <v>0</v>
      </c>
      <c r="J1128">
        <v>0</v>
      </c>
      <c r="K1128" s="249">
        <v>16883</v>
      </c>
      <c r="L1128" s="249">
        <v>17938.1875</v>
      </c>
      <c r="M1128" s="249">
        <v>19193.860624999998</v>
      </c>
      <c r="N1128" s="249">
        <v>20537.430868749998</v>
      </c>
    </row>
    <row r="1130" spans="1:14" x14ac:dyDescent="0.25">
      <c r="C1130" t="s">
        <v>177</v>
      </c>
      <c r="D1130" s="67">
        <v>2358593</v>
      </c>
      <c r="E1130">
        <v>1186698.9599999997</v>
      </c>
      <c r="F1130">
        <v>0</v>
      </c>
      <c r="G1130">
        <v>7227707.9400000004</v>
      </c>
      <c r="H1130">
        <v>16803066.060000002</v>
      </c>
      <c r="I1130">
        <v>27.28</v>
      </c>
      <c r="J1130">
        <v>-71502.729999999981</v>
      </c>
      <c r="K1130" s="249">
        <v>2287090.27</v>
      </c>
      <c r="L1130" s="249">
        <v>2430033.4118750002</v>
      </c>
      <c r="M1130" s="249">
        <v>2600135.7507062503</v>
      </c>
      <c r="N1130" s="249">
        <v>2782145.2532556877</v>
      </c>
    </row>
    <row r="1132" spans="1:14" x14ac:dyDescent="0.25">
      <c r="C1132" t="s">
        <v>178</v>
      </c>
      <c r="D1132" s="67">
        <v>2358593</v>
      </c>
      <c r="E1132">
        <v>1186698.9599999997</v>
      </c>
      <c r="F1132">
        <v>0</v>
      </c>
      <c r="G1132">
        <v>7227707.9400000004</v>
      </c>
      <c r="H1132">
        <v>16803066.060000002</v>
      </c>
      <c r="I1132">
        <v>27.28</v>
      </c>
      <c r="J1132">
        <v>-71502.729999999981</v>
      </c>
      <c r="K1132" s="249">
        <v>2287090.27</v>
      </c>
      <c r="L1132" s="249">
        <v>2430033.4118750002</v>
      </c>
      <c r="M1132" s="249">
        <v>2600135.7507062503</v>
      </c>
      <c r="N1132" s="249">
        <v>2782145.2532556877</v>
      </c>
    </row>
    <row r="1134" spans="1:14" x14ac:dyDescent="0.25">
      <c r="C1134" t="s">
        <v>179</v>
      </c>
    </row>
    <row r="1136" spans="1:14" x14ac:dyDescent="0.25">
      <c r="C1136" t="s">
        <v>191</v>
      </c>
    </row>
    <row r="1138" spans="1:14" x14ac:dyDescent="0.25">
      <c r="A1138" t="s">
        <v>728</v>
      </c>
      <c r="C1138" t="s">
        <v>192</v>
      </c>
      <c r="D1138" s="67">
        <v>221423</v>
      </c>
      <c r="E1138">
        <v>65927.72</v>
      </c>
      <c r="F1138">
        <v>0</v>
      </c>
      <c r="G1138">
        <v>401539.33</v>
      </c>
      <c r="H1138">
        <v>933503.67</v>
      </c>
      <c r="I1138">
        <v>30.07</v>
      </c>
      <c r="J1138">
        <v>0</v>
      </c>
      <c r="K1138" s="249">
        <v>221423</v>
      </c>
      <c r="L1138" s="249">
        <v>235261.9375</v>
      </c>
      <c r="M1138" s="249">
        <v>251730.27312500001</v>
      </c>
      <c r="N1138" s="249">
        <v>269351.39224374999</v>
      </c>
    </row>
    <row r="1139" spans="1:14" x14ac:dyDescent="0.25">
      <c r="A1139" t="s">
        <v>729</v>
      </c>
      <c r="C1139" t="s">
        <v>193</v>
      </c>
      <c r="D1139" s="67">
        <v>664269</v>
      </c>
      <c r="E1139">
        <v>65927.72</v>
      </c>
      <c r="F1139">
        <v>0</v>
      </c>
      <c r="G1139">
        <v>401539.33</v>
      </c>
      <c r="H1139">
        <v>933503.67</v>
      </c>
      <c r="I1139">
        <v>30.07</v>
      </c>
      <c r="J1139">
        <v>0</v>
      </c>
      <c r="K1139" s="249">
        <v>664269</v>
      </c>
      <c r="L1139" s="249">
        <v>705785.8125</v>
      </c>
      <c r="M1139" s="249">
        <v>755190.81937499996</v>
      </c>
      <c r="N1139" s="249">
        <v>808054.17673125002</v>
      </c>
    </row>
    <row r="1140" spans="1:14" x14ac:dyDescent="0.25">
      <c r="A1140" t="s">
        <v>730</v>
      </c>
      <c r="C1140" t="s">
        <v>194</v>
      </c>
      <c r="D1140" s="67">
        <v>47508</v>
      </c>
      <c r="E1140">
        <v>65927.72</v>
      </c>
      <c r="F1140">
        <v>0</v>
      </c>
      <c r="G1140">
        <v>401539.33</v>
      </c>
      <c r="H1140">
        <v>933503.67</v>
      </c>
      <c r="I1140">
        <v>30.07</v>
      </c>
      <c r="J1140">
        <v>0</v>
      </c>
      <c r="K1140" s="249">
        <v>47508</v>
      </c>
      <c r="L1140" s="249">
        <v>50477.25</v>
      </c>
      <c r="M1140" s="249">
        <v>54010.657500000001</v>
      </c>
      <c r="N1140" s="249">
        <v>57791.403525000002</v>
      </c>
    </row>
    <row r="1142" spans="1:14" x14ac:dyDescent="0.25">
      <c r="C1142" t="s">
        <v>195</v>
      </c>
      <c r="D1142" s="67">
        <v>933200</v>
      </c>
      <c r="E1142">
        <v>197783.16</v>
      </c>
      <c r="F1142">
        <v>0</v>
      </c>
      <c r="G1142">
        <v>1204617.99</v>
      </c>
      <c r="H1142">
        <v>2800511.0100000002</v>
      </c>
      <c r="I1142">
        <v>90.210000000000008</v>
      </c>
      <c r="J1142">
        <v>0</v>
      </c>
      <c r="K1142" s="249">
        <v>933200</v>
      </c>
      <c r="L1142" s="249">
        <v>991525</v>
      </c>
      <c r="M1142" s="249">
        <v>1060931.75</v>
      </c>
      <c r="N1142" s="249">
        <v>1135196.9724999999</v>
      </c>
    </row>
    <row r="1144" spans="1:14" x14ac:dyDescent="0.25">
      <c r="C1144" t="s">
        <v>201</v>
      </c>
      <c r="J1144">
        <v>0</v>
      </c>
    </row>
    <row r="1146" spans="1:14" x14ac:dyDescent="0.25">
      <c r="A1146" t="s">
        <v>731</v>
      </c>
      <c r="C1146" t="s">
        <v>202</v>
      </c>
      <c r="D1146" s="67">
        <v>0</v>
      </c>
      <c r="E1146">
        <v>65927.72</v>
      </c>
      <c r="F1146">
        <v>0</v>
      </c>
      <c r="G1146">
        <v>401539.33</v>
      </c>
      <c r="H1146">
        <v>933503.67</v>
      </c>
      <c r="I1146">
        <v>30.07</v>
      </c>
      <c r="J1146">
        <v>0</v>
      </c>
      <c r="K1146" s="249">
        <v>0</v>
      </c>
      <c r="L1146" s="249">
        <v>0</v>
      </c>
      <c r="M1146" s="249">
        <v>0</v>
      </c>
    </row>
    <row r="1147" spans="1:14" x14ac:dyDescent="0.25">
      <c r="A1147" t="s">
        <v>732</v>
      </c>
      <c r="C1147" t="s">
        <v>203</v>
      </c>
      <c r="D1147" s="67">
        <v>0</v>
      </c>
      <c r="E1147">
        <v>65927.72</v>
      </c>
      <c r="F1147">
        <v>0</v>
      </c>
      <c r="G1147">
        <v>401539.33</v>
      </c>
      <c r="H1147">
        <v>933503.67</v>
      </c>
      <c r="I1147">
        <v>30.07</v>
      </c>
      <c r="J1147">
        <v>0</v>
      </c>
      <c r="K1147" s="249">
        <v>0</v>
      </c>
      <c r="L1147" s="249">
        <v>0</v>
      </c>
      <c r="M1147" s="249">
        <v>0</v>
      </c>
    </row>
    <row r="1148" spans="1:14" x14ac:dyDescent="0.25">
      <c r="A1148" t="s">
        <v>733</v>
      </c>
      <c r="C1148" t="s">
        <v>204</v>
      </c>
      <c r="D1148" s="67">
        <v>0</v>
      </c>
      <c r="E1148">
        <v>65927.72</v>
      </c>
      <c r="F1148">
        <v>0</v>
      </c>
      <c r="G1148">
        <v>401539.33</v>
      </c>
      <c r="H1148">
        <v>933503.67</v>
      </c>
      <c r="I1148">
        <v>30.07</v>
      </c>
      <c r="J1148">
        <v>0</v>
      </c>
      <c r="K1148" s="249">
        <v>0</v>
      </c>
      <c r="L1148" s="249">
        <v>0</v>
      </c>
      <c r="M1148" s="249">
        <v>0</v>
      </c>
    </row>
    <row r="1150" spans="1:14" x14ac:dyDescent="0.25">
      <c r="C1150" t="s">
        <v>205</v>
      </c>
      <c r="D1150" s="67">
        <v>0</v>
      </c>
      <c r="E1150">
        <v>197783.16</v>
      </c>
      <c r="F1150">
        <v>0</v>
      </c>
      <c r="G1150">
        <v>1204617.99</v>
      </c>
      <c r="H1150">
        <v>2800511.0100000002</v>
      </c>
      <c r="I1150">
        <v>0</v>
      </c>
      <c r="J1150">
        <v>0</v>
      </c>
      <c r="K1150" s="249">
        <v>0</v>
      </c>
      <c r="L1150" s="249">
        <v>0</v>
      </c>
      <c r="M1150" s="249">
        <v>0</v>
      </c>
    </row>
    <row r="1152" spans="1:14" x14ac:dyDescent="0.25">
      <c r="C1152" t="s">
        <v>206</v>
      </c>
      <c r="D1152" s="67">
        <v>933200</v>
      </c>
      <c r="E1152">
        <v>395566.32</v>
      </c>
      <c r="F1152">
        <v>0</v>
      </c>
      <c r="G1152">
        <v>2409235.98</v>
      </c>
      <c r="H1152">
        <v>5601022.0200000005</v>
      </c>
      <c r="I1152">
        <v>46.53</v>
      </c>
      <c r="J1152">
        <v>0</v>
      </c>
      <c r="K1152" s="249">
        <v>933200</v>
      </c>
      <c r="L1152" s="249">
        <v>991525</v>
      </c>
      <c r="M1152" s="249">
        <v>1060931.75</v>
      </c>
      <c r="N1152" s="249">
        <v>1135196.9724999999</v>
      </c>
    </row>
    <row r="1154" spans="1:14" x14ac:dyDescent="0.25">
      <c r="C1154" t="s">
        <v>207</v>
      </c>
      <c r="D1154" s="67">
        <v>933200</v>
      </c>
      <c r="E1154">
        <v>395566.32</v>
      </c>
      <c r="F1154">
        <v>0</v>
      </c>
      <c r="G1154">
        <v>2409235.98</v>
      </c>
      <c r="H1154">
        <v>5601022.0200000005</v>
      </c>
      <c r="I1154">
        <v>46.53</v>
      </c>
      <c r="J1154">
        <v>0</v>
      </c>
      <c r="K1154" s="249">
        <v>933200</v>
      </c>
      <c r="L1154" s="249">
        <v>991525</v>
      </c>
      <c r="M1154" s="249">
        <v>1060931.75</v>
      </c>
      <c r="N1154" s="249">
        <v>1135196.9724999999</v>
      </c>
    </row>
    <row r="1156" spans="1:14" x14ac:dyDescent="0.25">
      <c r="C1156" t="s">
        <v>208</v>
      </c>
      <c r="J1156">
        <v>0</v>
      </c>
    </row>
    <row r="1158" spans="1:14" x14ac:dyDescent="0.25">
      <c r="C1158" t="s">
        <v>209</v>
      </c>
      <c r="J1158">
        <v>0</v>
      </c>
    </row>
    <row r="1160" spans="1:14" x14ac:dyDescent="0.25">
      <c r="A1160" t="s">
        <v>734</v>
      </c>
      <c r="C1160" t="s">
        <v>214</v>
      </c>
      <c r="D1160" s="67">
        <v>49290</v>
      </c>
      <c r="E1160">
        <v>65927.72</v>
      </c>
      <c r="F1160">
        <v>0</v>
      </c>
      <c r="G1160">
        <v>401539.33</v>
      </c>
      <c r="H1160">
        <v>933503.67</v>
      </c>
      <c r="I1160">
        <v>30.07</v>
      </c>
      <c r="J1160">
        <v>0</v>
      </c>
      <c r="K1160" s="249">
        <v>49290</v>
      </c>
      <c r="L1160" s="249">
        <v>51508.05</v>
      </c>
      <c r="M1160" s="249">
        <v>53877.420300000005</v>
      </c>
      <c r="N1160" s="249">
        <v>56355.781633800005</v>
      </c>
    </row>
    <row r="1161" spans="1:14" x14ac:dyDescent="0.25">
      <c r="A1161" t="s">
        <v>735</v>
      </c>
      <c r="C1161" t="s">
        <v>214</v>
      </c>
      <c r="D1161" s="67">
        <v>129198</v>
      </c>
      <c r="E1161">
        <v>65927.72</v>
      </c>
      <c r="F1161">
        <v>0</v>
      </c>
      <c r="G1161">
        <v>401539.33</v>
      </c>
      <c r="H1161">
        <v>933503.67</v>
      </c>
      <c r="I1161">
        <v>30.07</v>
      </c>
      <c r="J1161">
        <v>-45000</v>
      </c>
      <c r="K1161" s="249">
        <v>84198</v>
      </c>
      <c r="L1161" s="249">
        <v>87986.91</v>
      </c>
      <c r="M1161" s="249">
        <v>92034.307860000001</v>
      </c>
      <c r="N1161" s="249">
        <v>96267.88602156</v>
      </c>
    </row>
    <row r="1162" spans="1:14" x14ac:dyDescent="0.25">
      <c r="A1162" t="s">
        <v>736</v>
      </c>
      <c r="C1162" t="s">
        <v>214</v>
      </c>
      <c r="D1162" s="67">
        <v>142582</v>
      </c>
      <c r="E1162">
        <v>65927.72</v>
      </c>
      <c r="F1162">
        <v>0</v>
      </c>
      <c r="G1162">
        <v>401539.33</v>
      </c>
      <c r="H1162">
        <v>933503.67</v>
      </c>
      <c r="I1162">
        <v>30.07</v>
      </c>
      <c r="J1162">
        <v>150000</v>
      </c>
      <c r="K1162" s="249">
        <v>292582</v>
      </c>
      <c r="L1162" s="249">
        <v>305748.19</v>
      </c>
      <c r="M1162" s="249">
        <v>319812.60674000002</v>
      </c>
      <c r="N1162" s="249">
        <v>334523.98665004002</v>
      </c>
    </row>
    <row r="1163" spans="1:14" x14ac:dyDescent="0.25">
      <c r="A1163" t="s">
        <v>737</v>
      </c>
      <c r="C1163" t="s">
        <v>214</v>
      </c>
      <c r="D1163" s="67">
        <v>149582</v>
      </c>
      <c r="E1163">
        <v>65927.72</v>
      </c>
      <c r="F1163">
        <v>0</v>
      </c>
      <c r="G1163">
        <v>401539.33</v>
      </c>
      <c r="H1163">
        <v>933503.67</v>
      </c>
      <c r="I1163">
        <v>30.07</v>
      </c>
      <c r="J1163">
        <v>20000</v>
      </c>
      <c r="K1163" s="249">
        <v>169582</v>
      </c>
      <c r="L1163" s="249">
        <v>177213.19</v>
      </c>
      <c r="M1163" s="249">
        <v>185364.99674</v>
      </c>
      <c r="N1163" s="249">
        <v>193891.78659003999</v>
      </c>
    </row>
    <row r="1164" spans="1:14" x14ac:dyDescent="0.25">
      <c r="A1164" t="s">
        <v>738</v>
      </c>
      <c r="C1164" t="s">
        <v>214</v>
      </c>
      <c r="D1164" s="67">
        <v>200689</v>
      </c>
      <c r="E1164">
        <v>65927.72</v>
      </c>
      <c r="F1164">
        <v>0</v>
      </c>
      <c r="G1164">
        <v>401539.33</v>
      </c>
      <c r="H1164">
        <v>933503.67</v>
      </c>
      <c r="I1164">
        <v>30.07</v>
      </c>
      <c r="J1164">
        <v>30000</v>
      </c>
      <c r="K1164" s="249">
        <v>230689</v>
      </c>
      <c r="L1164" s="249">
        <v>241070.005</v>
      </c>
      <c r="M1164" s="249">
        <v>252159.22523000001</v>
      </c>
      <c r="N1164" s="249">
        <v>263758.54959057999</v>
      </c>
    </row>
    <row r="1165" spans="1:14" x14ac:dyDescent="0.25">
      <c r="A1165" t="s">
        <v>739</v>
      </c>
      <c r="B1165" t="s">
        <v>3034</v>
      </c>
      <c r="C1165" t="s">
        <v>214</v>
      </c>
      <c r="D1165" s="67">
        <v>100000</v>
      </c>
      <c r="E1165">
        <v>65927.72</v>
      </c>
      <c r="F1165">
        <v>0</v>
      </c>
      <c r="G1165">
        <v>401539.33</v>
      </c>
      <c r="H1165">
        <v>933503.67</v>
      </c>
      <c r="I1165">
        <v>30.07</v>
      </c>
      <c r="J1165">
        <v>-22000</v>
      </c>
      <c r="K1165" s="249">
        <v>78000</v>
      </c>
      <c r="L1165" s="249">
        <v>81510</v>
      </c>
      <c r="M1165" s="249">
        <v>85259.46</v>
      </c>
      <c r="N1165" s="249">
        <v>89181.39516</v>
      </c>
    </row>
    <row r="1166" spans="1:14" x14ac:dyDescent="0.25">
      <c r="A1166" t="s">
        <v>740</v>
      </c>
      <c r="B1166" t="s">
        <v>3035</v>
      </c>
      <c r="C1166" t="s">
        <v>214</v>
      </c>
      <c r="D1166" s="67">
        <v>150406</v>
      </c>
      <c r="E1166">
        <v>65927.72</v>
      </c>
      <c r="F1166">
        <v>0</v>
      </c>
      <c r="G1166">
        <v>401539.33</v>
      </c>
      <c r="H1166">
        <v>933503.67</v>
      </c>
      <c r="I1166">
        <v>30.07</v>
      </c>
      <c r="J1166">
        <v>-7256</v>
      </c>
      <c r="K1166" s="249">
        <v>143150</v>
      </c>
      <c r="L1166" s="249">
        <v>149591.75</v>
      </c>
      <c r="M1166" s="249">
        <v>156472.9705</v>
      </c>
      <c r="N1166" s="249">
        <v>163670.727143</v>
      </c>
    </row>
    <row r="1168" spans="1:14" x14ac:dyDescent="0.25">
      <c r="C1168" t="s">
        <v>217</v>
      </c>
      <c r="D1168" s="67">
        <v>921747</v>
      </c>
      <c r="E1168">
        <v>461494.03999999992</v>
      </c>
      <c r="F1168">
        <v>0</v>
      </c>
      <c r="G1168">
        <v>2810775.31</v>
      </c>
      <c r="H1168">
        <v>6534525.6900000004</v>
      </c>
      <c r="I1168">
        <v>63.22</v>
      </c>
      <c r="J1168">
        <v>125744</v>
      </c>
      <c r="K1168" s="249">
        <v>1047491</v>
      </c>
      <c r="L1168" s="249">
        <v>1094628.0950000002</v>
      </c>
      <c r="M1168" s="249">
        <v>1144980.98737</v>
      </c>
      <c r="N1168" s="249">
        <v>1197650.1127890199</v>
      </c>
    </row>
    <row r="1170" spans="1:14" x14ac:dyDescent="0.25">
      <c r="C1170" t="s">
        <v>240</v>
      </c>
      <c r="D1170" s="67">
        <v>921747</v>
      </c>
      <c r="E1170">
        <v>461494.03999999992</v>
      </c>
      <c r="F1170">
        <v>0</v>
      </c>
      <c r="G1170">
        <v>2810775.31</v>
      </c>
      <c r="H1170">
        <v>6534525.6900000004</v>
      </c>
      <c r="I1170">
        <v>63.22</v>
      </c>
      <c r="J1170">
        <v>125744</v>
      </c>
      <c r="K1170" s="249">
        <v>1047491</v>
      </c>
      <c r="L1170" s="249">
        <v>1094628.0950000002</v>
      </c>
      <c r="M1170" s="249">
        <v>1144980.98737</v>
      </c>
      <c r="N1170" s="249">
        <v>1197650.1127890199</v>
      </c>
    </row>
    <row r="1172" spans="1:14" x14ac:dyDescent="0.25">
      <c r="C1172" t="s">
        <v>241</v>
      </c>
      <c r="J1172">
        <v>0</v>
      </c>
    </row>
    <row r="1174" spans="1:14" x14ac:dyDescent="0.25">
      <c r="A1174" t="s">
        <v>741</v>
      </c>
      <c r="C1174" t="s">
        <v>242</v>
      </c>
      <c r="D1174" s="67">
        <v>68920</v>
      </c>
      <c r="E1174">
        <v>65927.72</v>
      </c>
      <c r="F1174">
        <v>0</v>
      </c>
      <c r="G1174">
        <v>401539.33</v>
      </c>
      <c r="H1174">
        <v>933503.67</v>
      </c>
      <c r="I1174">
        <v>30.07</v>
      </c>
      <c r="J1174">
        <v>0</v>
      </c>
      <c r="K1174" s="249">
        <v>68920</v>
      </c>
      <c r="L1174" s="249">
        <v>72021.399999999994</v>
      </c>
      <c r="M1174" s="249">
        <v>75334.384399999995</v>
      </c>
      <c r="N1174" s="249">
        <v>78799.76608239999</v>
      </c>
    </row>
    <row r="1175" spans="1:14" x14ac:dyDescent="0.25">
      <c r="A1175" t="s">
        <v>742</v>
      </c>
      <c r="C1175" t="s">
        <v>253</v>
      </c>
      <c r="D1175" s="67">
        <v>2000</v>
      </c>
      <c r="E1175">
        <v>65927.72</v>
      </c>
      <c r="F1175">
        <v>0</v>
      </c>
      <c r="G1175">
        <v>401539.33</v>
      </c>
      <c r="H1175">
        <v>933503.67</v>
      </c>
      <c r="I1175">
        <v>30.07</v>
      </c>
      <c r="J1175">
        <v>0</v>
      </c>
      <c r="K1175" s="249">
        <v>2000</v>
      </c>
      <c r="L1175" s="249">
        <v>2090</v>
      </c>
      <c r="M1175" s="249">
        <v>2186.14</v>
      </c>
      <c r="N1175" s="249">
        <v>2286.70244</v>
      </c>
    </row>
    <row r="1176" spans="1:14" x14ac:dyDescent="0.25">
      <c r="A1176" t="s">
        <v>743</v>
      </c>
      <c r="C1176" t="s">
        <v>262</v>
      </c>
      <c r="D1176" s="67">
        <v>97801</v>
      </c>
      <c r="E1176">
        <v>65927.72</v>
      </c>
      <c r="F1176">
        <v>0</v>
      </c>
      <c r="G1176">
        <v>401539.33</v>
      </c>
      <c r="H1176">
        <v>933503.67</v>
      </c>
      <c r="I1176">
        <v>30.07</v>
      </c>
      <c r="J1176">
        <v>-97801</v>
      </c>
      <c r="K1176" s="249">
        <v>0</v>
      </c>
      <c r="L1176" s="249">
        <v>0</v>
      </c>
      <c r="M1176" s="249">
        <v>0</v>
      </c>
      <c r="N1176" s="249">
        <v>0</v>
      </c>
    </row>
    <row r="1177" spans="1:14" x14ac:dyDescent="0.25">
      <c r="A1177" t="s">
        <v>744</v>
      </c>
      <c r="C1177" t="s">
        <v>265</v>
      </c>
      <c r="D1177" s="67">
        <v>60606</v>
      </c>
      <c r="E1177">
        <v>65927.72</v>
      </c>
      <c r="F1177">
        <v>0</v>
      </c>
      <c r="G1177">
        <v>401539.33</v>
      </c>
      <c r="H1177">
        <v>933503.67</v>
      </c>
      <c r="I1177">
        <v>30.07</v>
      </c>
      <c r="J1177">
        <v>-4000</v>
      </c>
      <c r="K1177" s="249">
        <v>56606</v>
      </c>
      <c r="L1177" s="249">
        <v>59153.27</v>
      </c>
      <c r="M1177" s="249">
        <v>61874.320419999996</v>
      </c>
      <c r="N1177" s="249">
        <v>64720.539159319997</v>
      </c>
    </row>
    <row r="1178" spans="1:14" x14ac:dyDescent="0.25">
      <c r="A1178" t="s">
        <v>745</v>
      </c>
      <c r="C1178" t="s">
        <v>268</v>
      </c>
      <c r="D1178" s="67">
        <v>175152</v>
      </c>
      <c r="E1178">
        <v>65927.72</v>
      </c>
      <c r="F1178">
        <v>0</v>
      </c>
      <c r="G1178">
        <v>401539.33</v>
      </c>
      <c r="H1178">
        <v>933503.67</v>
      </c>
      <c r="I1178">
        <v>30.07</v>
      </c>
      <c r="J1178">
        <v>-80000</v>
      </c>
      <c r="K1178" s="249">
        <v>95152</v>
      </c>
      <c r="L1178" s="249">
        <v>99433.84</v>
      </c>
      <c r="M1178" s="249">
        <v>104007.79664</v>
      </c>
      <c r="N1178" s="249">
        <v>108792.15528544001</v>
      </c>
    </row>
    <row r="1179" spans="1:14" x14ac:dyDescent="0.25">
      <c r="A1179" t="s">
        <v>746</v>
      </c>
      <c r="C1179" t="s">
        <v>268</v>
      </c>
      <c r="D1179" s="67">
        <v>100000</v>
      </c>
      <c r="E1179">
        <v>65927.72</v>
      </c>
      <c r="F1179">
        <v>0</v>
      </c>
      <c r="G1179">
        <v>401539.33</v>
      </c>
      <c r="H1179">
        <v>933503.67</v>
      </c>
      <c r="I1179">
        <v>30.07</v>
      </c>
      <c r="J1179">
        <v>50000</v>
      </c>
      <c r="K1179" s="249">
        <v>150000</v>
      </c>
      <c r="L1179" s="249">
        <v>156750</v>
      </c>
      <c r="M1179" s="249">
        <v>163960.5</v>
      </c>
      <c r="N1179" s="249">
        <v>171502.68299999999</v>
      </c>
    </row>
    <row r="1180" spans="1:14" x14ac:dyDescent="0.25">
      <c r="A1180" t="s">
        <v>747</v>
      </c>
      <c r="C1180" t="s">
        <v>269</v>
      </c>
      <c r="D1180" s="67">
        <v>76320</v>
      </c>
      <c r="E1180">
        <v>65927.72</v>
      </c>
      <c r="F1180">
        <v>0</v>
      </c>
      <c r="G1180">
        <v>401539.33</v>
      </c>
      <c r="H1180">
        <v>933503.67</v>
      </c>
      <c r="I1180">
        <v>30.07</v>
      </c>
      <c r="J1180">
        <v>-20000</v>
      </c>
      <c r="K1180" s="249">
        <v>56320</v>
      </c>
      <c r="L1180" s="249">
        <v>58854.400000000001</v>
      </c>
      <c r="M1180" s="249">
        <v>61561.702400000002</v>
      </c>
      <c r="N1180" s="249">
        <v>64393.540710400004</v>
      </c>
    </row>
    <row r="1182" spans="1:14" x14ac:dyDescent="0.25">
      <c r="C1182" t="s">
        <v>274</v>
      </c>
      <c r="D1182" s="67">
        <v>580799</v>
      </c>
      <c r="E1182">
        <v>461494.03999999992</v>
      </c>
      <c r="F1182">
        <v>0</v>
      </c>
      <c r="G1182">
        <v>2810775.31</v>
      </c>
      <c r="H1182">
        <v>6534525.6900000004</v>
      </c>
      <c r="I1182">
        <v>22.66</v>
      </c>
      <c r="J1182">
        <v>-151801</v>
      </c>
      <c r="K1182" s="249">
        <v>428998</v>
      </c>
      <c r="L1182" s="249">
        <v>448302.91000000003</v>
      </c>
      <c r="M1182" s="249">
        <v>468924.84386000002</v>
      </c>
      <c r="N1182" s="249">
        <v>490495.38667755993</v>
      </c>
    </row>
    <row r="1184" spans="1:14" x14ac:dyDescent="0.25">
      <c r="C1184" t="s">
        <v>305</v>
      </c>
      <c r="D1184" s="67">
        <v>4794339</v>
      </c>
      <c r="E1184">
        <v>2505253.36</v>
      </c>
      <c r="F1184">
        <v>0</v>
      </c>
      <c r="G1184">
        <v>15258494.540000001</v>
      </c>
      <c r="H1184">
        <v>35473139.460000001</v>
      </c>
      <c r="I1184">
        <v>37.369999999999997</v>
      </c>
      <c r="J1184">
        <v>-97559.730000000447</v>
      </c>
      <c r="K1184" s="249">
        <v>4696779.2699999996</v>
      </c>
      <c r="L1184" s="249">
        <v>4964489.416875001</v>
      </c>
      <c r="M1184" s="249">
        <v>5274973.3319362504</v>
      </c>
      <c r="N1184" s="249">
        <v>5605487.7252222672</v>
      </c>
    </row>
    <row r="1186" spans="1:14" x14ac:dyDescent="0.25">
      <c r="C1186" t="s">
        <v>306</v>
      </c>
      <c r="D1186" s="67">
        <v>4794339</v>
      </c>
      <c r="E1186">
        <v>2505253.36</v>
      </c>
      <c r="F1186">
        <v>0</v>
      </c>
      <c r="G1186">
        <v>15258494.540000001</v>
      </c>
      <c r="H1186">
        <v>35473139.460000001</v>
      </c>
      <c r="I1186">
        <v>37.369999999999997</v>
      </c>
      <c r="J1186">
        <v>-97559.730000000447</v>
      </c>
      <c r="K1186" s="249">
        <v>4696779.2699999996</v>
      </c>
      <c r="L1186" s="249">
        <v>4964489.416875001</v>
      </c>
      <c r="M1186" s="249">
        <v>5274973.3319362504</v>
      </c>
      <c r="N1186" s="249">
        <v>5605487.7252222672</v>
      </c>
    </row>
    <row r="1188" spans="1:14" x14ac:dyDescent="0.25">
      <c r="C1188" t="s">
        <v>748</v>
      </c>
      <c r="J1188">
        <v>0</v>
      </c>
    </row>
    <row r="1189" spans="1:14" x14ac:dyDescent="0.25">
      <c r="C1189" t="s">
        <v>96</v>
      </c>
      <c r="J1189">
        <v>0</v>
      </c>
    </row>
    <row r="1190" spans="1:14" x14ac:dyDescent="0.25">
      <c r="C1190" t="s">
        <v>179</v>
      </c>
      <c r="J1190">
        <v>0</v>
      </c>
    </row>
    <row r="1191" spans="1:14" x14ac:dyDescent="0.25">
      <c r="C1191" t="s">
        <v>180</v>
      </c>
      <c r="J1191">
        <v>0</v>
      </c>
    </row>
    <row r="1192" spans="1:14" x14ac:dyDescent="0.25">
      <c r="C1192" t="s">
        <v>201</v>
      </c>
      <c r="J1192">
        <v>0</v>
      </c>
    </row>
    <row r="1194" spans="1:14" x14ac:dyDescent="0.25">
      <c r="A1194" t="s">
        <v>749</v>
      </c>
      <c r="C1194" t="s">
        <v>202</v>
      </c>
      <c r="D1194" s="67">
        <v>269777</v>
      </c>
      <c r="E1194">
        <v>65927.72</v>
      </c>
      <c r="F1194">
        <v>0</v>
      </c>
      <c r="G1194">
        <v>401539.33</v>
      </c>
      <c r="H1194">
        <v>933503.67</v>
      </c>
      <c r="I1194">
        <v>30.07</v>
      </c>
      <c r="J1194">
        <v>0</v>
      </c>
      <c r="K1194" s="249">
        <v>269777</v>
      </c>
      <c r="L1194" s="249">
        <v>286638.0625</v>
      </c>
      <c r="M1194" s="249">
        <v>306702.72687499999</v>
      </c>
      <c r="N1194" s="249">
        <v>328171.91775625001</v>
      </c>
    </row>
    <row r="1195" spans="1:14" x14ac:dyDescent="0.25">
      <c r="A1195" t="s">
        <v>750</v>
      </c>
      <c r="C1195" t="s">
        <v>203</v>
      </c>
      <c r="D1195" s="67">
        <v>809332</v>
      </c>
      <c r="E1195">
        <v>65927.72</v>
      </c>
      <c r="F1195">
        <v>0</v>
      </c>
      <c r="G1195">
        <v>401539.33</v>
      </c>
      <c r="H1195">
        <v>933503.67</v>
      </c>
      <c r="I1195">
        <v>30.07</v>
      </c>
      <c r="J1195">
        <v>0</v>
      </c>
      <c r="K1195" s="249">
        <v>809332</v>
      </c>
      <c r="L1195" s="249">
        <v>859915.25</v>
      </c>
      <c r="M1195" s="249">
        <v>920109.3175</v>
      </c>
      <c r="N1195" s="249">
        <v>984516.96972499997</v>
      </c>
    </row>
    <row r="1196" spans="1:14" x14ac:dyDescent="0.25">
      <c r="A1196" t="s">
        <v>751</v>
      </c>
      <c r="C1196" t="s">
        <v>204</v>
      </c>
      <c r="D1196" s="67">
        <v>136308</v>
      </c>
      <c r="E1196">
        <v>65927.72</v>
      </c>
      <c r="F1196">
        <v>0</v>
      </c>
      <c r="G1196">
        <v>401539.33</v>
      </c>
      <c r="H1196">
        <v>933503.67</v>
      </c>
      <c r="I1196">
        <v>30.07</v>
      </c>
      <c r="J1196">
        <v>0</v>
      </c>
      <c r="K1196" s="249">
        <v>136308</v>
      </c>
      <c r="L1196" s="249">
        <v>144827.25</v>
      </c>
      <c r="M1196" s="249">
        <v>154965.1575</v>
      </c>
      <c r="N1196" s="249">
        <v>165812.718525</v>
      </c>
    </row>
    <row r="1198" spans="1:14" x14ac:dyDescent="0.25">
      <c r="C1198" t="s">
        <v>205</v>
      </c>
      <c r="D1198" s="67">
        <v>1215417</v>
      </c>
      <c r="E1198">
        <v>197783.16</v>
      </c>
      <c r="F1198">
        <v>0</v>
      </c>
      <c r="G1198">
        <v>1204617.99</v>
      </c>
      <c r="H1198">
        <v>2800511.0100000002</v>
      </c>
      <c r="I1198">
        <v>0</v>
      </c>
      <c r="J1198">
        <v>0</v>
      </c>
      <c r="K1198" s="249">
        <v>1215417</v>
      </c>
      <c r="L1198" s="249">
        <v>1291380.5625</v>
      </c>
      <c r="M1198" s="249">
        <v>1381777.201875</v>
      </c>
      <c r="N1198" s="249">
        <v>1478501.6060062498</v>
      </c>
    </row>
    <row r="1200" spans="1:14" x14ac:dyDescent="0.25">
      <c r="C1200" t="s">
        <v>207</v>
      </c>
      <c r="D1200" s="67">
        <v>1215417</v>
      </c>
      <c r="E1200">
        <v>197783.16</v>
      </c>
      <c r="F1200">
        <v>0</v>
      </c>
      <c r="G1200">
        <v>1204617.99</v>
      </c>
      <c r="H1200">
        <v>2800511.0100000002</v>
      </c>
      <c r="I1200">
        <v>0</v>
      </c>
      <c r="J1200">
        <v>0</v>
      </c>
      <c r="K1200" s="249">
        <v>1215417</v>
      </c>
      <c r="L1200" s="249">
        <v>1291380.5625</v>
      </c>
      <c r="M1200" s="249">
        <v>1381777.201875</v>
      </c>
      <c r="N1200" s="249">
        <v>1478501.6060062498</v>
      </c>
    </row>
    <row r="1202" spans="1:14" x14ac:dyDescent="0.25">
      <c r="C1202" t="s">
        <v>241</v>
      </c>
      <c r="J1202">
        <v>0</v>
      </c>
    </row>
    <row r="1204" spans="1:14" x14ac:dyDescent="0.25">
      <c r="A1204" t="s">
        <v>752</v>
      </c>
      <c r="C1204" t="s">
        <v>268</v>
      </c>
      <c r="D1204" s="67">
        <v>50000</v>
      </c>
      <c r="E1204">
        <v>65927.72</v>
      </c>
      <c r="F1204">
        <v>0</v>
      </c>
      <c r="G1204">
        <v>401539.33</v>
      </c>
      <c r="H1204">
        <v>933503.67</v>
      </c>
      <c r="I1204">
        <v>30.07</v>
      </c>
      <c r="J1204">
        <v>-25000</v>
      </c>
      <c r="K1204" s="249">
        <v>25000</v>
      </c>
      <c r="L1204" s="249">
        <v>26125</v>
      </c>
      <c r="M1204" s="249">
        <v>27326.75</v>
      </c>
      <c r="N1204" s="249">
        <v>28583.780500000001</v>
      </c>
    </row>
    <row r="1206" spans="1:14" x14ac:dyDescent="0.25">
      <c r="C1206" t="s">
        <v>274</v>
      </c>
      <c r="D1206" s="67">
        <v>50000</v>
      </c>
      <c r="E1206">
        <v>65927.72</v>
      </c>
      <c r="F1206">
        <v>0</v>
      </c>
      <c r="G1206">
        <v>401539.33</v>
      </c>
      <c r="H1206">
        <v>933503.67</v>
      </c>
      <c r="I1206">
        <v>0</v>
      </c>
      <c r="J1206">
        <v>-25000</v>
      </c>
      <c r="K1206" s="249">
        <v>25000</v>
      </c>
      <c r="L1206" s="249">
        <v>26125</v>
      </c>
      <c r="M1206" s="249">
        <v>27326.75</v>
      </c>
      <c r="N1206" s="249">
        <v>28583.780500000001</v>
      </c>
    </row>
    <row r="1208" spans="1:14" x14ac:dyDescent="0.25">
      <c r="C1208" t="s">
        <v>305</v>
      </c>
      <c r="D1208" s="67">
        <v>1265417</v>
      </c>
      <c r="E1208">
        <v>263710.88</v>
      </c>
      <c r="F1208">
        <v>0</v>
      </c>
      <c r="G1208">
        <v>1606157.32</v>
      </c>
      <c r="H1208">
        <v>3734014.68</v>
      </c>
      <c r="I1208">
        <v>0</v>
      </c>
      <c r="J1208">
        <v>-25000</v>
      </c>
      <c r="K1208" s="249">
        <v>1240417</v>
      </c>
      <c r="L1208" s="249">
        <v>1317505.5625</v>
      </c>
      <c r="M1208" s="249">
        <v>1409103.951875</v>
      </c>
      <c r="N1208" s="249">
        <v>1507085.3865062499</v>
      </c>
    </row>
    <row r="1210" spans="1:14" x14ac:dyDescent="0.25">
      <c r="C1210" t="s">
        <v>306</v>
      </c>
      <c r="D1210" s="67">
        <v>1265417</v>
      </c>
      <c r="E1210">
        <v>263710.88</v>
      </c>
      <c r="F1210">
        <v>0</v>
      </c>
      <c r="G1210">
        <v>1606157.32</v>
      </c>
      <c r="H1210">
        <v>3734014.68</v>
      </c>
      <c r="I1210">
        <v>0</v>
      </c>
      <c r="J1210">
        <v>-25000</v>
      </c>
      <c r="K1210" s="249">
        <v>1240417</v>
      </c>
      <c r="L1210" s="249">
        <v>1317505.5625</v>
      </c>
      <c r="M1210" s="249">
        <v>1409103.951875</v>
      </c>
      <c r="N1210" s="249">
        <v>1507085.3865062499</v>
      </c>
    </row>
    <row r="1212" spans="1:14" x14ac:dyDescent="0.25">
      <c r="C1212" t="s">
        <v>753</v>
      </c>
      <c r="J1212">
        <v>0</v>
      </c>
    </row>
    <row r="1213" spans="1:14" x14ac:dyDescent="0.25">
      <c r="C1213" t="s">
        <v>96</v>
      </c>
      <c r="J1213">
        <v>0</v>
      </c>
    </row>
    <row r="1214" spans="1:14" x14ac:dyDescent="0.25">
      <c r="C1214" t="s">
        <v>97</v>
      </c>
      <c r="J1214">
        <v>0</v>
      </c>
    </row>
    <row r="1215" spans="1:14" x14ac:dyDescent="0.25">
      <c r="C1215" t="s">
        <v>148</v>
      </c>
      <c r="J1215">
        <v>0</v>
      </c>
    </row>
    <row r="1216" spans="1:14" x14ac:dyDescent="0.25">
      <c r="C1216" t="s">
        <v>149</v>
      </c>
      <c r="J1216">
        <v>0</v>
      </c>
    </row>
    <row r="1218" spans="1:14" x14ac:dyDescent="0.25">
      <c r="A1218" t="s">
        <v>754</v>
      </c>
      <c r="C1218" t="s">
        <v>150</v>
      </c>
      <c r="D1218" s="67">
        <v>200866</v>
      </c>
      <c r="E1218">
        <v>65927.72</v>
      </c>
      <c r="F1218">
        <v>0</v>
      </c>
      <c r="G1218">
        <v>401539.33</v>
      </c>
      <c r="H1218">
        <v>933503.67</v>
      </c>
      <c r="I1218">
        <v>30.07</v>
      </c>
      <c r="J1218">
        <v>0</v>
      </c>
      <c r="K1218" s="249">
        <v>200866</v>
      </c>
      <c r="L1218" s="249">
        <v>213420.125</v>
      </c>
      <c r="M1218" s="249">
        <v>228359.53375</v>
      </c>
      <c r="N1218" s="249">
        <v>244344.70111250001</v>
      </c>
    </row>
    <row r="1219" spans="1:14" x14ac:dyDescent="0.25">
      <c r="A1219" t="s">
        <v>755</v>
      </c>
      <c r="C1219" t="s">
        <v>151</v>
      </c>
      <c r="D1219" s="67">
        <v>10043</v>
      </c>
      <c r="E1219">
        <v>65927.72</v>
      </c>
      <c r="F1219">
        <v>0</v>
      </c>
      <c r="G1219">
        <v>401539.33</v>
      </c>
      <c r="H1219">
        <v>933503.67</v>
      </c>
      <c r="I1219">
        <v>30.07</v>
      </c>
      <c r="J1219">
        <v>-1575.9100000000017</v>
      </c>
      <c r="K1219" s="249">
        <v>8467.0899999999983</v>
      </c>
      <c r="L1219" s="249">
        <v>8996.2831249999981</v>
      </c>
      <c r="M1219" s="249">
        <v>9626.0229437499984</v>
      </c>
      <c r="N1219" s="249">
        <v>10299.844549812498</v>
      </c>
    </row>
    <row r="1220" spans="1:14" x14ac:dyDescent="0.25">
      <c r="A1220" t="s">
        <v>756</v>
      </c>
      <c r="C1220" t="s">
        <v>155</v>
      </c>
      <c r="D1220" s="67">
        <v>6666</v>
      </c>
      <c r="E1220">
        <v>65927.72</v>
      </c>
      <c r="F1220">
        <v>0</v>
      </c>
      <c r="G1220">
        <v>401539.33</v>
      </c>
      <c r="H1220">
        <v>933503.67</v>
      </c>
      <c r="I1220">
        <v>30.07</v>
      </c>
      <c r="J1220">
        <v>0</v>
      </c>
      <c r="K1220" s="249">
        <v>6666</v>
      </c>
      <c r="L1220" s="249">
        <v>7082.625</v>
      </c>
      <c r="M1220" s="249">
        <v>7578.4087499999996</v>
      </c>
      <c r="N1220" s="249">
        <v>8108.8973624999999</v>
      </c>
    </row>
    <row r="1221" spans="1:14" x14ac:dyDescent="0.25">
      <c r="A1221" t="s">
        <v>757</v>
      </c>
      <c r="C1221" t="s">
        <v>157</v>
      </c>
      <c r="D1221" s="67">
        <v>23939</v>
      </c>
      <c r="E1221">
        <v>65927.72</v>
      </c>
      <c r="F1221">
        <v>0</v>
      </c>
      <c r="G1221">
        <v>401539.33</v>
      </c>
      <c r="H1221">
        <v>933503.67</v>
      </c>
      <c r="I1221">
        <v>30.07</v>
      </c>
      <c r="J1221">
        <v>0</v>
      </c>
      <c r="K1221" s="249">
        <v>23939</v>
      </c>
      <c r="L1221" s="249">
        <v>25435.1875</v>
      </c>
      <c r="M1221" s="249">
        <v>27215.650624999998</v>
      </c>
      <c r="N1221" s="249">
        <v>29120.746168749996</v>
      </c>
    </row>
    <row r="1222" spans="1:14" x14ac:dyDescent="0.25">
      <c r="A1222" t="s">
        <v>758</v>
      </c>
      <c r="C1222" t="s">
        <v>159</v>
      </c>
      <c r="D1222" s="67">
        <v>16739</v>
      </c>
      <c r="E1222">
        <v>65927.72</v>
      </c>
      <c r="F1222">
        <v>0</v>
      </c>
      <c r="G1222">
        <v>401539.33</v>
      </c>
      <c r="H1222">
        <v>933503.67</v>
      </c>
      <c r="I1222">
        <v>30.07</v>
      </c>
      <c r="J1222">
        <v>0</v>
      </c>
      <c r="K1222" s="249">
        <v>16739</v>
      </c>
      <c r="L1222" s="249">
        <v>17785.1875</v>
      </c>
      <c r="M1222" s="249">
        <v>19030.150624999998</v>
      </c>
      <c r="N1222" s="249">
        <v>20362.261168749999</v>
      </c>
    </row>
    <row r="1223" spans="1:14" x14ac:dyDescent="0.25">
      <c r="A1223" t="s">
        <v>759</v>
      </c>
      <c r="C1223" t="s">
        <v>164</v>
      </c>
      <c r="D1223" s="67">
        <v>0</v>
      </c>
      <c r="E1223">
        <v>65927.72</v>
      </c>
      <c r="F1223">
        <v>0</v>
      </c>
      <c r="G1223">
        <v>401539.33</v>
      </c>
      <c r="H1223">
        <v>933503.67</v>
      </c>
      <c r="I1223">
        <v>30.07</v>
      </c>
      <c r="J1223">
        <v>12363.6</v>
      </c>
      <c r="K1223" s="249">
        <v>12363.6</v>
      </c>
      <c r="L1223" s="249">
        <v>13136.325000000001</v>
      </c>
      <c r="M1223" s="249">
        <v>14055.867750000001</v>
      </c>
      <c r="N1223" s="249">
        <v>15039.778492500001</v>
      </c>
    </row>
    <row r="1225" spans="1:14" x14ac:dyDescent="0.25">
      <c r="C1225" t="s">
        <v>165</v>
      </c>
      <c r="D1225" s="67">
        <v>258253</v>
      </c>
      <c r="E1225">
        <v>395566.31999999995</v>
      </c>
      <c r="F1225">
        <v>0</v>
      </c>
      <c r="G1225">
        <v>2409235.98</v>
      </c>
      <c r="H1225">
        <v>5601022.0200000005</v>
      </c>
      <c r="I1225">
        <v>50.08</v>
      </c>
      <c r="J1225">
        <v>10787.690000000002</v>
      </c>
      <c r="K1225" s="249">
        <v>269040.69</v>
      </c>
      <c r="L1225" s="249">
        <v>285855.73312499997</v>
      </c>
      <c r="M1225" s="249">
        <v>305865.63444374996</v>
      </c>
      <c r="N1225" s="249">
        <v>327276.22885481251</v>
      </c>
    </row>
    <row r="1227" spans="1:14" x14ac:dyDescent="0.25">
      <c r="C1227" t="s">
        <v>166</v>
      </c>
      <c r="J1227">
        <v>0</v>
      </c>
    </row>
    <row r="1229" spans="1:14" x14ac:dyDescent="0.25">
      <c r="A1229" t="s">
        <v>760</v>
      </c>
      <c r="C1229" t="s">
        <v>167</v>
      </c>
      <c r="D1229" s="67">
        <v>112</v>
      </c>
      <c r="E1229">
        <v>65927.72</v>
      </c>
      <c r="F1229">
        <v>0</v>
      </c>
      <c r="G1229">
        <v>401539.33</v>
      </c>
      <c r="H1229">
        <v>933503.67</v>
      </c>
      <c r="I1229">
        <v>30.07</v>
      </c>
      <c r="J1229">
        <v>0</v>
      </c>
      <c r="K1229" s="249">
        <v>112</v>
      </c>
      <c r="L1229" s="249">
        <v>119</v>
      </c>
      <c r="M1229" s="249">
        <v>127.33</v>
      </c>
      <c r="N1229" s="249">
        <v>136.2431</v>
      </c>
    </row>
    <row r="1230" spans="1:14" x14ac:dyDescent="0.25">
      <c r="A1230" t="s">
        <v>761</v>
      </c>
      <c r="C1230" t="s">
        <v>168</v>
      </c>
      <c r="D1230" s="67">
        <v>0</v>
      </c>
      <c r="E1230">
        <v>65927.72</v>
      </c>
      <c r="F1230">
        <v>0</v>
      </c>
      <c r="G1230">
        <v>401539.33</v>
      </c>
      <c r="H1230">
        <v>933503.67</v>
      </c>
      <c r="I1230">
        <v>30.07</v>
      </c>
      <c r="J1230">
        <v>0</v>
      </c>
      <c r="K1230" s="249">
        <v>0</v>
      </c>
      <c r="L1230" s="249">
        <v>0</v>
      </c>
      <c r="M1230" s="249">
        <v>0</v>
      </c>
      <c r="N1230" s="249">
        <v>0</v>
      </c>
    </row>
    <row r="1231" spans="1:14" x14ac:dyDescent="0.25">
      <c r="A1231" t="s">
        <v>762</v>
      </c>
      <c r="C1231" t="s">
        <v>169</v>
      </c>
      <c r="D1231" s="67">
        <v>44190</v>
      </c>
      <c r="E1231">
        <v>65927.72</v>
      </c>
      <c r="F1231">
        <v>0</v>
      </c>
      <c r="G1231">
        <v>401539.33</v>
      </c>
      <c r="H1231">
        <v>933503.67</v>
      </c>
      <c r="I1231">
        <v>30.07</v>
      </c>
      <c r="J1231">
        <v>0</v>
      </c>
      <c r="K1231" s="249">
        <v>44190</v>
      </c>
      <c r="L1231" s="249">
        <v>46951.875</v>
      </c>
      <c r="M1231" s="249">
        <v>50238.506249999999</v>
      </c>
      <c r="N1231" s="249">
        <v>53755.201687499997</v>
      </c>
    </row>
    <row r="1232" spans="1:14" x14ac:dyDescent="0.25">
      <c r="A1232" t="s">
        <v>763</v>
      </c>
      <c r="C1232" t="s">
        <v>170</v>
      </c>
      <c r="D1232" s="67">
        <v>1785</v>
      </c>
      <c r="E1232">
        <v>65927.72</v>
      </c>
      <c r="F1232">
        <v>0</v>
      </c>
      <c r="G1232">
        <v>401539.33</v>
      </c>
      <c r="H1232">
        <v>933503.67</v>
      </c>
      <c r="I1232">
        <v>30.07</v>
      </c>
      <c r="J1232">
        <v>0</v>
      </c>
      <c r="K1232" s="249">
        <v>1785</v>
      </c>
      <c r="L1232" s="249">
        <v>1896.5625</v>
      </c>
      <c r="M1232" s="249">
        <v>2029.3218750000001</v>
      </c>
      <c r="N1232" s="249">
        <v>2171.37440625</v>
      </c>
    </row>
    <row r="1234" spans="1:14" x14ac:dyDescent="0.25">
      <c r="C1234" t="s">
        <v>171</v>
      </c>
      <c r="D1234" s="67">
        <v>46087</v>
      </c>
      <c r="E1234">
        <v>263710.88</v>
      </c>
      <c r="F1234">
        <v>0</v>
      </c>
      <c r="G1234">
        <v>1606157.32</v>
      </c>
      <c r="H1234">
        <v>3734014.68</v>
      </c>
      <c r="I1234">
        <v>58.19</v>
      </c>
      <c r="J1234">
        <v>0</v>
      </c>
      <c r="K1234" s="249">
        <v>46087</v>
      </c>
      <c r="L1234" s="249">
        <v>48967.4375</v>
      </c>
      <c r="M1234" s="249">
        <v>52395.158125000002</v>
      </c>
      <c r="N1234" s="249">
        <v>56062.819193749994</v>
      </c>
    </row>
    <row r="1236" spans="1:14" x14ac:dyDescent="0.25">
      <c r="C1236" t="s">
        <v>177</v>
      </c>
      <c r="D1236" s="67">
        <v>304340</v>
      </c>
      <c r="E1236">
        <v>659277.19999999995</v>
      </c>
      <c r="F1236">
        <v>0</v>
      </c>
      <c r="G1236">
        <v>4015393.3</v>
      </c>
      <c r="H1236">
        <v>9335036.7000000011</v>
      </c>
      <c r="I1236">
        <v>51.31</v>
      </c>
      <c r="J1236">
        <v>10787.690000000002</v>
      </c>
      <c r="K1236" s="249">
        <v>315127.69</v>
      </c>
      <c r="L1236" s="249">
        <v>334823.17062499997</v>
      </c>
      <c r="M1236" s="249">
        <v>358260.79256874998</v>
      </c>
      <c r="N1236" s="249">
        <v>383339.04804856249</v>
      </c>
    </row>
    <row r="1238" spans="1:14" x14ac:dyDescent="0.25">
      <c r="C1238" t="s">
        <v>178</v>
      </c>
      <c r="D1238" s="67">
        <v>304340</v>
      </c>
      <c r="E1238">
        <v>659277.19999999995</v>
      </c>
      <c r="F1238">
        <v>0</v>
      </c>
      <c r="G1238">
        <v>4015393.3</v>
      </c>
      <c r="H1238">
        <v>9335036.7000000011</v>
      </c>
      <c r="I1238">
        <v>51.31</v>
      </c>
      <c r="J1238">
        <v>10787.690000000002</v>
      </c>
      <c r="K1238" s="249">
        <v>315127.69</v>
      </c>
      <c r="L1238" s="249">
        <v>334823.17062499997</v>
      </c>
      <c r="M1238" s="249">
        <v>358260.79256874998</v>
      </c>
      <c r="N1238" s="249">
        <v>383339.04804856249</v>
      </c>
    </row>
    <row r="1240" spans="1:14" x14ac:dyDescent="0.25">
      <c r="C1240" t="s">
        <v>179</v>
      </c>
      <c r="J1240">
        <v>0</v>
      </c>
    </row>
    <row r="1242" spans="1:14" x14ac:dyDescent="0.25">
      <c r="C1242" t="s">
        <v>181</v>
      </c>
      <c r="J1242">
        <v>0</v>
      </c>
    </row>
    <row r="1244" spans="1:14" x14ac:dyDescent="0.25">
      <c r="A1244" t="s">
        <v>764</v>
      </c>
      <c r="C1244" t="s">
        <v>182</v>
      </c>
      <c r="D1244" s="67">
        <v>177139</v>
      </c>
      <c r="E1244">
        <v>65927.72</v>
      </c>
      <c r="F1244">
        <v>0</v>
      </c>
      <c r="G1244">
        <v>401539.33</v>
      </c>
      <c r="H1244">
        <v>933503.67</v>
      </c>
      <c r="I1244">
        <v>30.07</v>
      </c>
      <c r="J1244">
        <v>0</v>
      </c>
      <c r="K1244" s="249">
        <v>177139</v>
      </c>
      <c r="L1244" s="249">
        <v>188210.1875</v>
      </c>
      <c r="M1244" s="249">
        <v>201384.90062500001</v>
      </c>
      <c r="N1244" s="249">
        <v>215481.84366875002</v>
      </c>
    </row>
    <row r="1245" spans="1:14" x14ac:dyDescent="0.25">
      <c r="A1245" t="s">
        <v>765</v>
      </c>
      <c r="C1245" t="s">
        <v>183</v>
      </c>
      <c r="D1245" s="67">
        <v>531416</v>
      </c>
      <c r="E1245">
        <v>65927.72</v>
      </c>
      <c r="F1245">
        <v>0</v>
      </c>
      <c r="G1245">
        <v>401539.33</v>
      </c>
      <c r="H1245">
        <v>933503.67</v>
      </c>
      <c r="I1245">
        <v>30.07</v>
      </c>
      <c r="J1245">
        <v>0</v>
      </c>
      <c r="K1245" s="249">
        <v>531416</v>
      </c>
      <c r="L1245" s="249">
        <v>564629.5</v>
      </c>
      <c r="M1245" s="249">
        <v>604153.56499999994</v>
      </c>
      <c r="N1245" s="249">
        <v>646444.31454999989</v>
      </c>
    </row>
    <row r="1246" spans="1:14" x14ac:dyDescent="0.25">
      <c r="A1246" t="s">
        <v>766</v>
      </c>
      <c r="C1246" t="s">
        <v>184</v>
      </c>
      <c r="D1246" s="67">
        <v>47508</v>
      </c>
      <c r="E1246">
        <v>65927.72</v>
      </c>
      <c r="F1246">
        <v>0</v>
      </c>
      <c r="G1246">
        <v>401539.33</v>
      </c>
      <c r="H1246">
        <v>933503.67</v>
      </c>
      <c r="I1246">
        <v>30.07</v>
      </c>
      <c r="J1246">
        <v>0</v>
      </c>
      <c r="K1246" s="249">
        <v>47508</v>
      </c>
      <c r="L1246" s="249">
        <v>50477.25</v>
      </c>
      <c r="M1246" s="249">
        <v>54010.657500000001</v>
      </c>
      <c r="N1246" s="249">
        <v>57791.403525000002</v>
      </c>
    </row>
    <row r="1248" spans="1:14" x14ac:dyDescent="0.25">
      <c r="C1248" t="s">
        <v>185</v>
      </c>
      <c r="D1248" s="67">
        <v>756063</v>
      </c>
      <c r="E1248">
        <v>197783.16</v>
      </c>
      <c r="F1248">
        <v>0</v>
      </c>
      <c r="G1248">
        <v>1204617.99</v>
      </c>
      <c r="H1248">
        <v>2800511.0100000002</v>
      </c>
      <c r="I1248">
        <v>0</v>
      </c>
      <c r="J1248">
        <v>0</v>
      </c>
      <c r="K1248" s="249">
        <v>756063</v>
      </c>
      <c r="L1248" s="249">
        <v>803316.9375</v>
      </c>
      <c r="M1248" s="249">
        <v>859549.12312499993</v>
      </c>
      <c r="N1248" s="249">
        <v>919717.56174374989</v>
      </c>
    </row>
    <row r="1250" spans="1:14" x14ac:dyDescent="0.25">
      <c r="C1250" t="s">
        <v>201</v>
      </c>
      <c r="J1250">
        <v>0</v>
      </c>
    </row>
    <row r="1252" spans="1:14" x14ac:dyDescent="0.25">
      <c r="A1252" t="s">
        <v>767</v>
      </c>
      <c r="C1252" t="s">
        <v>202</v>
      </c>
      <c r="D1252" s="67">
        <v>0</v>
      </c>
      <c r="E1252">
        <v>65927.72</v>
      </c>
      <c r="F1252">
        <v>0</v>
      </c>
      <c r="G1252">
        <v>401539.33</v>
      </c>
      <c r="H1252">
        <v>933503.67</v>
      </c>
      <c r="I1252">
        <v>30.07</v>
      </c>
      <c r="J1252">
        <v>0</v>
      </c>
      <c r="K1252" s="249">
        <v>0</v>
      </c>
      <c r="L1252" s="249">
        <v>0</v>
      </c>
      <c r="M1252" s="249">
        <v>0</v>
      </c>
    </row>
    <row r="1253" spans="1:14" x14ac:dyDescent="0.25">
      <c r="A1253" t="s">
        <v>768</v>
      </c>
      <c r="C1253" t="s">
        <v>203</v>
      </c>
      <c r="D1253" s="67">
        <v>0</v>
      </c>
      <c r="E1253">
        <v>65927.72</v>
      </c>
      <c r="F1253">
        <v>0</v>
      </c>
      <c r="G1253">
        <v>401539.33</v>
      </c>
      <c r="H1253">
        <v>933503.67</v>
      </c>
      <c r="I1253">
        <v>30.07</v>
      </c>
      <c r="J1253">
        <v>0</v>
      </c>
      <c r="K1253" s="249">
        <v>0</v>
      </c>
      <c r="L1253" s="249">
        <v>0</v>
      </c>
      <c r="M1253" s="249">
        <v>0</v>
      </c>
    </row>
    <row r="1254" spans="1:14" x14ac:dyDescent="0.25">
      <c r="A1254" t="s">
        <v>769</v>
      </c>
      <c r="C1254" t="s">
        <v>204</v>
      </c>
      <c r="D1254" s="67">
        <v>0</v>
      </c>
      <c r="E1254">
        <v>65927.72</v>
      </c>
      <c r="F1254">
        <v>0</v>
      </c>
      <c r="G1254">
        <v>401539.33</v>
      </c>
      <c r="H1254">
        <v>933503.67</v>
      </c>
      <c r="I1254">
        <v>30.07</v>
      </c>
      <c r="J1254">
        <v>0</v>
      </c>
      <c r="K1254" s="249">
        <v>0</v>
      </c>
      <c r="L1254" s="249">
        <v>0</v>
      </c>
      <c r="M1254" s="249">
        <v>0</v>
      </c>
    </row>
    <row r="1256" spans="1:14" x14ac:dyDescent="0.25">
      <c r="C1256" t="s">
        <v>205</v>
      </c>
      <c r="D1256" s="67">
        <v>0</v>
      </c>
      <c r="E1256">
        <v>197783.16</v>
      </c>
      <c r="F1256">
        <v>0</v>
      </c>
      <c r="G1256">
        <v>1204617.99</v>
      </c>
      <c r="H1256">
        <v>2800511.0100000002</v>
      </c>
      <c r="I1256">
        <v>0</v>
      </c>
      <c r="J1256">
        <v>0</v>
      </c>
      <c r="K1256" s="249">
        <v>0</v>
      </c>
      <c r="L1256" s="249">
        <v>0</v>
      </c>
      <c r="M1256" s="249">
        <v>0</v>
      </c>
    </row>
    <row r="1258" spans="1:14" x14ac:dyDescent="0.25">
      <c r="C1258" t="s">
        <v>206</v>
      </c>
      <c r="D1258" s="67">
        <v>756063</v>
      </c>
      <c r="E1258">
        <v>395566.32</v>
      </c>
      <c r="F1258">
        <v>0</v>
      </c>
      <c r="G1258">
        <v>2409235.98</v>
      </c>
      <c r="H1258">
        <v>5601022.0200000005</v>
      </c>
      <c r="I1258">
        <v>46.49</v>
      </c>
      <c r="J1258">
        <v>0</v>
      </c>
      <c r="K1258" s="249">
        <v>756063</v>
      </c>
      <c r="L1258" s="249">
        <v>803316.9375</v>
      </c>
      <c r="M1258" s="249">
        <v>859549.12312499993</v>
      </c>
      <c r="N1258" s="249">
        <v>919717.56174374989</v>
      </c>
    </row>
    <row r="1260" spans="1:14" x14ac:dyDescent="0.25">
      <c r="C1260" t="s">
        <v>207</v>
      </c>
      <c r="D1260" s="67">
        <v>756063</v>
      </c>
      <c r="E1260">
        <v>395566.32</v>
      </c>
      <c r="F1260">
        <v>0</v>
      </c>
      <c r="G1260">
        <v>2409235.98</v>
      </c>
      <c r="H1260">
        <v>5601022.0200000005</v>
      </c>
      <c r="I1260">
        <v>46.49</v>
      </c>
      <c r="J1260">
        <v>0</v>
      </c>
      <c r="K1260" s="249">
        <v>756063</v>
      </c>
      <c r="L1260" s="249">
        <v>803316.9375</v>
      </c>
      <c r="M1260" s="249">
        <v>859549.12312499993</v>
      </c>
      <c r="N1260" s="249">
        <v>919717.56174374989</v>
      </c>
    </row>
    <row r="1262" spans="1:14" x14ac:dyDescent="0.25">
      <c r="C1262" t="s">
        <v>241</v>
      </c>
      <c r="J1262">
        <v>0</v>
      </c>
    </row>
    <row r="1264" spans="1:14" x14ac:dyDescent="0.25">
      <c r="A1264" t="s">
        <v>770</v>
      </c>
      <c r="C1264" t="s">
        <v>253</v>
      </c>
      <c r="D1264" s="67">
        <v>2000</v>
      </c>
      <c r="E1264">
        <v>65927.72</v>
      </c>
      <c r="F1264">
        <v>0</v>
      </c>
      <c r="G1264">
        <v>401539.33</v>
      </c>
      <c r="H1264">
        <v>933503.67</v>
      </c>
      <c r="I1264">
        <v>30.07</v>
      </c>
      <c r="J1264">
        <v>0</v>
      </c>
      <c r="K1264" s="249">
        <v>2000</v>
      </c>
      <c r="L1264" s="249">
        <v>2000</v>
      </c>
      <c r="M1264" s="249">
        <v>2000</v>
      </c>
      <c r="N1264" s="249">
        <v>2000</v>
      </c>
    </row>
    <row r="1265" spans="1:14" x14ac:dyDescent="0.25">
      <c r="A1265" t="s">
        <v>771</v>
      </c>
      <c r="C1265" t="s">
        <v>265</v>
      </c>
      <c r="D1265" s="67">
        <v>0</v>
      </c>
      <c r="E1265">
        <v>65927.72</v>
      </c>
      <c r="F1265">
        <v>0</v>
      </c>
      <c r="G1265">
        <v>401539.33</v>
      </c>
      <c r="H1265">
        <v>933503.67</v>
      </c>
      <c r="I1265">
        <v>30.07</v>
      </c>
      <c r="J1265">
        <v>8000</v>
      </c>
      <c r="K1265" s="249">
        <v>8000</v>
      </c>
      <c r="L1265" s="249">
        <v>8360</v>
      </c>
      <c r="M1265" s="249">
        <v>8744.56</v>
      </c>
      <c r="N1265" s="249">
        <v>9146.8097600000001</v>
      </c>
    </row>
    <row r="1266" spans="1:14" x14ac:dyDescent="0.25">
      <c r="A1266" t="s">
        <v>772</v>
      </c>
      <c r="C1266" t="s">
        <v>268</v>
      </c>
      <c r="D1266" s="67">
        <v>85032</v>
      </c>
      <c r="E1266">
        <v>65927.72</v>
      </c>
      <c r="F1266">
        <v>0</v>
      </c>
      <c r="G1266">
        <v>401539.33</v>
      </c>
      <c r="H1266">
        <v>933503.67</v>
      </c>
      <c r="I1266">
        <v>30.07</v>
      </c>
      <c r="J1266">
        <v>0</v>
      </c>
      <c r="K1266" s="249">
        <v>85032</v>
      </c>
      <c r="L1266" s="249">
        <v>88858.44</v>
      </c>
      <c r="M1266" s="249">
        <v>92945.928240000008</v>
      </c>
      <c r="N1266" s="249">
        <v>97221.440939040011</v>
      </c>
    </row>
    <row r="1267" spans="1:14" x14ac:dyDescent="0.25">
      <c r="A1267" t="s">
        <v>773</v>
      </c>
      <c r="C1267" t="s">
        <v>269</v>
      </c>
      <c r="D1267" s="67">
        <v>30000</v>
      </c>
      <c r="E1267">
        <v>65927.72</v>
      </c>
      <c r="F1267">
        <v>0</v>
      </c>
      <c r="G1267">
        <v>401539.33</v>
      </c>
      <c r="H1267">
        <v>933503.67</v>
      </c>
      <c r="I1267">
        <v>30.07</v>
      </c>
      <c r="J1267">
        <v>-15000</v>
      </c>
      <c r="K1267" s="249">
        <v>15000</v>
      </c>
      <c r="L1267" s="249">
        <v>15675</v>
      </c>
      <c r="M1267" s="249">
        <v>16396.05</v>
      </c>
      <c r="N1267" s="249">
        <v>17150.2683</v>
      </c>
    </row>
    <row r="1269" spans="1:14" x14ac:dyDescent="0.25">
      <c r="C1269" t="s">
        <v>274</v>
      </c>
      <c r="D1269" s="67">
        <v>117032</v>
      </c>
      <c r="E1269">
        <v>263710.88</v>
      </c>
      <c r="F1269">
        <v>0</v>
      </c>
      <c r="G1269">
        <v>1606157.32</v>
      </c>
      <c r="H1269">
        <v>3734014.68</v>
      </c>
      <c r="I1269">
        <v>20.03</v>
      </c>
      <c r="J1269">
        <v>-7000</v>
      </c>
      <c r="K1269" s="249">
        <v>110032</v>
      </c>
      <c r="L1269" s="249">
        <v>114893.44</v>
      </c>
      <c r="M1269" s="249">
        <v>120086.53824000001</v>
      </c>
      <c r="N1269" s="249">
        <v>125518.51899904001</v>
      </c>
    </row>
    <row r="1271" spans="1:14" x14ac:dyDescent="0.25">
      <c r="A1271">
        <v>4.5102999980000002E+19</v>
      </c>
      <c r="C1271" t="s">
        <v>305</v>
      </c>
      <c r="D1271" s="67">
        <v>1177435</v>
      </c>
      <c r="E1271">
        <v>1318554.3999999999</v>
      </c>
      <c r="F1271">
        <v>0</v>
      </c>
      <c r="G1271">
        <v>8030786.5999999996</v>
      </c>
      <c r="H1271">
        <v>18670073.400000002</v>
      </c>
      <c r="I1271">
        <v>45.1</v>
      </c>
      <c r="J1271">
        <v>3787.6899999999441</v>
      </c>
      <c r="K1271" s="249">
        <v>1181222.69</v>
      </c>
      <c r="L1271" s="249">
        <v>1253033.548125</v>
      </c>
      <c r="M1271" s="249">
        <v>1337896.4539337498</v>
      </c>
      <c r="N1271" s="249">
        <v>1428575.1287913523</v>
      </c>
    </row>
    <row r="1273" spans="1:14" x14ac:dyDescent="0.25">
      <c r="A1273">
        <v>4.5102999990000001E+19</v>
      </c>
      <c r="C1273" t="s">
        <v>306</v>
      </c>
      <c r="D1273" s="67">
        <v>1177435</v>
      </c>
      <c r="E1273">
        <v>1318554.3999999999</v>
      </c>
      <c r="F1273">
        <v>0</v>
      </c>
      <c r="G1273">
        <v>8030786.5999999996</v>
      </c>
      <c r="H1273">
        <v>18670073.400000002</v>
      </c>
      <c r="I1273">
        <v>45.1</v>
      </c>
      <c r="J1273">
        <v>3787.6899999999441</v>
      </c>
      <c r="K1273" s="249">
        <v>1181222.69</v>
      </c>
      <c r="L1273" s="249">
        <v>1253033.548125</v>
      </c>
      <c r="M1273" s="249">
        <v>1337896.4539337498</v>
      </c>
      <c r="N1273" s="249">
        <v>1428575.1287913523</v>
      </c>
    </row>
    <row r="1275" spans="1:14" x14ac:dyDescent="0.25">
      <c r="C1275" t="s">
        <v>774</v>
      </c>
      <c r="J1275">
        <v>0</v>
      </c>
    </row>
    <row r="1276" spans="1:14" x14ac:dyDescent="0.25">
      <c r="C1276" t="s">
        <v>96</v>
      </c>
      <c r="J1276">
        <v>0</v>
      </c>
    </row>
    <row r="1277" spans="1:14" x14ac:dyDescent="0.25">
      <c r="C1277" t="s">
        <v>97</v>
      </c>
      <c r="J1277">
        <v>0</v>
      </c>
    </row>
    <row r="1278" spans="1:14" x14ac:dyDescent="0.25">
      <c r="C1278" t="s">
        <v>148</v>
      </c>
      <c r="J1278">
        <v>0</v>
      </c>
    </row>
    <row r="1280" spans="1:14" x14ac:dyDescent="0.25">
      <c r="C1280" t="s">
        <v>149</v>
      </c>
      <c r="J1280">
        <v>0</v>
      </c>
    </row>
    <row r="1282" spans="1:14" x14ac:dyDescent="0.25">
      <c r="A1282" t="s">
        <v>775</v>
      </c>
      <c r="C1282" t="s">
        <v>164</v>
      </c>
      <c r="D1282" s="67">
        <v>0</v>
      </c>
      <c r="E1282">
        <v>65927.72</v>
      </c>
      <c r="F1282">
        <v>0</v>
      </c>
      <c r="G1282">
        <v>401539.33</v>
      </c>
      <c r="H1282">
        <v>933503.67</v>
      </c>
      <c r="I1282">
        <v>30.07</v>
      </c>
      <c r="J1282">
        <v>15000</v>
      </c>
      <c r="K1282" s="249">
        <v>15000</v>
      </c>
      <c r="L1282" s="249">
        <v>15937.5</v>
      </c>
      <c r="M1282" s="249">
        <v>17053.125</v>
      </c>
      <c r="N1282" s="249">
        <v>18246.84375</v>
      </c>
    </row>
    <row r="1284" spans="1:14" x14ac:dyDescent="0.25">
      <c r="C1284" t="s">
        <v>165</v>
      </c>
      <c r="D1284" s="67">
        <v>0</v>
      </c>
      <c r="E1284">
        <v>65927.72</v>
      </c>
      <c r="F1284">
        <v>0</v>
      </c>
      <c r="G1284">
        <v>401539.33</v>
      </c>
      <c r="H1284">
        <v>933503.67</v>
      </c>
      <c r="I1284">
        <v>0</v>
      </c>
      <c r="J1284">
        <v>15000</v>
      </c>
      <c r="K1284" s="249">
        <v>15000</v>
      </c>
      <c r="L1284" s="249">
        <v>15937.5</v>
      </c>
      <c r="M1284" s="249">
        <v>17053.125</v>
      </c>
      <c r="N1284" s="249">
        <v>18246.84375</v>
      </c>
    </row>
    <row r="1286" spans="1:14" x14ac:dyDescent="0.25">
      <c r="C1286" t="s">
        <v>177</v>
      </c>
      <c r="D1286" s="67">
        <v>0</v>
      </c>
      <c r="E1286">
        <v>65927.72</v>
      </c>
      <c r="F1286">
        <v>0</v>
      </c>
      <c r="G1286">
        <v>401539.33</v>
      </c>
      <c r="H1286">
        <v>933503.67</v>
      </c>
      <c r="I1286">
        <v>0</v>
      </c>
      <c r="J1286">
        <v>15000</v>
      </c>
      <c r="K1286" s="249">
        <v>15000</v>
      </c>
      <c r="L1286" s="249">
        <v>15937.5</v>
      </c>
      <c r="M1286" s="249">
        <v>17053.125</v>
      </c>
      <c r="N1286" s="249">
        <v>18246.84375</v>
      </c>
    </row>
    <row r="1288" spans="1:14" x14ac:dyDescent="0.25">
      <c r="C1288" t="s">
        <v>178</v>
      </c>
      <c r="D1288" s="67">
        <v>0</v>
      </c>
      <c r="E1288">
        <v>65927.72</v>
      </c>
      <c r="F1288">
        <v>0</v>
      </c>
      <c r="G1288">
        <v>401539.33</v>
      </c>
      <c r="H1288">
        <v>933503.67</v>
      </c>
      <c r="I1288">
        <v>0</v>
      </c>
      <c r="J1288">
        <v>15000</v>
      </c>
      <c r="K1288" s="249">
        <v>15000</v>
      </c>
      <c r="L1288" s="249">
        <v>15937.5</v>
      </c>
      <c r="M1288" s="249">
        <v>17053.125</v>
      </c>
      <c r="N1288" s="249">
        <v>18246.84375</v>
      </c>
    </row>
    <row r="1290" spans="1:14" x14ac:dyDescent="0.25">
      <c r="C1290" t="s">
        <v>179</v>
      </c>
      <c r="J1290">
        <v>0</v>
      </c>
    </row>
    <row r="1292" spans="1:14" x14ac:dyDescent="0.25">
      <c r="C1292" t="s">
        <v>186</v>
      </c>
      <c r="J1292">
        <v>0</v>
      </c>
    </row>
    <row r="1294" spans="1:14" x14ac:dyDescent="0.25">
      <c r="A1294" t="s">
        <v>776</v>
      </c>
      <c r="C1294" t="s">
        <v>187</v>
      </c>
      <c r="D1294" s="67">
        <v>166067</v>
      </c>
      <c r="E1294">
        <v>65927.72</v>
      </c>
      <c r="F1294">
        <v>0</v>
      </c>
      <c r="G1294">
        <v>401539.33</v>
      </c>
      <c r="H1294">
        <v>933503.67</v>
      </c>
      <c r="I1294">
        <v>30.07</v>
      </c>
      <c r="J1294">
        <v>0</v>
      </c>
      <c r="K1294" s="249">
        <v>166067</v>
      </c>
      <c r="L1294" s="249">
        <v>176446.1875</v>
      </c>
      <c r="M1294" s="249">
        <v>188797.420625</v>
      </c>
      <c r="N1294" s="249">
        <v>202013.24006874999</v>
      </c>
    </row>
    <row r="1295" spans="1:14" x14ac:dyDescent="0.25">
      <c r="A1295" t="s">
        <v>777</v>
      </c>
      <c r="C1295" t="s">
        <v>188</v>
      </c>
      <c r="D1295" s="67">
        <v>498202</v>
      </c>
      <c r="E1295">
        <v>65927.72</v>
      </c>
      <c r="F1295">
        <v>0</v>
      </c>
      <c r="G1295">
        <v>401539.33</v>
      </c>
      <c r="H1295">
        <v>933503.67</v>
      </c>
      <c r="I1295">
        <v>30.07</v>
      </c>
      <c r="J1295">
        <v>0</v>
      </c>
      <c r="K1295" s="249">
        <v>498202</v>
      </c>
      <c r="L1295" s="249">
        <v>529339.625</v>
      </c>
      <c r="M1295" s="249">
        <v>566393.39875000005</v>
      </c>
      <c r="N1295" s="249">
        <v>606040.93666250003</v>
      </c>
    </row>
    <row r="1296" spans="1:14" x14ac:dyDescent="0.25">
      <c r="A1296" t="s">
        <v>778</v>
      </c>
      <c r="C1296" t="s">
        <v>189</v>
      </c>
      <c r="D1296" s="67">
        <v>47508</v>
      </c>
      <c r="E1296">
        <v>65927.72</v>
      </c>
      <c r="F1296">
        <v>0</v>
      </c>
      <c r="G1296">
        <v>401539.33</v>
      </c>
      <c r="H1296">
        <v>933503.67</v>
      </c>
      <c r="I1296">
        <v>30.07</v>
      </c>
      <c r="J1296">
        <v>0</v>
      </c>
      <c r="K1296" s="249">
        <v>47508</v>
      </c>
      <c r="L1296" s="249">
        <v>50477.25</v>
      </c>
      <c r="M1296" s="249">
        <v>54010.657500000001</v>
      </c>
      <c r="N1296" s="249">
        <v>57791.403525000002</v>
      </c>
    </row>
    <row r="1298" spans="1:14" x14ac:dyDescent="0.25">
      <c r="C1298" t="s">
        <v>190</v>
      </c>
      <c r="D1298" s="67">
        <v>711777</v>
      </c>
      <c r="E1298">
        <v>197783.16</v>
      </c>
      <c r="F1298">
        <v>0</v>
      </c>
      <c r="G1298">
        <v>1204617.99</v>
      </c>
      <c r="H1298">
        <v>2800511.0100000002</v>
      </c>
      <c r="I1298">
        <v>0</v>
      </c>
      <c r="J1298">
        <v>0</v>
      </c>
      <c r="K1298" s="249">
        <v>711777</v>
      </c>
      <c r="L1298" s="249">
        <v>756263.0625</v>
      </c>
      <c r="M1298" s="249">
        <v>809201.47687500005</v>
      </c>
      <c r="N1298" s="249">
        <v>865845.58025624999</v>
      </c>
    </row>
    <row r="1300" spans="1:14" x14ac:dyDescent="0.25">
      <c r="C1300" t="s">
        <v>201</v>
      </c>
      <c r="J1300">
        <v>0</v>
      </c>
    </row>
    <row r="1302" spans="1:14" x14ac:dyDescent="0.25">
      <c r="A1302" t="s">
        <v>779</v>
      </c>
      <c r="C1302" t="s">
        <v>202</v>
      </c>
      <c r="D1302" s="67">
        <v>0</v>
      </c>
      <c r="E1302">
        <v>65927.72</v>
      </c>
      <c r="F1302">
        <v>0</v>
      </c>
      <c r="G1302">
        <v>401539.33</v>
      </c>
      <c r="H1302">
        <v>933503.67</v>
      </c>
      <c r="I1302">
        <v>30.07</v>
      </c>
      <c r="J1302">
        <v>0</v>
      </c>
      <c r="K1302" s="249">
        <v>0</v>
      </c>
      <c r="L1302" s="249">
        <v>0</v>
      </c>
      <c r="M1302" s="249">
        <v>0</v>
      </c>
    </row>
    <row r="1303" spans="1:14" x14ac:dyDescent="0.25">
      <c r="A1303" t="s">
        <v>780</v>
      </c>
      <c r="C1303" t="s">
        <v>203</v>
      </c>
      <c r="D1303" s="67">
        <v>0</v>
      </c>
      <c r="E1303">
        <v>65927.72</v>
      </c>
      <c r="F1303">
        <v>0</v>
      </c>
      <c r="G1303">
        <v>401539.33</v>
      </c>
      <c r="H1303">
        <v>933503.67</v>
      </c>
      <c r="I1303">
        <v>30.07</v>
      </c>
      <c r="J1303">
        <v>0</v>
      </c>
      <c r="K1303" s="249">
        <v>0</v>
      </c>
      <c r="L1303" s="249">
        <v>0</v>
      </c>
      <c r="M1303" s="249">
        <v>0</v>
      </c>
    </row>
    <row r="1304" spans="1:14" x14ac:dyDescent="0.25">
      <c r="A1304" t="s">
        <v>781</v>
      </c>
      <c r="C1304" t="s">
        <v>204</v>
      </c>
      <c r="D1304" s="67">
        <v>0</v>
      </c>
      <c r="E1304">
        <v>65927.72</v>
      </c>
      <c r="F1304">
        <v>0</v>
      </c>
      <c r="G1304">
        <v>401539.33</v>
      </c>
      <c r="H1304">
        <v>933503.67</v>
      </c>
      <c r="I1304">
        <v>30.07</v>
      </c>
      <c r="J1304">
        <v>0</v>
      </c>
      <c r="K1304" s="249">
        <v>0</v>
      </c>
      <c r="L1304" s="249">
        <v>0</v>
      </c>
      <c r="M1304" s="249">
        <v>0</v>
      </c>
    </row>
    <row r="1306" spans="1:14" x14ac:dyDescent="0.25">
      <c r="C1306" t="s">
        <v>205</v>
      </c>
      <c r="D1306" s="67">
        <v>0</v>
      </c>
      <c r="E1306">
        <v>197783.16</v>
      </c>
      <c r="F1306">
        <v>0</v>
      </c>
      <c r="G1306">
        <v>1204617.99</v>
      </c>
      <c r="H1306">
        <v>2800511.0100000002</v>
      </c>
      <c r="I1306">
        <v>0</v>
      </c>
      <c r="J1306">
        <v>0</v>
      </c>
      <c r="K1306" s="249">
        <v>0</v>
      </c>
      <c r="L1306" s="249">
        <v>0</v>
      </c>
      <c r="M1306" s="249">
        <v>0</v>
      </c>
    </row>
    <row r="1308" spans="1:14" x14ac:dyDescent="0.25">
      <c r="C1308" t="s">
        <v>206</v>
      </c>
      <c r="D1308" s="67">
        <v>711777</v>
      </c>
      <c r="E1308">
        <v>395566.32</v>
      </c>
      <c r="F1308">
        <v>0</v>
      </c>
      <c r="G1308">
        <v>2409235.98</v>
      </c>
      <c r="H1308">
        <v>5601022.0200000005</v>
      </c>
      <c r="I1308">
        <v>46.47</v>
      </c>
      <c r="J1308">
        <v>0</v>
      </c>
      <c r="K1308" s="249">
        <v>711777</v>
      </c>
      <c r="L1308" s="249">
        <v>756263.0625</v>
      </c>
      <c r="M1308" s="249">
        <v>809201.47687500005</v>
      </c>
      <c r="N1308" s="249">
        <v>865845.58025624999</v>
      </c>
    </row>
    <row r="1310" spans="1:14" x14ac:dyDescent="0.25">
      <c r="C1310" t="s">
        <v>207</v>
      </c>
      <c r="D1310" s="67">
        <v>711777</v>
      </c>
      <c r="E1310">
        <v>395566.32</v>
      </c>
      <c r="F1310">
        <v>0</v>
      </c>
      <c r="G1310">
        <v>2409235.98</v>
      </c>
      <c r="H1310">
        <v>5601022.0200000005</v>
      </c>
      <c r="I1310">
        <v>46.47</v>
      </c>
      <c r="J1310">
        <v>0</v>
      </c>
      <c r="K1310" s="249">
        <v>711777</v>
      </c>
      <c r="L1310" s="249">
        <v>756263.0625</v>
      </c>
      <c r="M1310" s="249">
        <v>809201.47687500005</v>
      </c>
      <c r="N1310" s="249">
        <v>865845.58025624999</v>
      </c>
    </row>
    <row r="1312" spans="1:14" x14ac:dyDescent="0.25">
      <c r="C1312" t="s">
        <v>241</v>
      </c>
      <c r="J1312">
        <v>0</v>
      </c>
    </row>
    <row r="1314" spans="1:14" x14ac:dyDescent="0.25">
      <c r="A1314" t="s">
        <v>782</v>
      </c>
      <c r="C1314" t="s">
        <v>253</v>
      </c>
      <c r="D1314" s="67">
        <v>2000</v>
      </c>
      <c r="E1314">
        <v>65927.72</v>
      </c>
      <c r="F1314">
        <v>0</v>
      </c>
      <c r="G1314">
        <v>401539.33</v>
      </c>
      <c r="H1314">
        <v>933503.67</v>
      </c>
      <c r="I1314">
        <v>30.07</v>
      </c>
      <c r="J1314">
        <v>0</v>
      </c>
      <c r="K1314" s="249">
        <v>2000</v>
      </c>
      <c r="L1314" s="249">
        <v>2000</v>
      </c>
      <c r="M1314" s="249">
        <v>2000</v>
      </c>
      <c r="N1314" s="249">
        <v>2000</v>
      </c>
    </row>
    <row r="1315" spans="1:14" x14ac:dyDescent="0.25">
      <c r="A1315" t="s">
        <v>783</v>
      </c>
      <c r="C1315" t="s">
        <v>265</v>
      </c>
      <c r="D1315" s="67">
        <v>0</v>
      </c>
      <c r="E1315">
        <v>65927.72</v>
      </c>
      <c r="F1315">
        <v>0</v>
      </c>
      <c r="G1315">
        <v>401539.33</v>
      </c>
      <c r="H1315">
        <v>933503.67</v>
      </c>
      <c r="I1315">
        <v>30.07</v>
      </c>
      <c r="J1315">
        <v>0</v>
      </c>
      <c r="K1315" s="249">
        <v>0</v>
      </c>
      <c r="L1315" s="249">
        <v>0</v>
      </c>
      <c r="M1315" s="249">
        <v>0</v>
      </c>
    </row>
    <row r="1316" spans="1:14" x14ac:dyDescent="0.25">
      <c r="A1316" t="s">
        <v>784</v>
      </c>
      <c r="C1316" t="s">
        <v>268</v>
      </c>
      <c r="D1316" s="67">
        <v>85032</v>
      </c>
      <c r="E1316">
        <v>65927.72</v>
      </c>
      <c r="F1316">
        <v>0</v>
      </c>
      <c r="G1316">
        <v>401539.33</v>
      </c>
      <c r="H1316">
        <v>933503.67</v>
      </c>
      <c r="I1316">
        <v>30.07</v>
      </c>
      <c r="J1316">
        <v>-10000</v>
      </c>
      <c r="K1316" s="249">
        <v>75032</v>
      </c>
      <c r="L1316" s="249">
        <v>78408.44</v>
      </c>
      <c r="M1316" s="249">
        <v>82015.228239999997</v>
      </c>
      <c r="N1316" s="249">
        <v>85787.928739039999</v>
      </c>
    </row>
    <row r="1317" spans="1:14" x14ac:dyDescent="0.25">
      <c r="A1317" t="s">
        <v>785</v>
      </c>
      <c r="C1317" t="s">
        <v>269</v>
      </c>
      <c r="D1317" s="67">
        <v>30000</v>
      </c>
      <c r="E1317">
        <v>65927.72</v>
      </c>
      <c r="F1317">
        <v>0</v>
      </c>
      <c r="G1317">
        <v>401539.33</v>
      </c>
      <c r="H1317">
        <v>933503.67</v>
      </c>
      <c r="I1317">
        <v>30.07</v>
      </c>
      <c r="J1317">
        <v>0</v>
      </c>
      <c r="K1317" s="249">
        <v>30000</v>
      </c>
      <c r="L1317" s="249">
        <v>31350</v>
      </c>
      <c r="M1317" s="249">
        <v>32792.1</v>
      </c>
      <c r="N1317" s="249">
        <v>34300.536599999999</v>
      </c>
    </row>
    <row r="1319" spans="1:14" x14ac:dyDescent="0.25">
      <c r="C1319" t="s">
        <v>274</v>
      </c>
      <c r="D1319" s="67">
        <v>117032</v>
      </c>
      <c r="E1319">
        <v>263710.88</v>
      </c>
      <c r="F1319">
        <v>0</v>
      </c>
      <c r="G1319">
        <v>1606157.32</v>
      </c>
      <c r="H1319">
        <v>3734014.68</v>
      </c>
      <c r="I1319">
        <v>45.65</v>
      </c>
      <c r="J1319">
        <v>-10000</v>
      </c>
      <c r="K1319" s="249">
        <v>107032</v>
      </c>
      <c r="L1319" s="249">
        <v>111758.44</v>
      </c>
      <c r="M1319" s="249">
        <v>116807.32824</v>
      </c>
      <c r="N1319" s="249">
        <v>122088.46533904001</v>
      </c>
    </row>
    <row r="1321" spans="1:14" x14ac:dyDescent="0.25">
      <c r="C1321" t="s">
        <v>305</v>
      </c>
      <c r="D1321" s="67">
        <v>828809</v>
      </c>
      <c r="E1321">
        <v>725204.92</v>
      </c>
      <c r="F1321">
        <v>0</v>
      </c>
      <c r="G1321">
        <v>4416932.63</v>
      </c>
      <c r="H1321">
        <v>10268540.370000001</v>
      </c>
      <c r="I1321">
        <v>92.12</v>
      </c>
      <c r="J1321">
        <v>5000</v>
      </c>
      <c r="K1321" s="249">
        <v>833809</v>
      </c>
      <c r="L1321" s="249">
        <v>883959.00249999994</v>
      </c>
      <c r="M1321" s="249">
        <v>943061.93011500011</v>
      </c>
      <c r="N1321" s="249">
        <v>1006180.88934529</v>
      </c>
    </row>
    <row r="1323" spans="1:14" x14ac:dyDescent="0.25">
      <c r="C1323" t="s">
        <v>306</v>
      </c>
      <c r="D1323" s="67">
        <v>828809</v>
      </c>
      <c r="E1323">
        <v>725204.92</v>
      </c>
      <c r="F1323">
        <v>0</v>
      </c>
      <c r="G1323">
        <v>4416932.63</v>
      </c>
      <c r="H1323">
        <v>10268540.370000001</v>
      </c>
      <c r="I1323">
        <v>92.12</v>
      </c>
      <c r="J1323">
        <v>5000</v>
      </c>
      <c r="K1323" s="249">
        <v>833809</v>
      </c>
      <c r="L1323" s="249">
        <v>883959.00249999994</v>
      </c>
      <c r="M1323" s="249">
        <v>943061.93011500011</v>
      </c>
      <c r="N1323" s="249">
        <v>1006180.88934529</v>
      </c>
    </row>
    <row r="1325" spans="1:14" x14ac:dyDescent="0.25">
      <c r="C1325" t="s">
        <v>786</v>
      </c>
      <c r="J1325">
        <v>0</v>
      </c>
    </row>
    <row r="1326" spans="1:14" x14ac:dyDescent="0.25">
      <c r="C1326" t="s">
        <v>96</v>
      </c>
      <c r="J1326">
        <v>0</v>
      </c>
    </row>
    <row r="1327" spans="1:14" x14ac:dyDescent="0.25">
      <c r="C1327" t="s">
        <v>97</v>
      </c>
      <c r="J1327">
        <v>0</v>
      </c>
    </row>
    <row r="1328" spans="1:14" x14ac:dyDescent="0.25">
      <c r="C1328" t="s">
        <v>148</v>
      </c>
      <c r="J1328">
        <v>0</v>
      </c>
    </row>
    <row r="1329" spans="1:14" x14ac:dyDescent="0.25">
      <c r="C1329" t="s">
        <v>149</v>
      </c>
      <c r="J1329">
        <v>0</v>
      </c>
    </row>
    <row r="1331" spans="1:14" x14ac:dyDescent="0.25">
      <c r="C1331" t="s">
        <v>166</v>
      </c>
      <c r="J1331">
        <v>0</v>
      </c>
    </row>
    <row r="1333" spans="1:14" x14ac:dyDescent="0.25">
      <c r="A1333" t="s">
        <v>787</v>
      </c>
      <c r="C1333" t="s">
        <v>168</v>
      </c>
      <c r="D1333" s="67">
        <v>0</v>
      </c>
      <c r="E1333">
        <v>65927.72</v>
      </c>
      <c r="F1333">
        <v>0</v>
      </c>
      <c r="G1333">
        <v>401539.33</v>
      </c>
      <c r="H1333">
        <v>933503.67</v>
      </c>
      <c r="I1333">
        <v>30.07</v>
      </c>
      <c r="J1333">
        <v>70000</v>
      </c>
      <c r="K1333" s="249">
        <v>70000</v>
      </c>
      <c r="L1333" s="249">
        <v>74375</v>
      </c>
      <c r="M1333" s="249">
        <v>79581.25</v>
      </c>
      <c r="N1333" s="249">
        <v>85151.9375</v>
      </c>
    </row>
    <row r="1335" spans="1:14" x14ac:dyDescent="0.25">
      <c r="C1335" t="s">
        <v>171</v>
      </c>
      <c r="D1335" s="67">
        <v>0</v>
      </c>
      <c r="E1335">
        <v>65927.72</v>
      </c>
      <c r="F1335">
        <v>0</v>
      </c>
      <c r="G1335">
        <v>401539.33</v>
      </c>
      <c r="H1335">
        <v>933503.67</v>
      </c>
      <c r="I1335">
        <v>0</v>
      </c>
      <c r="J1335">
        <v>70000</v>
      </c>
      <c r="K1335" s="249">
        <v>70000</v>
      </c>
      <c r="L1335" s="249">
        <v>74375</v>
      </c>
      <c r="M1335" s="249">
        <v>79581.25</v>
      </c>
      <c r="N1335" s="249">
        <v>85151.9375</v>
      </c>
    </row>
    <row r="1337" spans="1:14" x14ac:dyDescent="0.25">
      <c r="C1337" t="s">
        <v>177</v>
      </c>
      <c r="D1337" s="67">
        <v>0</v>
      </c>
      <c r="E1337">
        <v>65927.72</v>
      </c>
      <c r="F1337">
        <v>0</v>
      </c>
      <c r="G1337">
        <v>401539.33</v>
      </c>
      <c r="H1337">
        <v>933503.67</v>
      </c>
      <c r="I1337">
        <v>0</v>
      </c>
      <c r="J1337">
        <v>70000</v>
      </c>
      <c r="K1337" s="249">
        <v>70000</v>
      </c>
      <c r="L1337" s="249">
        <v>74375</v>
      </c>
      <c r="M1337" s="249">
        <v>79581.25</v>
      </c>
      <c r="N1337" s="249">
        <v>85151.9375</v>
      </c>
    </row>
    <row r="1339" spans="1:14" x14ac:dyDescent="0.25">
      <c r="C1339" t="s">
        <v>178</v>
      </c>
      <c r="D1339" s="67">
        <v>0</v>
      </c>
      <c r="E1339">
        <v>65927.72</v>
      </c>
      <c r="F1339">
        <v>0</v>
      </c>
      <c r="G1339">
        <v>401539.33</v>
      </c>
      <c r="H1339">
        <v>933503.67</v>
      </c>
      <c r="I1339">
        <v>0</v>
      </c>
      <c r="J1339">
        <v>70000</v>
      </c>
      <c r="K1339" s="249">
        <v>70000</v>
      </c>
      <c r="L1339" s="249">
        <v>74375</v>
      </c>
      <c r="M1339" s="249">
        <v>79581.25</v>
      </c>
      <c r="N1339" s="249">
        <v>85151.9375</v>
      </c>
    </row>
    <row r="1341" spans="1:14" x14ac:dyDescent="0.25">
      <c r="C1341" t="s">
        <v>179</v>
      </c>
      <c r="J1341">
        <v>0</v>
      </c>
    </row>
    <row r="1343" spans="1:14" x14ac:dyDescent="0.25">
      <c r="C1343" t="s">
        <v>196</v>
      </c>
      <c r="J1343">
        <v>0</v>
      </c>
    </row>
    <row r="1345" spans="1:14" x14ac:dyDescent="0.25">
      <c r="A1345" t="s">
        <v>788</v>
      </c>
      <c r="C1345" t="s">
        <v>197</v>
      </c>
      <c r="D1345" s="67">
        <v>683494</v>
      </c>
      <c r="E1345">
        <v>65927.72</v>
      </c>
      <c r="F1345">
        <v>0</v>
      </c>
      <c r="G1345">
        <v>401539.33</v>
      </c>
      <c r="H1345">
        <v>933503.67</v>
      </c>
      <c r="I1345">
        <v>30.07</v>
      </c>
      <c r="J1345">
        <v>0</v>
      </c>
      <c r="K1345" s="249">
        <v>683494</v>
      </c>
      <c r="L1345" s="249">
        <v>726212.375</v>
      </c>
      <c r="M1345" s="249">
        <v>777047.24124999996</v>
      </c>
      <c r="N1345" s="249">
        <v>831440.54813749995</v>
      </c>
    </row>
    <row r="1346" spans="1:14" x14ac:dyDescent="0.25">
      <c r="A1346" t="s">
        <v>789</v>
      </c>
      <c r="C1346" t="s">
        <v>198</v>
      </c>
      <c r="D1346" s="67">
        <v>2050481</v>
      </c>
      <c r="E1346">
        <v>65927.72</v>
      </c>
      <c r="F1346">
        <v>0</v>
      </c>
      <c r="G1346">
        <v>401539.33</v>
      </c>
      <c r="H1346">
        <v>933503.67</v>
      </c>
      <c r="I1346">
        <v>30.07</v>
      </c>
      <c r="J1346">
        <v>0</v>
      </c>
      <c r="K1346" s="249">
        <v>2050481</v>
      </c>
      <c r="L1346" s="249">
        <v>2178636.0625</v>
      </c>
      <c r="M1346" s="249">
        <v>2331140.586875</v>
      </c>
      <c r="N1346" s="249">
        <v>2494320.42795625</v>
      </c>
    </row>
    <row r="1347" spans="1:14" x14ac:dyDescent="0.25">
      <c r="A1347" t="s">
        <v>790</v>
      </c>
      <c r="C1347" t="s">
        <v>199</v>
      </c>
      <c r="D1347" s="67">
        <v>237540</v>
      </c>
      <c r="E1347">
        <v>65927.72</v>
      </c>
      <c r="F1347">
        <v>0</v>
      </c>
      <c r="G1347">
        <v>401539.33</v>
      </c>
      <c r="H1347">
        <v>933503.67</v>
      </c>
      <c r="I1347">
        <v>30.07</v>
      </c>
      <c r="J1347">
        <v>0</v>
      </c>
      <c r="K1347" s="249">
        <v>237540</v>
      </c>
      <c r="L1347" s="249">
        <v>252386.25</v>
      </c>
      <c r="M1347" s="249">
        <v>270053.28749999998</v>
      </c>
      <c r="N1347" s="249">
        <v>288957.01762499998</v>
      </c>
    </row>
    <row r="1349" spans="1:14" x14ac:dyDescent="0.25">
      <c r="C1349" t="s">
        <v>200</v>
      </c>
      <c r="D1349" s="67">
        <v>2971515</v>
      </c>
      <c r="E1349">
        <v>197783.16</v>
      </c>
      <c r="F1349">
        <v>0</v>
      </c>
      <c r="G1349">
        <v>1204617.99</v>
      </c>
      <c r="H1349">
        <v>2800511.0100000002</v>
      </c>
      <c r="I1349">
        <v>0</v>
      </c>
      <c r="J1349">
        <v>0</v>
      </c>
      <c r="K1349" s="249">
        <v>2971515</v>
      </c>
      <c r="L1349" s="249">
        <v>3157234.6875</v>
      </c>
      <c r="M1349" s="249">
        <v>3378241.1156250001</v>
      </c>
      <c r="N1349" s="249">
        <v>3614717.9937187498</v>
      </c>
    </row>
    <row r="1351" spans="1:14" x14ac:dyDescent="0.25">
      <c r="C1351" t="s">
        <v>201</v>
      </c>
      <c r="J1351">
        <v>0</v>
      </c>
    </row>
    <row r="1353" spans="1:14" x14ac:dyDescent="0.25">
      <c r="A1353" t="s">
        <v>791</v>
      </c>
      <c r="C1353" t="s">
        <v>202</v>
      </c>
      <c r="D1353" s="67">
        <v>0</v>
      </c>
      <c r="E1353">
        <v>65927.72</v>
      </c>
      <c r="F1353">
        <v>0</v>
      </c>
      <c r="G1353">
        <v>401539.33</v>
      </c>
      <c r="H1353">
        <v>933503.67</v>
      </c>
      <c r="I1353">
        <v>30.07</v>
      </c>
      <c r="J1353">
        <v>0</v>
      </c>
      <c r="K1353" s="249">
        <v>0</v>
      </c>
      <c r="L1353" s="249">
        <v>0</v>
      </c>
      <c r="M1353" s="249">
        <v>0</v>
      </c>
    </row>
    <row r="1354" spans="1:14" x14ac:dyDescent="0.25">
      <c r="A1354" t="s">
        <v>792</v>
      </c>
      <c r="C1354" t="s">
        <v>203</v>
      </c>
      <c r="D1354" s="67">
        <v>0</v>
      </c>
      <c r="E1354">
        <v>65927.72</v>
      </c>
      <c r="F1354">
        <v>0</v>
      </c>
      <c r="G1354">
        <v>401539.33</v>
      </c>
      <c r="H1354">
        <v>933503.67</v>
      </c>
      <c r="I1354">
        <v>30.07</v>
      </c>
      <c r="J1354">
        <v>0</v>
      </c>
      <c r="K1354" s="249">
        <v>0</v>
      </c>
      <c r="L1354" s="249">
        <v>0</v>
      </c>
      <c r="M1354" s="249">
        <v>0</v>
      </c>
    </row>
    <row r="1355" spans="1:14" x14ac:dyDescent="0.25">
      <c r="A1355" t="s">
        <v>793</v>
      </c>
      <c r="C1355" t="s">
        <v>204</v>
      </c>
      <c r="D1355" s="67">
        <v>0</v>
      </c>
      <c r="E1355">
        <v>65927.72</v>
      </c>
      <c r="F1355">
        <v>0</v>
      </c>
      <c r="G1355">
        <v>401539.33</v>
      </c>
      <c r="H1355">
        <v>933503.67</v>
      </c>
      <c r="I1355">
        <v>30.07</v>
      </c>
      <c r="J1355">
        <v>0</v>
      </c>
      <c r="K1355" s="249">
        <v>0</v>
      </c>
      <c r="L1355" s="249">
        <v>0</v>
      </c>
      <c r="M1355" s="249">
        <v>0</v>
      </c>
    </row>
    <row r="1357" spans="1:14" x14ac:dyDescent="0.25">
      <c r="C1357" t="s">
        <v>205</v>
      </c>
      <c r="D1357" s="67">
        <v>0</v>
      </c>
      <c r="E1357">
        <v>197783.16</v>
      </c>
      <c r="F1357">
        <v>0</v>
      </c>
      <c r="G1357">
        <v>1204617.99</v>
      </c>
      <c r="H1357">
        <v>2800511.0100000002</v>
      </c>
      <c r="I1357">
        <v>0</v>
      </c>
      <c r="J1357">
        <v>0</v>
      </c>
      <c r="K1357" s="249">
        <v>0</v>
      </c>
      <c r="L1357" s="249">
        <v>0</v>
      </c>
      <c r="M1357" s="249">
        <v>0</v>
      </c>
      <c r="N1357" s="249">
        <v>0</v>
      </c>
    </row>
    <row r="1359" spans="1:14" x14ac:dyDescent="0.25">
      <c r="C1359" t="s">
        <v>206</v>
      </c>
      <c r="D1359" s="67">
        <v>2971515</v>
      </c>
      <c r="E1359">
        <v>395566.32</v>
      </c>
      <c r="F1359">
        <v>0</v>
      </c>
      <c r="G1359">
        <v>2409235.98</v>
      </c>
      <c r="H1359">
        <v>5601022.0200000005</v>
      </c>
      <c r="I1359">
        <v>51.34</v>
      </c>
      <c r="J1359">
        <v>0</v>
      </c>
      <c r="K1359" s="249">
        <v>2971515</v>
      </c>
      <c r="L1359" s="249">
        <v>3157234.6875</v>
      </c>
      <c r="M1359" s="249">
        <v>3378241.1156250001</v>
      </c>
      <c r="N1359" s="249">
        <v>3614717.9937187498</v>
      </c>
    </row>
    <row r="1361" spans="1:14" x14ac:dyDescent="0.25">
      <c r="C1361" t="s">
        <v>207</v>
      </c>
      <c r="D1361" s="67">
        <v>2971515</v>
      </c>
      <c r="E1361">
        <v>395566.32</v>
      </c>
      <c r="F1361">
        <v>0</v>
      </c>
      <c r="G1361">
        <v>2409235.98</v>
      </c>
      <c r="H1361">
        <v>5601022.0200000005</v>
      </c>
      <c r="I1361">
        <v>51.34</v>
      </c>
      <c r="J1361">
        <v>0</v>
      </c>
      <c r="K1361" s="249">
        <v>2971515</v>
      </c>
      <c r="L1361" s="249">
        <v>3157234.6875</v>
      </c>
      <c r="M1361" s="249">
        <v>3378241.1156250001</v>
      </c>
      <c r="N1361" s="249">
        <v>3614717.9937187498</v>
      </c>
    </row>
    <row r="1363" spans="1:14" x14ac:dyDescent="0.25">
      <c r="C1363" t="s">
        <v>241</v>
      </c>
      <c r="J1363">
        <v>0</v>
      </c>
    </row>
    <row r="1365" spans="1:14" x14ac:dyDescent="0.25">
      <c r="A1365" t="s">
        <v>794</v>
      </c>
      <c r="C1365" t="s">
        <v>265</v>
      </c>
      <c r="D1365" s="67">
        <v>0</v>
      </c>
      <c r="E1365">
        <v>65927.72</v>
      </c>
      <c r="F1365">
        <v>0</v>
      </c>
      <c r="G1365">
        <v>401539.33</v>
      </c>
      <c r="H1365">
        <v>933503.67</v>
      </c>
      <c r="I1365">
        <v>30.07</v>
      </c>
      <c r="J1365">
        <v>25000</v>
      </c>
      <c r="K1365" s="249">
        <v>25000</v>
      </c>
      <c r="L1365" s="249">
        <v>26125</v>
      </c>
      <c r="M1365" s="249">
        <v>27326.75</v>
      </c>
      <c r="N1365" s="249">
        <v>28583.780500000001</v>
      </c>
    </row>
    <row r="1366" spans="1:14" x14ac:dyDescent="0.25">
      <c r="A1366" t="s">
        <v>795</v>
      </c>
      <c r="C1366" t="s">
        <v>268</v>
      </c>
      <c r="D1366" s="67">
        <v>85032</v>
      </c>
      <c r="E1366">
        <v>65927.72</v>
      </c>
      <c r="F1366">
        <v>0</v>
      </c>
      <c r="G1366">
        <v>401539.33</v>
      </c>
      <c r="H1366">
        <v>933503.67</v>
      </c>
      <c r="I1366">
        <v>30.07</v>
      </c>
      <c r="J1366">
        <v>150000</v>
      </c>
      <c r="K1366" s="249">
        <v>235032</v>
      </c>
      <c r="L1366" s="249">
        <v>245608.44</v>
      </c>
      <c r="M1366" s="249">
        <v>256906.42824000001</v>
      </c>
      <c r="N1366" s="249">
        <v>268724.12393904</v>
      </c>
    </row>
    <row r="1367" spans="1:14" x14ac:dyDescent="0.25">
      <c r="A1367" t="s">
        <v>796</v>
      </c>
      <c r="C1367" t="s">
        <v>269</v>
      </c>
      <c r="D1367" s="67">
        <v>75000</v>
      </c>
      <c r="E1367">
        <v>65927.72</v>
      </c>
      <c r="F1367">
        <v>0</v>
      </c>
      <c r="G1367">
        <v>401539.33</v>
      </c>
      <c r="H1367">
        <v>933503.67</v>
      </c>
      <c r="I1367">
        <v>30.07</v>
      </c>
      <c r="J1367">
        <v>-20000</v>
      </c>
      <c r="K1367" s="249">
        <v>55000</v>
      </c>
      <c r="L1367" s="249">
        <v>57475</v>
      </c>
      <c r="M1367" s="249">
        <v>60118.85</v>
      </c>
      <c r="N1367" s="249">
        <v>62884.3171</v>
      </c>
    </row>
    <row r="1369" spans="1:14" x14ac:dyDescent="0.25">
      <c r="C1369" t="s">
        <v>274</v>
      </c>
      <c r="D1369" s="67">
        <v>160032</v>
      </c>
      <c r="E1369">
        <v>197783.16</v>
      </c>
      <c r="F1369">
        <v>0</v>
      </c>
      <c r="G1369">
        <v>1204617.99</v>
      </c>
      <c r="H1369">
        <v>2800511.0100000002</v>
      </c>
      <c r="I1369">
        <v>123.78</v>
      </c>
      <c r="J1369">
        <v>155000</v>
      </c>
      <c r="K1369" s="249">
        <v>315032</v>
      </c>
      <c r="L1369" s="249">
        <v>329208.44</v>
      </c>
      <c r="M1369" s="249">
        <v>344352.02824000001</v>
      </c>
      <c r="N1369" s="249">
        <v>360192.22153903998</v>
      </c>
    </row>
    <row r="1371" spans="1:14" x14ac:dyDescent="0.25">
      <c r="C1371" t="s">
        <v>305</v>
      </c>
      <c r="D1371" s="67">
        <v>3131547</v>
      </c>
      <c r="E1371">
        <v>659277.20000000007</v>
      </c>
      <c r="F1371">
        <v>0</v>
      </c>
      <c r="G1371">
        <v>4015393.3</v>
      </c>
      <c r="H1371">
        <v>9335036.7000000011</v>
      </c>
      <c r="I1371">
        <v>175.12</v>
      </c>
      <c r="J1371">
        <v>225000</v>
      </c>
      <c r="K1371" s="249">
        <v>3356547</v>
      </c>
      <c r="L1371" s="249">
        <v>3560818.1274999999</v>
      </c>
      <c r="M1371" s="249">
        <v>3802174.393865</v>
      </c>
      <c r="N1371" s="249">
        <v>4060062.1527577899</v>
      </c>
    </row>
    <row r="1373" spans="1:14" x14ac:dyDescent="0.25">
      <c r="C1373" t="s">
        <v>306</v>
      </c>
      <c r="D1373" s="67">
        <v>3131547</v>
      </c>
      <c r="E1373">
        <v>659277.20000000007</v>
      </c>
      <c r="F1373">
        <v>0</v>
      </c>
      <c r="G1373">
        <v>4015393.3</v>
      </c>
      <c r="H1373">
        <v>9335036.7000000011</v>
      </c>
      <c r="I1373">
        <v>175.12</v>
      </c>
      <c r="J1373">
        <v>225000</v>
      </c>
      <c r="K1373" s="249">
        <v>3356547</v>
      </c>
      <c r="L1373" s="249">
        <v>3560818.1274999999</v>
      </c>
      <c r="M1373" s="249">
        <v>3802174.393865</v>
      </c>
      <c r="N1373" s="249">
        <v>4060062.1527577899</v>
      </c>
    </row>
    <row r="1375" spans="1:14" x14ac:dyDescent="0.25">
      <c r="C1375" t="s">
        <v>797</v>
      </c>
      <c r="J1375">
        <v>0</v>
      </c>
    </row>
    <row r="1377" spans="1:14" x14ac:dyDescent="0.25">
      <c r="C1377" t="s">
        <v>96</v>
      </c>
      <c r="J1377">
        <v>0</v>
      </c>
    </row>
    <row r="1378" spans="1:14" x14ac:dyDescent="0.25">
      <c r="C1378" t="s">
        <v>97</v>
      </c>
      <c r="J1378">
        <v>0</v>
      </c>
    </row>
    <row r="1379" spans="1:14" x14ac:dyDescent="0.25">
      <c r="C1379" t="s">
        <v>148</v>
      </c>
      <c r="J1379">
        <v>0</v>
      </c>
    </row>
    <row r="1380" spans="1:14" x14ac:dyDescent="0.25">
      <c r="C1380" t="s">
        <v>149</v>
      </c>
      <c r="J1380">
        <v>0</v>
      </c>
    </row>
    <row r="1382" spans="1:14" x14ac:dyDescent="0.25">
      <c r="A1382" t="s">
        <v>798</v>
      </c>
      <c r="C1382" t="s">
        <v>150</v>
      </c>
      <c r="D1382" s="67">
        <v>0</v>
      </c>
      <c r="E1382">
        <v>65927.72</v>
      </c>
      <c r="F1382">
        <v>0</v>
      </c>
      <c r="G1382">
        <v>401539.33</v>
      </c>
      <c r="H1382">
        <v>933503.67</v>
      </c>
      <c r="I1382">
        <v>30.07</v>
      </c>
      <c r="J1382">
        <v>80000</v>
      </c>
      <c r="K1382" s="249">
        <v>80000</v>
      </c>
      <c r="L1382" s="249">
        <v>85000</v>
      </c>
      <c r="M1382" s="249">
        <v>90950</v>
      </c>
      <c r="N1382" s="249">
        <v>97316.5</v>
      </c>
    </row>
    <row r="1384" spans="1:14" x14ac:dyDescent="0.25">
      <c r="C1384" t="s">
        <v>165</v>
      </c>
      <c r="D1384" s="67">
        <v>0</v>
      </c>
      <c r="E1384">
        <v>65927.72</v>
      </c>
      <c r="F1384">
        <v>0</v>
      </c>
      <c r="G1384">
        <v>401539.33</v>
      </c>
      <c r="H1384">
        <v>933503.67</v>
      </c>
      <c r="I1384">
        <v>0</v>
      </c>
      <c r="J1384">
        <v>80000</v>
      </c>
      <c r="K1384" s="249">
        <v>80000</v>
      </c>
      <c r="L1384" s="249">
        <v>85000</v>
      </c>
      <c r="M1384" s="249">
        <v>90950</v>
      </c>
      <c r="N1384" s="249">
        <v>97316.5</v>
      </c>
    </row>
    <row r="1386" spans="1:14" x14ac:dyDescent="0.25">
      <c r="C1386" t="s">
        <v>166</v>
      </c>
      <c r="J1386">
        <v>0</v>
      </c>
    </row>
    <row r="1388" spans="1:14" x14ac:dyDescent="0.25">
      <c r="A1388" t="s">
        <v>799</v>
      </c>
      <c r="C1388" t="s">
        <v>168</v>
      </c>
      <c r="D1388" s="67">
        <v>0</v>
      </c>
      <c r="E1388">
        <v>65927.72</v>
      </c>
      <c r="F1388">
        <v>0</v>
      </c>
      <c r="G1388">
        <v>401539.33</v>
      </c>
      <c r="H1388">
        <v>933503.67</v>
      </c>
      <c r="I1388">
        <v>30.07</v>
      </c>
      <c r="J1388">
        <v>30000</v>
      </c>
      <c r="K1388" s="249">
        <v>30000</v>
      </c>
      <c r="L1388" s="249">
        <v>32100</v>
      </c>
      <c r="M1388" s="249">
        <v>34347</v>
      </c>
      <c r="N1388" s="249">
        <v>36751.29</v>
      </c>
    </row>
    <row r="1390" spans="1:14" x14ac:dyDescent="0.25">
      <c r="C1390" t="s">
        <v>171</v>
      </c>
      <c r="D1390" s="67">
        <v>0</v>
      </c>
      <c r="E1390">
        <v>65927.72</v>
      </c>
      <c r="F1390">
        <v>0</v>
      </c>
      <c r="G1390">
        <v>401539.33</v>
      </c>
      <c r="H1390">
        <v>933503.67</v>
      </c>
      <c r="I1390">
        <v>0</v>
      </c>
      <c r="J1390">
        <v>30000</v>
      </c>
      <c r="K1390" s="249">
        <v>30000</v>
      </c>
      <c r="L1390" s="249">
        <v>32100</v>
      </c>
      <c r="M1390" s="249">
        <v>34347</v>
      </c>
      <c r="N1390" s="249">
        <v>36751.29</v>
      </c>
    </row>
    <row r="1392" spans="1:14" x14ac:dyDescent="0.25">
      <c r="C1392" t="s">
        <v>178</v>
      </c>
      <c r="D1392" s="67">
        <v>0</v>
      </c>
      <c r="E1392">
        <v>131855.44</v>
      </c>
      <c r="F1392">
        <v>0</v>
      </c>
      <c r="G1392">
        <v>803078.66</v>
      </c>
      <c r="H1392">
        <v>1867007.34</v>
      </c>
      <c r="I1392">
        <v>0</v>
      </c>
      <c r="J1392">
        <v>110000</v>
      </c>
      <c r="K1392" s="249">
        <v>110000</v>
      </c>
      <c r="L1392" s="249">
        <v>117100</v>
      </c>
      <c r="M1392" s="249">
        <v>125297</v>
      </c>
      <c r="N1392" s="249">
        <v>134067.79</v>
      </c>
    </row>
    <row r="1394" spans="1:14" x14ac:dyDescent="0.25">
      <c r="C1394" t="s">
        <v>179</v>
      </c>
      <c r="J1394">
        <v>0</v>
      </c>
    </row>
    <row r="1396" spans="1:14" x14ac:dyDescent="0.25">
      <c r="C1396" t="s">
        <v>201</v>
      </c>
      <c r="J1396">
        <v>0</v>
      </c>
    </row>
    <row r="1398" spans="1:14" x14ac:dyDescent="0.25">
      <c r="A1398" t="s">
        <v>800</v>
      </c>
      <c r="C1398" t="s">
        <v>202</v>
      </c>
      <c r="D1398" s="67">
        <v>1611660</v>
      </c>
      <c r="E1398">
        <v>65927.72</v>
      </c>
      <c r="F1398">
        <v>0</v>
      </c>
      <c r="G1398">
        <v>401539.33</v>
      </c>
      <c r="H1398">
        <v>933503.67</v>
      </c>
      <c r="I1398">
        <v>30.07</v>
      </c>
      <c r="J1398">
        <v>0</v>
      </c>
      <c r="K1398" s="249">
        <v>1611660</v>
      </c>
      <c r="L1398" s="249">
        <v>1712388.75</v>
      </c>
      <c r="M1398" s="249">
        <v>1832255.9624999999</v>
      </c>
      <c r="N1398" s="249">
        <v>1960513.8798749999</v>
      </c>
    </row>
    <row r="1399" spans="1:14" x14ac:dyDescent="0.25">
      <c r="A1399" t="s">
        <v>801</v>
      </c>
      <c r="C1399" t="s">
        <v>203</v>
      </c>
      <c r="D1399" s="67">
        <v>4834979</v>
      </c>
      <c r="E1399">
        <v>65927.72</v>
      </c>
      <c r="F1399">
        <v>0</v>
      </c>
      <c r="G1399">
        <v>401539.33</v>
      </c>
      <c r="H1399">
        <v>933503.67</v>
      </c>
      <c r="I1399">
        <v>30.07</v>
      </c>
      <c r="J1399">
        <v>0</v>
      </c>
      <c r="K1399" s="249">
        <v>4834979</v>
      </c>
      <c r="L1399" s="249">
        <v>5137165.1875</v>
      </c>
      <c r="M1399" s="249">
        <v>5496766.7506250003</v>
      </c>
      <c r="N1399" s="249">
        <v>5881540.4231687505</v>
      </c>
    </row>
    <row r="1400" spans="1:14" x14ac:dyDescent="0.25">
      <c r="A1400" t="s">
        <v>802</v>
      </c>
      <c r="C1400" t="s">
        <v>204</v>
      </c>
      <c r="D1400" s="67">
        <v>1092684</v>
      </c>
      <c r="E1400">
        <v>65927.72</v>
      </c>
      <c r="F1400">
        <v>0</v>
      </c>
      <c r="G1400">
        <v>401539.33</v>
      </c>
      <c r="H1400">
        <v>933503.67</v>
      </c>
      <c r="I1400">
        <v>30.07</v>
      </c>
      <c r="J1400">
        <v>0</v>
      </c>
      <c r="K1400" s="249">
        <v>1092684</v>
      </c>
      <c r="L1400" s="249">
        <v>1160976.75</v>
      </c>
      <c r="M1400" s="249">
        <v>1242245.1225000001</v>
      </c>
      <c r="N1400" s="249">
        <v>1329202.2810750001</v>
      </c>
    </row>
    <row r="1402" spans="1:14" x14ac:dyDescent="0.25">
      <c r="C1402" t="s">
        <v>205</v>
      </c>
      <c r="D1402" s="67">
        <v>7539323</v>
      </c>
      <c r="E1402">
        <v>197783.16</v>
      </c>
      <c r="F1402">
        <v>0</v>
      </c>
      <c r="G1402">
        <v>1204617.99</v>
      </c>
      <c r="H1402">
        <v>2800511.0100000002</v>
      </c>
      <c r="I1402">
        <v>47.24</v>
      </c>
      <c r="J1402">
        <v>0</v>
      </c>
      <c r="K1402" s="249">
        <v>7539323</v>
      </c>
      <c r="L1402" s="249">
        <v>8010530.6875</v>
      </c>
      <c r="M1402" s="249">
        <v>8571267.8356250003</v>
      </c>
      <c r="N1402" s="249">
        <v>9171256.5841187499</v>
      </c>
    </row>
    <row r="1404" spans="1:14" x14ac:dyDescent="0.25">
      <c r="C1404" t="s">
        <v>206</v>
      </c>
      <c r="D1404" s="67">
        <v>7539323</v>
      </c>
      <c r="E1404">
        <v>197783.16</v>
      </c>
      <c r="F1404">
        <v>0</v>
      </c>
      <c r="G1404">
        <v>1204617.99</v>
      </c>
      <c r="H1404">
        <v>2800511.0100000002</v>
      </c>
      <c r="I1404">
        <v>47.24</v>
      </c>
      <c r="J1404">
        <v>0</v>
      </c>
      <c r="K1404" s="249">
        <v>7539323</v>
      </c>
      <c r="L1404" s="249">
        <v>8010530.6875</v>
      </c>
      <c r="M1404" s="249">
        <v>8571267.8356250003</v>
      </c>
      <c r="N1404" s="249">
        <v>9171256.5841187499</v>
      </c>
    </row>
    <row r="1406" spans="1:14" x14ac:dyDescent="0.25">
      <c r="C1406" t="s">
        <v>207</v>
      </c>
      <c r="D1406" s="67">
        <v>7539323</v>
      </c>
      <c r="E1406">
        <v>197783.16</v>
      </c>
      <c r="F1406">
        <v>0</v>
      </c>
      <c r="G1406">
        <v>1204617.99</v>
      </c>
      <c r="H1406">
        <v>2800511.0100000002</v>
      </c>
      <c r="I1406">
        <v>47.24</v>
      </c>
      <c r="J1406">
        <v>0</v>
      </c>
      <c r="K1406" s="249">
        <v>7539323</v>
      </c>
      <c r="L1406" s="249">
        <v>8010530.6875</v>
      </c>
      <c r="M1406" s="249">
        <v>8571267.8356250003</v>
      </c>
      <c r="N1406" s="249">
        <v>9171256.5841187499</v>
      </c>
    </row>
    <row r="1408" spans="1:14" x14ac:dyDescent="0.25">
      <c r="C1408" t="s">
        <v>241</v>
      </c>
      <c r="J1408">
        <v>0</v>
      </c>
    </row>
    <row r="1410" spans="1:14" x14ac:dyDescent="0.25">
      <c r="A1410" t="s">
        <v>803</v>
      </c>
      <c r="C1410" t="s">
        <v>265</v>
      </c>
      <c r="D1410" s="67">
        <v>26435</v>
      </c>
      <c r="E1410">
        <v>65927.72</v>
      </c>
      <c r="F1410">
        <v>0</v>
      </c>
      <c r="G1410">
        <v>401539.33</v>
      </c>
      <c r="H1410">
        <v>933503.67</v>
      </c>
      <c r="I1410">
        <v>30.07</v>
      </c>
      <c r="J1410">
        <v>1565</v>
      </c>
      <c r="K1410" s="249">
        <v>28000</v>
      </c>
      <c r="L1410" s="249">
        <v>29260</v>
      </c>
      <c r="M1410" s="249">
        <v>30605.96</v>
      </c>
      <c r="N1410" s="249">
        <v>32013.834159999999</v>
      </c>
    </row>
    <row r="1411" spans="1:14" x14ac:dyDescent="0.25">
      <c r="A1411" t="s">
        <v>804</v>
      </c>
      <c r="C1411" t="s">
        <v>268</v>
      </c>
      <c r="D1411" s="67">
        <v>744098</v>
      </c>
      <c r="E1411">
        <v>65927.72</v>
      </c>
      <c r="F1411">
        <v>0</v>
      </c>
      <c r="G1411">
        <v>401539.33</v>
      </c>
      <c r="H1411">
        <v>933503.67</v>
      </c>
      <c r="I1411">
        <v>30.07</v>
      </c>
      <c r="J1411">
        <v>0</v>
      </c>
      <c r="K1411" s="249">
        <v>744098</v>
      </c>
      <c r="L1411" s="249">
        <v>777582.41</v>
      </c>
      <c r="M1411" s="249">
        <v>813351.20085999998</v>
      </c>
      <c r="N1411" s="249">
        <v>850765.35609955993</v>
      </c>
    </row>
    <row r="1412" spans="1:14" x14ac:dyDescent="0.25">
      <c r="A1412" t="s">
        <v>805</v>
      </c>
      <c r="C1412" t="s">
        <v>269</v>
      </c>
      <c r="D1412" s="67">
        <v>400000</v>
      </c>
      <c r="E1412">
        <v>65927.72</v>
      </c>
      <c r="F1412">
        <v>0</v>
      </c>
      <c r="G1412">
        <v>401539.33</v>
      </c>
      <c r="H1412">
        <v>933503.67</v>
      </c>
      <c r="I1412">
        <v>30.07</v>
      </c>
      <c r="J1412">
        <v>-300000</v>
      </c>
      <c r="K1412" s="249">
        <v>100000</v>
      </c>
      <c r="L1412" s="249">
        <v>104500</v>
      </c>
      <c r="M1412" s="249">
        <v>109307</v>
      </c>
      <c r="N1412" s="249">
        <v>114335.122</v>
      </c>
    </row>
    <row r="1414" spans="1:14" x14ac:dyDescent="0.25">
      <c r="C1414" t="s">
        <v>274</v>
      </c>
      <c r="D1414" s="67">
        <v>1170533</v>
      </c>
      <c r="E1414">
        <v>197783.16</v>
      </c>
      <c r="F1414">
        <v>0</v>
      </c>
      <c r="G1414">
        <v>1204617.99</v>
      </c>
      <c r="H1414">
        <v>2800511.0100000002</v>
      </c>
      <c r="I1414">
        <v>56.1</v>
      </c>
      <c r="J1414">
        <v>-298435</v>
      </c>
      <c r="K1414" s="249">
        <v>872098</v>
      </c>
      <c r="L1414" s="249">
        <v>911342.41</v>
      </c>
      <c r="M1414" s="249">
        <v>953264.16085999995</v>
      </c>
      <c r="N1414" s="249">
        <v>997114.31225955987</v>
      </c>
    </row>
    <row r="1416" spans="1:14" x14ac:dyDescent="0.25">
      <c r="C1416" t="s">
        <v>305</v>
      </c>
      <c r="D1416" s="67">
        <v>8709856</v>
      </c>
      <c r="E1416">
        <v>527421.76</v>
      </c>
      <c r="F1416">
        <v>0</v>
      </c>
      <c r="G1416">
        <v>3212314.6399999997</v>
      </c>
      <c r="H1416">
        <v>7468029.3600000013</v>
      </c>
      <c r="I1416">
        <v>103.34</v>
      </c>
      <c r="J1416">
        <v>-188435</v>
      </c>
      <c r="K1416" s="249">
        <v>8521421</v>
      </c>
      <c r="L1416" s="249">
        <v>9038973.0975000001</v>
      </c>
      <c r="M1416" s="249">
        <v>9649828.9964850005</v>
      </c>
      <c r="N1416" s="249">
        <v>10302438.68637831</v>
      </c>
    </row>
    <row r="1418" spans="1:14" x14ac:dyDescent="0.25">
      <c r="C1418" t="s">
        <v>306</v>
      </c>
      <c r="D1418" s="67">
        <v>8709856</v>
      </c>
      <c r="E1418">
        <v>527421.76</v>
      </c>
      <c r="F1418">
        <v>0</v>
      </c>
      <c r="G1418">
        <v>3212314.6399999997</v>
      </c>
      <c r="H1418">
        <v>7468029.3600000013</v>
      </c>
      <c r="I1418">
        <v>103.34</v>
      </c>
      <c r="J1418">
        <v>-188435</v>
      </c>
      <c r="K1418" s="249">
        <v>8521421</v>
      </c>
      <c r="L1418" s="249">
        <v>9038973.0975000001</v>
      </c>
      <c r="M1418" s="249">
        <v>9649828.9964850005</v>
      </c>
      <c r="N1418" s="249">
        <v>10302438.68637831</v>
      </c>
    </row>
    <row r="1420" spans="1:14" x14ac:dyDescent="0.25">
      <c r="C1420" t="s">
        <v>3038</v>
      </c>
    </row>
    <row r="1421" spans="1:14" x14ac:dyDescent="0.25">
      <c r="C1421" t="s">
        <v>3052</v>
      </c>
      <c r="D1421" s="67">
        <v>19907403</v>
      </c>
      <c r="E1421">
        <v>5999422.5199999996</v>
      </c>
      <c r="F1421">
        <v>0</v>
      </c>
      <c r="G1421">
        <v>36540079.030000001</v>
      </c>
      <c r="H1421">
        <v>84948833.970000014</v>
      </c>
      <c r="I1421">
        <v>453.05000000000007</v>
      </c>
      <c r="J1421">
        <v>-77207.040000000503</v>
      </c>
      <c r="K1421" s="249">
        <v>19830195.960000001</v>
      </c>
      <c r="L1421" s="249">
        <v>21018778.755000003</v>
      </c>
      <c r="M1421" s="249">
        <v>22417039.05821</v>
      </c>
      <c r="N1421" s="249">
        <v>23909829.96900126</v>
      </c>
    </row>
    <row r="1422" spans="1:14" x14ac:dyDescent="0.25">
      <c r="C1422" t="s">
        <v>3053</v>
      </c>
    </row>
    <row r="1424" spans="1:14" ht="30" x14ac:dyDescent="0.25">
      <c r="A1424" t="s">
        <v>0</v>
      </c>
      <c r="B1424" t="s">
        <v>1356</v>
      </c>
      <c r="C1424" t="s">
        <v>1</v>
      </c>
      <c r="D1424" s="67" t="s">
        <v>2</v>
      </c>
      <c r="E1424" t="s">
        <v>3</v>
      </c>
      <c r="F1424" t="s">
        <v>4</v>
      </c>
      <c r="G1424" t="s">
        <v>5</v>
      </c>
      <c r="H1424" t="s">
        <v>6</v>
      </c>
      <c r="I1424" t="s">
        <v>7</v>
      </c>
      <c r="J1424" t="s">
        <v>1322</v>
      </c>
      <c r="K1424" s="249" t="s">
        <v>3012</v>
      </c>
      <c r="L1424" s="249" t="s">
        <v>3013</v>
      </c>
      <c r="M1424" s="249" t="s">
        <v>3014</v>
      </c>
      <c r="N1424" s="249" t="s">
        <v>3015</v>
      </c>
    </row>
    <row r="1426" spans="1:14" x14ac:dyDescent="0.25">
      <c r="C1426" t="s">
        <v>806</v>
      </c>
    </row>
    <row r="1427" spans="1:14" x14ac:dyDescent="0.25">
      <c r="C1427" t="s">
        <v>9</v>
      </c>
    </row>
    <row r="1428" spans="1:14" x14ac:dyDescent="0.25">
      <c r="C1428" t="s">
        <v>10</v>
      </c>
    </row>
    <row r="1429" spans="1:14" x14ac:dyDescent="0.25">
      <c r="C1429" t="s">
        <v>11</v>
      </c>
    </row>
    <row r="1431" spans="1:14" x14ac:dyDescent="0.25">
      <c r="A1431" t="s">
        <v>807</v>
      </c>
      <c r="C1431" t="s">
        <v>12</v>
      </c>
      <c r="D1431" s="67">
        <v>-1411279</v>
      </c>
      <c r="E1431">
        <v>-141346.4</v>
      </c>
      <c r="F1431">
        <v>0</v>
      </c>
      <c r="G1431">
        <v>-848078.4</v>
      </c>
      <c r="H1431">
        <v>-563200.6</v>
      </c>
      <c r="I1431">
        <v>60.09</v>
      </c>
      <c r="J1431">
        <v>0</v>
      </c>
      <c r="K1431" s="249">
        <v>-1696156</v>
      </c>
      <c r="L1431" s="249">
        <v>-1772483.02</v>
      </c>
      <c r="M1431" s="249">
        <v>-1854017.2389199999</v>
      </c>
      <c r="N1431" s="249">
        <v>-1939302.0319103198</v>
      </c>
    </row>
    <row r="1432" spans="1:14" x14ac:dyDescent="0.25">
      <c r="A1432" t="s">
        <v>808</v>
      </c>
      <c r="C1432" t="s">
        <v>13</v>
      </c>
      <c r="D1432" s="67">
        <v>0</v>
      </c>
      <c r="E1432">
        <v>-141346.4</v>
      </c>
      <c r="F1432">
        <v>0</v>
      </c>
      <c r="G1432">
        <v>-848078.4</v>
      </c>
      <c r="H1432">
        <v>-563200.6</v>
      </c>
      <c r="I1432">
        <v>60.09</v>
      </c>
      <c r="J1432">
        <v>-5496279</v>
      </c>
      <c r="K1432" s="249">
        <v>-5496279</v>
      </c>
      <c r="L1432" s="249">
        <v>-5743611.5549999997</v>
      </c>
      <c r="M1432" s="249">
        <v>-6007817.6865299996</v>
      </c>
      <c r="N1432" s="249">
        <v>-6284177.3001103792</v>
      </c>
    </row>
    <row r="1433" spans="1:14" x14ac:dyDescent="0.25">
      <c r="A1433" t="s">
        <v>809</v>
      </c>
      <c r="C1433" t="s">
        <v>14</v>
      </c>
      <c r="D1433" s="67">
        <v>-7880</v>
      </c>
      <c r="E1433">
        <v>-141346.4</v>
      </c>
      <c r="F1433">
        <v>0</v>
      </c>
      <c r="G1433">
        <v>-848078.4</v>
      </c>
      <c r="H1433">
        <v>-563200.6</v>
      </c>
      <c r="I1433">
        <v>60.09</v>
      </c>
      <c r="J1433">
        <v>7880</v>
      </c>
      <c r="K1433" s="249">
        <v>0</v>
      </c>
      <c r="L1433" s="249">
        <v>0</v>
      </c>
      <c r="M1433" s="249">
        <v>0</v>
      </c>
      <c r="N1433" s="249">
        <v>0</v>
      </c>
    </row>
    <row r="1434" spans="1:14" x14ac:dyDescent="0.25">
      <c r="A1434" t="s">
        <v>810</v>
      </c>
      <c r="C1434" t="s">
        <v>15</v>
      </c>
      <c r="D1434" s="67">
        <v>-22835</v>
      </c>
      <c r="E1434">
        <v>-141346.4</v>
      </c>
      <c r="F1434">
        <v>0</v>
      </c>
      <c r="G1434">
        <v>-848078.4</v>
      </c>
      <c r="H1434">
        <v>-563200.6</v>
      </c>
      <c r="I1434">
        <v>60.09</v>
      </c>
      <c r="J1434">
        <v>16813</v>
      </c>
      <c r="K1434" s="249">
        <v>-6022</v>
      </c>
      <c r="L1434" s="249">
        <v>-6292.99</v>
      </c>
      <c r="M1434" s="249">
        <v>-6582.4675399999996</v>
      </c>
      <c r="N1434" s="249">
        <v>-6885.2610468399998</v>
      </c>
    </row>
    <row r="1435" spans="1:14" x14ac:dyDescent="0.25">
      <c r="A1435" t="s">
        <v>811</v>
      </c>
      <c r="C1435" t="s">
        <v>16</v>
      </c>
      <c r="D1435" s="67">
        <v>-1954883</v>
      </c>
      <c r="E1435">
        <v>-141346.4</v>
      </c>
      <c r="F1435">
        <v>0</v>
      </c>
      <c r="G1435">
        <v>-848078.4</v>
      </c>
      <c r="H1435">
        <v>-563200.6</v>
      </c>
      <c r="I1435">
        <v>60.09</v>
      </c>
      <c r="J1435">
        <v>3679005</v>
      </c>
      <c r="K1435" s="249">
        <v>1724122</v>
      </c>
      <c r="L1435" s="249">
        <v>1801707.49</v>
      </c>
      <c r="M1435" s="249">
        <v>1884586.0345399999</v>
      </c>
      <c r="N1435" s="249">
        <v>1971276.9921288399</v>
      </c>
    </row>
    <row r="1436" spans="1:14" x14ac:dyDescent="0.25">
      <c r="A1436" t="s">
        <v>812</v>
      </c>
      <c r="C1436" t="s">
        <v>16</v>
      </c>
      <c r="D1436" s="67">
        <v>-214619</v>
      </c>
      <c r="E1436">
        <v>-141346.4</v>
      </c>
      <c r="F1436">
        <v>0</v>
      </c>
      <c r="G1436">
        <v>-848078.4</v>
      </c>
      <c r="H1436">
        <v>-563200.6</v>
      </c>
      <c r="I1436">
        <v>60.09</v>
      </c>
      <c r="J1436">
        <v>-3370188</v>
      </c>
      <c r="K1436" s="249">
        <v>-3584807</v>
      </c>
      <c r="L1436" s="249">
        <v>-3746123.3149999999</v>
      </c>
      <c r="M1436" s="249">
        <v>-3918444.9874899997</v>
      </c>
      <c r="N1436" s="249">
        <v>-4098693.4569145399</v>
      </c>
    </row>
    <row r="1437" spans="1:14" x14ac:dyDescent="0.25">
      <c r="A1437" t="s">
        <v>813</v>
      </c>
      <c r="C1437" t="s">
        <v>17</v>
      </c>
      <c r="D1437" s="67">
        <v>-1327315</v>
      </c>
      <c r="E1437">
        <v>-141346.4</v>
      </c>
      <c r="F1437">
        <v>0</v>
      </c>
      <c r="G1437">
        <v>-848078.4</v>
      </c>
      <c r="H1437">
        <v>-563200.6</v>
      </c>
      <c r="I1437">
        <v>60.09</v>
      </c>
      <c r="J1437">
        <v>1270595</v>
      </c>
      <c r="K1437" s="249">
        <v>-56720</v>
      </c>
      <c r="L1437" s="249">
        <v>-59272.4</v>
      </c>
      <c r="M1437" s="249">
        <v>-61998.930399999997</v>
      </c>
      <c r="N1437" s="249">
        <v>-64850.881198399999</v>
      </c>
    </row>
    <row r="1438" spans="1:14" x14ac:dyDescent="0.25">
      <c r="A1438" t="s">
        <v>814</v>
      </c>
      <c r="C1438" t="s">
        <v>18</v>
      </c>
      <c r="D1438" s="67">
        <v>-10352372</v>
      </c>
      <c r="E1438">
        <v>-141346.4</v>
      </c>
      <c r="F1438">
        <v>0</v>
      </c>
      <c r="G1438">
        <v>-848078.4</v>
      </c>
      <c r="H1438">
        <v>-563200.6</v>
      </c>
      <c r="I1438">
        <v>60.09</v>
      </c>
      <c r="J1438">
        <v>10352372</v>
      </c>
      <c r="K1438" s="249">
        <v>0</v>
      </c>
      <c r="L1438" s="249">
        <v>0</v>
      </c>
      <c r="M1438" s="249">
        <v>0</v>
      </c>
      <c r="N1438" s="249">
        <v>0</v>
      </c>
    </row>
    <row r="1439" spans="1:14" x14ac:dyDescent="0.25">
      <c r="A1439" t="s">
        <v>815</v>
      </c>
      <c r="C1439" t="s">
        <v>19</v>
      </c>
      <c r="D1439" s="67">
        <v>0</v>
      </c>
      <c r="E1439">
        <v>-141346.4</v>
      </c>
      <c r="F1439">
        <v>0</v>
      </c>
      <c r="G1439">
        <v>-848078.4</v>
      </c>
      <c r="H1439">
        <v>-563200.6</v>
      </c>
      <c r="I1439">
        <v>60.09</v>
      </c>
      <c r="J1439">
        <v>-10742205</v>
      </c>
      <c r="K1439" s="249">
        <v>-10742205</v>
      </c>
      <c r="L1439" s="249">
        <v>-11225604.225</v>
      </c>
      <c r="M1439" s="249">
        <v>-11741982.01935</v>
      </c>
      <c r="N1439" s="249">
        <v>-12282113.1922401</v>
      </c>
    </row>
    <row r="1440" spans="1:14" x14ac:dyDescent="0.25">
      <c r="A1440" t="s">
        <v>816</v>
      </c>
      <c r="C1440" t="s">
        <v>20</v>
      </c>
      <c r="D1440" s="67">
        <v>0</v>
      </c>
      <c r="E1440">
        <v>-141346.4</v>
      </c>
      <c r="F1440">
        <v>0</v>
      </c>
      <c r="G1440">
        <v>-848078.4</v>
      </c>
      <c r="H1440">
        <v>-563200.6</v>
      </c>
      <c r="I1440">
        <v>60.09</v>
      </c>
      <c r="J1440">
        <v>0</v>
      </c>
      <c r="K1440" s="249">
        <v>0</v>
      </c>
      <c r="L1440" s="249">
        <v>0</v>
      </c>
      <c r="M1440" s="249">
        <v>0</v>
      </c>
    </row>
    <row r="1442" spans="1:14" x14ac:dyDescent="0.25">
      <c r="C1442" t="s">
        <v>21</v>
      </c>
      <c r="D1442" s="67">
        <v>-15291183</v>
      </c>
      <c r="E1442">
        <v>-1413463.9999999998</v>
      </c>
      <c r="F1442">
        <v>0</v>
      </c>
      <c r="G1442">
        <v>-8480784.0000000019</v>
      </c>
      <c r="H1442">
        <v>-5632005.9999999991</v>
      </c>
      <c r="I1442">
        <v>64.930000000000007</v>
      </c>
      <c r="J1442">
        <v>-4566884</v>
      </c>
      <c r="K1442" s="249">
        <v>-19858067</v>
      </c>
      <c r="L1442" s="249">
        <v>-20751680.015000001</v>
      </c>
      <c r="M1442" s="249">
        <v>-21706257.29569</v>
      </c>
      <c r="N1442" s="249">
        <v>-22704745.13129174</v>
      </c>
    </row>
    <row r="1444" spans="1:14" x14ac:dyDescent="0.25">
      <c r="C1444" t="s">
        <v>22</v>
      </c>
      <c r="J1444">
        <v>0</v>
      </c>
    </row>
    <row r="1446" spans="1:14" x14ac:dyDescent="0.25">
      <c r="A1446" t="s">
        <v>817</v>
      </c>
      <c r="C1446" t="s">
        <v>27</v>
      </c>
      <c r="D1446" s="67">
        <v>-3520000</v>
      </c>
      <c r="E1446">
        <v>0</v>
      </c>
      <c r="F1446">
        <v>0</v>
      </c>
      <c r="G1446">
        <v>0</v>
      </c>
      <c r="H1446">
        <v>-3520000</v>
      </c>
      <c r="I1446">
        <v>0</v>
      </c>
      <c r="J1446">
        <v>0</v>
      </c>
      <c r="K1446" s="249">
        <v>-3520000</v>
      </c>
      <c r="L1446" s="249">
        <v>-3000000</v>
      </c>
      <c r="M1446" s="249">
        <v>0</v>
      </c>
      <c r="N1446" s="249">
        <v>0</v>
      </c>
    </row>
    <row r="1448" spans="1:14" x14ac:dyDescent="0.25">
      <c r="C1448" t="s">
        <v>28</v>
      </c>
      <c r="D1448" s="67">
        <v>-3520000</v>
      </c>
      <c r="E1448">
        <v>0</v>
      </c>
      <c r="F1448">
        <v>0</v>
      </c>
      <c r="G1448">
        <v>0</v>
      </c>
      <c r="H1448">
        <v>-3520000</v>
      </c>
      <c r="I1448">
        <v>0</v>
      </c>
      <c r="J1448">
        <v>0</v>
      </c>
      <c r="K1448" s="249">
        <v>-3520000</v>
      </c>
      <c r="L1448" s="249">
        <v>-3000000</v>
      </c>
      <c r="M1448" s="249">
        <v>0</v>
      </c>
      <c r="N1448" s="249">
        <v>0</v>
      </c>
    </row>
    <row r="1450" spans="1:14" x14ac:dyDescent="0.25">
      <c r="C1450" t="s">
        <v>29</v>
      </c>
      <c r="J1450">
        <v>0</v>
      </c>
    </row>
    <row r="1452" spans="1:14" x14ac:dyDescent="0.25">
      <c r="C1452" t="s">
        <v>30</v>
      </c>
      <c r="J1452">
        <v>0</v>
      </c>
    </row>
    <row r="1454" spans="1:14" x14ac:dyDescent="0.25">
      <c r="A1454" t="s">
        <v>818</v>
      </c>
      <c r="C1454" t="s">
        <v>32</v>
      </c>
      <c r="D1454" s="67">
        <v>-2403000</v>
      </c>
      <c r="E1454">
        <v>-252538</v>
      </c>
      <c r="F1454">
        <v>0</v>
      </c>
      <c r="G1454">
        <v>-1159420.99</v>
      </c>
      <c r="H1454">
        <v>-1243579.01</v>
      </c>
      <c r="I1454">
        <v>48.24</v>
      </c>
      <c r="J1454">
        <v>0</v>
      </c>
      <c r="K1454" s="249">
        <v>-2403000</v>
      </c>
      <c r="L1454" s="249">
        <v>-2400000</v>
      </c>
      <c r="M1454" s="249">
        <v>-2400000</v>
      </c>
      <c r="N1454" s="249">
        <v>-2400000</v>
      </c>
    </row>
    <row r="1455" spans="1:14" x14ac:dyDescent="0.25">
      <c r="A1455" t="s">
        <v>819</v>
      </c>
      <c r="C1455" t="s">
        <v>34</v>
      </c>
      <c r="D1455" s="67">
        <v>-142578000</v>
      </c>
      <c r="E1455">
        <v>-47017000</v>
      </c>
      <c r="F1455">
        <v>0</v>
      </c>
      <c r="G1455">
        <v>-106425000</v>
      </c>
      <c r="H1455">
        <v>-36153000</v>
      </c>
      <c r="I1455">
        <v>74.64</v>
      </c>
      <c r="J1455">
        <v>0</v>
      </c>
      <c r="K1455" s="249">
        <v>-142578000</v>
      </c>
      <c r="L1455" s="249">
        <v>-150787000</v>
      </c>
      <c r="M1455" s="249">
        <v>-159829000</v>
      </c>
      <c r="N1455" s="249">
        <v>-167051000</v>
      </c>
    </row>
    <row r="1456" spans="1:14" x14ac:dyDescent="0.25">
      <c r="G1456">
        <v>0</v>
      </c>
    </row>
    <row r="1457" spans="1:14" x14ac:dyDescent="0.25">
      <c r="C1457" t="s">
        <v>35</v>
      </c>
      <c r="D1457" s="67">
        <v>-144981000</v>
      </c>
      <c r="E1457">
        <v>-47269538</v>
      </c>
      <c r="F1457">
        <v>0</v>
      </c>
      <c r="G1457">
        <v>-107584420.98999999</v>
      </c>
      <c r="H1457">
        <v>-37396579.009999998</v>
      </c>
      <c r="I1457">
        <v>122.88</v>
      </c>
      <c r="J1457">
        <v>0</v>
      </c>
      <c r="K1457" s="249">
        <v>-144981000</v>
      </c>
      <c r="L1457" s="249">
        <v>-153187000</v>
      </c>
      <c r="M1457" s="249">
        <v>-162229000</v>
      </c>
      <c r="N1457" s="249">
        <v>-169451000</v>
      </c>
    </row>
    <row r="1459" spans="1:14" x14ac:dyDescent="0.25">
      <c r="C1459" t="s">
        <v>39</v>
      </c>
      <c r="D1459" s="67">
        <v>-144981000</v>
      </c>
      <c r="E1459">
        <v>-47269538</v>
      </c>
      <c r="F1459">
        <v>0</v>
      </c>
      <c r="G1459">
        <v>-107584420.98999999</v>
      </c>
      <c r="H1459">
        <v>-37396579.009999998</v>
      </c>
      <c r="I1459">
        <v>74.2</v>
      </c>
      <c r="J1459">
        <v>0</v>
      </c>
      <c r="K1459" s="249">
        <v>-144981000</v>
      </c>
      <c r="L1459" s="249">
        <v>-153187000</v>
      </c>
      <c r="M1459" s="249">
        <v>-162229000</v>
      </c>
      <c r="N1459" s="249">
        <v>-169451000</v>
      </c>
    </row>
    <row r="1461" spans="1:14" x14ac:dyDescent="0.25">
      <c r="C1461" t="s">
        <v>40</v>
      </c>
      <c r="D1461" s="67">
        <v>-163792183</v>
      </c>
      <c r="E1461">
        <v>-48683002</v>
      </c>
      <c r="F1461">
        <v>0</v>
      </c>
      <c r="G1461">
        <v>-116065204.98999999</v>
      </c>
      <c r="H1461">
        <v>-46548585.009999998</v>
      </c>
      <c r="I1461">
        <v>71.739999999999995</v>
      </c>
      <c r="J1461">
        <v>-4566884</v>
      </c>
      <c r="K1461" s="249">
        <v>-168359067</v>
      </c>
      <c r="L1461" s="249">
        <v>-176938680.01499999</v>
      </c>
      <c r="M1461" s="249">
        <v>-183935257.29569</v>
      </c>
      <c r="N1461" s="249">
        <v>-192155745.13129175</v>
      </c>
    </row>
    <row r="1463" spans="1:14" x14ac:dyDescent="0.25">
      <c r="C1463" t="s">
        <v>41</v>
      </c>
      <c r="J1463">
        <v>0</v>
      </c>
    </row>
    <row r="1465" spans="1:14" x14ac:dyDescent="0.25">
      <c r="C1465" t="s">
        <v>42</v>
      </c>
      <c r="J1465">
        <v>0</v>
      </c>
    </row>
    <row r="1467" spans="1:14" x14ac:dyDescent="0.25">
      <c r="C1467" t="s">
        <v>56</v>
      </c>
      <c r="J1467">
        <v>0</v>
      </c>
    </row>
    <row r="1469" spans="1:14" x14ac:dyDescent="0.25">
      <c r="A1469" t="s">
        <v>820</v>
      </c>
      <c r="C1469" t="s">
        <v>65</v>
      </c>
      <c r="D1469" s="67">
        <v>-346932</v>
      </c>
      <c r="E1469">
        <v>-40547.550000000003</v>
      </c>
      <c r="F1469">
        <v>0</v>
      </c>
      <c r="G1469">
        <v>-228665.99</v>
      </c>
      <c r="H1469">
        <v>-118266.01</v>
      </c>
      <c r="I1469">
        <v>65.91</v>
      </c>
      <c r="J1469">
        <v>0</v>
      </c>
      <c r="K1469" s="249">
        <v>-457332</v>
      </c>
      <c r="L1469" s="249">
        <v>-479741.26799999998</v>
      </c>
      <c r="M1469" s="249">
        <v>-502768.848864</v>
      </c>
      <c r="N1469" s="249">
        <v>-526901.75360947195</v>
      </c>
    </row>
    <row r="1471" spans="1:14" x14ac:dyDescent="0.25">
      <c r="C1471" t="s">
        <v>66</v>
      </c>
      <c r="D1471" s="67">
        <v>-346932</v>
      </c>
      <c r="E1471">
        <v>-40547.550000000003</v>
      </c>
      <c r="F1471">
        <v>0</v>
      </c>
      <c r="G1471">
        <v>-228665.99</v>
      </c>
      <c r="H1471">
        <v>-118266.01</v>
      </c>
      <c r="I1471">
        <v>65.91</v>
      </c>
      <c r="J1471">
        <v>-110400</v>
      </c>
      <c r="K1471" s="249">
        <v>-457332</v>
      </c>
      <c r="L1471" s="249">
        <v>-479741.26799999998</v>
      </c>
      <c r="M1471" s="249">
        <v>-502768.848864</v>
      </c>
      <c r="N1471" s="249">
        <v>-526901.75360947195</v>
      </c>
    </row>
    <row r="1473" spans="1:14" x14ac:dyDescent="0.25">
      <c r="C1473" t="s">
        <v>70</v>
      </c>
      <c r="J1473">
        <v>0</v>
      </c>
    </row>
    <row r="1475" spans="1:14" x14ac:dyDescent="0.25">
      <c r="A1475" t="s">
        <v>821</v>
      </c>
      <c r="C1475" t="s">
        <v>72</v>
      </c>
      <c r="D1475" s="67">
        <v>-669425</v>
      </c>
      <c r="E1475">
        <v>-141346.4</v>
      </c>
      <c r="F1475">
        <v>0</v>
      </c>
      <c r="G1475">
        <v>-848078.4</v>
      </c>
      <c r="H1475">
        <v>-563200.6</v>
      </c>
      <c r="I1475">
        <v>60.09</v>
      </c>
      <c r="J1475">
        <v>669425</v>
      </c>
      <c r="K1475" s="249">
        <v>0</v>
      </c>
      <c r="L1475" s="249">
        <v>0</v>
      </c>
      <c r="M1475" s="249">
        <v>0</v>
      </c>
      <c r="N1475" s="249">
        <v>0</v>
      </c>
    </row>
    <row r="1477" spans="1:14" x14ac:dyDescent="0.25">
      <c r="C1477" t="s">
        <v>77</v>
      </c>
      <c r="D1477" s="67">
        <v>-669425</v>
      </c>
      <c r="E1477">
        <v>-141346.4</v>
      </c>
      <c r="F1477">
        <v>0</v>
      </c>
      <c r="G1477">
        <v>-848078.4</v>
      </c>
      <c r="H1477">
        <v>-563200.6</v>
      </c>
      <c r="I1477">
        <v>0</v>
      </c>
      <c r="J1477">
        <v>669425</v>
      </c>
      <c r="K1477" s="249">
        <v>0</v>
      </c>
      <c r="L1477" s="249">
        <v>0</v>
      </c>
      <c r="M1477" s="249">
        <v>0</v>
      </c>
      <c r="N1477" s="249">
        <v>0</v>
      </c>
    </row>
    <row r="1479" spans="1:14" x14ac:dyDescent="0.25">
      <c r="C1479" t="s">
        <v>94</v>
      </c>
      <c r="D1479" s="67">
        <v>-1016357</v>
      </c>
      <c r="E1479">
        <v>-181893.95</v>
      </c>
      <c r="F1479">
        <v>0</v>
      </c>
      <c r="G1479">
        <v>-1076744.3900000001</v>
      </c>
      <c r="H1479">
        <v>-681466.61</v>
      </c>
      <c r="I1479">
        <v>22.49</v>
      </c>
      <c r="J1479">
        <v>559025</v>
      </c>
      <c r="K1479" s="249">
        <v>-457332</v>
      </c>
      <c r="L1479" s="249">
        <v>-479741.26799999998</v>
      </c>
      <c r="M1479" s="249">
        <v>-502768.848864</v>
      </c>
      <c r="N1479" s="249">
        <v>-526901.75360947195</v>
      </c>
    </row>
    <row r="1481" spans="1:14" x14ac:dyDescent="0.25">
      <c r="C1481" t="s">
        <v>95</v>
      </c>
      <c r="D1481" s="67">
        <v>-164808540</v>
      </c>
      <c r="E1481">
        <v>-48864895.950000003</v>
      </c>
      <c r="F1481">
        <v>0</v>
      </c>
      <c r="G1481">
        <v>-117141949.38</v>
      </c>
      <c r="H1481">
        <v>-47230051.619999997</v>
      </c>
      <c r="I1481">
        <v>71.44</v>
      </c>
      <c r="J1481">
        <v>-4007859</v>
      </c>
      <c r="K1481" s="249">
        <v>-168816399</v>
      </c>
      <c r="L1481" s="249">
        <v>-177418421.28299999</v>
      </c>
      <c r="M1481" s="249">
        <v>-184438026.14455399</v>
      </c>
      <c r="N1481" s="249">
        <v>-192682646.88490123</v>
      </c>
    </row>
    <row r="1483" spans="1:14" x14ac:dyDescent="0.25">
      <c r="C1483" t="s">
        <v>96</v>
      </c>
      <c r="J1483">
        <v>0</v>
      </c>
    </row>
    <row r="1484" spans="1:14" x14ac:dyDescent="0.25">
      <c r="C1484" t="s">
        <v>97</v>
      </c>
      <c r="J1484">
        <v>0</v>
      </c>
    </row>
    <row r="1485" spans="1:14" x14ac:dyDescent="0.25">
      <c r="C1485" t="s">
        <v>98</v>
      </c>
      <c r="J1485">
        <v>0</v>
      </c>
    </row>
    <row r="1486" spans="1:14" x14ac:dyDescent="0.25">
      <c r="C1486" t="s">
        <v>99</v>
      </c>
      <c r="J1486">
        <v>0</v>
      </c>
    </row>
    <row r="1487" spans="1:14" x14ac:dyDescent="0.25">
      <c r="C1487" t="s">
        <v>107</v>
      </c>
      <c r="J1487">
        <v>0</v>
      </c>
    </row>
    <row r="1489" spans="1:14" x14ac:dyDescent="0.25">
      <c r="A1489" t="s">
        <v>822</v>
      </c>
      <c r="C1489" t="s">
        <v>108</v>
      </c>
      <c r="D1489" s="67">
        <v>601072</v>
      </c>
      <c r="E1489">
        <v>-141346.4</v>
      </c>
      <c r="F1489">
        <v>0</v>
      </c>
      <c r="G1489">
        <v>-848078.4</v>
      </c>
      <c r="H1489">
        <v>-563200.6</v>
      </c>
      <c r="I1489">
        <v>60.09</v>
      </c>
      <c r="J1489">
        <v>0</v>
      </c>
      <c r="K1489" s="249">
        <v>601072</v>
      </c>
      <c r="L1489" s="249">
        <v>638639</v>
      </c>
      <c r="M1489" s="249">
        <v>683343.73</v>
      </c>
      <c r="N1489" s="249">
        <v>731177.79110000003</v>
      </c>
    </row>
    <row r="1490" spans="1:14" x14ac:dyDescent="0.25">
      <c r="A1490" t="s">
        <v>823</v>
      </c>
      <c r="C1490" t="s">
        <v>109</v>
      </c>
      <c r="D1490" s="67">
        <v>30054</v>
      </c>
      <c r="E1490">
        <v>-141346.4</v>
      </c>
      <c r="F1490">
        <v>0</v>
      </c>
      <c r="G1490">
        <v>-848078.4</v>
      </c>
      <c r="H1490">
        <v>-563200.6</v>
      </c>
      <c r="I1490">
        <v>60.09</v>
      </c>
      <c r="J1490">
        <v>0</v>
      </c>
      <c r="K1490" s="249">
        <v>30054</v>
      </c>
      <c r="L1490" s="249">
        <v>31932.375</v>
      </c>
      <c r="M1490" s="249">
        <v>34167.641250000001</v>
      </c>
      <c r="N1490" s="249">
        <v>36559.376137500003</v>
      </c>
    </row>
    <row r="1491" spans="1:14" x14ac:dyDescent="0.25">
      <c r="A1491" t="s">
        <v>824</v>
      </c>
      <c r="C1491" t="s">
        <v>110</v>
      </c>
      <c r="D1491" s="67">
        <v>40000</v>
      </c>
      <c r="E1491">
        <v>-141346.4</v>
      </c>
      <c r="F1491">
        <v>0</v>
      </c>
      <c r="G1491">
        <v>-848078.4</v>
      </c>
      <c r="H1491">
        <v>-563200.6</v>
      </c>
      <c r="I1491">
        <v>60.09</v>
      </c>
      <c r="J1491">
        <v>0</v>
      </c>
      <c r="K1491" s="249">
        <v>40000</v>
      </c>
      <c r="L1491" s="249">
        <v>42500</v>
      </c>
      <c r="M1491" s="249">
        <v>45475</v>
      </c>
      <c r="N1491" s="249">
        <v>48658.25</v>
      </c>
    </row>
    <row r="1492" spans="1:14" x14ac:dyDescent="0.25">
      <c r="A1492" t="s">
        <v>825</v>
      </c>
      <c r="C1492" t="s">
        <v>111</v>
      </c>
      <c r="D1492" s="67">
        <v>205628</v>
      </c>
      <c r="E1492">
        <v>-141346.4</v>
      </c>
      <c r="F1492">
        <v>0</v>
      </c>
      <c r="G1492">
        <v>-848078.4</v>
      </c>
      <c r="H1492">
        <v>-563200.6</v>
      </c>
      <c r="I1492">
        <v>60.09</v>
      </c>
      <c r="J1492">
        <v>0</v>
      </c>
      <c r="K1492" s="249">
        <v>205628</v>
      </c>
      <c r="L1492" s="249">
        <v>218479.75</v>
      </c>
      <c r="M1492" s="249">
        <v>233773.33249999999</v>
      </c>
      <c r="N1492" s="249">
        <v>250137.46577499999</v>
      </c>
    </row>
    <row r="1493" spans="1:14" x14ac:dyDescent="0.25">
      <c r="A1493" t="s">
        <v>826</v>
      </c>
      <c r="C1493" t="s">
        <v>112</v>
      </c>
      <c r="D1493" s="67">
        <v>17000</v>
      </c>
      <c r="E1493">
        <v>-141346.4</v>
      </c>
      <c r="F1493">
        <v>0</v>
      </c>
      <c r="G1493">
        <v>-848078.4</v>
      </c>
      <c r="H1493">
        <v>-563200.6</v>
      </c>
      <c r="I1493">
        <v>60.09</v>
      </c>
      <c r="J1493">
        <v>0</v>
      </c>
      <c r="K1493" s="249">
        <v>17000</v>
      </c>
      <c r="L1493" s="249">
        <v>18062.5</v>
      </c>
      <c r="M1493" s="249">
        <v>19326.875</v>
      </c>
      <c r="N1493" s="249">
        <v>20679.756249999999</v>
      </c>
    </row>
    <row r="1494" spans="1:14" x14ac:dyDescent="0.25">
      <c r="A1494" t="s">
        <v>827</v>
      </c>
      <c r="C1494" t="s">
        <v>113</v>
      </c>
      <c r="D1494" s="67">
        <v>18580</v>
      </c>
      <c r="E1494">
        <v>-141346.4</v>
      </c>
      <c r="F1494">
        <v>0</v>
      </c>
      <c r="G1494">
        <v>-848078.4</v>
      </c>
      <c r="H1494">
        <v>-563200.6</v>
      </c>
      <c r="I1494">
        <v>60.09</v>
      </c>
      <c r="J1494">
        <v>-18580</v>
      </c>
      <c r="K1494" s="249">
        <v>0</v>
      </c>
      <c r="L1494" s="249">
        <v>0</v>
      </c>
      <c r="M1494" s="249">
        <v>0</v>
      </c>
    </row>
    <row r="1496" spans="1:14" x14ac:dyDescent="0.25">
      <c r="C1496" t="s">
        <v>114</v>
      </c>
      <c r="D1496" s="67">
        <v>912334</v>
      </c>
      <c r="E1496">
        <v>-848078.4</v>
      </c>
      <c r="F1496">
        <v>0</v>
      </c>
      <c r="G1496">
        <v>-5088470.4000000004</v>
      </c>
      <c r="H1496">
        <v>-3379203.6</v>
      </c>
      <c r="I1496">
        <v>45.02</v>
      </c>
      <c r="J1496">
        <v>-18580</v>
      </c>
      <c r="K1496" s="249">
        <v>893754</v>
      </c>
      <c r="L1496" s="249">
        <v>949613.625</v>
      </c>
      <c r="M1496" s="249">
        <v>1016086.57875</v>
      </c>
      <c r="N1496" s="249">
        <v>1087212.6392625002</v>
      </c>
    </row>
    <row r="1498" spans="1:14" x14ac:dyDescent="0.25">
      <c r="C1498" t="s">
        <v>146</v>
      </c>
      <c r="D1498" s="67">
        <v>912334</v>
      </c>
      <c r="E1498">
        <v>-848078.4</v>
      </c>
      <c r="F1498">
        <v>0</v>
      </c>
      <c r="G1498">
        <v>-5088470.4000000004</v>
      </c>
      <c r="H1498">
        <v>-3379203.6</v>
      </c>
      <c r="I1498">
        <v>45.02</v>
      </c>
      <c r="J1498">
        <v>-18580</v>
      </c>
      <c r="K1498" s="249">
        <v>893754</v>
      </c>
      <c r="L1498" s="249">
        <v>949613.625</v>
      </c>
      <c r="M1498" s="249">
        <v>1016086.57875</v>
      </c>
      <c r="N1498" s="249">
        <v>1087212.6392625002</v>
      </c>
    </row>
    <row r="1500" spans="1:14" x14ac:dyDescent="0.25">
      <c r="C1500" t="s">
        <v>147</v>
      </c>
      <c r="D1500" s="67">
        <v>912334</v>
      </c>
      <c r="E1500">
        <v>-848078.4</v>
      </c>
      <c r="F1500">
        <v>0</v>
      </c>
      <c r="G1500">
        <v>-5088470.4000000004</v>
      </c>
      <c r="H1500">
        <v>-3379203.6</v>
      </c>
      <c r="I1500">
        <v>45.02</v>
      </c>
      <c r="J1500">
        <v>-18580</v>
      </c>
      <c r="K1500" s="249">
        <v>893754</v>
      </c>
      <c r="L1500" s="249">
        <v>949613.625</v>
      </c>
      <c r="M1500" s="249">
        <v>1016086.57875</v>
      </c>
      <c r="N1500" s="249">
        <v>1087212.6392625002</v>
      </c>
    </row>
    <row r="1502" spans="1:14" x14ac:dyDescent="0.25">
      <c r="C1502" t="s">
        <v>148</v>
      </c>
      <c r="J1502">
        <v>0</v>
      </c>
    </row>
    <row r="1503" spans="1:14" x14ac:dyDescent="0.25">
      <c r="C1503" t="s">
        <v>149</v>
      </c>
      <c r="J1503">
        <v>0</v>
      </c>
    </row>
    <row r="1505" spans="1:14" x14ac:dyDescent="0.25">
      <c r="A1505" t="s">
        <v>828</v>
      </c>
      <c r="C1505" t="s">
        <v>150</v>
      </c>
      <c r="D1505" s="67">
        <v>514319</v>
      </c>
      <c r="E1505">
        <v>-141346.4</v>
      </c>
      <c r="F1505">
        <v>0</v>
      </c>
      <c r="G1505">
        <v>-848078.4</v>
      </c>
      <c r="H1505">
        <v>-563200.6</v>
      </c>
      <c r="I1505">
        <v>60.09</v>
      </c>
      <c r="J1505">
        <v>0</v>
      </c>
      <c r="K1505" s="249">
        <v>514319</v>
      </c>
      <c r="L1505" s="249">
        <v>546463.9375</v>
      </c>
      <c r="M1505" s="249">
        <v>584716.41312499996</v>
      </c>
      <c r="N1505" s="249">
        <v>625646.56204374996</v>
      </c>
    </row>
    <row r="1506" spans="1:14" x14ac:dyDescent="0.25">
      <c r="A1506" t="s">
        <v>829</v>
      </c>
      <c r="C1506" t="s">
        <v>151</v>
      </c>
      <c r="D1506" s="67">
        <v>25716</v>
      </c>
      <c r="E1506">
        <v>-141346.4</v>
      </c>
      <c r="F1506">
        <v>0</v>
      </c>
      <c r="G1506">
        <v>-848078.4</v>
      </c>
      <c r="H1506">
        <v>-563200.6</v>
      </c>
      <c r="I1506">
        <v>60.09</v>
      </c>
      <c r="J1506">
        <v>-17248.910000000003</v>
      </c>
      <c r="K1506" s="249">
        <v>8467.0899999999965</v>
      </c>
      <c r="L1506" s="249">
        <v>8996.2831249999963</v>
      </c>
      <c r="M1506" s="249">
        <v>9626.0229437499966</v>
      </c>
      <c r="N1506" s="249">
        <v>10299.844549812497</v>
      </c>
    </row>
    <row r="1507" spans="1:14" x14ac:dyDescent="0.25">
      <c r="A1507" t="s">
        <v>830</v>
      </c>
      <c r="C1507" t="s">
        <v>153</v>
      </c>
      <c r="D1507" s="67">
        <v>0</v>
      </c>
      <c r="E1507">
        <v>-141346.4</v>
      </c>
      <c r="F1507">
        <v>0</v>
      </c>
      <c r="G1507">
        <v>-848078.4</v>
      </c>
      <c r="H1507">
        <v>-563200.6</v>
      </c>
      <c r="I1507">
        <v>60.09</v>
      </c>
      <c r="J1507">
        <v>10893.24</v>
      </c>
      <c r="K1507" s="249">
        <v>10893.24</v>
      </c>
      <c r="L1507" s="249">
        <v>11574.067499999999</v>
      </c>
      <c r="M1507" s="249">
        <v>12384.252224999998</v>
      </c>
      <c r="N1507" s="249">
        <v>13251.149880749997</v>
      </c>
    </row>
    <row r="1508" spans="1:14" x14ac:dyDescent="0.25">
      <c r="A1508" t="s">
        <v>831</v>
      </c>
      <c r="C1508" t="s">
        <v>155</v>
      </c>
      <c r="D1508" s="67">
        <v>17067</v>
      </c>
      <c r="E1508">
        <v>-141346.4</v>
      </c>
      <c r="F1508">
        <v>0</v>
      </c>
      <c r="G1508">
        <v>-848078.4</v>
      </c>
      <c r="H1508">
        <v>-563200.6</v>
      </c>
      <c r="I1508">
        <v>60.09</v>
      </c>
      <c r="J1508">
        <v>0</v>
      </c>
      <c r="K1508" s="249">
        <v>17067</v>
      </c>
      <c r="L1508" s="249">
        <v>18133.6875</v>
      </c>
      <c r="M1508" s="249">
        <v>19403.045624999999</v>
      </c>
      <c r="N1508" s="249">
        <v>20761.258818750001</v>
      </c>
    </row>
    <row r="1509" spans="1:14" x14ac:dyDescent="0.25">
      <c r="A1509" t="s">
        <v>832</v>
      </c>
      <c r="C1509" t="s">
        <v>157</v>
      </c>
      <c r="D1509" s="67">
        <v>27826</v>
      </c>
      <c r="E1509">
        <v>-141346.4</v>
      </c>
      <c r="F1509">
        <v>0</v>
      </c>
      <c r="G1509">
        <v>-848078.4</v>
      </c>
      <c r="H1509">
        <v>-563200.6</v>
      </c>
      <c r="I1509">
        <v>60.09</v>
      </c>
      <c r="J1509">
        <v>0</v>
      </c>
      <c r="K1509" s="249">
        <v>27826</v>
      </c>
      <c r="L1509" s="249">
        <v>29565.125</v>
      </c>
      <c r="M1509" s="249">
        <v>31634.68375</v>
      </c>
      <c r="N1509" s="249">
        <v>33849.111612499997</v>
      </c>
    </row>
    <row r="1510" spans="1:14" x14ac:dyDescent="0.25">
      <c r="A1510" t="s">
        <v>833</v>
      </c>
      <c r="C1510" t="s">
        <v>159</v>
      </c>
      <c r="D1510" s="67">
        <v>42860</v>
      </c>
      <c r="E1510">
        <v>-141346.4</v>
      </c>
      <c r="F1510">
        <v>0</v>
      </c>
      <c r="G1510">
        <v>-848078.4</v>
      </c>
      <c r="H1510">
        <v>-563200.6</v>
      </c>
      <c r="I1510">
        <v>60.09</v>
      </c>
      <c r="J1510">
        <v>27140</v>
      </c>
      <c r="K1510" s="249">
        <v>70000</v>
      </c>
      <c r="L1510" s="249">
        <v>74375</v>
      </c>
      <c r="M1510" s="249">
        <v>79581.25</v>
      </c>
      <c r="N1510" s="249">
        <v>85151.9375</v>
      </c>
    </row>
    <row r="1511" spans="1:14" x14ac:dyDescent="0.25">
      <c r="A1511" t="s">
        <v>834</v>
      </c>
      <c r="C1511" t="s">
        <v>164</v>
      </c>
      <c r="D1511" s="67">
        <v>32457</v>
      </c>
      <c r="E1511">
        <v>-141346.4</v>
      </c>
      <c r="F1511">
        <v>0</v>
      </c>
      <c r="G1511">
        <v>-848078.4</v>
      </c>
      <c r="H1511">
        <v>-563200.6</v>
      </c>
      <c r="I1511">
        <v>60.09</v>
      </c>
      <c r="J1511">
        <v>0</v>
      </c>
      <c r="K1511" s="249">
        <v>32457</v>
      </c>
      <c r="L1511" s="249">
        <v>34485.5625</v>
      </c>
      <c r="M1511" s="249">
        <v>36899.551874999997</v>
      </c>
      <c r="N1511" s="249">
        <v>39482.520506249995</v>
      </c>
    </row>
    <row r="1513" spans="1:14" x14ac:dyDescent="0.25">
      <c r="C1513" t="s">
        <v>165</v>
      </c>
      <c r="D1513" s="67">
        <v>660245</v>
      </c>
      <c r="E1513">
        <v>-989424.8</v>
      </c>
      <c r="F1513">
        <v>0</v>
      </c>
      <c r="G1513">
        <v>-5936548.8000000007</v>
      </c>
      <c r="H1513">
        <v>-3942404.2</v>
      </c>
      <c r="I1513">
        <v>52.82</v>
      </c>
      <c r="J1513">
        <v>20784.329999999958</v>
      </c>
      <c r="K1513" s="249">
        <v>681029.33</v>
      </c>
      <c r="L1513" s="249">
        <v>723593.66312499996</v>
      </c>
      <c r="M1513" s="249">
        <v>774245.21954374993</v>
      </c>
      <c r="N1513" s="249">
        <v>828442.38491181249</v>
      </c>
    </row>
    <row r="1515" spans="1:14" x14ac:dyDescent="0.25">
      <c r="C1515" t="s">
        <v>166</v>
      </c>
      <c r="J1515">
        <v>0</v>
      </c>
    </row>
    <row r="1517" spans="1:14" x14ac:dyDescent="0.25">
      <c r="A1517" t="s">
        <v>835</v>
      </c>
      <c r="C1517" t="s">
        <v>167</v>
      </c>
      <c r="D1517" s="67">
        <v>225</v>
      </c>
      <c r="E1517">
        <v>-141346.4</v>
      </c>
      <c r="F1517">
        <v>0</v>
      </c>
      <c r="G1517">
        <v>-848078.4</v>
      </c>
      <c r="H1517">
        <v>-563200.6</v>
      </c>
      <c r="I1517">
        <v>60.09</v>
      </c>
      <c r="J1517">
        <v>0</v>
      </c>
      <c r="K1517" s="249">
        <v>225</v>
      </c>
      <c r="L1517" s="249">
        <v>239.0625</v>
      </c>
      <c r="M1517" s="249">
        <v>255.796875</v>
      </c>
      <c r="N1517" s="249">
        <v>273.70265625000002</v>
      </c>
    </row>
    <row r="1518" spans="1:14" x14ac:dyDescent="0.25">
      <c r="A1518" t="s">
        <v>836</v>
      </c>
      <c r="C1518" t="s">
        <v>168</v>
      </c>
      <c r="D1518" s="67">
        <v>107816</v>
      </c>
      <c r="E1518">
        <v>-141346.4</v>
      </c>
      <c r="F1518">
        <v>0</v>
      </c>
      <c r="G1518">
        <v>-848078.4</v>
      </c>
      <c r="H1518">
        <v>-563200.6</v>
      </c>
      <c r="I1518">
        <v>60.09</v>
      </c>
      <c r="J1518">
        <v>-60000</v>
      </c>
      <c r="K1518" s="249">
        <v>47816</v>
      </c>
      <c r="L1518" s="249">
        <v>50804.5</v>
      </c>
      <c r="M1518" s="249">
        <v>54360.815000000002</v>
      </c>
      <c r="N1518" s="249">
        <v>58166.072050000002</v>
      </c>
    </row>
    <row r="1519" spans="1:14" x14ac:dyDescent="0.25">
      <c r="A1519" t="s">
        <v>837</v>
      </c>
      <c r="C1519" t="s">
        <v>169</v>
      </c>
      <c r="D1519" s="67">
        <v>113150</v>
      </c>
      <c r="E1519">
        <v>-141346.4</v>
      </c>
      <c r="F1519">
        <v>0</v>
      </c>
      <c r="G1519">
        <v>-848078.4</v>
      </c>
      <c r="H1519">
        <v>-563200.6</v>
      </c>
      <c r="I1519">
        <v>60.09</v>
      </c>
      <c r="J1519">
        <v>0</v>
      </c>
      <c r="K1519" s="249">
        <v>113150</v>
      </c>
      <c r="L1519" s="249">
        <v>120221.875</v>
      </c>
      <c r="M1519" s="249">
        <v>128637.40625</v>
      </c>
      <c r="N1519" s="249">
        <v>137642.0246875</v>
      </c>
    </row>
    <row r="1520" spans="1:14" x14ac:dyDescent="0.25">
      <c r="A1520" t="s">
        <v>838</v>
      </c>
      <c r="C1520" t="s">
        <v>170</v>
      </c>
      <c r="D1520" s="67">
        <v>3570</v>
      </c>
      <c r="E1520">
        <v>-141346.4</v>
      </c>
      <c r="F1520">
        <v>0</v>
      </c>
      <c r="G1520">
        <v>-848078.4</v>
      </c>
      <c r="H1520">
        <v>-563200.6</v>
      </c>
      <c r="I1520">
        <v>60.09</v>
      </c>
      <c r="J1520">
        <v>0</v>
      </c>
      <c r="K1520" s="249">
        <v>3570</v>
      </c>
      <c r="L1520" s="249">
        <v>3793.125</v>
      </c>
      <c r="M1520" s="249">
        <v>4058.6437500000002</v>
      </c>
      <c r="N1520" s="249">
        <v>4342.7488125</v>
      </c>
    </row>
    <row r="1522" spans="1:14" x14ac:dyDescent="0.25">
      <c r="C1522" t="s">
        <v>171</v>
      </c>
      <c r="D1522" s="67">
        <v>224761</v>
      </c>
      <c r="E1522">
        <v>-565385.6</v>
      </c>
      <c r="F1522">
        <v>0</v>
      </c>
      <c r="G1522">
        <v>-3392313.6</v>
      </c>
      <c r="H1522">
        <v>-2252802.4</v>
      </c>
      <c r="I1522">
        <v>28.72</v>
      </c>
      <c r="J1522">
        <v>-60000</v>
      </c>
      <c r="K1522" s="249">
        <v>164761</v>
      </c>
      <c r="L1522" s="249">
        <v>175058.5625</v>
      </c>
      <c r="M1522" s="249">
        <v>187312.66187499999</v>
      </c>
      <c r="N1522" s="249">
        <v>200424.54820625001</v>
      </c>
    </row>
    <row r="1524" spans="1:14" x14ac:dyDescent="0.25">
      <c r="C1524" t="s">
        <v>172</v>
      </c>
      <c r="J1524">
        <v>0</v>
      </c>
    </row>
    <row r="1526" spans="1:14" x14ac:dyDescent="0.25">
      <c r="A1526" t="s">
        <v>839</v>
      </c>
      <c r="C1526" t="s">
        <v>173</v>
      </c>
      <c r="D1526" s="67">
        <v>6657</v>
      </c>
      <c r="E1526">
        <v>-141346.4</v>
      </c>
      <c r="F1526">
        <v>0</v>
      </c>
      <c r="G1526">
        <v>-848078.4</v>
      </c>
      <c r="H1526">
        <v>-563200.6</v>
      </c>
      <c r="I1526">
        <v>60.09</v>
      </c>
      <c r="J1526">
        <v>0</v>
      </c>
      <c r="K1526" s="249">
        <v>6657</v>
      </c>
      <c r="L1526" s="249">
        <v>7073.0625</v>
      </c>
      <c r="M1526" s="249">
        <v>7568.1768750000001</v>
      </c>
      <c r="N1526" s="249">
        <v>8097.94925625</v>
      </c>
    </row>
    <row r="1527" spans="1:14" x14ac:dyDescent="0.25">
      <c r="A1527" t="s">
        <v>840</v>
      </c>
      <c r="C1527" t="s">
        <v>174</v>
      </c>
      <c r="D1527" s="67">
        <v>6718</v>
      </c>
      <c r="E1527">
        <v>-141346.4</v>
      </c>
      <c r="F1527">
        <v>0</v>
      </c>
      <c r="G1527">
        <v>-848078.4</v>
      </c>
      <c r="H1527">
        <v>-563200.6</v>
      </c>
      <c r="I1527">
        <v>60.09</v>
      </c>
      <c r="J1527">
        <v>0</v>
      </c>
      <c r="K1527" s="249">
        <v>6718</v>
      </c>
      <c r="L1527" s="249">
        <v>7137.875</v>
      </c>
      <c r="M1527" s="249">
        <v>7637.5262499999999</v>
      </c>
      <c r="N1527" s="249">
        <v>8172.1530874999999</v>
      </c>
    </row>
    <row r="1528" spans="1:14" x14ac:dyDescent="0.25">
      <c r="A1528" t="s">
        <v>1393</v>
      </c>
      <c r="C1528" t="s">
        <v>1392</v>
      </c>
      <c r="D1528" s="67">
        <v>0</v>
      </c>
      <c r="E1528">
        <v>-141346.4</v>
      </c>
      <c r="F1528">
        <v>0</v>
      </c>
      <c r="G1528">
        <v>-848078.4</v>
      </c>
      <c r="H1528">
        <v>-563200.6</v>
      </c>
      <c r="I1528">
        <v>60.09</v>
      </c>
      <c r="J1528">
        <v>150000</v>
      </c>
      <c r="K1528" s="249">
        <v>150000</v>
      </c>
      <c r="L1528" s="249">
        <v>159375</v>
      </c>
      <c r="M1528" s="249">
        <v>170531.25</v>
      </c>
      <c r="N1528" s="249">
        <v>182468.4375</v>
      </c>
    </row>
    <row r="1529" spans="1:14" x14ac:dyDescent="0.25">
      <c r="A1529" t="s">
        <v>841</v>
      </c>
      <c r="C1529" t="s">
        <v>175</v>
      </c>
      <c r="D1529" s="67">
        <v>9290</v>
      </c>
      <c r="E1529">
        <v>-141346.4</v>
      </c>
      <c r="F1529">
        <v>0</v>
      </c>
      <c r="G1529">
        <v>-848078.4</v>
      </c>
      <c r="H1529">
        <v>-563200.6</v>
      </c>
      <c r="I1529">
        <v>60.09</v>
      </c>
      <c r="J1529">
        <v>0</v>
      </c>
      <c r="K1529" s="249">
        <v>9290</v>
      </c>
      <c r="L1529" s="249">
        <v>9870.625</v>
      </c>
      <c r="M1529" s="249">
        <v>10561.56875</v>
      </c>
      <c r="N1529" s="249">
        <v>11300.8785625</v>
      </c>
    </row>
    <row r="1531" spans="1:14" x14ac:dyDescent="0.25">
      <c r="C1531" t="s">
        <v>176</v>
      </c>
      <c r="D1531" s="67">
        <v>22665</v>
      </c>
      <c r="E1531">
        <v>-565385.6</v>
      </c>
      <c r="F1531">
        <v>0</v>
      </c>
      <c r="G1531">
        <v>-3392313.6</v>
      </c>
      <c r="H1531">
        <v>-2252802.4</v>
      </c>
      <c r="I1531">
        <v>0</v>
      </c>
      <c r="J1531">
        <v>150000</v>
      </c>
      <c r="K1531" s="249">
        <v>172665</v>
      </c>
      <c r="L1531" s="249">
        <v>183456.5625</v>
      </c>
      <c r="M1531" s="249">
        <v>196298.52187500001</v>
      </c>
      <c r="N1531" s="249">
        <v>210039.41840625001</v>
      </c>
    </row>
    <row r="1533" spans="1:14" x14ac:dyDescent="0.25">
      <c r="C1533" t="s">
        <v>177</v>
      </c>
      <c r="D1533" s="67">
        <v>907671</v>
      </c>
      <c r="E1533">
        <v>-2120196</v>
      </c>
      <c r="F1533">
        <v>0</v>
      </c>
      <c r="G1533">
        <v>-12721176</v>
      </c>
      <c r="H1533">
        <v>-8448009</v>
      </c>
      <c r="I1533">
        <v>45.53</v>
      </c>
      <c r="J1533">
        <v>110784.32999999996</v>
      </c>
      <c r="K1533" s="249">
        <v>1018455.33</v>
      </c>
      <c r="L1533" s="249">
        <v>1082108.788125</v>
      </c>
      <c r="M1533" s="249">
        <v>1157856.40329375</v>
      </c>
      <c r="N1533" s="249">
        <v>1238906.3515243125</v>
      </c>
    </row>
    <row r="1535" spans="1:14" x14ac:dyDescent="0.25">
      <c r="C1535" t="s">
        <v>178</v>
      </c>
      <c r="D1535" s="67">
        <v>1820005</v>
      </c>
      <c r="E1535">
        <v>-2968274.4</v>
      </c>
      <c r="F1535">
        <v>0</v>
      </c>
      <c r="G1535">
        <v>-17809646.399999999</v>
      </c>
      <c r="H1535">
        <v>-11827212.6</v>
      </c>
      <c r="I1535">
        <v>45.28</v>
      </c>
      <c r="J1535">
        <v>92204.330000000075</v>
      </c>
      <c r="K1535" s="249">
        <v>1912209.33</v>
      </c>
      <c r="L1535" s="249">
        <v>2031722.413125</v>
      </c>
      <c r="M1535" s="249">
        <v>2173942.9820437501</v>
      </c>
      <c r="N1535" s="249">
        <v>2326118.9907868127</v>
      </c>
    </row>
    <row r="1537" spans="1:14" x14ac:dyDescent="0.25">
      <c r="C1537" t="s">
        <v>208</v>
      </c>
      <c r="J1537">
        <v>0</v>
      </c>
    </row>
    <row r="1539" spans="1:14" x14ac:dyDescent="0.25">
      <c r="C1539" t="s">
        <v>209</v>
      </c>
      <c r="J1539">
        <v>0</v>
      </c>
    </row>
    <row r="1541" spans="1:14" x14ac:dyDescent="0.25">
      <c r="A1541" t="s">
        <v>842</v>
      </c>
      <c r="C1541" t="s">
        <v>213</v>
      </c>
      <c r="D1541" s="67">
        <v>1000000</v>
      </c>
      <c r="E1541">
        <v>-141346.4</v>
      </c>
      <c r="F1541">
        <v>0</v>
      </c>
      <c r="G1541">
        <v>-848078.4</v>
      </c>
      <c r="H1541">
        <v>-563200.6</v>
      </c>
      <c r="I1541">
        <v>60.09</v>
      </c>
      <c r="J1541">
        <v>150000</v>
      </c>
      <c r="K1541" s="249">
        <v>1150000</v>
      </c>
      <c r="L1541" s="249">
        <v>800000</v>
      </c>
      <c r="M1541" s="249">
        <v>848000</v>
      </c>
      <c r="N1541" s="249">
        <v>898880</v>
      </c>
    </row>
    <row r="1542" spans="1:14" x14ac:dyDescent="0.25">
      <c r="C1542" t="s">
        <v>3047</v>
      </c>
    </row>
    <row r="1544" spans="1:14" x14ac:dyDescent="0.25">
      <c r="C1544" t="s">
        <v>217</v>
      </c>
      <c r="D1544" s="67">
        <v>1000000</v>
      </c>
      <c r="E1544">
        <v>-141346.4</v>
      </c>
      <c r="F1544">
        <v>0</v>
      </c>
      <c r="G1544">
        <v>-848078.4</v>
      </c>
      <c r="H1544">
        <v>-563200.6</v>
      </c>
      <c r="I1544">
        <v>32.47</v>
      </c>
      <c r="J1544">
        <v>150000</v>
      </c>
      <c r="K1544" s="249">
        <v>1150000</v>
      </c>
      <c r="L1544" s="249">
        <v>800000</v>
      </c>
      <c r="M1544" s="249">
        <v>848000</v>
      </c>
      <c r="N1544" s="249">
        <v>898880</v>
      </c>
    </row>
    <row r="1546" spans="1:14" x14ac:dyDescent="0.25">
      <c r="C1546" t="s">
        <v>218</v>
      </c>
      <c r="J1546">
        <v>0</v>
      </c>
    </row>
    <row r="1548" spans="1:14" x14ac:dyDescent="0.25">
      <c r="A1548" t="s">
        <v>843</v>
      </c>
      <c r="C1548" t="s">
        <v>219</v>
      </c>
      <c r="D1548" s="67">
        <v>2650000</v>
      </c>
      <c r="E1548">
        <v>-141346.4</v>
      </c>
      <c r="F1548">
        <v>0</v>
      </c>
      <c r="G1548">
        <v>-848078.4</v>
      </c>
      <c r="H1548">
        <v>-563200.6</v>
      </c>
      <c r="I1548">
        <v>60.09</v>
      </c>
      <c r="J1548">
        <v>300000</v>
      </c>
      <c r="K1548" s="249">
        <v>2950000</v>
      </c>
      <c r="L1548" s="249">
        <v>3000000</v>
      </c>
      <c r="M1548" s="249">
        <v>3180000</v>
      </c>
      <c r="N1548" s="249">
        <v>3370800</v>
      </c>
    </row>
    <row r="1550" spans="1:14" x14ac:dyDescent="0.25">
      <c r="C1550" t="s">
        <v>227</v>
      </c>
      <c r="D1550" s="67">
        <v>2650000</v>
      </c>
      <c r="E1550">
        <v>-141346.4</v>
      </c>
      <c r="F1550">
        <v>0</v>
      </c>
      <c r="G1550">
        <v>-848078.4</v>
      </c>
      <c r="H1550">
        <v>-563200.6</v>
      </c>
      <c r="I1550">
        <v>79.7</v>
      </c>
      <c r="J1550">
        <v>300000</v>
      </c>
      <c r="K1550" s="249">
        <v>2950000</v>
      </c>
      <c r="L1550" s="249">
        <v>3000000</v>
      </c>
      <c r="M1550" s="249">
        <v>3180000</v>
      </c>
      <c r="N1550" s="249">
        <v>3370800</v>
      </c>
    </row>
    <row r="1552" spans="1:14" x14ac:dyDescent="0.25">
      <c r="C1552" t="s">
        <v>228</v>
      </c>
      <c r="J1552">
        <v>0</v>
      </c>
    </row>
    <row r="1554" spans="1:14" x14ac:dyDescent="0.25">
      <c r="A1554" t="s">
        <v>844</v>
      </c>
      <c r="C1554" t="s">
        <v>229</v>
      </c>
      <c r="D1554" s="67">
        <v>600000</v>
      </c>
      <c r="E1554">
        <v>-141346.4</v>
      </c>
      <c r="F1554">
        <v>0</v>
      </c>
      <c r="G1554">
        <v>-848078.4</v>
      </c>
      <c r="H1554">
        <v>-563200.6</v>
      </c>
      <c r="I1554">
        <v>60.09</v>
      </c>
      <c r="J1554">
        <v>300000</v>
      </c>
      <c r="K1554" s="249">
        <v>900000</v>
      </c>
      <c r="L1554" s="249">
        <v>400000</v>
      </c>
      <c r="M1554" s="249">
        <v>424000</v>
      </c>
      <c r="N1554" s="249">
        <v>449440</v>
      </c>
    </row>
    <row r="1556" spans="1:14" x14ac:dyDescent="0.25">
      <c r="C1556" t="s">
        <v>239</v>
      </c>
      <c r="D1556" s="67">
        <v>600000</v>
      </c>
      <c r="E1556">
        <v>-141346.4</v>
      </c>
      <c r="F1556">
        <v>0</v>
      </c>
      <c r="G1556">
        <v>-848078.4</v>
      </c>
      <c r="H1556">
        <v>-563200.6</v>
      </c>
      <c r="I1556">
        <v>-141.34640000000002</v>
      </c>
      <c r="J1556">
        <v>300000</v>
      </c>
      <c r="K1556" s="249">
        <v>900000</v>
      </c>
      <c r="L1556" s="249">
        <v>400000</v>
      </c>
      <c r="M1556" s="249">
        <v>424000</v>
      </c>
      <c r="N1556" s="249">
        <v>449440</v>
      </c>
    </row>
    <row r="1558" spans="1:14" x14ac:dyDescent="0.25">
      <c r="C1558" t="s">
        <v>240</v>
      </c>
      <c r="D1558" s="67">
        <v>4250000</v>
      </c>
      <c r="E1558">
        <v>-424039.19999999995</v>
      </c>
      <c r="F1558">
        <v>0</v>
      </c>
      <c r="G1558">
        <v>-2544235.2000000002</v>
      </c>
      <c r="H1558">
        <v>-1689601.7999999998</v>
      </c>
      <c r="I1558">
        <v>60.68</v>
      </c>
      <c r="J1558">
        <v>750000</v>
      </c>
      <c r="K1558" s="249">
        <v>5000000</v>
      </c>
      <c r="L1558" s="249">
        <v>4200000</v>
      </c>
      <c r="M1558" s="249">
        <v>4452000</v>
      </c>
      <c r="N1558" s="249">
        <v>4719120</v>
      </c>
    </row>
    <row r="1560" spans="1:14" x14ac:dyDescent="0.25">
      <c r="C1560" t="s">
        <v>241</v>
      </c>
      <c r="J1560">
        <v>0</v>
      </c>
    </row>
    <row r="1562" spans="1:14" x14ac:dyDescent="0.25">
      <c r="A1562" t="s">
        <v>845</v>
      </c>
      <c r="C1562" t="s">
        <v>242</v>
      </c>
      <c r="D1562" s="67">
        <v>55809</v>
      </c>
      <c r="E1562">
        <v>-141346.4</v>
      </c>
      <c r="F1562">
        <v>0</v>
      </c>
      <c r="G1562">
        <v>-848078.4</v>
      </c>
      <c r="H1562">
        <v>-563200.6</v>
      </c>
      <c r="I1562">
        <v>60.09</v>
      </c>
      <c r="J1562">
        <v>-30000</v>
      </c>
      <c r="K1562" s="249">
        <v>25809</v>
      </c>
      <c r="L1562" s="249">
        <v>26970.404999999999</v>
      </c>
      <c r="M1562" s="249">
        <v>28211.04363</v>
      </c>
      <c r="N1562" s="249">
        <v>29508.75163698</v>
      </c>
    </row>
    <row r="1563" spans="1:14" x14ac:dyDescent="0.25">
      <c r="A1563" t="s">
        <v>846</v>
      </c>
      <c r="C1563" t="s">
        <v>253</v>
      </c>
      <c r="D1563" s="67">
        <v>2000</v>
      </c>
      <c r="E1563">
        <v>-141346.4</v>
      </c>
      <c r="F1563">
        <v>0</v>
      </c>
      <c r="G1563">
        <v>-848078.4</v>
      </c>
      <c r="H1563">
        <v>-563200.6</v>
      </c>
      <c r="I1563">
        <v>60.09</v>
      </c>
      <c r="J1563">
        <v>0</v>
      </c>
      <c r="K1563" s="249">
        <v>2000</v>
      </c>
      <c r="L1563" s="249">
        <v>2000</v>
      </c>
      <c r="M1563" s="249">
        <v>2000</v>
      </c>
      <c r="N1563" s="249">
        <v>2000</v>
      </c>
    </row>
    <row r="1564" spans="1:14" x14ac:dyDescent="0.25">
      <c r="A1564" t="s">
        <v>847</v>
      </c>
      <c r="C1564" t="s">
        <v>263</v>
      </c>
      <c r="D1564" s="67">
        <v>403000</v>
      </c>
      <c r="E1564">
        <v>-141346.4</v>
      </c>
      <c r="F1564">
        <v>0</v>
      </c>
      <c r="G1564">
        <v>-848078.4</v>
      </c>
      <c r="H1564">
        <v>-563200.6</v>
      </c>
      <c r="I1564">
        <v>60.09</v>
      </c>
      <c r="J1564">
        <v>-300000</v>
      </c>
      <c r="K1564" s="249">
        <v>103000</v>
      </c>
      <c r="L1564" s="249">
        <v>200000</v>
      </c>
      <c r="M1564" s="249">
        <v>209200</v>
      </c>
      <c r="N1564" s="249">
        <v>218823.2</v>
      </c>
    </row>
    <row r="1565" spans="1:14" x14ac:dyDescent="0.25">
      <c r="A1565" t="s">
        <v>848</v>
      </c>
      <c r="C1565" t="s">
        <v>265</v>
      </c>
      <c r="D1565" s="67">
        <v>132699</v>
      </c>
      <c r="E1565">
        <v>-141346.4</v>
      </c>
      <c r="F1565">
        <v>0</v>
      </c>
      <c r="G1565">
        <v>-848078.4</v>
      </c>
      <c r="H1565">
        <v>-563200.6</v>
      </c>
      <c r="I1565">
        <v>60.09</v>
      </c>
      <c r="J1565">
        <v>-115000</v>
      </c>
      <c r="K1565" s="249">
        <v>17699</v>
      </c>
      <c r="L1565" s="249">
        <v>18495.455000000002</v>
      </c>
      <c r="M1565" s="249">
        <v>19346.245930000001</v>
      </c>
      <c r="N1565" s="249">
        <v>20236.173242780002</v>
      </c>
    </row>
    <row r="1566" spans="1:14" x14ac:dyDescent="0.25">
      <c r="A1566" t="s">
        <v>849</v>
      </c>
      <c r="C1566" t="s">
        <v>268</v>
      </c>
      <c r="D1566" s="67">
        <v>384808</v>
      </c>
      <c r="E1566">
        <v>-141346.4</v>
      </c>
      <c r="F1566">
        <v>0</v>
      </c>
      <c r="G1566">
        <v>-848078.4</v>
      </c>
      <c r="H1566">
        <v>-563200.6</v>
      </c>
      <c r="I1566">
        <v>60.09</v>
      </c>
      <c r="J1566">
        <v>-200000</v>
      </c>
      <c r="K1566" s="249">
        <v>184808</v>
      </c>
      <c r="L1566" s="249">
        <v>193124.36</v>
      </c>
      <c r="M1566" s="249">
        <v>202008.08055999997</v>
      </c>
      <c r="N1566" s="249">
        <v>211300.45226575996</v>
      </c>
    </row>
    <row r="1567" spans="1:14" x14ac:dyDescent="0.25">
      <c r="A1567" t="s">
        <v>850</v>
      </c>
      <c r="C1567" t="s">
        <v>268</v>
      </c>
      <c r="D1567" s="67">
        <v>343818</v>
      </c>
      <c r="E1567">
        <v>-141346.4</v>
      </c>
      <c r="F1567">
        <v>0</v>
      </c>
      <c r="G1567">
        <v>-848078.4</v>
      </c>
      <c r="H1567">
        <v>-563200.6</v>
      </c>
      <c r="I1567">
        <v>60.09</v>
      </c>
      <c r="J1567">
        <v>-200000</v>
      </c>
      <c r="K1567" s="249">
        <v>143818</v>
      </c>
      <c r="L1567" s="249">
        <v>150289.81</v>
      </c>
      <c r="M1567" s="249">
        <v>157203.14126</v>
      </c>
      <c r="N1567" s="249">
        <v>164434.48575796001</v>
      </c>
    </row>
    <row r="1568" spans="1:14" x14ac:dyDescent="0.25">
      <c r="A1568" t="s">
        <v>851</v>
      </c>
      <c r="C1568" t="s">
        <v>269</v>
      </c>
      <c r="D1568" s="67">
        <v>60000</v>
      </c>
      <c r="E1568">
        <v>-141346.4</v>
      </c>
      <c r="F1568">
        <v>0</v>
      </c>
      <c r="G1568">
        <v>-848078.4</v>
      </c>
      <c r="H1568">
        <v>-563200.6</v>
      </c>
      <c r="I1568">
        <v>60.09</v>
      </c>
      <c r="J1568">
        <v>-40000</v>
      </c>
      <c r="K1568" s="249">
        <v>20000</v>
      </c>
      <c r="L1568" s="249">
        <v>20900</v>
      </c>
      <c r="M1568" s="249">
        <v>21861.4</v>
      </c>
      <c r="N1568" s="249">
        <v>22867.024400000002</v>
      </c>
    </row>
    <row r="1570" spans="1:14" x14ac:dyDescent="0.25">
      <c r="C1570" t="s">
        <v>274</v>
      </c>
      <c r="D1570" s="67">
        <v>1382134</v>
      </c>
      <c r="E1570">
        <v>-989424.8</v>
      </c>
      <c r="F1570">
        <v>0</v>
      </c>
      <c r="G1570">
        <v>-5936548.8000000007</v>
      </c>
      <c r="H1570">
        <v>-3942404.2</v>
      </c>
      <c r="I1570">
        <v>11.89</v>
      </c>
      <c r="J1570">
        <v>-885000</v>
      </c>
      <c r="K1570" s="249">
        <v>497134</v>
      </c>
      <c r="L1570" s="249">
        <v>611780.03</v>
      </c>
      <c r="M1570" s="249">
        <v>639829.91138000006</v>
      </c>
      <c r="N1570" s="249">
        <v>669170.0873034799</v>
      </c>
    </row>
    <row r="1572" spans="1:14" x14ac:dyDescent="0.25">
      <c r="C1572" t="s">
        <v>305</v>
      </c>
      <c r="D1572" s="67">
        <v>7452139</v>
      </c>
      <c r="E1572">
        <v>-4381738.3999999994</v>
      </c>
      <c r="F1572">
        <v>0</v>
      </c>
      <c r="G1572">
        <v>-26290430.399999999</v>
      </c>
      <c r="H1572">
        <v>-17459218.599999998</v>
      </c>
      <c r="I1572">
        <v>47.87</v>
      </c>
      <c r="J1572">
        <v>-42795.669999999925</v>
      </c>
      <c r="K1572" s="249">
        <v>7409343.3300000001</v>
      </c>
      <c r="L1572" s="249">
        <v>6843502.4431250002</v>
      </c>
      <c r="M1572" s="249">
        <v>7265772.893423751</v>
      </c>
      <c r="N1572" s="249">
        <v>7714409.0780902933</v>
      </c>
    </row>
    <row r="1574" spans="1:14" x14ac:dyDescent="0.25">
      <c r="C1574" t="s">
        <v>306</v>
      </c>
      <c r="D1574" s="67">
        <v>-157356401</v>
      </c>
      <c r="E1574">
        <v>-53246634.350000001</v>
      </c>
      <c r="F1574">
        <v>0</v>
      </c>
      <c r="G1574">
        <v>-143432379.78</v>
      </c>
      <c r="H1574">
        <v>-64689270.219999999</v>
      </c>
      <c r="I1574">
        <v>91.151283880723739</v>
      </c>
      <c r="J1574">
        <v>-4050654.6699999869</v>
      </c>
      <c r="K1574" s="249">
        <v>-161407055.66999999</v>
      </c>
      <c r="L1574" s="249">
        <v>-170574918.83987498</v>
      </c>
      <c r="M1574" s="249">
        <v>-177172253.25113022</v>
      </c>
      <c r="N1574" s="249">
        <v>-184968237.80681095</v>
      </c>
    </row>
    <row r="1576" spans="1:14" x14ac:dyDescent="0.25">
      <c r="C1576" t="s">
        <v>852</v>
      </c>
      <c r="J1576">
        <v>0</v>
      </c>
    </row>
    <row r="1577" spans="1:14" x14ac:dyDescent="0.25">
      <c r="C1577" t="s">
        <v>96</v>
      </c>
      <c r="J1577">
        <v>0</v>
      </c>
    </row>
    <row r="1579" spans="1:14" x14ac:dyDescent="0.25">
      <c r="C1579" t="s">
        <v>290</v>
      </c>
      <c r="J1579">
        <v>0</v>
      </c>
    </row>
    <row r="1581" spans="1:14" x14ac:dyDescent="0.25">
      <c r="A1581" t="s">
        <v>853</v>
      </c>
      <c r="C1581" t="s">
        <v>291</v>
      </c>
      <c r="D1581" s="67">
        <v>0</v>
      </c>
      <c r="E1581">
        <v>-141346.4</v>
      </c>
      <c r="F1581">
        <v>0</v>
      </c>
      <c r="G1581">
        <v>-848078.4</v>
      </c>
      <c r="H1581">
        <v>-563200.6</v>
      </c>
      <c r="I1581">
        <v>60.09</v>
      </c>
      <c r="J1581">
        <v>0</v>
      </c>
      <c r="K1581" s="249">
        <v>0</v>
      </c>
      <c r="L1581" s="249">
        <v>0</v>
      </c>
      <c r="M1581" s="249">
        <v>0</v>
      </c>
    </row>
    <row r="1582" spans="1:14" x14ac:dyDescent="0.25">
      <c r="A1582" t="s">
        <v>854</v>
      </c>
      <c r="C1582" t="s">
        <v>292</v>
      </c>
      <c r="D1582" s="67">
        <v>0</v>
      </c>
      <c r="E1582">
        <v>-141346.4</v>
      </c>
      <c r="F1582">
        <v>0</v>
      </c>
      <c r="G1582">
        <v>-848078.4</v>
      </c>
      <c r="H1582">
        <v>-563200.6</v>
      </c>
      <c r="I1582">
        <v>60.09</v>
      </c>
      <c r="J1582">
        <v>0</v>
      </c>
      <c r="K1582" s="249">
        <v>0</v>
      </c>
      <c r="L1582" s="249">
        <v>0</v>
      </c>
      <c r="M1582" s="249">
        <v>0</v>
      </c>
    </row>
    <row r="1583" spans="1:14" x14ac:dyDescent="0.25">
      <c r="A1583" t="s">
        <v>855</v>
      </c>
      <c r="C1583" t="s">
        <v>293</v>
      </c>
      <c r="D1583" s="67">
        <v>0</v>
      </c>
      <c r="E1583">
        <v>-141346.4</v>
      </c>
      <c r="F1583">
        <v>0</v>
      </c>
      <c r="G1583">
        <v>-848078.4</v>
      </c>
      <c r="H1583">
        <v>-563200.6</v>
      </c>
      <c r="I1583">
        <v>60.09</v>
      </c>
      <c r="J1583">
        <v>0</v>
      </c>
      <c r="K1583" s="249">
        <v>0</v>
      </c>
      <c r="L1583" s="249">
        <v>0</v>
      </c>
      <c r="M1583" s="249">
        <v>0</v>
      </c>
    </row>
    <row r="1585" spans="1:14" x14ac:dyDescent="0.25">
      <c r="C1585" t="s">
        <v>304</v>
      </c>
      <c r="D1585" s="67">
        <v>0</v>
      </c>
      <c r="E1585">
        <v>-424039.19999999995</v>
      </c>
      <c r="F1585">
        <v>0</v>
      </c>
      <c r="G1585">
        <v>-2544235.2000000002</v>
      </c>
      <c r="H1585">
        <v>-1689601.7999999998</v>
      </c>
      <c r="I1585">
        <v>0</v>
      </c>
      <c r="J1585">
        <v>0</v>
      </c>
      <c r="K1585" s="249">
        <v>0</v>
      </c>
      <c r="L1585" s="249">
        <v>0</v>
      </c>
      <c r="M1585" s="249">
        <v>0</v>
      </c>
      <c r="N1585" s="249">
        <v>0</v>
      </c>
    </row>
    <row r="1587" spans="1:14" x14ac:dyDescent="0.25">
      <c r="C1587" t="s">
        <v>305</v>
      </c>
      <c r="D1587" s="67">
        <v>0</v>
      </c>
      <c r="E1587">
        <v>-424039.19999999995</v>
      </c>
      <c r="F1587">
        <v>0</v>
      </c>
      <c r="G1587">
        <v>-2544235.2000000002</v>
      </c>
      <c r="H1587">
        <v>-1689601.7999999998</v>
      </c>
      <c r="I1587">
        <v>0</v>
      </c>
      <c r="J1587">
        <v>0</v>
      </c>
      <c r="K1587" s="249">
        <v>0</v>
      </c>
      <c r="L1587" s="249">
        <v>0</v>
      </c>
      <c r="M1587" s="249">
        <v>0</v>
      </c>
      <c r="N1587" s="249">
        <v>0</v>
      </c>
    </row>
    <row r="1589" spans="1:14" x14ac:dyDescent="0.25">
      <c r="C1589" t="s">
        <v>306</v>
      </c>
      <c r="D1589" s="67">
        <v>0</v>
      </c>
      <c r="E1589">
        <v>-424039.19999999995</v>
      </c>
      <c r="F1589">
        <v>0</v>
      </c>
      <c r="G1589">
        <v>-2544235.2000000002</v>
      </c>
      <c r="H1589">
        <v>-1689601.7999999998</v>
      </c>
      <c r="I1589">
        <v>0</v>
      </c>
      <c r="J1589">
        <v>0</v>
      </c>
      <c r="K1589" s="249">
        <v>0</v>
      </c>
      <c r="L1589" s="249">
        <v>0</v>
      </c>
      <c r="M1589" s="249">
        <v>0</v>
      </c>
      <c r="N1589" s="249">
        <v>0</v>
      </c>
    </row>
    <row r="1591" spans="1:14" x14ac:dyDescent="0.25">
      <c r="C1591" t="s">
        <v>856</v>
      </c>
      <c r="J1591">
        <v>0</v>
      </c>
    </row>
    <row r="1592" spans="1:14" x14ac:dyDescent="0.25">
      <c r="C1592" t="s">
        <v>9</v>
      </c>
      <c r="J1592">
        <v>0</v>
      </c>
    </row>
    <row r="1594" spans="1:14" x14ac:dyDescent="0.25">
      <c r="C1594" t="s">
        <v>56</v>
      </c>
      <c r="J1594">
        <v>0</v>
      </c>
    </row>
    <row r="1596" spans="1:14" x14ac:dyDescent="0.25">
      <c r="A1596" t="s">
        <v>857</v>
      </c>
      <c r="C1596" t="s">
        <v>62</v>
      </c>
      <c r="D1596" s="67">
        <v>-2112000</v>
      </c>
      <c r="E1596">
        <v>-158518.66</v>
      </c>
      <c r="F1596">
        <v>0</v>
      </c>
      <c r="G1596">
        <v>-1057902.8999999999</v>
      </c>
      <c r="H1596">
        <v>-1054097.1000000001</v>
      </c>
      <c r="I1596">
        <v>50.09</v>
      </c>
      <c r="J1596">
        <v>0</v>
      </c>
      <c r="K1596" s="249">
        <v>-2112000</v>
      </c>
      <c r="L1596" s="249">
        <v>-2215488</v>
      </c>
      <c r="M1596" s="249">
        <v>-2321831.4240000001</v>
      </c>
      <c r="N1596" s="249">
        <v>-2433279.3323520003</v>
      </c>
    </row>
    <row r="1598" spans="1:14" x14ac:dyDescent="0.25">
      <c r="C1598" t="s">
        <v>64</v>
      </c>
      <c r="D1598" s="67">
        <v>-2112000</v>
      </c>
      <c r="E1598">
        <v>-158518.66</v>
      </c>
      <c r="F1598">
        <v>0</v>
      </c>
      <c r="G1598">
        <v>-1057902.8999999999</v>
      </c>
      <c r="H1598">
        <v>-1054097.1000000001</v>
      </c>
      <c r="I1598">
        <v>50.09</v>
      </c>
      <c r="J1598">
        <v>0</v>
      </c>
      <c r="K1598" s="249">
        <v>-2112000</v>
      </c>
      <c r="L1598" s="249">
        <v>-2215488</v>
      </c>
      <c r="M1598" s="249">
        <v>-2321831.4240000001</v>
      </c>
      <c r="N1598" s="249">
        <v>-2433279.3323520003</v>
      </c>
    </row>
    <row r="1600" spans="1:14" x14ac:dyDescent="0.25">
      <c r="C1600" t="s">
        <v>81</v>
      </c>
      <c r="J1600">
        <v>0</v>
      </c>
    </row>
    <row r="1602" spans="1:14" x14ac:dyDescent="0.25">
      <c r="C1602" t="s">
        <v>94</v>
      </c>
      <c r="D1602" s="67">
        <v>-2112000</v>
      </c>
      <c r="E1602">
        <v>-158518.66</v>
      </c>
      <c r="F1602">
        <v>0</v>
      </c>
      <c r="G1602">
        <v>-1057902.8999999999</v>
      </c>
      <c r="H1602">
        <v>-1054097.1000000001</v>
      </c>
      <c r="I1602">
        <v>50.09</v>
      </c>
      <c r="J1602">
        <v>0</v>
      </c>
      <c r="K1602" s="249">
        <v>-2112000</v>
      </c>
      <c r="L1602" s="249">
        <v>-2215488</v>
      </c>
      <c r="M1602" s="249">
        <v>-2321831.4240000001</v>
      </c>
      <c r="N1602" s="249">
        <v>-2433279.3323520003</v>
      </c>
    </row>
    <row r="1604" spans="1:14" x14ac:dyDescent="0.25">
      <c r="C1604" t="s">
        <v>95</v>
      </c>
      <c r="D1604" s="67">
        <v>-2112000</v>
      </c>
      <c r="E1604">
        <v>-158518.66</v>
      </c>
      <c r="F1604">
        <v>0</v>
      </c>
      <c r="G1604">
        <v>-1057902.8999999999</v>
      </c>
      <c r="H1604">
        <v>-1054097.1000000001</v>
      </c>
      <c r="I1604">
        <v>50.09</v>
      </c>
      <c r="J1604">
        <v>0</v>
      </c>
      <c r="K1604" s="249">
        <v>-2112000</v>
      </c>
      <c r="L1604" s="249">
        <v>-2215488</v>
      </c>
      <c r="M1604" s="249">
        <v>-2321831.4240000001</v>
      </c>
      <c r="N1604" s="249">
        <v>-2433279.3323520003</v>
      </c>
    </row>
    <row r="1606" spans="1:14" x14ac:dyDescent="0.25">
      <c r="C1606" t="s">
        <v>96</v>
      </c>
      <c r="J1606">
        <v>0</v>
      </c>
    </row>
    <row r="1607" spans="1:14" x14ac:dyDescent="0.25">
      <c r="C1607" t="s">
        <v>97</v>
      </c>
      <c r="J1607">
        <v>0</v>
      </c>
    </row>
    <row r="1608" spans="1:14" x14ac:dyDescent="0.25">
      <c r="C1608" t="s">
        <v>148</v>
      </c>
      <c r="J1608">
        <v>0</v>
      </c>
    </row>
    <row r="1609" spans="1:14" x14ac:dyDescent="0.25">
      <c r="C1609" t="s">
        <v>149</v>
      </c>
      <c r="J1609">
        <v>0</v>
      </c>
    </row>
    <row r="1611" spans="1:14" x14ac:dyDescent="0.25">
      <c r="A1611" t="s">
        <v>858</v>
      </c>
      <c r="C1611" t="s">
        <v>150</v>
      </c>
      <c r="D1611" s="67">
        <v>1243618</v>
      </c>
      <c r="E1611">
        <v>-141346.4</v>
      </c>
      <c r="F1611">
        <v>0</v>
      </c>
      <c r="G1611">
        <v>-848078.4</v>
      </c>
      <c r="H1611">
        <v>-563200.6</v>
      </c>
      <c r="I1611">
        <v>60.09</v>
      </c>
      <c r="J1611">
        <v>0</v>
      </c>
      <c r="K1611" s="249">
        <v>1243618</v>
      </c>
      <c r="L1611" s="249">
        <v>1321344.125</v>
      </c>
      <c r="M1611" s="249">
        <v>1413838.2137500001</v>
      </c>
      <c r="N1611" s="249">
        <v>1512806.8887125002</v>
      </c>
    </row>
    <row r="1612" spans="1:14" x14ac:dyDescent="0.25">
      <c r="A1612" t="s">
        <v>859</v>
      </c>
      <c r="C1612" t="s">
        <v>150</v>
      </c>
      <c r="D1612" s="67">
        <v>80600</v>
      </c>
      <c r="E1612">
        <v>-141346.4</v>
      </c>
      <c r="F1612">
        <v>0</v>
      </c>
      <c r="G1612">
        <v>-848078.4</v>
      </c>
      <c r="H1612">
        <v>-563200.6</v>
      </c>
      <c r="I1612">
        <v>60.09</v>
      </c>
      <c r="J1612">
        <v>0</v>
      </c>
      <c r="K1612" s="249">
        <v>80600</v>
      </c>
      <c r="L1612" s="249">
        <v>85637.5</v>
      </c>
      <c r="M1612" s="249">
        <v>91632.125</v>
      </c>
      <c r="N1612" s="249">
        <v>98046.373749999999</v>
      </c>
    </row>
    <row r="1613" spans="1:14" x14ac:dyDescent="0.25">
      <c r="A1613" t="s">
        <v>860</v>
      </c>
      <c r="C1613" t="s">
        <v>151</v>
      </c>
      <c r="D1613" s="67">
        <v>58113</v>
      </c>
      <c r="E1613">
        <v>-141346.4</v>
      </c>
      <c r="F1613">
        <v>0</v>
      </c>
      <c r="G1613">
        <v>-848078.4</v>
      </c>
      <c r="H1613">
        <v>-563200.6</v>
      </c>
      <c r="I1613">
        <v>60.09</v>
      </c>
      <c r="J1613">
        <v>-32711.729999999996</v>
      </c>
      <c r="K1613" s="249">
        <v>25401.270000000004</v>
      </c>
      <c r="L1613" s="249">
        <v>26988.849375000005</v>
      </c>
      <c r="M1613" s="249">
        <v>28878.068831250006</v>
      </c>
      <c r="N1613" s="249">
        <v>30899.533649437508</v>
      </c>
    </row>
    <row r="1614" spans="1:14" x14ac:dyDescent="0.25">
      <c r="A1614" t="s">
        <v>861</v>
      </c>
      <c r="C1614" t="s">
        <v>152</v>
      </c>
      <c r="D1614" s="67">
        <v>38100</v>
      </c>
      <c r="E1614">
        <v>-141346.4</v>
      </c>
      <c r="F1614">
        <v>0</v>
      </c>
      <c r="G1614">
        <v>-848078.4</v>
      </c>
      <c r="H1614">
        <v>-563200.6</v>
      </c>
      <c r="I1614">
        <v>60.09</v>
      </c>
      <c r="J1614">
        <v>0</v>
      </c>
      <c r="K1614" s="249">
        <v>38100</v>
      </c>
      <c r="L1614" s="249">
        <v>40481.25</v>
      </c>
      <c r="M1614" s="249">
        <v>43314.9375</v>
      </c>
      <c r="N1614" s="249">
        <v>46346.983124999999</v>
      </c>
    </row>
    <row r="1615" spans="1:14" x14ac:dyDescent="0.25">
      <c r="A1615" t="s">
        <v>862</v>
      </c>
      <c r="C1615" t="s">
        <v>153</v>
      </c>
      <c r="D1615" s="67">
        <v>10893</v>
      </c>
      <c r="E1615">
        <v>-141346.4</v>
      </c>
      <c r="F1615">
        <v>0</v>
      </c>
      <c r="G1615">
        <v>-848078.4</v>
      </c>
      <c r="H1615">
        <v>-563200.6</v>
      </c>
      <c r="I1615">
        <v>60.09</v>
      </c>
      <c r="J1615">
        <v>0</v>
      </c>
      <c r="K1615" s="249">
        <v>10893</v>
      </c>
      <c r="L1615" s="249">
        <v>11573.8125</v>
      </c>
      <c r="M1615" s="249">
        <v>12383.979375000001</v>
      </c>
      <c r="N1615" s="249">
        <v>13250.857931250001</v>
      </c>
    </row>
    <row r="1616" spans="1:14" x14ac:dyDescent="0.25">
      <c r="A1616" t="s">
        <v>863</v>
      </c>
      <c r="C1616" t="s">
        <v>155</v>
      </c>
      <c r="D1616" s="67">
        <v>41268</v>
      </c>
      <c r="E1616">
        <v>-141346.4</v>
      </c>
      <c r="F1616">
        <v>0</v>
      </c>
      <c r="G1616">
        <v>-848078.4</v>
      </c>
      <c r="H1616">
        <v>-563200.6</v>
      </c>
      <c r="I1616">
        <v>60.09</v>
      </c>
      <c r="J1616">
        <v>0</v>
      </c>
      <c r="K1616" s="249">
        <v>41268</v>
      </c>
      <c r="L1616" s="249">
        <v>43847.25</v>
      </c>
      <c r="M1616" s="249">
        <v>46916.557500000003</v>
      </c>
      <c r="N1616" s="249">
        <v>50200.716525000003</v>
      </c>
    </row>
    <row r="1617" spans="1:14" x14ac:dyDescent="0.25">
      <c r="A1617" t="s">
        <v>864</v>
      </c>
      <c r="C1617" t="s">
        <v>156</v>
      </c>
      <c r="D1617" s="67">
        <v>267347</v>
      </c>
      <c r="E1617">
        <v>-141346.4</v>
      </c>
      <c r="F1617">
        <v>0</v>
      </c>
      <c r="G1617">
        <v>-848078.4</v>
      </c>
      <c r="H1617">
        <v>-563200.6</v>
      </c>
      <c r="I1617">
        <v>60.09</v>
      </c>
      <c r="J1617">
        <v>0</v>
      </c>
      <c r="K1617" s="249">
        <v>267347</v>
      </c>
      <c r="L1617" s="249">
        <v>284056.1875</v>
      </c>
      <c r="M1617" s="249">
        <v>303940.12062499998</v>
      </c>
      <c r="N1617" s="249">
        <v>325215.92906875</v>
      </c>
    </row>
    <row r="1618" spans="1:14" x14ac:dyDescent="0.25">
      <c r="A1618" t="s">
        <v>865</v>
      </c>
      <c r="C1618" t="s">
        <v>157</v>
      </c>
      <c r="D1618" s="67">
        <v>20000</v>
      </c>
      <c r="E1618">
        <v>-141346.4</v>
      </c>
      <c r="F1618">
        <v>0</v>
      </c>
      <c r="G1618">
        <v>-848078.4</v>
      </c>
      <c r="H1618">
        <v>-563200.6</v>
      </c>
      <c r="I1618">
        <v>60.09</v>
      </c>
      <c r="J1618">
        <v>0</v>
      </c>
      <c r="K1618" s="249">
        <v>20000</v>
      </c>
      <c r="L1618" s="249">
        <v>21250</v>
      </c>
      <c r="M1618" s="249">
        <v>22737.5</v>
      </c>
      <c r="N1618" s="249">
        <v>24329.125</v>
      </c>
    </row>
    <row r="1619" spans="1:14" x14ac:dyDescent="0.25">
      <c r="A1619" t="s">
        <v>866</v>
      </c>
      <c r="C1619" t="s">
        <v>158</v>
      </c>
      <c r="D1619" s="67">
        <v>12841</v>
      </c>
      <c r="E1619">
        <v>-141346.4</v>
      </c>
      <c r="F1619">
        <v>0</v>
      </c>
      <c r="G1619">
        <v>-848078.4</v>
      </c>
      <c r="H1619">
        <v>-563200.6</v>
      </c>
      <c r="I1619">
        <v>60.09</v>
      </c>
      <c r="J1619">
        <v>-12841</v>
      </c>
      <c r="K1619" s="249">
        <v>0</v>
      </c>
      <c r="L1619" s="249">
        <v>0</v>
      </c>
      <c r="M1619" s="249">
        <v>0</v>
      </c>
      <c r="N1619" s="249">
        <v>0</v>
      </c>
    </row>
    <row r="1620" spans="1:14" x14ac:dyDescent="0.25">
      <c r="A1620" t="s">
        <v>867</v>
      </c>
      <c r="C1620" t="s">
        <v>159</v>
      </c>
      <c r="D1620" s="67">
        <v>103635</v>
      </c>
      <c r="E1620">
        <v>-141346.4</v>
      </c>
      <c r="F1620">
        <v>0</v>
      </c>
      <c r="G1620">
        <v>-848078.4</v>
      </c>
      <c r="H1620">
        <v>-563200.6</v>
      </c>
      <c r="I1620">
        <v>60.09</v>
      </c>
      <c r="J1620">
        <v>16365</v>
      </c>
      <c r="K1620" s="249">
        <v>120000</v>
      </c>
      <c r="L1620" s="249">
        <v>127500</v>
      </c>
      <c r="M1620" s="249">
        <v>136425</v>
      </c>
      <c r="N1620" s="249">
        <v>145974.75</v>
      </c>
    </row>
    <row r="1621" spans="1:14" x14ac:dyDescent="0.25">
      <c r="A1621" t="s">
        <v>868</v>
      </c>
      <c r="C1621" t="s">
        <v>164</v>
      </c>
      <c r="D1621" s="67">
        <v>15692</v>
      </c>
      <c r="E1621">
        <v>-141346.4</v>
      </c>
      <c r="F1621">
        <v>0</v>
      </c>
      <c r="G1621">
        <v>-848078.4</v>
      </c>
      <c r="H1621">
        <v>-563200.6</v>
      </c>
      <c r="I1621">
        <v>60.09</v>
      </c>
      <c r="J1621">
        <v>0</v>
      </c>
      <c r="K1621" s="249">
        <v>15692</v>
      </c>
      <c r="L1621" s="249">
        <v>16672.75</v>
      </c>
      <c r="M1621" s="249">
        <v>17839.842499999999</v>
      </c>
      <c r="N1621" s="249">
        <v>19088.631474999998</v>
      </c>
    </row>
    <row r="1623" spans="1:14" x14ac:dyDescent="0.25">
      <c r="C1623" t="s">
        <v>165</v>
      </c>
      <c r="D1623" s="67">
        <v>1892107</v>
      </c>
      <c r="E1623">
        <v>-1554810.3999999997</v>
      </c>
      <c r="F1623">
        <v>0</v>
      </c>
      <c r="G1623">
        <v>-9328862.4000000022</v>
      </c>
      <c r="H1623">
        <v>-6195206.5999999987</v>
      </c>
      <c r="I1623">
        <v>51.99</v>
      </c>
      <c r="J1623">
        <v>-29187.729999999981</v>
      </c>
      <c r="K1623" s="249">
        <v>1862919.27</v>
      </c>
      <c r="L1623" s="249">
        <v>1979351.724375</v>
      </c>
      <c r="M1623" s="249">
        <v>2117906.3450812502</v>
      </c>
      <c r="N1623" s="249">
        <v>2266159.7892369381</v>
      </c>
    </row>
    <row r="1625" spans="1:14" x14ac:dyDescent="0.25">
      <c r="C1625" t="s">
        <v>166</v>
      </c>
      <c r="J1625">
        <v>0</v>
      </c>
    </row>
    <row r="1627" spans="1:14" x14ac:dyDescent="0.25">
      <c r="A1627" t="s">
        <v>869</v>
      </c>
      <c r="C1627" t="s">
        <v>167</v>
      </c>
      <c r="D1627" s="67">
        <v>337</v>
      </c>
      <c r="E1627">
        <v>-141346.4</v>
      </c>
      <c r="F1627">
        <v>0</v>
      </c>
      <c r="G1627">
        <v>-848078.4</v>
      </c>
      <c r="H1627">
        <v>-563200.6</v>
      </c>
      <c r="I1627">
        <v>60.09</v>
      </c>
      <c r="J1627">
        <v>0</v>
      </c>
      <c r="K1627" s="249">
        <v>337</v>
      </c>
      <c r="L1627" s="249">
        <v>358.0625</v>
      </c>
      <c r="M1627" s="249">
        <v>383.12687499999998</v>
      </c>
      <c r="N1627" s="249">
        <v>409.94575624999999</v>
      </c>
    </row>
    <row r="1628" spans="1:14" x14ac:dyDescent="0.25">
      <c r="A1628" t="s">
        <v>870</v>
      </c>
      <c r="C1628" t="s">
        <v>168</v>
      </c>
      <c r="D1628" s="67">
        <v>161725</v>
      </c>
      <c r="E1628">
        <v>-141346.4</v>
      </c>
      <c r="F1628">
        <v>0</v>
      </c>
      <c r="G1628">
        <v>-848078.4</v>
      </c>
      <c r="H1628">
        <v>-563200.6</v>
      </c>
      <c r="I1628">
        <v>60.09</v>
      </c>
      <c r="J1628">
        <v>-40000</v>
      </c>
      <c r="K1628" s="249">
        <v>121725</v>
      </c>
      <c r="L1628" s="249">
        <v>129332.8125</v>
      </c>
      <c r="M1628" s="249">
        <v>138386.109375</v>
      </c>
      <c r="N1628" s="249">
        <v>148073.13703124999</v>
      </c>
    </row>
    <row r="1629" spans="1:14" x14ac:dyDescent="0.25">
      <c r="A1629" t="s">
        <v>871</v>
      </c>
      <c r="C1629" t="s">
        <v>169</v>
      </c>
      <c r="D1629" s="67">
        <v>273596</v>
      </c>
      <c r="E1629">
        <v>-141346.4</v>
      </c>
      <c r="F1629">
        <v>0</v>
      </c>
      <c r="G1629">
        <v>-848078.4</v>
      </c>
      <c r="H1629">
        <v>-563200.6</v>
      </c>
      <c r="I1629">
        <v>60.09</v>
      </c>
      <c r="J1629">
        <v>0</v>
      </c>
      <c r="K1629" s="249">
        <v>273596</v>
      </c>
      <c r="L1629" s="249">
        <v>290695.75</v>
      </c>
      <c r="M1629" s="249">
        <v>311044.45250000001</v>
      </c>
      <c r="N1629" s="249">
        <v>332817.56417500001</v>
      </c>
    </row>
    <row r="1630" spans="1:14" x14ac:dyDescent="0.25">
      <c r="A1630" t="s">
        <v>872</v>
      </c>
      <c r="C1630" t="s">
        <v>170</v>
      </c>
      <c r="D1630" s="67">
        <v>5355</v>
      </c>
      <c r="E1630">
        <v>-141346.4</v>
      </c>
      <c r="F1630">
        <v>0</v>
      </c>
      <c r="G1630">
        <v>-848078.4</v>
      </c>
      <c r="H1630">
        <v>-563200.6</v>
      </c>
      <c r="I1630">
        <v>60.09</v>
      </c>
      <c r="J1630">
        <v>0</v>
      </c>
      <c r="K1630" s="249">
        <v>5355</v>
      </c>
      <c r="L1630" s="249">
        <v>5689.6875</v>
      </c>
      <c r="M1630" s="249">
        <v>6087.9656249999998</v>
      </c>
      <c r="N1630" s="249">
        <v>6514.12321875</v>
      </c>
    </row>
    <row r="1632" spans="1:14" x14ac:dyDescent="0.25">
      <c r="C1632" t="s">
        <v>171</v>
      </c>
      <c r="D1632" s="67">
        <v>441013</v>
      </c>
      <c r="E1632">
        <v>-565385.6</v>
      </c>
      <c r="F1632">
        <v>0</v>
      </c>
      <c r="G1632">
        <v>-3392313.6</v>
      </c>
      <c r="H1632">
        <v>-2252802.4</v>
      </c>
      <c r="I1632">
        <v>40.93</v>
      </c>
      <c r="J1632">
        <v>-40000</v>
      </c>
      <c r="K1632" s="249">
        <v>401013</v>
      </c>
      <c r="L1632" s="249">
        <v>426076.3125</v>
      </c>
      <c r="M1632" s="249">
        <v>455901.65437499998</v>
      </c>
      <c r="N1632" s="249">
        <v>487814.77018125</v>
      </c>
    </row>
    <row r="1634" spans="1:14" x14ac:dyDescent="0.25">
      <c r="C1634" t="s">
        <v>172</v>
      </c>
      <c r="J1634">
        <v>0</v>
      </c>
    </row>
    <row r="1636" spans="1:14" x14ac:dyDescent="0.25">
      <c r="A1636" t="s">
        <v>873</v>
      </c>
      <c r="C1636" t="s">
        <v>173</v>
      </c>
      <c r="D1636" s="67">
        <v>11813</v>
      </c>
      <c r="E1636">
        <v>-141346.4</v>
      </c>
      <c r="F1636">
        <v>0</v>
      </c>
      <c r="G1636">
        <v>-848078.4</v>
      </c>
      <c r="H1636">
        <v>-563200.6</v>
      </c>
      <c r="I1636">
        <v>60.09</v>
      </c>
      <c r="J1636">
        <v>0</v>
      </c>
      <c r="K1636" s="249">
        <v>11813</v>
      </c>
      <c r="L1636" s="249">
        <v>12551.3125</v>
      </c>
      <c r="M1636" s="249">
        <v>13429.904375</v>
      </c>
      <c r="N1636" s="249">
        <v>14369.997681250001</v>
      </c>
    </row>
    <row r="1637" spans="1:14" x14ac:dyDescent="0.25">
      <c r="A1637" t="s">
        <v>874</v>
      </c>
      <c r="C1637" t="s">
        <v>174</v>
      </c>
      <c r="D1637" s="67">
        <v>13427</v>
      </c>
      <c r="E1637">
        <v>-141346.4</v>
      </c>
      <c r="F1637">
        <v>0</v>
      </c>
      <c r="G1637">
        <v>-848078.4</v>
      </c>
      <c r="H1637">
        <v>-563200.6</v>
      </c>
      <c r="I1637">
        <v>60.09</v>
      </c>
      <c r="J1637">
        <v>0</v>
      </c>
      <c r="K1637" s="249">
        <v>13427</v>
      </c>
      <c r="L1637" s="249">
        <v>14266.1875</v>
      </c>
      <c r="M1637" s="249">
        <v>15264.820625</v>
      </c>
      <c r="N1637" s="249">
        <v>16333.35806875</v>
      </c>
    </row>
    <row r="1638" spans="1:14" x14ac:dyDescent="0.25">
      <c r="A1638" t="s">
        <v>875</v>
      </c>
      <c r="C1638" t="s">
        <v>175</v>
      </c>
      <c r="D1638" s="67">
        <v>20916</v>
      </c>
      <c r="E1638">
        <v>-141346.4</v>
      </c>
      <c r="F1638">
        <v>0</v>
      </c>
      <c r="G1638">
        <v>-848078.4</v>
      </c>
      <c r="H1638">
        <v>-563200.6</v>
      </c>
      <c r="I1638">
        <v>60.09</v>
      </c>
      <c r="J1638">
        <v>0</v>
      </c>
      <c r="K1638" s="249">
        <v>20916</v>
      </c>
      <c r="L1638" s="249">
        <v>22223.25</v>
      </c>
      <c r="M1638" s="249">
        <v>23778.877499999999</v>
      </c>
      <c r="N1638" s="249">
        <v>25443.398924999998</v>
      </c>
    </row>
    <row r="1640" spans="1:14" x14ac:dyDescent="0.25">
      <c r="C1640" t="s">
        <v>176</v>
      </c>
      <c r="D1640" s="67">
        <v>46156</v>
      </c>
      <c r="E1640">
        <v>-424039.19999999995</v>
      </c>
      <c r="F1640">
        <v>0</v>
      </c>
      <c r="G1640">
        <v>-2544235.2000000002</v>
      </c>
      <c r="H1640">
        <v>-1689601.7999999998</v>
      </c>
      <c r="I1640">
        <v>0</v>
      </c>
      <c r="J1640">
        <v>0</v>
      </c>
      <c r="K1640" s="249">
        <v>46156</v>
      </c>
      <c r="L1640" s="249">
        <v>49040.75</v>
      </c>
      <c r="M1640" s="249">
        <v>52473.602499999994</v>
      </c>
      <c r="N1640" s="249">
        <v>56146.754675000004</v>
      </c>
    </row>
    <row r="1642" spans="1:14" x14ac:dyDescent="0.25">
      <c r="C1642" t="s">
        <v>177</v>
      </c>
      <c r="D1642" s="67">
        <v>2379276</v>
      </c>
      <c r="E1642">
        <v>-2544235.1999999993</v>
      </c>
      <c r="F1642">
        <v>0</v>
      </c>
      <c r="G1642">
        <v>-15265411.200000003</v>
      </c>
      <c r="H1642">
        <v>-10137610.799999997</v>
      </c>
      <c r="I1642">
        <v>48.93</v>
      </c>
      <c r="J1642">
        <v>-69187.729999999981</v>
      </c>
      <c r="K1642" s="249">
        <v>2310088.27</v>
      </c>
      <c r="L1642" s="249">
        <v>2454468.7868750002</v>
      </c>
      <c r="M1642" s="249">
        <v>2626281.6019562501</v>
      </c>
      <c r="N1642" s="249">
        <v>2810121.3140931879</v>
      </c>
    </row>
    <row r="1644" spans="1:14" x14ac:dyDescent="0.25">
      <c r="C1644" t="s">
        <v>178</v>
      </c>
      <c r="D1644" s="67">
        <v>2379276</v>
      </c>
      <c r="E1644">
        <v>-2544235.1999999993</v>
      </c>
      <c r="F1644">
        <v>0</v>
      </c>
      <c r="G1644">
        <v>-15265411.200000003</v>
      </c>
      <c r="H1644">
        <v>-10137610.799999997</v>
      </c>
      <c r="I1644">
        <v>48.93</v>
      </c>
      <c r="J1644">
        <v>-69187.729999999981</v>
      </c>
      <c r="K1644" s="249">
        <v>2310088.27</v>
      </c>
      <c r="L1644" s="249">
        <v>2454468.7868750002</v>
      </c>
      <c r="M1644" s="249">
        <v>2626281.6019562501</v>
      </c>
      <c r="N1644" s="249">
        <v>2810121.3140931879</v>
      </c>
    </row>
    <row r="1646" spans="1:14" x14ac:dyDescent="0.25">
      <c r="C1646" t="s">
        <v>241</v>
      </c>
      <c r="J1646">
        <v>0</v>
      </c>
    </row>
    <row r="1648" spans="1:14" x14ac:dyDescent="0.25">
      <c r="A1648" t="s">
        <v>876</v>
      </c>
      <c r="C1648" t="s">
        <v>265</v>
      </c>
      <c r="D1648" s="67">
        <v>0</v>
      </c>
      <c r="E1648">
        <v>-141346.4</v>
      </c>
      <c r="F1648">
        <v>0</v>
      </c>
      <c r="G1648">
        <v>-848078.4</v>
      </c>
      <c r="H1648">
        <v>-563200.6</v>
      </c>
      <c r="I1648">
        <v>60.09</v>
      </c>
      <c r="J1648">
        <v>20000</v>
      </c>
      <c r="K1648" s="249">
        <v>20000</v>
      </c>
      <c r="L1648" s="249">
        <v>20900</v>
      </c>
      <c r="M1648" s="249">
        <v>21861.4</v>
      </c>
      <c r="N1648" s="249">
        <v>22867.024400000002</v>
      </c>
    </row>
    <row r="1649" spans="1:14" x14ac:dyDescent="0.25">
      <c r="A1649" t="s">
        <v>877</v>
      </c>
      <c r="C1649" t="s">
        <v>268</v>
      </c>
      <c r="D1649" s="67">
        <v>0</v>
      </c>
      <c r="E1649">
        <v>-141346.4</v>
      </c>
      <c r="F1649">
        <v>0</v>
      </c>
      <c r="G1649">
        <v>-848078.4</v>
      </c>
      <c r="H1649">
        <v>-563200.6</v>
      </c>
      <c r="I1649">
        <v>60.09</v>
      </c>
      <c r="J1649">
        <v>50000</v>
      </c>
      <c r="K1649" s="249">
        <v>50000</v>
      </c>
      <c r="L1649" s="249">
        <v>52250</v>
      </c>
      <c r="M1649" s="249">
        <v>54653.5</v>
      </c>
      <c r="N1649" s="249">
        <v>57167.561000000002</v>
      </c>
    </row>
    <row r="1651" spans="1:14" x14ac:dyDescent="0.25">
      <c r="C1651" t="s">
        <v>274</v>
      </c>
      <c r="D1651" s="67">
        <v>0</v>
      </c>
      <c r="E1651">
        <v>-282692.8</v>
      </c>
      <c r="F1651">
        <v>0</v>
      </c>
      <c r="G1651">
        <v>-1696156.8</v>
      </c>
      <c r="H1651">
        <v>-1126401.2</v>
      </c>
      <c r="I1651">
        <v>0</v>
      </c>
      <c r="J1651">
        <v>70000</v>
      </c>
      <c r="K1651" s="249">
        <v>70000</v>
      </c>
      <c r="L1651" s="249">
        <v>73150</v>
      </c>
      <c r="M1651" s="249">
        <v>76514.899999999994</v>
      </c>
      <c r="N1651" s="249">
        <v>80034.585400000011</v>
      </c>
    </row>
    <row r="1653" spans="1:14" x14ac:dyDescent="0.25">
      <c r="C1653" t="s">
        <v>56</v>
      </c>
      <c r="J1653">
        <v>0</v>
      </c>
    </row>
    <row r="1655" spans="1:14" x14ac:dyDescent="0.25">
      <c r="A1655" t="s">
        <v>878</v>
      </c>
      <c r="C1655" t="s">
        <v>283</v>
      </c>
      <c r="D1655" s="67">
        <v>0</v>
      </c>
      <c r="E1655">
        <v>-141346.4</v>
      </c>
      <c r="F1655">
        <v>0</v>
      </c>
      <c r="G1655">
        <v>-848078.4</v>
      </c>
      <c r="H1655">
        <v>-563200.6</v>
      </c>
      <c r="I1655">
        <v>60.09</v>
      </c>
      <c r="J1655">
        <v>0</v>
      </c>
      <c r="K1655" s="249">
        <v>0</v>
      </c>
      <c r="L1655" s="249">
        <v>0</v>
      </c>
      <c r="M1655" s="249">
        <v>0</v>
      </c>
    </row>
    <row r="1657" spans="1:14" x14ac:dyDescent="0.25">
      <c r="C1657" t="s">
        <v>284</v>
      </c>
      <c r="D1657" s="67">
        <v>0</v>
      </c>
      <c r="E1657">
        <v>-141346.4</v>
      </c>
      <c r="F1657">
        <v>0</v>
      </c>
      <c r="G1657">
        <v>-848078.4</v>
      </c>
      <c r="H1657">
        <v>-563200.6</v>
      </c>
      <c r="I1657">
        <v>0</v>
      </c>
      <c r="J1657">
        <v>0</v>
      </c>
      <c r="K1657" s="249">
        <v>0</v>
      </c>
      <c r="L1657" s="249">
        <v>0</v>
      </c>
      <c r="M1657" s="249">
        <v>0</v>
      </c>
      <c r="N1657" s="249">
        <v>0</v>
      </c>
    </row>
    <row r="1659" spans="1:14" x14ac:dyDescent="0.25">
      <c r="C1659" t="s">
        <v>290</v>
      </c>
      <c r="J1659">
        <v>0</v>
      </c>
    </row>
    <row r="1661" spans="1:14" x14ac:dyDescent="0.25">
      <c r="A1661" t="s">
        <v>879</v>
      </c>
      <c r="C1661" t="s">
        <v>291</v>
      </c>
      <c r="D1661" s="67">
        <v>0</v>
      </c>
      <c r="E1661">
        <v>-141346.4</v>
      </c>
      <c r="F1661">
        <v>0</v>
      </c>
      <c r="G1661">
        <v>-848078.4</v>
      </c>
      <c r="H1661">
        <v>-563200.6</v>
      </c>
      <c r="I1661">
        <v>60.09</v>
      </c>
      <c r="J1661">
        <v>0</v>
      </c>
      <c r="K1661" s="249">
        <v>0</v>
      </c>
      <c r="L1661" s="249">
        <v>0</v>
      </c>
      <c r="M1661" s="249">
        <v>0</v>
      </c>
    </row>
    <row r="1662" spans="1:14" x14ac:dyDescent="0.25">
      <c r="A1662" t="s">
        <v>880</v>
      </c>
      <c r="C1662" t="s">
        <v>292</v>
      </c>
      <c r="D1662" s="67">
        <v>3371</v>
      </c>
      <c r="E1662">
        <v>-141346.4</v>
      </c>
      <c r="F1662">
        <v>0</v>
      </c>
      <c r="G1662">
        <v>-848078.4</v>
      </c>
      <c r="H1662">
        <v>-563200.6</v>
      </c>
      <c r="I1662">
        <v>60.09</v>
      </c>
      <c r="J1662">
        <v>0</v>
      </c>
      <c r="K1662" s="249">
        <v>3371</v>
      </c>
      <c r="L1662" s="249">
        <v>3522.6950000000002</v>
      </c>
      <c r="M1662" s="249">
        <v>3684.7389700000003</v>
      </c>
      <c r="N1662" s="249">
        <v>3854.2369626200002</v>
      </c>
    </row>
    <row r="1663" spans="1:14" x14ac:dyDescent="0.25">
      <c r="A1663" t="s">
        <v>881</v>
      </c>
      <c r="C1663" t="s">
        <v>293</v>
      </c>
      <c r="D1663" s="67">
        <v>268</v>
      </c>
      <c r="E1663">
        <v>-141346.4</v>
      </c>
      <c r="F1663">
        <v>0</v>
      </c>
      <c r="G1663">
        <v>-848078.4</v>
      </c>
      <c r="H1663">
        <v>-563200.6</v>
      </c>
      <c r="I1663">
        <v>60.09</v>
      </c>
      <c r="J1663">
        <v>0</v>
      </c>
      <c r="K1663" s="249">
        <v>268</v>
      </c>
      <c r="L1663" s="249">
        <v>280.06</v>
      </c>
      <c r="M1663" s="249">
        <v>292.94276000000002</v>
      </c>
      <c r="N1663" s="249">
        <v>306.41812696</v>
      </c>
    </row>
    <row r="1665" spans="1:14" x14ac:dyDescent="0.25">
      <c r="C1665" t="s">
        <v>304</v>
      </c>
      <c r="D1665" s="67">
        <v>3639</v>
      </c>
      <c r="E1665">
        <v>-424039.19999999995</v>
      </c>
      <c r="F1665">
        <v>0</v>
      </c>
      <c r="G1665">
        <v>-2544235.2000000002</v>
      </c>
      <c r="H1665">
        <v>-1689601.7999999998</v>
      </c>
      <c r="I1665">
        <v>999.99</v>
      </c>
      <c r="J1665">
        <v>0</v>
      </c>
      <c r="K1665" s="249">
        <v>3639</v>
      </c>
      <c r="L1665" s="249">
        <v>3802.7550000000001</v>
      </c>
      <c r="M1665" s="249">
        <v>3977.6817300000002</v>
      </c>
      <c r="N1665" s="249">
        <v>4160.6550895800001</v>
      </c>
    </row>
    <row r="1667" spans="1:14" x14ac:dyDescent="0.25">
      <c r="C1667" t="s">
        <v>305</v>
      </c>
      <c r="D1667" s="67">
        <v>2382915</v>
      </c>
      <c r="E1667">
        <v>-3392313.5999999987</v>
      </c>
      <c r="F1667">
        <v>0</v>
      </c>
      <c r="G1667">
        <v>-20353881.600000001</v>
      </c>
      <c r="H1667">
        <v>-13516814.399999995</v>
      </c>
      <c r="I1667">
        <v>61.15</v>
      </c>
      <c r="J1667">
        <v>812.27000000001863</v>
      </c>
      <c r="K1667" s="249">
        <v>2383727.27</v>
      </c>
      <c r="L1667" s="249">
        <v>2531421.5418750001</v>
      </c>
      <c r="M1667" s="249">
        <v>2706774.1836862499</v>
      </c>
      <c r="N1667" s="249">
        <v>2894316.5545827681</v>
      </c>
    </row>
    <row r="1669" spans="1:14" x14ac:dyDescent="0.25">
      <c r="C1669" t="s">
        <v>306</v>
      </c>
      <c r="D1669" s="67">
        <v>270915</v>
      </c>
      <c r="E1669">
        <v>-3550832.2599999988</v>
      </c>
      <c r="F1669">
        <v>0</v>
      </c>
      <c r="G1669">
        <v>-21411784.5</v>
      </c>
      <c r="H1669">
        <v>-14570911.499999994</v>
      </c>
      <c r="I1669">
        <v>147.37</v>
      </c>
      <c r="J1669">
        <v>812.27000000001863</v>
      </c>
      <c r="K1669" s="249">
        <v>271727.27</v>
      </c>
      <c r="L1669" s="249">
        <v>315933.54187500011</v>
      </c>
      <c r="M1669" s="249">
        <v>384942.75968624977</v>
      </c>
      <c r="N1669" s="249">
        <v>461037.22223076783</v>
      </c>
    </row>
    <row r="1671" spans="1:14" x14ac:dyDescent="0.25">
      <c r="C1671" t="s">
        <v>308</v>
      </c>
      <c r="J1671">
        <v>0</v>
      </c>
    </row>
    <row r="1673" spans="1:14" x14ac:dyDescent="0.25">
      <c r="A1673" t="s">
        <v>882</v>
      </c>
      <c r="C1673" t="s">
        <v>883</v>
      </c>
      <c r="D1673" s="67">
        <v>350000</v>
      </c>
      <c r="E1673">
        <v>-141346.4</v>
      </c>
      <c r="F1673">
        <v>0</v>
      </c>
      <c r="G1673">
        <v>-848078.4</v>
      </c>
      <c r="H1673">
        <v>-563200.6</v>
      </c>
      <c r="I1673">
        <v>60.09</v>
      </c>
      <c r="J1673">
        <v>-350000</v>
      </c>
      <c r="K1673" s="249">
        <v>0</v>
      </c>
      <c r="L1673" s="249">
        <v>350000</v>
      </c>
      <c r="M1673" s="249">
        <v>0</v>
      </c>
    </row>
    <row r="1675" spans="1:14" x14ac:dyDescent="0.25">
      <c r="C1675" t="s">
        <v>320</v>
      </c>
      <c r="D1675" s="67">
        <v>350000</v>
      </c>
      <c r="E1675">
        <v>-141346.4</v>
      </c>
      <c r="F1675">
        <v>0</v>
      </c>
      <c r="G1675">
        <v>-848078.4</v>
      </c>
      <c r="H1675">
        <v>-563200.6</v>
      </c>
      <c r="I1675">
        <v>0</v>
      </c>
      <c r="J1675">
        <v>-350000</v>
      </c>
      <c r="K1675" s="249">
        <v>0</v>
      </c>
      <c r="L1675" s="249">
        <v>350000</v>
      </c>
      <c r="M1675" s="249">
        <v>0</v>
      </c>
      <c r="N1675" s="249">
        <v>0</v>
      </c>
    </row>
    <row r="1677" spans="1:14" x14ac:dyDescent="0.25">
      <c r="C1677" t="s">
        <v>884</v>
      </c>
      <c r="J1677">
        <v>0</v>
      </c>
    </row>
    <row r="1678" spans="1:14" x14ac:dyDescent="0.25">
      <c r="C1678" t="s">
        <v>9</v>
      </c>
      <c r="J1678">
        <v>0</v>
      </c>
    </row>
    <row r="1679" spans="1:14" x14ac:dyDescent="0.25">
      <c r="C1679" t="s">
        <v>56</v>
      </c>
      <c r="J1679">
        <v>0</v>
      </c>
    </row>
    <row r="1681" spans="1:14" x14ac:dyDescent="0.25">
      <c r="A1681" t="s">
        <v>885</v>
      </c>
      <c r="C1681" t="s">
        <v>58</v>
      </c>
      <c r="D1681" s="67">
        <v>-18666</v>
      </c>
      <c r="E1681">
        <v>-2474.44</v>
      </c>
      <c r="F1681">
        <v>0</v>
      </c>
      <c r="G1681">
        <v>-14202.7</v>
      </c>
      <c r="H1681">
        <v>-4463.3</v>
      </c>
      <c r="I1681">
        <v>76.08</v>
      </c>
      <c r="J1681">
        <v>0</v>
      </c>
      <c r="K1681" s="249">
        <v>-28405</v>
      </c>
      <c r="L1681" s="249">
        <v>-29796.845000000001</v>
      </c>
      <c r="M1681" s="249">
        <v>-31227.093560000001</v>
      </c>
      <c r="N1681" s="249">
        <v>-32725.994050880003</v>
      </c>
    </row>
    <row r="1683" spans="1:14" x14ac:dyDescent="0.25">
      <c r="C1683" t="s">
        <v>64</v>
      </c>
      <c r="D1683" s="67">
        <v>-18666</v>
      </c>
      <c r="E1683">
        <v>-2474.44</v>
      </c>
      <c r="F1683">
        <v>0</v>
      </c>
      <c r="G1683">
        <v>-14202.7</v>
      </c>
      <c r="H1683">
        <v>-4463.3</v>
      </c>
      <c r="I1683">
        <v>76.08</v>
      </c>
      <c r="J1683">
        <v>-9739</v>
      </c>
      <c r="K1683" s="249">
        <v>-28405</v>
      </c>
      <c r="L1683" s="249">
        <v>-29796.845000000001</v>
      </c>
      <c r="M1683" s="249">
        <v>-31227.093560000001</v>
      </c>
      <c r="N1683" s="249">
        <v>-32725.994050880003</v>
      </c>
    </row>
    <row r="1685" spans="1:14" x14ac:dyDescent="0.25">
      <c r="C1685" t="s">
        <v>70</v>
      </c>
      <c r="J1685">
        <v>0</v>
      </c>
    </row>
    <row r="1687" spans="1:14" x14ac:dyDescent="0.25">
      <c r="A1687" t="s">
        <v>886</v>
      </c>
      <c r="C1687" t="s">
        <v>74</v>
      </c>
      <c r="D1687" s="67">
        <v>-18426329</v>
      </c>
      <c r="E1687">
        <v>0</v>
      </c>
      <c r="F1687">
        <v>0</v>
      </c>
      <c r="G1687">
        <v>0</v>
      </c>
      <c r="H1687">
        <v>-18426329</v>
      </c>
      <c r="I1687">
        <v>0</v>
      </c>
      <c r="J1687">
        <v>0</v>
      </c>
      <c r="K1687" s="249">
        <v>-20255136</v>
      </c>
      <c r="L1687" s="249">
        <v>-18750194</v>
      </c>
      <c r="M1687" s="249">
        <v>-23589212</v>
      </c>
      <c r="N1687" s="249">
        <v>-27741422</v>
      </c>
    </row>
    <row r="1689" spans="1:14" x14ac:dyDescent="0.25">
      <c r="C1689" t="s">
        <v>77</v>
      </c>
      <c r="D1689" s="67">
        <v>-18426329</v>
      </c>
      <c r="E1689">
        <v>0</v>
      </c>
      <c r="F1689">
        <v>0</v>
      </c>
      <c r="G1689">
        <v>0</v>
      </c>
      <c r="H1689">
        <v>-18426329</v>
      </c>
      <c r="I1689">
        <v>0</v>
      </c>
      <c r="J1689">
        <v>-1828807</v>
      </c>
      <c r="K1689" s="249">
        <v>-20255136</v>
      </c>
      <c r="L1689" s="249">
        <v>-18750194</v>
      </c>
      <c r="M1689" s="249">
        <v>-23589212</v>
      </c>
      <c r="N1689" s="249">
        <v>-27741422</v>
      </c>
    </row>
    <row r="1691" spans="1:14" x14ac:dyDescent="0.25">
      <c r="C1691" t="s">
        <v>81</v>
      </c>
      <c r="J1691">
        <v>0</v>
      </c>
    </row>
    <row r="1693" spans="1:14" x14ac:dyDescent="0.25">
      <c r="C1693" t="s">
        <v>94</v>
      </c>
      <c r="D1693" s="67">
        <v>-18444995</v>
      </c>
      <c r="E1693">
        <v>-2474.44</v>
      </c>
      <c r="F1693">
        <v>0</v>
      </c>
      <c r="G1693">
        <v>-14202.7</v>
      </c>
      <c r="H1693">
        <v>-18430792.300000001</v>
      </c>
      <c r="I1693">
        <v>7.0000000000000007E-2</v>
      </c>
      <c r="J1693">
        <v>-1838546</v>
      </c>
      <c r="K1693" s="249">
        <v>-20283541</v>
      </c>
      <c r="L1693" s="249">
        <v>-18779990.844999999</v>
      </c>
      <c r="M1693" s="249">
        <v>-23620439.093559999</v>
      </c>
      <c r="N1693" s="249">
        <v>-27774147.994050879</v>
      </c>
    </row>
    <row r="1695" spans="1:14" x14ac:dyDescent="0.25">
      <c r="C1695" t="s">
        <v>95</v>
      </c>
      <c r="D1695" s="67">
        <v>-18444995</v>
      </c>
      <c r="E1695">
        <v>-2474.44</v>
      </c>
      <c r="F1695">
        <v>0</v>
      </c>
      <c r="G1695">
        <v>-14202.7</v>
      </c>
      <c r="H1695">
        <v>-18430792.300000001</v>
      </c>
      <c r="I1695">
        <v>7.0000000000000007E-2</v>
      </c>
      <c r="J1695">
        <v>-1838546</v>
      </c>
      <c r="K1695" s="249">
        <v>-20283541</v>
      </c>
      <c r="L1695" s="249">
        <v>-18779990.844999999</v>
      </c>
      <c r="M1695" s="249">
        <v>-23620439.093559999</v>
      </c>
      <c r="N1695" s="249">
        <v>-27774147.994050879</v>
      </c>
    </row>
    <row r="1697" spans="1:14" x14ac:dyDescent="0.25">
      <c r="C1697" t="s">
        <v>96</v>
      </c>
      <c r="J1697">
        <v>0</v>
      </c>
    </row>
    <row r="1698" spans="1:14" x14ac:dyDescent="0.25">
      <c r="C1698" t="s">
        <v>97</v>
      </c>
      <c r="J1698">
        <v>0</v>
      </c>
    </row>
    <row r="1699" spans="1:14" x14ac:dyDescent="0.25">
      <c r="C1699" t="s">
        <v>148</v>
      </c>
      <c r="J1699">
        <v>0</v>
      </c>
    </row>
    <row r="1700" spans="1:14" x14ac:dyDescent="0.25">
      <c r="C1700" t="s">
        <v>149</v>
      </c>
      <c r="J1700">
        <v>0</v>
      </c>
    </row>
    <row r="1702" spans="1:14" x14ac:dyDescent="0.25">
      <c r="A1702" t="s">
        <v>887</v>
      </c>
      <c r="C1702" t="s">
        <v>150</v>
      </c>
      <c r="D1702" s="67">
        <v>2395771</v>
      </c>
      <c r="E1702">
        <v>-141346.4</v>
      </c>
      <c r="F1702">
        <v>0</v>
      </c>
      <c r="G1702">
        <v>-848078.4</v>
      </c>
      <c r="H1702">
        <v>-563200.6</v>
      </c>
      <c r="I1702">
        <v>60.09</v>
      </c>
      <c r="J1702">
        <v>0</v>
      </c>
      <c r="K1702" s="249">
        <v>2395771</v>
      </c>
      <c r="L1702" s="249">
        <v>2545506.6875</v>
      </c>
      <c r="M1702" s="249">
        <v>2723692.1556250001</v>
      </c>
      <c r="N1702" s="249">
        <v>2914350.6065187501</v>
      </c>
    </row>
    <row r="1703" spans="1:14" x14ac:dyDescent="0.25">
      <c r="A1703" t="s">
        <v>888</v>
      </c>
      <c r="C1703" t="s">
        <v>150</v>
      </c>
      <c r="D1703" s="67">
        <v>80600</v>
      </c>
      <c r="E1703">
        <v>-141346.4</v>
      </c>
      <c r="F1703">
        <v>0</v>
      </c>
      <c r="G1703">
        <v>-848078.4</v>
      </c>
      <c r="H1703">
        <v>-563200.6</v>
      </c>
      <c r="I1703">
        <v>60.09</v>
      </c>
      <c r="J1703">
        <v>0</v>
      </c>
      <c r="K1703" s="249">
        <v>80600</v>
      </c>
      <c r="L1703" s="249">
        <v>85637.5</v>
      </c>
      <c r="M1703" s="249">
        <v>91632.125</v>
      </c>
      <c r="N1703" s="249">
        <v>98046.373749999999</v>
      </c>
    </row>
    <row r="1704" spans="1:14" x14ac:dyDescent="0.25">
      <c r="A1704" t="s">
        <v>889</v>
      </c>
      <c r="C1704" t="s">
        <v>151</v>
      </c>
      <c r="D1704" s="67">
        <v>119789</v>
      </c>
      <c r="E1704">
        <v>-141346.4</v>
      </c>
      <c r="F1704">
        <v>0</v>
      </c>
      <c r="G1704">
        <v>-848078.4</v>
      </c>
      <c r="H1704">
        <v>-563200.6</v>
      </c>
      <c r="I1704">
        <v>60.09</v>
      </c>
      <c r="J1704">
        <v>-52052.280000000013</v>
      </c>
      <c r="K1704" s="249">
        <v>67736.719999999987</v>
      </c>
      <c r="L1704" s="249">
        <v>71970.264999999985</v>
      </c>
      <c r="M1704" s="249">
        <v>77008.183549999987</v>
      </c>
      <c r="N1704" s="249">
        <v>82398.756398499987</v>
      </c>
    </row>
    <row r="1705" spans="1:14" x14ac:dyDescent="0.25">
      <c r="A1705" t="s">
        <v>890</v>
      </c>
      <c r="C1705" t="s">
        <v>152</v>
      </c>
      <c r="D1705" s="67">
        <v>38100</v>
      </c>
      <c r="E1705">
        <v>-141346.4</v>
      </c>
      <c r="F1705">
        <v>0</v>
      </c>
      <c r="G1705">
        <v>-848078.4</v>
      </c>
      <c r="H1705">
        <v>-563200.6</v>
      </c>
      <c r="I1705">
        <v>60.09</v>
      </c>
      <c r="J1705">
        <v>0</v>
      </c>
      <c r="K1705" s="249">
        <v>38100</v>
      </c>
      <c r="L1705" s="249">
        <v>40481.25</v>
      </c>
      <c r="M1705" s="249">
        <v>43314.9375</v>
      </c>
      <c r="N1705" s="249">
        <v>46346.983124999999</v>
      </c>
    </row>
    <row r="1706" spans="1:14" x14ac:dyDescent="0.25">
      <c r="A1706" t="s">
        <v>891</v>
      </c>
      <c r="C1706" t="s">
        <v>153</v>
      </c>
      <c r="D1706" s="67">
        <v>10893</v>
      </c>
      <c r="E1706">
        <v>-141346.4</v>
      </c>
      <c r="F1706">
        <v>0</v>
      </c>
      <c r="G1706">
        <v>-848078.4</v>
      </c>
      <c r="H1706">
        <v>-563200.6</v>
      </c>
      <c r="I1706">
        <v>60.09</v>
      </c>
      <c r="J1706">
        <v>0</v>
      </c>
      <c r="K1706" s="249">
        <v>10893</v>
      </c>
      <c r="L1706" s="249">
        <v>11573.8125</v>
      </c>
      <c r="M1706" s="249">
        <v>12383.979375000001</v>
      </c>
      <c r="N1706" s="249">
        <v>13250.857931250001</v>
      </c>
    </row>
    <row r="1707" spans="1:14" x14ac:dyDescent="0.25">
      <c r="A1707" t="s">
        <v>892</v>
      </c>
      <c r="C1707" t="s">
        <v>155</v>
      </c>
      <c r="D1707" s="67">
        <v>83636</v>
      </c>
      <c r="E1707">
        <v>-141346.4</v>
      </c>
      <c r="F1707">
        <v>0</v>
      </c>
      <c r="G1707">
        <v>-848078.4</v>
      </c>
      <c r="H1707">
        <v>-563200.6</v>
      </c>
      <c r="I1707">
        <v>60.09</v>
      </c>
      <c r="J1707">
        <v>0</v>
      </c>
      <c r="K1707" s="249">
        <v>83636</v>
      </c>
      <c r="L1707" s="249">
        <v>88863.25</v>
      </c>
      <c r="M1707" s="249">
        <v>95083.677500000005</v>
      </c>
      <c r="N1707" s="249">
        <v>101739.534925</v>
      </c>
    </row>
    <row r="1708" spans="1:14" x14ac:dyDescent="0.25">
      <c r="A1708" t="s">
        <v>893</v>
      </c>
      <c r="C1708" t="s">
        <v>156</v>
      </c>
      <c r="D1708" s="67">
        <v>277507</v>
      </c>
      <c r="E1708">
        <v>-141346.4</v>
      </c>
      <c r="F1708">
        <v>0</v>
      </c>
      <c r="G1708">
        <v>-848078.4</v>
      </c>
      <c r="H1708">
        <v>-563200.6</v>
      </c>
      <c r="I1708">
        <v>60.09</v>
      </c>
      <c r="J1708">
        <v>0</v>
      </c>
      <c r="K1708" s="249">
        <v>277507</v>
      </c>
      <c r="L1708" s="249">
        <v>294851.1875</v>
      </c>
      <c r="M1708" s="249">
        <v>315490.770625</v>
      </c>
      <c r="N1708" s="249">
        <v>337575.12456875003</v>
      </c>
    </row>
    <row r="1709" spans="1:14" x14ac:dyDescent="0.25">
      <c r="A1709" t="s">
        <v>894</v>
      </c>
      <c r="C1709" t="s">
        <v>157</v>
      </c>
      <c r="D1709" s="67">
        <v>59936</v>
      </c>
      <c r="E1709">
        <v>-141346.4</v>
      </c>
      <c r="F1709">
        <v>0</v>
      </c>
      <c r="G1709">
        <v>-848078.4</v>
      </c>
      <c r="H1709">
        <v>-563200.6</v>
      </c>
      <c r="I1709">
        <v>60.09</v>
      </c>
      <c r="J1709">
        <v>0</v>
      </c>
      <c r="K1709" s="249">
        <v>59936</v>
      </c>
      <c r="L1709" s="249">
        <v>63682</v>
      </c>
      <c r="M1709" s="249">
        <v>68139.740000000005</v>
      </c>
      <c r="N1709" s="249">
        <v>72909.521800000002</v>
      </c>
    </row>
    <row r="1710" spans="1:14" x14ac:dyDescent="0.25">
      <c r="A1710" t="s">
        <v>895</v>
      </c>
      <c r="C1710" t="s">
        <v>158</v>
      </c>
      <c r="D1710" s="67">
        <v>12540</v>
      </c>
      <c r="E1710">
        <v>-141346.4</v>
      </c>
      <c r="F1710">
        <v>0</v>
      </c>
      <c r="G1710">
        <v>-848078.4</v>
      </c>
      <c r="H1710">
        <v>-563200.6</v>
      </c>
      <c r="I1710">
        <v>60.09</v>
      </c>
      <c r="J1710">
        <v>0</v>
      </c>
      <c r="K1710" s="249">
        <v>12540</v>
      </c>
      <c r="L1710" s="249">
        <v>13323.75</v>
      </c>
      <c r="M1710" s="249">
        <v>14256.4125</v>
      </c>
      <c r="N1710" s="249">
        <v>15254.361375</v>
      </c>
    </row>
    <row r="1711" spans="1:14" x14ac:dyDescent="0.25">
      <c r="A1711" t="s">
        <v>896</v>
      </c>
      <c r="C1711" t="s">
        <v>159</v>
      </c>
      <c r="D1711" s="67">
        <v>199648</v>
      </c>
      <c r="E1711">
        <v>-141346.4</v>
      </c>
      <c r="F1711">
        <v>0</v>
      </c>
      <c r="G1711">
        <v>-848078.4</v>
      </c>
      <c r="H1711">
        <v>-563200.6</v>
      </c>
      <c r="I1711">
        <v>60.09</v>
      </c>
      <c r="J1711">
        <v>0</v>
      </c>
      <c r="K1711" s="249">
        <v>199648</v>
      </c>
      <c r="L1711" s="249">
        <v>212126</v>
      </c>
      <c r="M1711" s="249">
        <v>226974.82</v>
      </c>
      <c r="N1711" s="249">
        <v>242863.05740000002</v>
      </c>
    </row>
    <row r="1712" spans="1:14" x14ac:dyDescent="0.25">
      <c r="A1712" t="s">
        <v>897</v>
      </c>
      <c r="C1712" t="s">
        <v>161</v>
      </c>
      <c r="D1712" s="67">
        <v>21018</v>
      </c>
      <c r="E1712">
        <v>-141346.4</v>
      </c>
      <c r="F1712">
        <v>0</v>
      </c>
      <c r="G1712">
        <v>-848078.4</v>
      </c>
      <c r="H1712">
        <v>-563200.6</v>
      </c>
      <c r="I1712">
        <v>60.09</v>
      </c>
      <c r="J1712">
        <v>0</v>
      </c>
      <c r="K1712" s="249">
        <v>21018</v>
      </c>
      <c r="L1712" s="249">
        <v>22331.625</v>
      </c>
      <c r="M1712" s="249">
        <v>23894.838749999999</v>
      </c>
      <c r="N1712" s="249">
        <v>25567.477462499999</v>
      </c>
    </row>
    <row r="1713" spans="1:14" x14ac:dyDescent="0.25">
      <c r="A1713" t="s">
        <v>898</v>
      </c>
      <c r="C1713" t="s">
        <v>164</v>
      </c>
      <c r="D1713" s="67">
        <v>15692</v>
      </c>
      <c r="E1713">
        <v>-141346.4</v>
      </c>
      <c r="F1713">
        <v>0</v>
      </c>
      <c r="G1713">
        <v>-848078.4</v>
      </c>
      <c r="H1713">
        <v>-563200.6</v>
      </c>
      <c r="I1713">
        <v>60.09</v>
      </c>
      <c r="J1713">
        <v>0</v>
      </c>
      <c r="K1713" s="249">
        <v>15692</v>
      </c>
      <c r="L1713" s="249">
        <v>16672.75</v>
      </c>
      <c r="M1713" s="249">
        <v>17839.842499999999</v>
      </c>
      <c r="N1713" s="249">
        <v>19088.631474999998</v>
      </c>
    </row>
    <row r="1715" spans="1:14" x14ac:dyDescent="0.25">
      <c r="C1715" t="s">
        <v>165</v>
      </c>
      <c r="D1715" s="67">
        <v>3315130</v>
      </c>
      <c r="E1715">
        <v>-1696156.7999999996</v>
      </c>
      <c r="F1715">
        <v>0</v>
      </c>
      <c r="G1715">
        <v>-10176940.800000003</v>
      </c>
      <c r="H1715">
        <v>-6758407.1999999983</v>
      </c>
      <c r="I1715">
        <v>47.44</v>
      </c>
      <c r="J1715">
        <v>-52052.279999999795</v>
      </c>
      <c r="K1715" s="249">
        <v>3263077.72</v>
      </c>
      <c r="L1715" s="249">
        <v>3467020.0775000001</v>
      </c>
      <c r="M1715" s="249">
        <v>3709711.4829250006</v>
      </c>
      <c r="N1715" s="249">
        <v>3969391.2867297493</v>
      </c>
    </row>
    <row r="1717" spans="1:14" x14ac:dyDescent="0.25">
      <c r="C1717" t="s">
        <v>166</v>
      </c>
      <c r="J1717">
        <v>0</v>
      </c>
    </row>
    <row r="1719" spans="1:14" x14ac:dyDescent="0.25">
      <c r="A1719" t="s">
        <v>899</v>
      </c>
      <c r="C1719" t="s">
        <v>167</v>
      </c>
      <c r="D1719" s="67">
        <v>1011</v>
      </c>
      <c r="E1719">
        <v>-141346.4</v>
      </c>
      <c r="F1719">
        <v>0</v>
      </c>
      <c r="G1719">
        <v>-848078.4</v>
      </c>
      <c r="H1719">
        <v>-563200.6</v>
      </c>
      <c r="I1719">
        <v>60.09</v>
      </c>
      <c r="J1719">
        <v>0</v>
      </c>
      <c r="K1719" s="249">
        <v>1011</v>
      </c>
      <c r="L1719" s="249">
        <v>1074.1875</v>
      </c>
      <c r="M1719" s="249">
        <v>1149.380625</v>
      </c>
      <c r="N1719" s="249">
        <v>1229.83726875</v>
      </c>
    </row>
    <row r="1720" spans="1:14" x14ac:dyDescent="0.25">
      <c r="A1720" t="s">
        <v>900</v>
      </c>
      <c r="C1720" t="s">
        <v>168</v>
      </c>
      <c r="D1720" s="67">
        <v>431265</v>
      </c>
      <c r="E1720">
        <v>-141346.4</v>
      </c>
      <c r="F1720">
        <v>0</v>
      </c>
      <c r="G1720">
        <v>-848078.4</v>
      </c>
      <c r="H1720">
        <v>-563200.6</v>
      </c>
      <c r="I1720">
        <v>60.09</v>
      </c>
      <c r="J1720">
        <v>-200000</v>
      </c>
      <c r="K1720" s="249">
        <v>231265</v>
      </c>
      <c r="L1720" s="249">
        <v>245719.0625</v>
      </c>
      <c r="M1720" s="249">
        <v>262919.39687499998</v>
      </c>
      <c r="N1720" s="249">
        <v>281323.75465624995</v>
      </c>
    </row>
    <row r="1721" spans="1:14" x14ac:dyDescent="0.25">
      <c r="A1721" t="s">
        <v>901</v>
      </c>
      <c r="C1721" t="s">
        <v>169</v>
      </c>
      <c r="D1721" s="67">
        <v>527070</v>
      </c>
      <c r="E1721">
        <v>-141346.4</v>
      </c>
      <c r="F1721">
        <v>0</v>
      </c>
      <c r="G1721">
        <v>-848078.4</v>
      </c>
      <c r="H1721">
        <v>-563200.6</v>
      </c>
      <c r="I1721">
        <v>60.09</v>
      </c>
      <c r="J1721">
        <v>0</v>
      </c>
      <c r="K1721" s="249">
        <v>527070</v>
      </c>
      <c r="L1721" s="249">
        <v>560011.875</v>
      </c>
      <c r="M1721" s="249">
        <v>599212.70625000005</v>
      </c>
      <c r="N1721" s="249">
        <v>641157.59568750008</v>
      </c>
    </row>
    <row r="1722" spans="1:14" x14ac:dyDescent="0.25">
      <c r="A1722" t="s">
        <v>902</v>
      </c>
      <c r="C1722" t="s">
        <v>170</v>
      </c>
      <c r="D1722" s="67">
        <v>14280</v>
      </c>
      <c r="E1722">
        <v>-141346.4</v>
      </c>
      <c r="F1722">
        <v>0</v>
      </c>
      <c r="G1722">
        <v>-848078.4</v>
      </c>
      <c r="H1722">
        <v>-563200.6</v>
      </c>
      <c r="I1722">
        <v>60.09</v>
      </c>
      <c r="J1722">
        <v>0</v>
      </c>
      <c r="K1722" s="249">
        <v>14280</v>
      </c>
      <c r="L1722" s="249">
        <v>15172.5</v>
      </c>
      <c r="M1722" s="249">
        <v>16234.575000000001</v>
      </c>
      <c r="N1722" s="249">
        <v>17370.99525</v>
      </c>
    </row>
    <row r="1723" spans="1:14" x14ac:dyDescent="0.25">
      <c r="A1723" t="s">
        <v>903</v>
      </c>
      <c r="C1723" t="s">
        <v>170</v>
      </c>
      <c r="D1723" s="67">
        <v>0</v>
      </c>
      <c r="E1723">
        <v>-141346.4</v>
      </c>
      <c r="F1723">
        <v>0</v>
      </c>
      <c r="G1723">
        <v>-848078.4</v>
      </c>
      <c r="H1723">
        <v>-563200.6</v>
      </c>
      <c r="I1723">
        <v>60.09</v>
      </c>
      <c r="J1723">
        <v>0</v>
      </c>
      <c r="K1723" s="249">
        <v>0</v>
      </c>
      <c r="L1723" s="249">
        <v>0</v>
      </c>
      <c r="M1723" s="249">
        <v>0</v>
      </c>
    </row>
    <row r="1725" spans="1:14" x14ac:dyDescent="0.25">
      <c r="C1725" t="s">
        <v>171</v>
      </c>
      <c r="D1725" s="67">
        <v>973626</v>
      </c>
      <c r="E1725">
        <v>-706732</v>
      </c>
      <c r="F1725">
        <v>0</v>
      </c>
      <c r="G1725">
        <v>-4240392</v>
      </c>
      <c r="H1725">
        <v>-2816003</v>
      </c>
      <c r="I1725">
        <v>37.630000000000003</v>
      </c>
      <c r="J1725">
        <v>-200000</v>
      </c>
      <c r="K1725" s="249">
        <v>773626</v>
      </c>
      <c r="L1725" s="249">
        <v>821977.625</v>
      </c>
      <c r="M1725" s="249">
        <v>879516.05874999997</v>
      </c>
      <c r="N1725" s="249">
        <v>941082.18286250008</v>
      </c>
    </row>
    <row r="1727" spans="1:14" x14ac:dyDescent="0.25">
      <c r="C1727" t="s">
        <v>172</v>
      </c>
      <c r="J1727">
        <v>0</v>
      </c>
    </row>
    <row r="1729" spans="1:14" x14ac:dyDescent="0.25">
      <c r="A1729" t="s">
        <v>904</v>
      </c>
      <c r="C1729" t="s">
        <v>173</v>
      </c>
      <c r="D1729" s="67">
        <v>41616</v>
      </c>
      <c r="E1729">
        <v>-141346.4</v>
      </c>
      <c r="F1729">
        <v>0</v>
      </c>
      <c r="G1729">
        <v>-848078.4</v>
      </c>
      <c r="H1729">
        <v>-563200.6</v>
      </c>
      <c r="I1729">
        <v>60.09</v>
      </c>
      <c r="J1729">
        <v>0</v>
      </c>
      <c r="K1729" s="249">
        <v>41616</v>
      </c>
      <c r="L1729" s="249">
        <v>44217</v>
      </c>
      <c r="M1729" s="249">
        <v>47312.19</v>
      </c>
      <c r="N1729" s="249">
        <v>50624.043300000005</v>
      </c>
    </row>
    <row r="1730" spans="1:14" x14ac:dyDescent="0.25">
      <c r="A1730" t="s">
        <v>905</v>
      </c>
      <c r="C1730" t="s">
        <v>174</v>
      </c>
      <c r="D1730" s="67">
        <v>54019</v>
      </c>
      <c r="E1730">
        <v>-141346.4</v>
      </c>
      <c r="F1730">
        <v>0</v>
      </c>
      <c r="G1730">
        <v>-848078.4</v>
      </c>
      <c r="H1730">
        <v>-563200.6</v>
      </c>
      <c r="I1730">
        <v>60.09</v>
      </c>
      <c r="J1730">
        <v>0</v>
      </c>
      <c r="K1730" s="249">
        <v>54019</v>
      </c>
      <c r="L1730" s="249">
        <v>57395.1875</v>
      </c>
      <c r="M1730" s="249">
        <v>61412.850624999999</v>
      </c>
      <c r="N1730" s="249">
        <v>65711.750168750004</v>
      </c>
    </row>
    <row r="1731" spans="1:14" x14ac:dyDescent="0.25">
      <c r="A1731" t="s">
        <v>906</v>
      </c>
      <c r="C1731" t="s">
        <v>175</v>
      </c>
      <c r="D1731" s="67">
        <v>39314</v>
      </c>
      <c r="E1731">
        <v>-141346.4</v>
      </c>
      <c r="F1731">
        <v>0</v>
      </c>
      <c r="G1731">
        <v>-848078.4</v>
      </c>
      <c r="H1731">
        <v>-563200.6</v>
      </c>
      <c r="I1731">
        <v>60.09</v>
      </c>
      <c r="J1731">
        <v>0</v>
      </c>
      <c r="K1731" s="249">
        <v>39314</v>
      </c>
      <c r="L1731" s="249">
        <v>41771.125</v>
      </c>
      <c r="M1731" s="249">
        <v>44695.103750000002</v>
      </c>
      <c r="N1731" s="249">
        <v>47823.761012499999</v>
      </c>
    </row>
    <row r="1733" spans="1:14" x14ac:dyDescent="0.25">
      <c r="C1733" t="s">
        <v>176</v>
      </c>
      <c r="D1733" s="67">
        <v>134949</v>
      </c>
      <c r="E1733">
        <v>-424039.19999999995</v>
      </c>
      <c r="F1733">
        <v>0</v>
      </c>
      <c r="G1733">
        <v>-2544235.2000000002</v>
      </c>
      <c r="H1733">
        <v>-1689601.7999999998</v>
      </c>
      <c r="I1733">
        <v>0</v>
      </c>
      <c r="J1733">
        <v>0</v>
      </c>
      <c r="K1733" s="249">
        <v>134949</v>
      </c>
      <c r="L1733" s="249">
        <v>143383.3125</v>
      </c>
      <c r="M1733" s="249">
        <v>153420.144375</v>
      </c>
      <c r="N1733" s="249">
        <v>164159.55448125</v>
      </c>
    </row>
    <row r="1735" spans="1:14" x14ac:dyDescent="0.25">
      <c r="C1735" t="s">
        <v>177</v>
      </c>
      <c r="D1735" s="67">
        <v>4423705</v>
      </c>
      <c r="E1735">
        <v>-2826928</v>
      </c>
      <c r="F1735">
        <v>0</v>
      </c>
      <c r="G1735">
        <v>-16961568.000000004</v>
      </c>
      <c r="H1735">
        <v>-11264012</v>
      </c>
      <c r="I1735">
        <v>43.83</v>
      </c>
      <c r="J1735">
        <v>-252052.2799999998</v>
      </c>
      <c r="K1735" s="249">
        <v>4171652.72</v>
      </c>
      <c r="L1735" s="249">
        <v>4432381.0150000006</v>
      </c>
      <c r="M1735" s="249">
        <v>4742647.6860500006</v>
      </c>
      <c r="N1735" s="249">
        <v>5074633.0240734993</v>
      </c>
    </row>
    <row r="1737" spans="1:14" x14ac:dyDescent="0.25">
      <c r="C1737" t="s">
        <v>178</v>
      </c>
      <c r="D1737" s="67">
        <v>4423705</v>
      </c>
      <c r="E1737">
        <v>-2826928</v>
      </c>
      <c r="F1737">
        <v>0</v>
      </c>
      <c r="G1737">
        <v>-16961568.000000004</v>
      </c>
      <c r="H1737">
        <v>-11264012</v>
      </c>
      <c r="I1737">
        <v>43.83</v>
      </c>
      <c r="J1737">
        <v>-252052.2799999998</v>
      </c>
      <c r="K1737" s="249">
        <v>4171652.72</v>
      </c>
      <c r="L1737" s="249">
        <v>4432381.0150000006</v>
      </c>
      <c r="M1737" s="249">
        <v>4742647.6860500006</v>
      </c>
      <c r="N1737" s="249">
        <v>5074633.0240734993</v>
      </c>
    </row>
    <row r="1739" spans="1:14" x14ac:dyDescent="0.25">
      <c r="C1739" t="s">
        <v>208</v>
      </c>
      <c r="J1739">
        <v>0</v>
      </c>
    </row>
    <row r="1741" spans="1:14" x14ac:dyDescent="0.25">
      <c r="C1741" t="s">
        <v>209</v>
      </c>
      <c r="J1741">
        <v>0</v>
      </c>
    </row>
    <row r="1743" spans="1:14" x14ac:dyDescent="0.25">
      <c r="A1743" t="s">
        <v>907</v>
      </c>
      <c r="C1743" t="s">
        <v>212</v>
      </c>
      <c r="D1743" s="67">
        <v>205000</v>
      </c>
      <c r="E1743">
        <v>-141346.4</v>
      </c>
      <c r="F1743">
        <v>0</v>
      </c>
      <c r="G1743">
        <v>-848078.4</v>
      </c>
      <c r="H1743">
        <v>-563200.6</v>
      </c>
      <c r="I1743">
        <v>60.09</v>
      </c>
      <c r="J1743">
        <v>200000</v>
      </c>
      <c r="K1743" s="249">
        <v>405000</v>
      </c>
      <c r="L1743" s="249">
        <v>200000</v>
      </c>
      <c r="M1743" s="249">
        <v>209200</v>
      </c>
      <c r="N1743" s="249">
        <v>218823.2</v>
      </c>
    </row>
    <row r="1744" spans="1:14" x14ac:dyDescent="0.25">
      <c r="A1744" t="s">
        <v>3078</v>
      </c>
      <c r="C1744" t="s">
        <v>3063</v>
      </c>
      <c r="D1744" s="67">
        <v>0</v>
      </c>
      <c r="K1744" s="249">
        <v>0</v>
      </c>
      <c r="L1744" s="249">
        <v>800000</v>
      </c>
      <c r="M1744" s="249">
        <v>0</v>
      </c>
      <c r="N1744" s="249">
        <v>0</v>
      </c>
    </row>
    <row r="1745" spans="1:14" x14ac:dyDescent="0.25">
      <c r="A1745" t="s">
        <v>908</v>
      </c>
      <c r="C1745" t="s">
        <v>213</v>
      </c>
      <c r="D1745" s="67">
        <v>300000</v>
      </c>
      <c r="E1745">
        <v>-141346.4</v>
      </c>
      <c r="F1745">
        <v>0</v>
      </c>
      <c r="G1745">
        <v>-848078.4</v>
      </c>
      <c r="H1745">
        <v>-563200.6</v>
      </c>
      <c r="I1745">
        <v>60.09</v>
      </c>
      <c r="J1745">
        <v>168000</v>
      </c>
      <c r="K1745" s="249">
        <v>468000</v>
      </c>
      <c r="L1745" s="249">
        <v>300000</v>
      </c>
      <c r="M1745" s="249">
        <v>0</v>
      </c>
      <c r="N1745" s="249">
        <v>300000</v>
      </c>
    </row>
    <row r="1746" spans="1:14" x14ac:dyDescent="0.25">
      <c r="A1746" t="s">
        <v>909</v>
      </c>
      <c r="C1746" t="s">
        <v>216</v>
      </c>
      <c r="D1746" s="67">
        <v>162340</v>
      </c>
      <c r="E1746">
        <v>-141346.4</v>
      </c>
      <c r="F1746">
        <v>0</v>
      </c>
      <c r="G1746">
        <v>-848078.4</v>
      </c>
      <c r="H1746">
        <v>-563200.6</v>
      </c>
      <c r="I1746">
        <v>60.09</v>
      </c>
      <c r="J1746">
        <v>0</v>
      </c>
      <c r="K1746" s="249">
        <v>162340</v>
      </c>
      <c r="L1746" s="249">
        <v>169645.3</v>
      </c>
      <c r="M1746" s="249">
        <v>177448.98379999999</v>
      </c>
      <c r="N1746" s="249">
        <v>185611.6370548</v>
      </c>
    </row>
    <row r="1748" spans="1:14" x14ac:dyDescent="0.25">
      <c r="C1748" t="s">
        <v>217</v>
      </c>
      <c r="D1748" s="67">
        <v>667340</v>
      </c>
      <c r="E1748">
        <v>-424039.19999999995</v>
      </c>
      <c r="F1748">
        <v>0</v>
      </c>
      <c r="G1748">
        <v>-2544235.2000000002</v>
      </c>
      <c r="H1748">
        <v>-1689601.7999999998</v>
      </c>
      <c r="I1748">
        <v>29.36</v>
      </c>
      <c r="J1748">
        <v>368000</v>
      </c>
      <c r="K1748" s="249">
        <v>1035340</v>
      </c>
      <c r="L1748" s="249">
        <v>1469645.3</v>
      </c>
      <c r="M1748" s="249">
        <v>386648.98379999999</v>
      </c>
      <c r="N1748" s="249">
        <v>704434.83705480001</v>
      </c>
    </row>
    <row r="1750" spans="1:14" x14ac:dyDescent="0.25">
      <c r="C1750" t="s">
        <v>218</v>
      </c>
      <c r="J1750">
        <v>0</v>
      </c>
    </row>
    <row r="1752" spans="1:14" x14ac:dyDescent="0.25">
      <c r="A1752" t="s">
        <v>910</v>
      </c>
      <c r="B1752" t="s">
        <v>3051</v>
      </c>
      <c r="C1752" t="s">
        <v>219</v>
      </c>
      <c r="D1752" s="67">
        <v>700000</v>
      </c>
      <c r="E1752">
        <v>-141346.4</v>
      </c>
      <c r="F1752">
        <v>0</v>
      </c>
      <c r="G1752">
        <v>-848078.4</v>
      </c>
      <c r="H1752">
        <v>-563200.6</v>
      </c>
      <c r="I1752">
        <v>60.09</v>
      </c>
      <c r="J1752">
        <v>-52000</v>
      </c>
      <c r="K1752" s="249">
        <v>648000</v>
      </c>
      <c r="L1752" s="249">
        <v>700000</v>
      </c>
      <c r="M1752" s="249">
        <v>0</v>
      </c>
      <c r="N1752" s="249">
        <v>0</v>
      </c>
    </row>
    <row r="1753" spans="1:14" x14ac:dyDescent="0.25">
      <c r="A1753" t="s">
        <v>3079</v>
      </c>
      <c r="C1753" t="s">
        <v>3066</v>
      </c>
      <c r="D1753" s="67">
        <v>0</v>
      </c>
      <c r="K1753" s="249">
        <v>0</v>
      </c>
      <c r="L1753" s="249">
        <v>0</v>
      </c>
      <c r="M1753" s="249">
        <v>2200000</v>
      </c>
      <c r="N1753" s="249">
        <v>0</v>
      </c>
    </row>
    <row r="1755" spans="1:14" x14ac:dyDescent="0.25">
      <c r="C1755" t="s">
        <v>227</v>
      </c>
      <c r="D1755" s="67">
        <v>700000</v>
      </c>
      <c r="E1755">
        <v>-141346.4</v>
      </c>
      <c r="F1755">
        <v>0</v>
      </c>
      <c r="G1755">
        <v>-848078.4</v>
      </c>
      <c r="H1755">
        <v>-563200.6</v>
      </c>
      <c r="I1755">
        <v>0</v>
      </c>
      <c r="J1755">
        <v>-52000</v>
      </c>
      <c r="K1755" s="249">
        <v>648000</v>
      </c>
      <c r="L1755" s="249">
        <v>700000</v>
      </c>
      <c r="M1755" s="249">
        <v>2200000</v>
      </c>
      <c r="N1755" s="249">
        <v>0</v>
      </c>
    </row>
    <row r="1757" spans="1:14" x14ac:dyDescent="0.25">
      <c r="C1757" t="s">
        <v>240</v>
      </c>
      <c r="D1757" s="67">
        <v>1367340</v>
      </c>
      <c r="E1757">
        <v>-565385.6</v>
      </c>
      <c r="F1757">
        <v>0</v>
      </c>
      <c r="G1757">
        <v>-3392313.6</v>
      </c>
      <c r="H1757">
        <v>-2252802.4</v>
      </c>
      <c r="I1757">
        <v>14.33</v>
      </c>
      <c r="J1757">
        <v>316000</v>
      </c>
      <c r="K1757" s="249">
        <v>1683340</v>
      </c>
      <c r="L1757" s="249">
        <v>2169645.2999999998</v>
      </c>
      <c r="M1757" s="249">
        <v>2586648.9838</v>
      </c>
      <c r="N1757" s="249">
        <v>704434.83705480001</v>
      </c>
    </row>
    <row r="1759" spans="1:14" x14ac:dyDescent="0.25">
      <c r="C1759" t="s">
        <v>241</v>
      </c>
      <c r="J1759">
        <v>0</v>
      </c>
    </row>
    <row r="1761" spans="1:14" x14ac:dyDescent="0.25">
      <c r="A1761" t="s">
        <v>911</v>
      </c>
      <c r="C1761" t="s">
        <v>248</v>
      </c>
      <c r="D1761" s="67">
        <v>1176923</v>
      </c>
      <c r="E1761">
        <v>-141346.4</v>
      </c>
      <c r="F1761">
        <v>0</v>
      </c>
      <c r="G1761">
        <v>-848078.4</v>
      </c>
      <c r="H1761">
        <v>-563200.6</v>
      </c>
      <c r="I1761">
        <v>60.09</v>
      </c>
      <c r="J1761">
        <v>600000</v>
      </c>
      <c r="K1761" s="249">
        <v>1776923</v>
      </c>
      <c r="L1761" s="249">
        <v>2100000</v>
      </c>
      <c r="M1761" s="249">
        <v>2194500</v>
      </c>
      <c r="N1761" s="249">
        <v>2293252.5</v>
      </c>
    </row>
    <row r="1762" spans="1:14" x14ac:dyDescent="0.25">
      <c r="A1762" t="s">
        <v>912</v>
      </c>
      <c r="C1762" t="s">
        <v>265</v>
      </c>
      <c r="D1762" s="67">
        <v>0</v>
      </c>
      <c r="E1762">
        <v>-141346.4</v>
      </c>
      <c r="F1762">
        <v>0</v>
      </c>
      <c r="G1762">
        <v>-848078.4</v>
      </c>
      <c r="H1762">
        <v>-563200.6</v>
      </c>
      <c r="I1762">
        <v>60.09</v>
      </c>
      <c r="J1762">
        <v>40000</v>
      </c>
      <c r="K1762" s="249">
        <v>40000</v>
      </c>
      <c r="L1762" s="249">
        <v>41800</v>
      </c>
      <c r="M1762" s="249">
        <v>43681</v>
      </c>
      <c r="N1762" s="249">
        <v>45646.644999999997</v>
      </c>
    </row>
    <row r="1763" spans="1:14" x14ac:dyDescent="0.25">
      <c r="A1763" t="s">
        <v>913</v>
      </c>
      <c r="C1763" t="s">
        <v>265</v>
      </c>
      <c r="D1763" s="67">
        <v>0</v>
      </c>
      <c r="E1763">
        <v>-141346.4</v>
      </c>
      <c r="F1763">
        <v>0</v>
      </c>
      <c r="G1763">
        <v>-848078.4</v>
      </c>
      <c r="H1763">
        <v>-563200.6</v>
      </c>
      <c r="I1763">
        <v>60.09</v>
      </c>
      <c r="J1763">
        <v>800</v>
      </c>
      <c r="K1763" s="249">
        <v>800</v>
      </c>
      <c r="L1763" s="249">
        <v>836</v>
      </c>
      <c r="M1763" s="249">
        <v>873.62</v>
      </c>
      <c r="N1763" s="249">
        <v>912.93290000000002</v>
      </c>
    </row>
    <row r="1764" spans="1:14" x14ac:dyDescent="0.25">
      <c r="A1764" t="s">
        <v>914</v>
      </c>
      <c r="C1764" t="s">
        <v>268</v>
      </c>
      <c r="D1764" s="67">
        <v>0</v>
      </c>
      <c r="E1764">
        <v>-141346.4</v>
      </c>
      <c r="F1764">
        <v>0</v>
      </c>
      <c r="G1764">
        <v>-848078.4</v>
      </c>
      <c r="H1764">
        <v>-563200.6</v>
      </c>
      <c r="I1764">
        <v>60.09</v>
      </c>
      <c r="J1764">
        <v>20000</v>
      </c>
      <c r="K1764" s="249">
        <v>20000</v>
      </c>
      <c r="L1764" s="249">
        <v>20900</v>
      </c>
      <c r="M1764" s="249">
        <v>21840.5</v>
      </c>
      <c r="N1764" s="249">
        <v>22823.322499999998</v>
      </c>
    </row>
    <row r="1766" spans="1:14" x14ac:dyDescent="0.25">
      <c r="C1766" t="s">
        <v>274</v>
      </c>
      <c r="D1766" s="67">
        <v>1176923</v>
      </c>
      <c r="E1766">
        <v>-565385.6</v>
      </c>
      <c r="F1766">
        <v>0</v>
      </c>
      <c r="G1766">
        <v>-3392313.6</v>
      </c>
      <c r="H1766">
        <v>-2252802.4</v>
      </c>
      <c r="I1766">
        <v>56.48</v>
      </c>
      <c r="J1766">
        <v>660800</v>
      </c>
      <c r="K1766" s="249">
        <v>1837723</v>
      </c>
      <c r="L1766" s="249">
        <v>2163536</v>
      </c>
      <c r="M1766" s="249">
        <v>2260895.12</v>
      </c>
      <c r="N1766" s="249">
        <v>2362635.4003999997</v>
      </c>
    </row>
    <row r="1768" spans="1:14" x14ac:dyDescent="0.25">
      <c r="C1768" t="s">
        <v>288</v>
      </c>
      <c r="J1768">
        <v>0</v>
      </c>
    </row>
    <row r="1770" spans="1:14" x14ac:dyDescent="0.25">
      <c r="A1770" t="s">
        <v>915</v>
      </c>
      <c r="C1770" t="s">
        <v>288</v>
      </c>
      <c r="D1770" s="67">
        <v>5837102</v>
      </c>
      <c r="E1770">
        <v>-141346.4</v>
      </c>
      <c r="F1770">
        <v>0</v>
      </c>
      <c r="G1770">
        <v>-848078.4</v>
      </c>
      <c r="H1770">
        <v>-563200.6</v>
      </c>
      <c r="I1770">
        <v>60.09</v>
      </c>
      <c r="J1770">
        <v>0</v>
      </c>
      <c r="K1770" s="249">
        <v>5837102</v>
      </c>
      <c r="L1770" s="249">
        <v>6099771.5899999999</v>
      </c>
      <c r="M1770" s="249">
        <v>6374261.3115499998</v>
      </c>
      <c r="N1770" s="249">
        <v>6661103.0705697499</v>
      </c>
    </row>
    <row r="1772" spans="1:14" x14ac:dyDescent="0.25">
      <c r="C1772" t="s">
        <v>289</v>
      </c>
      <c r="D1772" s="67">
        <v>5837102</v>
      </c>
      <c r="E1772">
        <v>-141346.4</v>
      </c>
      <c r="F1772">
        <v>0</v>
      </c>
      <c r="G1772">
        <v>-848078.4</v>
      </c>
      <c r="H1772">
        <v>-563200.6</v>
      </c>
      <c r="I1772">
        <v>53.51</v>
      </c>
      <c r="J1772">
        <v>0</v>
      </c>
      <c r="K1772" s="249">
        <v>5837102</v>
      </c>
      <c r="L1772" s="249">
        <v>6099771.5899999999</v>
      </c>
      <c r="M1772" s="249">
        <v>6374261.3115499998</v>
      </c>
      <c r="N1772" s="249">
        <v>6661103.0705697499</v>
      </c>
    </row>
    <row r="1774" spans="1:14" x14ac:dyDescent="0.25">
      <c r="C1774" t="s">
        <v>290</v>
      </c>
      <c r="J1774">
        <v>0</v>
      </c>
    </row>
    <row r="1776" spans="1:14" x14ac:dyDescent="0.25">
      <c r="A1776" t="s">
        <v>916</v>
      </c>
      <c r="C1776" t="s">
        <v>291</v>
      </c>
      <c r="D1776" s="67">
        <v>3371</v>
      </c>
      <c r="E1776">
        <v>-141346.4</v>
      </c>
      <c r="F1776">
        <v>0</v>
      </c>
      <c r="G1776">
        <v>-848078.4</v>
      </c>
      <c r="H1776">
        <v>-563200.6</v>
      </c>
      <c r="I1776">
        <v>60.09</v>
      </c>
      <c r="J1776">
        <v>-3371</v>
      </c>
      <c r="K1776" s="249">
        <v>0</v>
      </c>
      <c r="L1776" s="249">
        <v>0</v>
      </c>
      <c r="M1776" s="249">
        <v>0</v>
      </c>
      <c r="N1776" s="249">
        <v>0</v>
      </c>
    </row>
    <row r="1777" spans="1:14" x14ac:dyDescent="0.25">
      <c r="A1777" t="s">
        <v>917</v>
      </c>
      <c r="C1777" t="s">
        <v>292</v>
      </c>
      <c r="D1777" s="67">
        <v>10575</v>
      </c>
      <c r="E1777">
        <v>-141346.4</v>
      </c>
      <c r="F1777">
        <v>0</v>
      </c>
      <c r="G1777">
        <v>-848078.4</v>
      </c>
      <c r="H1777">
        <v>-563200.6</v>
      </c>
      <c r="I1777">
        <v>60.09</v>
      </c>
      <c r="J1777">
        <v>0</v>
      </c>
      <c r="K1777" s="249">
        <v>10575</v>
      </c>
      <c r="L1777" s="249">
        <v>11050.875</v>
      </c>
      <c r="M1777" s="249">
        <v>11548.164375</v>
      </c>
      <c r="N1777" s="249">
        <v>12067.831771875</v>
      </c>
    </row>
    <row r="1778" spans="1:14" x14ac:dyDescent="0.25">
      <c r="A1778" t="s">
        <v>918</v>
      </c>
      <c r="C1778" t="s">
        <v>293</v>
      </c>
      <c r="D1778" s="67">
        <v>109733</v>
      </c>
      <c r="E1778">
        <v>-141346.4</v>
      </c>
      <c r="F1778">
        <v>0</v>
      </c>
      <c r="G1778">
        <v>-848078.4</v>
      </c>
      <c r="H1778">
        <v>-563200.6</v>
      </c>
      <c r="I1778">
        <v>60.09</v>
      </c>
      <c r="J1778">
        <v>0</v>
      </c>
      <c r="K1778" s="249">
        <v>109733</v>
      </c>
      <c r="L1778" s="249">
        <v>114670.985</v>
      </c>
      <c r="M1778" s="249">
        <v>119831.179325</v>
      </c>
      <c r="N1778" s="249">
        <v>125223.582394625</v>
      </c>
    </row>
    <row r="1779" spans="1:14" x14ac:dyDescent="0.25">
      <c r="A1779" t="s">
        <v>919</v>
      </c>
      <c r="C1779" t="s">
        <v>296</v>
      </c>
      <c r="D1779" s="67">
        <v>0</v>
      </c>
      <c r="E1779">
        <v>-141346.4</v>
      </c>
      <c r="F1779">
        <v>0</v>
      </c>
      <c r="G1779">
        <v>-848078.4</v>
      </c>
      <c r="H1779">
        <v>-563200.6</v>
      </c>
      <c r="I1779">
        <v>60.09</v>
      </c>
      <c r="J1779">
        <v>0</v>
      </c>
      <c r="K1779" s="249">
        <v>0</v>
      </c>
      <c r="L1779" s="249">
        <v>0</v>
      </c>
      <c r="M1779" s="249">
        <v>0</v>
      </c>
      <c r="N1779" s="249">
        <v>0</v>
      </c>
    </row>
    <row r="1781" spans="1:14" x14ac:dyDescent="0.25">
      <c r="C1781" t="s">
        <v>304</v>
      </c>
      <c r="D1781" s="67">
        <v>123679</v>
      </c>
      <c r="E1781">
        <v>-565385.6</v>
      </c>
      <c r="F1781">
        <v>0</v>
      </c>
      <c r="G1781">
        <v>-3392313.6</v>
      </c>
      <c r="H1781">
        <v>-2252802.4</v>
      </c>
      <c r="I1781">
        <v>98.8</v>
      </c>
      <c r="J1781">
        <v>-3371</v>
      </c>
      <c r="K1781" s="249">
        <v>120308</v>
      </c>
      <c r="L1781" s="249">
        <v>125721.86</v>
      </c>
      <c r="M1781" s="249">
        <v>131379.3437</v>
      </c>
      <c r="N1781" s="249">
        <v>137291.41416650001</v>
      </c>
    </row>
    <row r="1783" spans="1:14" x14ac:dyDescent="0.25">
      <c r="C1783" t="s">
        <v>305</v>
      </c>
      <c r="D1783" s="67">
        <v>12928749</v>
      </c>
      <c r="E1783">
        <v>-4664431.2</v>
      </c>
      <c r="F1783">
        <v>0</v>
      </c>
      <c r="G1783">
        <v>-27986587.200000007</v>
      </c>
      <c r="H1783">
        <v>-18585619.800000001</v>
      </c>
      <c r="I1783">
        <v>46.76</v>
      </c>
      <c r="J1783">
        <v>721376.72000000067</v>
      </c>
      <c r="K1783" s="249">
        <v>13650125.720000001</v>
      </c>
      <c r="L1783" s="249">
        <v>14991055.765000001</v>
      </c>
      <c r="M1783" s="249">
        <v>16095832.445099998</v>
      </c>
      <c r="N1783" s="249">
        <v>14940097.746264549</v>
      </c>
    </row>
    <row r="1785" spans="1:14" x14ac:dyDescent="0.25">
      <c r="C1785" t="s">
        <v>306</v>
      </c>
      <c r="D1785" s="67">
        <v>-5516246</v>
      </c>
      <c r="E1785">
        <v>-4666905.6400000006</v>
      </c>
      <c r="F1785">
        <v>0</v>
      </c>
      <c r="G1785">
        <v>-28000789.900000006</v>
      </c>
      <c r="H1785">
        <v>-37016412.100000001</v>
      </c>
      <c r="I1785">
        <v>-109.34</v>
      </c>
      <c r="J1785">
        <v>-1117169.2799999993</v>
      </c>
      <c r="K1785" s="249">
        <v>-6633415.2799999993</v>
      </c>
      <c r="L1785" s="249">
        <v>-3788935.0799999982</v>
      </c>
      <c r="M1785" s="249">
        <v>-7524606.6484600008</v>
      </c>
      <c r="N1785" s="249">
        <v>-12834050.24778633</v>
      </c>
    </row>
    <row r="1787" spans="1:14" x14ac:dyDescent="0.25">
      <c r="C1787" t="s">
        <v>308</v>
      </c>
      <c r="J1787">
        <v>0</v>
      </c>
    </row>
    <row r="1789" spans="1:14" x14ac:dyDescent="0.25">
      <c r="A1789" t="s">
        <v>920</v>
      </c>
      <c r="C1789" t="s">
        <v>921</v>
      </c>
      <c r="D1789" s="67">
        <v>200000</v>
      </c>
      <c r="E1789">
        <v>-141346.4</v>
      </c>
      <c r="F1789">
        <v>0</v>
      </c>
      <c r="G1789">
        <v>-848078.4</v>
      </c>
      <c r="H1789">
        <v>-563200.6</v>
      </c>
      <c r="I1789">
        <v>60.09</v>
      </c>
      <c r="J1789">
        <v>40000</v>
      </c>
      <c r="K1789" s="249">
        <v>240000</v>
      </c>
      <c r="L1789" s="249">
        <v>200000</v>
      </c>
      <c r="M1789" s="249">
        <v>0</v>
      </c>
    </row>
    <row r="1791" spans="1:14" x14ac:dyDescent="0.25">
      <c r="C1791" t="s">
        <v>320</v>
      </c>
      <c r="D1791" s="67">
        <v>200000</v>
      </c>
      <c r="E1791">
        <v>-141346.4</v>
      </c>
      <c r="F1791">
        <v>0</v>
      </c>
      <c r="G1791">
        <v>-848078.4</v>
      </c>
      <c r="H1791">
        <v>-563200.6</v>
      </c>
      <c r="I1791">
        <v>0</v>
      </c>
      <c r="J1791">
        <v>40000</v>
      </c>
      <c r="K1791" s="249">
        <v>240000</v>
      </c>
      <c r="L1791" s="249">
        <v>200000</v>
      </c>
      <c r="M1791" s="249">
        <v>0</v>
      </c>
      <c r="N1791" s="249">
        <v>0</v>
      </c>
    </row>
    <row r="1793" spans="1:14" x14ac:dyDescent="0.25">
      <c r="C1793" t="s">
        <v>922</v>
      </c>
      <c r="J1793">
        <v>276424</v>
      </c>
      <c r="K1793" s="249">
        <v>0</v>
      </c>
    </row>
    <row r="1794" spans="1:14" x14ac:dyDescent="0.25">
      <c r="C1794" t="s">
        <v>96</v>
      </c>
      <c r="J1794">
        <v>276424</v>
      </c>
      <c r="K1794" s="249">
        <v>0</v>
      </c>
    </row>
    <row r="1795" spans="1:14" x14ac:dyDescent="0.25">
      <c r="C1795" t="s">
        <v>97</v>
      </c>
      <c r="J1795">
        <v>276424</v>
      </c>
      <c r="K1795" s="249">
        <v>0</v>
      </c>
    </row>
    <row r="1796" spans="1:14" x14ac:dyDescent="0.25">
      <c r="C1796" t="s">
        <v>148</v>
      </c>
      <c r="J1796">
        <v>276424</v>
      </c>
      <c r="K1796" s="249">
        <v>0</v>
      </c>
    </row>
    <row r="1797" spans="1:14" x14ac:dyDescent="0.25">
      <c r="C1797" t="s">
        <v>149</v>
      </c>
      <c r="J1797">
        <v>276424</v>
      </c>
      <c r="K1797" s="249">
        <v>0</v>
      </c>
    </row>
    <row r="1799" spans="1:14" x14ac:dyDescent="0.25">
      <c r="A1799" t="s">
        <v>923</v>
      </c>
      <c r="C1799" t="s">
        <v>150</v>
      </c>
      <c r="D1799" s="67">
        <v>2016139</v>
      </c>
      <c r="E1799">
        <v>-141346.4</v>
      </c>
      <c r="F1799">
        <v>0</v>
      </c>
      <c r="G1799">
        <v>-848078.4</v>
      </c>
      <c r="H1799">
        <v>-563200.6</v>
      </c>
      <c r="I1799">
        <v>60.09</v>
      </c>
      <c r="J1799">
        <v>0</v>
      </c>
      <c r="K1799" s="249">
        <v>2016139</v>
      </c>
      <c r="L1799" s="249">
        <v>2142147.6875</v>
      </c>
      <c r="M1799" s="249">
        <v>2292098.0256249998</v>
      </c>
      <c r="N1799" s="249">
        <v>2452544.8874187497</v>
      </c>
    </row>
    <row r="1800" spans="1:14" x14ac:dyDescent="0.25">
      <c r="A1800" t="s">
        <v>924</v>
      </c>
      <c r="C1800" t="s">
        <v>150</v>
      </c>
      <c r="D1800" s="67">
        <v>80600</v>
      </c>
      <c r="E1800">
        <v>-141346.4</v>
      </c>
      <c r="F1800">
        <v>0</v>
      </c>
      <c r="G1800">
        <v>-848078.4</v>
      </c>
      <c r="H1800">
        <v>-563200.6</v>
      </c>
      <c r="I1800">
        <v>60.09</v>
      </c>
      <c r="J1800">
        <v>0</v>
      </c>
      <c r="K1800" s="249">
        <v>80600</v>
      </c>
      <c r="L1800" s="249">
        <v>85637.5</v>
      </c>
      <c r="M1800" s="249">
        <v>91632.125</v>
      </c>
      <c r="N1800" s="249">
        <v>98046.373749999999</v>
      </c>
    </row>
    <row r="1801" spans="1:14" x14ac:dyDescent="0.25">
      <c r="A1801" t="s">
        <v>925</v>
      </c>
      <c r="C1801" t="s">
        <v>151</v>
      </c>
      <c r="D1801" s="67">
        <v>83607</v>
      </c>
      <c r="E1801">
        <v>-141346.4</v>
      </c>
      <c r="F1801">
        <v>0</v>
      </c>
      <c r="G1801">
        <v>-848078.4</v>
      </c>
      <c r="H1801">
        <v>-563200.6</v>
      </c>
      <c r="I1801">
        <v>60.09</v>
      </c>
      <c r="J1801">
        <v>-41271.550000000003</v>
      </c>
      <c r="K1801" s="249">
        <v>42335.45</v>
      </c>
      <c r="L1801" s="249">
        <v>44981.415624999994</v>
      </c>
      <c r="M1801" s="249">
        <v>48130.114718749996</v>
      </c>
      <c r="N1801" s="249">
        <v>51499.222749062494</v>
      </c>
    </row>
    <row r="1802" spans="1:14" x14ac:dyDescent="0.25">
      <c r="A1802" t="s">
        <v>926</v>
      </c>
      <c r="C1802" t="s">
        <v>152</v>
      </c>
      <c r="D1802" s="67">
        <v>52200</v>
      </c>
      <c r="E1802">
        <v>-141346.4</v>
      </c>
      <c r="F1802">
        <v>0</v>
      </c>
      <c r="G1802">
        <v>-848078.4</v>
      </c>
      <c r="H1802">
        <v>-563200.6</v>
      </c>
      <c r="I1802">
        <v>60.09</v>
      </c>
      <c r="J1802">
        <v>0</v>
      </c>
      <c r="K1802" s="249">
        <v>52200</v>
      </c>
      <c r="L1802" s="249">
        <v>55462.5</v>
      </c>
      <c r="M1802" s="249">
        <v>59344.875</v>
      </c>
      <c r="N1802" s="249">
        <v>63499.016250000001</v>
      </c>
    </row>
    <row r="1803" spans="1:14" x14ac:dyDescent="0.25">
      <c r="A1803" t="s">
        <v>927</v>
      </c>
      <c r="C1803" t="s">
        <v>153</v>
      </c>
      <c r="D1803" s="67">
        <v>10893</v>
      </c>
      <c r="E1803">
        <v>-141346.4</v>
      </c>
      <c r="F1803">
        <v>0</v>
      </c>
      <c r="G1803">
        <v>-848078.4</v>
      </c>
      <c r="H1803">
        <v>-563200.6</v>
      </c>
      <c r="I1803">
        <v>60.09</v>
      </c>
      <c r="J1803">
        <v>0</v>
      </c>
      <c r="K1803" s="249">
        <v>10893</v>
      </c>
      <c r="L1803" s="249">
        <v>11573.8125</v>
      </c>
      <c r="M1803" s="249">
        <v>12383.979375000001</v>
      </c>
      <c r="N1803" s="249">
        <v>13250.857931250001</v>
      </c>
    </row>
    <row r="1804" spans="1:14" x14ac:dyDescent="0.25">
      <c r="A1804" t="s">
        <v>928</v>
      </c>
      <c r="C1804" t="s">
        <v>155</v>
      </c>
      <c r="D1804" s="67">
        <v>59373</v>
      </c>
      <c r="E1804">
        <v>-141346.4</v>
      </c>
      <c r="F1804">
        <v>0</v>
      </c>
      <c r="G1804">
        <v>-848078.4</v>
      </c>
      <c r="H1804">
        <v>-563200.6</v>
      </c>
      <c r="I1804">
        <v>60.09</v>
      </c>
      <c r="J1804">
        <v>0</v>
      </c>
      <c r="K1804" s="249">
        <v>59373</v>
      </c>
      <c r="L1804" s="249">
        <v>63083.8125</v>
      </c>
      <c r="M1804" s="249">
        <v>67499.679375000007</v>
      </c>
      <c r="N1804" s="249">
        <v>72224.656931250007</v>
      </c>
    </row>
    <row r="1805" spans="1:14" x14ac:dyDescent="0.25">
      <c r="A1805" t="s">
        <v>929</v>
      </c>
      <c r="C1805" t="s">
        <v>156</v>
      </c>
      <c r="D1805" s="67">
        <v>307875</v>
      </c>
      <c r="E1805">
        <v>-141346.4</v>
      </c>
      <c r="F1805">
        <v>0</v>
      </c>
      <c r="G1805">
        <v>-848078.4</v>
      </c>
      <c r="H1805">
        <v>-563200.6</v>
      </c>
      <c r="I1805">
        <v>60.09</v>
      </c>
      <c r="J1805">
        <v>0</v>
      </c>
      <c r="K1805" s="249">
        <v>307875</v>
      </c>
      <c r="L1805" s="249">
        <v>327117.1875</v>
      </c>
      <c r="M1805" s="249">
        <v>350015.390625</v>
      </c>
      <c r="N1805" s="249">
        <v>374516.46796874999</v>
      </c>
    </row>
    <row r="1806" spans="1:14" x14ac:dyDescent="0.25">
      <c r="A1806" t="s">
        <v>930</v>
      </c>
      <c r="C1806" t="s">
        <v>157</v>
      </c>
      <c r="D1806" s="67">
        <v>10516</v>
      </c>
      <c r="E1806">
        <v>-141346.4</v>
      </c>
      <c r="F1806">
        <v>0</v>
      </c>
      <c r="G1806">
        <v>-848078.4</v>
      </c>
      <c r="H1806">
        <v>-563200.6</v>
      </c>
      <c r="I1806">
        <v>60.09</v>
      </c>
      <c r="J1806">
        <v>0</v>
      </c>
      <c r="K1806" s="249">
        <v>10516</v>
      </c>
      <c r="L1806" s="249">
        <v>11173.25</v>
      </c>
      <c r="M1806" s="249">
        <v>11955.377500000001</v>
      </c>
      <c r="N1806" s="249">
        <v>12792.253925000001</v>
      </c>
    </row>
    <row r="1807" spans="1:14" x14ac:dyDescent="0.25">
      <c r="A1807" t="s">
        <v>931</v>
      </c>
      <c r="C1807" t="s">
        <v>158</v>
      </c>
      <c r="D1807" s="67">
        <v>11138</v>
      </c>
      <c r="E1807">
        <v>-141346.4</v>
      </c>
      <c r="F1807">
        <v>0</v>
      </c>
      <c r="G1807">
        <v>-848078.4</v>
      </c>
      <c r="H1807">
        <v>-563200.6</v>
      </c>
      <c r="I1807">
        <v>60.09</v>
      </c>
      <c r="J1807">
        <v>0</v>
      </c>
      <c r="K1807" s="249">
        <v>11138</v>
      </c>
      <c r="L1807" s="249">
        <v>11834.125</v>
      </c>
      <c r="M1807" s="249">
        <v>12662.51375</v>
      </c>
      <c r="N1807" s="249">
        <v>13548.8897125</v>
      </c>
    </row>
    <row r="1808" spans="1:14" x14ac:dyDescent="0.25">
      <c r="A1808" t="s">
        <v>932</v>
      </c>
      <c r="C1808" t="s">
        <v>159</v>
      </c>
      <c r="D1808" s="67">
        <v>168012</v>
      </c>
      <c r="E1808">
        <v>-141346.4</v>
      </c>
      <c r="F1808">
        <v>0</v>
      </c>
      <c r="G1808">
        <v>-848078.4</v>
      </c>
      <c r="H1808">
        <v>-563200.6</v>
      </c>
      <c r="I1808">
        <v>60.09</v>
      </c>
      <c r="J1808">
        <v>0</v>
      </c>
      <c r="K1808" s="249">
        <v>168012</v>
      </c>
      <c r="L1808" s="249">
        <v>178512.75</v>
      </c>
      <c r="M1808" s="249">
        <v>191008.64249999999</v>
      </c>
      <c r="N1808" s="249">
        <v>204379.24747499998</v>
      </c>
    </row>
    <row r="1809" spans="1:14" x14ac:dyDescent="0.25">
      <c r="A1809" t="s">
        <v>933</v>
      </c>
      <c r="C1809" t="s">
        <v>161</v>
      </c>
      <c r="D1809" s="67">
        <v>21018</v>
      </c>
      <c r="E1809">
        <v>-141346.4</v>
      </c>
      <c r="F1809">
        <v>0</v>
      </c>
      <c r="G1809">
        <v>-848078.4</v>
      </c>
      <c r="H1809">
        <v>-563200.6</v>
      </c>
      <c r="I1809">
        <v>60.09</v>
      </c>
      <c r="J1809">
        <v>0</v>
      </c>
      <c r="K1809" s="249">
        <v>21018</v>
      </c>
      <c r="L1809" s="249">
        <v>22331.625</v>
      </c>
      <c r="M1809" s="249">
        <v>23894.838749999999</v>
      </c>
      <c r="N1809" s="249">
        <v>25567.477462499999</v>
      </c>
    </row>
    <row r="1810" spans="1:14" x14ac:dyDescent="0.25">
      <c r="A1810" t="s">
        <v>934</v>
      </c>
      <c r="C1810" t="s">
        <v>164</v>
      </c>
      <c r="D1810" s="67">
        <v>15692</v>
      </c>
      <c r="E1810">
        <v>-141346.4</v>
      </c>
      <c r="F1810">
        <v>0</v>
      </c>
      <c r="G1810">
        <v>-848078.4</v>
      </c>
      <c r="H1810">
        <v>-563200.6</v>
      </c>
      <c r="I1810">
        <v>60.09</v>
      </c>
      <c r="J1810">
        <v>0</v>
      </c>
      <c r="K1810" s="249">
        <v>15692</v>
      </c>
      <c r="L1810" s="249">
        <v>16672.75</v>
      </c>
      <c r="M1810" s="249">
        <v>17839.842499999999</v>
      </c>
      <c r="N1810" s="249">
        <v>19088.631474999998</v>
      </c>
    </row>
    <row r="1812" spans="1:14" x14ac:dyDescent="0.25">
      <c r="C1812" t="s">
        <v>165</v>
      </c>
      <c r="D1812" s="67">
        <v>2837063</v>
      </c>
      <c r="E1812">
        <v>-1696156.7999999996</v>
      </c>
      <c r="F1812">
        <v>0</v>
      </c>
      <c r="G1812">
        <v>-10176940.800000003</v>
      </c>
      <c r="H1812">
        <v>-6758407.1999999983</v>
      </c>
      <c r="I1812">
        <v>38.1</v>
      </c>
      <c r="J1812">
        <v>-41271.549999999814</v>
      </c>
      <c r="K1812" s="249">
        <v>2795791.45</v>
      </c>
      <c r="L1812" s="249">
        <v>2970528.4156249999</v>
      </c>
      <c r="M1812" s="249">
        <v>3178465.4047187497</v>
      </c>
      <c r="N1812" s="249">
        <v>3400957.9830490611</v>
      </c>
    </row>
    <row r="1814" spans="1:14" x14ac:dyDescent="0.25">
      <c r="C1814" t="s">
        <v>166</v>
      </c>
      <c r="J1814">
        <v>0</v>
      </c>
    </row>
    <row r="1816" spans="1:14" x14ac:dyDescent="0.25">
      <c r="A1816" t="s">
        <v>935</v>
      </c>
      <c r="C1816" t="s">
        <v>167</v>
      </c>
      <c r="D1816" s="67">
        <v>674</v>
      </c>
      <c r="E1816">
        <v>-141346.4</v>
      </c>
      <c r="F1816">
        <v>0</v>
      </c>
      <c r="G1816">
        <v>-848078.4</v>
      </c>
      <c r="H1816">
        <v>-563200.6</v>
      </c>
      <c r="I1816">
        <v>60.09</v>
      </c>
      <c r="J1816">
        <v>0</v>
      </c>
      <c r="K1816" s="249">
        <v>674</v>
      </c>
      <c r="L1816" s="249">
        <v>716.125</v>
      </c>
      <c r="M1816" s="249">
        <v>766.25374999999997</v>
      </c>
      <c r="N1816" s="249">
        <v>819.89151249999998</v>
      </c>
    </row>
    <row r="1817" spans="1:14" x14ac:dyDescent="0.25">
      <c r="A1817" t="s">
        <v>936</v>
      </c>
      <c r="C1817" t="s">
        <v>168</v>
      </c>
      <c r="D1817" s="67">
        <v>161725</v>
      </c>
      <c r="E1817">
        <v>-141346.4</v>
      </c>
      <c r="F1817">
        <v>0</v>
      </c>
      <c r="G1817">
        <v>-848078.4</v>
      </c>
      <c r="H1817">
        <v>-563200.6</v>
      </c>
      <c r="I1817">
        <v>60.09</v>
      </c>
      <c r="J1817">
        <v>-100000</v>
      </c>
      <c r="K1817" s="249">
        <v>61725</v>
      </c>
      <c r="L1817" s="249">
        <v>65582.8125</v>
      </c>
      <c r="M1817" s="249">
        <v>70173.609375</v>
      </c>
      <c r="N1817" s="249">
        <v>75085.762031249993</v>
      </c>
    </row>
    <row r="1818" spans="1:14" x14ac:dyDescent="0.25">
      <c r="A1818" t="s">
        <v>937</v>
      </c>
      <c r="C1818" t="s">
        <v>169</v>
      </c>
      <c r="D1818" s="67">
        <v>443551</v>
      </c>
      <c r="E1818">
        <v>-141346.4</v>
      </c>
      <c r="F1818">
        <v>0</v>
      </c>
      <c r="G1818">
        <v>-848078.4</v>
      </c>
      <c r="H1818">
        <v>-563200.6</v>
      </c>
      <c r="I1818">
        <v>60.09</v>
      </c>
      <c r="J1818">
        <v>0</v>
      </c>
      <c r="K1818" s="249">
        <v>443551</v>
      </c>
      <c r="L1818" s="249">
        <v>471272.9375</v>
      </c>
      <c r="M1818" s="249">
        <v>504262.04312499997</v>
      </c>
      <c r="N1818" s="249">
        <v>539560.38614374993</v>
      </c>
    </row>
    <row r="1819" spans="1:14" x14ac:dyDescent="0.25">
      <c r="A1819" t="s">
        <v>938</v>
      </c>
      <c r="C1819" t="s">
        <v>170</v>
      </c>
      <c r="D1819" s="67">
        <v>10710</v>
      </c>
      <c r="E1819">
        <v>-141346.4</v>
      </c>
      <c r="F1819">
        <v>0</v>
      </c>
      <c r="G1819">
        <v>-848078.4</v>
      </c>
      <c r="H1819">
        <v>-563200.6</v>
      </c>
      <c r="I1819">
        <v>60.09</v>
      </c>
      <c r="J1819">
        <v>0</v>
      </c>
      <c r="K1819" s="249">
        <v>10710</v>
      </c>
      <c r="L1819" s="249">
        <v>11379.375</v>
      </c>
      <c r="M1819" s="249">
        <v>12175.93125</v>
      </c>
      <c r="N1819" s="249">
        <v>13028.2464375</v>
      </c>
    </row>
    <row r="1820" spans="1:14" x14ac:dyDescent="0.25">
      <c r="A1820" t="s">
        <v>939</v>
      </c>
      <c r="C1820" t="s">
        <v>170</v>
      </c>
      <c r="D1820" s="67">
        <v>0</v>
      </c>
      <c r="E1820">
        <v>-141346.4</v>
      </c>
      <c r="F1820">
        <v>0</v>
      </c>
      <c r="G1820">
        <v>-848078.4</v>
      </c>
      <c r="H1820">
        <v>-563200.6</v>
      </c>
      <c r="I1820">
        <v>60.09</v>
      </c>
      <c r="J1820">
        <v>0</v>
      </c>
      <c r="K1820" s="249">
        <v>0</v>
      </c>
      <c r="L1820" s="249">
        <v>0</v>
      </c>
      <c r="M1820" s="249">
        <v>0</v>
      </c>
    </row>
    <row r="1822" spans="1:14" x14ac:dyDescent="0.25">
      <c r="C1822" t="s">
        <v>171</v>
      </c>
      <c r="D1822" s="67">
        <v>616660</v>
      </c>
      <c r="E1822">
        <v>-706732</v>
      </c>
      <c r="F1822">
        <v>0</v>
      </c>
      <c r="G1822">
        <v>-4240392</v>
      </c>
      <c r="H1822">
        <v>-2816003</v>
      </c>
      <c r="I1822">
        <v>27.57</v>
      </c>
      <c r="J1822">
        <v>-100000</v>
      </c>
      <c r="K1822" s="249">
        <v>516660</v>
      </c>
      <c r="L1822" s="249">
        <v>548951.25</v>
      </c>
      <c r="M1822" s="249">
        <v>587377.83750000002</v>
      </c>
      <c r="N1822" s="249">
        <v>628494.28612499987</v>
      </c>
    </row>
    <row r="1824" spans="1:14" x14ac:dyDescent="0.25">
      <c r="C1824" t="s">
        <v>172</v>
      </c>
      <c r="J1824">
        <v>0</v>
      </c>
    </row>
    <row r="1826" spans="1:14" x14ac:dyDescent="0.25">
      <c r="A1826" t="s">
        <v>940</v>
      </c>
      <c r="C1826" t="s">
        <v>173</v>
      </c>
      <c r="D1826" s="67">
        <v>13215</v>
      </c>
      <c r="E1826">
        <v>-141346.4</v>
      </c>
      <c r="F1826">
        <v>0</v>
      </c>
      <c r="G1826">
        <v>-848078.4</v>
      </c>
      <c r="H1826">
        <v>-563200.6</v>
      </c>
      <c r="I1826">
        <v>60.09</v>
      </c>
      <c r="J1826">
        <v>0</v>
      </c>
      <c r="K1826" s="249">
        <v>13215</v>
      </c>
      <c r="L1826" s="249">
        <v>14040.9375</v>
      </c>
      <c r="M1826" s="249">
        <v>15023.803125</v>
      </c>
      <c r="N1826" s="249">
        <v>16075.469343750001</v>
      </c>
    </row>
    <row r="1827" spans="1:14" x14ac:dyDescent="0.25">
      <c r="A1827" t="s">
        <v>941</v>
      </c>
      <c r="C1827" t="s">
        <v>174</v>
      </c>
      <c r="D1827" s="67">
        <v>7153</v>
      </c>
      <c r="E1827">
        <v>-141346.4</v>
      </c>
      <c r="F1827">
        <v>0</v>
      </c>
      <c r="G1827">
        <v>-848078.4</v>
      </c>
      <c r="H1827">
        <v>-563200.6</v>
      </c>
      <c r="I1827">
        <v>60.09</v>
      </c>
      <c r="J1827">
        <v>0</v>
      </c>
      <c r="K1827" s="249">
        <v>7153</v>
      </c>
      <c r="L1827" s="249">
        <v>7600.0625</v>
      </c>
      <c r="M1827" s="249">
        <v>8132.0668750000004</v>
      </c>
      <c r="N1827" s="249">
        <v>8701.3115562500006</v>
      </c>
    </row>
    <row r="1828" spans="1:14" x14ac:dyDescent="0.25">
      <c r="A1828" t="s">
        <v>942</v>
      </c>
      <c r="C1828" t="s">
        <v>175</v>
      </c>
      <c r="D1828" s="67">
        <v>24762</v>
      </c>
      <c r="E1828">
        <v>-141346.4</v>
      </c>
      <c r="F1828">
        <v>0</v>
      </c>
      <c r="G1828">
        <v>-848078.4</v>
      </c>
      <c r="H1828">
        <v>-563200.6</v>
      </c>
      <c r="I1828">
        <v>60.09</v>
      </c>
      <c r="J1828">
        <v>0</v>
      </c>
      <c r="K1828" s="249">
        <v>24762</v>
      </c>
      <c r="L1828" s="249">
        <v>26309.625</v>
      </c>
      <c r="M1828" s="249">
        <v>28151.298750000002</v>
      </c>
      <c r="N1828" s="249">
        <v>30121.889662500002</v>
      </c>
    </row>
    <row r="1830" spans="1:14" x14ac:dyDescent="0.25">
      <c r="C1830" t="s">
        <v>176</v>
      </c>
      <c r="D1830" s="67">
        <v>45130</v>
      </c>
      <c r="E1830">
        <v>-424039.19999999995</v>
      </c>
      <c r="F1830">
        <v>0</v>
      </c>
      <c r="G1830">
        <v>-2544235.2000000002</v>
      </c>
      <c r="H1830">
        <v>-1689601.7999999998</v>
      </c>
      <c r="I1830">
        <v>0</v>
      </c>
      <c r="J1830">
        <v>0</v>
      </c>
      <c r="K1830" s="249">
        <v>45130</v>
      </c>
      <c r="L1830" s="249">
        <v>47950.625</v>
      </c>
      <c r="M1830" s="249">
        <v>51307.168750000004</v>
      </c>
      <c r="N1830" s="249">
        <v>54898.670562500003</v>
      </c>
    </row>
    <row r="1832" spans="1:14" x14ac:dyDescent="0.25">
      <c r="C1832" t="s">
        <v>177</v>
      </c>
      <c r="D1832" s="67">
        <v>3498853</v>
      </c>
      <c r="E1832">
        <v>-2826928</v>
      </c>
      <c r="F1832">
        <v>0</v>
      </c>
      <c r="G1832">
        <v>-16961568.000000004</v>
      </c>
      <c r="H1832">
        <v>-11264012</v>
      </c>
      <c r="I1832">
        <v>35.75</v>
      </c>
      <c r="J1832">
        <v>-141271.54999999981</v>
      </c>
      <c r="K1832" s="249">
        <v>3357581.45</v>
      </c>
      <c r="L1832" s="249">
        <v>3567430.2906249999</v>
      </c>
      <c r="M1832" s="249">
        <v>3817150.4109687498</v>
      </c>
      <c r="N1832" s="249">
        <v>4084350.9397365609</v>
      </c>
    </row>
    <row r="1834" spans="1:14" x14ac:dyDescent="0.25">
      <c r="C1834" t="s">
        <v>178</v>
      </c>
      <c r="D1834" s="67">
        <v>3498853</v>
      </c>
      <c r="E1834">
        <v>-2826928</v>
      </c>
      <c r="F1834">
        <v>0</v>
      </c>
      <c r="G1834">
        <v>-16961568.000000004</v>
      </c>
      <c r="H1834">
        <v>-11264012</v>
      </c>
      <c r="I1834">
        <v>35.75</v>
      </c>
      <c r="J1834">
        <v>-141271.54999999981</v>
      </c>
      <c r="K1834" s="249">
        <v>3357581.45</v>
      </c>
      <c r="L1834" s="249">
        <v>3567430.2906249999</v>
      </c>
      <c r="M1834" s="249">
        <v>3817150.4109687498</v>
      </c>
      <c r="N1834" s="249">
        <v>4084350.9397365609</v>
      </c>
    </row>
    <row r="1836" spans="1:14" x14ac:dyDescent="0.25">
      <c r="C1836" t="s">
        <v>208</v>
      </c>
      <c r="J1836">
        <v>0</v>
      </c>
    </row>
    <row r="1838" spans="1:14" x14ac:dyDescent="0.25">
      <c r="C1838" t="s">
        <v>209</v>
      </c>
      <c r="J1838">
        <v>0</v>
      </c>
    </row>
    <row r="1840" spans="1:14" x14ac:dyDescent="0.25">
      <c r="A1840" t="s">
        <v>943</v>
      </c>
      <c r="B1840" t="s">
        <v>1368</v>
      </c>
      <c r="C1840" t="s">
        <v>210</v>
      </c>
      <c r="D1840" s="67">
        <v>500000</v>
      </c>
      <c r="E1840">
        <v>-141346.4</v>
      </c>
      <c r="F1840">
        <v>0</v>
      </c>
      <c r="G1840">
        <v>-848078.4</v>
      </c>
      <c r="H1840">
        <v>-563200.6</v>
      </c>
      <c r="I1840">
        <v>60.09</v>
      </c>
      <c r="J1840">
        <v>-500000</v>
      </c>
      <c r="K1840" s="249">
        <v>0</v>
      </c>
      <c r="L1840" s="249">
        <v>350000</v>
      </c>
      <c r="M1840" s="249">
        <v>0</v>
      </c>
    </row>
    <row r="1842" spans="1:14" x14ac:dyDescent="0.25">
      <c r="C1842" t="s">
        <v>217</v>
      </c>
      <c r="D1842" s="67">
        <v>500000</v>
      </c>
      <c r="E1842">
        <v>-141346.4</v>
      </c>
      <c r="F1842">
        <v>0</v>
      </c>
      <c r="G1842">
        <v>-848078.4</v>
      </c>
      <c r="H1842">
        <v>-563200.6</v>
      </c>
      <c r="I1842">
        <v>0</v>
      </c>
      <c r="J1842">
        <v>-500000</v>
      </c>
      <c r="K1842" s="249">
        <v>0</v>
      </c>
      <c r="L1842" s="249">
        <v>350000</v>
      </c>
      <c r="M1842" s="249">
        <v>0</v>
      </c>
      <c r="N1842" s="249">
        <v>0</v>
      </c>
    </row>
    <row r="1844" spans="1:14" x14ac:dyDescent="0.25">
      <c r="C1844" t="s">
        <v>240</v>
      </c>
      <c r="D1844" s="67">
        <v>500000</v>
      </c>
      <c r="E1844">
        <v>-141346.4</v>
      </c>
      <c r="F1844">
        <v>0</v>
      </c>
      <c r="G1844">
        <v>-848078.4</v>
      </c>
      <c r="H1844">
        <v>-563200.6</v>
      </c>
      <c r="I1844">
        <v>0</v>
      </c>
      <c r="J1844">
        <v>-500000</v>
      </c>
      <c r="K1844" s="249">
        <v>0</v>
      </c>
      <c r="L1844" s="249">
        <v>350000</v>
      </c>
      <c r="M1844" s="249">
        <v>0</v>
      </c>
      <c r="N1844" s="249">
        <v>0</v>
      </c>
    </row>
    <row r="1846" spans="1:14" x14ac:dyDescent="0.25">
      <c r="C1846" t="s">
        <v>241</v>
      </c>
      <c r="J1846">
        <v>0</v>
      </c>
    </row>
    <row r="1848" spans="1:14" x14ac:dyDescent="0.25">
      <c r="A1848" t="s">
        <v>944</v>
      </c>
      <c r="C1848" t="s">
        <v>265</v>
      </c>
      <c r="D1848" s="67">
        <v>0</v>
      </c>
      <c r="E1848">
        <v>-141346.4</v>
      </c>
      <c r="F1848">
        <v>0</v>
      </c>
      <c r="G1848">
        <v>-848078.4</v>
      </c>
      <c r="H1848">
        <v>-563200.6</v>
      </c>
      <c r="I1848">
        <v>60.09</v>
      </c>
      <c r="J1848">
        <v>20000</v>
      </c>
      <c r="K1848" s="249">
        <v>20000</v>
      </c>
      <c r="L1848" s="249">
        <v>20900</v>
      </c>
      <c r="M1848" s="249">
        <v>21840.5</v>
      </c>
      <c r="N1848" s="249">
        <v>22823.322499999998</v>
      </c>
    </row>
    <row r="1849" spans="1:14" x14ac:dyDescent="0.25">
      <c r="A1849" t="s">
        <v>945</v>
      </c>
      <c r="C1849" t="s">
        <v>265</v>
      </c>
      <c r="D1849" s="67">
        <v>0</v>
      </c>
      <c r="E1849">
        <v>-141346.4</v>
      </c>
      <c r="F1849">
        <v>0</v>
      </c>
      <c r="G1849">
        <v>-848078.4</v>
      </c>
      <c r="H1849">
        <v>-563200.6</v>
      </c>
      <c r="I1849">
        <v>60.09</v>
      </c>
      <c r="J1849">
        <v>800</v>
      </c>
      <c r="K1849" s="249">
        <v>800</v>
      </c>
      <c r="L1849" s="249">
        <v>836</v>
      </c>
      <c r="M1849" s="249">
        <v>873.62</v>
      </c>
      <c r="N1849" s="249">
        <v>912.93290000000002</v>
      </c>
    </row>
    <row r="1850" spans="1:14" x14ac:dyDescent="0.25">
      <c r="A1850" t="s">
        <v>946</v>
      </c>
      <c r="C1850" t="s">
        <v>268</v>
      </c>
      <c r="D1850" s="67">
        <v>0</v>
      </c>
      <c r="E1850">
        <v>-141346.4</v>
      </c>
      <c r="F1850">
        <v>0</v>
      </c>
      <c r="G1850">
        <v>-848078.4</v>
      </c>
      <c r="H1850">
        <v>-563200.6</v>
      </c>
      <c r="I1850">
        <v>60.09</v>
      </c>
      <c r="J1850">
        <v>30000</v>
      </c>
      <c r="K1850" s="249">
        <v>30000</v>
      </c>
      <c r="L1850" s="249">
        <v>31350</v>
      </c>
      <c r="M1850" s="249">
        <v>32760.75</v>
      </c>
      <c r="N1850" s="249">
        <v>34234.983749999999</v>
      </c>
    </row>
    <row r="1852" spans="1:14" x14ac:dyDescent="0.25">
      <c r="C1852" t="s">
        <v>274</v>
      </c>
      <c r="D1852" s="67">
        <v>0</v>
      </c>
      <c r="E1852">
        <v>-424039.19999999995</v>
      </c>
      <c r="F1852">
        <v>0</v>
      </c>
      <c r="G1852">
        <v>-2544235.2000000002</v>
      </c>
      <c r="H1852">
        <v>-1689601.7999999998</v>
      </c>
      <c r="I1852">
        <v>0</v>
      </c>
      <c r="J1852">
        <v>50800</v>
      </c>
      <c r="K1852" s="249">
        <v>50800</v>
      </c>
      <c r="L1852" s="249">
        <v>53086</v>
      </c>
      <c r="M1852" s="249">
        <v>55474.869999999995</v>
      </c>
      <c r="N1852" s="249">
        <v>57971.239149999994</v>
      </c>
    </row>
    <row r="1854" spans="1:14" x14ac:dyDescent="0.25">
      <c r="C1854" t="s">
        <v>275</v>
      </c>
      <c r="J1854">
        <v>0</v>
      </c>
    </row>
    <row r="1856" spans="1:14" x14ac:dyDescent="0.25">
      <c r="A1856" t="s">
        <v>947</v>
      </c>
      <c r="C1856" t="s">
        <v>276</v>
      </c>
      <c r="D1856" s="67">
        <v>1270074</v>
      </c>
      <c r="E1856">
        <v>-141346.4</v>
      </c>
      <c r="F1856">
        <v>0</v>
      </c>
      <c r="G1856">
        <v>-848078.4</v>
      </c>
      <c r="H1856">
        <v>-563200.6</v>
      </c>
      <c r="I1856">
        <v>60.09</v>
      </c>
      <c r="J1856">
        <v>300000</v>
      </c>
      <c r="K1856" s="249">
        <v>1570074</v>
      </c>
      <c r="L1856" s="249">
        <v>1640727.33</v>
      </c>
      <c r="M1856" s="249">
        <v>1714560.0598500001</v>
      </c>
      <c r="N1856" s="249">
        <v>1791715.2625432501</v>
      </c>
    </row>
    <row r="1858" spans="1:14" x14ac:dyDescent="0.25">
      <c r="C1858" t="s">
        <v>279</v>
      </c>
      <c r="D1858" s="67">
        <v>1270074</v>
      </c>
      <c r="E1858">
        <v>-141346.4</v>
      </c>
      <c r="F1858">
        <v>0</v>
      </c>
      <c r="G1858">
        <v>-848078.4</v>
      </c>
      <c r="H1858">
        <v>-563200.6</v>
      </c>
      <c r="I1858">
        <v>47.51</v>
      </c>
      <c r="J1858">
        <v>300000</v>
      </c>
      <c r="K1858" s="249">
        <v>1570074</v>
      </c>
      <c r="L1858" s="249">
        <v>1640727.33</v>
      </c>
      <c r="M1858" s="249">
        <v>1714560.0598500001</v>
      </c>
      <c r="N1858" s="249">
        <v>1791715.2625432501</v>
      </c>
    </row>
    <row r="1860" spans="1:14" x14ac:dyDescent="0.25">
      <c r="C1860" t="s">
        <v>290</v>
      </c>
      <c r="J1860">
        <v>0</v>
      </c>
    </row>
    <row r="1862" spans="1:14" x14ac:dyDescent="0.25">
      <c r="A1862" t="s">
        <v>948</v>
      </c>
      <c r="C1862" t="s">
        <v>292</v>
      </c>
      <c r="D1862" s="67">
        <v>7648</v>
      </c>
      <c r="E1862">
        <v>-141346.4</v>
      </c>
      <c r="F1862">
        <v>0</v>
      </c>
      <c r="G1862">
        <v>-848078.4</v>
      </c>
      <c r="H1862">
        <v>-563200.6</v>
      </c>
      <c r="I1862">
        <v>60.09</v>
      </c>
      <c r="J1862">
        <v>0</v>
      </c>
      <c r="K1862" s="249">
        <v>7648</v>
      </c>
      <c r="L1862" s="249">
        <v>7992.16</v>
      </c>
      <c r="M1862" s="249">
        <v>8351.8071999999993</v>
      </c>
      <c r="N1862" s="249">
        <v>8727.638524</v>
      </c>
    </row>
    <row r="1863" spans="1:14" x14ac:dyDescent="0.25">
      <c r="A1863" t="s">
        <v>949</v>
      </c>
      <c r="C1863" t="s">
        <v>293</v>
      </c>
      <c r="D1863" s="67">
        <v>2242</v>
      </c>
      <c r="E1863">
        <v>-141346.4</v>
      </c>
      <c r="F1863">
        <v>0</v>
      </c>
      <c r="G1863">
        <v>-848078.4</v>
      </c>
      <c r="H1863">
        <v>-563200.6</v>
      </c>
      <c r="I1863">
        <v>60.09</v>
      </c>
      <c r="J1863">
        <v>0</v>
      </c>
      <c r="K1863" s="249">
        <v>2242</v>
      </c>
      <c r="L1863" s="249">
        <v>2342.89</v>
      </c>
      <c r="M1863" s="249">
        <v>2448.3200499999998</v>
      </c>
      <c r="N1863" s="249">
        <v>2558.49445225</v>
      </c>
    </row>
    <row r="1865" spans="1:14" x14ac:dyDescent="0.25">
      <c r="C1865" t="s">
        <v>304</v>
      </c>
      <c r="D1865" s="67">
        <v>9890</v>
      </c>
      <c r="E1865">
        <v>-282692.8</v>
      </c>
      <c r="F1865">
        <v>0</v>
      </c>
      <c r="G1865">
        <v>-1696156.8</v>
      </c>
      <c r="H1865">
        <v>-1126401.2</v>
      </c>
      <c r="I1865">
        <v>150.57</v>
      </c>
      <c r="J1865">
        <v>0</v>
      </c>
      <c r="K1865" s="249">
        <v>9890</v>
      </c>
      <c r="L1865" s="249">
        <v>10335.049999999999</v>
      </c>
      <c r="M1865" s="249">
        <v>10800.12725</v>
      </c>
      <c r="N1865" s="249">
        <v>11286.132976249999</v>
      </c>
    </row>
    <row r="1867" spans="1:14" x14ac:dyDescent="0.25">
      <c r="C1867" t="s">
        <v>305</v>
      </c>
      <c r="D1867" s="67">
        <v>5278817</v>
      </c>
      <c r="E1867">
        <v>-3816352.7999999993</v>
      </c>
      <c r="F1867">
        <v>0</v>
      </c>
      <c r="G1867">
        <v>-22898116.800000001</v>
      </c>
      <c r="H1867">
        <v>-15206416.199999997</v>
      </c>
      <c r="I1867">
        <v>35.85</v>
      </c>
      <c r="J1867">
        <v>-290471.54999999981</v>
      </c>
      <c r="K1867" s="249">
        <v>4988345.45</v>
      </c>
      <c r="L1867" s="249">
        <v>5621578.6706250003</v>
      </c>
      <c r="M1867" s="249">
        <v>5597985.4680687496</v>
      </c>
      <c r="N1867" s="249">
        <v>5945323.5744060604</v>
      </c>
    </row>
    <row r="1869" spans="1:14" x14ac:dyDescent="0.25">
      <c r="C1869" t="s">
        <v>306</v>
      </c>
      <c r="D1869" s="67">
        <v>5278817</v>
      </c>
      <c r="E1869">
        <v>-3816352.7999999993</v>
      </c>
      <c r="F1869">
        <v>0</v>
      </c>
      <c r="G1869">
        <v>-22898116.800000001</v>
      </c>
      <c r="H1869">
        <v>-15206416.199999997</v>
      </c>
      <c r="I1869">
        <v>35.85</v>
      </c>
      <c r="J1869">
        <v>-290471.54999999981</v>
      </c>
      <c r="K1869" s="249">
        <v>4988345.45</v>
      </c>
      <c r="L1869" s="249">
        <v>5621578.6706250003</v>
      </c>
      <c r="M1869" s="249">
        <v>5597985.4680687496</v>
      </c>
      <c r="N1869" s="249">
        <v>5945323.5744060604</v>
      </c>
    </row>
    <row r="1871" spans="1:14" x14ac:dyDescent="0.25">
      <c r="C1871" t="s">
        <v>96</v>
      </c>
      <c r="J1871">
        <v>0</v>
      </c>
    </row>
    <row r="1872" spans="1:14" x14ac:dyDescent="0.25">
      <c r="C1872" t="s">
        <v>96</v>
      </c>
      <c r="J1872">
        <v>0</v>
      </c>
    </row>
    <row r="1873" spans="1:14" x14ac:dyDescent="0.25">
      <c r="C1873" t="s">
        <v>97</v>
      </c>
      <c r="J1873">
        <v>0</v>
      </c>
    </row>
    <row r="1874" spans="1:14" x14ac:dyDescent="0.25">
      <c r="C1874" t="s">
        <v>148</v>
      </c>
      <c r="J1874">
        <v>0</v>
      </c>
    </row>
    <row r="1875" spans="1:14" x14ac:dyDescent="0.25">
      <c r="C1875" t="s">
        <v>149</v>
      </c>
      <c r="J1875">
        <v>0</v>
      </c>
    </row>
    <row r="1877" spans="1:14" x14ac:dyDescent="0.25">
      <c r="A1877" t="s">
        <v>950</v>
      </c>
      <c r="C1877" t="s">
        <v>150</v>
      </c>
      <c r="D1877" s="67">
        <v>1687888</v>
      </c>
      <c r="E1877">
        <v>-141346.4</v>
      </c>
      <c r="F1877">
        <v>0</v>
      </c>
      <c r="G1877">
        <v>-848078.4</v>
      </c>
      <c r="H1877">
        <v>-563200.6</v>
      </c>
      <c r="I1877">
        <v>60.09</v>
      </c>
      <c r="J1877">
        <v>0</v>
      </c>
      <c r="K1877" s="249">
        <v>1687888</v>
      </c>
      <c r="L1877" s="249">
        <v>1793381</v>
      </c>
      <c r="M1877" s="249">
        <v>1918917.67</v>
      </c>
      <c r="N1877" s="249">
        <v>2053241.9068999998</v>
      </c>
    </row>
    <row r="1878" spans="1:14" x14ac:dyDescent="0.25">
      <c r="A1878" t="s">
        <v>951</v>
      </c>
      <c r="C1878" t="s">
        <v>150</v>
      </c>
      <c r="D1878" s="67">
        <v>80600</v>
      </c>
      <c r="E1878">
        <v>-141346.4</v>
      </c>
      <c r="F1878">
        <v>0</v>
      </c>
      <c r="G1878">
        <v>-848078.4</v>
      </c>
      <c r="H1878">
        <v>-563200.6</v>
      </c>
      <c r="I1878">
        <v>60.09</v>
      </c>
      <c r="J1878">
        <v>0</v>
      </c>
      <c r="K1878" s="249">
        <v>80600</v>
      </c>
      <c r="L1878" s="249">
        <v>85637.5</v>
      </c>
      <c r="M1878" s="249">
        <v>91632.125</v>
      </c>
      <c r="N1878" s="249">
        <v>98046.373749999999</v>
      </c>
    </row>
    <row r="1879" spans="1:14" x14ac:dyDescent="0.25">
      <c r="A1879" t="s">
        <v>952</v>
      </c>
      <c r="C1879" t="s">
        <v>151</v>
      </c>
      <c r="D1879" s="67">
        <v>84394</v>
      </c>
      <c r="E1879">
        <v>-141346.4</v>
      </c>
      <c r="F1879">
        <v>0</v>
      </c>
      <c r="G1879">
        <v>-848078.4</v>
      </c>
      <c r="H1879">
        <v>-563200.6</v>
      </c>
      <c r="I1879">
        <v>60.09</v>
      </c>
      <c r="J1879">
        <v>-50525.64</v>
      </c>
      <c r="K1879" s="249">
        <v>33868.36</v>
      </c>
      <c r="L1879" s="249">
        <v>35985.1325</v>
      </c>
      <c r="M1879" s="249">
        <v>38504.091775000001</v>
      </c>
      <c r="N1879" s="249">
        <v>41199.378199250001</v>
      </c>
    </row>
    <row r="1880" spans="1:14" x14ac:dyDescent="0.25">
      <c r="A1880" t="s">
        <v>953</v>
      </c>
      <c r="C1880" t="s">
        <v>152</v>
      </c>
      <c r="D1880" s="67">
        <v>52200</v>
      </c>
      <c r="E1880">
        <v>-141346.4</v>
      </c>
      <c r="F1880">
        <v>0</v>
      </c>
      <c r="G1880">
        <v>-848078.4</v>
      </c>
      <c r="H1880">
        <v>-563200.6</v>
      </c>
      <c r="I1880">
        <v>60.09</v>
      </c>
      <c r="J1880">
        <v>0</v>
      </c>
      <c r="K1880" s="249">
        <v>52200</v>
      </c>
      <c r="L1880" s="249">
        <v>55462.5</v>
      </c>
      <c r="M1880" s="249">
        <v>59344.875</v>
      </c>
      <c r="N1880" s="249">
        <v>63499.016250000001</v>
      </c>
    </row>
    <row r="1881" spans="1:14" x14ac:dyDescent="0.25">
      <c r="A1881" t="s">
        <v>954</v>
      </c>
      <c r="C1881" t="s">
        <v>153</v>
      </c>
      <c r="D1881" s="67">
        <v>10893</v>
      </c>
      <c r="E1881">
        <v>-141346.4</v>
      </c>
      <c r="F1881">
        <v>0</v>
      </c>
      <c r="G1881">
        <v>-848078.4</v>
      </c>
      <c r="H1881">
        <v>-563200.6</v>
      </c>
      <c r="I1881">
        <v>60.09</v>
      </c>
      <c r="J1881">
        <v>0</v>
      </c>
      <c r="K1881" s="249">
        <v>10893</v>
      </c>
      <c r="L1881" s="249">
        <v>11573.8125</v>
      </c>
      <c r="M1881" s="249">
        <v>12383.979375000001</v>
      </c>
      <c r="N1881" s="249">
        <v>13250.857931250001</v>
      </c>
    </row>
    <row r="1882" spans="1:14" x14ac:dyDescent="0.25">
      <c r="A1882" t="s">
        <v>955</v>
      </c>
      <c r="C1882" t="s">
        <v>155</v>
      </c>
      <c r="D1882" s="67">
        <v>55271</v>
      </c>
      <c r="E1882">
        <v>-141346.4</v>
      </c>
      <c r="F1882">
        <v>0</v>
      </c>
      <c r="G1882">
        <v>-848078.4</v>
      </c>
      <c r="H1882">
        <v>-563200.6</v>
      </c>
      <c r="I1882">
        <v>60.09</v>
      </c>
      <c r="J1882">
        <v>0</v>
      </c>
      <c r="K1882" s="249">
        <v>55271</v>
      </c>
      <c r="L1882" s="249">
        <v>58725.4375</v>
      </c>
      <c r="M1882" s="249">
        <v>62836.218124999999</v>
      </c>
      <c r="N1882" s="249">
        <v>67234.753393749997</v>
      </c>
    </row>
    <row r="1883" spans="1:14" x14ac:dyDescent="0.25">
      <c r="A1883" t="s">
        <v>956</v>
      </c>
      <c r="C1883" t="s">
        <v>156</v>
      </c>
      <c r="D1883" s="67">
        <v>365236</v>
      </c>
      <c r="E1883">
        <v>-141346.4</v>
      </c>
      <c r="F1883">
        <v>0</v>
      </c>
      <c r="G1883">
        <v>-848078.4</v>
      </c>
      <c r="H1883">
        <v>-563200.6</v>
      </c>
      <c r="I1883">
        <v>60.09</v>
      </c>
      <c r="J1883">
        <v>0</v>
      </c>
      <c r="K1883" s="249">
        <v>365236</v>
      </c>
      <c r="L1883" s="249">
        <v>388063.25</v>
      </c>
      <c r="M1883" s="249">
        <v>415227.67749999999</v>
      </c>
      <c r="N1883" s="249">
        <v>444293.614925</v>
      </c>
    </row>
    <row r="1884" spans="1:14" x14ac:dyDescent="0.25">
      <c r="A1884" t="s">
        <v>957</v>
      </c>
      <c r="C1884" t="s">
        <v>157</v>
      </c>
      <c r="D1884" s="67">
        <v>7383</v>
      </c>
      <c r="E1884">
        <v>-141346.4</v>
      </c>
      <c r="F1884">
        <v>0</v>
      </c>
      <c r="G1884">
        <v>-848078.4</v>
      </c>
      <c r="H1884">
        <v>-563200.6</v>
      </c>
      <c r="I1884">
        <v>60.09</v>
      </c>
      <c r="J1884">
        <v>7617</v>
      </c>
      <c r="K1884" s="249">
        <v>15000</v>
      </c>
      <c r="L1884" s="249">
        <v>15937.5</v>
      </c>
      <c r="M1884" s="249">
        <v>17053.125</v>
      </c>
      <c r="N1884" s="249">
        <v>18246.84375</v>
      </c>
    </row>
    <row r="1885" spans="1:14" x14ac:dyDescent="0.25">
      <c r="A1885" t="s">
        <v>958</v>
      </c>
      <c r="C1885" t="s">
        <v>158</v>
      </c>
      <c r="D1885" s="67">
        <v>12841</v>
      </c>
      <c r="E1885">
        <v>-141346.4</v>
      </c>
      <c r="F1885">
        <v>0</v>
      </c>
      <c r="G1885">
        <v>-848078.4</v>
      </c>
      <c r="H1885">
        <v>-563200.6</v>
      </c>
      <c r="I1885">
        <v>60.09</v>
      </c>
      <c r="J1885">
        <v>0</v>
      </c>
      <c r="K1885" s="249">
        <v>12841</v>
      </c>
      <c r="L1885" s="249">
        <v>13643.5625</v>
      </c>
      <c r="M1885" s="249">
        <v>14598.611875000001</v>
      </c>
      <c r="N1885" s="249">
        <v>15620.51470625</v>
      </c>
    </row>
    <row r="1886" spans="1:14" x14ac:dyDescent="0.25">
      <c r="A1886" t="s">
        <v>959</v>
      </c>
      <c r="C1886" t="s">
        <v>159</v>
      </c>
      <c r="D1886" s="67">
        <v>140657</v>
      </c>
      <c r="E1886">
        <v>-141346.4</v>
      </c>
      <c r="F1886">
        <v>0</v>
      </c>
      <c r="G1886">
        <v>-848078.4</v>
      </c>
      <c r="H1886">
        <v>-563200.6</v>
      </c>
      <c r="I1886">
        <v>60.09</v>
      </c>
      <c r="J1886">
        <v>0</v>
      </c>
      <c r="K1886" s="249">
        <v>140657</v>
      </c>
      <c r="L1886" s="249">
        <v>149448.0625</v>
      </c>
      <c r="M1886" s="249">
        <v>159909.426875</v>
      </c>
      <c r="N1886" s="249">
        <v>171103.08675625001</v>
      </c>
    </row>
    <row r="1887" spans="1:14" x14ac:dyDescent="0.25">
      <c r="A1887" t="s">
        <v>960</v>
      </c>
      <c r="C1887" t="s">
        <v>161</v>
      </c>
      <c r="D1887" s="67">
        <v>57035</v>
      </c>
      <c r="E1887">
        <v>-141346.4</v>
      </c>
      <c r="F1887">
        <v>0</v>
      </c>
      <c r="G1887">
        <v>-848078.4</v>
      </c>
      <c r="H1887">
        <v>-563200.6</v>
      </c>
      <c r="I1887">
        <v>60.09</v>
      </c>
      <c r="J1887">
        <v>0</v>
      </c>
      <c r="K1887" s="249">
        <v>57035</v>
      </c>
      <c r="L1887" s="249">
        <v>60599.6875</v>
      </c>
      <c r="M1887" s="249">
        <v>64841.665625000001</v>
      </c>
      <c r="N1887" s="249">
        <v>69380.582218750002</v>
      </c>
    </row>
    <row r="1888" spans="1:14" x14ac:dyDescent="0.25">
      <c r="A1888" t="s">
        <v>961</v>
      </c>
      <c r="C1888" t="s">
        <v>164</v>
      </c>
      <c r="D1888" s="67">
        <v>15692</v>
      </c>
      <c r="E1888">
        <v>-141346.4</v>
      </c>
      <c r="F1888">
        <v>0</v>
      </c>
      <c r="G1888">
        <v>-848078.4</v>
      </c>
      <c r="H1888">
        <v>-563200.6</v>
      </c>
      <c r="I1888">
        <v>60.09</v>
      </c>
      <c r="J1888">
        <v>0</v>
      </c>
      <c r="K1888" s="249">
        <v>15692</v>
      </c>
      <c r="L1888" s="249">
        <v>16672.75</v>
      </c>
      <c r="M1888" s="249">
        <v>17839.842499999999</v>
      </c>
      <c r="N1888" s="249">
        <v>19088.631474999998</v>
      </c>
    </row>
    <row r="1890" spans="1:14" x14ac:dyDescent="0.25">
      <c r="C1890" t="s">
        <v>165</v>
      </c>
      <c r="D1890" s="67">
        <v>2570090</v>
      </c>
      <c r="E1890">
        <v>-1696156.7999999996</v>
      </c>
      <c r="F1890">
        <v>0</v>
      </c>
      <c r="G1890">
        <v>-10176940.800000003</v>
      </c>
      <c r="H1890">
        <v>-6758407.1999999983</v>
      </c>
      <c r="I1890">
        <v>47.32</v>
      </c>
      <c r="J1890">
        <v>-42908.639999999665</v>
      </c>
      <c r="K1890" s="249">
        <v>2527181.3600000003</v>
      </c>
      <c r="L1890" s="249">
        <v>2685130.1950000003</v>
      </c>
      <c r="M1890" s="249">
        <v>2873089.3086499996</v>
      </c>
      <c r="N1890" s="249">
        <v>3074205.5602554991</v>
      </c>
    </row>
    <row r="1892" spans="1:14" x14ac:dyDescent="0.25">
      <c r="C1892" t="s">
        <v>166</v>
      </c>
      <c r="J1892">
        <v>0</v>
      </c>
    </row>
    <row r="1894" spans="1:14" x14ac:dyDescent="0.25">
      <c r="A1894" t="s">
        <v>962</v>
      </c>
      <c r="C1894" t="s">
        <v>167</v>
      </c>
      <c r="D1894" s="67">
        <v>449</v>
      </c>
      <c r="E1894">
        <v>-141346.4</v>
      </c>
      <c r="F1894">
        <v>0</v>
      </c>
      <c r="G1894">
        <v>-848078.4</v>
      </c>
      <c r="H1894">
        <v>-563200.6</v>
      </c>
      <c r="I1894">
        <v>60.09</v>
      </c>
      <c r="J1894">
        <v>0</v>
      </c>
      <c r="K1894" s="249">
        <v>449</v>
      </c>
      <c r="L1894" s="249">
        <v>477.0625</v>
      </c>
      <c r="M1894" s="249">
        <v>510.45687499999997</v>
      </c>
      <c r="N1894" s="249">
        <v>546.18885624999996</v>
      </c>
    </row>
    <row r="1895" spans="1:14" x14ac:dyDescent="0.25">
      <c r="A1895" t="s">
        <v>963</v>
      </c>
      <c r="C1895" t="s">
        <v>168</v>
      </c>
      <c r="D1895" s="67">
        <v>161725</v>
      </c>
      <c r="E1895">
        <v>-141346.4</v>
      </c>
      <c r="F1895">
        <v>0</v>
      </c>
      <c r="G1895">
        <v>-848078.4</v>
      </c>
      <c r="H1895">
        <v>-563200.6</v>
      </c>
      <c r="I1895">
        <v>60.09</v>
      </c>
      <c r="J1895">
        <v>0</v>
      </c>
      <c r="K1895" s="249">
        <v>161725</v>
      </c>
      <c r="L1895" s="249">
        <v>171832.8125</v>
      </c>
      <c r="M1895" s="249">
        <v>183861.109375</v>
      </c>
      <c r="N1895" s="249">
        <v>196731.38703124999</v>
      </c>
    </row>
    <row r="1896" spans="1:14" x14ac:dyDescent="0.25">
      <c r="A1896" t="s">
        <v>964</v>
      </c>
      <c r="C1896" t="s">
        <v>169</v>
      </c>
      <c r="D1896" s="67">
        <v>371335</v>
      </c>
      <c r="E1896">
        <v>-141346.4</v>
      </c>
      <c r="F1896">
        <v>0</v>
      </c>
      <c r="G1896">
        <v>-848078.4</v>
      </c>
      <c r="H1896">
        <v>-563200.6</v>
      </c>
      <c r="I1896">
        <v>60.09</v>
      </c>
      <c r="J1896">
        <v>0</v>
      </c>
      <c r="K1896" s="249">
        <v>371335</v>
      </c>
      <c r="L1896" s="249">
        <v>394543.4375</v>
      </c>
      <c r="M1896" s="249">
        <v>422161.47812500002</v>
      </c>
      <c r="N1896" s="249">
        <v>451712.78159375</v>
      </c>
    </row>
    <row r="1897" spans="1:14" x14ac:dyDescent="0.25">
      <c r="A1897" t="s">
        <v>965</v>
      </c>
      <c r="C1897" t="s">
        <v>170</v>
      </c>
      <c r="D1897" s="67">
        <v>7140</v>
      </c>
      <c r="E1897">
        <v>-141346.4</v>
      </c>
      <c r="F1897">
        <v>0</v>
      </c>
      <c r="G1897">
        <v>-848078.4</v>
      </c>
      <c r="H1897">
        <v>-563200.6</v>
      </c>
      <c r="I1897">
        <v>60.09</v>
      </c>
      <c r="J1897">
        <v>0</v>
      </c>
      <c r="K1897" s="249">
        <v>7140</v>
      </c>
      <c r="L1897" s="249">
        <v>7586.25</v>
      </c>
      <c r="M1897" s="249">
        <v>8117.2875000000004</v>
      </c>
      <c r="N1897" s="249">
        <v>8685.497625</v>
      </c>
    </row>
    <row r="1899" spans="1:14" x14ac:dyDescent="0.25">
      <c r="C1899" t="s">
        <v>171</v>
      </c>
      <c r="D1899" s="67">
        <v>540649</v>
      </c>
      <c r="E1899">
        <v>-565385.6</v>
      </c>
      <c r="F1899">
        <v>0</v>
      </c>
      <c r="G1899">
        <v>-3392313.6</v>
      </c>
      <c r="H1899">
        <v>-2252802.4</v>
      </c>
      <c r="I1899">
        <v>49.54</v>
      </c>
      <c r="J1899">
        <v>0</v>
      </c>
      <c r="K1899" s="249">
        <v>540649</v>
      </c>
      <c r="L1899" s="249">
        <v>574439.5625</v>
      </c>
      <c r="M1899" s="249">
        <v>614650.33187500003</v>
      </c>
      <c r="N1899" s="249">
        <v>657675.85510624992</v>
      </c>
    </row>
    <row r="1901" spans="1:14" x14ac:dyDescent="0.25">
      <c r="C1901" t="s">
        <v>172</v>
      </c>
      <c r="J1901">
        <v>0</v>
      </c>
    </row>
    <row r="1903" spans="1:14" x14ac:dyDescent="0.25">
      <c r="A1903" t="s">
        <v>966</v>
      </c>
      <c r="C1903" t="s">
        <v>173</v>
      </c>
      <c r="D1903" s="67">
        <v>32206</v>
      </c>
      <c r="E1903">
        <v>-141346.4</v>
      </c>
      <c r="F1903">
        <v>0</v>
      </c>
      <c r="G1903">
        <v>-848078.4</v>
      </c>
      <c r="H1903">
        <v>-563200.6</v>
      </c>
      <c r="I1903">
        <v>60.09</v>
      </c>
      <c r="J1903">
        <v>0</v>
      </c>
      <c r="K1903" s="249">
        <v>32206</v>
      </c>
      <c r="L1903" s="249">
        <v>34218.875</v>
      </c>
      <c r="M1903" s="249">
        <v>36614.196250000001</v>
      </c>
      <c r="N1903" s="249">
        <v>39177.189987500002</v>
      </c>
    </row>
    <row r="1904" spans="1:14" x14ac:dyDescent="0.25">
      <c r="A1904" t="s">
        <v>967</v>
      </c>
      <c r="C1904" t="s">
        <v>174</v>
      </c>
      <c r="D1904" s="67">
        <v>40124</v>
      </c>
      <c r="E1904">
        <v>-141346.4</v>
      </c>
      <c r="F1904">
        <v>0</v>
      </c>
      <c r="G1904">
        <v>-848078.4</v>
      </c>
      <c r="H1904">
        <v>-563200.6</v>
      </c>
      <c r="I1904">
        <v>60.09</v>
      </c>
      <c r="J1904">
        <v>0</v>
      </c>
      <c r="K1904" s="249">
        <v>40124</v>
      </c>
      <c r="L1904" s="249">
        <v>42631.75</v>
      </c>
      <c r="M1904" s="249">
        <v>45615.972500000003</v>
      </c>
      <c r="N1904" s="249">
        <v>48809.090575000002</v>
      </c>
    </row>
    <row r="1905" spans="1:14" x14ac:dyDescent="0.25">
      <c r="A1905" t="s">
        <v>968</v>
      </c>
      <c r="C1905" t="s">
        <v>175</v>
      </c>
      <c r="D1905" s="67">
        <v>29542</v>
      </c>
      <c r="E1905">
        <v>-141346.4</v>
      </c>
      <c r="F1905">
        <v>0</v>
      </c>
      <c r="G1905">
        <v>-848078.4</v>
      </c>
      <c r="H1905">
        <v>-563200.6</v>
      </c>
      <c r="I1905">
        <v>60.09</v>
      </c>
      <c r="J1905">
        <v>0</v>
      </c>
      <c r="K1905" s="249">
        <v>29542</v>
      </c>
      <c r="L1905" s="249">
        <v>31388.375</v>
      </c>
      <c r="M1905" s="249">
        <v>33585.561249999999</v>
      </c>
      <c r="N1905" s="249">
        <v>35936.550537499999</v>
      </c>
    </row>
    <row r="1907" spans="1:14" x14ac:dyDescent="0.25">
      <c r="C1907" t="s">
        <v>176</v>
      </c>
      <c r="D1907" s="67">
        <v>101872</v>
      </c>
      <c r="E1907">
        <v>-424039.19999999995</v>
      </c>
      <c r="F1907">
        <v>0</v>
      </c>
      <c r="G1907">
        <v>-2544235.2000000002</v>
      </c>
      <c r="H1907">
        <v>-1689601.7999999998</v>
      </c>
      <c r="I1907">
        <v>0</v>
      </c>
      <c r="J1907">
        <v>0</v>
      </c>
      <c r="K1907" s="249">
        <v>101872</v>
      </c>
      <c r="L1907" s="249">
        <v>108239</v>
      </c>
      <c r="M1907" s="249">
        <v>115815.73000000001</v>
      </c>
      <c r="N1907" s="249">
        <v>123922.83110000001</v>
      </c>
    </row>
    <row r="1909" spans="1:14" x14ac:dyDescent="0.25">
      <c r="C1909" t="s">
        <v>177</v>
      </c>
      <c r="D1909" s="67">
        <v>3212611</v>
      </c>
      <c r="E1909">
        <v>-2685581.5999999996</v>
      </c>
      <c r="F1909">
        <v>0</v>
      </c>
      <c r="G1909">
        <v>-16113489.600000001</v>
      </c>
      <c r="H1909">
        <v>-10700811.399999999</v>
      </c>
      <c r="I1909">
        <v>46.19</v>
      </c>
      <c r="J1909">
        <v>-42908.639999999665</v>
      </c>
      <c r="K1909" s="249">
        <v>3169702.3600000003</v>
      </c>
      <c r="L1909" s="249">
        <v>3367808.7575000003</v>
      </c>
      <c r="M1909" s="249">
        <v>3603555.3705249997</v>
      </c>
      <c r="N1909" s="249">
        <v>3855804.2464617491</v>
      </c>
    </row>
    <row r="1911" spans="1:14" x14ac:dyDescent="0.25">
      <c r="C1911" t="s">
        <v>178</v>
      </c>
      <c r="D1911" s="67">
        <v>3212611</v>
      </c>
      <c r="E1911">
        <v>-2685581.5999999996</v>
      </c>
      <c r="F1911">
        <v>0</v>
      </c>
      <c r="G1911">
        <v>-16113489.600000001</v>
      </c>
      <c r="H1911">
        <v>-10700811.399999999</v>
      </c>
      <c r="I1911">
        <v>46.19</v>
      </c>
      <c r="J1911">
        <v>-42908.639999999665</v>
      </c>
      <c r="K1911" s="249">
        <v>3169702.3600000003</v>
      </c>
      <c r="L1911" s="249">
        <v>3367808.7575000003</v>
      </c>
      <c r="M1911" s="249">
        <v>3603555.3705249997</v>
      </c>
      <c r="N1911" s="249">
        <v>3855804.2464617491</v>
      </c>
    </row>
    <row r="1913" spans="1:14" x14ac:dyDescent="0.25">
      <c r="C1913" t="s">
        <v>241</v>
      </c>
      <c r="J1913">
        <v>0</v>
      </c>
    </row>
    <row r="1915" spans="1:14" x14ac:dyDescent="0.25">
      <c r="A1915" t="s">
        <v>969</v>
      </c>
      <c r="C1915" t="s">
        <v>246</v>
      </c>
      <c r="D1915" s="67">
        <v>402221</v>
      </c>
      <c r="E1915">
        <v>-141346.4</v>
      </c>
      <c r="F1915">
        <v>0</v>
      </c>
      <c r="G1915">
        <v>-848078.4</v>
      </c>
      <c r="H1915">
        <v>-563200.6</v>
      </c>
      <c r="I1915">
        <v>60.09</v>
      </c>
      <c r="J1915">
        <v>0</v>
      </c>
      <c r="K1915" s="249">
        <v>402221</v>
      </c>
      <c r="L1915" s="249">
        <v>420320.94500000001</v>
      </c>
      <c r="M1915" s="249">
        <v>439235.38752500003</v>
      </c>
      <c r="N1915" s="249">
        <v>459000.97996362502</v>
      </c>
    </row>
    <row r="1916" spans="1:14" x14ac:dyDescent="0.25">
      <c r="A1916" t="s">
        <v>970</v>
      </c>
      <c r="C1916" t="s">
        <v>252</v>
      </c>
      <c r="D1916" s="67">
        <v>8917</v>
      </c>
      <c r="E1916">
        <v>-141346.4</v>
      </c>
      <c r="F1916">
        <v>0</v>
      </c>
      <c r="G1916">
        <v>-848078.4</v>
      </c>
      <c r="H1916">
        <v>-563200.6</v>
      </c>
      <c r="I1916">
        <v>60.09</v>
      </c>
      <c r="J1916">
        <v>0</v>
      </c>
      <c r="K1916" s="249">
        <v>8917</v>
      </c>
      <c r="L1916" s="249">
        <v>9318.2649999999994</v>
      </c>
      <c r="M1916" s="249">
        <v>9737.5869249999996</v>
      </c>
      <c r="N1916" s="249">
        <v>10175.778336624999</v>
      </c>
    </row>
    <row r="1917" spans="1:14" x14ac:dyDescent="0.25">
      <c r="A1917" t="s">
        <v>971</v>
      </c>
      <c r="C1917" t="s">
        <v>265</v>
      </c>
      <c r="D1917" s="67">
        <v>0</v>
      </c>
      <c r="E1917">
        <v>-141346.4</v>
      </c>
      <c r="F1917">
        <v>0</v>
      </c>
      <c r="G1917">
        <v>-848078.4</v>
      </c>
      <c r="H1917">
        <v>-563200.6</v>
      </c>
      <c r="I1917">
        <v>60.09</v>
      </c>
      <c r="J1917">
        <v>30000</v>
      </c>
      <c r="K1917" s="249">
        <v>30000</v>
      </c>
      <c r="L1917" s="249">
        <v>31350</v>
      </c>
      <c r="M1917" s="249">
        <v>32760.75</v>
      </c>
      <c r="N1917" s="249">
        <v>34234.983749999999</v>
      </c>
    </row>
    <row r="1918" spans="1:14" x14ac:dyDescent="0.25">
      <c r="A1918" t="s">
        <v>972</v>
      </c>
      <c r="C1918" t="s">
        <v>268</v>
      </c>
      <c r="D1918" s="67">
        <v>0</v>
      </c>
      <c r="E1918">
        <v>-141346.4</v>
      </c>
      <c r="F1918">
        <v>0</v>
      </c>
      <c r="G1918">
        <v>-848078.4</v>
      </c>
      <c r="H1918">
        <v>-563200.6</v>
      </c>
      <c r="I1918">
        <v>60.09</v>
      </c>
      <c r="J1918">
        <v>40000</v>
      </c>
      <c r="K1918" s="249">
        <v>40000</v>
      </c>
      <c r="L1918" s="249">
        <v>41800</v>
      </c>
      <c r="M1918" s="249">
        <v>43681</v>
      </c>
      <c r="N1918" s="249">
        <v>45646.644999999997</v>
      </c>
    </row>
    <row r="1920" spans="1:14" x14ac:dyDescent="0.25">
      <c r="C1920" t="s">
        <v>274</v>
      </c>
      <c r="D1920" s="67">
        <v>411138</v>
      </c>
      <c r="E1920">
        <v>-565385.6</v>
      </c>
      <c r="F1920">
        <v>0</v>
      </c>
      <c r="G1920">
        <v>-3392313.6</v>
      </c>
      <c r="H1920">
        <v>-2252802.4</v>
      </c>
      <c r="I1920">
        <v>38.74</v>
      </c>
      <c r="J1920">
        <v>70000</v>
      </c>
      <c r="K1920" s="249">
        <v>481138</v>
      </c>
      <c r="L1920" s="249">
        <v>502789.21</v>
      </c>
      <c r="M1920" s="249">
        <v>525414.7244500001</v>
      </c>
      <c r="N1920" s="249">
        <v>549058.38705025008</v>
      </c>
    </row>
    <row r="1922" spans="1:14" x14ac:dyDescent="0.25">
      <c r="C1922" t="s">
        <v>56</v>
      </c>
      <c r="J1922">
        <v>0</v>
      </c>
    </row>
    <row r="1924" spans="1:14" x14ac:dyDescent="0.25">
      <c r="A1924" t="s">
        <v>973</v>
      </c>
      <c r="C1924" t="s">
        <v>283</v>
      </c>
      <c r="D1924" s="67">
        <v>1255286</v>
      </c>
      <c r="E1924">
        <v>-141346.4</v>
      </c>
      <c r="F1924">
        <v>0</v>
      </c>
      <c r="G1924">
        <v>-848078.4</v>
      </c>
      <c r="H1924">
        <v>-563200.6</v>
      </c>
      <c r="I1924">
        <v>60.09</v>
      </c>
      <c r="J1924">
        <v>0</v>
      </c>
      <c r="K1924" s="249">
        <v>1255286</v>
      </c>
      <c r="L1924" s="249">
        <v>1311773.8700000001</v>
      </c>
      <c r="M1924" s="249">
        <v>1370803.6941500001</v>
      </c>
      <c r="N1924" s="249">
        <v>1432489.8603867502</v>
      </c>
    </row>
    <row r="1926" spans="1:14" x14ac:dyDescent="0.25">
      <c r="C1926" t="s">
        <v>284</v>
      </c>
      <c r="D1926" s="67">
        <v>1255286</v>
      </c>
      <c r="E1926">
        <v>-141346.4</v>
      </c>
      <c r="F1926">
        <v>0</v>
      </c>
      <c r="G1926">
        <v>-848078.4</v>
      </c>
      <c r="H1926">
        <v>-563200.6</v>
      </c>
      <c r="I1926">
        <v>0.02</v>
      </c>
      <c r="J1926">
        <v>0</v>
      </c>
      <c r="K1926" s="249">
        <v>1255286</v>
      </c>
      <c r="L1926" s="249">
        <v>1311773.8700000001</v>
      </c>
      <c r="M1926" s="249">
        <v>1370803.6941500001</v>
      </c>
      <c r="N1926" s="249">
        <v>1432489.8603867502</v>
      </c>
    </row>
    <row r="1928" spans="1:14" x14ac:dyDescent="0.25">
      <c r="C1928" t="s">
        <v>290</v>
      </c>
      <c r="J1928">
        <v>0</v>
      </c>
    </row>
    <row r="1930" spans="1:14" x14ac:dyDescent="0.25">
      <c r="A1930" t="s">
        <v>974</v>
      </c>
      <c r="C1930" t="s">
        <v>292</v>
      </c>
      <c r="D1930" s="67">
        <v>23297</v>
      </c>
      <c r="E1930">
        <v>-141346.4</v>
      </c>
      <c r="F1930">
        <v>0</v>
      </c>
      <c r="G1930">
        <v>-848078.4</v>
      </c>
      <c r="H1930">
        <v>-563200.6</v>
      </c>
      <c r="I1930">
        <v>60.09</v>
      </c>
      <c r="J1930">
        <v>0</v>
      </c>
      <c r="K1930" s="249">
        <v>23297</v>
      </c>
      <c r="L1930" s="249">
        <v>24345.365000000002</v>
      </c>
      <c r="M1930" s="249">
        <v>25440.906425000001</v>
      </c>
      <c r="N1930" s="249">
        <v>26585.747214125</v>
      </c>
    </row>
    <row r="1931" spans="1:14" x14ac:dyDescent="0.25">
      <c r="A1931" t="s">
        <v>975</v>
      </c>
      <c r="C1931" t="s">
        <v>293</v>
      </c>
      <c r="D1931" s="67">
        <v>18297</v>
      </c>
      <c r="E1931">
        <v>-141346.4</v>
      </c>
      <c r="F1931">
        <v>0</v>
      </c>
      <c r="G1931">
        <v>-848078.4</v>
      </c>
      <c r="H1931">
        <v>-563200.6</v>
      </c>
      <c r="I1931">
        <v>60.09</v>
      </c>
      <c r="J1931">
        <v>0</v>
      </c>
      <c r="K1931" s="249">
        <v>18297</v>
      </c>
      <c r="L1931" s="249">
        <v>19120.365000000002</v>
      </c>
      <c r="M1931" s="249">
        <v>19980.781425000001</v>
      </c>
      <c r="N1931" s="249">
        <v>20879.916589125001</v>
      </c>
    </row>
    <row r="1933" spans="1:14" x14ac:dyDescent="0.25">
      <c r="C1933" t="s">
        <v>304</v>
      </c>
      <c r="D1933" s="67">
        <v>41594</v>
      </c>
      <c r="E1933">
        <v>-282692.8</v>
      </c>
      <c r="F1933">
        <v>0</v>
      </c>
      <c r="G1933">
        <v>-1696156.8</v>
      </c>
      <c r="H1933">
        <v>-1126401.2</v>
      </c>
      <c r="I1933">
        <v>40.4</v>
      </c>
      <c r="J1933">
        <v>0</v>
      </c>
      <c r="K1933" s="249">
        <v>41594</v>
      </c>
      <c r="L1933" s="249">
        <v>43465.73</v>
      </c>
      <c r="M1933" s="249">
        <v>45421.687850000002</v>
      </c>
      <c r="N1933" s="249">
        <v>47465.663803250005</v>
      </c>
    </row>
    <row r="1935" spans="1:14" x14ac:dyDescent="0.25">
      <c r="C1935" t="s">
        <v>305</v>
      </c>
      <c r="D1935" s="67">
        <v>4920629</v>
      </c>
      <c r="E1935">
        <v>-3675006.3999999994</v>
      </c>
      <c r="F1935">
        <v>0</v>
      </c>
      <c r="G1935">
        <v>-22050038.400000002</v>
      </c>
      <c r="H1935">
        <v>-14643215.599999998</v>
      </c>
      <c r="I1935">
        <v>33.74</v>
      </c>
      <c r="J1935">
        <v>27091.360000000335</v>
      </c>
      <c r="K1935" s="249">
        <v>4947720.3600000003</v>
      </c>
      <c r="L1935" s="249">
        <v>5225837.5675000008</v>
      </c>
      <c r="M1935" s="249">
        <v>5545195.4769750005</v>
      </c>
      <c r="N1935" s="249">
        <v>5884818.1577019989</v>
      </c>
    </row>
    <row r="1937" spans="1:14" x14ac:dyDescent="0.25">
      <c r="C1937" t="s">
        <v>306</v>
      </c>
      <c r="D1937" s="67">
        <v>4920629</v>
      </c>
      <c r="E1937">
        <v>-3675006.3999999994</v>
      </c>
      <c r="F1937">
        <v>0</v>
      </c>
      <c r="G1937">
        <v>-22050038.400000002</v>
      </c>
      <c r="H1937">
        <v>-14643215.599999998</v>
      </c>
      <c r="I1937">
        <v>33.74</v>
      </c>
      <c r="J1937">
        <v>27091.360000000335</v>
      </c>
      <c r="K1937" s="249">
        <v>4947720.3600000003</v>
      </c>
      <c r="L1937" s="249">
        <v>5225837.5675000008</v>
      </c>
      <c r="M1937" s="249">
        <v>5545195.4769750005</v>
      </c>
      <c r="N1937" s="249">
        <v>5884818.1577019989</v>
      </c>
    </row>
    <row r="1940" spans="1:14" x14ac:dyDescent="0.25">
      <c r="C1940" t="s">
        <v>3038</v>
      </c>
      <c r="D1940" s="67">
        <v>-185365535</v>
      </c>
      <c r="E1940">
        <v>-49025889.049999997</v>
      </c>
      <c r="F1940">
        <v>0</v>
      </c>
      <c r="G1940">
        <v>-118214054.98</v>
      </c>
      <c r="H1940">
        <v>-66714941.019999996</v>
      </c>
      <c r="I1940">
        <v>121.6</v>
      </c>
      <c r="J1940">
        <v>-5846405</v>
      </c>
      <c r="K1940" s="249">
        <v>-191211940</v>
      </c>
      <c r="L1940" s="249">
        <v>-198413900.12799999</v>
      </c>
      <c r="M1940" s="249">
        <v>-210380296.66211399</v>
      </c>
      <c r="N1940" s="249">
        <v>-222890074.21130413</v>
      </c>
    </row>
    <row r="1941" spans="1:14" x14ac:dyDescent="0.25">
      <c r="C1941" t="s">
        <v>3052</v>
      </c>
      <c r="D1941" s="67">
        <v>32963249</v>
      </c>
      <c r="E1941">
        <v>-19929842.399999999</v>
      </c>
      <c r="F1941">
        <v>0</v>
      </c>
      <c r="G1941">
        <v>-119579054.40000001</v>
      </c>
      <c r="H1941">
        <v>-79411284.599999994</v>
      </c>
      <c r="I1941">
        <v>225.37</v>
      </c>
      <c r="J1941">
        <v>416013.13000000129</v>
      </c>
      <c r="K1941" s="249">
        <v>33379262.129999999</v>
      </c>
      <c r="L1941" s="249">
        <v>35213395.988125004</v>
      </c>
      <c r="M1941" s="249">
        <v>37211560.467253745</v>
      </c>
      <c r="N1941" s="249">
        <v>37378965.111045673</v>
      </c>
    </row>
    <row r="1942" spans="1:14" x14ac:dyDescent="0.25">
      <c r="C1942" t="s">
        <v>3053</v>
      </c>
      <c r="D1942" s="67">
        <v>350000</v>
      </c>
      <c r="E1942">
        <v>-141346.4</v>
      </c>
      <c r="F1942">
        <v>0</v>
      </c>
      <c r="G1942">
        <v>-848078.4</v>
      </c>
      <c r="H1942">
        <v>-563200.6</v>
      </c>
      <c r="I1942">
        <v>0</v>
      </c>
      <c r="J1942">
        <v>-350000</v>
      </c>
      <c r="K1942" s="249">
        <v>0</v>
      </c>
      <c r="L1942" s="249">
        <v>350000</v>
      </c>
      <c r="M1942" s="249">
        <v>0</v>
      </c>
      <c r="N1942" s="249">
        <v>0</v>
      </c>
    </row>
    <row r="1944" spans="1:14" ht="30" x14ac:dyDescent="0.25">
      <c r="A1944" t="s">
        <v>0</v>
      </c>
      <c r="B1944" t="s">
        <v>1356</v>
      </c>
      <c r="C1944" t="s">
        <v>1</v>
      </c>
      <c r="D1944" s="67" t="s">
        <v>2</v>
      </c>
      <c r="E1944" t="s">
        <v>3</v>
      </c>
      <c r="F1944" t="s">
        <v>4</v>
      </c>
      <c r="G1944" t="s">
        <v>5</v>
      </c>
      <c r="H1944" t="s">
        <v>6</v>
      </c>
      <c r="I1944" t="s">
        <v>7</v>
      </c>
      <c r="J1944" t="s">
        <v>1322</v>
      </c>
      <c r="K1944" s="249" t="s">
        <v>3012</v>
      </c>
      <c r="L1944" s="249" t="s">
        <v>3013</v>
      </c>
      <c r="M1944" s="249" t="s">
        <v>3014</v>
      </c>
      <c r="N1944" s="249" t="s">
        <v>3015</v>
      </c>
    </row>
    <row r="1946" spans="1:14" x14ac:dyDescent="0.25">
      <c r="C1946" t="s">
        <v>976</v>
      </c>
    </row>
    <row r="1947" spans="1:14" x14ac:dyDescent="0.25">
      <c r="C1947" t="s">
        <v>9</v>
      </c>
    </row>
    <row r="1949" spans="1:14" x14ac:dyDescent="0.25">
      <c r="C1949" t="s">
        <v>29</v>
      </c>
    </row>
    <row r="1950" spans="1:14" x14ac:dyDescent="0.25">
      <c r="C1950" t="s">
        <v>30</v>
      </c>
    </row>
    <row r="1952" spans="1:14" x14ac:dyDescent="0.25">
      <c r="A1952" t="s">
        <v>977</v>
      </c>
      <c r="C1952" t="s">
        <v>31</v>
      </c>
      <c r="D1952" s="67">
        <v>-1167000</v>
      </c>
      <c r="E1952">
        <v>-290187</v>
      </c>
      <c r="F1952">
        <v>0</v>
      </c>
      <c r="G1952">
        <v>-524054</v>
      </c>
      <c r="H1952">
        <v>-642946</v>
      </c>
      <c r="I1952">
        <v>44.9</v>
      </c>
      <c r="J1952">
        <v>0</v>
      </c>
      <c r="K1952" s="249">
        <v>-1167000</v>
      </c>
      <c r="L1952" s="249">
        <v>-1304000</v>
      </c>
      <c r="M1952" s="249">
        <v>0</v>
      </c>
      <c r="N1952" s="249">
        <v>0</v>
      </c>
    </row>
    <row r="1954" spans="1:14" x14ac:dyDescent="0.25">
      <c r="C1954" t="s">
        <v>35</v>
      </c>
      <c r="D1954" s="67">
        <v>-1167000</v>
      </c>
      <c r="E1954">
        <v>-290187</v>
      </c>
      <c r="F1954">
        <v>0</v>
      </c>
      <c r="G1954">
        <v>-524054</v>
      </c>
      <c r="H1954">
        <v>-642946</v>
      </c>
      <c r="I1954">
        <v>44.9</v>
      </c>
      <c r="J1954">
        <v>0</v>
      </c>
      <c r="K1954" s="249">
        <v>-1167000</v>
      </c>
      <c r="L1954" s="249">
        <v>-1304000</v>
      </c>
      <c r="M1954" s="249">
        <v>0</v>
      </c>
      <c r="N1954" s="249">
        <v>0</v>
      </c>
    </row>
    <row r="1956" spans="1:14" x14ac:dyDescent="0.25">
      <c r="C1956" t="s">
        <v>95</v>
      </c>
      <c r="D1956" s="67">
        <v>-1167000</v>
      </c>
      <c r="E1956">
        <v>-290187</v>
      </c>
      <c r="F1956">
        <v>0</v>
      </c>
      <c r="G1956">
        <v>-524054</v>
      </c>
      <c r="H1956">
        <v>-642946</v>
      </c>
      <c r="I1956">
        <v>44.9</v>
      </c>
      <c r="J1956">
        <v>0</v>
      </c>
      <c r="K1956" s="249">
        <v>-1167000</v>
      </c>
      <c r="L1956" s="249">
        <v>-1304000</v>
      </c>
      <c r="M1956" s="249">
        <v>0</v>
      </c>
      <c r="N1956" s="249">
        <v>0</v>
      </c>
    </row>
    <row r="1958" spans="1:14" x14ac:dyDescent="0.25">
      <c r="C1958" t="s">
        <v>96</v>
      </c>
      <c r="J1958">
        <v>0</v>
      </c>
    </row>
    <row r="1959" spans="1:14" x14ac:dyDescent="0.25">
      <c r="C1959" t="s">
        <v>97</v>
      </c>
      <c r="J1959">
        <v>0</v>
      </c>
    </row>
    <row r="1960" spans="1:14" x14ac:dyDescent="0.25">
      <c r="C1960" t="s">
        <v>98</v>
      </c>
      <c r="J1960">
        <v>0</v>
      </c>
    </row>
    <row r="1961" spans="1:14" x14ac:dyDescent="0.25">
      <c r="C1961" t="s">
        <v>99</v>
      </c>
      <c r="J1961">
        <v>0</v>
      </c>
    </row>
    <row r="1962" spans="1:14" x14ac:dyDescent="0.25">
      <c r="C1962" t="s">
        <v>138</v>
      </c>
      <c r="J1962">
        <v>0</v>
      </c>
    </row>
    <row r="1964" spans="1:14" x14ac:dyDescent="0.25">
      <c r="A1964" t="s">
        <v>978</v>
      </c>
      <c r="C1964" t="s">
        <v>139</v>
      </c>
      <c r="D1964" s="67">
        <v>651161</v>
      </c>
      <c r="E1964">
        <v>-290187</v>
      </c>
      <c r="F1964">
        <v>0</v>
      </c>
      <c r="G1964">
        <v>-524054</v>
      </c>
      <c r="H1964">
        <v>-642946</v>
      </c>
      <c r="I1964">
        <v>44.9</v>
      </c>
      <c r="J1964">
        <v>0</v>
      </c>
      <c r="K1964" s="249">
        <v>651161</v>
      </c>
      <c r="L1964" s="249">
        <v>691858.5625</v>
      </c>
      <c r="M1964" s="249">
        <v>740288.66187499999</v>
      </c>
      <c r="N1964" s="249">
        <v>792108.86820625002</v>
      </c>
    </row>
    <row r="1965" spans="1:14" x14ac:dyDescent="0.25">
      <c r="A1965" t="s">
        <v>979</v>
      </c>
      <c r="C1965" t="s">
        <v>140</v>
      </c>
      <c r="D1965" s="67">
        <v>32558</v>
      </c>
      <c r="E1965">
        <v>-290187</v>
      </c>
      <c r="F1965">
        <v>0</v>
      </c>
      <c r="G1965">
        <v>-524054</v>
      </c>
      <c r="H1965">
        <v>-642946</v>
      </c>
      <c r="I1965">
        <v>44.9</v>
      </c>
      <c r="J1965">
        <v>0</v>
      </c>
      <c r="K1965" s="249">
        <v>32558</v>
      </c>
      <c r="L1965" s="249">
        <v>34592.875</v>
      </c>
      <c r="M1965" s="249">
        <v>37014.376250000001</v>
      </c>
      <c r="N1965" s="249">
        <v>39605.382587500004</v>
      </c>
    </row>
    <row r="1966" spans="1:14" x14ac:dyDescent="0.25">
      <c r="A1966" t="s">
        <v>980</v>
      </c>
      <c r="C1966" t="s">
        <v>141</v>
      </c>
      <c r="D1966" s="67">
        <v>40000</v>
      </c>
      <c r="E1966">
        <v>-290187</v>
      </c>
      <c r="F1966">
        <v>0</v>
      </c>
      <c r="G1966">
        <v>-524054</v>
      </c>
      <c r="H1966">
        <v>-642946</v>
      </c>
      <c r="I1966">
        <v>44.9</v>
      </c>
      <c r="J1966">
        <v>0</v>
      </c>
      <c r="K1966" s="249">
        <v>40000</v>
      </c>
      <c r="L1966" s="249">
        <v>42500</v>
      </c>
      <c r="M1966" s="249">
        <v>45475</v>
      </c>
      <c r="N1966" s="249">
        <v>48658.25</v>
      </c>
    </row>
    <row r="1967" spans="1:14" x14ac:dyDescent="0.25">
      <c r="A1967" t="s">
        <v>981</v>
      </c>
      <c r="C1967" t="s">
        <v>142</v>
      </c>
      <c r="D1967" s="67">
        <v>205628</v>
      </c>
      <c r="E1967">
        <v>-290187</v>
      </c>
      <c r="F1967">
        <v>0</v>
      </c>
      <c r="G1967">
        <v>-524054</v>
      </c>
      <c r="H1967">
        <v>-642946</v>
      </c>
      <c r="I1967">
        <v>44.9</v>
      </c>
      <c r="J1967">
        <v>0</v>
      </c>
      <c r="K1967" s="249">
        <v>205628</v>
      </c>
      <c r="L1967" s="249">
        <v>218479.75</v>
      </c>
      <c r="M1967" s="249">
        <v>233773.33249999999</v>
      </c>
      <c r="N1967" s="249">
        <v>250137.46577499999</v>
      </c>
    </row>
    <row r="1968" spans="1:14" x14ac:dyDescent="0.25">
      <c r="A1968" t="s">
        <v>982</v>
      </c>
      <c r="C1968" t="s">
        <v>143</v>
      </c>
      <c r="D1968" s="67">
        <v>17000</v>
      </c>
      <c r="E1968">
        <v>-290187</v>
      </c>
      <c r="F1968">
        <v>0</v>
      </c>
      <c r="G1968">
        <v>-524054</v>
      </c>
      <c r="H1968">
        <v>-642946</v>
      </c>
      <c r="I1968">
        <v>44.9</v>
      </c>
      <c r="J1968">
        <v>0</v>
      </c>
      <c r="K1968" s="249">
        <v>17000</v>
      </c>
      <c r="L1968" s="249">
        <v>18062.5</v>
      </c>
      <c r="M1968" s="249">
        <v>19326.875</v>
      </c>
      <c r="N1968" s="249">
        <v>20679.756249999999</v>
      </c>
    </row>
    <row r="1969" spans="1:14" x14ac:dyDescent="0.25">
      <c r="A1969" t="s">
        <v>983</v>
      </c>
      <c r="C1969" t="s">
        <v>144</v>
      </c>
      <c r="D1969" s="67">
        <v>18580</v>
      </c>
      <c r="E1969">
        <v>-290187</v>
      </c>
      <c r="F1969">
        <v>0</v>
      </c>
      <c r="G1969">
        <v>-524054</v>
      </c>
      <c r="H1969">
        <v>-642946</v>
      </c>
      <c r="I1969">
        <v>44.9</v>
      </c>
      <c r="J1969">
        <v>-18580</v>
      </c>
      <c r="K1969" s="249">
        <v>0</v>
      </c>
      <c r="L1969" s="249">
        <v>0</v>
      </c>
      <c r="M1969" s="249">
        <v>0</v>
      </c>
    </row>
    <row r="1971" spans="1:14" x14ac:dyDescent="0.25">
      <c r="C1971" t="s">
        <v>145</v>
      </c>
      <c r="D1971" s="67">
        <v>964927</v>
      </c>
      <c r="E1971">
        <v>-1741122</v>
      </c>
      <c r="F1971">
        <v>0</v>
      </c>
      <c r="G1971">
        <v>-3144324</v>
      </c>
      <c r="H1971">
        <v>-3857676</v>
      </c>
      <c r="I1971">
        <v>37.49</v>
      </c>
      <c r="J1971">
        <v>-18580</v>
      </c>
      <c r="K1971" s="249">
        <v>946347</v>
      </c>
      <c r="L1971" s="249">
        <v>1005493.6875</v>
      </c>
      <c r="M1971" s="249">
        <v>1075878.245625</v>
      </c>
      <c r="N1971" s="249">
        <v>1151189.7228187502</v>
      </c>
    </row>
    <row r="1973" spans="1:14" x14ac:dyDescent="0.25">
      <c r="C1973" t="s">
        <v>146</v>
      </c>
      <c r="D1973" s="67">
        <v>964927</v>
      </c>
      <c r="E1973">
        <v>-1741122</v>
      </c>
      <c r="F1973">
        <v>0</v>
      </c>
      <c r="G1973">
        <v>-3144324</v>
      </c>
      <c r="H1973">
        <v>-3857676</v>
      </c>
      <c r="I1973">
        <v>37.49</v>
      </c>
      <c r="J1973">
        <v>-18580</v>
      </c>
      <c r="K1973" s="249">
        <v>946347</v>
      </c>
      <c r="L1973" s="249">
        <v>1005493.6875</v>
      </c>
      <c r="M1973" s="249">
        <v>1075878.245625</v>
      </c>
      <c r="N1973" s="249">
        <v>1151189.7228187502</v>
      </c>
    </row>
    <row r="1975" spans="1:14" x14ac:dyDescent="0.25">
      <c r="C1975" t="s">
        <v>147</v>
      </c>
      <c r="D1975" s="67">
        <v>964927</v>
      </c>
      <c r="E1975">
        <v>-1741122</v>
      </c>
      <c r="F1975">
        <v>0</v>
      </c>
      <c r="G1975">
        <v>-3144324</v>
      </c>
      <c r="H1975">
        <v>-3857676</v>
      </c>
      <c r="I1975">
        <v>37.49</v>
      </c>
      <c r="J1975">
        <v>-18580</v>
      </c>
      <c r="K1975" s="249">
        <v>946347</v>
      </c>
      <c r="L1975" s="249">
        <v>1005493.6875</v>
      </c>
      <c r="M1975" s="249">
        <v>1075878.245625</v>
      </c>
      <c r="N1975" s="249">
        <v>1151189.7228187502</v>
      </c>
    </row>
    <row r="1977" spans="1:14" x14ac:dyDescent="0.25">
      <c r="C1977" t="s">
        <v>148</v>
      </c>
      <c r="J1977">
        <v>0</v>
      </c>
    </row>
    <row r="1979" spans="1:14" x14ac:dyDescent="0.25">
      <c r="C1979" t="s">
        <v>149</v>
      </c>
      <c r="J1979">
        <v>0</v>
      </c>
    </row>
    <row r="1981" spans="1:14" x14ac:dyDescent="0.25">
      <c r="A1981" t="s">
        <v>984</v>
      </c>
      <c r="C1981" t="s">
        <v>150</v>
      </c>
      <c r="D1981" s="67">
        <v>215677</v>
      </c>
      <c r="E1981">
        <v>-290187</v>
      </c>
      <c r="F1981">
        <v>0</v>
      </c>
      <c r="G1981">
        <v>-524054</v>
      </c>
      <c r="H1981">
        <v>-642946</v>
      </c>
      <c r="I1981">
        <v>44.9</v>
      </c>
      <c r="J1981">
        <v>0</v>
      </c>
      <c r="K1981" s="249">
        <v>215677</v>
      </c>
      <c r="L1981" s="249">
        <v>229156.8125</v>
      </c>
      <c r="M1981" s="249">
        <v>245197.78937499999</v>
      </c>
      <c r="N1981" s="249">
        <v>262361.63463125</v>
      </c>
    </row>
    <row r="1982" spans="1:14" x14ac:dyDescent="0.25">
      <c r="A1982" t="s">
        <v>985</v>
      </c>
      <c r="C1982" t="s">
        <v>151</v>
      </c>
      <c r="D1982" s="67">
        <v>10078</v>
      </c>
      <c r="E1982">
        <v>-290187</v>
      </c>
      <c r="F1982">
        <v>0</v>
      </c>
      <c r="G1982">
        <v>-524054</v>
      </c>
      <c r="H1982">
        <v>-642946</v>
      </c>
      <c r="I1982">
        <v>44.9</v>
      </c>
      <c r="J1982">
        <v>-1610.9099999999999</v>
      </c>
      <c r="K1982" s="249">
        <v>8467.09</v>
      </c>
      <c r="L1982" s="249">
        <v>8996.2831249999999</v>
      </c>
      <c r="M1982" s="249">
        <v>9626.0229437500002</v>
      </c>
      <c r="N1982" s="249">
        <v>10299.8445498125</v>
      </c>
    </row>
    <row r="1983" spans="1:14" x14ac:dyDescent="0.25">
      <c r="A1983" t="s">
        <v>986</v>
      </c>
      <c r="C1983" t="s">
        <v>155</v>
      </c>
      <c r="D1983" s="67">
        <v>7157</v>
      </c>
      <c r="E1983">
        <v>-290187</v>
      </c>
      <c r="F1983">
        <v>0</v>
      </c>
      <c r="G1983">
        <v>-524054</v>
      </c>
      <c r="H1983">
        <v>-642946</v>
      </c>
      <c r="I1983">
        <v>44.9</v>
      </c>
      <c r="J1983">
        <v>0</v>
      </c>
      <c r="K1983" s="249">
        <v>7157</v>
      </c>
      <c r="L1983" s="249">
        <v>7604.3125</v>
      </c>
      <c r="M1983" s="249">
        <v>8136.6143750000001</v>
      </c>
      <c r="N1983" s="249">
        <v>8706.1773812499996</v>
      </c>
    </row>
    <row r="1984" spans="1:14" x14ac:dyDescent="0.25">
      <c r="A1984" t="s">
        <v>987</v>
      </c>
      <c r="C1984" t="s">
        <v>157</v>
      </c>
      <c r="D1984" s="67">
        <v>36901</v>
      </c>
      <c r="E1984">
        <v>-290187</v>
      </c>
      <c r="F1984">
        <v>0</v>
      </c>
      <c r="G1984">
        <v>-524054</v>
      </c>
      <c r="H1984">
        <v>-642946</v>
      </c>
      <c r="I1984">
        <v>44.9</v>
      </c>
      <c r="J1984">
        <v>0</v>
      </c>
      <c r="K1984" s="249">
        <v>36901</v>
      </c>
      <c r="L1984" s="249">
        <v>39207.3125</v>
      </c>
      <c r="M1984" s="249">
        <v>41951.824374999997</v>
      </c>
      <c r="N1984" s="249">
        <v>44888.452081249998</v>
      </c>
    </row>
    <row r="1985" spans="1:14" x14ac:dyDescent="0.25">
      <c r="A1985" t="s">
        <v>988</v>
      </c>
      <c r="C1985" t="s">
        <v>159</v>
      </c>
      <c r="D1985" s="67">
        <v>17973</v>
      </c>
      <c r="E1985">
        <v>-290187</v>
      </c>
      <c r="F1985">
        <v>0</v>
      </c>
      <c r="G1985">
        <v>-524054</v>
      </c>
      <c r="H1985">
        <v>-642946</v>
      </c>
      <c r="I1985">
        <v>44.9</v>
      </c>
      <c r="J1985">
        <v>0</v>
      </c>
      <c r="K1985" s="249">
        <v>17973</v>
      </c>
      <c r="L1985" s="249">
        <v>19096.3125</v>
      </c>
      <c r="M1985" s="249">
        <v>20433.054375</v>
      </c>
      <c r="N1985" s="249">
        <v>21863.36818125</v>
      </c>
    </row>
    <row r="1986" spans="1:14" x14ac:dyDescent="0.25">
      <c r="A1986" t="s">
        <v>989</v>
      </c>
      <c r="C1986" t="s">
        <v>164</v>
      </c>
      <c r="D1986" s="67">
        <v>32457</v>
      </c>
      <c r="E1986">
        <v>-290187</v>
      </c>
      <c r="F1986">
        <v>0</v>
      </c>
      <c r="G1986">
        <v>-524054</v>
      </c>
      <c r="H1986">
        <v>-642946</v>
      </c>
      <c r="I1986">
        <v>44.9</v>
      </c>
      <c r="J1986">
        <v>0</v>
      </c>
      <c r="K1986" s="249">
        <v>32457</v>
      </c>
      <c r="L1986" s="249">
        <v>34485.5625</v>
      </c>
      <c r="M1986" s="249">
        <v>36899.551874999997</v>
      </c>
      <c r="N1986" s="249">
        <v>39482.520506249995</v>
      </c>
    </row>
    <row r="1988" spans="1:14" x14ac:dyDescent="0.25">
      <c r="C1988" t="s">
        <v>165</v>
      </c>
      <c r="D1988" s="67">
        <v>320243</v>
      </c>
      <c r="E1988">
        <v>-1741122</v>
      </c>
      <c r="F1988">
        <v>0</v>
      </c>
      <c r="G1988">
        <v>-3144324</v>
      </c>
      <c r="H1988">
        <v>-3857676</v>
      </c>
      <c r="I1988">
        <v>43.61</v>
      </c>
      <c r="J1988">
        <v>-1610.9100000000326</v>
      </c>
      <c r="K1988" s="249">
        <v>318632.08999999997</v>
      </c>
      <c r="L1988" s="249">
        <v>338546.59562499996</v>
      </c>
      <c r="M1988" s="249">
        <v>362244.85731874994</v>
      </c>
      <c r="N1988" s="249">
        <v>387601.99733106251</v>
      </c>
    </row>
    <row r="1990" spans="1:14" x14ac:dyDescent="0.25">
      <c r="C1990" t="s">
        <v>166</v>
      </c>
      <c r="J1990">
        <v>0</v>
      </c>
    </row>
    <row r="1992" spans="1:14" x14ac:dyDescent="0.25">
      <c r="A1992" t="s">
        <v>990</v>
      </c>
      <c r="C1992" t="s">
        <v>167</v>
      </c>
      <c r="D1992" s="67">
        <v>112</v>
      </c>
      <c r="E1992">
        <v>-290187</v>
      </c>
      <c r="F1992">
        <v>0</v>
      </c>
      <c r="G1992">
        <v>-524054</v>
      </c>
      <c r="H1992">
        <v>-642946</v>
      </c>
      <c r="I1992">
        <v>44.9</v>
      </c>
      <c r="J1992">
        <v>0</v>
      </c>
      <c r="K1992" s="249">
        <v>112</v>
      </c>
      <c r="L1992" s="249">
        <v>119</v>
      </c>
      <c r="M1992" s="249">
        <v>127.33</v>
      </c>
      <c r="N1992" s="249">
        <v>136.2431</v>
      </c>
    </row>
    <row r="1993" spans="1:14" x14ac:dyDescent="0.25">
      <c r="A1993" t="s">
        <v>991</v>
      </c>
      <c r="C1993" t="s">
        <v>168</v>
      </c>
      <c r="D1993" s="67">
        <v>53908</v>
      </c>
      <c r="E1993">
        <v>-290187</v>
      </c>
      <c r="F1993">
        <v>0</v>
      </c>
      <c r="G1993">
        <v>-524054</v>
      </c>
      <c r="H1993">
        <v>-642946</v>
      </c>
      <c r="I1993">
        <v>44.9</v>
      </c>
      <c r="J1993">
        <v>-20000</v>
      </c>
      <c r="K1993" s="249">
        <v>33908</v>
      </c>
      <c r="L1993" s="249">
        <v>36027.25</v>
      </c>
      <c r="M1993" s="249">
        <v>38549.157500000001</v>
      </c>
      <c r="N1993" s="249">
        <v>41247.598525000001</v>
      </c>
    </row>
    <row r="1994" spans="1:14" x14ac:dyDescent="0.25">
      <c r="A1994" t="s">
        <v>992</v>
      </c>
      <c r="C1994" t="s">
        <v>169</v>
      </c>
      <c r="D1994" s="67">
        <v>47449</v>
      </c>
      <c r="E1994">
        <v>-290187</v>
      </c>
      <c r="F1994">
        <v>0</v>
      </c>
      <c r="G1994">
        <v>-524054</v>
      </c>
      <c r="H1994">
        <v>-642946</v>
      </c>
      <c r="I1994">
        <v>44.9</v>
      </c>
      <c r="J1994">
        <v>0</v>
      </c>
      <c r="K1994" s="249">
        <v>47449</v>
      </c>
      <c r="L1994" s="249">
        <v>50414.5625</v>
      </c>
      <c r="M1994" s="249">
        <v>53943.581875000003</v>
      </c>
      <c r="N1994" s="249">
        <v>57719.632606250001</v>
      </c>
    </row>
    <row r="1995" spans="1:14" x14ac:dyDescent="0.25">
      <c r="A1995" t="s">
        <v>993</v>
      </c>
      <c r="C1995" t="s">
        <v>170</v>
      </c>
      <c r="D1995" s="67">
        <v>1785</v>
      </c>
      <c r="E1995">
        <v>-290187</v>
      </c>
      <c r="F1995">
        <v>0</v>
      </c>
      <c r="G1995">
        <v>-524054</v>
      </c>
      <c r="H1995">
        <v>-642946</v>
      </c>
      <c r="I1995">
        <v>44.9</v>
      </c>
      <c r="J1995">
        <v>0</v>
      </c>
      <c r="K1995" s="249">
        <v>1785</v>
      </c>
      <c r="L1995" s="249">
        <v>1896.5625</v>
      </c>
      <c r="M1995" s="249">
        <v>2029.3218750000001</v>
      </c>
      <c r="N1995" s="249">
        <v>2171.37440625</v>
      </c>
    </row>
    <row r="1997" spans="1:14" x14ac:dyDescent="0.25">
      <c r="C1997" t="s">
        <v>171</v>
      </c>
      <c r="D1997" s="67">
        <v>103254</v>
      </c>
      <c r="E1997">
        <v>-1160748</v>
      </c>
      <c r="F1997">
        <v>0</v>
      </c>
      <c r="G1997">
        <v>-2096216</v>
      </c>
      <c r="H1997">
        <v>-2571784</v>
      </c>
      <c r="I1997">
        <v>32.340000000000003</v>
      </c>
      <c r="J1997">
        <v>-20000</v>
      </c>
      <c r="K1997" s="249">
        <v>83254</v>
      </c>
      <c r="L1997" s="249">
        <v>88457.375</v>
      </c>
      <c r="M1997" s="249">
        <v>94649.391250000001</v>
      </c>
      <c r="N1997" s="249">
        <v>101274.84863750001</v>
      </c>
    </row>
    <row r="1999" spans="1:14" x14ac:dyDescent="0.25">
      <c r="C1999" t="s">
        <v>172</v>
      </c>
      <c r="J1999">
        <v>0</v>
      </c>
    </row>
    <row r="2001" spans="1:14" x14ac:dyDescent="0.25">
      <c r="A2001" t="s">
        <v>994</v>
      </c>
      <c r="C2001" t="s">
        <v>173</v>
      </c>
      <c r="D2001" s="67">
        <v>1667</v>
      </c>
      <c r="E2001">
        <v>-290187</v>
      </c>
      <c r="F2001">
        <v>0</v>
      </c>
      <c r="G2001">
        <v>-524054</v>
      </c>
      <c r="H2001">
        <v>-642946</v>
      </c>
      <c r="I2001">
        <v>44.9</v>
      </c>
      <c r="J2001">
        <v>0</v>
      </c>
      <c r="K2001" s="249">
        <v>1667</v>
      </c>
      <c r="L2001" s="249">
        <v>1771.1875</v>
      </c>
      <c r="M2001" s="249">
        <v>1895.170625</v>
      </c>
      <c r="N2001" s="249">
        <v>2027.8325687500001</v>
      </c>
    </row>
    <row r="2002" spans="1:14" x14ac:dyDescent="0.25">
      <c r="A2002" t="s">
        <v>995</v>
      </c>
      <c r="C2002" t="s">
        <v>174</v>
      </c>
      <c r="D2002" s="67">
        <v>978</v>
      </c>
      <c r="E2002">
        <v>-290187</v>
      </c>
      <c r="F2002">
        <v>0</v>
      </c>
      <c r="G2002">
        <v>-524054</v>
      </c>
      <c r="H2002">
        <v>-642946</v>
      </c>
      <c r="I2002">
        <v>44.9</v>
      </c>
      <c r="J2002">
        <v>0</v>
      </c>
      <c r="K2002" s="249">
        <v>978</v>
      </c>
      <c r="L2002" s="249">
        <v>1039.125</v>
      </c>
      <c r="M2002" s="249">
        <v>1111.86375</v>
      </c>
      <c r="N2002" s="249">
        <v>1189.6942125</v>
      </c>
    </row>
    <row r="2003" spans="1:14" x14ac:dyDescent="0.25">
      <c r="A2003" t="s">
        <v>996</v>
      </c>
      <c r="C2003" t="s">
        <v>175</v>
      </c>
      <c r="D2003" s="67">
        <v>2483</v>
      </c>
      <c r="E2003">
        <v>-290187</v>
      </c>
      <c r="F2003">
        <v>0</v>
      </c>
      <c r="G2003">
        <v>-524054</v>
      </c>
      <c r="H2003">
        <v>-642946</v>
      </c>
      <c r="I2003">
        <v>44.9</v>
      </c>
      <c r="J2003">
        <v>0</v>
      </c>
      <c r="K2003" s="249">
        <v>2483</v>
      </c>
      <c r="L2003" s="249">
        <v>2638.1875</v>
      </c>
      <c r="M2003" s="249">
        <v>2822.8606249999998</v>
      </c>
      <c r="N2003" s="249">
        <v>3020.4608687499999</v>
      </c>
    </row>
    <row r="2005" spans="1:14" x14ac:dyDescent="0.25">
      <c r="C2005" t="s">
        <v>176</v>
      </c>
      <c r="D2005" s="67">
        <v>5128</v>
      </c>
      <c r="E2005">
        <v>-870561</v>
      </c>
      <c r="F2005">
        <v>0</v>
      </c>
      <c r="G2005">
        <v>-1572162</v>
      </c>
      <c r="H2005">
        <v>-1928838</v>
      </c>
      <c r="I2005">
        <v>0</v>
      </c>
      <c r="J2005">
        <v>0</v>
      </c>
      <c r="K2005" s="249">
        <v>5128</v>
      </c>
      <c r="L2005" s="249">
        <v>5448.5</v>
      </c>
      <c r="M2005" s="249">
        <v>5829.8950000000004</v>
      </c>
      <c r="N2005" s="249">
        <v>6237.98765</v>
      </c>
    </row>
    <row r="2007" spans="1:14" x14ac:dyDescent="0.25">
      <c r="C2007" t="s">
        <v>177</v>
      </c>
      <c r="D2007" s="67">
        <v>428625</v>
      </c>
      <c r="E2007">
        <v>-3772431</v>
      </c>
      <c r="F2007">
        <v>0</v>
      </c>
      <c r="G2007">
        <v>-6812702</v>
      </c>
      <c r="H2007">
        <v>-8358298</v>
      </c>
      <c r="I2007">
        <v>40.369999999999997</v>
      </c>
      <c r="J2007">
        <v>-21610.910000000033</v>
      </c>
      <c r="K2007" s="249">
        <v>407014.08999999997</v>
      </c>
      <c r="L2007" s="249">
        <v>432452.47062499996</v>
      </c>
      <c r="M2007" s="249">
        <v>462724.14356874995</v>
      </c>
      <c r="N2007" s="249">
        <v>495114.83361856255</v>
      </c>
    </row>
    <row r="2009" spans="1:14" x14ac:dyDescent="0.25">
      <c r="C2009" t="s">
        <v>178</v>
      </c>
      <c r="D2009" s="67">
        <v>1393552</v>
      </c>
      <c r="E2009">
        <v>-5513553</v>
      </c>
      <c r="F2009">
        <v>0</v>
      </c>
      <c r="G2009">
        <v>-9957026</v>
      </c>
      <c r="H2009">
        <v>-12215974</v>
      </c>
      <c r="I2009">
        <v>38.380000000000003</v>
      </c>
      <c r="J2009">
        <v>-40190.910000000149</v>
      </c>
      <c r="K2009" s="249">
        <v>1353361.0899999999</v>
      </c>
      <c r="L2009" s="249">
        <v>1437946.1581250001</v>
      </c>
      <c r="M2009" s="249">
        <v>1538602.38919375</v>
      </c>
      <c r="N2009" s="249">
        <v>1646304.5564373126</v>
      </c>
    </row>
    <row r="2011" spans="1:14" x14ac:dyDescent="0.25">
      <c r="C2011" t="s">
        <v>228</v>
      </c>
      <c r="J2011">
        <v>0</v>
      </c>
    </row>
    <row r="2013" spans="1:14" x14ac:dyDescent="0.25">
      <c r="A2013" t="s">
        <v>997</v>
      </c>
      <c r="C2013" t="s">
        <v>235</v>
      </c>
      <c r="D2013" s="67">
        <v>120000</v>
      </c>
      <c r="E2013">
        <v>-290187</v>
      </c>
      <c r="F2013">
        <v>0</v>
      </c>
      <c r="G2013">
        <v>-524054</v>
      </c>
      <c r="H2013">
        <v>-642946</v>
      </c>
      <c r="I2013">
        <v>44.9</v>
      </c>
      <c r="J2013">
        <v>-50000</v>
      </c>
      <c r="K2013" s="249">
        <v>70000</v>
      </c>
      <c r="L2013" s="249">
        <v>73150</v>
      </c>
      <c r="M2013" s="249">
        <v>76514.899999999994</v>
      </c>
      <c r="N2013" s="249">
        <v>80034.585399999996</v>
      </c>
    </row>
    <row r="2015" spans="1:14" x14ac:dyDescent="0.25">
      <c r="C2015" t="s">
        <v>239</v>
      </c>
      <c r="D2015" s="67">
        <v>120000</v>
      </c>
      <c r="E2015">
        <v>-290187</v>
      </c>
      <c r="F2015">
        <v>0</v>
      </c>
      <c r="G2015">
        <v>-524054</v>
      </c>
      <c r="H2015">
        <v>-642946</v>
      </c>
      <c r="I2015">
        <v>0</v>
      </c>
      <c r="J2015">
        <v>-50000</v>
      </c>
      <c r="K2015" s="249">
        <v>70000</v>
      </c>
      <c r="L2015" s="249">
        <v>73150</v>
      </c>
      <c r="M2015" s="249">
        <v>76514.899999999994</v>
      </c>
      <c r="N2015" s="249">
        <v>80034.585399999996</v>
      </c>
    </row>
    <row r="2017" spans="1:14" x14ac:dyDescent="0.25">
      <c r="C2017" t="s">
        <v>240</v>
      </c>
      <c r="D2017" s="67">
        <v>120000</v>
      </c>
      <c r="E2017">
        <v>-290187</v>
      </c>
      <c r="F2017">
        <v>0</v>
      </c>
      <c r="G2017">
        <v>-524054</v>
      </c>
      <c r="H2017">
        <v>-642946</v>
      </c>
      <c r="I2017">
        <v>0</v>
      </c>
      <c r="J2017">
        <v>-50000</v>
      </c>
      <c r="K2017" s="249">
        <v>70000</v>
      </c>
      <c r="L2017" s="249">
        <v>73150</v>
      </c>
      <c r="M2017" s="249">
        <v>76514.899999999994</v>
      </c>
      <c r="N2017" s="249">
        <v>80034.585399999996</v>
      </c>
    </row>
    <row r="2019" spans="1:14" x14ac:dyDescent="0.25">
      <c r="C2019" t="s">
        <v>241</v>
      </c>
      <c r="J2019">
        <v>0</v>
      </c>
    </row>
    <row r="2021" spans="1:14" x14ac:dyDescent="0.25">
      <c r="A2021" t="s">
        <v>998</v>
      </c>
      <c r="C2021" t="s">
        <v>242</v>
      </c>
      <c r="D2021" s="67">
        <v>57680</v>
      </c>
      <c r="E2021">
        <v>-290187</v>
      </c>
      <c r="F2021">
        <v>0</v>
      </c>
      <c r="G2021">
        <v>-524054</v>
      </c>
      <c r="H2021">
        <v>-642946</v>
      </c>
      <c r="I2021">
        <v>44.9</v>
      </c>
      <c r="J2021">
        <v>-30000</v>
      </c>
      <c r="K2021" s="249">
        <v>27680</v>
      </c>
      <c r="L2021" s="249">
        <v>28925.599999999999</v>
      </c>
      <c r="M2021" s="249">
        <v>30256.177599999999</v>
      </c>
      <c r="N2021" s="249">
        <v>31647.961769599999</v>
      </c>
    </row>
    <row r="2022" spans="1:14" x14ac:dyDescent="0.25">
      <c r="A2022" t="s">
        <v>999</v>
      </c>
      <c r="C2022" t="s">
        <v>253</v>
      </c>
      <c r="D2022" s="67">
        <v>2000</v>
      </c>
      <c r="E2022">
        <v>-290187</v>
      </c>
      <c r="F2022">
        <v>0</v>
      </c>
      <c r="G2022">
        <v>-524054</v>
      </c>
      <c r="H2022">
        <v>-642946</v>
      </c>
      <c r="I2022">
        <v>44.9</v>
      </c>
      <c r="J2022">
        <v>0</v>
      </c>
      <c r="K2022" s="249">
        <v>2000</v>
      </c>
      <c r="L2022" s="249">
        <v>2000</v>
      </c>
      <c r="M2022" s="249">
        <v>2000</v>
      </c>
      <c r="N2022" s="249">
        <v>2000</v>
      </c>
    </row>
    <row r="2023" spans="1:14" x14ac:dyDescent="0.25">
      <c r="A2023" t="s">
        <v>1000</v>
      </c>
      <c r="C2023" t="s">
        <v>261</v>
      </c>
      <c r="D2023" s="67">
        <v>3147</v>
      </c>
      <c r="E2023">
        <v>-290187</v>
      </c>
      <c r="F2023">
        <v>0</v>
      </c>
      <c r="G2023">
        <v>-524054</v>
      </c>
      <c r="H2023">
        <v>-642946</v>
      </c>
      <c r="I2023">
        <v>44.9</v>
      </c>
      <c r="J2023">
        <v>0</v>
      </c>
      <c r="K2023" s="249">
        <v>3147</v>
      </c>
      <c r="L2023" s="249">
        <v>3288.6149999999998</v>
      </c>
      <c r="M2023" s="249">
        <v>3439.8912899999996</v>
      </c>
      <c r="N2023" s="249">
        <v>3598.1262893399994</v>
      </c>
    </row>
    <row r="2024" spans="1:14" x14ac:dyDescent="0.25">
      <c r="A2024" t="s">
        <v>1369</v>
      </c>
      <c r="C2024" t="s">
        <v>1370</v>
      </c>
      <c r="D2024" s="67">
        <v>0</v>
      </c>
      <c r="E2024">
        <v>-290187</v>
      </c>
      <c r="F2024">
        <v>0</v>
      </c>
      <c r="G2024">
        <v>-524054</v>
      </c>
      <c r="H2024">
        <v>-642946</v>
      </c>
      <c r="I2024">
        <v>44.9</v>
      </c>
      <c r="J2024">
        <v>350000</v>
      </c>
      <c r="K2024" s="249">
        <v>350000</v>
      </c>
      <c r="L2024" s="249">
        <v>365750</v>
      </c>
      <c r="M2024" s="249">
        <v>382574.5</v>
      </c>
      <c r="N2024" s="249">
        <v>400172.92700000003</v>
      </c>
    </row>
    <row r="2025" spans="1:14" x14ac:dyDescent="0.25">
      <c r="A2025" t="s">
        <v>1001</v>
      </c>
      <c r="C2025" t="s">
        <v>265</v>
      </c>
      <c r="D2025" s="67">
        <v>214343</v>
      </c>
      <c r="E2025">
        <v>-290187</v>
      </c>
      <c r="F2025">
        <v>0</v>
      </c>
      <c r="G2025">
        <v>-524054</v>
      </c>
      <c r="H2025">
        <v>-642946</v>
      </c>
      <c r="I2025">
        <v>44.9</v>
      </c>
      <c r="J2025">
        <v>-190000</v>
      </c>
      <c r="K2025" s="249">
        <v>24343</v>
      </c>
      <c r="L2025" s="249">
        <v>25438.435000000001</v>
      </c>
      <c r="M2025" s="249">
        <v>26608.603010000003</v>
      </c>
      <c r="N2025" s="249">
        <v>27832.598748460001</v>
      </c>
    </row>
    <row r="2026" spans="1:14" x14ac:dyDescent="0.25">
      <c r="A2026" t="s">
        <v>1002</v>
      </c>
      <c r="C2026" t="s">
        <v>268</v>
      </c>
      <c r="D2026" s="67">
        <v>341356</v>
      </c>
      <c r="E2026">
        <v>-290187</v>
      </c>
      <c r="F2026">
        <v>0</v>
      </c>
      <c r="G2026">
        <v>-524054</v>
      </c>
      <c r="H2026">
        <v>-642946</v>
      </c>
      <c r="I2026">
        <v>44.9</v>
      </c>
      <c r="J2026">
        <v>-280000</v>
      </c>
      <c r="K2026" s="249">
        <v>61356</v>
      </c>
      <c r="L2026" s="249">
        <v>64117.02</v>
      </c>
      <c r="M2026" s="249">
        <v>67066.402919999993</v>
      </c>
      <c r="N2026" s="249">
        <v>70151.45745432</v>
      </c>
    </row>
    <row r="2027" spans="1:14" x14ac:dyDescent="0.25">
      <c r="A2027" t="s">
        <v>1003</v>
      </c>
      <c r="C2027" t="s">
        <v>268</v>
      </c>
      <c r="D2027" s="67">
        <v>299131</v>
      </c>
      <c r="E2027">
        <v>-290187</v>
      </c>
      <c r="F2027">
        <v>0</v>
      </c>
      <c r="G2027">
        <v>-524054</v>
      </c>
      <c r="H2027">
        <v>-642946</v>
      </c>
      <c r="I2027">
        <v>44.9</v>
      </c>
      <c r="J2027">
        <v>-150000</v>
      </c>
      <c r="K2027" s="249">
        <v>149131</v>
      </c>
      <c r="L2027" s="249">
        <v>155841.89499999999</v>
      </c>
      <c r="M2027" s="249">
        <v>163010.62216999999</v>
      </c>
      <c r="N2027" s="249">
        <v>170509.11078982</v>
      </c>
    </row>
    <row r="2028" spans="1:14" x14ac:dyDescent="0.25">
      <c r="A2028" t="s">
        <v>1004</v>
      </c>
      <c r="C2028" t="s">
        <v>269</v>
      </c>
      <c r="D2028" s="67">
        <v>25440</v>
      </c>
      <c r="E2028">
        <v>-290187</v>
      </c>
      <c r="F2028">
        <v>0</v>
      </c>
      <c r="G2028">
        <v>-524054</v>
      </c>
      <c r="H2028">
        <v>-642946</v>
      </c>
      <c r="I2028">
        <v>44.9</v>
      </c>
      <c r="J2028">
        <v>-10000</v>
      </c>
      <c r="K2028" s="249">
        <v>15440</v>
      </c>
      <c r="L2028" s="249">
        <v>16134.8</v>
      </c>
      <c r="M2028" s="249">
        <v>16877.000799999998</v>
      </c>
      <c r="N2028" s="249">
        <v>17653.342836799999</v>
      </c>
    </row>
    <row r="2029" spans="1:14" x14ac:dyDescent="0.25">
      <c r="A2029" t="s">
        <v>1005</v>
      </c>
      <c r="C2029" t="s">
        <v>272</v>
      </c>
      <c r="D2029" s="67">
        <v>20324</v>
      </c>
      <c r="E2029">
        <v>-290187</v>
      </c>
      <c r="F2029">
        <v>0</v>
      </c>
      <c r="G2029">
        <v>-524054</v>
      </c>
      <c r="H2029">
        <v>-642946</v>
      </c>
      <c r="I2029">
        <v>44.9</v>
      </c>
      <c r="J2029">
        <v>-15000</v>
      </c>
      <c r="K2029" s="249">
        <v>5324</v>
      </c>
      <c r="L2029" s="249">
        <v>5563.58</v>
      </c>
      <c r="M2029" s="249">
        <v>5819.50468</v>
      </c>
      <c r="N2029" s="249">
        <v>6087.2018952799999</v>
      </c>
    </row>
    <row r="2031" spans="1:14" x14ac:dyDescent="0.25">
      <c r="C2031" t="s">
        <v>274</v>
      </c>
      <c r="D2031" s="67">
        <v>963421</v>
      </c>
      <c r="E2031">
        <v>-2611683</v>
      </c>
      <c r="F2031">
        <v>0</v>
      </c>
      <c r="G2031">
        <v>-4716486</v>
      </c>
      <c r="H2031">
        <v>-5786514</v>
      </c>
      <c r="I2031">
        <v>9.26</v>
      </c>
      <c r="J2031">
        <v>-325000</v>
      </c>
      <c r="K2031" s="249">
        <v>638421</v>
      </c>
      <c r="L2031" s="249">
        <v>667059.94499999995</v>
      </c>
      <c r="M2031" s="249">
        <v>697652.70247000002</v>
      </c>
      <c r="N2031" s="249">
        <v>729652.72678362008</v>
      </c>
    </row>
    <row r="2033" spans="1:14" x14ac:dyDescent="0.25">
      <c r="C2033" t="s">
        <v>275</v>
      </c>
      <c r="J2033">
        <v>0</v>
      </c>
    </row>
    <row r="2035" spans="1:14" x14ac:dyDescent="0.25">
      <c r="A2035" t="s">
        <v>1006</v>
      </c>
      <c r="C2035" t="s">
        <v>277</v>
      </c>
      <c r="D2035" s="67">
        <v>283871</v>
      </c>
      <c r="E2035">
        <v>-290187</v>
      </c>
      <c r="F2035">
        <v>0</v>
      </c>
      <c r="G2035">
        <v>-524054</v>
      </c>
      <c r="H2035">
        <v>-642946</v>
      </c>
      <c r="I2035">
        <v>44.9</v>
      </c>
      <c r="J2035">
        <v>0</v>
      </c>
      <c r="K2035" s="249">
        <v>283871</v>
      </c>
      <c r="L2035" s="249">
        <v>296645.19500000001</v>
      </c>
      <c r="M2035" s="249">
        <v>310290.87397000002</v>
      </c>
      <c r="N2035" s="249">
        <v>324564.25417262001</v>
      </c>
    </row>
    <row r="2036" spans="1:14" x14ac:dyDescent="0.25">
      <c r="A2036" t="s">
        <v>1007</v>
      </c>
      <c r="C2036" t="s">
        <v>278</v>
      </c>
      <c r="D2036" s="67">
        <v>94743</v>
      </c>
      <c r="E2036">
        <v>-290187</v>
      </c>
      <c r="F2036">
        <v>0</v>
      </c>
      <c r="G2036">
        <v>-524054</v>
      </c>
      <c r="H2036">
        <v>-642946</v>
      </c>
      <c r="I2036">
        <v>44.9</v>
      </c>
      <c r="J2036">
        <v>25257</v>
      </c>
      <c r="K2036" s="249">
        <v>120000</v>
      </c>
      <c r="L2036" s="249">
        <v>125400</v>
      </c>
      <c r="M2036" s="249">
        <v>131168.4</v>
      </c>
      <c r="N2036" s="249">
        <v>137202.1464</v>
      </c>
    </row>
    <row r="2038" spans="1:14" x14ac:dyDescent="0.25">
      <c r="C2038" t="s">
        <v>279</v>
      </c>
      <c r="D2038" s="67">
        <v>378614</v>
      </c>
      <c r="E2038">
        <v>-580374</v>
      </c>
      <c r="F2038">
        <v>0</v>
      </c>
      <c r="G2038">
        <v>-1048108</v>
      </c>
      <c r="H2038">
        <v>-1285892</v>
      </c>
      <c r="I2038">
        <v>40.299999999999997</v>
      </c>
      <c r="J2038">
        <v>25257</v>
      </c>
      <c r="K2038" s="249">
        <v>403871</v>
      </c>
      <c r="L2038" s="249">
        <v>422045.19500000001</v>
      </c>
      <c r="M2038" s="249">
        <v>441459.27396999998</v>
      </c>
      <c r="N2038" s="249">
        <v>461766.40057261998</v>
      </c>
    </row>
    <row r="2040" spans="1:14" x14ac:dyDescent="0.25">
      <c r="C2040" t="s">
        <v>290</v>
      </c>
      <c r="J2040">
        <v>0</v>
      </c>
    </row>
    <row r="2042" spans="1:14" x14ac:dyDescent="0.25">
      <c r="A2042" t="s">
        <v>1008</v>
      </c>
      <c r="C2042" t="s">
        <v>292</v>
      </c>
      <c r="D2042" s="67">
        <v>3371</v>
      </c>
      <c r="E2042">
        <v>-290187</v>
      </c>
      <c r="F2042">
        <v>0</v>
      </c>
      <c r="G2042">
        <v>-524054</v>
      </c>
      <c r="H2042">
        <v>-642946</v>
      </c>
      <c r="I2042">
        <v>44.9</v>
      </c>
      <c r="J2042">
        <v>0</v>
      </c>
      <c r="K2042" s="249">
        <v>3371</v>
      </c>
      <c r="L2042" s="249">
        <v>3522.6950000000002</v>
      </c>
      <c r="M2042" s="249">
        <v>3684.7389700000003</v>
      </c>
      <c r="N2042" s="249">
        <v>3854.2369626200002</v>
      </c>
    </row>
    <row r="2043" spans="1:14" x14ac:dyDescent="0.25">
      <c r="A2043" t="s">
        <v>1009</v>
      </c>
      <c r="C2043" t="s">
        <v>293</v>
      </c>
      <c r="D2043" s="67">
        <v>20133</v>
      </c>
      <c r="E2043">
        <v>-290187</v>
      </c>
      <c r="F2043">
        <v>0</v>
      </c>
      <c r="G2043">
        <v>-524054</v>
      </c>
      <c r="H2043">
        <v>-642946</v>
      </c>
      <c r="I2043">
        <v>44.9</v>
      </c>
      <c r="J2043">
        <v>0</v>
      </c>
      <c r="K2043" s="249">
        <v>20133</v>
      </c>
      <c r="L2043" s="249">
        <v>21038.985000000001</v>
      </c>
      <c r="M2043" s="249">
        <v>22006.778310000002</v>
      </c>
      <c r="N2043" s="249">
        <v>23019.090112260001</v>
      </c>
    </row>
    <row r="2044" spans="1:14" x14ac:dyDescent="0.25">
      <c r="A2044" t="s">
        <v>1010</v>
      </c>
      <c r="C2044" t="s">
        <v>296</v>
      </c>
      <c r="D2044" s="67">
        <v>170617</v>
      </c>
      <c r="E2044">
        <v>-290187</v>
      </c>
      <c r="F2044">
        <v>0</v>
      </c>
      <c r="G2044">
        <v>-524054</v>
      </c>
      <c r="H2044">
        <v>-642946</v>
      </c>
      <c r="I2044">
        <v>44.9</v>
      </c>
      <c r="J2044">
        <v>0</v>
      </c>
      <c r="K2044" s="249">
        <v>170617</v>
      </c>
      <c r="L2044" s="249">
        <v>178294.76500000001</v>
      </c>
      <c r="M2044" s="249">
        <v>186496.32419000001</v>
      </c>
      <c r="N2044" s="249">
        <v>195075.15510274001</v>
      </c>
    </row>
    <row r="2045" spans="1:14" x14ac:dyDescent="0.25">
      <c r="A2045" t="s">
        <v>1011</v>
      </c>
      <c r="C2045" t="s">
        <v>297</v>
      </c>
      <c r="D2045" s="67">
        <v>871352</v>
      </c>
      <c r="E2045">
        <v>-290187</v>
      </c>
      <c r="F2045">
        <v>0</v>
      </c>
      <c r="G2045">
        <v>-524054</v>
      </c>
      <c r="H2045">
        <v>-642946</v>
      </c>
      <c r="I2045">
        <v>44.9</v>
      </c>
      <c r="J2045">
        <v>0</v>
      </c>
      <c r="K2045" s="249">
        <v>871352</v>
      </c>
      <c r="L2045" s="249">
        <v>910562.84</v>
      </c>
      <c r="M2045" s="249">
        <v>952448.73063999997</v>
      </c>
      <c r="N2045" s="249">
        <v>996261.37224943994</v>
      </c>
    </row>
    <row r="2046" spans="1:14" x14ac:dyDescent="0.25">
      <c r="A2046" t="s">
        <v>1012</v>
      </c>
      <c r="C2046" t="s">
        <v>298</v>
      </c>
      <c r="D2046" s="67">
        <v>0</v>
      </c>
      <c r="E2046">
        <v>-290187</v>
      </c>
      <c r="F2046">
        <v>0</v>
      </c>
      <c r="G2046">
        <v>-524054</v>
      </c>
      <c r="H2046">
        <v>-642946</v>
      </c>
      <c r="I2046">
        <v>44.9</v>
      </c>
      <c r="J2046">
        <v>0</v>
      </c>
      <c r="K2046" s="249">
        <v>0</v>
      </c>
      <c r="L2046" s="249">
        <v>0</v>
      </c>
      <c r="M2046" s="249">
        <v>0</v>
      </c>
      <c r="N2046" s="249">
        <v>0</v>
      </c>
    </row>
    <row r="2047" spans="1:14" x14ac:dyDescent="0.25">
      <c r="A2047" t="s">
        <v>1013</v>
      </c>
      <c r="C2047" t="s">
        <v>299</v>
      </c>
      <c r="D2047" s="67">
        <v>5688</v>
      </c>
      <c r="E2047">
        <v>-290187</v>
      </c>
      <c r="F2047">
        <v>0</v>
      </c>
      <c r="G2047">
        <v>-524054</v>
      </c>
      <c r="H2047">
        <v>-642946</v>
      </c>
      <c r="I2047">
        <v>44.9</v>
      </c>
      <c r="J2047">
        <v>0</v>
      </c>
      <c r="K2047" s="249">
        <v>5688</v>
      </c>
      <c r="L2047" s="249">
        <v>5943.96</v>
      </c>
      <c r="M2047" s="249">
        <v>6217.3821600000001</v>
      </c>
      <c r="N2047" s="249">
        <v>6503.3817393600002</v>
      </c>
    </row>
    <row r="2048" spans="1:14" x14ac:dyDescent="0.25">
      <c r="A2048" t="s">
        <v>1014</v>
      </c>
      <c r="C2048" t="s">
        <v>300</v>
      </c>
      <c r="D2048" s="67">
        <v>398294</v>
      </c>
      <c r="E2048">
        <v>-290187</v>
      </c>
      <c r="F2048">
        <v>0</v>
      </c>
      <c r="G2048">
        <v>-524054</v>
      </c>
      <c r="H2048">
        <v>-642946</v>
      </c>
      <c r="I2048">
        <v>44.9</v>
      </c>
      <c r="J2048">
        <v>0</v>
      </c>
      <c r="K2048" s="249">
        <v>398294</v>
      </c>
      <c r="L2048" s="249">
        <v>416217.23</v>
      </c>
      <c r="M2048" s="249">
        <v>435363.22258</v>
      </c>
      <c r="N2048" s="249">
        <v>455389.93081867998</v>
      </c>
    </row>
    <row r="2049" spans="1:14" x14ac:dyDescent="0.25">
      <c r="A2049" t="s">
        <v>1015</v>
      </c>
      <c r="C2049" t="s">
        <v>303</v>
      </c>
      <c r="D2049" s="67">
        <v>412489</v>
      </c>
      <c r="E2049">
        <v>-290187</v>
      </c>
      <c r="F2049">
        <v>0</v>
      </c>
      <c r="G2049">
        <v>-524054</v>
      </c>
      <c r="H2049">
        <v>-642946</v>
      </c>
      <c r="I2049">
        <v>44.9</v>
      </c>
      <c r="J2049">
        <v>0</v>
      </c>
      <c r="K2049" s="249">
        <v>412489</v>
      </c>
      <c r="L2049" s="249">
        <v>431051.005</v>
      </c>
      <c r="M2049" s="249">
        <v>450879.35123000003</v>
      </c>
      <c r="N2049" s="249">
        <v>471619.80138658005</v>
      </c>
    </row>
    <row r="2051" spans="1:14" x14ac:dyDescent="0.25">
      <c r="C2051" t="s">
        <v>304</v>
      </c>
      <c r="D2051" s="67">
        <v>1881944</v>
      </c>
      <c r="E2051">
        <v>-2321496</v>
      </c>
      <c r="F2051">
        <v>0</v>
      </c>
      <c r="G2051">
        <v>-4192432</v>
      </c>
      <c r="H2051">
        <v>-5143568</v>
      </c>
      <c r="I2051">
        <v>33.57</v>
      </c>
      <c r="J2051">
        <v>0</v>
      </c>
      <c r="K2051" s="249">
        <v>1881944</v>
      </c>
      <c r="L2051" s="249">
        <v>1966631.48</v>
      </c>
      <c r="M2051" s="249">
        <v>2057096.5280800001</v>
      </c>
      <c r="N2051" s="249">
        <v>2151722.96837168</v>
      </c>
    </row>
    <row r="2053" spans="1:14" x14ac:dyDescent="0.25">
      <c r="C2053" t="s">
        <v>305</v>
      </c>
      <c r="D2053" s="67">
        <v>4737531</v>
      </c>
      <c r="E2053">
        <v>-11317293</v>
      </c>
      <c r="F2053">
        <v>0</v>
      </c>
      <c r="G2053">
        <v>-20438106</v>
      </c>
      <c r="H2053">
        <v>-25074894</v>
      </c>
      <c r="I2053">
        <v>121.50999999999999</v>
      </c>
      <c r="J2053">
        <v>-389933.91000000015</v>
      </c>
      <c r="K2053" s="249">
        <v>4347597.09</v>
      </c>
      <c r="L2053" s="249">
        <v>4566832.7781249993</v>
      </c>
      <c r="M2053" s="249">
        <v>4811325.7937137503</v>
      </c>
      <c r="N2053" s="249">
        <v>5069481.2375652324</v>
      </c>
    </row>
    <row r="2055" spans="1:14" x14ac:dyDescent="0.25">
      <c r="C2055" t="s">
        <v>306</v>
      </c>
      <c r="D2055" s="67">
        <v>3570531</v>
      </c>
      <c r="E2055">
        <v>-11607480</v>
      </c>
      <c r="F2055">
        <v>0</v>
      </c>
      <c r="G2055">
        <v>-20962160</v>
      </c>
      <c r="H2055">
        <v>-25717840</v>
      </c>
      <c r="I2055">
        <v>24.77</v>
      </c>
      <c r="J2055">
        <v>-389933.91000000015</v>
      </c>
      <c r="K2055" s="249">
        <v>3180597.09</v>
      </c>
      <c r="L2055" s="249">
        <v>3262832.7781249993</v>
      </c>
      <c r="M2055" s="249">
        <v>4811325.7937137503</v>
      </c>
      <c r="N2055" s="249">
        <v>5069481.2375652324</v>
      </c>
    </row>
    <row r="2057" spans="1:14" x14ac:dyDescent="0.25">
      <c r="C2057" t="s">
        <v>1016</v>
      </c>
      <c r="J2057">
        <v>0</v>
      </c>
    </row>
    <row r="2058" spans="1:14" x14ac:dyDescent="0.25">
      <c r="C2058" t="s">
        <v>96</v>
      </c>
      <c r="J2058">
        <v>0</v>
      </c>
    </row>
    <row r="2059" spans="1:14" x14ac:dyDescent="0.25">
      <c r="C2059" t="s">
        <v>97</v>
      </c>
      <c r="J2059">
        <v>0</v>
      </c>
    </row>
    <row r="2060" spans="1:14" x14ac:dyDescent="0.25">
      <c r="C2060" t="s">
        <v>148</v>
      </c>
      <c r="J2060">
        <v>0</v>
      </c>
    </row>
    <row r="2061" spans="1:14" x14ac:dyDescent="0.25">
      <c r="C2061" t="s">
        <v>149</v>
      </c>
      <c r="J2061">
        <v>0</v>
      </c>
    </row>
    <row r="2063" spans="1:14" x14ac:dyDescent="0.25">
      <c r="A2063" t="s">
        <v>1017</v>
      </c>
      <c r="C2063" t="s">
        <v>150</v>
      </c>
      <c r="D2063" s="67">
        <v>686133</v>
      </c>
      <c r="E2063">
        <v>-290187</v>
      </c>
      <c r="F2063">
        <v>0</v>
      </c>
      <c r="G2063">
        <v>-524054</v>
      </c>
      <c r="H2063">
        <v>-642946</v>
      </c>
      <c r="I2063">
        <v>44.9</v>
      </c>
      <c r="J2063">
        <v>0</v>
      </c>
      <c r="K2063" s="249">
        <v>686133</v>
      </c>
      <c r="L2063" s="249">
        <v>729016.3125</v>
      </c>
      <c r="M2063" s="249">
        <v>780047.45437499997</v>
      </c>
      <c r="N2063" s="249">
        <v>834650.77618125</v>
      </c>
    </row>
    <row r="2064" spans="1:14" x14ac:dyDescent="0.25">
      <c r="A2064" t="s">
        <v>1018</v>
      </c>
      <c r="C2064" t="s">
        <v>151</v>
      </c>
      <c r="D2064" s="67">
        <v>33502</v>
      </c>
      <c r="E2064">
        <v>-290187</v>
      </c>
      <c r="F2064">
        <v>0</v>
      </c>
      <c r="G2064">
        <v>-524054</v>
      </c>
      <c r="H2064">
        <v>-642946</v>
      </c>
      <c r="I2064">
        <v>44.9</v>
      </c>
      <c r="J2064">
        <v>-25034.91</v>
      </c>
      <c r="K2064" s="249">
        <v>8467.09</v>
      </c>
      <c r="L2064" s="249">
        <v>8996.2831249999999</v>
      </c>
      <c r="M2064" s="249">
        <v>9626.0229437500002</v>
      </c>
      <c r="N2064" s="249">
        <v>10299.8445498125</v>
      </c>
    </row>
    <row r="2065" spans="1:14" x14ac:dyDescent="0.25">
      <c r="A2065" t="s">
        <v>1019</v>
      </c>
      <c r="C2065" t="s">
        <v>152</v>
      </c>
      <c r="D2065" s="67">
        <v>14100</v>
      </c>
      <c r="E2065">
        <v>-290187</v>
      </c>
      <c r="F2065">
        <v>0</v>
      </c>
      <c r="G2065">
        <v>-524054</v>
      </c>
      <c r="H2065">
        <v>-642946</v>
      </c>
      <c r="I2065">
        <v>44.9</v>
      </c>
      <c r="J2065">
        <v>0</v>
      </c>
      <c r="K2065" s="249">
        <v>14100</v>
      </c>
      <c r="L2065" s="249">
        <v>14981.25</v>
      </c>
      <c r="M2065" s="249">
        <v>16029.9375</v>
      </c>
      <c r="N2065" s="249">
        <v>17152.033125000002</v>
      </c>
    </row>
    <row r="2066" spans="1:14" x14ac:dyDescent="0.25">
      <c r="A2066" t="s">
        <v>1020</v>
      </c>
      <c r="C2066" t="s">
        <v>155</v>
      </c>
      <c r="D2066" s="67">
        <v>23791</v>
      </c>
      <c r="E2066">
        <v>-290187</v>
      </c>
      <c r="F2066">
        <v>0</v>
      </c>
      <c r="G2066">
        <v>-524054</v>
      </c>
      <c r="H2066">
        <v>-642946</v>
      </c>
      <c r="I2066">
        <v>44.9</v>
      </c>
      <c r="J2066">
        <v>0</v>
      </c>
      <c r="K2066" s="249">
        <v>23791</v>
      </c>
      <c r="L2066" s="249">
        <v>25277.9375</v>
      </c>
      <c r="M2066" s="249">
        <v>27047.393124999999</v>
      </c>
      <c r="N2066" s="249">
        <v>28940.710643749997</v>
      </c>
    </row>
    <row r="2067" spans="1:14" x14ac:dyDescent="0.25">
      <c r="A2067" t="s">
        <v>1021</v>
      </c>
      <c r="C2067" t="s">
        <v>156</v>
      </c>
      <c r="D2067" s="67">
        <v>97889</v>
      </c>
      <c r="E2067">
        <v>-290187</v>
      </c>
      <c r="F2067">
        <v>0</v>
      </c>
      <c r="G2067">
        <v>-524054</v>
      </c>
      <c r="H2067">
        <v>-642946</v>
      </c>
      <c r="I2067">
        <v>44.9</v>
      </c>
      <c r="J2067">
        <v>-97889</v>
      </c>
      <c r="K2067" s="249">
        <v>0</v>
      </c>
      <c r="L2067" s="249">
        <v>0</v>
      </c>
      <c r="M2067" s="249">
        <v>0</v>
      </c>
      <c r="N2067" s="249">
        <v>0</v>
      </c>
    </row>
    <row r="2068" spans="1:14" x14ac:dyDescent="0.25">
      <c r="A2068" t="s">
        <v>1022</v>
      </c>
      <c r="C2068" t="s">
        <v>159</v>
      </c>
      <c r="D2068" s="67">
        <v>57178</v>
      </c>
      <c r="E2068">
        <v>-290187</v>
      </c>
      <c r="F2068">
        <v>0</v>
      </c>
      <c r="G2068">
        <v>-524054</v>
      </c>
      <c r="H2068">
        <v>-642946</v>
      </c>
      <c r="I2068">
        <v>44.9</v>
      </c>
      <c r="J2068">
        <v>0</v>
      </c>
      <c r="K2068" s="249">
        <v>57178</v>
      </c>
      <c r="L2068" s="249">
        <v>60751.625</v>
      </c>
      <c r="M2068" s="249">
        <v>65004.238750000004</v>
      </c>
      <c r="N2068" s="249">
        <v>69554.535462500004</v>
      </c>
    </row>
    <row r="2069" spans="1:14" x14ac:dyDescent="0.25">
      <c r="A2069" t="s">
        <v>1023</v>
      </c>
      <c r="C2069" t="s">
        <v>161</v>
      </c>
      <c r="D2069" s="67">
        <v>57035</v>
      </c>
      <c r="E2069">
        <v>-290187</v>
      </c>
      <c r="F2069">
        <v>0</v>
      </c>
      <c r="G2069">
        <v>-524054</v>
      </c>
      <c r="H2069">
        <v>-642946</v>
      </c>
      <c r="I2069">
        <v>44.9</v>
      </c>
      <c r="J2069">
        <v>0</v>
      </c>
      <c r="K2069" s="249">
        <v>57035</v>
      </c>
      <c r="L2069" s="249">
        <v>60599.6875</v>
      </c>
      <c r="M2069" s="249">
        <v>64841.665625000001</v>
      </c>
      <c r="N2069" s="249">
        <v>69380.582218750002</v>
      </c>
    </row>
    <row r="2071" spans="1:14" x14ac:dyDescent="0.25">
      <c r="C2071" t="s">
        <v>165</v>
      </c>
      <c r="D2071" s="67">
        <v>969628</v>
      </c>
      <c r="E2071">
        <v>-2031309</v>
      </c>
      <c r="F2071">
        <v>0</v>
      </c>
      <c r="G2071">
        <v>-3668378</v>
      </c>
      <c r="H2071">
        <v>-4500622</v>
      </c>
      <c r="I2071">
        <v>17.05</v>
      </c>
      <c r="J2071">
        <v>-122923.91000000003</v>
      </c>
      <c r="K2071" s="249">
        <v>846704.09</v>
      </c>
      <c r="L2071" s="249">
        <v>899623.09562499996</v>
      </c>
      <c r="M2071" s="249">
        <v>962596.71231874998</v>
      </c>
      <c r="N2071" s="249">
        <v>1029978.4821810626</v>
      </c>
    </row>
    <row r="2073" spans="1:14" x14ac:dyDescent="0.25">
      <c r="C2073" t="s">
        <v>166</v>
      </c>
      <c r="J2073">
        <v>0</v>
      </c>
    </row>
    <row r="2075" spans="1:14" x14ac:dyDescent="0.25">
      <c r="A2075" t="s">
        <v>1024</v>
      </c>
      <c r="C2075" t="s">
        <v>167</v>
      </c>
      <c r="D2075" s="67">
        <v>225</v>
      </c>
      <c r="E2075">
        <v>-290187</v>
      </c>
      <c r="F2075">
        <v>0</v>
      </c>
      <c r="G2075">
        <v>-524054</v>
      </c>
      <c r="H2075">
        <v>-642946</v>
      </c>
      <c r="I2075">
        <v>44.9</v>
      </c>
      <c r="J2075">
        <v>0</v>
      </c>
      <c r="K2075" s="249">
        <v>225</v>
      </c>
      <c r="L2075" s="249">
        <v>239.0625</v>
      </c>
      <c r="M2075" s="249">
        <v>255.796875</v>
      </c>
      <c r="N2075" s="249">
        <v>273.70265625000002</v>
      </c>
    </row>
    <row r="2076" spans="1:14" x14ac:dyDescent="0.25">
      <c r="A2076" t="s">
        <v>1025</v>
      </c>
      <c r="C2076" t="s">
        <v>168</v>
      </c>
      <c r="D2076" s="67">
        <v>107816</v>
      </c>
      <c r="E2076">
        <v>-290187</v>
      </c>
      <c r="F2076">
        <v>0</v>
      </c>
      <c r="G2076">
        <v>-524054</v>
      </c>
      <c r="H2076">
        <v>-642946</v>
      </c>
      <c r="I2076">
        <v>44.9</v>
      </c>
      <c r="J2076">
        <v>-80000</v>
      </c>
      <c r="K2076" s="249">
        <v>27816</v>
      </c>
      <c r="L2076" s="249">
        <v>29554.5</v>
      </c>
      <c r="M2076" s="249">
        <v>31623.314999999999</v>
      </c>
      <c r="N2076" s="249">
        <v>33836.947049999995</v>
      </c>
    </row>
    <row r="2077" spans="1:14" x14ac:dyDescent="0.25">
      <c r="A2077" t="s">
        <v>1026</v>
      </c>
      <c r="C2077" t="s">
        <v>169</v>
      </c>
      <c r="D2077" s="67">
        <v>150949</v>
      </c>
      <c r="E2077">
        <v>-290187</v>
      </c>
      <c r="F2077">
        <v>0</v>
      </c>
      <c r="G2077">
        <v>-524054</v>
      </c>
      <c r="H2077">
        <v>-642946</v>
      </c>
      <c r="I2077">
        <v>44.9</v>
      </c>
      <c r="J2077">
        <v>0</v>
      </c>
      <c r="K2077" s="249">
        <v>150949</v>
      </c>
      <c r="L2077" s="249">
        <v>160383.3125</v>
      </c>
      <c r="M2077" s="249">
        <v>171610.144375</v>
      </c>
      <c r="N2077" s="249">
        <v>183622.85448124999</v>
      </c>
    </row>
    <row r="2078" spans="1:14" x14ac:dyDescent="0.25">
      <c r="A2078" t="s">
        <v>1027</v>
      </c>
      <c r="C2078" t="s">
        <v>170</v>
      </c>
      <c r="D2078" s="67">
        <v>3570</v>
      </c>
      <c r="E2078">
        <v>-290187</v>
      </c>
      <c r="F2078">
        <v>0</v>
      </c>
      <c r="G2078">
        <v>-524054</v>
      </c>
      <c r="H2078">
        <v>-642946</v>
      </c>
      <c r="I2078">
        <v>44.9</v>
      </c>
      <c r="J2078">
        <v>0</v>
      </c>
      <c r="K2078" s="249">
        <v>3570</v>
      </c>
      <c r="L2078" s="249">
        <v>3793.125</v>
      </c>
      <c r="M2078" s="249">
        <v>4058.6437500000002</v>
      </c>
      <c r="N2078" s="249">
        <v>4342.7488125</v>
      </c>
    </row>
    <row r="2080" spans="1:14" x14ac:dyDescent="0.25">
      <c r="C2080" t="s">
        <v>171</v>
      </c>
      <c r="D2080" s="67">
        <v>262560</v>
      </c>
      <c r="E2080">
        <v>-1160748</v>
      </c>
      <c r="F2080">
        <v>0</v>
      </c>
      <c r="G2080">
        <v>-2096216</v>
      </c>
      <c r="H2080">
        <v>-2571784</v>
      </c>
      <c r="I2080">
        <v>17.82</v>
      </c>
      <c r="J2080">
        <v>-80000</v>
      </c>
      <c r="K2080" s="249">
        <v>182560</v>
      </c>
      <c r="L2080" s="249">
        <v>193970</v>
      </c>
      <c r="M2080" s="249">
        <v>207547.9</v>
      </c>
      <c r="N2080" s="249">
        <v>222076.253</v>
      </c>
    </row>
    <row r="2082" spans="1:14" x14ac:dyDescent="0.25">
      <c r="C2082" t="s">
        <v>172</v>
      </c>
      <c r="J2082">
        <v>0</v>
      </c>
    </row>
    <row r="2084" spans="1:14" x14ac:dyDescent="0.25">
      <c r="A2084" t="s">
        <v>1028</v>
      </c>
      <c r="C2084" t="s">
        <v>173</v>
      </c>
      <c r="D2084" s="67">
        <v>19440</v>
      </c>
      <c r="E2084">
        <v>-290187</v>
      </c>
      <c r="F2084">
        <v>0</v>
      </c>
      <c r="G2084">
        <v>-524054</v>
      </c>
      <c r="H2084">
        <v>-642946</v>
      </c>
      <c r="I2084">
        <v>44.9</v>
      </c>
      <c r="J2084">
        <v>0</v>
      </c>
      <c r="K2084" s="249">
        <v>19440</v>
      </c>
      <c r="L2084" s="249">
        <v>20655</v>
      </c>
      <c r="M2084" s="249">
        <v>22100.85</v>
      </c>
      <c r="N2084" s="249">
        <v>23647.909499999998</v>
      </c>
    </row>
    <row r="2085" spans="1:14" x14ac:dyDescent="0.25">
      <c r="A2085" t="s">
        <v>1029</v>
      </c>
      <c r="C2085" t="s">
        <v>174</v>
      </c>
      <c r="D2085" s="67">
        <v>30812</v>
      </c>
      <c r="E2085">
        <v>-290187</v>
      </c>
      <c r="F2085">
        <v>0</v>
      </c>
      <c r="G2085">
        <v>-524054</v>
      </c>
      <c r="H2085">
        <v>-642946</v>
      </c>
      <c r="I2085">
        <v>44.9</v>
      </c>
      <c r="J2085">
        <v>0</v>
      </c>
      <c r="K2085" s="249">
        <v>30812</v>
      </c>
      <c r="L2085" s="249">
        <v>32737.75</v>
      </c>
      <c r="M2085" s="249">
        <v>35029.392500000002</v>
      </c>
      <c r="N2085" s="249">
        <v>37481.449975000003</v>
      </c>
    </row>
    <row r="2086" spans="1:14" x14ac:dyDescent="0.25">
      <c r="A2086" t="s">
        <v>1030</v>
      </c>
      <c r="C2086" t="s">
        <v>175</v>
      </c>
      <c r="D2086" s="67">
        <v>8784</v>
      </c>
      <c r="E2086">
        <v>-290187</v>
      </c>
      <c r="F2086">
        <v>0</v>
      </c>
      <c r="G2086">
        <v>-524054</v>
      </c>
      <c r="H2086">
        <v>-642946</v>
      </c>
      <c r="I2086">
        <v>44.9</v>
      </c>
      <c r="J2086">
        <v>0</v>
      </c>
      <c r="K2086" s="249">
        <v>8784</v>
      </c>
      <c r="L2086" s="249">
        <v>9333</v>
      </c>
      <c r="M2086" s="249">
        <v>9986.31</v>
      </c>
      <c r="N2086" s="249">
        <v>10685.351699999999</v>
      </c>
    </row>
    <row r="2088" spans="1:14" x14ac:dyDescent="0.25">
      <c r="C2088" t="s">
        <v>176</v>
      </c>
      <c r="D2088" s="67">
        <v>59036</v>
      </c>
      <c r="E2088">
        <v>-870561</v>
      </c>
      <c r="F2088">
        <v>0</v>
      </c>
      <c r="G2088">
        <v>-1572162</v>
      </c>
      <c r="H2088">
        <v>-1928838</v>
      </c>
      <c r="I2088">
        <v>0</v>
      </c>
      <c r="J2088">
        <v>0</v>
      </c>
      <c r="K2088" s="249">
        <v>59036</v>
      </c>
      <c r="L2088" s="249">
        <v>62725.75</v>
      </c>
      <c r="M2088" s="249">
        <v>67116.552500000005</v>
      </c>
      <c r="N2088" s="249">
        <v>71814.711175000004</v>
      </c>
    </row>
    <row r="2090" spans="1:14" x14ac:dyDescent="0.25">
      <c r="C2090" t="s">
        <v>177</v>
      </c>
      <c r="D2090" s="67">
        <v>1291224</v>
      </c>
      <c r="E2090">
        <v>-4062618</v>
      </c>
      <c r="F2090">
        <v>0</v>
      </c>
      <c r="G2090">
        <v>-7336756</v>
      </c>
      <c r="H2090">
        <v>-9001244</v>
      </c>
      <c r="I2090">
        <v>16.420000000000002</v>
      </c>
      <c r="J2090">
        <v>-202923.91000000015</v>
      </c>
      <c r="K2090" s="249">
        <v>1088300.0899999999</v>
      </c>
      <c r="L2090" s="249">
        <v>1156318.8456250001</v>
      </c>
      <c r="M2090" s="249">
        <v>1237261.16481875</v>
      </c>
      <c r="N2090" s="249">
        <v>1323869.4463560625</v>
      </c>
    </row>
    <row r="2092" spans="1:14" x14ac:dyDescent="0.25">
      <c r="C2092" t="s">
        <v>178</v>
      </c>
      <c r="D2092" s="67">
        <v>1291224</v>
      </c>
      <c r="E2092">
        <v>-4062618</v>
      </c>
      <c r="F2092">
        <v>0</v>
      </c>
      <c r="G2092">
        <v>-7336756</v>
      </c>
      <c r="H2092">
        <v>-9001244</v>
      </c>
      <c r="I2092">
        <v>16.420000000000002</v>
      </c>
      <c r="J2092">
        <v>-202923.91000000015</v>
      </c>
      <c r="K2092" s="249">
        <v>1088300.0899999999</v>
      </c>
      <c r="L2092" s="249">
        <v>1156318.8456250001</v>
      </c>
      <c r="M2092" s="249">
        <v>1237261.16481875</v>
      </c>
      <c r="N2092" s="249">
        <v>1323869.4463560625</v>
      </c>
    </row>
    <row r="2094" spans="1:14" x14ac:dyDescent="0.25">
      <c r="C2094" t="s">
        <v>241</v>
      </c>
      <c r="J2094">
        <v>0</v>
      </c>
    </row>
    <row r="2096" spans="1:14" x14ac:dyDescent="0.25">
      <c r="A2096" t="s">
        <v>1031</v>
      </c>
      <c r="C2096" t="s">
        <v>265</v>
      </c>
      <c r="D2096" s="67">
        <v>0</v>
      </c>
      <c r="E2096">
        <v>-290187</v>
      </c>
      <c r="F2096">
        <v>0</v>
      </c>
      <c r="G2096">
        <v>-524054</v>
      </c>
      <c r="H2096">
        <v>-642946</v>
      </c>
      <c r="I2096">
        <v>44.9</v>
      </c>
      <c r="J2096">
        <v>4000</v>
      </c>
      <c r="K2096" s="249">
        <v>4000</v>
      </c>
      <c r="L2096" s="249">
        <v>4180</v>
      </c>
      <c r="M2096" s="249">
        <v>4372.28</v>
      </c>
      <c r="N2096" s="249">
        <v>4573.40488</v>
      </c>
    </row>
    <row r="2098" spans="1:14" x14ac:dyDescent="0.25">
      <c r="C2098" t="s">
        <v>274</v>
      </c>
      <c r="D2098" s="67">
        <v>0</v>
      </c>
      <c r="E2098">
        <v>-290187</v>
      </c>
      <c r="F2098">
        <v>0</v>
      </c>
      <c r="G2098">
        <v>-524054</v>
      </c>
      <c r="H2098">
        <v>-642946</v>
      </c>
      <c r="I2098">
        <v>0</v>
      </c>
      <c r="J2098">
        <v>4000</v>
      </c>
      <c r="K2098" s="249">
        <v>4000</v>
      </c>
      <c r="L2098" s="249">
        <v>4180</v>
      </c>
      <c r="M2098" s="249">
        <v>4372.28</v>
      </c>
      <c r="N2098" s="249">
        <v>4573.40488</v>
      </c>
    </row>
    <row r="2100" spans="1:14" x14ac:dyDescent="0.25">
      <c r="C2100" t="s">
        <v>290</v>
      </c>
      <c r="J2100">
        <v>0</v>
      </c>
    </row>
    <row r="2102" spans="1:14" x14ac:dyDescent="0.25">
      <c r="A2102" t="s">
        <v>1032</v>
      </c>
      <c r="C2102" t="s">
        <v>292</v>
      </c>
      <c r="D2102" s="67">
        <v>3371</v>
      </c>
      <c r="E2102">
        <v>-290187</v>
      </c>
      <c r="F2102">
        <v>0</v>
      </c>
      <c r="G2102">
        <v>-524054</v>
      </c>
      <c r="H2102">
        <v>-642946</v>
      </c>
      <c r="I2102">
        <v>44.9</v>
      </c>
      <c r="J2102">
        <v>0</v>
      </c>
      <c r="K2102" s="249">
        <v>3371</v>
      </c>
      <c r="L2102" s="249">
        <v>3522.6950000000002</v>
      </c>
      <c r="M2102" s="249">
        <v>3684.7389700000003</v>
      </c>
      <c r="N2102" s="249">
        <v>3854.2369626200002</v>
      </c>
    </row>
    <row r="2103" spans="1:14" x14ac:dyDescent="0.25">
      <c r="A2103" t="s">
        <v>1033</v>
      </c>
      <c r="C2103" t="s">
        <v>293</v>
      </c>
      <c r="D2103" s="67">
        <v>6582</v>
      </c>
      <c r="E2103">
        <v>-290187</v>
      </c>
      <c r="F2103">
        <v>0</v>
      </c>
      <c r="G2103">
        <v>-524054</v>
      </c>
      <c r="H2103">
        <v>-642946</v>
      </c>
      <c r="I2103">
        <v>44.9</v>
      </c>
      <c r="J2103">
        <v>0</v>
      </c>
      <c r="K2103" s="249">
        <v>6582</v>
      </c>
      <c r="L2103" s="249">
        <v>6878.19</v>
      </c>
      <c r="M2103" s="249">
        <v>7194.5867399999997</v>
      </c>
      <c r="N2103" s="249">
        <v>7525.5377300399996</v>
      </c>
    </row>
    <row r="2105" spans="1:14" x14ac:dyDescent="0.25">
      <c r="C2105" t="s">
        <v>304</v>
      </c>
      <c r="D2105" s="67">
        <v>9953</v>
      </c>
      <c r="E2105">
        <v>-580374</v>
      </c>
      <c r="F2105">
        <v>0</v>
      </c>
      <c r="G2105">
        <v>-1048108</v>
      </c>
      <c r="H2105">
        <v>-1285892</v>
      </c>
      <c r="I2105">
        <v>28.6</v>
      </c>
      <c r="J2105">
        <v>0</v>
      </c>
      <c r="K2105" s="249">
        <v>9953</v>
      </c>
      <c r="L2105" s="249">
        <v>10400.885</v>
      </c>
      <c r="M2105" s="249">
        <v>10879.325710000001</v>
      </c>
      <c r="N2105" s="249">
        <v>11379.774692659999</v>
      </c>
    </row>
    <row r="2107" spans="1:14" x14ac:dyDescent="0.25">
      <c r="C2107" t="s">
        <v>305</v>
      </c>
      <c r="D2107" s="67">
        <v>1301177</v>
      </c>
      <c r="E2107">
        <v>-4933179</v>
      </c>
      <c r="F2107">
        <v>0</v>
      </c>
      <c r="G2107">
        <v>-8908918</v>
      </c>
      <c r="H2107">
        <v>-10930082</v>
      </c>
      <c r="I2107">
        <v>16.64</v>
      </c>
      <c r="J2107">
        <v>-198923.91000000015</v>
      </c>
      <c r="K2107" s="249">
        <v>1102253.0899999999</v>
      </c>
      <c r="L2107" s="249">
        <v>1170899.7306250001</v>
      </c>
      <c r="M2107" s="249">
        <v>1252512.77052875</v>
      </c>
      <c r="N2107" s="249">
        <v>1339822.6259287226</v>
      </c>
    </row>
    <row r="2109" spans="1:14" x14ac:dyDescent="0.25">
      <c r="C2109" t="s">
        <v>306</v>
      </c>
      <c r="D2109" s="67">
        <v>1301177</v>
      </c>
      <c r="E2109">
        <v>-4933179</v>
      </c>
      <c r="F2109">
        <v>0</v>
      </c>
      <c r="G2109">
        <v>-8908918</v>
      </c>
      <c r="H2109">
        <v>-10930082</v>
      </c>
      <c r="I2109">
        <v>16.64</v>
      </c>
      <c r="J2109">
        <v>-198923.91000000015</v>
      </c>
      <c r="K2109" s="249">
        <v>1102253.0899999999</v>
      </c>
      <c r="L2109" s="249">
        <v>1170899.7306250001</v>
      </c>
      <c r="M2109" s="249">
        <v>1252512.77052875</v>
      </c>
      <c r="N2109" s="249">
        <v>1339822.6259287226</v>
      </c>
    </row>
    <row r="2111" spans="1:14" x14ac:dyDescent="0.25">
      <c r="C2111" t="s">
        <v>1034</v>
      </c>
      <c r="J2111">
        <v>0</v>
      </c>
    </row>
    <row r="2112" spans="1:14" x14ac:dyDescent="0.25">
      <c r="C2112" t="s">
        <v>9</v>
      </c>
      <c r="J2112">
        <v>0</v>
      </c>
    </row>
    <row r="2113" spans="1:14" x14ac:dyDescent="0.25">
      <c r="C2113" t="s">
        <v>10</v>
      </c>
      <c r="J2113">
        <v>0</v>
      </c>
    </row>
    <row r="2114" spans="1:14" x14ac:dyDescent="0.25">
      <c r="C2114" t="s">
        <v>22</v>
      </c>
      <c r="J2114">
        <v>0</v>
      </c>
    </row>
    <row r="2116" spans="1:14" x14ac:dyDescent="0.25">
      <c r="A2116" t="s">
        <v>1035</v>
      </c>
      <c r="C2116" t="s">
        <v>25</v>
      </c>
      <c r="D2116" s="67">
        <v>-827</v>
      </c>
      <c r="E2116">
        <v>-290187</v>
      </c>
      <c r="F2116">
        <v>0</v>
      </c>
      <c r="G2116">
        <v>-524054</v>
      </c>
      <c r="H2116">
        <v>-642946</v>
      </c>
      <c r="I2116">
        <v>44.9</v>
      </c>
      <c r="J2116">
        <v>0</v>
      </c>
      <c r="K2116" s="249">
        <v>-827</v>
      </c>
      <c r="L2116" s="249">
        <v>-864.21500000000003</v>
      </c>
      <c r="M2116" s="249">
        <v>-905.69731999999999</v>
      </c>
      <c r="N2116" s="249">
        <v>-947.35939671999995</v>
      </c>
    </row>
    <row r="2118" spans="1:14" x14ac:dyDescent="0.25">
      <c r="C2118" t="s">
        <v>28</v>
      </c>
      <c r="D2118" s="67">
        <v>-827</v>
      </c>
      <c r="E2118">
        <v>0</v>
      </c>
      <c r="F2118">
        <v>0</v>
      </c>
      <c r="G2118">
        <v>-72.17</v>
      </c>
      <c r="H2118">
        <v>-754.83</v>
      </c>
      <c r="I2118">
        <v>8.7200000000000006</v>
      </c>
      <c r="J2118">
        <v>0</v>
      </c>
      <c r="K2118" s="249">
        <v>-827</v>
      </c>
      <c r="L2118" s="249">
        <v>-864.21500000000003</v>
      </c>
      <c r="M2118" s="249">
        <v>-905.69731999999999</v>
      </c>
      <c r="N2118" s="249">
        <v>-947.35939671999995</v>
      </c>
    </row>
    <row r="2120" spans="1:14" x14ac:dyDescent="0.25">
      <c r="C2120" t="s">
        <v>40</v>
      </c>
      <c r="D2120" s="67">
        <v>-827</v>
      </c>
      <c r="E2120">
        <v>0</v>
      </c>
      <c r="F2120">
        <v>0</v>
      </c>
      <c r="G2120">
        <v>-72.17</v>
      </c>
      <c r="H2120">
        <v>-754.83</v>
      </c>
      <c r="I2120">
        <v>8.7200000000000006</v>
      </c>
      <c r="J2120">
        <v>0</v>
      </c>
      <c r="K2120" s="249">
        <v>-827</v>
      </c>
      <c r="L2120" s="249">
        <v>-864.21500000000003</v>
      </c>
      <c r="M2120" s="249">
        <v>-905.69731999999999</v>
      </c>
      <c r="N2120" s="249">
        <v>-947.35939671999995</v>
      </c>
    </row>
    <row r="2122" spans="1:14" x14ac:dyDescent="0.25">
      <c r="C2122" t="s">
        <v>41</v>
      </c>
      <c r="J2122">
        <v>0</v>
      </c>
    </row>
    <row r="2123" spans="1:14" x14ac:dyDescent="0.25">
      <c r="C2123" t="s">
        <v>42</v>
      </c>
      <c r="J2123">
        <v>0</v>
      </c>
    </row>
    <row r="2124" spans="1:14" x14ac:dyDescent="0.25">
      <c r="C2124" t="s">
        <v>70</v>
      </c>
      <c r="J2124">
        <v>0</v>
      </c>
    </row>
    <row r="2126" spans="1:14" x14ac:dyDescent="0.25">
      <c r="A2126" t="s">
        <v>1036</v>
      </c>
      <c r="C2126" t="s">
        <v>71</v>
      </c>
      <c r="D2126" s="67">
        <v>-310</v>
      </c>
      <c r="E2126">
        <v>-290187</v>
      </c>
      <c r="F2126">
        <v>0</v>
      </c>
      <c r="G2126">
        <v>-524054</v>
      </c>
      <c r="H2126">
        <v>-642946</v>
      </c>
      <c r="I2126">
        <v>44.9</v>
      </c>
      <c r="J2126">
        <v>0</v>
      </c>
      <c r="K2126" s="249">
        <v>-310</v>
      </c>
      <c r="L2126" s="249">
        <v>-323.95</v>
      </c>
      <c r="M2126" s="249">
        <v>-338.85169999999999</v>
      </c>
      <c r="N2126" s="249">
        <v>-354.43887819999998</v>
      </c>
    </row>
    <row r="2128" spans="1:14" x14ac:dyDescent="0.25">
      <c r="C2128" t="s">
        <v>77</v>
      </c>
      <c r="D2128" s="67">
        <v>-310</v>
      </c>
      <c r="E2128">
        <v>0</v>
      </c>
      <c r="F2128">
        <v>0</v>
      </c>
      <c r="G2128">
        <v>0</v>
      </c>
      <c r="H2128">
        <v>-310</v>
      </c>
      <c r="I2128">
        <v>0</v>
      </c>
      <c r="J2128">
        <v>0</v>
      </c>
      <c r="K2128" s="249">
        <v>-310</v>
      </c>
      <c r="L2128" s="249">
        <v>-323.95</v>
      </c>
      <c r="M2128" s="249">
        <v>-338.85169999999999</v>
      </c>
      <c r="N2128" s="249">
        <v>-354.43887819999998</v>
      </c>
    </row>
    <row r="2130" spans="1:14" x14ac:dyDescent="0.25">
      <c r="C2130" t="s">
        <v>78</v>
      </c>
      <c r="J2130">
        <v>276424</v>
      </c>
      <c r="K2130" s="249">
        <v>0</v>
      </c>
    </row>
    <row r="2132" spans="1:14" x14ac:dyDescent="0.25">
      <c r="A2132" t="s">
        <v>1037</v>
      </c>
      <c r="C2132" t="s">
        <v>79</v>
      </c>
      <c r="D2132" s="67">
        <v>-283935</v>
      </c>
      <c r="E2132">
        <v>-290187</v>
      </c>
      <c r="F2132">
        <v>0</v>
      </c>
      <c r="G2132">
        <v>-524054</v>
      </c>
      <c r="H2132">
        <v>-642946</v>
      </c>
      <c r="I2132">
        <v>44.9</v>
      </c>
      <c r="J2132">
        <v>50000</v>
      </c>
      <c r="K2132" s="249">
        <v>-233935</v>
      </c>
      <c r="L2132" s="249">
        <v>-244462.07500000001</v>
      </c>
      <c r="M2132" s="249">
        <v>-255707.33045000001</v>
      </c>
      <c r="N2132" s="249">
        <v>-267469.86765070003</v>
      </c>
    </row>
    <row r="2134" spans="1:14" x14ac:dyDescent="0.25">
      <c r="C2134" t="s">
        <v>80</v>
      </c>
      <c r="D2134" s="67">
        <v>-283935</v>
      </c>
      <c r="E2134">
        <v>-15256.34</v>
      </c>
      <c r="F2134">
        <v>0</v>
      </c>
      <c r="G2134">
        <v>-100969.64</v>
      </c>
      <c r="H2134">
        <v>-182965.36</v>
      </c>
      <c r="I2134">
        <v>35.56</v>
      </c>
      <c r="J2134">
        <v>50000</v>
      </c>
      <c r="K2134" s="249">
        <v>-233935</v>
      </c>
      <c r="L2134" s="249">
        <v>-244462.07500000001</v>
      </c>
      <c r="M2134" s="249">
        <v>-255707.33045000001</v>
      </c>
      <c r="N2134" s="249">
        <v>-267469.86765070003</v>
      </c>
    </row>
    <row r="2136" spans="1:14" x14ac:dyDescent="0.25">
      <c r="C2136" t="s">
        <v>81</v>
      </c>
      <c r="J2136">
        <v>276424</v>
      </c>
      <c r="K2136" s="249">
        <v>0</v>
      </c>
    </row>
    <row r="2138" spans="1:14" x14ac:dyDescent="0.25">
      <c r="A2138" t="s">
        <v>1038</v>
      </c>
      <c r="C2138" t="s">
        <v>84</v>
      </c>
      <c r="D2138" s="67">
        <v>-2200</v>
      </c>
      <c r="E2138">
        <v>-290187</v>
      </c>
      <c r="F2138">
        <v>0</v>
      </c>
      <c r="G2138">
        <v>-524054</v>
      </c>
      <c r="H2138">
        <v>-642946</v>
      </c>
      <c r="I2138">
        <v>44.9</v>
      </c>
      <c r="J2138">
        <v>0</v>
      </c>
      <c r="K2138" s="249">
        <v>-2200</v>
      </c>
      <c r="L2138" s="249">
        <v>-2299</v>
      </c>
      <c r="M2138" s="249">
        <v>-2404.7539999999999</v>
      </c>
      <c r="N2138" s="249">
        <v>-2515.3726839999999</v>
      </c>
    </row>
    <row r="2140" spans="1:14" x14ac:dyDescent="0.25">
      <c r="C2140" t="s">
        <v>90</v>
      </c>
      <c r="D2140" s="67">
        <v>-2200</v>
      </c>
      <c r="E2140">
        <v>0</v>
      </c>
      <c r="F2140">
        <v>0</v>
      </c>
      <c r="G2140">
        <v>0</v>
      </c>
      <c r="H2140">
        <v>-2200</v>
      </c>
      <c r="I2140">
        <v>0</v>
      </c>
      <c r="J2140">
        <v>0</v>
      </c>
      <c r="K2140" s="249">
        <v>-2200</v>
      </c>
      <c r="L2140" s="249">
        <v>-2299</v>
      </c>
      <c r="M2140" s="249">
        <v>-2404.7539999999999</v>
      </c>
      <c r="N2140" s="249">
        <v>-2515.3726839999999</v>
      </c>
    </row>
    <row r="2142" spans="1:14" x14ac:dyDescent="0.25">
      <c r="C2142" t="s">
        <v>94</v>
      </c>
      <c r="D2142" s="67">
        <v>-286135</v>
      </c>
      <c r="E2142">
        <v>-15256.34</v>
      </c>
      <c r="F2142">
        <v>0</v>
      </c>
      <c r="G2142">
        <v>-100969.64</v>
      </c>
      <c r="H2142">
        <v>-185475.36</v>
      </c>
      <c r="I2142">
        <v>35.24</v>
      </c>
      <c r="J2142">
        <v>50000</v>
      </c>
      <c r="K2142" s="249">
        <v>-236135</v>
      </c>
      <c r="L2142" s="249">
        <v>-246761.07500000001</v>
      </c>
      <c r="M2142" s="249">
        <v>-258112.08444999999</v>
      </c>
      <c r="N2142" s="249">
        <v>-269985.24033470004</v>
      </c>
    </row>
    <row r="2144" spans="1:14" x14ac:dyDescent="0.25">
      <c r="C2144" t="s">
        <v>95</v>
      </c>
      <c r="D2144" s="67">
        <v>-287272</v>
      </c>
      <c r="E2144">
        <v>-15256.34</v>
      </c>
      <c r="F2144">
        <v>0</v>
      </c>
      <c r="G2144">
        <v>-101041.81</v>
      </c>
      <c r="H2144">
        <v>-186230.19</v>
      </c>
      <c r="I2144">
        <v>35.17</v>
      </c>
      <c r="J2144">
        <v>50000</v>
      </c>
      <c r="K2144" s="249">
        <v>-237272</v>
      </c>
      <c r="L2144" s="249">
        <v>-247949.24000000002</v>
      </c>
      <c r="M2144" s="249">
        <v>-259356.63347</v>
      </c>
      <c r="N2144" s="249">
        <v>-271287.03860962001</v>
      </c>
    </row>
    <row r="2146" spans="1:14" x14ac:dyDescent="0.25">
      <c r="C2146" t="s">
        <v>96</v>
      </c>
      <c r="J2146">
        <v>0</v>
      </c>
    </row>
    <row r="2147" spans="1:14" x14ac:dyDescent="0.25">
      <c r="C2147" t="s">
        <v>97</v>
      </c>
      <c r="J2147">
        <v>0</v>
      </c>
    </row>
    <row r="2148" spans="1:14" x14ac:dyDescent="0.25">
      <c r="C2148" t="s">
        <v>148</v>
      </c>
      <c r="J2148">
        <v>0</v>
      </c>
    </row>
    <row r="2149" spans="1:14" x14ac:dyDescent="0.25">
      <c r="C2149" t="s">
        <v>149</v>
      </c>
      <c r="J2149">
        <v>0</v>
      </c>
    </row>
    <row r="2151" spans="1:14" x14ac:dyDescent="0.25">
      <c r="A2151" t="s">
        <v>1039</v>
      </c>
      <c r="C2151" t="s">
        <v>150</v>
      </c>
      <c r="D2151" s="67">
        <v>642046</v>
      </c>
      <c r="E2151">
        <v>-290187</v>
      </c>
      <c r="F2151">
        <v>0</v>
      </c>
      <c r="G2151">
        <v>-524054</v>
      </c>
      <c r="H2151">
        <v>-642946</v>
      </c>
      <c r="I2151">
        <v>44.9</v>
      </c>
      <c r="J2151">
        <v>0</v>
      </c>
      <c r="K2151" s="249">
        <v>642046</v>
      </c>
      <c r="L2151" s="249">
        <v>682173.875</v>
      </c>
      <c r="M2151" s="249">
        <v>729926.04625000001</v>
      </c>
      <c r="N2151" s="249">
        <v>781020.86948750005</v>
      </c>
    </row>
    <row r="2152" spans="1:14" x14ac:dyDescent="0.25">
      <c r="A2152" t="s">
        <v>1040</v>
      </c>
      <c r="C2152" t="s">
        <v>151</v>
      </c>
      <c r="D2152" s="67">
        <v>30002</v>
      </c>
      <c r="E2152">
        <v>-290187</v>
      </c>
      <c r="F2152">
        <v>0</v>
      </c>
      <c r="G2152">
        <v>-524054</v>
      </c>
      <c r="H2152">
        <v>-642946</v>
      </c>
      <c r="I2152">
        <v>44.9</v>
      </c>
      <c r="J2152">
        <v>-13067.82</v>
      </c>
      <c r="K2152" s="249">
        <v>16934.18</v>
      </c>
      <c r="L2152" s="249">
        <v>17992.56625</v>
      </c>
      <c r="M2152" s="249">
        <v>19252.0458875</v>
      </c>
      <c r="N2152" s="249">
        <v>20599.689099625</v>
      </c>
    </row>
    <row r="2153" spans="1:14" x14ac:dyDescent="0.25">
      <c r="A2153" t="s">
        <v>1041</v>
      </c>
      <c r="C2153" t="s">
        <v>152</v>
      </c>
      <c r="D2153" s="67">
        <v>24000</v>
      </c>
      <c r="E2153">
        <v>-290187</v>
      </c>
      <c r="F2153">
        <v>0</v>
      </c>
      <c r="G2153">
        <v>-524054</v>
      </c>
      <c r="H2153">
        <v>-642946</v>
      </c>
      <c r="I2153">
        <v>44.9</v>
      </c>
      <c r="J2153">
        <v>0</v>
      </c>
      <c r="K2153" s="249">
        <v>24000</v>
      </c>
      <c r="L2153" s="249">
        <v>25500</v>
      </c>
      <c r="M2153" s="249">
        <v>27285</v>
      </c>
      <c r="N2153" s="249">
        <v>29194.95</v>
      </c>
    </row>
    <row r="2154" spans="1:14" x14ac:dyDescent="0.25">
      <c r="A2154" t="s">
        <v>1042</v>
      </c>
      <c r="C2154" t="s">
        <v>153</v>
      </c>
      <c r="D2154" s="67">
        <v>10893</v>
      </c>
      <c r="E2154">
        <v>-290187</v>
      </c>
      <c r="F2154">
        <v>0</v>
      </c>
      <c r="G2154">
        <v>-524054</v>
      </c>
      <c r="H2154">
        <v>-642946</v>
      </c>
      <c r="I2154">
        <v>44.9</v>
      </c>
      <c r="J2154">
        <v>0</v>
      </c>
      <c r="K2154" s="249">
        <v>10893</v>
      </c>
      <c r="L2154" s="249">
        <v>11573.8125</v>
      </c>
      <c r="M2154" s="249">
        <v>12383.979375000001</v>
      </c>
      <c r="N2154" s="249">
        <v>13250.857931250001</v>
      </c>
    </row>
    <row r="2155" spans="1:14" x14ac:dyDescent="0.25">
      <c r="A2155" t="s">
        <v>1043</v>
      </c>
      <c r="C2155" t="s">
        <v>155</v>
      </c>
      <c r="D2155" s="67">
        <v>21306</v>
      </c>
      <c r="E2155">
        <v>-290187</v>
      </c>
      <c r="F2155">
        <v>0</v>
      </c>
      <c r="G2155">
        <v>-524054</v>
      </c>
      <c r="H2155">
        <v>-642946</v>
      </c>
      <c r="I2155">
        <v>44.9</v>
      </c>
      <c r="J2155">
        <v>0</v>
      </c>
      <c r="K2155" s="249">
        <v>21306</v>
      </c>
      <c r="L2155" s="249">
        <v>22637.625</v>
      </c>
      <c r="M2155" s="249">
        <v>24222.258750000001</v>
      </c>
      <c r="N2155" s="249">
        <v>25917.8168625</v>
      </c>
    </row>
    <row r="2156" spans="1:14" x14ac:dyDescent="0.25">
      <c r="A2156" t="s">
        <v>1044</v>
      </c>
      <c r="C2156" t="s">
        <v>156</v>
      </c>
      <c r="D2156" s="67">
        <v>160511</v>
      </c>
      <c r="E2156">
        <v>-290187</v>
      </c>
      <c r="F2156">
        <v>0</v>
      </c>
      <c r="G2156">
        <v>-524054</v>
      </c>
      <c r="H2156">
        <v>-642946</v>
      </c>
      <c r="I2156">
        <v>44.9</v>
      </c>
      <c r="J2156">
        <v>0</v>
      </c>
      <c r="K2156" s="249">
        <v>160511</v>
      </c>
      <c r="L2156" s="249">
        <v>170542.9375</v>
      </c>
      <c r="M2156" s="249">
        <v>182480.94312499999</v>
      </c>
      <c r="N2156" s="249">
        <v>195254.60914374999</v>
      </c>
    </row>
    <row r="2157" spans="1:14" x14ac:dyDescent="0.25">
      <c r="A2157" t="s">
        <v>1045</v>
      </c>
      <c r="C2157" t="s">
        <v>158</v>
      </c>
      <c r="D2157" s="67">
        <v>12961</v>
      </c>
      <c r="E2157">
        <v>-290187</v>
      </c>
      <c r="F2157">
        <v>0</v>
      </c>
      <c r="G2157">
        <v>-524054</v>
      </c>
      <c r="H2157">
        <v>-642946</v>
      </c>
      <c r="I2157">
        <v>44.9</v>
      </c>
      <c r="J2157">
        <v>-12961</v>
      </c>
      <c r="K2157" s="249">
        <v>0</v>
      </c>
      <c r="L2157" s="249">
        <v>0</v>
      </c>
      <c r="M2157" s="249">
        <v>0</v>
      </c>
      <c r="N2157" s="249">
        <v>0</v>
      </c>
    </row>
    <row r="2158" spans="1:14" x14ac:dyDescent="0.25">
      <c r="A2158" t="s">
        <v>1046</v>
      </c>
      <c r="C2158" t="s">
        <v>159</v>
      </c>
      <c r="D2158" s="67">
        <v>53504</v>
      </c>
      <c r="E2158">
        <v>-290187</v>
      </c>
      <c r="F2158">
        <v>0</v>
      </c>
      <c r="G2158">
        <v>-524054</v>
      </c>
      <c r="H2158">
        <v>-642946</v>
      </c>
      <c r="I2158">
        <v>44.9</v>
      </c>
      <c r="J2158">
        <v>0</v>
      </c>
      <c r="K2158" s="249">
        <v>53504</v>
      </c>
      <c r="L2158" s="249">
        <v>56848</v>
      </c>
      <c r="M2158" s="249">
        <v>60827.360000000001</v>
      </c>
      <c r="N2158" s="249">
        <v>65085.275200000004</v>
      </c>
    </row>
    <row r="2159" spans="1:14" x14ac:dyDescent="0.25">
      <c r="A2159" t="s">
        <v>1047</v>
      </c>
      <c r="C2159" t="s">
        <v>161</v>
      </c>
      <c r="D2159" s="67">
        <v>81402</v>
      </c>
      <c r="E2159">
        <v>-290187</v>
      </c>
      <c r="F2159">
        <v>0</v>
      </c>
      <c r="G2159">
        <v>-524054</v>
      </c>
      <c r="H2159">
        <v>-642946</v>
      </c>
      <c r="I2159">
        <v>44.9</v>
      </c>
      <c r="J2159">
        <v>0</v>
      </c>
      <c r="K2159" s="249">
        <v>81402</v>
      </c>
      <c r="L2159" s="249">
        <v>86489.625</v>
      </c>
      <c r="M2159" s="249">
        <v>92543.898749999993</v>
      </c>
      <c r="N2159" s="249">
        <v>99021.9716625</v>
      </c>
    </row>
    <row r="2160" spans="1:14" x14ac:dyDescent="0.25">
      <c r="A2160" t="s">
        <v>1048</v>
      </c>
      <c r="C2160" t="s">
        <v>164</v>
      </c>
      <c r="D2160" s="67">
        <v>15692</v>
      </c>
      <c r="E2160">
        <v>-290187</v>
      </c>
      <c r="F2160">
        <v>0</v>
      </c>
      <c r="G2160">
        <v>-524054</v>
      </c>
      <c r="H2160">
        <v>-642946</v>
      </c>
      <c r="I2160">
        <v>44.9</v>
      </c>
      <c r="J2160">
        <v>0</v>
      </c>
      <c r="K2160" s="249">
        <v>15692</v>
      </c>
      <c r="L2160" s="249">
        <v>16672.75</v>
      </c>
      <c r="M2160" s="249">
        <v>17839.842499999999</v>
      </c>
      <c r="N2160" s="249">
        <v>19088.631474999998</v>
      </c>
    </row>
    <row r="2162" spans="1:14" x14ac:dyDescent="0.25">
      <c r="C2162" t="s">
        <v>165</v>
      </c>
      <c r="D2162" s="67">
        <v>1052317</v>
      </c>
      <c r="E2162">
        <v>131420.04</v>
      </c>
      <c r="F2162">
        <v>0</v>
      </c>
      <c r="G2162">
        <v>703849.34</v>
      </c>
      <c r="H2162">
        <v>348467.66</v>
      </c>
      <c r="I2162">
        <v>66.88</v>
      </c>
      <c r="J2162">
        <v>-26028.819999999949</v>
      </c>
      <c r="K2162" s="249">
        <v>1026288.18</v>
      </c>
      <c r="L2162" s="249">
        <v>1090431.1912500001</v>
      </c>
      <c r="M2162" s="249">
        <v>1166761.3746375002</v>
      </c>
      <c r="N2162" s="249">
        <v>1248434.670862125</v>
      </c>
    </row>
    <row r="2164" spans="1:14" x14ac:dyDescent="0.25">
      <c r="C2164" t="s">
        <v>166</v>
      </c>
      <c r="J2164">
        <v>0</v>
      </c>
    </row>
    <row r="2166" spans="1:14" x14ac:dyDescent="0.25">
      <c r="A2166" t="s">
        <v>1049</v>
      </c>
      <c r="C2166" t="s">
        <v>167</v>
      </c>
      <c r="D2166" s="67">
        <v>112</v>
      </c>
      <c r="E2166">
        <v>-290187</v>
      </c>
      <c r="F2166">
        <v>0</v>
      </c>
      <c r="G2166">
        <v>-524054</v>
      </c>
      <c r="H2166">
        <v>-642946</v>
      </c>
      <c r="I2166">
        <v>44.9</v>
      </c>
      <c r="J2166">
        <v>38</v>
      </c>
      <c r="K2166" s="249">
        <v>150</v>
      </c>
      <c r="L2166" s="249">
        <v>159.375</v>
      </c>
      <c r="M2166" s="249">
        <v>170.53125</v>
      </c>
      <c r="N2166" s="249">
        <v>182.46843749999999</v>
      </c>
    </row>
    <row r="2167" spans="1:14" x14ac:dyDescent="0.25">
      <c r="A2167" t="s">
        <v>1050</v>
      </c>
      <c r="C2167" t="s">
        <v>168</v>
      </c>
      <c r="D2167" s="67">
        <v>53908</v>
      </c>
      <c r="E2167">
        <v>-290187</v>
      </c>
      <c r="F2167">
        <v>0</v>
      </c>
      <c r="G2167">
        <v>-524054</v>
      </c>
      <c r="H2167">
        <v>-642946</v>
      </c>
      <c r="I2167">
        <v>44.9</v>
      </c>
      <c r="J2167">
        <v>0</v>
      </c>
      <c r="K2167" s="249">
        <v>53908</v>
      </c>
      <c r="L2167" s="249">
        <v>57277.25</v>
      </c>
      <c r="M2167" s="249">
        <v>61286.657500000001</v>
      </c>
      <c r="N2167" s="249">
        <v>65576.723525000009</v>
      </c>
    </row>
    <row r="2168" spans="1:14" x14ac:dyDescent="0.25">
      <c r="A2168" t="s">
        <v>1051</v>
      </c>
      <c r="C2168" t="s">
        <v>169</v>
      </c>
      <c r="D2168" s="67">
        <v>141250</v>
      </c>
      <c r="E2168">
        <v>-290187</v>
      </c>
      <c r="F2168">
        <v>0</v>
      </c>
      <c r="G2168">
        <v>-524054</v>
      </c>
      <c r="H2168">
        <v>-642946</v>
      </c>
      <c r="I2168">
        <v>44.9</v>
      </c>
      <c r="J2168">
        <v>0</v>
      </c>
      <c r="K2168" s="249">
        <v>141250</v>
      </c>
      <c r="L2168" s="249">
        <v>150078.125</v>
      </c>
      <c r="M2168" s="249">
        <v>160583.59375</v>
      </c>
      <c r="N2168" s="249">
        <v>171824.4453125</v>
      </c>
    </row>
    <row r="2169" spans="1:14" x14ac:dyDescent="0.25">
      <c r="A2169" t="s">
        <v>1052</v>
      </c>
      <c r="C2169" t="s">
        <v>170</v>
      </c>
      <c r="D2169" s="67">
        <v>1785</v>
      </c>
      <c r="E2169">
        <v>-290187</v>
      </c>
      <c r="F2169">
        <v>0</v>
      </c>
      <c r="G2169">
        <v>-524054</v>
      </c>
      <c r="H2169">
        <v>-642946</v>
      </c>
      <c r="I2169">
        <v>44.9</v>
      </c>
      <c r="J2169">
        <v>715</v>
      </c>
      <c r="K2169" s="249">
        <v>2500</v>
      </c>
      <c r="L2169" s="249">
        <v>2656.25</v>
      </c>
      <c r="M2169" s="249">
        <v>2842.1875</v>
      </c>
      <c r="N2169" s="249">
        <v>3041.140625</v>
      </c>
    </row>
    <row r="2171" spans="1:14" x14ac:dyDescent="0.25">
      <c r="C2171" t="s">
        <v>171</v>
      </c>
      <c r="D2171" s="67">
        <v>197055</v>
      </c>
      <c r="E2171">
        <v>26688.18</v>
      </c>
      <c r="F2171">
        <v>0</v>
      </c>
      <c r="G2171">
        <v>160129.07999999999</v>
      </c>
      <c r="H2171">
        <v>36925.919999999998</v>
      </c>
      <c r="I2171">
        <v>81.260000000000005</v>
      </c>
      <c r="J2171">
        <v>753</v>
      </c>
      <c r="K2171" s="249">
        <v>197808</v>
      </c>
      <c r="L2171" s="249">
        <v>210171</v>
      </c>
      <c r="M2171" s="249">
        <v>224882.97</v>
      </c>
      <c r="N2171" s="249">
        <v>240624.77790000002</v>
      </c>
    </row>
    <row r="2173" spans="1:14" x14ac:dyDescent="0.25">
      <c r="C2173" t="s">
        <v>172</v>
      </c>
      <c r="J2173">
        <v>0</v>
      </c>
    </row>
    <row r="2175" spans="1:14" x14ac:dyDescent="0.25">
      <c r="A2175" t="s">
        <v>1053</v>
      </c>
      <c r="C2175" t="s">
        <v>173</v>
      </c>
      <c r="D2175" s="67">
        <v>11869</v>
      </c>
      <c r="E2175">
        <v>-290187</v>
      </c>
      <c r="F2175">
        <v>0</v>
      </c>
      <c r="G2175">
        <v>-524054</v>
      </c>
      <c r="H2175">
        <v>-642946</v>
      </c>
      <c r="I2175">
        <v>44.9</v>
      </c>
      <c r="J2175">
        <v>0</v>
      </c>
      <c r="K2175" s="249">
        <v>11869</v>
      </c>
      <c r="L2175" s="249">
        <v>12610.8125</v>
      </c>
      <c r="M2175" s="249">
        <v>13493.569374999999</v>
      </c>
      <c r="N2175" s="249">
        <v>14438.119231249999</v>
      </c>
    </row>
    <row r="2176" spans="1:14" x14ac:dyDescent="0.25">
      <c r="A2176" t="s">
        <v>1054</v>
      </c>
      <c r="C2176" t="s">
        <v>174</v>
      </c>
      <c r="D2176" s="67">
        <v>19452</v>
      </c>
      <c r="E2176">
        <v>-290187</v>
      </c>
      <c r="F2176">
        <v>0</v>
      </c>
      <c r="G2176">
        <v>-524054</v>
      </c>
      <c r="H2176">
        <v>-642946</v>
      </c>
      <c r="I2176">
        <v>44.9</v>
      </c>
      <c r="J2176">
        <v>0</v>
      </c>
      <c r="K2176" s="249">
        <v>19452</v>
      </c>
      <c r="L2176" s="249">
        <v>20667.75</v>
      </c>
      <c r="M2176" s="249">
        <v>22114.4925</v>
      </c>
      <c r="N2176" s="249">
        <v>23662.506975</v>
      </c>
    </row>
    <row r="2177" spans="1:14" x14ac:dyDescent="0.25">
      <c r="A2177" t="s">
        <v>1055</v>
      </c>
      <c r="C2177" t="s">
        <v>175</v>
      </c>
      <c r="D2177" s="67">
        <v>13540</v>
      </c>
      <c r="E2177">
        <v>-290187</v>
      </c>
      <c r="F2177">
        <v>0</v>
      </c>
      <c r="G2177">
        <v>-524054</v>
      </c>
      <c r="H2177">
        <v>-642946</v>
      </c>
      <c r="I2177">
        <v>44.9</v>
      </c>
      <c r="J2177">
        <v>0</v>
      </c>
      <c r="K2177" s="249">
        <v>13540</v>
      </c>
      <c r="L2177" s="249">
        <v>14386.25</v>
      </c>
      <c r="M2177" s="249">
        <v>15393.2875</v>
      </c>
      <c r="N2177" s="249">
        <v>16470.817625</v>
      </c>
    </row>
    <row r="2179" spans="1:14" x14ac:dyDescent="0.25">
      <c r="C2179" t="s">
        <v>176</v>
      </c>
      <c r="D2179" s="67">
        <v>44861</v>
      </c>
      <c r="E2179">
        <v>0</v>
      </c>
      <c r="F2179">
        <v>0</v>
      </c>
      <c r="G2179">
        <v>0</v>
      </c>
      <c r="H2179">
        <v>44861</v>
      </c>
      <c r="I2179">
        <v>0</v>
      </c>
      <c r="J2179">
        <v>0</v>
      </c>
      <c r="K2179" s="249">
        <v>44861</v>
      </c>
      <c r="L2179" s="249">
        <v>47664.8125</v>
      </c>
      <c r="M2179" s="249">
        <v>51001.349374999998</v>
      </c>
      <c r="N2179" s="249">
        <v>54571.443831249999</v>
      </c>
    </row>
    <row r="2181" spans="1:14" x14ac:dyDescent="0.25">
      <c r="C2181" t="s">
        <v>177</v>
      </c>
      <c r="D2181" s="67">
        <v>1294233</v>
      </c>
      <c r="E2181">
        <v>158108.22</v>
      </c>
      <c r="F2181">
        <v>0</v>
      </c>
      <c r="G2181">
        <v>863978.42</v>
      </c>
      <c r="H2181">
        <v>430254.58</v>
      </c>
      <c r="I2181">
        <v>66.75</v>
      </c>
      <c r="J2181">
        <v>-25275.819999999832</v>
      </c>
      <c r="K2181" s="249">
        <v>1268957.1800000002</v>
      </c>
      <c r="L2181" s="249">
        <v>1348267.0037500001</v>
      </c>
      <c r="M2181" s="249">
        <v>1442645.6940125001</v>
      </c>
      <c r="N2181" s="249">
        <v>1543630.8925933752</v>
      </c>
    </row>
    <row r="2183" spans="1:14" x14ac:dyDescent="0.25">
      <c r="C2183" t="s">
        <v>178</v>
      </c>
      <c r="D2183" s="67">
        <v>1294233</v>
      </c>
      <c r="E2183">
        <v>158108.22</v>
      </c>
      <c r="F2183">
        <v>0</v>
      </c>
      <c r="G2183">
        <v>863978.42</v>
      </c>
      <c r="H2183">
        <v>430254.58</v>
      </c>
      <c r="I2183">
        <v>66.75</v>
      </c>
      <c r="J2183">
        <v>-25275.819999999832</v>
      </c>
      <c r="K2183" s="249">
        <v>1268957.1800000002</v>
      </c>
      <c r="L2183" s="249">
        <v>1348267.0037500001</v>
      </c>
      <c r="M2183" s="249">
        <v>1442645.6940125001</v>
      </c>
      <c r="N2183" s="249">
        <v>1543630.8925933752</v>
      </c>
    </row>
    <row r="2185" spans="1:14" x14ac:dyDescent="0.25">
      <c r="C2185" t="s">
        <v>208</v>
      </c>
      <c r="J2185">
        <v>276424</v>
      </c>
      <c r="K2185" s="249">
        <v>0</v>
      </c>
    </row>
    <row r="2186" spans="1:14" x14ac:dyDescent="0.25">
      <c r="C2186" t="s">
        <v>209</v>
      </c>
      <c r="J2186">
        <v>276424</v>
      </c>
      <c r="K2186" s="249">
        <v>0</v>
      </c>
    </row>
    <row r="2188" spans="1:14" x14ac:dyDescent="0.25">
      <c r="A2188" t="s">
        <v>1056</v>
      </c>
      <c r="B2188" t="s">
        <v>3037</v>
      </c>
      <c r="C2188" t="s">
        <v>216</v>
      </c>
      <c r="D2188" s="67">
        <v>42400</v>
      </c>
      <c r="E2188">
        <v>-290187</v>
      </c>
      <c r="F2188">
        <v>0</v>
      </c>
      <c r="G2188">
        <v>-524054</v>
      </c>
      <c r="H2188">
        <v>-642946</v>
      </c>
      <c r="I2188">
        <v>44.9</v>
      </c>
      <c r="J2188">
        <v>0</v>
      </c>
      <c r="K2188" s="249">
        <v>42400</v>
      </c>
      <c r="L2188" s="249">
        <v>44308</v>
      </c>
      <c r="M2188" s="249">
        <v>46346.167999999998</v>
      </c>
      <c r="N2188" s="249">
        <v>48478.091727999999</v>
      </c>
    </row>
    <row r="2190" spans="1:14" x14ac:dyDescent="0.25">
      <c r="C2190" t="s">
        <v>217</v>
      </c>
      <c r="D2190" s="67">
        <v>42400</v>
      </c>
      <c r="E2190">
        <v>0</v>
      </c>
      <c r="F2190">
        <v>0</v>
      </c>
      <c r="G2190">
        <v>28992</v>
      </c>
      <c r="H2190">
        <v>13408</v>
      </c>
      <c r="I2190">
        <v>68.37</v>
      </c>
      <c r="J2190">
        <v>0</v>
      </c>
      <c r="K2190" s="249">
        <v>42400</v>
      </c>
      <c r="L2190" s="249">
        <v>44308</v>
      </c>
      <c r="M2190" s="249">
        <v>46346.167999999998</v>
      </c>
      <c r="N2190" s="249">
        <v>48478.091727999999</v>
      </c>
    </row>
    <row r="2192" spans="1:14" x14ac:dyDescent="0.25">
      <c r="C2192" t="s">
        <v>218</v>
      </c>
      <c r="J2192">
        <v>276424</v>
      </c>
      <c r="K2192" s="249">
        <v>0</v>
      </c>
    </row>
    <row r="2194" spans="1:14" x14ac:dyDescent="0.25">
      <c r="A2194" t="s">
        <v>1057</v>
      </c>
      <c r="C2194" t="s">
        <v>222</v>
      </c>
      <c r="D2194" s="67">
        <v>59380</v>
      </c>
      <c r="E2194">
        <v>-290187</v>
      </c>
      <c r="F2194">
        <v>0</v>
      </c>
      <c r="G2194">
        <v>-524054</v>
      </c>
      <c r="H2194">
        <v>-642946</v>
      </c>
      <c r="I2194">
        <v>44.9</v>
      </c>
      <c r="J2194">
        <v>0</v>
      </c>
      <c r="K2194" s="249">
        <v>59380</v>
      </c>
      <c r="L2194" s="249">
        <v>62052.1</v>
      </c>
      <c r="M2194" s="249">
        <v>64906.496599999999</v>
      </c>
      <c r="N2194" s="249">
        <v>67892.195443599994</v>
      </c>
    </row>
    <row r="2196" spans="1:14" x14ac:dyDescent="0.25">
      <c r="C2196" t="s">
        <v>227</v>
      </c>
      <c r="D2196" s="67">
        <v>59380</v>
      </c>
      <c r="E2196">
        <v>0</v>
      </c>
      <c r="F2196">
        <v>0</v>
      </c>
      <c r="G2196">
        <v>0</v>
      </c>
      <c r="H2196">
        <v>59380</v>
      </c>
      <c r="I2196">
        <v>0</v>
      </c>
      <c r="J2196">
        <v>0</v>
      </c>
      <c r="K2196" s="249">
        <v>59380</v>
      </c>
      <c r="L2196" s="249">
        <v>62052.1</v>
      </c>
      <c r="M2196" s="249">
        <v>64906.496599999999</v>
      </c>
      <c r="N2196" s="249">
        <v>67892.195443599994</v>
      </c>
    </row>
    <row r="2198" spans="1:14" x14ac:dyDescent="0.25">
      <c r="C2198" t="s">
        <v>228</v>
      </c>
      <c r="J2198">
        <v>276424</v>
      </c>
      <c r="K2198" s="249">
        <v>0</v>
      </c>
    </row>
    <row r="2200" spans="1:14" x14ac:dyDescent="0.25">
      <c r="A2200" t="s">
        <v>1058</v>
      </c>
      <c r="C2200" t="s">
        <v>234</v>
      </c>
      <c r="D2200" s="67">
        <v>318000</v>
      </c>
      <c r="E2200">
        <v>-290187</v>
      </c>
      <c r="F2200">
        <v>0</v>
      </c>
      <c r="G2200">
        <v>-524054</v>
      </c>
      <c r="H2200">
        <v>-642946</v>
      </c>
      <c r="I2200">
        <v>44.9</v>
      </c>
      <c r="J2200">
        <v>0</v>
      </c>
      <c r="K2200" s="249">
        <v>318000</v>
      </c>
      <c r="L2200" s="249">
        <v>332310</v>
      </c>
      <c r="M2200" s="249">
        <v>347596.26</v>
      </c>
      <c r="N2200" s="249">
        <v>363585.68796000001</v>
      </c>
    </row>
    <row r="2201" spans="1:14" x14ac:dyDescent="0.25">
      <c r="A2201" t="s">
        <v>1059</v>
      </c>
      <c r="C2201" t="s">
        <v>237</v>
      </c>
      <c r="D2201" s="67">
        <v>134336</v>
      </c>
      <c r="E2201">
        <v>-290187</v>
      </c>
      <c r="F2201">
        <v>0</v>
      </c>
      <c r="G2201">
        <v>-524054</v>
      </c>
      <c r="H2201">
        <v>-642946</v>
      </c>
      <c r="I2201">
        <v>44.9</v>
      </c>
      <c r="J2201">
        <v>0</v>
      </c>
      <c r="K2201" s="249">
        <v>134336</v>
      </c>
      <c r="L2201" s="249">
        <v>140381.12</v>
      </c>
      <c r="M2201" s="249">
        <v>146838.65151999998</v>
      </c>
      <c r="N2201" s="249">
        <v>153593.22948991999</v>
      </c>
    </row>
    <row r="2203" spans="1:14" x14ac:dyDescent="0.25">
      <c r="C2203" t="s">
        <v>239</v>
      </c>
      <c r="D2203" s="67">
        <v>452336</v>
      </c>
      <c r="E2203">
        <v>59495</v>
      </c>
      <c r="F2203">
        <v>29820</v>
      </c>
      <c r="G2203">
        <v>229879.38</v>
      </c>
      <c r="H2203">
        <v>222456.62</v>
      </c>
      <c r="I2203">
        <v>50.82</v>
      </c>
      <c r="J2203">
        <v>0</v>
      </c>
      <c r="K2203" s="249">
        <v>452336</v>
      </c>
      <c r="L2203" s="249">
        <v>472691.12</v>
      </c>
      <c r="M2203" s="249">
        <v>494434.91151999997</v>
      </c>
      <c r="N2203" s="249">
        <v>517178.91744991997</v>
      </c>
    </row>
    <row r="2205" spans="1:14" x14ac:dyDescent="0.25">
      <c r="C2205" t="s">
        <v>240</v>
      </c>
      <c r="D2205" s="67">
        <v>554116</v>
      </c>
      <c r="E2205">
        <v>59495</v>
      </c>
      <c r="F2205">
        <v>29820</v>
      </c>
      <c r="G2205">
        <v>258871.38</v>
      </c>
      <c r="H2205">
        <v>295244.62</v>
      </c>
      <c r="I2205">
        <v>46.71</v>
      </c>
      <c r="J2205">
        <v>0</v>
      </c>
      <c r="K2205" s="249">
        <v>554116</v>
      </c>
      <c r="L2205" s="249">
        <v>579051.22</v>
      </c>
      <c r="M2205" s="249">
        <v>605687.57611999998</v>
      </c>
      <c r="N2205" s="249">
        <v>633549.20462152001</v>
      </c>
    </row>
    <row r="2207" spans="1:14" x14ac:dyDescent="0.25">
      <c r="C2207" t="s">
        <v>241</v>
      </c>
      <c r="J2207">
        <v>0</v>
      </c>
    </row>
    <row r="2209" spans="1:14" x14ac:dyDescent="0.25">
      <c r="A2209" t="s">
        <v>1060</v>
      </c>
      <c r="C2209" t="s">
        <v>242</v>
      </c>
      <c r="D2209" s="67">
        <v>31800</v>
      </c>
      <c r="E2209">
        <v>-290187</v>
      </c>
      <c r="F2209">
        <v>0</v>
      </c>
      <c r="G2209">
        <v>-524054</v>
      </c>
      <c r="H2209">
        <v>-642946</v>
      </c>
      <c r="I2209">
        <v>44.9</v>
      </c>
      <c r="J2209">
        <v>0</v>
      </c>
      <c r="K2209" s="249">
        <v>31800</v>
      </c>
      <c r="L2209" s="249">
        <v>33231</v>
      </c>
      <c r="M2209" s="249">
        <v>34759.625999999997</v>
      </c>
      <c r="N2209" s="249">
        <v>36358.568796</v>
      </c>
    </row>
    <row r="2210" spans="1:14" x14ac:dyDescent="0.25">
      <c r="A2210" t="s">
        <v>1061</v>
      </c>
      <c r="C2210" t="s">
        <v>260</v>
      </c>
      <c r="D2210" s="67">
        <v>31800</v>
      </c>
      <c r="E2210">
        <v>-290187</v>
      </c>
      <c r="F2210">
        <v>0</v>
      </c>
      <c r="G2210">
        <v>-524054</v>
      </c>
      <c r="H2210">
        <v>-642946</v>
      </c>
      <c r="I2210">
        <v>44.9</v>
      </c>
      <c r="J2210">
        <v>0</v>
      </c>
      <c r="K2210" s="249">
        <v>31800</v>
      </c>
      <c r="L2210" s="249">
        <v>33231</v>
      </c>
      <c r="M2210" s="249">
        <v>34759.625999999997</v>
      </c>
      <c r="N2210" s="249">
        <v>36358.568796</v>
      </c>
    </row>
    <row r="2211" spans="1:14" x14ac:dyDescent="0.25">
      <c r="A2211" t="s">
        <v>1062</v>
      </c>
      <c r="C2211" t="s">
        <v>265</v>
      </c>
      <c r="D2211" s="67">
        <v>0</v>
      </c>
      <c r="E2211">
        <v>-290187</v>
      </c>
      <c r="F2211">
        <v>0</v>
      </c>
      <c r="G2211">
        <v>-524054</v>
      </c>
      <c r="H2211">
        <v>-642946</v>
      </c>
      <c r="I2211">
        <v>44.9</v>
      </c>
      <c r="J2211">
        <v>15000</v>
      </c>
      <c r="K2211" s="249">
        <v>15000</v>
      </c>
      <c r="L2211" s="249">
        <v>15675</v>
      </c>
      <c r="M2211" s="249">
        <v>16396.05</v>
      </c>
      <c r="N2211" s="249">
        <v>17150.2683</v>
      </c>
    </row>
    <row r="2212" spans="1:14" x14ac:dyDescent="0.25">
      <c r="A2212" t="s">
        <v>1063</v>
      </c>
      <c r="C2212" t="s">
        <v>268</v>
      </c>
      <c r="D2212" s="67">
        <v>0</v>
      </c>
      <c r="E2212">
        <v>-290187</v>
      </c>
      <c r="F2212">
        <v>0</v>
      </c>
      <c r="G2212">
        <v>-524054</v>
      </c>
      <c r="H2212">
        <v>-642946</v>
      </c>
      <c r="I2212">
        <v>44.9</v>
      </c>
      <c r="J2212">
        <v>110000</v>
      </c>
      <c r="K2212" s="249">
        <v>110000</v>
      </c>
      <c r="L2212" s="249">
        <v>114950</v>
      </c>
      <c r="M2212" s="249">
        <v>120237.7</v>
      </c>
      <c r="N2212" s="249">
        <v>125768.6342</v>
      </c>
    </row>
    <row r="2214" spans="1:14" x14ac:dyDescent="0.25">
      <c r="C2214" t="s">
        <v>274</v>
      </c>
      <c r="D2214" s="67">
        <v>63600</v>
      </c>
      <c r="E2214">
        <v>10196.67</v>
      </c>
      <c r="F2214">
        <v>0</v>
      </c>
      <c r="G2214">
        <v>56059.86</v>
      </c>
      <c r="H2214">
        <v>7540.14</v>
      </c>
      <c r="I2214">
        <v>88.14</v>
      </c>
      <c r="J2214">
        <v>125000</v>
      </c>
      <c r="K2214" s="249">
        <v>188600</v>
      </c>
      <c r="L2214" s="249">
        <v>197087</v>
      </c>
      <c r="M2214" s="249">
        <v>206153.00199999998</v>
      </c>
      <c r="N2214" s="249">
        <v>215636.04009199998</v>
      </c>
    </row>
    <row r="2216" spans="1:14" x14ac:dyDescent="0.25">
      <c r="C2216" t="s">
        <v>290</v>
      </c>
      <c r="J2216">
        <v>276424</v>
      </c>
      <c r="K2216" s="249">
        <v>0</v>
      </c>
    </row>
    <row r="2218" spans="1:14" x14ac:dyDescent="0.25">
      <c r="A2218" t="s">
        <v>1064</v>
      </c>
      <c r="C2218" t="s">
        <v>293</v>
      </c>
      <c r="D2218" s="67">
        <v>2688</v>
      </c>
      <c r="E2218">
        <v>-290187</v>
      </c>
      <c r="F2218">
        <v>0</v>
      </c>
      <c r="G2218">
        <v>-524054</v>
      </c>
      <c r="H2218">
        <v>-642946</v>
      </c>
      <c r="I2218">
        <v>44.9</v>
      </c>
      <c r="J2218">
        <v>0</v>
      </c>
      <c r="K2218" s="249">
        <v>2688</v>
      </c>
      <c r="L2218" s="249">
        <v>2808.96</v>
      </c>
      <c r="M2218" s="249">
        <v>2938.1721600000001</v>
      </c>
      <c r="N2218" s="249">
        <v>3073.3280793600002</v>
      </c>
    </row>
    <row r="2219" spans="1:14" x14ac:dyDescent="0.25">
      <c r="A2219" t="s">
        <v>1065</v>
      </c>
      <c r="C2219" t="s">
        <v>296</v>
      </c>
      <c r="D2219" s="67">
        <v>34540</v>
      </c>
      <c r="E2219">
        <v>-290187</v>
      </c>
      <c r="F2219">
        <v>0</v>
      </c>
      <c r="G2219">
        <v>-524054</v>
      </c>
      <c r="H2219">
        <v>-642946</v>
      </c>
      <c r="I2219">
        <v>44.9</v>
      </c>
      <c r="J2219">
        <v>0</v>
      </c>
      <c r="K2219" s="249">
        <v>34540</v>
      </c>
      <c r="L2219" s="249">
        <v>36094.300000000003</v>
      </c>
      <c r="M2219" s="249">
        <v>37754.637800000004</v>
      </c>
      <c r="N2219" s="249">
        <v>39491.351138800004</v>
      </c>
    </row>
    <row r="2220" spans="1:14" x14ac:dyDescent="0.25">
      <c r="A2220" t="s">
        <v>1066</v>
      </c>
      <c r="C2220" t="s">
        <v>300</v>
      </c>
      <c r="D2220" s="67">
        <v>0</v>
      </c>
      <c r="E2220">
        <v>-290187</v>
      </c>
      <c r="F2220">
        <v>0</v>
      </c>
      <c r="G2220">
        <v>-524054</v>
      </c>
      <c r="H2220">
        <v>-642946</v>
      </c>
      <c r="I2220">
        <v>44.9</v>
      </c>
      <c r="J2220">
        <v>0</v>
      </c>
      <c r="K2220" s="249">
        <v>0</v>
      </c>
      <c r="L2220" s="249">
        <v>0</v>
      </c>
      <c r="M2220" s="249">
        <v>0</v>
      </c>
      <c r="N2220" s="249">
        <v>0</v>
      </c>
    </row>
    <row r="2221" spans="1:14" x14ac:dyDescent="0.25">
      <c r="A2221" t="s">
        <v>1067</v>
      </c>
      <c r="C2221" t="s">
        <v>302</v>
      </c>
      <c r="D2221" s="67">
        <v>623329</v>
      </c>
      <c r="E2221">
        <v>-290187</v>
      </c>
      <c r="F2221">
        <v>0</v>
      </c>
      <c r="G2221">
        <v>-524054</v>
      </c>
      <c r="H2221">
        <v>-642946</v>
      </c>
      <c r="I2221">
        <v>44.9</v>
      </c>
      <c r="J2221">
        <v>0</v>
      </c>
      <c r="K2221" s="249">
        <v>623329</v>
      </c>
      <c r="L2221" s="249">
        <v>651378.80500000005</v>
      </c>
      <c r="M2221" s="249">
        <v>681342.23003000009</v>
      </c>
      <c r="N2221" s="249">
        <v>712683.97261138004</v>
      </c>
    </row>
    <row r="2222" spans="1:14" x14ac:dyDescent="0.25">
      <c r="A2222" t="s">
        <v>1068</v>
      </c>
      <c r="C2222" t="s">
        <v>303</v>
      </c>
      <c r="D2222" s="67">
        <v>12477</v>
      </c>
      <c r="E2222">
        <v>-290187</v>
      </c>
      <c r="F2222">
        <v>0</v>
      </c>
      <c r="G2222">
        <v>-524054</v>
      </c>
      <c r="H2222">
        <v>-642946</v>
      </c>
      <c r="I2222">
        <v>44.9</v>
      </c>
      <c r="J2222">
        <v>0</v>
      </c>
      <c r="K2222" s="249">
        <v>12477</v>
      </c>
      <c r="L2222" s="249">
        <v>13038.465</v>
      </c>
      <c r="M2222" s="249">
        <v>13638.23439</v>
      </c>
      <c r="N2222" s="249">
        <v>14265.59317194</v>
      </c>
    </row>
    <row r="2224" spans="1:14" x14ac:dyDescent="0.25">
      <c r="C2224" t="s">
        <v>304</v>
      </c>
      <c r="D2224" s="67">
        <v>673034</v>
      </c>
      <c r="E2224">
        <v>108225.26</v>
      </c>
      <c r="F2224">
        <v>0</v>
      </c>
      <c r="G2224">
        <v>247488.71</v>
      </c>
      <c r="H2224">
        <v>425545.29</v>
      </c>
      <c r="I2224">
        <v>36.770000000000003</v>
      </c>
      <c r="J2224">
        <v>0</v>
      </c>
      <c r="K2224" s="249">
        <v>673034</v>
      </c>
      <c r="L2224" s="249">
        <v>703320.53</v>
      </c>
      <c r="M2224" s="249">
        <v>735673.27438000008</v>
      </c>
      <c r="N2224" s="249">
        <v>769514.24500147998</v>
      </c>
    </row>
    <row r="2226" spans="1:14" x14ac:dyDescent="0.25">
      <c r="C2226" t="s">
        <v>305</v>
      </c>
      <c r="D2226" s="67">
        <v>2584983</v>
      </c>
      <c r="E2226">
        <v>336025.15</v>
      </c>
      <c r="F2226">
        <v>29820</v>
      </c>
      <c r="G2226">
        <v>1426398.37</v>
      </c>
      <c r="H2226">
        <v>1158584.6299999999</v>
      </c>
      <c r="I2226">
        <v>55.18</v>
      </c>
      <c r="J2226">
        <v>99724.180000000168</v>
      </c>
      <c r="K2226" s="249">
        <v>2684707.18</v>
      </c>
      <c r="L2226" s="249">
        <v>2827725.7537500001</v>
      </c>
      <c r="M2226" s="249">
        <v>2990159.5465125004</v>
      </c>
      <c r="N2226" s="249">
        <v>3162330.3823083751</v>
      </c>
    </row>
    <row r="2228" spans="1:14" x14ac:dyDescent="0.25">
      <c r="C2228" t="s">
        <v>306</v>
      </c>
      <c r="D2228" s="67">
        <v>2297711</v>
      </c>
      <c r="E2228">
        <v>320768.81</v>
      </c>
      <c r="F2228">
        <v>29820</v>
      </c>
      <c r="G2228">
        <v>1325356.56</v>
      </c>
      <c r="H2228">
        <v>972354.44</v>
      </c>
      <c r="I2228">
        <v>57.68</v>
      </c>
      <c r="J2228">
        <v>149724.18000000017</v>
      </c>
      <c r="K2228" s="249">
        <v>2447435.1800000002</v>
      </c>
      <c r="L2228" s="249">
        <v>2579776.5137499999</v>
      </c>
      <c r="M2228" s="249">
        <v>2730802.9130425006</v>
      </c>
      <c r="N2228" s="249">
        <v>2891043.3436987549</v>
      </c>
    </row>
    <row r="2230" spans="1:14" x14ac:dyDescent="0.25">
      <c r="C2230" t="s">
        <v>308</v>
      </c>
      <c r="J2230">
        <v>0</v>
      </c>
    </row>
    <row r="2232" spans="1:14" x14ac:dyDescent="0.25">
      <c r="A2232" t="s">
        <v>1069</v>
      </c>
      <c r="C2232" t="s">
        <v>1070</v>
      </c>
      <c r="D2232" s="67">
        <v>900000</v>
      </c>
      <c r="E2232">
        <v>-290187</v>
      </c>
      <c r="F2232">
        <v>0</v>
      </c>
      <c r="G2232">
        <v>-524054</v>
      </c>
      <c r="H2232">
        <v>-642946</v>
      </c>
      <c r="I2232">
        <v>44.9</v>
      </c>
      <c r="J2232">
        <v>-185724</v>
      </c>
      <c r="K2232" s="249">
        <v>714276</v>
      </c>
      <c r="L2232" s="249">
        <v>0</v>
      </c>
      <c r="M2232" s="249">
        <v>0</v>
      </c>
    </row>
    <row r="2233" spans="1:14" x14ac:dyDescent="0.25">
      <c r="A2233" t="s">
        <v>3080</v>
      </c>
      <c r="C2233" t="s">
        <v>3064</v>
      </c>
      <c r="L2233" s="249">
        <v>0</v>
      </c>
      <c r="M2233" s="249">
        <v>400000</v>
      </c>
      <c r="N2233" s="249">
        <v>0</v>
      </c>
    </row>
    <row r="2234" spans="1:14" x14ac:dyDescent="0.25">
      <c r="A2234" t="s">
        <v>3081</v>
      </c>
      <c r="C2234" t="s">
        <v>3065</v>
      </c>
      <c r="D2234" s="67">
        <v>0</v>
      </c>
      <c r="K2234" s="249">
        <v>0</v>
      </c>
      <c r="L2234" s="249">
        <v>0</v>
      </c>
      <c r="M2234" s="249">
        <v>500000</v>
      </c>
      <c r="N2234" s="249">
        <v>600000</v>
      </c>
    </row>
    <row r="2235" spans="1:14" x14ac:dyDescent="0.25">
      <c r="A2235" t="s">
        <v>1071</v>
      </c>
      <c r="C2235" t="s">
        <v>1072</v>
      </c>
      <c r="D2235" s="67">
        <v>1200000</v>
      </c>
      <c r="E2235">
        <v>-290187</v>
      </c>
      <c r="F2235">
        <v>0</v>
      </c>
      <c r="G2235">
        <v>-524054</v>
      </c>
      <c r="H2235">
        <v>-642946</v>
      </c>
      <c r="I2235">
        <v>44.9</v>
      </c>
      <c r="J2235">
        <v>-1200000</v>
      </c>
      <c r="K2235" s="249">
        <v>0</v>
      </c>
      <c r="L2235" s="249">
        <v>0</v>
      </c>
      <c r="M2235" s="249">
        <v>0</v>
      </c>
    </row>
    <row r="2237" spans="1:14" x14ac:dyDescent="0.25">
      <c r="C2237" t="s">
        <v>320</v>
      </c>
      <c r="D2237" s="67">
        <v>2100000</v>
      </c>
      <c r="E2237">
        <v>-580374</v>
      </c>
      <c r="F2237">
        <v>0</v>
      </c>
      <c r="G2237">
        <v>-1048108</v>
      </c>
      <c r="H2237">
        <v>-1285892</v>
      </c>
      <c r="I2237">
        <v>34.01</v>
      </c>
      <c r="J2237">
        <v>-1385724</v>
      </c>
      <c r="K2237" s="249">
        <v>714276</v>
      </c>
      <c r="L2237" s="249">
        <v>0</v>
      </c>
      <c r="M2237" s="249">
        <v>900000</v>
      </c>
      <c r="N2237" s="249">
        <v>600000</v>
      </c>
    </row>
    <row r="2239" spans="1:14" x14ac:dyDescent="0.25">
      <c r="C2239" t="s">
        <v>1073</v>
      </c>
      <c r="J2239">
        <v>0</v>
      </c>
    </row>
    <row r="2240" spans="1:14" x14ac:dyDescent="0.25">
      <c r="C2240" t="s">
        <v>9</v>
      </c>
      <c r="J2240">
        <v>0</v>
      </c>
    </row>
    <row r="2241" spans="1:14" x14ac:dyDescent="0.25">
      <c r="C2241" t="s">
        <v>10</v>
      </c>
      <c r="J2241">
        <v>0</v>
      </c>
    </row>
    <row r="2242" spans="1:14" x14ac:dyDescent="0.25">
      <c r="C2242" t="s">
        <v>22</v>
      </c>
      <c r="J2242">
        <v>0</v>
      </c>
    </row>
    <row r="2244" spans="1:14" x14ac:dyDescent="0.25">
      <c r="A2244" t="s">
        <v>1074</v>
      </c>
      <c r="C2244" t="s">
        <v>24</v>
      </c>
      <c r="D2244" s="67">
        <v>-1200007</v>
      </c>
      <c r="E2244">
        <v>-290187</v>
      </c>
      <c r="F2244">
        <v>0</v>
      </c>
      <c r="G2244">
        <v>-524054</v>
      </c>
      <c r="H2244">
        <v>-642946</v>
      </c>
      <c r="I2244">
        <v>44.9</v>
      </c>
      <c r="J2244">
        <v>0</v>
      </c>
      <c r="K2244" s="249">
        <v>-1200007</v>
      </c>
      <c r="L2244" s="249">
        <v>-1254007.3149999999</v>
      </c>
      <c r="M2244" s="249">
        <v>-1314199.66612</v>
      </c>
      <c r="N2244" s="249">
        <v>-1374652.85076152</v>
      </c>
    </row>
    <row r="2245" spans="1:14" x14ac:dyDescent="0.25">
      <c r="A2245" t="s">
        <v>1075</v>
      </c>
      <c r="C2245" t="s">
        <v>26</v>
      </c>
      <c r="D2245" s="67">
        <v>0</v>
      </c>
      <c r="E2245">
        <v>-290187</v>
      </c>
      <c r="F2245">
        <v>0</v>
      </c>
      <c r="G2245">
        <v>-524054</v>
      </c>
      <c r="H2245">
        <v>-642946</v>
      </c>
      <c r="I2245">
        <v>44.9</v>
      </c>
      <c r="J2245">
        <v>0</v>
      </c>
      <c r="K2245" s="249">
        <v>0</v>
      </c>
      <c r="L2245" s="249">
        <v>0</v>
      </c>
      <c r="M2245" s="249">
        <v>0</v>
      </c>
    </row>
    <row r="2247" spans="1:14" x14ac:dyDescent="0.25">
      <c r="C2247" t="s">
        <v>28</v>
      </c>
      <c r="D2247" s="67">
        <v>-1200007</v>
      </c>
      <c r="E2247">
        <v>-21350</v>
      </c>
      <c r="F2247">
        <v>0</v>
      </c>
      <c r="G2247">
        <v>-1878981.33</v>
      </c>
      <c r="H2247">
        <v>678974.33</v>
      </c>
      <c r="I2247">
        <v>156.58000000000001</v>
      </c>
      <c r="J2247">
        <v>0</v>
      </c>
      <c r="K2247" s="249">
        <v>-1200007</v>
      </c>
      <c r="L2247" s="249">
        <v>-1254007.3149999999</v>
      </c>
      <c r="M2247" s="249">
        <v>-1314199.66612</v>
      </c>
      <c r="N2247" s="249">
        <v>-1374652.85076152</v>
      </c>
    </row>
    <row r="2249" spans="1:14" x14ac:dyDescent="0.25">
      <c r="C2249" t="s">
        <v>40</v>
      </c>
      <c r="D2249" s="67">
        <v>-1200007</v>
      </c>
      <c r="E2249">
        <v>-21350</v>
      </c>
      <c r="F2249">
        <v>0</v>
      </c>
      <c r="G2249">
        <v>-1878981.33</v>
      </c>
      <c r="H2249">
        <v>678974.33</v>
      </c>
      <c r="I2249">
        <v>156.58000000000001</v>
      </c>
      <c r="J2249">
        <v>0</v>
      </c>
      <c r="K2249" s="249">
        <v>-1200007</v>
      </c>
      <c r="L2249" s="249">
        <v>-1254007.3149999999</v>
      </c>
      <c r="M2249" s="249">
        <v>-1314199.66612</v>
      </c>
      <c r="N2249" s="249">
        <v>-1374652.85076152</v>
      </c>
    </row>
    <row r="2251" spans="1:14" x14ac:dyDescent="0.25">
      <c r="C2251" t="s">
        <v>41</v>
      </c>
      <c r="J2251">
        <v>0</v>
      </c>
    </row>
    <row r="2252" spans="1:14" x14ac:dyDescent="0.25">
      <c r="C2252" t="s">
        <v>91</v>
      </c>
      <c r="J2252">
        <v>0</v>
      </c>
    </row>
    <row r="2254" spans="1:14" x14ac:dyDescent="0.25">
      <c r="A2254" t="s">
        <v>1076</v>
      </c>
      <c r="C2254" t="s">
        <v>92</v>
      </c>
      <c r="D2254" s="67">
        <v>-7065504</v>
      </c>
      <c r="E2254">
        <v>-290187</v>
      </c>
      <c r="F2254">
        <v>0</v>
      </c>
      <c r="G2254">
        <v>-524054</v>
      </c>
      <c r="H2254">
        <v>-642946</v>
      </c>
      <c r="I2254">
        <v>44.9</v>
      </c>
      <c r="J2254">
        <v>0</v>
      </c>
      <c r="K2254" s="249">
        <v>-7065504</v>
      </c>
      <c r="L2254" s="249">
        <v>-7383451.6799999997</v>
      </c>
      <c r="M2254" s="249">
        <v>-7723090.4572799997</v>
      </c>
      <c r="N2254" s="249">
        <v>-8078352.6183148799</v>
      </c>
    </row>
    <row r="2256" spans="1:14" x14ac:dyDescent="0.25">
      <c r="C2256" t="s">
        <v>93</v>
      </c>
      <c r="D2256" s="67">
        <v>-7065504</v>
      </c>
      <c r="E2256">
        <v>-667782.97</v>
      </c>
      <c r="F2256">
        <v>0</v>
      </c>
      <c r="G2256">
        <v>-2221218.98</v>
      </c>
      <c r="H2256">
        <v>-4844285.0199999996</v>
      </c>
      <c r="I2256">
        <v>31.43</v>
      </c>
      <c r="J2256">
        <v>0</v>
      </c>
      <c r="K2256" s="249">
        <v>-7065504</v>
      </c>
      <c r="L2256" s="249">
        <v>-7383451.6799999997</v>
      </c>
      <c r="M2256" s="249">
        <v>-7723090.4572799997</v>
      </c>
      <c r="N2256" s="249">
        <v>-8078352.6183148799</v>
      </c>
    </row>
    <row r="2258" spans="1:14" x14ac:dyDescent="0.25">
      <c r="C2258" t="s">
        <v>94</v>
      </c>
      <c r="D2258" s="67">
        <v>-7065504</v>
      </c>
      <c r="E2258">
        <v>-667782.97</v>
      </c>
      <c r="F2258">
        <v>0</v>
      </c>
      <c r="G2258">
        <v>-2221218.98</v>
      </c>
      <c r="H2258">
        <v>-4844285.0199999996</v>
      </c>
      <c r="I2258">
        <v>31.43</v>
      </c>
      <c r="J2258">
        <v>0</v>
      </c>
      <c r="K2258" s="249">
        <v>-7065504</v>
      </c>
      <c r="L2258" s="249">
        <v>-7383451.6799999997</v>
      </c>
      <c r="M2258" s="249">
        <v>-7723090.4572799997</v>
      </c>
      <c r="N2258" s="249">
        <v>-8078352.6183148799</v>
      </c>
    </row>
    <row r="2260" spans="1:14" x14ac:dyDescent="0.25">
      <c r="C2260" t="s">
        <v>95</v>
      </c>
      <c r="D2260" s="67">
        <v>-8265511</v>
      </c>
      <c r="E2260">
        <v>-689132.97</v>
      </c>
      <c r="F2260">
        <v>0</v>
      </c>
      <c r="G2260">
        <v>-4100200.31</v>
      </c>
      <c r="H2260">
        <v>-4165310.69</v>
      </c>
      <c r="I2260">
        <v>49.6</v>
      </c>
      <c r="J2260">
        <v>0</v>
      </c>
      <c r="K2260" s="249">
        <v>-8265511</v>
      </c>
      <c r="L2260" s="249">
        <v>-8637458.9949999992</v>
      </c>
      <c r="M2260" s="249">
        <v>-9037290.123399999</v>
      </c>
      <c r="N2260" s="249">
        <v>-9453005.4690764006</v>
      </c>
    </row>
    <row r="2262" spans="1:14" x14ac:dyDescent="0.25">
      <c r="C2262" t="s">
        <v>96</v>
      </c>
      <c r="J2262">
        <v>0</v>
      </c>
    </row>
    <row r="2263" spans="1:14" x14ac:dyDescent="0.25">
      <c r="C2263" t="s">
        <v>97</v>
      </c>
      <c r="J2263">
        <v>0</v>
      </c>
    </row>
    <row r="2264" spans="1:14" x14ac:dyDescent="0.25">
      <c r="C2264" t="s">
        <v>148</v>
      </c>
      <c r="J2264">
        <v>0</v>
      </c>
    </row>
    <row r="2265" spans="1:14" x14ac:dyDescent="0.25">
      <c r="C2265" t="s">
        <v>149</v>
      </c>
      <c r="J2265">
        <v>0</v>
      </c>
    </row>
    <row r="2267" spans="1:14" x14ac:dyDescent="0.25">
      <c r="A2267" t="s">
        <v>1077</v>
      </c>
      <c r="C2267" t="s">
        <v>150</v>
      </c>
      <c r="D2267" s="67">
        <v>7800438</v>
      </c>
      <c r="E2267">
        <v>-290187</v>
      </c>
      <c r="F2267">
        <v>0</v>
      </c>
      <c r="G2267">
        <v>-524054</v>
      </c>
      <c r="H2267">
        <v>-642946</v>
      </c>
      <c r="I2267">
        <v>44.9</v>
      </c>
      <c r="J2267">
        <v>0</v>
      </c>
      <c r="K2267" s="249">
        <v>7800438</v>
      </c>
      <c r="L2267" s="249">
        <v>8287965.375</v>
      </c>
      <c r="M2267" s="249">
        <v>8868122.9512499999</v>
      </c>
      <c r="N2267" s="249">
        <v>9488891.5578374993</v>
      </c>
    </row>
    <row r="2268" spans="1:14" x14ac:dyDescent="0.25">
      <c r="A2268" t="s">
        <v>1078</v>
      </c>
      <c r="C2268" t="s">
        <v>151</v>
      </c>
      <c r="D2268" s="67">
        <v>364506</v>
      </c>
      <c r="E2268">
        <v>-290187</v>
      </c>
      <c r="F2268">
        <v>0</v>
      </c>
      <c r="G2268">
        <v>-524054</v>
      </c>
      <c r="H2268">
        <v>-642946</v>
      </c>
      <c r="I2268">
        <v>44.9</v>
      </c>
      <c r="J2268">
        <v>-144361.65999999992</v>
      </c>
      <c r="K2268" s="249">
        <v>220144.34000000008</v>
      </c>
      <c r="L2268" s="249">
        <v>233903.36125000007</v>
      </c>
      <c r="M2268" s="249">
        <v>250276.59653750007</v>
      </c>
      <c r="N2268" s="249">
        <v>267795.95829512505</v>
      </c>
    </row>
    <row r="2269" spans="1:14" x14ac:dyDescent="0.25">
      <c r="A2269" t="s">
        <v>1079</v>
      </c>
      <c r="C2269" t="s">
        <v>152</v>
      </c>
      <c r="D2269" s="67">
        <v>136800</v>
      </c>
      <c r="E2269">
        <v>-290187</v>
      </c>
      <c r="F2269">
        <v>0</v>
      </c>
      <c r="G2269">
        <v>-524054</v>
      </c>
      <c r="H2269">
        <v>-642946</v>
      </c>
      <c r="I2269">
        <v>44.9</v>
      </c>
      <c r="J2269">
        <v>0</v>
      </c>
      <c r="K2269" s="249">
        <v>136800</v>
      </c>
      <c r="L2269" s="249">
        <v>145350</v>
      </c>
      <c r="M2269" s="249">
        <v>155524.5</v>
      </c>
      <c r="N2269" s="249">
        <v>166411.215</v>
      </c>
    </row>
    <row r="2270" spans="1:14" x14ac:dyDescent="0.25">
      <c r="A2270" t="s">
        <v>1080</v>
      </c>
      <c r="C2270" t="s">
        <v>153</v>
      </c>
      <c r="D2270" s="67">
        <v>0</v>
      </c>
      <c r="E2270">
        <v>-290187</v>
      </c>
      <c r="F2270">
        <v>0</v>
      </c>
      <c r="G2270">
        <v>-524054</v>
      </c>
      <c r="H2270">
        <v>-642946</v>
      </c>
      <c r="I2270">
        <v>44.9</v>
      </c>
      <c r="J2270">
        <v>65358.84</v>
      </c>
      <c r="K2270" s="249">
        <v>65358.84</v>
      </c>
      <c r="L2270" s="249">
        <v>69443.767500000002</v>
      </c>
      <c r="M2270" s="249">
        <v>74304.831225000002</v>
      </c>
      <c r="N2270" s="249">
        <v>79506.169410750008</v>
      </c>
    </row>
    <row r="2271" spans="1:14" x14ac:dyDescent="0.25">
      <c r="A2271" t="s">
        <v>1081</v>
      </c>
      <c r="C2271" t="s">
        <v>155</v>
      </c>
      <c r="D2271" s="67">
        <v>258849</v>
      </c>
      <c r="E2271">
        <v>-290187</v>
      </c>
      <c r="F2271">
        <v>0</v>
      </c>
      <c r="G2271">
        <v>-524054</v>
      </c>
      <c r="H2271">
        <v>-642946</v>
      </c>
      <c r="I2271">
        <v>44.9</v>
      </c>
      <c r="J2271">
        <v>0</v>
      </c>
      <c r="K2271" s="249">
        <v>258849</v>
      </c>
      <c r="L2271" s="249">
        <v>275027.0625</v>
      </c>
      <c r="M2271" s="249">
        <v>294278.95687499997</v>
      </c>
      <c r="N2271" s="249">
        <v>314878.48385624995</v>
      </c>
    </row>
    <row r="2272" spans="1:14" x14ac:dyDescent="0.25">
      <c r="A2272" t="s">
        <v>1082</v>
      </c>
      <c r="C2272" t="s">
        <v>156</v>
      </c>
      <c r="D2272" s="67">
        <v>241565</v>
      </c>
      <c r="E2272">
        <v>-290187</v>
      </c>
      <c r="F2272">
        <v>0</v>
      </c>
      <c r="G2272">
        <v>-524054</v>
      </c>
      <c r="H2272">
        <v>-642946</v>
      </c>
      <c r="I2272">
        <v>44.9</v>
      </c>
      <c r="J2272">
        <v>457044.24</v>
      </c>
      <c r="K2272" s="249">
        <v>698609.24</v>
      </c>
      <c r="L2272" s="249">
        <v>742272.3175</v>
      </c>
      <c r="M2272" s="249">
        <v>794231.37972500001</v>
      </c>
      <c r="N2272" s="249">
        <v>849827.57630575006</v>
      </c>
    </row>
    <row r="2273" spans="1:14" x14ac:dyDescent="0.25">
      <c r="A2273" t="s">
        <v>1083</v>
      </c>
      <c r="C2273" t="s">
        <v>157</v>
      </c>
      <c r="D2273" s="67">
        <v>258730</v>
      </c>
      <c r="E2273">
        <v>-290187</v>
      </c>
      <c r="F2273">
        <v>0</v>
      </c>
      <c r="G2273">
        <v>-524054</v>
      </c>
      <c r="H2273">
        <v>-642946</v>
      </c>
      <c r="I2273">
        <v>44.9</v>
      </c>
      <c r="J2273">
        <v>-258730</v>
      </c>
      <c r="K2273" s="249">
        <v>0</v>
      </c>
      <c r="L2273" s="249">
        <v>0</v>
      </c>
      <c r="M2273" s="249">
        <v>0</v>
      </c>
      <c r="N2273" s="249">
        <v>0</v>
      </c>
    </row>
    <row r="2274" spans="1:14" x14ac:dyDescent="0.25">
      <c r="A2274" t="s">
        <v>1084</v>
      </c>
      <c r="C2274" t="s">
        <v>158</v>
      </c>
      <c r="D2274" s="67">
        <v>0</v>
      </c>
      <c r="E2274">
        <v>-290187</v>
      </c>
      <c r="F2274">
        <v>0</v>
      </c>
      <c r="G2274">
        <v>-524054</v>
      </c>
      <c r="H2274">
        <v>-642946</v>
      </c>
      <c r="I2274">
        <v>44.9</v>
      </c>
      <c r="J2274">
        <v>110000</v>
      </c>
      <c r="K2274" s="249">
        <v>110000</v>
      </c>
      <c r="L2274" s="249">
        <v>116875</v>
      </c>
      <c r="M2274" s="249">
        <v>125056.25</v>
      </c>
      <c r="N2274" s="249">
        <v>133810.1875</v>
      </c>
    </row>
    <row r="2275" spans="1:14" x14ac:dyDescent="0.25">
      <c r="A2275" t="s">
        <v>1085</v>
      </c>
      <c r="C2275" t="s">
        <v>159</v>
      </c>
      <c r="D2275" s="67">
        <v>650036</v>
      </c>
      <c r="E2275">
        <v>-290187</v>
      </c>
      <c r="F2275">
        <v>0</v>
      </c>
      <c r="G2275">
        <v>-524054</v>
      </c>
      <c r="H2275">
        <v>-642946</v>
      </c>
      <c r="I2275">
        <v>44.9</v>
      </c>
      <c r="J2275">
        <v>0</v>
      </c>
      <c r="K2275" s="249">
        <v>650036</v>
      </c>
      <c r="L2275" s="249">
        <v>690663.25</v>
      </c>
      <c r="M2275" s="249">
        <v>739009.67749999999</v>
      </c>
      <c r="N2275" s="249">
        <v>790740.35492499999</v>
      </c>
    </row>
    <row r="2276" spans="1:14" x14ac:dyDescent="0.25">
      <c r="A2276" t="s">
        <v>1086</v>
      </c>
      <c r="C2276" t="s">
        <v>160</v>
      </c>
      <c r="D2276" s="67">
        <v>115560</v>
      </c>
      <c r="E2276">
        <v>-290187</v>
      </c>
      <c r="F2276">
        <v>0</v>
      </c>
      <c r="G2276">
        <v>-524054</v>
      </c>
      <c r="H2276">
        <v>-642946</v>
      </c>
      <c r="I2276">
        <v>44.9</v>
      </c>
      <c r="J2276">
        <v>0</v>
      </c>
      <c r="K2276" s="249">
        <v>115560</v>
      </c>
      <c r="L2276" s="249">
        <v>122782.5</v>
      </c>
      <c r="M2276" s="249">
        <v>131377.27499999999</v>
      </c>
      <c r="N2276" s="249">
        <v>140573.68424999999</v>
      </c>
    </row>
    <row r="2277" spans="1:14" x14ac:dyDescent="0.25">
      <c r="A2277" t="s">
        <v>1087</v>
      </c>
      <c r="C2277" t="s">
        <v>164</v>
      </c>
      <c r="D2277" s="67">
        <v>0</v>
      </c>
      <c r="E2277">
        <v>-290187</v>
      </c>
      <c r="F2277">
        <v>0</v>
      </c>
      <c r="G2277">
        <v>-524054</v>
      </c>
      <c r="H2277">
        <v>-642946</v>
      </c>
      <c r="I2277">
        <v>44.9</v>
      </c>
      <c r="J2277">
        <v>15692.4</v>
      </c>
      <c r="K2277" s="249">
        <v>15692.4</v>
      </c>
      <c r="L2277" s="249">
        <v>16673.174999999999</v>
      </c>
      <c r="M2277" s="249">
        <v>17840.29725</v>
      </c>
      <c r="N2277" s="249">
        <v>19089.1180575</v>
      </c>
    </row>
    <row r="2279" spans="1:14" x14ac:dyDescent="0.25">
      <c r="C2279" t="s">
        <v>165</v>
      </c>
      <c r="D2279" s="67">
        <v>9826484</v>
      </c>
      <c r="E2279">
        <v>1097302.82</v>
      </c>
      <c r="F2279">
        <v>0</v>
      </c>
      <c r="G2279">
        <v>5749632.79</v>
      </c>
      <c r="H2279">
        <v>4076851.21</v>
      </c>
      <c r="I2279">
        <v>58.51</v>
      </c>
      <c r="J2279">
        <v>245003.8200000003</v>
      </c>
      <c r="K2279" s="249">
        <v>10071487.82</v>
      </c>
      <c r="L2279" s="249">
        <v>10700955.808750002</v>
      </c>
      <c r="M2279" s="249">
        <v>11450022.715362502</v>
      </c>
      <c r="N2279" s="249">
        <v>12251524.305437876</v>
      </c>
    </row>
    <row r="2281" spans="1:14" x14ac:dyDescent="0.25">
      <c r="C2281" t="s">
        <v>166</v>
      </c>
      <c r="J2281">
        <v>0</v>
      </c>
    </row>
    <row r="2283" spans="1:14" x14ac:dyDescent="0.25">
      <c r="A2283" t="s">
        <v>1088</v>
      </c>
      <c r="C2283" t="s">
        <v>167</v>
      </c>
      <c r="D2283" s="67">
        <v>2921</v>
      </c>
      <c r="E2283">
        <v>-290187</v>
      </c>
      <c r="F2283">
        <v>0</v>
      </c>
      <c r="G2283">
        <v>-524054</v>
      </c>
      <c r="H2283">
        <v>-642946</v>
      </c>
      <c r="I2283">
        <v>44.9</v>
      </c>
      <c r="J2283">
        <v>0</v>
      </c>
      <c r="K2283" s="249">
        <v>2921</v>
      </c>
      <c r="L2283" s="249">
        <v>3103.5625</v>
      </c>
      <c r="M2283" s="249">
        <v>3320.8118749999999</v>
      </c>
      <c r="N2283" s="249">
        <v>3553.2687062499999</v>
      </c>
    </row>
    <row r="2284" spans="1:14" x14ac:dyDescent="0.25">
      <c r="A2284" t="s">
        <v>1089</v>
      </c>
      <c r="C2284" t="s">
        <v>168</v>
      </c>
      <c r="D2284" s="67">
        <v>1401613</v>
      </c>
      <c r="E2284">
        <v>-290187</v>
      </c>
      <c r="F2284">
        <v>0</v>
      </c>
      <c r="G2284">
        <v>-524054</v>
      </c>
      <c r="H2284">
        <v>-642946</v>
      </c>
      <c r="I2284">
        <v>44.9</v>
      </c>
      <c r="J2284">
        <v>-500000</v>
      </c>
      <c r="K2284" s="249">
        <v>901613</v>
      </c>
      <c r="L2284" s="249">
        <v>957963.8125</v>
      </c>
      <c r="M2284" s="249">
        <v>1025021.279375</v>
      </c>
      <c r="N2284" s="249">
        <v>1096772.7689312501</v>
      </c>
    </row>
    <row r="2285" spans="1:14" x14ac:dyDescent="0.25">
      <c r="A2285" t="s">
        <v>1090</v>
      </c>
      <c r="C2285" t="s">
        <v>169</v>
      </c>
      <c r="D2285" s="67">
        <v>1716096</v>
      </c>
      <c r="E2285">
        <v>-290187</v>
      </c>
      <c r="F2285">
        <v>0</v>
      </c>
      <c r="G2285">
        <v>-524054</v>
      </c>
      <c r="H2285">
        <v>-642946</v>
      </c>
      <c r="I2285">
        <v>44.9</v>
      </c>
      <c r="J2285">
        <v>0</v>
      </c>
      <c r="K2285" s="249">
        <v>1716096</v>
      </c>
      <c r="L2285" s="249">
        <v>1823352</v>
      </c>
      <c r="M2285" s="249">
        <v>1950986.64</v>
      </c>
      <c r="N2285" s="249">
        <v>2087555.7047999999</v>
      </c>
    </row>
    <row r="2286" spans="1:14" x14ac:dyDescent="0.25">
      <c r="A2286" t="s">
        <v>1091</v>
      </c>
      <c r="C2286" t="s">
        <v>170</v>
      </c>
      <c r="D2286" s="67">
        <v>46410</v>
      </c>
      <c r="E2286">
        <v>-290187</v>
      </c>
      <c r="F2286">
        <v>0</v>
      </c>
      <c r="G2286">
        <v>-524054</v>
      </c>
      <c r="H2286">
        <v>-642946</v>
      </c>
      <c r="I2286">
        <v>44.9</v>
      </c>
      <c r="J2286">
        <v>0</v>
      </c>
      <c r="K2286" s="249">
        <v>46410</v>
      </c>
      <c r="L2286" s="249">
        <v>49310.625</v>
      </c>
      <c r="M2286" s="249">
        <v>52762.368750000001</v>
      </c>
      <c r="N2286" s="249">
        <v>56455.734562500002</v>
      </c>
    </row>
    <row r="2288" spans="1:14" x14ac:dyDescent="0.25">
      <c r="C2288" t="s">
        <v>171</v>
      </c>
      <c r="D2288" s="67">
        <v>3167040</v>
      </c>
      <c r="E2288">
        <v>217136.93</v>
      </c>
      <c r="F2288">
        <v>0</v>
      </c>
      <c r="G2288">
        <v>1278619.72</v>
      </c>
      <c r="H2288">
        <v>1888420.28</v>
      </c>
      <c r="I2288">
        <v>40.369999999999997</v>
      </c>
      <c r="J2288">
        <v>-500000</v>
      </c>
      <c r="K2288" s="249">
        <v>2667040</v>
      </c>
      <c r="L2288" s="249">
        <v>2833730</v>
      </c>
      <c r="M2288" s="249">
        <v>3032091.1</v>
      </c>
      <c r="N2288" s="249">
        <v>3244337.477</v>
      </c>
    </row>
    <row r="2290" spans="1:14" x14ac:dyDescent="0.25">
      <c r="C2290" t="s">
        <v>172</v>
      </c>
      <c r="J2290">
        <v>0</v>
      </c>
    </row>
    <row r="2292" spans="1:14" x14ac:dyDescent="0.25">
      <c r="A2292" t="s">
        <v>1092</v>
      </c>
      <c r="C2292" t="s">
        <v>173</v>
      </c>
      <c r="D2292" s="67">
        <v>111281</v>
      </c>
      <c r="E2292">
        <v>-290187</v>
      </c>
      <c r="F2292">
        <v>0</v>
      </c>
      <c r="G2292">
        <v>-524054</v>
      </c>
      <c r="H2292">
        <v>-642946</v>
      </c>
      <c r="I2292">
        <v>44.9</v>
      </c>
      <c r="J2292">
        <v>0</v>
      </c>
      <c r="K2292" s="249">
        <v>111281</v>
      </c>
      <c r="L2292" s="249">
        <v>118236.0625</v>
      </c>
      <c r="M2292" s="249">
        <v>126512.58687500001</v>
      </c>
      <c r="N2292" s="249">
        <v>135368.46795625001</v>
      </c>
    </row>
    <row r="2293" spans="1:14" x14ac:dyDescent="0.25">
      <c r="A2293" t="s">
        <v>1093</v>
      </c>
      <c r="C2293" t="s">
        <v>174</v>
      </c>
      <c r="D2293" s="67">
        <v>84517</v>
      </c>
      <c r="E2293">
        <v>-290187</v>
      </c>
      <c r="F2293">
        <v>0</v>
      </c>
      <c r="G2293">
        <v>-524054</v>
      </c>
      <c r="H2293">
        <v>-642946</v>
      </c>
      <c r="I2293">
        <v>44.9</v>
      </c>
      <c r="J2293">
        <v>0</v>
      </c>
      <c r="K2293" s="249">
        <v>84517</v>
      </c>
      <c r="L2293" s="249">
        <v>89799.3125</v>
      </c>
      <c r="M2293" s="249">
        <v>96085.264374999999</v>
      </c>
      <c r="N2293" s="249">
        <v>102811.23288125001</v>
      </c>
    </row>
    <row r="2294" spans="1:14" x14ac:dyDescent="0.25">
      <c r="A2294" t="s">
        <v>1094</v>
      </c>
      <c r="C2294" t="s">
        <v>175</v>
      </c>
      <c r="D2294" s="67">
        <v>120219</v>
      </c>
      <c r="E2294">
        <v>-290187</v>
      </c>
      <c r="F2294">
        <v>0</v>
      </c>
      <c r="G2294">
        <v>-524054</v>
      </c>
      <c r="H2294">
        <v>-642946</v>
      </c>
      <c r="I2294">
        <v>44.9</v>
      </c>
      <c r="J2294">
        <v>0</v>
      </c>
      <c r="K2294" s="249">
        <v>120219</v>
      </c>
      <c r="L2294" s="249">
        <v>127732.6875</v>
      </c>
      <c r="M2294" s="249">
        <v>136673.97562499999</v>
      </c>
      <c r="N2294" s="249">
        <v>146241.15391875</v>
      </c>
    </row>
    <row r="2296" spans="1:14" x14ac:dyDescent="0.25">
      <c r="C2296" t="s">
        <v>176</v>
      </c>
      <c r="D2296" s="67">
        <v>316017</v>
      </c>
      <c r="E2296">
        <v>0</v>
      </c>
      <c r="F2296">
        <v>0</v>
      </c>
      <c r="G2296">
        <v>0</v>
      </c>
      <c r="H2296">
        <v>316017</v>
      </c>
      <c r="I2296">
        <v>0</v>
      </c>
      <c r="J2296">
        <v>0</v>
      </c>
      <c r="K2296" s="249">
        <v>316017</v>
      </c>
      <c r="L2296" s="249">
        <v>335768.0625</v>
      </c>
      <c r="M2296" s="249">
        <v>359271.82687500003</v>
      </c>
      <c r="N2296" s="249">
        <v>384420.85475625005</v>
      </c>
    </row>
    <row r="2298" spans="1:14" x14ac:dyDescent="0.25">
      <c r="C2298" t="s">
        <v>177</v>
      </c>
      <c r="D2298" s="67">
        <v>13309541</v>
      </c>
      <c r="E2298">
        <v>1314439.75</v>
      </c>
      <c r="F2298">
        <v>0</v>
      </c>
      <c r="G2298">
        <v>7028252.5099999998</v>
      </c>
      <c r="H2298">
        <v>6281288.4900000002</v>
      </c>
      <c r="I2298">
        <v>52.8</v>
      </c>
      <c r="J2298">
        <v>-254996.1799999997</v>
      </c>
      <c r="K2298" s="249">
        <v>13054544.82</v>
      </c>
      <c r="L2298" s="249">
        <v>13870453.871250002</v>
      </c>
      <c r="M2298" s="249">
        <v>14841385.642237501</v>
      </c>
      <c r="N2298" s="249">
        <v>15880282.637194127</v>
      </c>
    </row>
    <row r="2300" spans="1:14" x14ac:dyDescent="0.25">
      <c r="C2300" t="s">
        <v>178</v>
      </c>
      <c r="D2300" s="67">
        <v>13309541</v>
      </c>
      <c r="E2300">
        <v>1314439.75</v>
      </c>
      <c r="F2300">
        <v>0</v>
      </c>
      <c r="G2300">
        <v>7028252.5099999998</v>
      </c>
      <c r="H2300">
        <v>6281288.4900000002</v>
      </c>
      <c r="I2300">
        <v>52.8</v>
      </c>
      <c r="J2300">
        <v>-254996.1799999997</v>
      </c>
      <c r="K2300" s="249">
        <v>13054544.82</v>
      </c>
      <c r="L2300" s="249">
        <v>13870453.871250002</v>
      </c>
      <c r="M2300" s="249">
        <v>14841385.642237501</v>
      </c>
      <c r="N2300" s="249">
        <v>15880282.637194127</v>
      </c>
    </row>
    <row r="2302" spans="1:14" x14ac:dyDescent="0.25">
      <c r="C2302" t="s">
        <v>208</v>
      </c>
      <c r="J2302">
        <v>0</v>
      </c>
    </row>
    <row r="2303" spans="1:14" x14ac:dyDescent="0.25">
      <c r="C2303" t="s">
        <v>228</v>
      </c>
      <c r="J2303">
        <v>0</v>
      </c>
    </row>
    <row r="2305" spans="1:14" x14ac:dyDescent="0.25">
      <c r="A2305" t="s">
        <v>1095</v>
      </c>
      <c r="C2305" t="s">
        <v>235</v>
      </c>
      <c r="D2305" s="67">
        <v>39987</v>
      </c>
      <c r="E2305">
        <v>-290187</v>
      </c>
      <c r="F2305">
        <v>0</v>
      </c>
      <c r="G2305">
        <v>-524054</v>
      </c>
      <c r="H2305">
        <v>-642946</v>
      </c>
      <c r="I2305">
        <v>44.9</v>
      </c>
      <c r="J2305">
        <v>0</v>
      </c>
      <c r="K2305" s="249">
        <v>39987</v>
      </c>
      <c r="L2305" s="249">
        <v>41786.415000000001</v>
      </c>
      <c r="M2305" s="249">
        <v>43708.590089999998</v>
      </c>
      <c r="N2305" s="249">
        <v>45719.185234140001</v>
      </c>
    </row>
    <row r="2307" spans="1:14" x14ac:dyDescent="0.25">
      <c r="C2307" t="s">
        <v>239</v>
      </c>
      <c r="D2307" s="67">
        <v>39987</v>
      </c>
      <c r="E2307">
        <v>12482.61</v>
      </c>
      <c r="F2307">
        <v>0</v>
      </c>
      <c r="G2307">
        <v>12482.61</v>
      </c>
      <c r="H2307">
        <v>27504.39</v>
      </c>
      <c r="I2307">
        <v>31.21</v>
      </c>
      <c r="J2307">
        <v>0</v>
      </c>
      <c r="K2307" s="249">
        <v>39987</v>
      </c>
      <c r="L2307" s="249">
        <v>41786.415000000001</v>
      </c>
      <c r="M2307" s="249">
        <v>43708.590089999998</v>
      </c>
      <c r="N2307" s="249">
        <v>45719.185234140001</v>
      </c>
    </row>
    <row r="2309" spans="1:14" x14ac:dyDescent="0.25">
      <c r="C2309" t="s">
        <v>240</v>
      </c>
      <c r="D2309" s="67">
        <v>39987</v>
      </c>
      <c r="E2309">
        <v>12482.61</v>
      </c>
      <c r="F2309">
        <v>0</v>
      </c>
      <c r="G2309">
        <v>12482.61</v>
      </c>
      <c r="H2309">
        <v>27504.39</v>
      </c>
      <c r="I2309">
        <v>31.21</v>
      </c>
      <c r="J2309">
        <v>0</v>
      </c>
      <c r="K2309" s="249">
        <v>39987</v>
      </c>
      <c r="L2309" s="249">
        <v>41786.415000000001</v>
      </c>
      <c r="M2309" s="249">
        <v>43708.590089999998</v>
      </c>
      <c r="N2309" s="249">
        <v>45719.185234140001</v>
      </c>
    </row>
    <row r="2311" spans="1:14" x14ac:dyDescent="0.25">
      <c r="C2311" t="s">
        <v>241</v>
      </c>
      <c r="J2311">
        <v>0</v>
      </c>
    </row>
    <row r="2313" spans="1:14" x14ac:dyDescent="0.25">
      <c r="A2313" t="s">
        <v>1096</v>
      </c>
      <c r="C2313" t="s">
        <v>265</v>
      </c>
      <c r="D2313" s="67">
        <v>0</v>
      </c>
      <c r="E2313">
        <v>-290187</v>
      </c>
      <c r="F2313">
        <v>0</v>
      </c>
      <c r="G2313">
        <v>-524054</v>
      </c>
      <c r="H2313">
        <v>-642946</v>
      </c>
      <c r="I2313">
        <v>44.9</v>
      </c>
      <c r="J2313">
        <v>174021.27</v>
      </c>
      <c r="K2313" s="249">
        <v>174021.27</v>
      </c>
      <c r="L2313" s="249">
        <v>181852.22714999999</v>
      </c>
      <c r="M2313" s="249">
        <v>190217.42959889999</v>
      </c>
      <c r="N2313" s="249">
        <v>198967.43136044941</v>
      </c>
    </row>
    <row r="2314" spans="1:14" x14ac:dyDescent="0.25">
      <c r="A2314" t="s">
        <v>1097</v>
      </c>
      <c r="C2314" t="s">
        <v>268</v>
      </c>
      <c r="D2314" s="67">
        <v>0</v>
      </c>
      <c r="E2314">
        <v>-290187</v>
      </c>
      <c r="F2314">
        <v>0</v>
      </c>
      <c r="G2314">
        <v>-524054</v>
      </c>
      <c r="H2314">
        <v>-642946</v>
      </c>
      <c r="I2314">
        <v>44.9</v>
      </c>
      <c r="J2314">
        <v>219649.7</v>
      </c>
      <c r="K2314" s="249">
        <v>219649.7</v>
      </c>
      <c r="L2314" s="249">
        <v>229533.93650000001</v>
      </c>
      <c r="M2314" s="249">
        <v>240092.49757900002</v>
      </c>
      <c r="N2314" s="249">
        <v>251136.75246763401</v>
      </c>
    </row>
    <row r="2316" spans="1:14" x14ac:dyDescent="0.25">
      <c r="C2316" t="s">
        <v>274</v>
      </c>
      <c r="D2316" s="67">
        <v>0</v>
      </c>
      <c r="E2316">
        <v>29249.72</v>
      </c>
      <c r="F2316">
        <v>0</v>
      </c>
      <c r="G2316">
        <v>167831.94</v>
      </c>
      <c r="H2316">
        <v>-167831.94</v>
      </c>
      <c r="I2316">
        <v>0</v>
      </c>
      <c r="J2316">
        <v>393670.97</v>
      </c>
      <c r="K2316" s="249">
        <v>393670.97</v>
      </c>
      <c r="L2316" s="249">
        <v>411386.16365</v>
      </c>
      <c r="M2316" s="249">
        <v>430309.92717789998</v>
      </c>
      <c r="N2316" s="249">
        <v>450104.18382808345</v>
      </c>
    </row>
    <row r="2318" spans="1:14" x14ac:dyDescent="0.25">
      <c r="C2318" t="s">
        <v>290</v>
      </c>
      <c r="J2318">
        <v>0</v>
      </c>
    </row>
    <row r="2320" spans="1:14" x14ac:dyDescent="0.25">
      <c r="A2320" t="s">
        <v>1098</v>
      </c>
      <c r="C2320" t="s">
        <v>291</v>
      </c>
      <c r="D2320" s="67">
        <v>3371</v>
      </c>
      <c r="E2320">
        <v>-290187</v>
      </c>
      <c r="F2320">
        <v>0</v>
      </c>
      <c r="G2320">
        <v>-524054</v>
      </c>
      <c r="H2320">
        <v>-642946</v>
      </c>
      <c r="I2320">
        <v>44.9</v>
      </c>
      <c r="J2320">
        <v>0</v>
      </c>
      <c r="K2320" s="249">
        <v>3371</v>
      </c>
      <c r="L2320" s="249">
        <v>3522.6950000000002</v>
      </c>
      <c r="M2320" s="249">
        <v>3684.7389700000003</v>
      </c>
      <c r="N2320" s="249">
        <v>3854.2369626200002</v>
      </c>
    </row>
    <row r="2321" spans="1:14" x14ac:dyDescent="0.25">
      <c r="A2321" t="s">
        <v>1099</v>
      </c>
      <c r="C2321" t="s">
        <v>292</v>
      </c>
      <c r="D2321" s="67">
        <v>3371</v>
      </c>
      <c r="E2321">
        <v>-290187</v>
      </c>
      <c r="F2321">
        <v>0</v>
      </c>
      <c r="G2321">
        <v>-524054</v>
      </c>
      <c r="H2321">
        <v>-642946</v>
      </c>
      <c r="I2321">
        <v>44.9</v>
      </c>
      <c r="J2321">
        <v>0</v>
      </c>
      <c r="K2321" s="249">
        <v>3371</v>
      </c>
      <c r="L2321" s="249">
        <v>3522.6950000000002</v>
      </c>
      <c r="M2321" s="249">
        <v>3684.7389700000003</v>
      </c>
      <c r="N2321" s="249">
        <v>3854.2369626200002</v>
      </c>
    </row>
    <row r="2322" spans="1:14" x14ac:dyDescent="0.25">
      <c r="A2322" t="s">
        <v>1100</v>
      </c>
      <c r="C2322" t="s">
        <v>293</v>
      </c>
      <c r="D2322" s="67">
        <v>62309</v>
      </c>
      <c r="E2322">
        <v>-290187</v>
      </c>
      <c r="F2322">
        <v>0</v>
      </c>
      <c r="G2322">
        <v>-524054</v>
      </c>
      <c r="H2322">
        <v>-642946</v>
      </c>
      <c r="I2322">
        <v>44.9</v>
      </c>
      <c r="J2322">
        <v>0</v>
      </c>
      <c r="K2322" s="249">
        <v>62309</v>
      </c>
      <c r="L2322" s="249">
        <v>65112.904999999999</v>
      </c>
      <c r="M2322" s="249">
        <v>68108.098629999993</v>
      </c>
      <c r="N2322" s="249">
        <v>71241.071166979993</v>
      </c>
    </row>
    <row r="2323" spans="1:14" x14ac:dyDescent="0.25">
      <c r="A2323" t="s">
        <v>1101</v>
      </c>
      <c r="C2323" t="s">
        <v>296</v>
      </c>
      <c r="D2323" s="67">
        <v>10426</v>
      </c>
      <c r="E2323">
        <v>-290187</v>
      </c>
      <c r="F2323">
        <v>0</v>
      </c>
      <c r="G2323">
        <v>-524054</v>
      </c>
      <c r="H2323">
        <v>-642946</v>
      </c>
      <c r="I2323">
        <v>44.9</v>
      </c>
      <c r="J2323">
        <v>0</v>
      </c>
      <c r="K2323" s="249">
        <v>10426</v>
      </c>
      <c r="L2323" s="249">
        <v>10895.17</v>
      </c>
      <c r="M2323" s="249">
        <v>11396.347820000001</v>
      </c>
      <c r="N2323" s="249">
        <v>11920.57981972</v>
      </c>
    </row>
    <row r="2324" spans="1:14" x14ac:dyDescent="0.25">
      <c r="A2324" t="s">
        <v>1102</v>
      </c>
      <c r="C2324" t="s">
        <v>300</v>
      </c>
      <c r="D2324" s="67">
        <v>0</v>
      </c>
      <c r="E2324">
        <v>-290187</v>
      </c>
      <c r="F2324">
        <v>0</v>
      </c>
      <c r="G2324">
        <v>-524054</v>
      </c>
      <c r="H2324">
        <v>-642946</v>
      </c>
      <c r="I2324">
        <v>44.9</v>
      </c>
      <c r="J2324">
        <v>0</v>
      </c>
      <c r="K2324" s="249">
        <v>0</v>
      </c>
      <c r="L2324" s="249">
        <v>0</v>
      </c>
      <c r="M2324" s="249">
        <v>0</v>
      </c>
      <c r="N2324" s="249">
        <v>0</v>
      </c>
    </row>
    <row r="2325" spans="1:14" x14ac:dyDescent="0.25">
      <c r="A2325" t="s">
        <v>1103</v>
      </c>
      <c r="C2325" t="s">
        <v>301</v>
      </c>
      <c r="D2325" s="67">
        <v>11236</v>
      </c>
      <c r="E2325">
        <v>-290187</v>
      </c>
      <c r="F2325">
        <v>0</v>
      </c>
      <c r="G2325">
        <v>-524054</v>
      </c>
      <c r="H2325">
        <v>-642946</v>
      </c>
      <c r="I2325">
        <v>44.9</v>
      </c>
      <c r="J2325">
        <v>0</v>
      </c>
      <c r="K2325" s="249">
        <v>11236</v>
      </c>
      <c r="L2325" s="249">
        <v>11741.62</v>
      </c>
      <c r="M2325" s="249">
        <v>12281.73452</v>
      </c>
      <c r="N2325" s="249">
        <v>12846.694307919999</v>
      </c>
    </row>
    <row r="2327" spans="1:14" x14ac:dyDescent="0.25">
      <c r="C2327" t="s">
        <v>304</v>
      </c>
      <c r="D2327" s="67">
        <v>90713</v>
      </c>
      <c r="E2327">
        <v>69295.72</v>
      </c>
      <c r="F2327">
        <v>0</v>
      </c>
      <c r="G2327">
        <v>187108.56</v>
      </c>
      <c r="H2327">
        <v>-96395.56</v>
      </c>
      <c r="I2327">
        <v>206.26</v>
      </c>
      <c r="J2327">
        <v>0</v>
      </c>
      <c r="K2327" s="249">
        <v>90713</v>
      </c>
      <c r="L2327" s="249">
        <v>94795.084999999992</v>
      </c>
      <c r="M2327" s="249">
        <v>99155.658909999984</v>
      </c>
      <c r="N2327" s="249">
        <v>103716.81921986</v>
      </c>
    </row>
    <row r="2329" spans="1:14" x14ac:dyDescent="0.25">
      <c r="C2329" t="s">
        <v>305</v>
      </c>
      <c r="D2329" s="67">
        <v>13440241</v>
      </c>
      <c r="E2329">
        <v>1425467.8</v>
      </c>
      <c r="F2329">
        <v>0</v>
      </c>
      <c r="G2329">
        <v>7395675.6200000001</v>
      </c>
      <c r="H2329">
        <v>6044565.3799999999</v>
      </c>
      <c r="I2329">
        <v>55.02</v>
      </c>
      <c r="J2329">
        <v>138674.79000000097</v>
      </c>
      <c r="K2329" s="249">
        <v>13578915.790000001</v>
      </c>
      <c r="L2329" s="249">
        <v>14418421.534900002</v>
      </c>
      <c r="M2329" s="249">
        <v>15414559.818415402</v>
      </c>
      <c r="N2329" s="249">
        <v>16479822.825476211</v>
      </c>
    </row>
    <row r="2331" spans="1:14" x14ac:dyDescent="0.25">
      <c r="C2331" t="s">
        <v>306</v>
      </c>
      <c r="D2331" s="67">
        <v>5174730</v>
      </c>
      <c r="E2331">
        <v>736334.83</v>
      </c>
      <c r="F2331">
        <v>0</v>
      </c>
      <c r="G2331">
        <v>3295475.31</v>
      </c>
      <c r="H2331">
        <v>1879254.69</v>
      </c>
      <c r="I2331">
        <v>63.68</v>
      </c>
      <c r="J2331">
        <v>138674.79000000097</v>
      </c>
      <c r="K2331" s="249">
        <v>5313404.790000001</v>
      </c>
      <c r="L2331" s="249">
        <v>5780962.539900003</v>
      </c>
      <c r="M2331" s="249">
        <v>6377269.6950154025</v>
      </c>
      <c r="N2331" s="249">
        <v>7026817.3563998099</v>
      </c>
    </row>
    <row r="2333" spans="1:14" x14ac:dyDescent="0.25">
      <c r="C2333" t="s">
        <v>308</v>
      </c>
      <c r="J2333">
        <v>0</v>
      </c>
    </row>
    <row r="2335" spans="1:14" x14ac:dyDescent="0.25">
      <c r="A2335" t="s">
        <v>1104</v>
      </c>
      <c r="C2335" t="s">
        <v>1105</v>
      </c>
      <c r="D2335" s="67">
        <v>100000</v>
      </c>
      <c r="E2335">
        <v>-290187</v>
      </c>
      <c r="F2335">
        <v>0</v>
      </c>
      <c r="G2335">
        <v>-524054</v>
      </c>
      <c r="H2335">
        <v>-642946</v>
      </c>
      <c r="I2335">
        <v>44.9</v>
      </c>
      <c r="J2335">
        <v>-100000</v>
      </c>
      <c r="K2335" s="249">
        <v>0</v>
      </c>
      <c r="L2335" s="249">
        <v>300000</v>
      </c>
      <c r="M2335" s="249">
        <v>0</v>
      </c>
    </row>
    <row r="2337" spans="1:14" x14ac:dyDescent="0.25">
      <c r="C2337" t="s">
        <v>320</v>
      </c>
      <c r="D2337" s="67">
        <v>100000</v>
      </c>
      <c r="E2337">
        <v>0</v>
      </c>
      <c r="F2337">
        <v>0</v>
      </c>
      <c r="G2337">
        <v>0</v>
      </c>
      <c r="H2337">
        <v>100000</v>
      </c>
      <c r="I2337">
        <v>0</v>
      </c>
      <c r="J2337">
        <v>-100000</v>
      </c>
      <c r="K2337" s="249">
        <v>0</v>
      </c>
      <c r="L2337" s="249">
        <v>300000</v>
      </c>
      <c r="M2337" s="249">
        <v>0</v>
      </c>
      <c r="N2337" s="249">
        <v>0</v>
      </c>
    </row>
    <row r="2339" spans="1:14" x14ac:dyDescent="0.25">
      <c r="C2339" t="s">
        <v>1106</v>
      </c>
      <c r="J2339">
        <v>0</v>
      </c>
    </row>
    <row r="2340" spans="1:14" x14ac:dyDescent="0.25">
      <c r="C2340" t="s">
        <v>9</v>
      </c>
      <c r="J2340">
        <v>0</v>
      </c>
    </row>
    <row r="2341" spans="1:14" x14ac:dyDescent="0.25">
      <c r="C2341" t="s">
        <v>81</v>
      </c>
      <c r="J2341">
        <v>0</v>
      </c>
    </row>
    <row r="2343" spans="1:14" x14ac:dyDescent="0.25">
      <c r="A2343" t="s">
        <v>1107</v>
      </c>
      <c r="C2343" t="s">
        <v>83</v>
      </c>
      <c r="D2343" s="67">
        <v>-12565</v>
      </c>
      <c r="E2343">
        <v>-290187</v>
      </c>
      <c r="F2343">
        <v>0</v>
      </c>
      <c r="G2343">
        <v>-524054</v>
      </c>
      <c r="H2343">
        <v>-642946</v>
      </c>
      <c r="I2343">
        <v>44.9</v>
      </c>
      <c r="J2343">
        <v>0</v>
      </c>
      <c r="K2343" s="249">
        <v>-12565</v>
      </c>
      <c r="L2343" s="249">
        <v>-13130.424999999999</v>
      </c>
      <c r="M2343" s="249">
        <v>-13734.42455</v>
      </c>
      <c r="N2343" s="249">
        <v>-14366.2080793</v>
      </c>
    </row>
    <row r="2345" spans="1:14" x14ac:dyDescent="0.25">
      <c r="C2345" t="s">
        <v>90</v>
      </c>
      <c r="D2345" s="67">
        <v>-12565</v>
      </c>
      <c r="E2345">
        <v>-3408.84</v>
      </c>
      <c r="F2345">
        <v>0</v>
      </c>
      <c r="G2345">
        <v>-4408.84</v>
      </c>
      <c r="H2345">
        <v>-8156.16</v>
      </c>
      <c r="I2345">
        <v>35.08</v>
      </c>
      <c r="J2345">
        <v>0</v>
      </c>
      <c r="K2345" s="249">
        <v>-12565</v>
      </c>
      <c r="L2345" s="249">
        <v>-13130.424999999999</v>
      </c>
      <c r="M2345" s="249">
        <v>-13734.42455</v>
      </c>
      <c r="N2345" s="249">
        <v>-14366.2080793</v>
      </c>
    </row>
    <row r="2347" spans="1:14" x14ac:dyDescent="0.25">
      <c r="C2347" t="s">
        <v>94</v>
      </c>
      <c r="D2347" s="67">
        <v>-12565</v>
      </c>
      <c r="E2347">
        <v>-3408.84</v>
      </c>
      <c r="F2347">
        <v>0</v>
      </c>
      <c r="G2347">
        <v>-4408.84</v>
      </c>
      <c r="H2347">
        <v>-8156.16</v>
      </c>
      <c r="I2347">
        <v>35.08</v>
      </c>
      <c r="J2347">
        <v>0</v>
      </c>
      <c r="K2347" s="249">
        <v>-12565</v>
      </c>
      <c r="L2347" s="249">
        <v>-13130.424999999999</v>
      </c>
      <c r="M2347" s="249">
        <v>-13734.42455</v>
      </c>
      <c r="N2347" s="249">
        <v>-14366.2080793</v>
      </c>
    </row>
    <row r="2349" spans="1:14" x14ac:dyDescent="0.25">
      <c r="C2349" t="s">
        <v>95</v>
      </c>
      <c r="D2349" s="67">
        <v>-12565</v>
      </c>
      <c r="E2349">
        <v>-3408.84</v>
      </c>
      <c r="F2349">
        <v>0</v>
      </c>
      <c r="G2349">
        <v>-4408.84</v>
      </c>
      <c r="H2349">
        <v>-8156.16</v>
      </c>
      <c r="I2349">
        <v>35.08</v>
      </c>
      <c r="J2349">
        <v>0</v>
      </c>
      <c r="K2349" s="249">
        <v>-12565</v>
      </c>
      <c r="L2349" s="249">
        <v>-13130.424999999999</v>
      </c>
      <c r="M2349" s="249">
        <v>-13734.42455</v>
      </c>
      <c r="N2349" s="249">
        <v>-14366.2080793</v>
      </c>
    </row>
    <row r="2351" spans="1:14" x14ac:dyDescent="0.25">
      <c r="C2351" t="s">
        <v>96</v>
      </c>
      <c r="J2351">
        <v>0</v>
      </c>
    </row>
    <row r="2352" spans="1:14" x14ac:dyDescent="0.25">
      <c r="C2352" t="s">
        <v>97</v>
      </c>
      <c r="J2352">
        <v>0</v>
      </c>
    </row>
    <row r="2353" spans="1:14" x14ac:dyDescent="0.25">
      <c r="C2353" t="s">
        <v>148</v>
      </c>
      <c r="J2353">
        <v>0</v>
      </c>
    </row>
    <row r="2354" spans="1:14" x14ac:dyDescent="0.25">
      <c r="C2354" t="s">
        <v>149</v>
      </c>
      <c r="J2354">
        <v>0</v>
      </c>
    </row>
    <row r="2356" spans="1:14" x14ac:dyDescent="0.25">
      <c r="A2356" t="s">
        <v>1108</v>
      </c>
      <c r="C2356" t="s">
        <v>150</v>
      </c>
      <c r="D2356" s="67">
        <v>666935</v>
      </c>
      <c r="E2356">
        <v>-290187</v>
      </c>
      <c r="F2356">
        <v>0</v>
      </c>
      <c r="G2356">
        <v>-524054</v>
      </c>
      <c r="H2356">
        <v>-642946</v>
      </c>
      <c r="I2356">
        <v>44.9</v>
      </c>
      <c r="J2356">
        <v>0</v>
      </c>
      <c r="K2356" s="249">
        <v>666935</v>
      </c>
      <c r="L2356" s="249">
        <v>708618.4375</v>
      </c>
      <c r="M2356" s="249">
        <v>758221.72812500002</v>
      </c>
      <c r="N2356" s="249">
        <v>811297.24909375003</v>
      </c>
    </row>
    <row r="2357" spans="1:14" x14ac:dyDescent="0.25">
      <c r="A2357" t="s">
        <v>1109</v>
      </c>
      <c r="C2357" t="s">
        <v>151</v>
      </c>
      <c r="D2357" s="67">
        <v>30877</v>
      </c>
      <c r="E2357">
        <v>-290187</v>
      </c>
      <c r="F2357">
        <v>0</v>
      </c>
      <c r="G2357">
        <v>-524054</v>
      </c>
      <c r="H2357">
        <v>-642946</v>
      </c>
      <c r="I2357">
        <v>44.9</v>
      </c>
      <c r="J2357">
        <v>-13942.82</v>
      </c>
      <c r="K2357" s="249">
        <v>16934.18</v>
      </c>
      <c r="L2357" s="249">
        <v>17992.56625</v>
      </c>
      <c r="M2357" s="249">
        <v>19252.0458875</v>
      </c>
      <c r="N2357" s="249">
        <v>20599.689099625</v>
      </c>
    </row>
    <row r="2358" spans="1:14" x14ac:dyDescent="0.25">
      <c r="A2358" t="s">
        <v>1110</v>
      </c>
      <c r="C2358" t="s">
        <v>155</v>
      </c>
      <c r="D2358" s="67">
        <v>21927</v>
      </c>
      <c r="E2358">
        <v>-290187</v>
      </c>
      <c r="F2358">
        <v>0</v>
      </c>
      <c r="G2358">
        <v>-524054</v>
      </c>
      <c r="H2358">
        <v>-642946</v>
      </c>
      <c r="I2358">
        <v>44.9</v>
      </c>
      <c r="J2358">
        <v>0</v>
      </c>
      <c r="K2358" s="249">
        <v>21927</v>
      </c>
      <c r="L2358" s="249">
        <v>23297.4375</v>
      </c>
      <c r="M2358" s="249">
        <v>24928.258125</v>
      </c>
      <c r="N2358" s="249">
        <v>26673.236193749999</v>
      </c>
    </row>
    <row r="2359" spans="1:14" x14ac:dyDescent="0.25">
      <c r="A2359" t="s">
        <v>1111</v>
      </c>
      <c r="C2359" t="s">
        <v>157</v>
      </c>
      <c r="D2359" s="67">
        <v>58869</v>
      </c>
      <c r="E2359">
        <v>-290187</v>
      </c>
      <c r="F2359">
        <v>0</v>
      </c>
      <c r="G2359">
        <v>-524054</v>
      </c>
      <c r="H2359">
        <v>-642946</v>
      </c>
      <c r="I2359">
        <v>44.9</v>
      </c>
      <c r="J2359">
        <v>0</v>
      </c>
      <c r="K2359" s="249">
        <v>58869</v>
      </c>
      <c r="L2359" s="249">
        <v>62548.3125</v>
      </c>
      <c r="M2359" s="249">
        <v>66926.694375000006</v>
      </c>
      <c r="N2359" s="249">
        <v>71611.562981250012</v>
      </c>
    </row>
    <row r="2360" spans="1:14" x14ac:dyDescent="0.25">
      <c r="A2360" t="s">
        <v>1112</v>
      </c>
      <c r="C2360" t="s">
        <v>159</v>
      </c>
      <c r="D2360" s="67">
        <v>55578</v>
      </c>
      <c r="E2360">
        <v>-290187</v>
      </c>
      <c r="F2360">
        <v>0</v>
      </c>
      <c r="G2360">
        <v>-524054</v>
      </c>
      <c r="H2360">
        <v>-642946</v>
      </c>
      <c r="I2360">
        <v>44.9</v>
      </c>
      <c r="J2360">
        <v>0</v>
      </c>
      <c r="K2360" s="249">
        <v>55578</v>
      </c>
      <c r="L2360" s="249">
        <v>59051.625</v>
      </c>
      <c r="M2360" s="249">
        <v>63185.238750000004</v>
      </c>
      <c r="N2360" s="249">
        <v>67608.205462500002</v>
      </c>
    </row>
    <row r="2361" spans="1:14" x14ac:dyDescent="0.25">
      <c r="A2361" t="s">
        <v>1113</v>
      </c>
      <c r="C2361" t="s">
        <v>161</v>
      </c>
      <c r="D2361" s="67">
        <v>19114</v>
      </c>
      <c r="E2361">
        <v>-290187</v>
      </c>
      <c r="F2361">
        <v>0</v>
      </c>
      <c r="G2361">
        <v>-524054</v>
      </c>
      <c r="H2361">
        <v>-642946</v>
      </c>
      <c r="I2361">
        <v>44.9</v>
      </c>
      <c r="J2361">
        <v>0</v>
      </c>
      <c r="K2361" s="249">
        <v>19114</v>
      </c>
      <c r="L2361" s="249">
        <v>20308.625</v>
      </c>
      <c r="M2361" s="249">
        <v>21730.228749999998</v>
      </c>
      <c r="N2361" s="249">
        <v>23251.344762499997</v>
      </c>
    </row>
    <row r="2362" spans="1:14" x14ac:dyDescent="0.25">
      <c r="A2362" t="s">
        <v>1114</v>
      </c>
      <c r="C2362" t="s">
        <v>162</v>
      </c>
      <c r="D2362" s="67">
        <v>0</v>
      </c>
      <c r="E2362">
        <v>-290187</v>
      </c>
      <c r="F2362">
        <v>0</v>
      </c>
      <c r="G2362">
        <v>-524054</v>
      </c>
      <c r="H2362">
        <v>-642946</v>
      </c>
      <c r="I2362">
        <v>44.9</v>
      </c>
      <c r="J2362">
        <v>3000</v>
      </c>
      <c r="K2362" s="249">
        <v>3000</v>
      </c>
      <c r="L2362" s="249">
        <v>3187.5</v>
      </c>
      <c r="M2362" s="249">
        <v>3410.625</v>
      </c>
      <c r="N2362" s="249">
        <v>3649.3687500000001</v>
      </c>
    </row>
    <row r="2364" spans="1:14" x14ac:dyDescent="0.25">
      <c r="C2364" t="s">
        <v>165</v>
      </c>
      <c r="D2364" s="67">
        <v>853300</v>
      </c>
      <c r="E2364">
        <v>73056.45</v>
      </c>
      <c r="F2364">
        <v>0</v>
      </c>
      <c r="G2364">
        <v>415819.66</v>
      </c>
      <c r="H2364">
        <v>437480.34</v>
      </c>
      <c r="I2364">
        <v>48.73</v>
      </c>
      <c r="J2364">
        <v>-10942.819999999949</v>
      </c>
      <c r="K2364" s="249">
        <v>842357.18</v>
      </c>
      <c r="L2364" s="249">
        <v>895004.50375000003</v>
      </c>
      <c r="M2364" s="249">
        <v>957654.81901250011</v>
      </c>
      <c r="N2364" s="249">
        <v>1024690.6563433751</v>
      </c>
    </row>
    <row r="2366" spans="1:14" x14ac:dyDescent="0.25">
      <c r="C2366" t="s">
        <v>166</v>
      </c>
      <c r="J2366">
        <v>0</v>
      </c>
    </row>
    <row r="2368" spans="1:14" x14ac:dyDescent="0.25">
      <c r="A2368" t="s">
        <v>1115</v>
      </c>
      <c r="C2368" t="s">
        <v>167</v>
      </c>
      <c r="D2368" s="67">
        <v>449</v>
      </c>
      <c r="E2368">
        <v>-290187</v>
      </c>
      <c r="F2368">
        <v>0</v>
      </c>
      <c r="G2368">
        <v>-524054</v>
      </c>
      <c r="H2368">
        <v>-642946</v>
      </c>
      <c r="I2368">
        <v>44.9</v>
      </c>
      <c r="J2368">
        <v>0</v>
      </c>
      <c r="K2368" s="249">
        <v>449</v>
      </c>
      <c r="L2368" s="249">
        <v>477.0625</v>
      </c>
      <c r="M2368" s="249">
        <v>510.45687499999997</v>
      </c>
      <c r="N2368" s="249">
        <v>546.18885624999996</v>
      </c>
    </row>
    <row r="2369" spans="1:14" x14ac:dyDescent="0.25">
      <c r="A2369" t="s">
        <v>1116</v>
      </c>
      <c r="C2369" t="s">
        <v>168</v>
      </c>
      <c r="D2369" s="67">
        <v>67191</v>
      </c>
      <c r="E2369">
        <v>-290187</v>
      </c>
      <c r="F2369">
        <v>0</v>
      </c>
      <c r="G2369">
        <v>-524054</v>
      </c>
      <c r="H2369">
        <v>-642946</v>
      </c>
      <c r="I2369">
        <v>44.9</v>
      </c>
      <c r="J2369">
        <v>0</v>
      </c>
      <c r="K2369" s="249">
        <v>67191</v>
      </c>
      <c r="L2369" s="249">
        <v>71390.4375</v>
      </c>
      <c r="M2369" s="249">
        <v>76387.768125000002</v>
      </c>
      <c r="N2369" s="249">
        <v>81734.911893750002</v>
      </c>
    </row>
    <row r="2370" spans="1:14" x14ac:dyDescent="0.25">
      <c r="A2370" t="s">
        <v>1117</v>
      </c>
      <c r="C2370" t="s">
        <v>169</v>
      </c>
      <c r="D2370" s="67">
        <v>146726</v>
      </c>
      <c r="E2370">
        <v>-290187</v>
      </c>
      <c r="F2370">
        <v>0</v>
      </c>
      <c r="G2370">
        <v>-524054</v>
      </c>
      <c r="H2370">
        <v>-642946</v>
      </c>
      <c r="I2370">
        <v>44.9</v>
      </c>
      <c r="J2370">
        <v>0</v>
      </c>
      <c r="K2370" s="249">
        <v>146726</v>
      </c>
      <c r="L2370" s="249">
        <v>155896.375</v>
      </c>
      <c r="M2370" s="249">
        <v>166809.12125</v>
      </c>
      <c r="N2370" s="249">
        <v>178485.75973749999</v>
      </c>
    </row>
    <row r="2371" spans="1:14" x14ac:dyDescent="0.25">
      <c r="A2371" t="s">
        <v>1118</v>
      </c>
      <c r="C2371" t="s">
        <v>170</v>
      </c>
      <c r="D2371" s="67">
        <v>7140</v>
      </c>
      <c r="E2371">
        <v>-290187</v>
      </c>
      <c r="F2371">
        <v>0</v>
      </c>
      <c r="G2371">
        <v>-524054</v>
      </c>
      <c r="H2371">
        <v>-642946</v>
      </c>
      <c r="I2371">
        <v>44.9</v>
      </c>
      <c r="J2371">
        <v>0</v>
      </c>
      <c r="K2371" s="249">
        <v>7140</v>
      </c>
      <c r="L2371" s="249">
        <v>7586.25</v>
      </c>
      <c r="M2371" s="249">
        <v>8117.2875000000004</v>
      </c>
      <c r="N2371" s="249">
        <v>8685.497625</v>
      </c>
    </row>
    <row r="2373" spans="1:14" x14ac:dyDescent="0.25">
      <c r="C2373" t="s">
        <v>171</v>
      </c>
      <c r="D2373" s="67">
        <v>221506</v>
      </c>
      <c r="E2373">
        <v>18251.89</v>
      </c>
      <c r="F2373">
        <v>0</v>
      </c>
      <c r="G2373">
        <v>109067.47</v>
      </c>
      <c r="H2373">
        <v>112438.53</v>
      </c>
      <c r="I2373">
        <v>49.23</v>
      </c>
      <c r="J2373">
        <v>0</v>
      </c>
      <c r="K2373" s="249">
        <v>221506</v>
      </c>
      <c r="L2373" s="249">
        <v>235350.125</v>
      </c>
      <c r="M2373" s="249">
        <v>251824.63375000001</v>
      </c>
      <c r="N2373" s="249">
        <v>269452.35811249999</v>
      </c>
    </row>
    <row r="2375" spans="1:14" x14ac:dyDescent="0.25">
      <c r="C2375" t="s">
        <v>172</v>
      </c>
      <c r="J2375">
        <v>0</v>
      </c>
    </row>
    <row r="2377" spans="1:14" x14ac:dyDescent="0.25">
      <c r="A2377" t="s">
        <v>1119</v>
      </c>
      <c r="C2377" t="s">
        <v>173</v>
      </c>
      <c r="D2377" s="67">
        <v>46893</v>
      </c>
      <c r="E2377">
        <v>-290187</v>
      </c>
      <c r="F2377">
        <v>0</v>
      </c>
      <c r="G2377">
        <v>-524054</v>
      </c>
      <c r="H2377">
        <v>-642946</v>
      </c>
      <c r="I2377">
        <v>44.9</v>
      </c>
      <c r="J2377">
        <v>0</v>
      </c>
      <c r="K2377" s="249">
        <v>46893</v>
      </c>
      <c r="L2377" s="249">
        <v>49823.8125</v>
      </c>
      <c r="M2377" s="249">
        <v>53311.479375000003</v>
      </c>
      <c r="N2377" s="249">
        <v>57043.282931250003</v>
      </c>
    </row>
    <row r="2378" spans="1:14" x14ac:dyDescent="0.25">
      <c r="A2378" t="s">
        <v>1120</v>
      </c>
      <c r="C2378" t="s">
        <v>174</v>
      </c>
      <c r="D2378" s="67">
        <v>26482</v>
      </c>
      <c r="E2378">
        <v>-290187</v>
      </c>
      <c r="F2378">
        <v>0</v>
      </c>
      <c r="G2378">
        <v>-524054</v>
      </c>
      <c r="H2378">
        <v>-642946</v>
      </c>
      <c r="I2378">
        <v>44.9</v>
      </c>
      <c r="J2378">
        <v>0</v>
      </c>
      <c r="K2378" s="249">
        <v>26482</v>
      </c>
      <c r="L2378" s="249">
        <v>28137.125</v>
      </c>
      <c r="M2378" s="249">
        <v>30106.723750000001</v>
      </c>
      <c r="N2378" s="249">
        <v>32214.194412500001</v>
      </c>
    </row>
    <row r="2379" spans="1:14" x14ac:dyDescent="0.25">
      <c r="A2379" t="s">
        <v>1121</v>
      </c>
      <c r="C2379" t="s">
        <v>175</v>
      </c>
      <c r="D2379" s="67">
        <v>4306</v>
      </c>
      <c r="E2379">
        <v>-290187</v>
      </c>
      <c r="F2379">
        <v>0</v>
      </c>
      <c r="G2379">
        <v>-524054</v>
      </c>
      <c r="H2379">
        <v>-642946</v>
      </c>
      <c r="I2379">
        <v>44.9</v>
      </c>
      <c r="J2379">
        <v>0</v>
      </c>
      <c r="K2379" s="249">
        <v>4306</v>
      </c>
      <c r="L2379" s="249">
        <v>4575.125</v>
      </c>
      <c r="M2379" s="249">
        <v>4895.38375</v>
      </c>
      <c r="N2379" s="249">
        <v>5238.0606124999995</v>
      </c>
    </row>
    <row r="2381" spans="1:14" x14ac:dyDescent="0.25">
      <c r="C2381" t="s">
        <v>176</v>
      </c>
      <c r="D2381" s="67">
        <v>77681</v>
      </c>
      <c r="E2381">
        <v>0</v>
      </c>
      <c r="F2381">
        <v>0</v>
      </c>
      <c r="G2381">
        <v>0</v>
      </c>
      <c r="H2381">
        <v>77681</v>
      </c>
      <c r="I2381">
        <v>0</v>
      </c>
      <c r="J2381">
        <v>0</v>
      </c>
      <c r="K2381" s="249">
        <v>77681</v>
      </c>
      <c r="L2381" s="249">
        <v>82536.0625</v>
      </c>
      <c r="M2381" s="249">
        <v>88313.586874999994</v>
      </c>
      <c r="N2381" s="249">
        <v>94495.537956250017</v>
      </c>
    </row>
    <row r="2383" spans="1:14" x14ac:dyDescent="0.25">
      <c r="C2383" t="s">
        <v>177</v>
      </c>
      <c r="D2383" s="67">
        <v>1152487</v>
      </c>
      <c r="E2383">
        <v>91308.34</v>
      </c>
      <c r="F2383">
        <v>0</v>
      </c>
      <c r="G2383">
        <v>524887.13</v>
      </c>
      <c r="H2383">
        <v>627599.87</v>
      </c>
      <c r="I2383">
        <v>45.54</v>
      </c>
      <c r="J2383">
        <v>-10942.819999999832</v>
      </c>
      <c r="K2383" s="249">
        <v>1141544.1800000002</v>
      </c>
      <c r="L2383" s="249">
        <v>1212890.6912500001</v>
      </c>
      <c r="M2383" s="249">
        <v>1297793.0396375002</v>
      </c>
      <c r="N2383" s="249">
        <v>1388638.5524121253</v>
      </c>
    </row>
    <row r="2385" spans="1:14" x14ac:dyDescent="0.25">
      <c r="C2385" t="s">
        <v>178</v>
      </c>
      <c r="D2385" s="67">
        <v>1152487</v>
      </c>
      <c r="E2385">
        <v>91308.34</v>
      </c>
      <c r="F2385">
        <v>0</v>
      </c>
      <c r="G2385">
        <v>524887.13</v>
      </c>
      <c r="H2385">
        <v>627599.87</v>
      </c>
      <c r="I2385">
        <v>45.54</v>
      </c>
      <c r="J2385">
        <v>-10942.819999999832</v>
      </c>
      <c r="K2385" s="249">
        <v>1141544.1800000002</v>
      </c>
      <c r="L2385" s="249">
        <v>1212890.6912500001</v>
      </c>
      <c r="M2385" s="249">
        <v>1297793.0396375002</v>
      </c>
      <c r="N2385" s="249">
        <v>1388638.5524121253</v>
      </c>
    </row>
    <row r="2387" spans="1:14" x14ac:dyDescent="0.25">
      <c r="C2387" t="s">
        <v>208</v>
      </c>
      <c r="J2387">
        <v>0</v>
      </c>
    </row>
    <row r="2388" spans="1:14" x14ac:dyDescent="0.25">
      <c r="C2388" t="s">
        <v>228</v>
      </c>
      <c r="J2388">
        <v>0</v>
      </c>
    </row>
    <row r="2390" spans="1:14" x14ac:dyDescent="0.25">
      <c r="A2390" t="s">
        <v>1122</v>
      </c>
      <c r="C2390" t="s">
        <v>234</v>
      </c>
      <c r="D2390" s="67">
        <v>159000</v>
      </c>
      <c r="E2390">
        <v>-290187</v>
      </c>
      <c r="F2390">
        <v>0</v>
      </c>
      <c r="G2390">
        <v>-524054</v>
      </c>
      <c r="H2390">
        <v>-642946</v>
      </c>
      <c r="I2390">
        <v>44.9</v>
      </c>
      <c r="J2390">
        <v>0</v>
      </c>
      <c r="K2390" s="249">
        <v>159000</v>
      </c>
      <c r="L2390" s="249">
        <v>166155</v>
      </c>
      <c r="M2390" s="249">
        <v>173798.13</v>
      </c>
      <c r="N2390" s="249">
        <v>181792.84398000001</v>
      </c>
    </row>
    <row r="2392" spans="1:14" x14ac:dyDescent="0.25">
      <c r="C2392" t="s">
        <v>239</v>
      </c>
      <c r="D2392" s="67">
        <v>159000</v>
      </c>
      <c r="E2392">
        <v>0</v>
      </c>
      <c r="F2392">
        <v>0</v>
      </c>
      <c r="G2392">
        <v>55600</v>
      </c>
      <c r="H2392">
        <v>103400</v>
      </c>
      <c r="I2392">
        <v>34.96</v>
      </c>
      <c r="J2392">
        <v>0</v>
      </c>
      <c r="K2392" s="249">
        <v>159000</v>
      </c>
      <c r="L2392" s="249">
        <v>166155</v>
      </c>
      <c r="M2392" s="249">
        <v>173798.13</v>
      </c>
      <c r="N2392" s="249">
        <v>181792.84398000001</v>
      </c>
    </row>
    <row r="2394" spans="1:14" x14ac:dyDescent="0.25">
      <c r="C2394" t="s">
        <v>240</v>
      </c>
      <c r="D2394" s="67">
        <v>159000</v>
      </c>
      <c r="E2394">
        <v>0</v>
      </c>
      <c r="F2394">
        <v>0</v>
      </c>
      <c r="G2394">
        <v>55600</v>
      </c>
      <c r="H2394">
        <v>103400</v>
      </c>
      <c r="I2394">
        <v>34.96</v>
      </c>
      <c r="J2394">
        <v>0</v>
      </c>
      <c r="K2394" s="249">
        <v>159000</v>
      </c>
      <c r="L2394" s="249">
        <v>166155</v>
      </c>
      <c r="M2394" s="249">
        <v>173798.13</v>
      </c>
      <c r="N2394" s="249">
        <v>181792.84398000001</v>
      </c>
    </row>
    <row r="2396" spans="1:14" x14ac:dyDescent="0.25">
      <c r="C2396" t="s">
        <v>241</v>
      </c>
      <c r="J2396">
        <v>0</v>
      </c>
    </row>
    <row r="2398" spans="1:14" x14ac:dyDescent="0.25">
      <c r="A2398" t="s">
        <v>1123</v>
      </c>
      <c r="C2398" t="s">
        <v>265</v>
      </c>
      <c r="D2398" s="67">
        <v>0</v>
      </c>
      <c r="E2398">
        <v>-290187</v>
      </c>
      <c r="F2398">
        <v>0</v>
      </c>
      <c r="G2398">
        <v>-524054</v>
      </c>
      <c r="H2398">
        <v>-642946</v>
      </c>
      <c r="I2398">
        <v>44.9</v>
      </c>
      <c r="J2398">
        <v>8562.4</v>
      </c>
      <c r="K2398" s="249">
        <v>8562.4</v>
      </c>
      <c r="L2398" s="249">
        <v>8947.7079999999987</v>
      </c>
      <c r="M2398" s="249">
        <v>9359.3025679999992</v>
      </c>
      <c r="N2398" s="249">
        <v>9789.8304861279994</v>
      </c>
    </row>
    <row r="2400" spans="1:14" x14ac:dyDescent="0.25">
      <c r="C2400" t="s">
        <v>274</v>
      </c>
      <c r="D2400" s="67">
        <v>0</v>
      </c>
      <c r="E2400">
        <v>750.78</v>
      </c>
      <c r="F2400">
        <v>0</v>
      </c>
      <c r="G2400">
        <v>4281.2</v>
      </c>
      <c r="H2400">
        <v>-4281.2</v>
      </c>
      <c r="I2400">
        <v>0</v>
      </c>
      <c r="J2400">
        <v>8562.4</v>
      </c>
      <c r="K2400" s="249">
        <v>8562.4</v>
      </c>
      <c r="L2400" s="249">
        <v>8947.7079999999987</v>
      </c>
      <c r="M2400" s="249">
        <v>9359.3025679999992</v>
      </c>
      <c r="N2400" s="249">
        <v>9789.8304861279994</v>
      </c>
    </row>
    <row r="2402" spans="1:14" x14ac:dyDescent="0.25">
      <c r="C2402" t="s">
        <v>290</v>
      </c>
      <c r="J2402">
        <v>0</v>
      </c>
    </row>
    <row r="2404" spans="1:14" x14ac:dyDescent="0.25">
      <c r="A2404" t="s">
        <v>1124</v>
      </c>
      <c r="C2404" t="s">
        <v>296</v>
      </c>
      <c r="D2404" s="67">
        <v>0</v>
      </c>
      <c r="E2404">
        <v>-290187</v>
      </c>
      <c r="F2404">
        <v>0</v>
      </c>
      <c r="G2404">
        <v>-524054</v>
      </c>
      <c r="H2404">
        <v>-642946</v>
      </c>
      <c r="I2404">
        <v>44.9</v>
      </c>
      <c r="J2404">
        <v>0</v>
      </c>
      <c r="K2404" s="249">
        <v>0</v>
      </c>
      <c r="L2404" s="249">
        <v>0</v>
      </c>
      <c r="M2404" s="249">
        <v>0</v>
      </c>
    </row>
    <row r="2406" spans="1:14" x14ac:dyDescent="0.25">
      <c r="C2406" t="s">
        <v>304</v>
      </c>
      <c r="D2406" s="67">
        <v>0</v>
      </c>
      <c r="E2406">
        <v>9027.1</v>
      </c>
      <c r="F2406">
        <v>0</v>
      </c>
      <c r="G2406">
        <v>18054.2</v>
      </c>
      <c r="H2406">
        <v>-18054.2</v>
      </c>
      <c r="I2406">
        <v>0</v>
      </c>
      <c r="J2406">
        <v>0</v>
      </c>
      <c r="K2406" s="249">
        <v>0</v>
      </c>
      <c r="L2406" s="249">
        <v>0</v>
      </c>
      <c r="M2406" s="249">
        <v>0</v>
      </c>
      <c r="N2406" s="249">
        <v>0</v>
      </c>
    </row>
    <row r="2408" spans="1:14" x14ac:dyDescent="0.25">
      <c r="C2408" t="s">
        <v>305</v>
      </c>
      <c r="D2408" s="67">
        <v>1311487</v>
      </c>
      <c r="E2408">
        <v>101086.22</v>
      </c>
      <c r="F2408">
        <v>0</v>
      </c>
      <c r="G2408">
        <v>602822.53</v>
      </c>
      <c r="H2408">
        <v>708664.47</v>
      </c>
      <c r="I2408">
        <v>45.96</v>
      </c>
      <c r="J2408">
        <v>-2380.4199999999255</v>
      </c>
      <c r="K2408" s="249">
        <v>1309106.58</v>
      </c>
      <c r="L2408" s="249">
        <v>1387993.3992500002</v>
      </c>
      <c r="M2408" s="249">
        <v>1480950.4722055004</v>
      </c>
      <c r="N2408" s="249">
        <v>1580221.2268782533</v>
      </c>
    </row>
    <row r="2410" spans="1:14" x14ac:dyDescent="0.25">
      <c r="C2410" t="s">
        <v>306</v>
      </c>
      <c r="D2410" s="67">
        <v>1298922</v>
      </c>
      <c r="E2410">
        <v>97677.38</v>
      </c>
      <c r="F2410">
        <v>0</v>
      </c>
      <c r="G2410">
        <v>598413.68999999994</v>
      </c>
      <c r="H2410">
        <v>700508.31</v>
      </c>
      <c r="I2410">
        <v>46.07</v>
      </c>
      <c r="J2410">
        <v>-2380.4199999999255</v>
      </c>
      <c r="K2410" s="249">
        <v>1296541.58</v>
      </c>
      <c r="L2410" s="249">
        <v>1374862.9742500002</v>
      </c>
      <c r="M2410" s="249">
        <v>1467216.0476555002</v>
      </c>
      <c r="N2410" s="249">
        <v>1565855.0187989534</v>
      </c>
    </row>
    <row r="2412" spans="1:14" x14ac:dyDescent="0.25">
      <c r="C2412" t="s">
        <v>308</v>
      </c>
      <c r="J2412">
        <v>0</v>
      </c>
    </row>
    <row r="2414" spans="1:14" x14ac:dyDescent="0.25">
      <c r="C2414" t="s">
        <v>1125</v>
      </c>
      <c r="J2414">
        <v>0</v>
      </c>
    </row>
    <row r="2415" spans="1:14" x14ac:dyDescent="0.25">
      <c r="C2415" t="s">
        <v>9</v>
      </c>
      <c r="J2415">
        <v>0</v>
      </c>
    </row>
    <row r="2416" spans="1:14" x14ac:dyDescent="0.25">
      <c r="C2416" t="s">
        <v>42</v>
      </c>
      <c r="J2416">
        <v>0</v>
      </c>
    </row>
    <row r="2418" spans="1:14" x14ac:dyDescent="0.25">
      <c r="A2418" t="s">
        <v>1126</v>
      </c>
      <c r="C2418" t="s">
        <v>49</v>
      </c>
      <c r="D2418" s="67">
        <v>-2285558</v>
      </c>
      <c r="E2418">
        <v>-290187</v>
      </c>
      <c r="F2418">
        <v>0</v>
      </c>
      <c r="G2418">
        <v>-524054</v>
      </c>
      <c r="H2418">
        <v>-642946</v>
      </c>
      <c r="I2418">
        <v>44.9</v>
      </c>
      <c r="J2418">
        <v>0</v>
      </c>
      <c r="K2418" s="249">
        <v>-2285558</v>
      </c>
      <c r="L2418" s="249">
        <v>-2388408.11</v>
      </c>
      <c r="M2418" s="249">
        <v>-2498274.8830599999</v>
      </c>
      <c r="N2418" s="249">
        <v>-2613195.5276807598</v>
      </c>
    </row>
    <row r="2419" spans="1:14" x14ac:dyDescent="0.25">
      <c r="A2419" t="s">
        <v>1127</v>
      </c>
      <c r="C2419" t="s">
        <v>50</v>
      </c>
      <c r="D2419" s="67">
        <v>0</v>
      </c>
      <c r="E2419">
        <v>-290187</v>
      </c>
      <c r="F2419">
        <v>0</v>
      </c>
      <c r="G2419">
        <v>-524054</v>
      </c>
      <c r="H2419">
        <v>-642946</v>
      </c>
      <c r="I2419">
        <v>44.9</v>
      </c>
      <c r="J2419">
        <v>0</v>
      </c>
      <c r="K2419" s="249">
        <v>0</v>
      </c>
      <c r="L2419" s="249">
        <v>0</v>
      </c>
      <c r="M2419" s="249">
        <v>0</v>
      </c>
    </row>
    <row r="2420" spans="1:14" x14ac:dyDescent="0.25">
      <c r="A2420" t="s">
        <v>1128</v>
      </c>
      <c r="C2420" t="s">
        <v>51</v>
      </c>
      <c r="D2420" s="67">
        <v>-2779</v>
      </c>
      <c r="E2420">
        <v>-290187</v>
      </c>
      <c r="F2420">
        <v>0</v>
      </c>
      <c r="G2420">
        <v>-524054</v>
      </c>
      <c r="H2420">
        <v>-642946</v>
      </c>
      <c r="I2420">
        <v>44.9</v>
      </c>
      <c r="J2420">
        <v>0</v>
      </c>
      <c r="K2420" s="249">
        <v>-2779</v>
      </c>
      <c r="L2420" s="249">
        <v>-2904.0549999999998</v>
      </c>
      <c r="M2420" s="249">
        <v>-3037.6415299999999</v>
      </c>
      <c r="N2420" s="249">
        <v>-3177.37304038</v>
      </c>
    </row>
    <row r="2422" spans="1:14" x14ac:dyDescent="0.25">
      <c r="C2422" t="s">
        <v>55</v>
      </c>
      <c r="D2422" s="67">
        <v>-2288337</v>
      </c>
      <c r="E2422">
        <v>-183433.4</v>
      </c>
      <c r="F2422">
        <v>0</v>
      </c>
      <c r="G2422">
        <v>-1100205.7</v>
      </c>
      <c r="H2422">
        <v>-1188131.3</v>
      </c>
      <c r="I2422">
        <v>48.07</v>
      </c>
      <c r="J2422">
        <v>0</v>
      </c>
      <c r="K2422" s="249">
        <v>-2288337</v>
      </c>
      <c r="L2422" s="249">
        <v>-2391312.165</v>
      </c>
      <c r="M2422" s="249">
        <v>-2501312.52459</v>
      </c>
      <c r="N2422" s="249">
        <v>-2616372.9007211397</v>
      </c>
    </row>
    <row r="2424" spans="1:14" x14ac:dyDescent="0.25">
      <c r="C2424" t="s">
        <v>56</v>
      </c>
      <c r="J2424">
        <v>0</v>
      </c>
    </row>
    <row r="2426" spans="1:14" x14ac:dyDescent="0.25">
      <c r="A2426" t="s">
        <v>1129</v>
      </c>
      <c r="C2426" t="s">
        <v>59</v>
      </c>
      <c r="D2426" s="67">
        <v>-219191</v>
      </c>
      <c r="E2426">
        <v>-17032.490000000002</v>
      </c>
      <c r="F2426">
        <v>0</v>
      </c>
      <c r="G2426">
        <v>-97021.84</v>
      </c>
      <c r="H2426">
        <v>-122169.16</v>
      </c>
      <c r="I2426">
        <v>44.26</v>
      </c>
      <c r="J2426">
        <v>0</v>
      </c>
      <c r="K2426" s="249">
        <v>-219191</v>
      </c>
      <c r="L2426" s="249">
        <v>-229931.359</v>
      </c>
      <c r="M2426" s="249">
        <v>-240968.064232</v>
      </c>
      <c r="N2426" s="249">
        <v>-252534.531315136</v>
      </c>
    </row>
    <row r="2428" spans="1:14" x14ac:dyDescent="0.25">
      <c r="C2428" t="s">
        <v>64</v>
      </c>
      <c r="D2428" s="67">
        <v>-219191</v>
      </c>
      <c r="E2428">
        <v>-17032.490000000002</v>
      </c>
      <c r="F2428">
        <v>0</v>
      </c>
      <c r="G2428">
        <v>-97021.84</v>
      </c>
      <c r="H2428">
        <v>-122169.16</v>
      </c>
      <c r="I2428">
        <v>44.26</v>
      </c>
      <c r="J2428">
        <v>0</v>
      </c>
      <c r="K2428" s="249">
        <v>-219191</v>
      </c>
      <c r="L2428" s="249">
        <v>-229931.359</v>
      </c>
      <c r="M2428" s="249">
        <v>-240968.064232</v>
      </c>
      <c r="N2428" s="249">
        <v>-252534.531315136</v>
      </c>
    </row>
    <row r="2430" spans="1:14" x14ac:dyDescent="0.25">
      <c r="C2430" t="s">
        <v>94</v>
      </c>
      <c r="D2430" s="67">
        <v>-2507528</v>
      </c>
      <c r="E2430">
        <v>-200465.89</v>
      </c>
      <c r="F2430">
        <v>0</v>
      </c>
      <c r="G2430">
        <v>-1197227.54</v>
      </c>
      <c r="H2430">
        <v>-1310300.46</v>
      </c>
      <c r="I2430">
        <v>47.74</v>
      </c>
      <c r="J2430">
        <v>0</v>
      </c>
      <c r="K2430" s="249">
        <v>-2507528</v>
      </c>
      <c r="L2430" s="249">
        <v>-2621243.5240000002</v>
      </c>
      <c r="M2430" s="249">
        <v>-2742280.5888220002</v>
      </c>
      <c r="N2430" s="249">
        <v>-2868907.432036276</v>
      </c>
    </row>
    <row r="2432" spans="1:14" x14ac:dyDescent="0.25">
      <c r="C2432" t="s">
        <v>95</v>
      </c>
      <c r="D2432" s="67">
        <v>-2507528</v>
      </c>
      <c r="E2432">
        <v>-200465.89</v>
      </c>
      <c r="F2432">
        <v>0</v>
      </c>
      <c r="G2432">
        <v>-1197227.54</v>
      </c>
      <c r="H2432">
        <v>-1310300.46</v>
      </c>
      <c r="I2432">
        <v>47.74</v>
      </c>
      <c r="J2432">
        <v>0</v>
      </c>
      <c r="K2432" s="249">
        <v>-2507528</v>
      </c>
      <c r="L2432" s="249">
        <v>-2621243.5240000002</v>
      </c>
      <c r="M2432" s="249">
        <v>-2742280.5888220002</v>
      </c>
      <c r="N2432" s="249">
        <v>-2868907.432036276</v>
      </c>
    </row>
    <row r="2434" spans="1:14" x14ac:dyDescent="0.25">
      <c r="C2434" t="s">
        <v>96</v>
      </c>
      <c r="J2434">
        <v>0</v>
      </c>
    </row>
    <row r="2435" spans="1:14" x14ac:dyDescent="0.25">
      <c r="C2435" t="s">
        <v>97</v>
      </c>
      <c r="J2435">
        <v>0</v>
      </c>
    </row>
    <row r="2436" spans="1:14" x14ac:dyDescent="0.25">
      <c r="C2436" t="s">
        <v>148</v>
      </c>
      <c r="J2436">
        <v>0</v>
      </c>
    </row>
    <row r="2437" spans="1:14" x14ac:dyDescent="0.25">
      <c r="C2437" t="s">
        <v>149</v>
      </c>
      <c r="J2437">
        <v>0</v>
      </c>
    </row>
    <row r="2439" spans="1:14" x14ac:dyDescent="0.25">
      <c r="A2439" t="s">
        <v>1130</v>
      </c>
      <c r="C2439" t="s">
        <v>150</v>
      </c>
      <c r="D2439" s="67">
        <v>3160845</v>
      </c>
      <c r="E2439">
        <v>-290187</v>
      </c>
      <c r="F2439">
        <v>0</v>
      </c>
      <c r="G2439">
        <v>-524054</v>
      </c>
      <c r="H2439">
        <v>-642946</v>
      </c>
      <c r="I2439">
        <v>44.9</v>
      </c>
      <c r="J2439">
        <v>0</v>
      </c>
      <c r="K2439" s="249">
        <v>3160845</v>
      </c>
      <c r="L2439" s="249">
        <v>3358397.8125</v>
      </c>
      <c r="M2439" s="249">
        <v>3593485.6593749998</v>
      </c>
      <c r="N2439" s="249">
        <v>3845029.6555312499</v>
      </c>
    </row>
    <row r="2440" spans="1:14" x14ac:dyDescent="0.25">
      <c r="A2440" t="s">
        <v>1131</v>
      </c>
      <c r="C2440" t="s">
        <v>151</v>
      </c>
      <c r="D2440" s="67">
        <v>146335</v>
      </c>
      <c r="E2440">
        <v>-290187</v>
      </c>
      <c r="F2440">
        <v>0</v>
      </c>
      <c r="G2440">
        <v>-524054</v>
      </c>
      <c r="H2440">
        <v>-642946</v>
      </c>
      <c r="I2440">
        <v>44.9</v>
      </c>
      <c r="J2440">
        <v>-27795.740000000049</v>
      </c>
      <c r="K2440" s="249">
        <v>118539.25999999995</v>
      </c>
      <c r="L2440" s="249">
        <v>125947.96374999995</v>
      </c>
      <c r="M2440" s="249">
        <v>134764.32121249996</v>
      </c>
      <c r="N2440" s="249">
        <v>144197.82369737496</v>
      </c>
    </row>
    <row r="2441" spans="1:14" x14ac:dyDescent="0.25">
      <c r="A2441" t="s">
        <v>1132</v>
      </c>
      <c r="C2441" t="s">
        <v>152</v>
      </c>
      <c r="D2441" s="67">
        <v>28200</v>
      </c>
      <c r="E2441">
        <v>-290187</v>
      </c>
      <c r="F2441">
        <v>0</v>
      </c>
      <c r="G2441">
        <v>-524054</v>
      </c>
      <c r="H2441">
        <v>-642946</v>
      </c>
      <c r="I2441">
        <v>44.9</v>
      </c>
      <c r="J2441">
        <v>0</v>
      </c>
      <c r="K2441" s="249">
        <v>28200</v>
      </c>
      <c r="L2441" s="249">
        <v>29962.5</v>
      </c>
      <c r="M2441" s="249">
        <v>32059.875</v>
      </c>
      <c r="N2441" s="249">
        <v>34304.066250000003</v>
      </c>
    </row>
    <row r="2442" spans="1:14" x14ac:dyDescent="0.25">
      <c r="A2442" t="s">
        <v>1133</v>
      </c>
      <c r="C2442" t="s">
        <v>155</v>
      </c>
      <c r="D2442" s="67">
        <v>103918</v>
      </c>
      <c r="E2442">
        <v>-290187</v>
      </c>
      <c r="F2442">
        <v>0</v>
      </c>
      <c r="G2442">
        <v>-524054</v>
      </c>
      <c r="H2442">
        <v>-642946</v>
      </c>
      <c r="I2442">
        <v>44.9</v>
      </c>
      <c r="J2442">
        <v>0</v>
      </c>
      <c r="K2442" s="249">
        <v>103918</v>
      </c>
      <c r="L2442" s="249">
        <v>110412.875</v>
      </c>
      <c r="M2442" s="249">
        <v>118141.77625</v>
      </c>
      <c r="N2442" s="249">
        <v>126411.7005875</v>
      </c>
    </row>
    <row r="2443" spans="1:14" x14ac:dyDescent="0.25">
      <c r="A2443" t="s">
        <v>1134</v>
      </c>
      <c r="C2443" t="s">
        <v>156</v>
      </c>
      <c r="D2443" s="67">
        <v>199536</v>
      </c>
      <c r="E2443">
        <v>-290187</v>
      </c>
      <c r="F2443">
        <v>0</v>
      </c>
      <c r="G2443">
        <v>-524054</v>
      </c>
      <c r="H2443">
        <v>-642946</v>
      </c>
      <c r="I2443">
        <v>44.9</v>
      </c>
      <c r="J2443">
        <v>0</v>
      </c>
      <c r="K2443" s="249">
        <v>199536</v>
      </c>
      <c r="L2443" s="249">
        <v>212007</v>
      </c>
      <c r="M2443" s="249">
        <v>226847.49</v>
      </c>
      <c r="N2443" s="249">
        <v>242726.8143</v>
      </c>
    </row>
    <row r="2444" spans="1:14" x14ac:dyDescent="0.25">
      <c r="A2444" t="s">
        <v>1135</v>
      </c>
      <c r="C2444" t="s">
        <v>157</v>
      </c>
      <c r="D2444" s="67">
        <v>249992</v>
      </c>
      <c r="E2444">
        <v>-290187</v>
      </c>
      <c r="F2444">
        <v>0</v>
      </c>
      <c r="G2444">
        <v>-524054</v>
      </c>
      <c r="H2444">
        <v>-642946</v>
      </c>
      <c r="I2444">
        <v>44.9</v>
      </c>
      <c r="J2444">
        <v>0</v>
      </c>
      <c r="K2444" s="249">
        <v>249992</v>
      </c>
      <c r="L2444" s="249">
        <v>265616.5</v>
      </c>
      <c r="M2444" s="249">
        <v>284209.65500000003</v>
      </c>
      <c r="N2444" s="249">
        <v>304104.33085000003</v>
      </c>
    </row>
    <row r="2445" spans="1:14" x14ac:dyDescent="0.25">
      <c r="A2445" t="s">
        <v>1136</v>
      </c>
      <c r="C2445" t="s">
        <v>159</v>
      </c>
      <c r="D2445" s="67">
        <v>263404</v>
      </c>
      <c r="E2445">
        <v>-290187</v>
      </c>
      <c r="F2445">
        <v>0</v>
      </c>
      <c r="G2445">
        <v>-524054</v>
      </c>
      <c r="H2445">
        <v>-642946</v>
      </c>
      <c r="I2445">
        <v>44.9</v>
      </c>
      <c r="J2445">
        <v>0</v>
      </c>
      <c r="K2445" s="249">
        <v>263404</v>
      </c>
      <c r="L2445" s="249">
        <v>279866.75</v>
      </c>
      <c r="M2445" s="249">
        <v>299457.42249999999</v>
      </c>
      <c r="N2445" s="249">
        <v>320419.44207499997</v>
      </c>
    </row>
    <row r="2446" spans="1:14" x14ac:dyDescent="0.25">
      <c r="A2446" t="s">
        <v>1137</v>
      </c>
      <c r="C2446" t="s">
        <v>161</v>
      </c>
      <c r="D2446" s="67">
        <v>56699</v>
      </c>
      <c r="E2446">
        <v>-290187</v>
      </c>
      <c r="F2446">
        <v>0</v>
      </c>
      <c r="G2446">
        <v>-524054</v>
      </c>
      <c r="H2446">
        <v>-642946</v>
      </c>
      <c r="I2446">
        <v>44.9</v>
      </c>
      <c r="J2446">
        <v>0</v>
      </c>
      <c r="K2446" s="249">
        <v>56699</v>
      </c>
      <c r="L2446" s="249">
        <v>60242.6875</v>
      </c>
      <c r="M2446" s="249">
        <v>64459.675625000003</v>
      </c>
      <c r="N2446" s="249">
        <v>68971.85291875001</v>
      </c>
    </row>
    <row r="2447" spans="1:14" x14ac:dyDescent="0.25">
      <c r="A2447" t="s">
        <v>1138</v>
      </c>
      <c r="C2447" t="s">
        <v>162</v>
      </c>
      <c r="D2447" s="67">
        <v>0</v>
      </c>
      <c r="E2447">
        <v>-290187</v>
      </c>
      <c r="F2447">
        <v>0</v>
      </c>
      <c r="G2447">
        <v>-524054</v>
      </c>
      <c r="H2447">
        <v>-642946</v>
      </c>
      <c r="I2447">
        <v>44.9</v>
      </c>
      <c r="J2447">
        <v>24000</v>
      </c>
      <c r="K2447" s="249">
        <v>24000</v>
      </c>
      <c r="L2447" s="249">
        <v>25500</v>
      </c>
      <c r="M2447" s="249">
        <v>27285</v>
      </c>
      <c r="N2447" s="249">
        <v>29194.95</v>
      </c>
    </row>
    <row r="2449" spans="1:14" x14ac:dyDescent="0.25">
      <c r="C2449" t="s">
        <v>165</v>
      </c>
      <c r="D2449" s="67">
        <v>4208929</v>
      </c>
      <c r="E2449">
        <v>409905.86</v>
      </c>
      <c r="F2449">
        <v>0</v>
      </c>
      <c r="G2449">
        <v>1964430.97</v>
      </c>
      <c r="H2449">
        <v>2244498.0299999998</v>
      </c>
      <c r="I2449">
        <v>46.67</v>
      </c>
      <c r="J2449">
        <v>-3795.7400000002235</v>
      </c>
      <c r="K2449" s="249">
        <v>4205133.26</v>
      </c>
      <c r="L2449" s="249">
        <v>4467954.0887500001</v>
      </c>
      <c r="M2449" s="249">
        <v>4780710.8749625003</v>
      </c>
      <c r="N2449" s="249">
        <v>5115360.6362098753</v>
      </c>
    </row>
    <row r="2451" spans="1:14" x14ac:dyDescent="0.25">
      <c r="C2451" t="s">
        <v>166</v>
      </c>
      <c r="J2451">
        <v>276424</v>
      </c>
      <c r="K2451" s="249">
        <v>0</v>
      </c>
    </row>
    <row r="2453" spans="1:14" x14ac:dyDescent="0.25">
      <c r="A2453" t="s">
        <v>1139</v>
      </c>
      <c r="C2453" t="s">
        <v>167</v>
      </c>
      <c r="D2453" s="67">
        <v>1573</v>
      </c>
      <c r="E2453">
        <v>-290187</v>
      </c>
      <c r="F2453">
        <v>0</v>
      </c>
      <c r="G2453">
        <v>-524054</v>
      </c>
      <c r="H2453">
        <v>-642946</v>
      </c>
      <c r="I2453">
        <v>44.9</v>
      </c>
      <c r="J2453">
        <v>0</v>
      </c>
      <c r="K2453" s="249">
        <v>1573</v>
      </c>
      <c r="L2453" s="249">
        <v>1671.3125</v>
      </c>
      <c r="M2453" s="249">
        <v>1788.3043749999999</v>
      </c>
      <c r="N2453" s="249">
        <v>1913.48568125</v>
      </c>
    </row>
    <row r="2454" spans="1:14" x14ac:dyDescent="0.25">
      <c r="A2454" t="s">
        <v>1140</v>
      </c>
      <c r="C2454" t="s">
        <v>168</v>
      </c>
      <c r="D2454" s="67">
        <v>268764</v>
      </c>
      <c r="E2454">
        <v>-290187</v>
      </c>
      <c r="F2454">
        <v>0</v>
      </c>
      <c r="G2454">
        <v>-524054</v>
      </c>
      <c r="H2454">
        <v>-642946</v>
      </c>
      <c r="I2454">
        <v>44.9</v>
      </c>
      <c r="J2454">
        <v>0</v>
      </c>
      <c r="K2454" s="249">
        <v>268764</v>
      </c>
      <c r="L2454" s="249">
        <v>285561.75</v>
      </c>
      <c r="M2454" s="249">
        <v>305551.07250000001</v>
      </c>
      <c r="N2454" s="249">
        <v>326939.64757500001</v>
      </c>
    </row>
    <row r="2455" spans="1:14" x14ac:dyDescent="0.25">
      <c r="A2455" t="s">
        <v>1141</v>
      </c>
      <c r="C2455" t="s">
        <v>169</v>
      </c>
      <c r="D2455" s="67">
        <v>695386</v>
      </c>
      <c r="E2455">
        <v>-290187</v>
      </c>
      <c r="F2455">
        <v>0</v>
      </c>
      <c r="G2455">
        <v>-524054</v>
      </c>
      <c r="H2455">
        <v>-642946</v>
      </c>
      <c r="I2455">
        <v>44.9</v>
      </c>
      <c r="J2455">
        <v>0</v>
      </c>
      <c r="K2455" s="249">
        <v>695386</v>
      </c>
      <c r="L2455" s="249">
        <v>738847.625</v>
      </c>
      <c r="M2455" s="249">
        <v>790566.95874999999</v>
      </c>
      <c r="N2455" s="249">
        <v>845906.64586249995</v>
      </c>
    </row>
    <row r="2456" spans="1:14" x14ac:dyDescent="0.25">
      <c r="A2456" t="s">
        <v>1142</v>
      </c>
      <c r="C2456" t="s">
        <v>170</v>
      </c>
      <c r="D2456" s="67">
        <v>24990</v>
      </c>
      <c r="E2456">
        <v>-290187</v>
      </c>
      <c r="F2456">
        <v>0</v>
      </c>
      <c r="G2456">
        <v>-524054</v>
      </c>
      <c r="H2456">
        <v>-642946</v>
      </c>
      <c r="I2456">
        <v>44.9</v>
      </c>
      <c r="J2456">
        <v>0</v>
      </c>
      <c r="K2456" s="249">
        <v>24990</v>
      </c>
      <c r="L2456" s="249">
        <v>26551.875</v>
      </c>
      <c r="M2456" s="249">
        <v>28410.506249999999</v>
      </c>
      <c r="N2456" s="249">
        <v>30399.241687499998</v>
      </c>
    </row>
    <row r="2458" spans="1:14" x14ac:dyDescent="0.25">
      <c r="C2458" t="s">
        <v>171</v>
      </c>
      <c r="D2458" s="67">
        <v>990713</v>
      </c>
      <c r="E2458">
        <v>78220.03</v>
      </c>
      <c r="F2458">
        <v>0</v>
      </c>
      <c r="G2458">
        <v>468306.97</v>
      </c>
      <c r="H2458">
        <v>522406.03</v>
      </c>
      <c r="I2458">
        <v>47.26</v>
      </c>
      <c r="J2458">
        <v>0</v>
      </c>
      <c r="K2458" s="249">
        <v>990713</v>
      </c>
      <c r="L2458" s="249">
        <v>1052632.5625</v>
      </c>
      <c r="M2458" s="249">
        <v>1126316.8418750002</v>
      </c>
      <c r="N2458" s="249">
        <v>1205159.0208062499</v>
      </c>
    </row>
    <row r="2460" spans="1:14" x14ac:dyDescent="0.25">
      <c r="C2460" t="s">
        <v>172</v>
      </c>
      <c r="J2460">
        <v>276424</v>
      </c>
      <c r="K2460" s="249">
        <v>0</v>
      </c>
    </row>
    <row r="2462" spans="1:14" x14ac:dyDescent="0.25">
      <c r="A2462" t="s">
        <v>1143</v>
      </c>
      <c r="C2462" t="s">
        <v>173</v>
      </c>
      <c r="D2462" s="67">
        <v>56609</v>
      </c>
      <c r="E2462">
        <v>-290187</v>
      </c>
      <c r="F2462">
        <v>0</v>
      </c>
      <c r="G2462">
        <v>-524054</v>
      </c>
      <c r="H2462">
        <v>-642946</v>
      </c>
      <c r="I2462">
        <v>44.9</v>
      </c>
      <c r="J2462">
        <v>0</v>
      </c>
      <c r="K2462" s="249">
        <v>56609</v>
      </c>
      <c r="L2462" s="249">
        <v>60147.0625</v>
      </c>
      <c r="M2462" s="249">
        <v>64357.356874999998</v>
      </c>
      <c r="N2462" s="249">
        <v>68862.37185625</v>
      </c>
    </row>
    <row r="2463" spans="1:14" x14ac:dyDescent="0.25">
      <c r="A2463" t="s">
        <v>1144</v>
      </c>
      <c r="C2463" t="s">
        <v>174</v>
      </c>
      <c r="D2463" s="67">
        <v>73319</v>
      </c>
      <c r="E2463">
        <v>-290187</v>
      </c>
      <c r="F2463">
        <v>0</v>
      </c>
      <c r="G2463">
        <v>-524054</v>
      </c>
      <c r="H2463">
        <v>-642946</v>
      </c>
      <c r="I2463">
        <v>44.9</v>
      </c>
      <c r="J2463">
        <v>0</v>
      </c>
      <c r="K2463" s="249">
        <v>73319</v>
      </c>
      <c r="L2463" s="249">
        <v>77901.4375</v>
      </c>
      <c r="M2463" s="249">
        <v>83354.538125000006</v>
      </c>
      <c r="N2463" s="249">
        <v>89189.355793750001</v>
      </c>
    </row>
    <row r="2464" spans="1:14" x14ac:dyDescent="0.25">
      <c r="A2464" t="s">
        <v>1145</v>
      </c>
      <c r="C2464" t="s">
        <v>175</v>
      </c>
      <c r="D2464" s="67">
        <v>39991</v>
      </c>
      <c r="E2464">
        <v>-290187</v>
      </c>
      <c r="F2464">
        <v>0</v>
      </c>
      <c r="G2464">
        <v>-524054</v>
      </c>
      <c r="H2464">
        <v>-642946</v>
      </c>
      <c r="I2464">
        <v>44.9</v>
      </c>
      <c r="J2464">
        <v>0</v>
      </c>
      <c r="K2464" s="249">
        <v>39991</v>
      </c>
      <c r="L2464" s="249">
        <v>42490.4375</v>
      </c>
      <c r="M2464" s="249">
        <v>45464.768125000002</v>
      </c>
      <c r="N2464" s="249">
        <v>48647.301893750002</v>
      </c>
    </row>
    <row r="2466" spans="1:14" x14ac:dyDescent="0.25">
      <c r="C2466" t="s">
        <v>176</v>
      </c>
      <c r="D2466" s="67">
        <v>169919</v>
      </c>
      <c r="E2466">
        <v>0</v>
      </c>
      <c r="F2466">
        <v>0</v>
      </c>
      <c r="G2466">
        <v>0</v>
      </c>
      <c r="H2466">
        <v>169919</v>
      </c>
      <c r="I2466">
        <v>0</v>
      </c>
      <c r="J2466">
        <v>0</v>
      </c>
      <c r="K2466" s="249">
        <v>169919</v>
      </c>
      <c r="L2466" s="249">
        <v>180538.9375</v>
      </c>
      <c r="M2466" s="249">
        <v>193176.66312500002</v>
      </c>
      <c r="N2466" s="249">
        <v>206699.02954375002</v>
      </c>
    </row>
    <row r="2468" spans="1:14" x14ac:dyDescent="0.25">
      <c r="C2468" t="s">
        <v>177</v>
      </c>
      <c r="D2468" s="67">
        <v>5369561</v>
      </c>
      <c r="E2468">
        <v>488125.89</v>
      </c>
      <c r="F2468">
        <v>0</v>
      </c>
      <c r="G2468">
        <v>2432737.94</v>
      </c>
      <c r="H2468">
        <v>2936823.06</v>
      </c>
      <c r="I2468">
        <v>45.3</v>
      </c>
      <c r="J2468">
        <v>-3795.7400000002235</v>
      </c>
      <c r="K2468" s="249">
        <v>5365765.26</v>
      </c>
      <c r="L2468" s="249">
        <v>5701125.5887500001</v>
      </c>
      <c r="M2468" s="249">
        <v>6100204.3799625002</v>
      </c>
      <c r="N2468" s="249">
        <v>6527218.6865598755</v>
      </c>
    </row>
    <row r="2470" spans="1:14" x14ac:dyDescent="0.25">
      <c r="C2470" t="s">
        <v>178</v>
      </c>
      <c r="D2470" s="67">
        <v>5369561</v>
      </c>
      <c r="E2470">
        <v>488125.89</v>
      </c>
      <c r="F2470">
        <v>0</v>
      </c>
      <c r="G2470">
        <v>2432737.94</v>
      </c>
      <c r="H2470">
        <v>2936823.06</v>
      </c>
      <c r="I2470">
        <v>45.3</v>
      </c>
      <c r="J2470">
        <v>-3795.7400000002235</v>
      </c>
      <c r="K2470" s="249">
        <v>5365765.26</v>
      </c>
      <c r="L2470" s="249">
        <v>5701125.5887500001</v>
      </c>
      <c r="M2470" s="249">
        <v>6100204.3799625002</v>
      </c>
      <c r="N2470" s="249">
        <v>6527218.6865598755</v>
      </c>
    </row>
    <row r="2472" spans="1:14" x14ac:dyDescent="0.25">
      <c r="C2472" t="s">
        <v>241</v>
      </c>
      <c r="J2472">
        <v>0</v>
      </c>
    </row>
    <row r="2474" spans="1:14" x14ac:dyDescent="0.25">
      <c r="A2474" t="s">
        <v>1146</v>
      </c>
      <c r="C2474" t="s">
        <v>245</v>
      </c>
      <c r="D2474" s="67">
        <v>1167000</v>
      </c>
      <c r="E2474">
        <v>-290187</v>
      </c>
      <c r="F2474">
        <v>0</v>
      </c>
      <c r="G2474">
        <v>-524054</v>
      </c>
      <c r="H2474">
        <v>-642946</v>
      </c>
      <c r="I2474">
        <v>44.9</v>
      </c>
      <c r="J2474">
        <v>0</v>
      </c>
      <c r="K2474" s="249">
        <v>1167000</v>
      </c>
      <c r="L2474" s="249">
        <v>1304000</v>
      </c>
      <c r="M2474" s="249">
        <v>0</v>
      </c>
    </row>
    <row r="2475" spans="1:14" x14ac:dyDescent="0.25">
      <c r="A2475" t="s">
        <v>1147</v>
      </c>
      <c r="C2475" t="s">
        <v>255</v>
      </c>
      <c r="D2475" s="67">
        <v>41566</v>
      </c>
      <c r="E2475">
        <v>-290187</v>
      </c>
      <c r="F2475">
        <v>0</v>
      </c>
      <c r="G2475">
        <v>-524054</v>
      </c>
      <c r="H2475">
        <v>-642946</v>
      </c>
      <c r="I2475">
        <v>44.9</v>
      </c>
      <c r="J2475">
        <v>0</v>
      </c>
      <c r="K2475" s="249">
        <v>41566</v>
      </c>
      <c r="L2475" s="249">
        <v>43436.47</v>
      </c>
      <c r="M2475" s="249">
        <v>45434.547619999998</v>
      </c>
      <c r="N2475" s="249">
        <v>47524.536810519996</v>
      </c>
    </row>
    <row r="2476" spans="1:14" x14ac:dyDescent="0.25">
      <c r="A2476" t="s">
        <v>1148</v>
      </c>
      <c r="C2476" t="s">
        <v>255</v>
      </c>
      <c r="D2476" s="67">
        <v>41566</v>
      </c>
      <c r="E2476">
        <v>-290187</v>
      </c>
      <c r="F2476">
        <v>0</v>
      </c>
      <c r="G2476">
        <v>-524054</v>
      </c>
      <c r="H2476">
        <v>-642946</v>
      </c>
      <c r="I2476">
        <v>44.9</v>
      </c>
      <c r="J2476">
        <v>0</v>
      </c>
      <c r="K2476" s="249">
        <v>41566</v>
      </c>
      <c r="L2476" s="249">
        <v>43436.47</v>
      </c>
      <c r="M2476" s="249">
        <v>45434.547619999998</v>
      </c>
      <c r="N2476" s="249">
        <v>47524.536810519996</v>
      </c>
    </row>
    <row r="2477" spans="1:14" x14ac:dyDescent="0.25">
      <c r="A2477" t="s">
        <v>1149</v>
      </c>
      <c r="C2477" t="s">
        <v>265</v>
      </c>
      <c r="D2477" s="67">
        <v>0</v>
      </c>
      <c r="E2477">
        <v>-290187</v>
      </c>
      <c r="F2477">
        <v>0</v>
      </c>
      <c r="G2477">
        <v>-524054</v>
      </c>
      <c r="H2477">
        <v>-642946</v>
      </c>
      <c r="I2477">
        <v>44.9</v>
      </c>
      <c r="J2477">
        <v>40000</v>
      </c>
      <c r="K2477" s="249">
        <v>40000</v>
      </c>
      <c r="L2477" s="249">
        <v>41800</v>
      </c>
      <c r="M2477" s="249">
        <v>43722.8</v>
      </c>
      <c r="N2477" s="249">
        <v>45734.048800000004</v>
      </c>
    </row>
    <row r="2478" spans="1:14" x14ac:dyDescent="0.25">
      <c r="A2478" t="s">
        <v>1150</v>
      </c>
      <c r="C2478" t="s">
        <v>268</v>
      </c>
      <c r="D2478" s="67">
        <v>0</v>
      </c>
      <c r="E2478">
        <v>-290187</v>
      </c>
      <c r="F2478">
        <v>0</v>
      </c>
      <c r="G2478">
        <v>-524054</v>
      </c>
      <c r="H2478">
        <v>-642946</v>
      </c>
      <c r="I2478">
        <v>44.9</v>
      </c>
      <c r="J2478">
        <v>120000</v>
      </c>
      <c r="K2478" s="249">
        <v>120000</v>
      </c>
      <c r="L2478" s="249">
        <v>125400</v>
      </c>
      <c r="M2478" s="249">
        <v>131168.4</v>
      </c>
      <c r="N2478" s="249">
        <v>137202.1464</v>
      </c>
    </row>
    <row r="2480" spans="1:14" x14ac:dyDescent="0.25">
      <c r="C2480" t="s">
        <v>274</v>
      </c>
      <c r="D2480" s="67">
        <v>1250132</v>
      </c>
      <c r="E2480">
        <v>127817.46</v>
      </c>
      <c r="F2480">
        <v>0</v>
      </c>
      <c r="G2480">
        <v>664243.6</v>
      </c>
      <c r="H2480">
        <v>585888.4</v>
      </c>
      <c r="I2480">
        <v>53.13</v>
      </c>
      <c r="J2480">
        <v>160000</v>
      </c>
      <c r="K2480" s="249">
        <v>1410132</v>
      </c>
      <c r="L2480" s="249">
        <v>1558072.94</v>
      </c>
      <c r="M2480" s="249">
        <v>265760.29524000001</v>
      </c>
      <c r="N2480" s="249">
        <v>277985.26882103999</v>
      </c>
    </row>
    <row r="2482" spans="1:14" x14ac:dyDescent="0.25">
      <c r="C2482" t="s">
        <v>305</v>
      </c>
      <c r="D2482" s="67">
        <v>6619693</v>
      </c>
      <c r="E2482">
        <v>615943.35</v>
      </c>
      <c r="F2482">
        <v>0</v>
      </c>
      <c r="G2482">
        <v>3096981.54</v>
      </c>
      <c r="H2482">
        <v>3522711.46</v>
      </c>
      <c r="I2482">
        <v>46.78</v>
      </c>
      <c r="J2482">
        <v>156204.25999999978</v>
      </c>
      <c r="K2482" s="249">
        <v>6775897.2599999998</v>
      </c>
      <c r="L2482" s="249">
        <v>7259198.5287500005</v>
      </c>
      <c r="M2482" s="249">
        <v>6365964.6752025001</v>
      </c>
      <c r="N2482" s="249">
        <v>6805203.9553809157</v>
      </c>
    </row>
    <row r="2484" spans="1:14" x14ac:dyDescent="0.25">
      <c r="C2484" t="s">
        <v>306</v>
      </c>
      <c r="D2484" s="67">
        <v>4112165</v>
      </c>
      <c r="E2484">
        <v>415477.46</v>
      </c>
      <c r="F2484">
        <v>0</v>
      </c>
      <c r="G2484">
        <v>1899754</v>
      </c>
      <c r="H2484">
        <v>2212411</v>
      </c>
      <c r="I2484">
        <v>46.19</v>
      </c>
      <c r="J2484">
        <v>156204.25999999978</v>
      </c>
      <c r="K2484" s="249">
        <v>4268369.26</v>
      </c>
      <c r="L2484" s="249">
        <v>4637955.0047500003</v>
      </c>
      <c r="M2484" s="249">
        <v>3623684.0863804999</v>
      </c>
      <c r="N2484" s="249">
        <v>3936296.5233446397</v>
      </c>
    </row>
    <row r="2487" spans="1:14" x14ac:dyDescent="0.25">
      <c r="C2487" t="s">
        <v>3038</v>
      </c>
      <c r="D2487" s="67">
        <v>-12239876</v>
      </c>
      <c r="E2487">
        <v>-1198451.04</v>
      </c>
      <c r="F2487">
        <v>0</v>
      </c>
      <c r="G2487">
        <v>-5926932.5</v>
      </c>
      <c r="H2487">
        <v>-6312943.5</v>
      </c>
      <c r="I2487">
        <v>212.49</v>
      </c>
      <c r="J2487">
        <v>50000</v>
      </c>
      <c r="K2487" s="249">
        <v>-12189876</v>
      </c>
      <c r="L2487" s="249">
        <v>-12823782.184</v>
      </c>
      <c r="M2487" s="249">
        <v>-12052661.770242</v>
      </c>
      <c r="N2487" s="249">
        <v>-12607566.147801597</v>
      </c>
    </row>
    <row r="2488" spans="1:14" x14ac:dyDescent="0.25">
      <c r="C2488" t="s">
        <v>3052</v>
      </c>
      <c r="D2488" s="67">
        <v>29995112</v>
      </c>
      <c r="E2488">
        <v>-13771949.479999999</v>
      </c>
      <c r="F2488">
        <v>29820</v>
      </c>
      <c r="G2488">
        <v>-16825145.939999998</v>
      </c>
      <c r="H2488">
        <v>-24570450.059999999</v>
      </c>
      <c r="I2488">
        <v>341.09000000000003</v>
      </c>
      <c r="J2488">
        <v>-196635.00999999931</v>
      </c>
      <c r="K2488" s="249">
        <v>29798476.989999995</v>
      </c>
      <c r="L2488" s="249">
        <v>31631071.725400001</v>
      </c>
      <c r="M2488" s="249">
        <v>32315473.076578401</v>
      </c>
      <c r="N2488" s="249">
        <v>34436882.253537707</v>
      </c>
    </row>
    <row r="2489" spans="1:14" x14ac:dyDescent="0.25">
      <c r="C2489" t="s">
        <v>3053</v>
      </c>
      <c r="D2489" s="67">
        <v>2200000</v>
      </c>
      <c r="E2489">
        <v>-580374</v>
      </c>
      <c r="F2489">
        <v>0</v>
      </c>
      <c r="G2489">
        <v>-1048108</v>
      </c>
      <c r="H2489">
        <v>-1185892</v>
      </c>
      <c r="I2489">
        <v>34.01</v>
      </c>
      <c r="J2489">
        <v>-1485724</v>
      </c>
      <c r="K2489" s="249">
        <v>714276</v>
      </c>
      <c r="L2489" s="249">
        <v>300000</v>
      </c>
      <c r="M2489" s="249">
        <v>900000</v>
      </c>
      <c r="N2489" s="249">
        <v>600000</v>
      </c>
    </row>
    <row r="2491" spans="1:14" ht="30" x14ac:dyDescent="0.25">
      <c r="A2491" t="s">
        <v>0</v>
      </c>
      <c r="B2491" t="s">
        <v>1356</v>
      </c>
      <c r="C2491" t="s">
        <v>1</v>
      </c>
      <c r="D2491" s="67" t="s">
        <v>2</v>
      </c>
      <c r="E2491" t="s">
        <v>3</v>
      </c>
      <c r="F2491" t="s">
        <v>4</v>
      </c>
      <c r="G2491" t="s">
        <v>5</v>
      </c>
      <c r="H2491" t="s">
        <v>6</v>
      </c>
      <c r="I2491" t="s">
        <v>7</v>
      </c>
      <c r="J2491" t="s">
        <v>1322</v>
      </c>
      <c r="K2491" s="249" t="s">
        <v>3012</v>
      </c>
      <c r="L2491" s="249" t="s">
        <v>3013</v>
      </c>
      <c r="M2491" s="249" t="s">
        <v>3014</v>
      </c>
      <c r="N2491" s="249" t="s">
        <v>3015</v>
      </c>
    </row>
    <row r="2493" spans="1:14" x14ac:dyDescent="0.25">
      <c r="C2493" t="s">
        <v>1151</v>
      </c>
    </row>
    <row r="2494" spans="1:14" x14ac:dyDescent="0.25">
      <c r="C2494" t="s">
        <v>96</v>
      </c>
    </row>
    <row r="2495" spans="1:14" x14ac:dyDescent="0.25">
      <c r="C2495" t="s">
        <v>241</v>
      </c>
    </row>
    <row r="2497" spans="1:14" x14ac:dyDescent="0.25">
      <c r="A2497" t="s">
        <v>1152</v>
      </c>
      <c r="C2497" t="s">
        <v>265</v>
      </c>
      <c r="D2497" s="67">
        <v>0</v>
      </c>
      <c r="E2497">
        <v>0</v>
      </c>
      <c r="F2497">
        <v>0</v>
      </c>
      <c r="G2497">
        <v>1217.71</v>
      </c>
      <c r="H2497">
        <v>-1217.71</v>
      </c>
      <c r="I2497">
        <v>0</v>
      </c>
      <c r="J2497">
        <v>0</v>
      </c>
      <c r="K2497" s="249">
        <v>0</v>
      </c>
      <c r="L2497" s="249">
        <v>0</v>
      </c>
      <c r="M2497" s="249">
        <v>0</v>
      </c>
    </row>
    <row r="2499" spans="1:14" x14ac:dyDescent="0.25">
      <c r="C2499" t="s">
        <v>274</v>
      </c>
      <c r="D2499" s="67">
        <v>0</v>
      </c>
      <c r="E2499">
        <v>0</v>
      </c>
      <c r="F2499">
        <v>0</v>
      </c>
      <c r="G2499">
        <v>1217.71</v>
      </c>
      <c r="H2499">
        <v>-1217.71</v>
      </c>
      <c r="I2499">
        <v>0</v>
      </c>
      <c r="J2499">
        <v>0</v>
      </c>
      <c r="K2499" s="249">
        <v>0</v>
      </c>
      <c r="L2499" s="249">
        <v>0</v>
      </c>
      <c r="M2499" s="249">
        <v>0</v>
      </c>
      <c r="N2499" s="249">
        <v>0</v>
      </c>
    </row>
    <row r="2501" spans="1:14" x14ac:dyDescent="0.25">
      <c r="C2501" t="s">
        <v>290</v>
      </c>
      <c r="J2501">
        <v>0</v>
      </c>
    </row>
    <row r="2503" spans="1:14" x14ac:dyDescent="0.25">
      <c r="A2503" t="s">
        <v>1153</v>
      </c>
      <c r="C2503" t="s">
        <v>293</v>
      </c>
      <c r="D2503" s="67">
        <v>5806</v>
      </c>
      <c r="E2503">
        <v>0</v>
      </c>
      <c r="F2503">
        <v>0</v>
      </c>
      <c r="G2503">
        <v>1217.71</v>
      </c>
      <c r="H2503">
        <v>-1217.71</v>
      </c>
      <c r="I2503">
        <v>0</v>
      </c>
      <c r="J2503">
        <v>0</v>
      </c>
      <c r="K2503" s="249">
        <v>5806</v>
      </c>
      <c r="L2503" s="249">
        <v>6067.27</v>
      </c>
      <c r="M2503" s="249">
        <v>6346.3644200000008</v>
      </c>
      <c r="N2503" s="249">
        <v>6638.2971833200008</v>
      </c>
    </row>
    <row r="2504" spans="1:14" x14ac:dyDescent="0.25">
      <c r="A2504" t="s">
        <v>1154</v>
      </c>
      <c r="C2504" t="s">
        <v>303</v>
      </c>
      <c r="D2504" s="67">
        <v>63245</v>
      </c>
      <c r="E2504">
        <v>0</v>
      </c>
      <c r="F2504">
        <v>0</v>
      </c>
      <c r="G2504">
        <v>1217.71</v>
      </c>
      <c r="H2504">
        <v>-1217.71</v>
      </c>
      <c r="I2504">
        <v>0</v>
      </c>
      <c r="J2504">
        <v>0</v>
      </c>
      <c r="K2504" s="249">
        <v>63245</v>
      </c>
      <c r="L2504" s="249">
        <v>66091.024999999994</v>
      </c>
      <c r="M2504" s="249">
        <v>69131.212149999992</v>
      </c>
      <c r="N2504" s="249">
        <v>72311.247908899997</v>
      </c>
    </row>
    <row r="2506" spans="1:14" x14ac:dyDescent="0.25">
      <c r="C2506" t="s">
        <v>304</v>
      </c>
      <c r="D2506" s="67">
        <v>69051</v>
      </c>
      <c r="E2506">
        <v>0</v>
      </c>
      <c r="F2506">
        <v>0</v>
      </c>
      <c r="G2506">
        <v>2435.42</v>
      </c>
      <c r="H2506">
        <v>-2435.42</v>
      </c>
      <c r="I2506">
        <v>18.41</v>
      </c>
      <c r="J2506">
        <v>0</v>
      </c>
      <c r="K2506" s="249">
        <v>69051</v>
      </c>
      <c r="L2506" s="249">
        <v>72158.294999999998</v>
      </c>
      <c r="M2506" s="249">
        <v>75477.57656999999</v>
      </c>
      <c r="N2506" s="249">
        <v>78949.545092219996</v>
      </c>
    </row>
    <row r="2508" spans="1:14" x14ac:dyDescent="0.25">
      <c r="C2508" t="s">
        <v>305</v>
      </c>
      <c r="D2508" s="67">
        <v>69051</v>
      </c>
      <c r="E2508">
        <v>0</v>
      </c>
      <c r="F2508">
        <v>0</v>
      </c>
      <c r="G2508">
        <v>3653.13</v>
      </c>
      <c r="H2508">
        <v>-3653.13</v>
      </c>
      <c r="I2508">
        <v>20.170000000000002</v>
      </c>
      <c r="J2508">
        <v>0</v>
      </c>
      <c r="K2508" s="249">
        <v>69051</v>
      </c>
      <c r="L2508" s="249">
        <v>72158.294999999998</v>
      </c>
      <c r="M2508" s="249">
        <v>75477.57656999999</v>
      </c>
      <c r="N2508" s="249">
        <v>78949.545092219996</v>
      </c>
    </row>
    <row r="2510" spans="1:14" x14ac:dyDescent="0.25">
      <c r="C2510" t="s">
        <v>306</v>
      </c>
      <c r="D2510" s="67">
        <v>69051</v>
      </c>
      <c r="E2510">
        <v>0</v>
      </c>
      <c r="F2510">
        <v>0</v>
      </c>
      <c r="G2510">
        <v>3653.13</v>
      </c>
      <c r="H2510">
        <v>-3653.13</v>
      </c>
      <c r="I2510">
        <v>20.170000000000002</v>
      </c>
      <c r="J2510">
        <v>0</v>
      </c>
      <c r="K2510" s="249">
        <v>69051</v>
      </c>
      <c r="L2510" s="249">
        <v>72158.294999999998</v>
      </c>
      <c r="M2510" s="249">
        <v>75477.57656999999</v>
      </c>
      <c r="N2510" s="249">
        <v>78949.545092219996</v>
      </c>
    </row>
    <row r="2512" spans="1:14" x14ac:dyDescent="0.25">
      <c r="C2512" t="s">
        <v>1155</v>
      </c>
      <c r="J2512">
        <v>0</v>
      </c>
    </row>
    <row r="2513" spans="1:14" x14ac:dyDescent="0.25">
      <c r="C2513" t="s">
        <v>96</v>
      </c>
      <c r="J2513">
        <v>0</v>
      </c>
    </row>
    <row r="2514" spans="1:14" x14ac:dyDescent="0.25">
      <c r="C2514" t="s">
        <v>97</v>
      </c>
      <c r="J2514">
        <v>0</v>
      </c>
    </row>
    <row r="2515" spans="1:14" x14ac:dyDescent="0.25">
      <c r="C2515" t="s">
        <v>98</v>
      </c>
      <c r="J2515">
        <v>0</v>
      </c>
    </row>
    <row r="2516" spans="1:14" x14ac:dyDescent="0.25">
      <c r="C2516" t="s">
        <v>99</v>
      </c>
      <c r="J2516">
        <v>0</v>
      </c>
    </row>
    <row r="2517" spans="1:14" x14ac:dyDescent="0.25">
      <c r="C2517" t="s">
        <v>130</v>
      </c>
      <c r="J2517">
        <v>0</v>
      </c>
    </row>
    <row r="2519" spans="1:14" x14ac:dyDescent="0.25">
      <c r="A2519" t="s">
        <v>1156</v>
      </c>
      <c r="C2519" t="s">
        <v>131</v>
      </c>
      <c r="D2519" s="67">
        <v>651161</v>
      </c>
      <c r="E2519">
        <v>0</v>
      </c>
      <c r="F2519">
        <v>0</v>
      </c>
      <c r="G2519">
        <v>1217.71</v>
      </c>
      <c r="H2519">
        <v>-1217.71</v>
      </c>
      <c r="I2519">
        <v>0</v>
      </c>
      <c r="J2519">
        <v>0</v>
      </c>
      <c r="K2519" s="249">
        <v>651161</v>
      </c>
      <c r="L2519" s="249">
        <v>691858.5625</v>
      </c>
      <c r="M2519" s="249">
        <v>740288.66187499999</v>
      </c>
      <c r="N2519" s="249">
        <v>792108.86820625002</v>
      </c>
    </row>
    <row r="2520" spans="1:14" x14ac:dyDescent="0.25">
      <c r="A2520" t="s">
        <v>1157</v>
      </c>
      <c r="C2520" t="s">
        <v>132</v>
      </c>
      <c r="D2520" s="67">
        <v>32558</v>
      </c>
      <c r="E2520">
        <v>0</v>
      </c>
      <c r="F2520">
        <v>0</v>
      </c>
      <c r="G2520">
        <v>1217.71</v>
      </c>
      <c r="H2520">
        <v>-1217.71</v>
      </c>
      <c r="I2520">
        <v>0</v>
      </c>
      <c r="J2520">
        <v>0</v>
      </c>
      <c r="K2520" s="249">
        <v>32558</v>
      </c>
      <c r="L2520" s="249">
        <v>34592.875</v>
      </c>
      <c r="M2520" s="249">
        <v>37014.376250000001</v>
      </c>
      <c r="N2520" s="249">
        <v>39605.382587500004</v>
      </c>
    </row>
    <row r="2521" spans="1:14" x14ac:dyDescent="0.25">
      <c r="A2521" t="s">
        <v>1158</v>
      </c>
      <c r="C2521" t="s">
        <v>133</v>
      </c>
      <c r="D2521" s="67">
        <v>40000</v>
      </c>
      <c r="E2521">
        <v>0</v>
      </c>
      <c r="F2521">
        <v>0</v>
      </c>
      <c r="G2521">
        <v>1217.71</v>
      </c>
      <c r="H2521">
        <v>-1217.71</v>
      </c>
      <c r="I2521">
        <v>0</v>
      </c>
      <c r="J2521">
        <v>0</v>
      </c>
      <c r="K2521" s="249">
        <v>40000</v>
      </c>
      <c r="L2521" s="249">
        <v>42500</v>
      </c>
      <c r="M2521" s="249">
        <v>45475</v>
      </c>
      <c r="N2521" s="249">
        <v>48658.25</v>
      </c>
    </row>
    <row r="2522" spans="1:14" x14ac:dyDescent="0.25">
      <c r="A2522" t="s">
        <v>1159</v>
      </c>
      <c r="C2522" t="s">
        <v>134</v>
      </c>
      <c r="D2522" s="67">
        <v>206737</v>
      </c>
      <c r="E2522">
        <v>0</v>
      </c>
      <c r="F2522">
        <v>0</v>
      </c>
      <c r="G2522">
        <v>1217.71</v>
      </c>
      <c r="H2522">
        <v>-1217.71</v>
      </c>
      <c r="I2522">
        <v>0</v>
      </c>
      <c r="J2522">
        <v>0</v>
      </c>
      <c r="K2522" s="249">
        <v>206737</v>
      </c>
      <c r="L2522" s="249">
        <v>219658.0625</v>
      </c>
      <c r="M2522" s="249">
        <v>235034.12687499999</v>
      </c>
      <c r="N2522" s="249">
        <v>251486.51575624998</v>
      </c>
    </row>
    <row r="2523" spans="1:14" x14ac:dyDescent="0.25">
      <c r="A2523" t="s">
        <v>1160</v>
      </c>
      <c r="C2523" t="s">
        <v>135</v>
      </c>
      <c r="D2523" s="67">
        <v>17000</v>
      </c>
      <c r="E2523">
        <v>0</v>
      </c>
      <c r="F2523">
        <v>0</v>
      </c>
      <c r="G2523">
        <v>1217.71</v>
      </c>
      <c r="H2523">
        <v>-1217.71</v>
      </c>
      <c r="I2523">
        <v>0</v>
      </c>
      <c r="J2523">
        <v>0</v>
      </c>
      <c r="K2523" s="249">
        <v>17000</v>
      </c>
      <c r="L2523" s="249">
        <v>18062.5</v>
      </c>
      <c r="M2523" s="249">
        <v>19326.875</v>
      </c>
      <c r="N2523" s="249">
        <v>20679.756249999999</v>
      </c>
    </row>
    <row r="2524" spans="1:14" x14ac:dyDescent="0.25">
      <c r="A2524" t="s">
        <v>1161</v>
      </c>
      <c r="C2524" t="s">
        <v>136</v>
      </c>
      <c r="D2524" s="67">
        <v>18580</v>
      </c>
      <c r="E2524">
        <v>0</v>
      </c>
      <c r="F2524">
        <v>0</v>
      </c>
      <c r="G2524">
        <v>1217.71</v>
      </c>
      <c r="H2524">
        <v>-1217.71</v>
      </c>
      <c r="I2524">
        <v>0</v>
      </c>
      <c r="J2524">
        <v>0</v>
      </c>
      <c r="K2524" s="249">
        <v>18580</v>
      </c>
      <c r="L2524" s="249">
        <v>19741.25</v>
      </c>
      <c r="M2524" s="249">
        <v>21123.137500000001</v>
      </c>
      <c r="N2524" s="249">
        <v>22601.757125</v>
      </c>
    </row>
    <row r="2526" spans="1:14" x14ac:dyDescent="0.25">
      <c r="C2526" t="s">
        <v>137</v>
      </c>
      <c r="D2526" s="67">
        <v>966036</v>
      </c>
      <c r="E2526">
        <v>0</v>
      </c>
      <c r="F2526">
        <v>0</v>
      </c>
      <c r="G2526">
        <v>7306.26</v>
      </c>
      <c r="H2526">
        <v>-7306.26</v>
      </c>
      <c r="I2526">
        <v>44.94</v>
      </c>
      <c r="J2526">
        <v>0</v>
      </c>
      <c r="K2526" s="249">
        <v>966036</v>
      </c>
      <c r="L2526" s="249">
        <v>1026413.25</v>
      </c>
      <c r="M2526" s="249">
        <v>1098262.1775</v>
      </c>
      <c r="N2526" s="249">
        <v>1175140.5299250002</v>
      </c>
    </row>
    <row r="2528" spans="1:14" x14ac:dyDescent="0.25">
      <c r="C2528" t="s">
        <v>146</v>
      </c>
      <c r="D2528" s="67">
        <v>966036</v>
      </c>
      <c r="E2528">
        <v>0</v>
      </c>
      <c r="F2528">
        <v>0</v>
      </c>
      <c r="G2528">
        <v>7306.26</v>
      </c>
      <c r="H2528">
        <v>-7306.26</v>
      </c>
      <c r="I2528">
        <v>44.94</v>
      </c>
      <c r="J2528">
        <v>0</v>
      </c>
      <c r="K2528" s="249">
        <v>966036</v>
      </c>
      <c r="L2528" s="249">
        <v>1026413.25</v>
      </c>
      <c r="M2528" s="249">
        <v>1098262.1775</v>
      </c>
      <c r="N2528" s="249">
        <v>1175140.5299250002</v>
      </c>
    </row>
    <row r="2530" spans="1:14" x14ac:dyDescent="0.25">
      <c r="C2530" t="s">
        <v>147</v>
      </c>
      <c r="D2530" s="67">
        <v>966036</v>
      </c>
      <c r="E2530">
        <v>0</v>
      </c>
      <c r="F2530">
        <v>0</v>
      </c>
      <c r="G2530">
        <v>7306.26</v>
      </c>
      <c r="H2530">
        <v>-7306.26</v>
      </c>
      <c r="I2530">
        <v>44.94</v>
      </c>
      <c r="J2530">
        <v>0</v>
      </c>
      <c r="K2530" s="249">
        <v>966036</v>
      </c>
      <c r="L2530" s="249">
        <v>1026413.25</v>
      </c>
      <c r="M2530" s="249">
        <v>1098262.1775</v>
      </c>
      <c r="N2530" s="249">
        <v>1175140.5299250002</v>
      </c>
    </row>
    <row r="2532" spans="1:14" x14ac:dyDescent="0.25">
      <c r="C2532" t="s">
        <v>148</v>
      </c>
      <c r="J2532">
        <v>0</v>
      </c>
    </row>
    <row r="2533" spans="1:14" x14ac:dyDescent="0.25">
      <c r="C2533" t="s">
        <v>149</v>
      </c>
      <c r="J2533">
        <v>0</v>
      </c>
    </row>
    <row r="2535" spans="1:14" x14ac:dyDescent="0.25">
      <c r="A2535" t="s">
        <v>1162</v>
      </c>
      <c r="C2535" t="s">
        <v>164</v>
      </c>
      <c r="D2535" s="67">
        <v>32457</v>
      </c>
      <c r="E2535">
        <v>0</v>
      </c>
      <c r="F2535">
        <v>0</v>
      </c>
      <c r="G2535">
        <v>1217.71</v>
      </c>
      <c r="H2535">
        <v>-1217.71</v>
      </c>
      <c r="I2535">
        <v>0</v>
      </c>
      <c r="J2535">
        <v>-32457</v>
      </c>
      <c r="K2535" s="249">
        <v>0</v>
      </c>
      <c r="L2535" s="249">
        <v>0</v>
      </c>
      <c r="M2535" s="249">
        <v>0</v>
      </c>
      <c r="N2535" s="249">
        <v>0</v>
      </c>
    </row>
    <row r="2537" spans="1:14" x14ac:dyDescent="0.25">
      <c r="C2537" t="s">
        <v>165</v>
      </c>
      <c r="D2537" s="67">
        <v>32457</v>
      </c>
      <c r="E2537">
        <v>0</v>
      </c>
      <c r="F2537">
        <v>0</v>
      </c>
      <c r="G2537">
        <v>1217.71</v>
      </c>
      <c r="H2537">
        <v>-1217.71</v>
      </c>
      <c r="I2537">
        <v>0</v>
      </c>
      <c r="J2537">
        <v>-32457</v>
      </c>
      <c r="K2537" s="249">
        <v>0</v>
      </c>
      <c r="L2537" s="249">
        <v>0</v>
      </c>
      <c r="M2537" s="249">
        <v>0</v>
      </c>
      <c r="N2537" s="249">
        <v>0</v>
      </c>
    </row>
    <row r="2539" spans="1:14" x14ac:dyDescent="0.25">
      <c r="C2539" t="s">
        <v>177</v>
      </c>
      <c r="D2539" s="67">
        <v>32457</v>
      </c>
      <c r="E2539">
        <v>0</v>
      </c>
      <c r="F2539">
        <v>0</v>
      </c>
      <c r="G2539">
        <v>1217.71</v>
      </c>
      <c r="H2539">
        <v>-1217.71</v>
      </c>
      <c r="I2539">
        <v>0</v>
      </c>
      <c r="J2539">
        <v>-32457</v>
      </c>
      <c r="K2539" s="249">
        <v>0</v>
      </c>
      <c r="L2539" s="249">
        <v>0</v>
      </c>
      <c r="M2539" s="249">
        <v>0</v>
      </c>
      <c r="N2539" s="249">
        <v>0</v>
      </c>
    </row>
    <row r="2541" spans="1:14" x14ac:dyDescent="0.25">
      <c r="C2541" t="s">
        <v>178</v>
      </c>
      <c r="D2541" s="67">
        <v>998493</v>
      </c>
      <c r="E2541">
        <v>72367.98</v>
      </c>
      <c r="F2541">
        <v>0</v>
      </c>
      <c r="G2541">
        <v>434207.88</v>
      </c>
      <c r="H2541">
        <v>564285.12</v>
      </c>
      <c r="I2541">
        <v>43.48</v>
      </c>
      <c r="J2541">
        <v>-32457</v>
      </c>
      <c r="K2541" s="249">
        <v>966036</v>
      </c>
      <c r="L2541" s="249">
        <v>1026413.25</v>
      </c>
      <c r="M2541" s="249">
        <v>1098262.1775</v>
      </c>
      <c r="N2541" s="249">
        <v>1175140.5299250002</v>
      </c>
    </row>
    <row r="2543" spans="1:14" x14ac:dyDescent="0.25">
      <c r="C2543" t="s">
        <v>241</v>
      </c>
      <c r="J2543">
        <v>0</v>
      </c>
    </row>
    <row r="2545" spans="1:14" x14ac:dyDescent="0.25">
      <c r="A2545" t="s">
        <v>1163</v>
      </c>
      <c r="C2545" t="s">
        <v>253</v>
      </c>
      <c r="D2545" s="67">
        <v>2000</v>
      </c>
      <c r="E2545">
        <v>0</v>
      </c>
      <c r="F2545">
        <v>0</v>
      </c>
      <c r="G2545">
        <v>1217.71</v>
      </c>
      <c r="H2545">
        <v>-1217.71</v>
      </c>
      <c r="I2545">
        <v>0</v>
      </c>
      <c r="J2545">
        <v>0</v>
      </c>
      <c r="K2545" s="249">
        <v>2000</v>
      </c>
      <c r="L2545" s="249">
        <v>2000</v>
      </c>
      <c r="M2545" s="249">
        <v>2000</v>
      </c>
      <c r="N2545" s="249">
        <v>2000</v>
      </c>
    </row>
    <row r="2546" spans="1:14" x14ac:dyDescent="0.25">
      <c r="A2546" t="s">
        <v>1164</v>
      </c>
      <c r="C2546" t="s">
        <v>265</v>
      </c>
      <c r="D2546" s="67">
        <v>0</v>
      </c>
      <c r="E2546">
        <v>0</v>
      </c>
      <c r="F2546">
        <v>0</v>
      </c>
      <c r="G2546">
        <v>1217.71</v>
      </c>
      <c r="H2546">
        <v>-1217.71</v>
      </c>
      <c r="I2546">
        <v>0</v>
      </c>
      <c r="J2546">
        <v>10000</v>
      </c>
      <c r="K2546" s="249">
        <v>10000</v>
      </c>
      <c r="L2546" s="249">
        <v>10450</v>
      </c>
      <c r="M2546" s="249">
        <v>10930.7</v>
      </c>
      <c r="N2546" s="249">
        <v>11433.512200000001</v>
      </c>
    </row>
    <row r="2547" spans="1:14" x14ac:dyDescent="0.25">
      <c r="A2547" t="s">
        <v>1165</v>
      </c>
      <c r="C2547" t="s">
        <v>268</v>
      </c>
      <c r="D2547" s="67">
        <v>80329</v>
      </c>
      <c r="E2547">
        <v>0</v>
      </c>
      <c r="F2547">
        <v>0</v>
      </c>
      <c r="G2547">
        <v>1217.71</v>
      </c>
      <c r="H2547">
        <v>-1217.71</v>
      </c>
      <c r="I2547">
        <v>0</v>
      </c>
      <c r="J2547">
        <v>40000</v>
      </c>
      <c r="K2547" s="249">
        <v>120329</v>
      </c>
      <c r="L2547" s="249">
        <v>125743.80499999999</v>
      </c>
      <c r="M2547" s="249">
        <v>131528.02002999999</v>
      </c>
      <c r="N2547" s="249">
        <v>137578.30895137999</v>
      </c>
    </row>
    <row r="2548" spans="1:14" x14ac:dyDescent="0.25">
      <c r="A2548" t="s">
        <v>1166</v>
      </c>
      <c r="C2548" t="s">
        <v>268</v>
      </c>
      <c r="D2548" s="67">
        <v>73677</v>
      </c>
      <c r="E2548">
        <v>0</v>
      </c>
      <c r="F2548">
        <v>0</v>
      </c>
      <c r="G2548">
        <v>1217.71</v>
      </c>
      <c r="H2548">
        <v>-1217.71</v>
      </c>
      <c r="I2548">
        <v>0</v>
      </c>
      <c r="J2548">
        <v>30000</v>
      </c>
      <c r="K2548" s="249">
        <v>103677</v>
      </c>
      <c r="L2548" s="249">
        <v>108342.465</v>
      </c>
      <c r="M2548" s="249">
        <v>113326.21838999999</v>
      </c>
      <c r="N2548" s="249">
        <v>118539.22443593999</v>
      </c>
    </row>
    <row r="2549" spans="1:14" x14ac:dyDescent="0.25">
      <c r="A2549" t="s">
        <v>1167</v>
      </c>
      <c r="C2549" t="s">
        <v>269</v>
      </c>
      <c r="D2549" s="67">
        <v>21200</v>
      </c>
      <c r="E2549">
        <v>0</v>
      </c>
      <c r="F2549">
        <v>0</v>
      </c>
      <c r="G2549">
        <v>1217.71</v>
      </c>
      <c r="H2549">
        <v>-1217.71</v>
      </c>
      <c r="I2549">
        <v>0</v>
      </c>
      <c r="J2549">
        <v>-15000</v>
      </c>
      <c r="K2549" s="249">
        <v>6200</v>
      </c>
      <c r="L2549" s="249">
        <v>6479</v>
      </c>
      <c r="M2549" s="249">
        <v>6777.0339999999997</v>
      </c>
      <c r="N2549" s="249">
        <v>7088.777564</v>
      </c>
    </row>
    <row r="2550" spans="1:14" x14ac:dyDescent="0.25">
      <c r="A2550" t="s">
        <v>1168</v>
      </c>
      <c r="C2550" t="s">
        <v>272</v>
      </c>
      <c r="D2550" s="67">
        <v>34896</v>
      </c>
      <c r="E2550">
        <v>0</v>
      </c>
      <c r="F2550">
        <v>0</v>
      </c>
      <c r="G2550">
        <v>1217.71</v>
      </c>
      <c r="H2550">
        <v>-1217.71</v>
      </c>
      <c r="I2550">
        <v>0</v>
      </c>
      <c r="J2550">
        <v>-15000</v>
      </c>
      <c r="K2550" s="249">
        <v>19896</v>
      </c>
      <c r="L2550" s="249">
        <v>20791.32</v>
      </c>
      <c r="M2550" s="249">
        <v>21747.720720000001</v>
      </c>
      <c r="N2550" s="249">
        <v>22748.115873120001</v>
      </c>
    </row>
    <row r="2552" spans="1:14" x14ac:dyDescent="0.25">
      <c r="C2552" t="s">
        <v>274</v>
      </c>
      <c r="D2552" s="67">
        <v>212102</v>
      </c>
      <c r="E2552">
        <v>0</v>
      </c>
      <c r="F2552">
        <v>0</v>
      </c>
      <c r="G2552">
        <v>7306.26</v>
      </c>
      <c r="H2552">
        <v>-7306.26</v>
      </c>
      <c r="I2552">
        <v>77.69</v>
      </c>
      <c r="J2552">
        <v>50000</v>
      </c>
      <c r="K2552" s="249">
        <v>262102</v>
      </c>
      <c r="L2552" s="249">
        <v>273806.58999999997</v>
      </c>
      <c r="M2552" s="249">
        <v>286309.69313999999</v>
      </c>
      <c r="N2552" s="249">
        <v>299387.93902444001</v>
      </c>
    </row>
    <row r="2554" spans="1:14" x14ac:dyDescent="0.25">
      <c r="C2554" t="s">
        <v>275</v>
      </c>
      <c r="J2554">
        <v>0</v>
      </c>
    </row>
    <row r="2556" spans="1:14" x14ac:dyDescent="0.25">
      <c r="A2556" t="s">
        <v>1169</v>
      </c>
      <c r="C2556" t="s">
        <v>277</v>
      </c>
      <c r="D2556" s="67">
        <v>1967760</v>
      </c>
      <c r="E2556">
        <v>0</v>
      </c>
      <c r="F2556">
        <v>0</v>
      </c>
      <c r="G2556">
        <v>1217.71</v>
      </c>
      <c r="H2556">
        <v>-1217.71</v>
      </c>
      <c r="I2556">
        <v>0</v>
      </c>
      <c r="J2556">
        <v>0</v>
      </c>
      <c r="K2556" s="249">
        <v>1967760</v>
      </c>
      <c r="L2556" s="249">
        <v>2056309.2</v>
      </c>
      <c r="M2556" s="249">
        <v>2150899.4232000001</v>
      </c>
      <c r="N2556" s="249">
        <v>2249840.7966672</v>
      </c>
    </row>
    <row r="2558" spans="1:14" x14ac:dyDescent="0.25">
      <c r="C2558" t="s">
        <v>279</v>
      </c>
      <c r="D2558" s="67">
        <v>1967760</v>
      </c>
      <c r="E2558">
        <v>0</v>
      </c>
      <c r="F2558">
        <v>0</v>
      </c>
      <c r="G2558">
        <v>1217.71</v>
      </c>
      <c r="H2558">
        <v>-1217.71</v>
      </c>
      <c r="I2558">
        <v>51.24</v>
      </c>
      <c r="J2558">
        <v>0</v>
      </c>
      <c r="K2558" s="249">
        <v>1967760</v>
      </c>
      <c r="L2558" s="249">
        <v>2056309.2</v>
      </c>
      <c r="M2558" s="249">
        <v>2150899.4232000001</v>
      </c>
      <c r="N2558" s="249">
        <v>2249840.7966672</v>
      </c>
    </row>
    <row r="2560" spans="1:14" x14ac:dyDescent="0.25">
      <c r="C2560" t="s">
        <v>305</v>
      </c>
      <c r="D2560" s="67">
        <v>3178355</v>
      </c>
      <c r="E2560">
        <v>72367.98</v>
      </c>
      <c r="F2560">
        <v>0</v>
      </c>
      <c r="G2560">
        <v>442731.85000000003</v>
      </c>
      <c r="H2560">
        <v>555761.15</v>
      </c>
      <c r="I2560">
        <v>50.57</v>
      </c>
      <c r="J2560">
        <v>17543</v>
      </c>
      <c r="K2560" s="249">
        <v>3195898</v>
      </c>
      <c r="L2560" s="249">
        <v>3356529.04</v>
      </c>
      <c r="M2560" s="249">
        <v>3535471.2938399999</v>
      </c>
      <c r="N2560" s="249">
        <v>3724369.2656166404</v>
      </c>
    </row>
    <row r="2562" spans="1:14" x14ac:dyDescent="0.25">
      <c r="C2562" t="s">
        <v>306</v>
      </c>
      <c r="D2562" s="67">
        <v>3178355</v>
      </c>
      <c r="E2562">
        <v>72367.98</v>
      </c>
      <c r="F2562">
        <v>0</v>
      </c>
      <c r="G2562">
        <v>442731.85000000003</v>
      </c>
      <c r="H2562">
        <v>555761.15</v>
      </c>
      <c r="I2562">
        <v>50.57</v>
      </c>
      <c r="J2562">
        <v>17543</v>
      </c>
      <c r="K2562" s="249">
        <v>3195898</v>
      </c>
      <c r="L2562" s="249">
        <v>3356529.04</v>
      </c>
      <c r="M2562" s="249">
        <v>3535471.2938399999</v>
      </c>
      <c r="N2562" s="249">
        <v>3724369.2656166404</v>
      </c>
    </row>
    <row r="2564" spans="1:14" x14ac:dyDescent="0.25">
      <c r="C2564" t="s">
        <v>1170</v>
      </c>
      <c r="J2564">
        <v>0</v>
      </c>
    </row>
    <row r="2565" spans="1:14" x14ac:dyDescent="0.25">
      <c r="C2565" t="s">
        <v>96</v>
      </c>
      <c r="J2565">
        <v>0</v>
      </c>
    </row>
    <row r="2566" spans="1:14" x14ac:dyDescent="0.25">
      <c r="C2566" t="s">
        <v>97</v>
      </c>
      <c r="J2566">
        <v>0</v>
      </c>
    </row>
    <row r="2567" spans="1:14" x14ac:dyDescent="0.25">
      <c r="C2567" t="s">
        <v>148</v>
      </c>
      <c r="J2567">
        <v>0</v>
      </c>
    </row>
    <row r="2568" spans="1:14" x14ac:dyDescent="0.25">
      <c r="C2568" t="s">
        <v>149</v>
      </c>
      <c r="J2568">
        <v>0</v>
      </c>
    </row>
    <row r="2570" spans="1:14" x14ac:dyDescent="0.25">
      <c r="A2570" t="s">
        <v>1171</v>
      </c>
      <c r="C2570" t="s">
        <v>150</v>
      </c>
      <c r="D2570" s="67">
        <v>2357397</v>
      </c>
      <c r="E2570">
        <v>0</v>
      </c>
      <c r="F2570">
        <v>0</v>
      </c>
      <c r="G2570">
        <v>1217.71</v>
      </c>
      <c r="H2570">
        <v>-1217.71</v>
      </c>
      <c r="I2570">
        <v>0</v>
      </c>
      <c r="J2570">
        <v>0</v>
      </c>
      <c r="K2570" s="249">
        <v>2357397</v>
      </c>
      <c r="L2570" s="249">
        <v>2504734.3125</v>
      </c>
      <c r="M2570" s="249">
        <v>2680065.714375</v>
      </c>
      <c r="N2570" s="249">
        <v>2867670.3143812502</v>
      </c>
    </row>
    <row r="2571" spans="1:14" x14ac:dyDescent="0.25">
      <c r="A2571" t="s">
        <v>1172</v>
      </c>
      <c r="C2571" t="s">
        <v>151</v>
      </c>
      <c r="D2571" s="67">
        <v>107339</v>
      </c>
      <c r="E2571">
        <v>0</v>
      </c>
      <c r="F2571">
        <v>0</v>
      </c>
      <c r="G2571">
        <v>1217.71</v>
      </c>
      <c r="H2571">
        <v>-1217.71</v>
      </c>
      <c r="I2571">
        <v>0</v>
      </c>
      <c r="J2571">
        <v>-65003.549999999988</v>
      </c>
      <c r="K2571" s="249">
        <v>42335.450000000012</v>
      </c>
      <c r="L2571" s="249">
        <v>44981.415625000009</v>
      </c>
      <c r="M2571" s="249">
        <v>48130.11471875001</v>
      </c>
      <c r="N2571" s="249">
        <v>51499.222749062508</v>
      </c>
    </row>
    <row r="2572" spans="1:14" x14ac:dyDescent="0.25">
      <c r="A2572" t="s">
        <v>1173</v>
      </c>
      <c r="C2572" t="s">
        <v>152</v>
      </c>
      <c r="D2572" s="67">
        <v>14100</v>
      </c>
      <c r="E2572">
        <v>0</v>
      </c>
      <c r="F2572">
        <v>0</v>
      </c>
      <c r="G2572">
        <v>1217.71</v>
      </c>
      <c r="H2572">
        <v>-1217.71</v>
      </c>
      <c r="I2572">
        <v>0</v>
      </c>
      <c r="J2572">
        <v>0</v>
      </c>
      <c r="K2572" s="249">
        <v>14100</v>
      </c>
      <c r="L2572" s="249">
        <v>14981.25</v>
      </c>
      <c r="M2572" s="249">
        <v>16029.9375</v>
      </c>
      <c r="N2572" s="249">
        <v>17152.033125000002</v>
      </c>
    </row>
    <row r="2573" spans="1:14" x14ac:dyDescent="0.25">
      <c r="A2573" t="s">
        <v>1174</v>
      </c>
      <c r="C2573" t="s">
        <v>153</v>
      </c>
      <c r="D2573" s="67">
        <v>21786</v>
      </c>
      <c r="E2573">
        <v>0</v>
      </c>
      <c r="F2573">
        <v>0</v>
      </c>
      <c r="G2573">
        <v>1217.71</v>
      </c>
      <c r="H2573">
        <v>-1217.71</v>
      </c>
      <c r="I2573">
        <v>0</v>
      </c>
      <c r="J2573">
        <v>0</v>
      </c>
      <c r="K2573" s="249">
        <v>21786</v>
      </c>
      <c r="L2573" s="249">
        <v>23147.625</v>
      </c>
      <c r="M2573" s="249">
        <v>24767.958750000002</v>
      </c>
      <c r="N2573" s="249">
        <v>26501.715862500001</v>
      </c>
    </row>
    <row r="2574" spans="1:14" x14ac:dyDescent="0.25">
      <c r="A2574" t="s">
        <v>1175</v>
      </c>
      <c r="C2574" t="s">
        <v>155</v>
      </c>
      <c r="D2574" s="67">
        <v>76225</v>
      </c>
      <c r="E2574">
        <v>0</v>
      </c>
      <c r="F2574">
        <v>0</v>
      </c>
      <c r="G2574">
        <v>1217.71</v>
      </c>
      <c r="H2574">
        <v>-1217.71</v>
      </c>
      <c r="I2574">
        <v>0</v>
      </c>
      <c r="J2574">
        <v>0</v>
      </c>
      <c r="K2574" s="249">
        <v>76225</v>
      </c>
      <c r="L2574" s="249">
        <v>80989.0625</v>
      </c>
      <c r="M2574" s="249">
        <v>86658.296875</v>
      </c>
      <c r="N2574" s="249">
        <v>92724.377656249999</v>
      </c>
    </row>
    <row r="2575" spans="1:14" x14ac:dyDescent="0.25">
      <c r="A2575" t="s">
        <v>1176</v>
      </c>
      <c r="C2575" t="s">
        <v>156</v>
      </c>
      <c r="D2575" s="67">
        <v>91702</v>
      </c>
      <c r="E2575">
        <v>0</v>
      </c>
      <c r="F2575">
        <v>0</v>
      </c>
      <c r="G2575">
        <v>1217.71</v>
      </c>
      <c r="H2575">
        <v>-1217.71</v>
      </c>
      <c r="I2575">
        <v>0</v>
      </c>
      <c r="J2575">
        <v>0</v>
      </c>
      <c r="K2575" s="249">
        <v>91702</v>
      </c>
      <c r="L2575" s="249">
        <v>97433.375</v>
      </c>
      <c r="M2575" s="249">
        <v>104253.71124999999</v>
      </c>
      <c r="N2575" s="249">
        <v>111551.4710375</v>
      </c>
    </row>
    <row r="2576" spans="1:14" x14ac:dyDescent="0.25">
      <c r="A2576" t="s">
        <v>1177</v>
      </c>
      <c r="C2576" t="s">
        <v>157</v>
      </c>
      <c r="D2576" s="67">
        <v>98324</v>
      </c>
      <c r="E2576">
        <v>0</v>
      </c>
      <c r="F2576">
        <v>0</v>
      </c>
      <c r="G2576">
        <v>1217.71</v>
      </c>
      <c r="H2576">
        <v>-1217.71</v>
      </c>
      <c r="I2576">
        <v>0</v>
      </c>
      <c r="J2576">
        <v>-60000</v>
      </c>
      <c r="K2576" s="249">
        <v>38324</v>
      </c>
      <c r="L2576" s="249">
        <v>40719.25</v>
      </c>
      <c r="M2576" s="249">
        <v>43569.597500000003</v>
      </c>
      <c r="N2576" s="249">
        <v>46619.469325000005</v>
      </c>
    </row>
    <row r="2577" spans="1:14" x14ac:dyDescent="0.25">
      <c r="A2577" t="s">
        <v>1178</v>
      </c>
      <c r="C2577" t="s">
        <v>159</v>
      </c>
      <c r="D2577" s="67">
        <v>193210</v>
      </c>
      <c r="E2577">
        <v>0</v>
      </c>
      <c r="F2577">
        <v>0</v>
      </c>
      <c r="G2577">
        <v>1217.71</v>
      </c>
      <c r="H2577">
        <v>-1217.71</v>
      </c>
      <c r="I2577">
        <v>0</v>
      </c>
      <c r="J2577">
        <v>0</v>
      </c>
      <c r="K2577" s="249">
        <v>193210</v>
      </c>
      <c r="L2577" s="249">
        <v>205285.625</v>
      </c>
      <c r="M2577" s="249">
        <v>219655.61874999999</v>
      </c>
      <c r="N2577" s="249">
        <v>235031.5120625</v>
      </c>
    </row>
    <row r="2578" spans="1:14" x14ac:dyDescent="0.25">
      <c r="A2578" t="s">
        <v>1179</v>
      </c>
      <c r="C2578" t="s">
        <v>162</v>
      </c>
      <c r="D2578" s="67">
        <v>0</v>
      </c>
      <c r="E2578">
        <v>0</v>
      </c>
      <c r="F2578">
        <v>0</v>
      </c>
      <c r="G2578">
        <v>1217.71</v>
      </c>
      <c r="H2578">
        <v>-1217.71</v>
      </c>
      <c r="I2578">
        <v>0</v>
      </c>
      <c r="J2578">
        <v>60000</v>
      </c>
      <c r="K2578" s="249">
        <v>60000</v>
      </c>
      <c r="L2578" s="249">
        <v>63750</v>
      </c>
      <c r="M2578" s="249">
        <v>68212.5</v>
      </c>
      <c r="N2578" s="249">
        <v>72987.375</v>
      </c>
    </row>
    <row r="2580" spans="1:14" x14ac:dyDescent="0.25">
      <c r="C2580" t="s">
        <v>165</v>
      </c>
      <c r="D2580" s="67">
        <v>2960083</v>
      </c>
      <c r="E2580">
        <v>0</v>
      </c>
      <c r="F2580">
        <v>0</v>
      </c>
      <c r="G2580">
        <v>10959.39</v>
      </c>
      <c r="H2580">
        <v>-10959.39</v>
      </c>
      <c r="I2580">
        <v>35.81</v>
      </c>
      <c r="J2580">
        <v>-65003.549999999814</v>
      </c>
      <c r="K2580" s="249">
        <v>2895079.45</v>
      </c>
      <c r="L2580" s="249">
        <v>3076021.9156249999</v>
      </c>
      <c r="M2580" s="249">
        <v>3291343.4497187505</v>
      </c>
      <c r="N2580" s="249">
        <v>3521737.4911990622</v>
      </c>
    </row>
    <row r="2582" spans="1:14" x14ac:dyDescent="0.25">
      <c r="C2582" t="s">
        <v>166</v>
      </c>
      <c r="J2582">
        <v>0</v>
      </c>
    </row>
    <row r="2584" spans="1:14" x14ac:dyDescent="0.25">
      <c r="A2584" t="s">
        <v>1180</v>
      </c>
      <c r="C2584" t="s">
        <v>167</v>
      </c>
      <c r="D2584" s="67">
        <v>1124</v>
      </c>
      <c r="E2584">
        <v>0</v>
      </c>
      <c r="F2584">
        <v>0</v>
      </c>
      <c r="G2584">
        <v>1217.71</v>
      </c>
      <c r="H2584">
        <v>-1217.71</v>
      </c>
      <c r="I2584">
        <v>0</v>
      </c>
      <c r="J2584">
        <v>0</v>
      </c>
      <c r="K2584" s="249">
        <v>1124</v>
      </c>
      <c r="L2584" s="249">
        <v>1194.25</v>
      </c>
      <c r="M2584" s="249">
        <v>1277.8475000000001</v>
      </c>
      <c r="N2584" s="249">
        <v>1367.2968250000001</v>
      </c>
    </row>
    <row r="2585" spans="1:14" x14ac:dyDescent="0.25">
      <c r="A2585" t="s">
        <v>1181</v>
      </c>
      <c r="C2585" t="s">
        <v>168</v>
      </c>
      <c r="D2585" s="67">
        <v>100786</v>
      </c>
      <c r="E2585">
        <v>0</v>
      </c>
      <c r="F2585">
        <v>0</v>
      </c>
      <c r="G2585">
        <v>1217.71</v>
      </c>
      <c r="H2585">
        <v>-1217.71</v>
      </c>
      <c r="I2585">
        <v>0</v>
      </c>
      <c r="J2585">
        <v>0</v>
      </c>
      <c r="K2585" s="249">
        <v>100786</v>
      </c>
      <c r="L2585" s="249">
        <v>107085.125</v>
      </c>
      <c r="M2585" s="249">
        <v>114581.08375000001</v>
      </c>
      <c r="N2585" s="249">
        <v>122601.7596125</v>
      </c>
    </row>
    <row r="2586" spans="1:14" x14ac:dyDescent="0.25">
      <c r="A2586" t="s">
        <v>1182</v>
      </c>
      <c r="C2586" t="s">
        <v>169</v>
      </c>
      <c r="D2586" s="67">
        <v>510074</v>
      </c>
      <c r="E2586">
        <v>0</v>
      </c>
      <c r="F2586">
        <v>0</v>
      </c>
      <c r="G2586">
        <v>1217.71</v>
      </c>
      <c r="H2586">
        <v>-1217.71</v>
      </c>
      <c r="I2586">
        <v>0</v>
      </c>
      <c r="J2586">
        <v>0</v>
      </c>
      <c r="K2586" s="249">
        <v>510074</v>
      </c>
      <c r="L2586" s="249">
        <v>541953.625</v>
      </c>
      <c r="M2586" s="249">
        <v>579890.37875000003</v>
      </c>
      <c r="N2586" s="249">
        <v>620482.70526250009</v>
      </c>
    </row>
    <row r="2587" spans="1:14" x14ac:dyDescent="0.25">
      <c r="A2587" t="s">
        <v>1183</v>
      </c>
      <c r="C2587" t="s">
        <v>170</v>
      </c>
      <c r="D2587" s="67">
        <v>19635</v>
      </c>
      <c r="E2587">
        <v>0</v>
      </c>
      <c r="F2587">
        <v>0</v>
      </c>
      <c r="G2587">
        <v>1217.71</v>
      </c>
      <c r="H2587">
        <v>-1217.71</v>
      </c>
      <c r="I2587">
        <v>0</v>
      </c>
      <c r="J2587">
        <v>0</v>
      </c>
      <c r="K2587" s="249">
        <v>19635</v>
      </c>
      <c r="L2587" s="249">
        <v>20862.1875</v>
      </c>
      <c r="M2587" s="249">
        <v>22322.540625000001</v>
      </c>
      <c r="N2587" s="249">
        <v>23885.118468750003</v>
      </c>
    </row>
    <row r="2589" spans="1:14" x14ac:dyDescent="0.25">
      <c r="C2589" t="s">
        <v>171</v>
      </c>
      <c r="D2589" s="67">
        <v>631619</v>
      </c>
      <c r="E2589">
        <v>0</v>
      </c>
      <c r="F2589">
        <v>0</v>
      </c>
      <c r="G2589">
        <v>4870.84</v>
      </c>
      <c r="H2589">
        <v>-4870.84</v>
      </c>
      <c r="I2589">
        <v>35.380000000000003</v>
      </c>
      <c r="J2589">
        <v>0</v>
      </c>
      <c r="K2589" s="249">
        <v>631619</v>
      </c>
      <c r="L2589" s="249">
        <v>671095.1875</v>
      </c>
      <c r="M2589" s="249">
        <v>718071.85062500008</v>
      </c>
      <c r="N2589" s="249">
        <v>768336.88016875018</v>
      </c>
    </row>
    <row r="2591" spans="1:14" x14ac:dyDescent="0.25">
      <c r="C2591" t="s">
        <v>172</v>
      </c>
      <c r="J2591">
        <v>0</v>
      </c>
    </row>
    <row r="2593" spans="1:14" x14ac:dyDescent="0.25">
      <c r="A2593" t="s">
        <v>1184</v>
      </c>
      <c r="C2593" t="s">
        <v>173</v>
      </c>
      <c r="D2593" s="67">
        <v>13532</v>
      </c>
      <c r="E2593">
        <v>0</v>
      </c>
      <c r="F2593">
        <v>0</v>
      </c>
      <c r="G2593">
        <v>1217.71</v>
      </c>
      <c r="H2593">
        <v>-1217.71</v>
      </c>
      <c r="I2593">
        <v>0</v>
      </c>
      <c r="J2593">
        <v>0</v>
      </c>
      <c r="K2593" s="249">
        <v>13532</v>
      </c>
      <c r="L2593" s="249">
        <v>14377.75</v>
      </c>
      <c r="M2593" s="249">
        <v>15384.192499999999</v>
      </c>
      <c r="N2593" s="249">
        <v>16461.085974999998</v>
      </c>
    </row>
    <row r="2594" spans="1:14" x14ac:dyDescent="0.25">
      <c r="A2594" t="s">
        <v>1185</v>
      </c>
      <c r="C2594" t="s">
        <v>174</v>
      </c>
      <c r="D2594" s="67">
        <v>8126</v>
      </c>
      <c r="E2594">
        <v>0</v>
      </c>
      <c r="F2594">
        <v>0</v>
      </c>
      <c r="G2594">
        <v>1217.71</v>
      </c>
      <c r="H2594">
        <v>-1217.71</v>
      </c>
      <c r="I2594">
        <v>0</v>
      </c>
      <c r="J2594">
        <v>0</v>
      </c>
      <c r="K2594" s="249">
        <v>8126</v>
      </c>
      <c r="L2594" s="249">
        <v>8633.875</v>
      </c>
      <c r="M2594" s="249">
        <v>9238.2462500000001</v>
      </c>
      <c r="N2594" s="249">
        <v>9884.9234875000002</v>
      </c>
    </row>
    <row r="2595" spans="1:14" x14ac:dyDescent="0.25">
      <c r="A2595" t="s">
        <v>1186</v>
      </c>
      <c r="C2595" t="s">
        <v>175</v>
      </c>
      <c r="D2595" s="67">
        <v>23049</v>
      </c>
      <c r="E2595">
        <v>0</v>
      </c>
      <c r="F2595">
        <v>0</v>
      </c>
      <c r="G2595">
        <v>1217.71</v>
      </c>
      <c r="H2595">
        <v>-1217.71</v>
      </c>
      <c r="I2595">
        <v>0</v>
      </c>
      <c r="J2595">
        <v>0</v>
      </c>
      <c r="K2595" s="249">
        <v>23049</v>
      </c>
      <c r="L2595" s="249">
        <v>24489.5625</v>
      </c>
      <c r="M2595" s="249">
        <v>26203.831875</v>
      </c>
      <c r="N2595" s="249">
        <v>28038.10010625</v>
      </c>
    </row>
    <row r="2597" spans="1:14" x14ac:dyDescent="0.25">
      <c r="C2597" t="s">
        <v>176</v>
      </c>
      <c r="D2597" s="67">
        <v>44707</v>
      </c>
      <c r="E2597">
        <v>0</v>
      </c>
      <c r="F2597">
        <v>0</v>
      </c>
      <c r="G2597">
        <v>3653.13</v>
      </c>
      <c r="H2597">
        <v>-3653.13</v>
      </c>
      <c r="I2597">
        <v>0</v>
      </c>
      <c r="J2597">
        <v>0</v>
      </c>
      <c r="K2597" s="249">
        <v>44707</v>
      </c>
      <c r="L2597" s="249">
        <v>47501.1875</v>
      </c>
      <c r="M2597" s="249">
        <v>50826.270625000005</v>
      </c>
      <c r="N2597" s="249">
        <v>54384.109568749998</v>
      </c>
    </row>
    <row r="2599" spans="1:14" x14ac:dyDescent="0.25">
      <c r="C2599" t="s">
        <v>177</v>
      </c>
      <c r="D2599" s="67">
        <v>3636409</v>
      </c>
      <c r="E2599">
        <v>0</v>
      </c>
      <c r="F2599">
        <v>0</v>
      </c>
      <c r="G2599">
        <v>19483.36</v>
      </c>
      <c r="H2599">
        <v>-19483.36</v>
      </c>
      <c r="I2599">
        <v>35.299999999999997</v>
      </c>
      <c r="J2599">
        <v>-65003.549999999814</v>
      </c>
      <c r="K2599" s="249">
        <v>3571405.45</v>
      </c>
      <c r="L2599" s="249">
        <v>3794618.2906249999</v>
      </c>
      <c r="M2599" s="249">
        <v>4060241.5709687504</v>
      </c>
      <c r="N2599" s="249">
        <v>4344458.4809365617</v>
      </c>
    </row>
    <row r="2601" spans="1:14" x14ac:dyDescent="0.25">
      <c r="C2601" t="s">
        <v>178</v>
      </c>
      <c r="D2601" s="67">
        <v>3636409</v>
      </c>
      <c r="E2601">
        <v>0</v>
      </c>
      <c r="F2601">
        <v>0</v>
      </c>
      <c r="G2601">
        <v>19483.36</v>
      </c>
      <c r="H2601">
        <v>-19483.36</v>
      </c>
      <c r="I2601">
        <v>35.299999999999997</v>
      </c>
      <c r="J2601">
        <v>-65003.549999999814</v>
      </c>
      <c r="K2601" s="249">
        <v>3571405.45</v>
      </c>
      <c r="L2601" s="249">
        <v>3794618.2906249999</v>
      </c>
      <c r="M2601" s="249">
        <v>4060241.5709687504</v>
      </c>
      <c r="N2601" s="249">
        <v>4344458.4809365617</v>
      </c>
    </row>
    <row r="2603" spans="1:14" x14ac:dyDescent="0.25">
      <c r="C2603" t="s">
        <v>208</v>
      </c>
      <c r="J2603">
        <v>0</v>
      </c>
    </row>
    <row r="2605" spans="1:14" x14ac:dyDescent="0.25">
      <c r="C2605" t="s">
        <v>228</v>
      </c>
      <c r="J2605">
        <v>0</v>
      </c>
    </row>
    <row r="2607" spans="1:14" x14ac:dyDescent="0.25">
      <c r="A2607" t="s">
        <v>1187</v>
      </c>
      <c r="B2607" t="s">
        <v>3055</v>
      </c>
      <c r="C2607" t="s">
        <v>235</v>
      </c>
      <c r="D2607" s="67">
        <v>2700000</v>
      </c>
      <c r="E2607">
        <v>0</v>
      </c>
      <c r="F2607">
        <v>0</v>
      </c>
      <c r="G2607">
        <v>1217.71</v>
      </c>
      <c r="H2607">
        <v>-1217.71</v>
      </c>
      <c r="I2607">
        <v>0</v>
      </c>
      <c r="J2607">
        <v>0</v>
      </c>
      <c r="K2607" s="249">
        <v>2700000</v>
      </c>
      <c r="L2607" s="249">
        <v>2000000</v>
      </c>
      <c r="M2607" s="249">
        <v>2092000</v>
      </c>
      <c r="N2607" s="249">
        <v>2188232</v>
      </c>
    </row>
    <row r="2609" spans="1:14" x14ac:dyDescent="0.25">
      <c r="A2609" t="s">
        <v>1188</v>
      </c>
      <c r="C2609" t="s">
        <v>235</v>
      </c>
      <c r="D2609" s="67">
        <v>900000</v>
      </c>
      <c r="E2609">
        <v>0</v>
      </c>
      <c r="F2609">
        <v>0</v>
      </c>
      <c r="G2609">
        <v>1217.71</v>
      </c>
      <c r="H2609">
        <v>-1217.71</v>
      </c>
      <c r="I2609">
        <v>0</v>
      </c>
      <c r="J2609">
        <v>0</v>
      </c>
      <c r="K2609" s="249">
        <v>900000</v>
      </c>
      <c r="L2609" s="249">
        <v>0</v>
      </c>
      <c r="M2609" s="249">
        <v>0</v>
      </c>
      <c r="N2609" s="249">
        <v>0</v>
      </c>
    </row>
    <row r="2610" spans="1:14" x14ac:dyDescent="0.25">
      <c r="A2610" t="s">
        <v>1189</v>
      </c>
      <c r="C2610" t="s">
        <v>236</v>
      </c>
      <c r="D2610" s="67">
        <v>1800000</v>
      </c>
      <c r="E2610">
        <v>0</v>
      </c>
      <c r="F2610">
        <v>0</v>
      </c>
      <c r="G2610">
        <v>1217.71</v>
      </c>
      <c r="H2610">
        <v>-1217.71</v>
      </c>
      <c r="I2610">
        <v>0</v>
      </c>
      <c r="J2610">
        <v>0</v>
      </c>
      <c r="K2610" s="249">
        <v>1800000</v>
      </c>
      <c r="L2610" s="249">
        <v>1881000</v>
      </c>
      <c r="M2610" s="249">
        <v>1967526</v>
      </c>
      <c r="N2610" s="249">
        <v>2058032.196</v>
      </c>
    </row>
    <row r="2612" spans="1:14" x14ac:dyDescent="0.25">
      <c r="C2612" t="s">
        <v>239</v>
      </c>
      <c r="D2612" s="67">
        <v>5400000</v>
      </c>
      <c r="E2612">
        <v>0</v>
      </c>
      <c r="F2612">
        <v>0</v>
      </c>
      <c r="G2612">
        <v>3653.13</v>
      </c>
      <c r="H2612">
        <v>-3653.13</v>
      </c>
      <c r="I2612">
        <v>40.25</v>
      </c>
      <c r="J2612">
        <v>0</v>
      </c>
      <c r="K2612" s="249">
        <v>5400000</v>
      </c>
      <c r="L2612" s="249">
        <v>3881000</v>
      </c>
      <c r="M2612" s="249">
        <v>4059526</v>
      </c>
      <c r="N2612" s="249">
        <v>4246264.1960000005</v>
      </c>
    </row>
    <row r="2614" spans="1:14" x14ac:dyDescent="0.25">
      <c r="C2614" t="s">
        <v>240</v>
      </c>
      <c r="D2614" s="67">
        <v>5400000</v>
      </c>
      <c r="E2614">
        <v>0</v>
      </c>
      <c r="F2614">
        <v>0</v>
      </c>
      <c r="G2614">
        <v>3653.13</v>
      </c>
      <c r="H2614">
        <v>-3653.13</v>
      </c>
      <c r="I2614">
        <v>40.25</v>
      </c>
      <c r="J2614">
        <v>0</v>
      </c>
      <c r="K2614" s="249">
        <v>5400000</v>
      </c>
      <c r="L2614" s="249">
        <v>3881000</v>
      </c>
      <c r="M2614" s="249">
        <v>4059526</v>
      </c>
      <c r="N2614" s="249">
        <v>4246264.1960000005</v>
      </c>
    </row>
    <row r="2616" spans="1:14" x14ac:dyDescent="0.25">
      <c r="C2616" t="s">
        <v>241</v>
      </c>
      <c r="J2616">
        <v>0</v>
      </c>
    </row>
    <row r="2618" spans="1:14" x14ac:dyDescent="0.25">
      <c r="A2618" t="s">
        <v>1190</v>
      </c>
      <c r="C2618" t="s">
        <v>256</v>
      </c>
      <c r="D2618" s="67">
        <v>36722</v>
      </c>
      <c r="E2618">
        <v>0</v>
      </c>
      <c r="F2618">
        <v>0</v>
      </c>
      <c r="G2618">
        <v>1217.71</v>
      </c>
      <c r="H2618">
        <v>-1217.71</v>
      </c>
      <c r="I2618">
        <v>0</v>
      </c>
      <c r="J2618">
        <v>0</v>
      </c>
      <c r="K2618" s="249">
        <v>36722</v>
      </c>
      <c r="L2618" s="249">
        <v>38374.49</v>
      </c>
      <c r="M2618" s="249">
        <v>40139.716540000001</v>
      </c>
      <c r="N2618" s="249">
        <v>41986.14350084</v>
      </c>
    </row>
    <row r="2619" spans="1:14" x14ac:dyDescent="0.25">
      <c r="A2619" t="s">
        <v>1191</v>
      </c>
      <c r="C2619" t="s">
        <v>265</v>
      </c>
      <c r="D2619" s="67">
        <v>48487</v>
      </c>
      <c r="E2619">
        <v>0</v>
      </c>
      <c r="F2619">
        <v>0</v>
      </c>
      <c r="G2619">
        <v>1217.71</v>
      </c>
      <c r="H2619">
        <v>-1217.71</v>
      </c>
      <c r="I2619">
        <v>0</v>
      </c>
      <c r="J2619">
        <v>0</v>
      </c>
      <c r="K2619" s="249">
        <v>48487</v>
      </c>
      <c r="L2619" s="249">
        <v>50668.915000000001</v>
      </c>
      <c r="M2619" s="249">
        <v>52999.685089999999</v>
      </c>
      <c r="N2619" s="249">
        <v>55437.670604139996</v>
      </c>
    </row>
    <row r="2620" spans="1:14" x14ac:dyDescent="0.25">
      <c r="A2620" t="s">
        <v>1192</v>
      </c>
      <c r="C2620" t="s">
        <v>268</v>
      </c>
      <c r="D2620" s="67">
        <v>0</v>
      </c>
      <c r="E2620">
        <v>0</v>
      </c>
      <c r="F2620">
        <v>0</v>
      </c>
      <c r="G2620">
        <v>1217.71</v>
      </c>
      <c r="H2620">
        <v>-1217.71</v>
      </c>
      <c r="I2620">
        <v>0</v>
      </c>
      <c r="J2620">
        <v>90000</v>
      </c>
      <c r="K2620" s="249">
        <v>90000</v>
      </c>
      <c r="L2620" s="249">
        <v>94050</v>
      </c>
      <c r="M2620" s="249">
        <v>98376.3</v>
      </c>
      <c r="N2620" s="249">
        <v>102901.60980000001</v>
      </c>
    </row>
    <row r="2622" spans="1:14" x14ac:dyDescent="0.25">
      <c r="C2622" t="s">
        <v>274</v>
      </c>
      <c r="D2622" s="67">
        <v>85209</v>
      </c>
      <c r="E2622">
        <v>0</v>
      </c>
      <c r="F2622">
        <v>0</v>
      </c>
      <c r="G2622">
        <v>3653.13</v>
      </c>
      <c r="H2622">
        <v>-3653.13</v>
      </c>
      <c r="I2622">
        <v>83.32</v>
      </c>
      <c r="J2622">
        <v>90000</v>
      </c>
      <c r="K2622" s="249">
        <v>175209</v>
      </c>
      <c r="L2622" s="249">
        <v>183093.405</v>
      </c>
      <c r="M2622" s="249">
        <v>191515.70163000003</v>
      </c>
      <c r="N2622" s="249">
        <v>200325.42390498001</v>
      </c>
    </row>
    <row r="2624" spans="1:14" x14ac:dyDescent="0.25">
      <c r="C2624" t="s">
        <v>275</v>
      </c>
      <c r="J2624">
        <v>0</v>
      </c>
    </row>
    <row r="2626" spans="1:14" x14ac:dyDescent="0.25">
      <c r="A2626" t="s">
        <v>1193</v>
      </c>
      <c r="C2626" t="s">
        <v>276</v>
      </c>
      <c r="D2626" s="67">
        <v>0</v>
      </c>
      <c r="E2626">
        <v>0</v>
      </c>
      <c r="F2626">
        <v>0</v>
      </c>
      <c r="G2626">
        <v>1217.71</v>
      </c>
      <c r="H2626">
        <v>-1217.71</v>
      </c>
      <c r="I2626">
        <v>0</v>
      </c>
      <c r="J2626">
        <v>95109</v>
      </c>
      <c r="K2626" s="249">
        <v>95109</v>
      </c>
      <c r="L2626" s="249">
        <v>99388.904999999999</v>
      </c>
      <c r="M2626" s="249">
        <v>103960.79463</v>
      </c>
      <c r="N2626" s="249">
        <v>108742.99118298001</v>
      </c>
    </row>
    <row r="2628" spans="1:14" x14ac:dyDescent="0.25">
      <c r="C2628" t="s">
        <v>279</v>
      </c>
      <c r="D2628" s="67">
        <v>0</v>
      </c>
      <c r="E2628">
        <v>0</v>
      </c>
      <c r="F2628">
        <v>0</v>
      </c>
      <c r="G2628">
        <v>1217.71</v>
      </c>
      <c r="H2628">
        <v>-1217.71</v>
      </c>
      <c r="I2628">
        <v>0</v>
      </c>
      <c r="J2628">
        <v>95109</v>
      </c>
      <c r="K2628" s="249">
        <v>95109</v>
      </c>
      <c r="L2628" s="249">
        <v>99388.904999999999</v>
      </c>
      <c r="M2628" s="249">
        <v>103960.79463</v>
      </c>
      <c r="N2628" s="249">
        <v>108742.99118298001</v>
      </c>
    </row>
    <row r="2630" spans="1:14" x14ac:dyDescent="0.25">
      <c r="C2630" t="s">
        <v>290</v>
      </c>
      <c r="J2630">
        <v>0</v>
      </c>
    </row>
    <row r="2632" spans="1:14" x14ac:dyDescent="0.25">
      <c r="A2632" t="s">
        <v>1194</v>
      </c>
      <c r="C2632" t="s">
        <v>291</v>
      </c>
      <c r="D2632" s="67">
        <v>0</v>
      </c>
      <c r="E2632">
        <v>0</v>
      </c>
      <c r="F2632">
        <v>0</v>
      </c>
      <c r="G2632">
        <v>1217.71</v>
      </c>
      <c r="H2632">
        <v>-1217.71</v>
      </c>
      <c r="I2632">
        <v>0</v>
      </c>
      <c r="J2632">
        <v>0</v>
      </c>
      <c r="K2632" s="249">
        <v>0</v>
      </c>
      <c r="L2632" s="249">
        <v>0</v>
      </c>
      <c r="M2632" s="249">
        <v>0</v>
      </c>
      <c r="N2632" s="249">
        <v>0</v>
      </c>
    </row>
    <row r="2633" spans="1:14" x14ac:dyDescent="0.25">
      <c r="A2633" t="s">
        <v>1195</v>
      </c>
      <c r="C2633" t="s">
        <v>292</v>
      </c>
      <c r="D2633" s="67">
        <v>0</v>
      </c>
      <c r="E2633">
        <v>0</v>
      </c>
      <c r="F2633">
        <v>0</v>
      </c>
      <c r="G2633">
        <v>1217.71</v>
      </c>
      <c r="H2633">
        <v>-1217.71</v>
      </c>
      <c r="I2633">
        <v>0</v>
      </c>
      <c r="J2633">
        <v>0</v>
      </c>
      <c r="K2633" s="249">
        <v>0</v>
      </c>
      <c r="L2633" s="249">
        <v>0</v>
      </c>
      <c r="M2633" s="249">
        <v>0</v>
      </c>
      <c r="N2633" s="249">
        <v>0</v>
      </c>
    </row>
    <row r="2634" spans="1:14" x14ac:dyDescent="0.25">
      <c r="A2634" t="s">
        <v>1196</v>
      </c>
      <c r="C2634" t="s">
        <v>293</v>
      </c>
      <c r="D2634" s="67">
        <v>476</v>
      </c>
      <c r="E2634">
        <v>0</v>
      </c>
      <c r="F2634">
        <v>0</v>
      </c>
      <c r="G2634">
        <v>1217.71</v>
      </c>
      <c r="H2634">
        <v>-1217.71</v>
      </c>
      <c r="I2634">
        <v>0</v>
      </c>
      <c r="J2634">
        <v>0</v>
      </c>
      <c r="K2634" s="249">
        <v>476</v>
      </c>
      <c r="L2634" s="249">
        <v>497.42</v>
      </c>
      <c r="M2634" s="249">
        <v>520.30132000000003</v>
      </c>
      <c r="N2634" s="249">
        <v>544.23518072000002</v>
      </c>
    </row>
    <row r="2635" spans="1:14" x14ac:dyDescent="0.25">
      <c r="A2635" t="s">
        <v>1197</v>
      </c>
      <c r="C2635" t="s">
        <v>294</v>
      </c>
      <c r="D2635" s="67">
        <v>0</v>
      </c>
      <c r="E2635">
        <v>0</v>
      </c>
      <c r="F2635">
        <v>0</v>
      </c>
      <c r="G2635">
        <v>1217.71</v>
      </c>
      <c r="H2635">
        <v>-1217.71</v>
      </c>
      <c r="I2635">
        <v>0</v>
      </c>
      <c r="J2635">
        <v>3513156.6700000199</v>
      </c>
      <c r="K2635" s="249">
        <v>3513156.6700000199</v>
      </c>
      <c r="L2635" s="249">
        <v>3671248.7201500209</v>
      </c>
      <c r="M2635" s="249">
        <v>3840126.1612769216</v>
      </c>
      <c r="N2635" s="249">
        <v>4016771.9646956599</v>
      </c>
    </row>
    <row r="2636" spans="1:14" x14ac:dyDescent="0.25">
      <c r="A2636" t="s">
        <v>1198</v>
      </c>
      <c r="C2636" t="s">
        <v>296</v>
      </c>
      <c r="D2636" s="67">
        <v>530622</v>
      </c>
      <c r="E2636">
        <v>0</v>
      </c>
      <c r="F2636">
        <v>0</v>
      </c>
      <c r="G2636">
        <v>1217.71</v>
      </c>
      <c r="H2636">
        <v>-1217.71</v>
      </c>
      <c r="I2636">
        <v>0</v>
      </c>
      <c r="J2636">
        <v>0</v>
      </c>
      <c r="K2636" s="249">
        <v>530622</v>
      </c>
      <c r="L2636" s="249">
        <v>554499.99</v>
      </c>
      <c r="M2636" s="249">
        <v>580006.98953999998</v>
      </c>
      <c r="N2636" s="249">
        <v>606687.31105884002</v>
      </c>
    </row>
    <row r="2637" spans="1:14" x14ac:dyDescent="0.25">
      <c r="A2637" t="s">
        <v>1199</v>
      </c>
      <c r="C2637" t="s">
        <v>297</v>
      </c>
      <c r="D2637" s="67">
        <v>168850</v>
      </c>
      <c r="E2637">
        <v>0</v>
      </c>
      <c r="F2637">
        <v>0</v>
      </c>
      <c r="G2637">
        <v>1217.71</v>
      </c>
      <c r="H2637">
        <v>-1217.71</v>
      </c>
      <c r="I2637">
        <v>0</v>
      </c>
      <c r="J2637">
        <v>0</v>
      </c>
      <c r="K2637" s="249">
        <v>168850</v>
      </c>
      <c r="L2637" s="249">
        <v>176448.25</v>
      </c>
      <c r="M2637" s="249">
        <v>184564.8695</v>
      </c>
      <c r="N2637" s="249">
        <v>193054.853497</v>
      </c>
    </row>
    <row r="2638" spans="1:14" x14ac:dyDescent="0.25">
      <c r="A2638" t="s">
        <v>1200</v>
      </c>
      <c r="C2638" t="s">
        <v>298</v>
      </c>
      <c r="D2638" s="67">
        <v>2276857</v>
      </c>
      <c r="E2638">
        <v>0</v>
      </c>
      <c r="F2638">
        <v>0</v>
      </c>
      <c r="G2638">
        <v>1217.71</v>
      </c>
      <c r="H2638">
        <v>-1217.71</v>
      </c>
      <c r="I2638">
        <v>0</v>
      </c>
      <c r="J2638">
        <v>2182253</v>
      </c>
      <c r="K2638" s="249">
        <v>4459110</v>
      </c>
      <c r="L2638" s="249">
        <v>4659769.95</v>
      </c>
      <c r="M2638" s="249">
        <v>4874119.3677000003</v>
      </c>
      <c r="N2638" s="249">
        <v>5098328.8586142007</v>
      </c>
    </row>
    <row r="2639" spans="1:14" x14ac:dyDescent="0.25">
      <c r="A2639" t="s">
        <v>1201</v>
      </c>
      <c r="C2639" t="s">
        <v>303</v>
      </c>
      <c r="D2639" s="67">
        <v>3371</v>
      </c>
      <c r="E2639">
        <v>0</v>
      </c>
      <c r="F2639">
        <v>0</v>
      </c>
      <c r="G2639">
        <v>1217.71</v>
      </c>
      <c r="H2639">
        <v>-1217.71</v>
      </c>
      <c r="I2639">
        <v>0</v>
      </c>
      <c r="J2639">
        <v>0</v>
      </c>
      <c r="K2639" s="249">
        <v>3371</v>
      </c>
      <c r="L2639" s="249">
        <v>3522.6950000000002</v>
      </c>
      <c r="M2639" s="249">
        <v>3684.7389700000003</v>
      </c>
      <c r="N2639" s="249">
        <v>3854.2369626200002</v>
      </c>
    </row>
    <row r="2641" spans="1:14" x14ac:dyDescent="0.25">
      <c r="C2641" t="s">
        <v>304</v>
      </c>
      <c r="D2641" s="67">
        <v>2980176</v>
      </c>
      <c r="E2641">
        <v>0</v>
      </c>
      <c r="F2641">
        <v>0</v>
      </c>
      <c r="G2641">
        <v>9741.68</v>
      </c>
      <c r="H2641">
        <v>-9741.68</v>
      </c>
      <c r="I2641">
        <v>31.15</v>
      </c>
      <c r="J2641">
        <v>5695409.6700000204</v>
      </c>
      <c r="K2641" s="249">
        <v>8675585.6700000204</v>
      </c>
      <c r="L2641" s="249">
        <v>9065987.0251500215</v>
      </c>
      <c r="M2641" s="249">
        <v>9483022.4283069223</v>
      </c>
      <c r="N2641" s="249">
        <v>9919241.4600090422</v>
      </c>
    </row>
    <row r="2643" spans="1:14" x14ac:dyDescent="0.25">
      <c r="C2643" t="s">
        <v>305</v>
      </c>
      <c r="D2643" s="67">
        <v>12101794</v>
      </c>
      <c r="E2643">
        <v>0</v>
      </c>
      <c r="F2643">
        <v>0</v>
      </c>
      <c r="G2643">
        <v>37749.01</v>
      </c>
      <c r="H2643">
        <v>-37749.01</v>
      </c>
      <c r="I2643">
        <v>37.61</v>
      </c>
      <c r="J2643">
        <v>5815515.1200000197</v>
      </c>
      <c r="K2643" s="249">
        <v>17917309.12000002</v>
      </c>
      <c r="L2643" s="249">
        <v>17024087.625775024</v>
      </c>
      <c r="M2643" s="249">
        <v>17898266.495535672</v>
      </c>
      <c r="N2643" s="249">
        <v>18819032.552033566</v>
      </c>
    </row>
    <row r="2645" spans="1:14" x14ac:dyDescent="0.25">
      <c r="C2645" t="s">
        <v>306</v>
      </c>
      <c r="D2645" s="67">
        <v>12101794</v>
      </c>
      <c r="E2645">
        <v>0</v>
      </c>
      <c r="F2645">
        <v>0</v>
      </c>
      <c r="G2645">
        <v>37749.01</v>
      </c>
      <c r="H2645">
        <v>-37749.01</v>
      </c>
      <c r="I2645">
        <v>37.61</v>
      </c>
      <c r="J2645">
        <v>5815515.1200000197</v>
      </c>
      <c r="K2645" s="249">
        <v>17917309.12000002</v>
      </c>
      <c r="L2645" s="249">
        <v>17024087.625775024</v>
      </c>
      <c r="M2645" s="249">
        <v>17898266.495535672</v>
      </c>
      <c r="N2645" s="249">
        <v>18819032.552033566</v>
      </c>
    </row>
    <row r="2647" spans="1:14" x14ac:dyDescent="0.25">
      <c r="C2647" t="s">
        <v>308</v>
      </c>
      <c r="J2647">
        <v>0</v>
      </c>
    </row>
    <row r="2649" spans="1:14" x14ac:dyDescent="0.25">
      <c r="A2649" t="s">
        <v>1202</v>
      </c>
      <c r="C2649" t="s">
        <v>1203</v>
      </c>
      <c r="D2649" s="67">
        <v>1000000</v>
      </c>
      <c r="E2649">
        <v>0</v>
      </c>
      <c r="F2649">
        <v>0</v>
      </c>
      <c r="G2649">
        <v>1217.71</v>
      </c>
      <c r="H2649">
        <v>-1217.71</v>
      </c>
      <c r="I2649">
        <v>0</v>
      </c>
      <c r="J2649">
        <v>-37820</v>
      </c>
      <c r="K2649" s="249">
        <v>962180</v>
      </c>
      <c r="L2649" s="249">
        <v>0</v>
      </c>
      <c r="M2649" s="249">
        <v>0</v>
      </c>
    </row>
    <row r="2650" spans="1:14" x14ac:dyDescent="0.25">
      <c r="A2650" t="s">
        <v>1204</v>
      </c>
      <c r="C2650" t="s">
        <v>1205</v>
      </c>
      <c r="D2650" s="67">
        <v>3000000</v>
      </c>
      <c r="E2650">
        <v>0</v>
      </c>
      <c r="F2650">
        <v>0</v>
      </c>
      <c r="G2650">
        <v>1217.71</v>
      </c>
      <c r="H2650">
        <v>-1217.71</v>
      </c>
      <c r="I2650">
        <v>0</v>
      </c>
      <c r="J2650">
        <v>-3000000</v>
      </c>
      <c r="K2650" s="249">
        <v>0</v>
      </c>
      <c r="L2650" s="249">
        <v>0</v>
      </c>
      <c r="M2650" s="249">
        <v>0</v>
      </c>
    </row>
    <row r="2651" spans="1:14" x14ac:dyDescent="0.25">
      <c r="A2651" t="s">
        <v>1206</v>
      </c>
      <c r="C2651" t="s">
        <v>1207</v>
      </c>
      <c r="D2651" s="67">
        <v>2220000</v>
      </c>
      <c r="E2651">
        <v>0</v>
      </c>
      <c r="F2651">
        <v>0</v>
      </c>
      <c r="G2651">
        <v>1217.71</v>
      </c>
      <c r="H2651">
        <v>-1217.71</v>
      </c>
      <c r="I2651">
        <v>0</v>
      </c>
      <c r="J2651">
        <v>-2220000</v>
      </c>
      <c r="K2651" s="249">
        <v>0</v>
      </c>
      <c r="L2651" s="249">
        <v>1260000</v>
      </c>
      <c r="M2651" s="249">
        <v>1260000</v>
      </c>
      <c r="N2651" s="249">
        <v>0</v>
      </c>
    </row>
    <row r="2652" spans="1:14" x14ac:dyDescent="0.25">
      <c r="A2652" t="s">
        <v>1208</v>
      </c>
      <c r="C2652" t="s">
        <v>1209</v>
      </c>
      <c r="D2652" s="67">
        <v>17000000</v>
      </c>
      <c r="E2652">
        <v>0</v>
      </c>
      <c r="F2652">
        <v>0</v>
      </c>
      <c r="G2652">
        <v>1217.71</v>
      </c>
      <c r="H2652">
        <v>-1217.71</v>
      </c>
      <c r="I2652">
        <v>0</v>
      </c>
      <c r="J2652">
        <v>8110000</v>
      </c>
      <c r="K2652" s="249">
        <v>25110000</v>
      </c>
      <c r="L2652" s="249">
        <v>4172137.84</v>
      </c>
      <c r="M2652" s="249">
        <v>0</v>
      </c>
    </row>
    <row r="2653" spans="1:14" x14ac:dyDescent="0.25">
      <c r="A2653" t="s">
        <v>1210</v>
      </c>
      <c r="C2653" t="s">
        <v>1355</v>
      </c>
      <c r="D2653" s="67">
        <v>16393450</v>
      </c>
      <c r="E2653">
        <v>0</v>
      </c>
      <c r="F2653">
        <v>0</v>
      </c>
      <c r="G2653">
        <v>1217.71</v>
      </c>
      <c r="H2653">
        <v>-1217.71</v>
      </c>
      <c r="I2653">
        <v>0</v>
      </c>
      <c r="J2653">
        <v>0</v>
      </c>
      <c r="K2653" s="249">
        <v>16393450</v>
      </c>
      <c r="L2653" s="249">
        <v>14152231.92</v>
      </c>
      <c r="M2653" s="249">
        <v>0</v>
      </c>
    </row>
    <row r="2654" spans="1:14" x14ac:dyDescent="0.25">
      <c r="A2654" t="s">
        <v>1211</v>
      </c>
      <c r="C2654" t="s">
        <v>1212</v>
      </c>
      <c r="D2654" s="67">
        <v>3000000</v>
      </c>
      <c r="E2654">
        <v>0</v>
      </c>
      <c r="F2654">
        <v>0</v>
      </c>
      <c r="G2654">
        <v>1217.71</v>
      </c>
      <c r="H2654">
        <v>-1217.71</v>
      </c>
      <c r="I2654">
        <v>0</v>
      </c>
      <c r="J2654">
        <v>-1384000</v>
      </c>
      <c r="K2654" s="249">
        <v>1616000</v>
      </c>
      <c r="L2654" s="249">
        <v>3000000</v>
      </c>
      <c r="M2654" s="249">
        <v>0</v>
      </c>
    </row>
    <row r="2655" spans="1:14" x14ac:dyDescent="0.25">
      <c r="A2655" t="s">
        <v>1213</v>
      </c>
      <c r="C2655" t="s">
        <v>1214</v>
      </c>
      <c r="D2655" s="67">
        <v>800000</v>
      </c>
      <c r="E2655">
        <v>0</v>
      </c>
      <c r="F2655">
        <v>0</v>
      </c>
      <c r="G2655">
        <v>1217.71</v>
      </c>
      <c r="H2655">
        <v>-1217.71</v>
      </c>
      <c r="I2655">
        <v>0</v>
      </c>
      <c r="J2655">
        <v>0</v>
      </c>
      <c r="K2655" s="249">
        <v>800000</v>
      </c>
      <c r="L2655" s="249">
        <v>0</v>
      </c>
      <c r="M2655" s="249">
        <v>0</v>
      </c>
    </row>
    <row r="2656" spans="1:14" x14ac:dyDescent="0.25">
      <c r="A2656" t="s">
        <v>1215</v>
      </c>
      <c r="C2656" t="s">
        <v>1216</v>
      </c>
      <c r="D2656" s="67">
        <v>2127821</v>
      </c>
      <c r="E2656">
        <v>0</v>
      </c>
      <c r="F2656">
        <v>0</v>
      </c>
      <c r="G2656">
        <v>1217.71</v>
      </c>
      <c r="H2656">
        <v>-1217.71</v>
      </c>
      <c r="I2656">
        <v>0</v>
      </c>
      <c r="J2656">
        <v>0</v>
      </c>
      <c r="K2656" s="249">
        <v>2127821</v>
      </c>
      <c r="L2656" s="249">
        <v>0</v>
      </c>
      <c r="M2656" s="249">
        <v>0</v>
      </c>
    </row>
    <row r="2657" spans="1:14" x14ac:dyDescent="0.25">
      <c r="A2657" t="s">
        <v>1345</v>
      </c>
      <c r="C2657" t="s">
        <v>1346</v>
      </c>
      <c r="D2657" s="67">
        <v>0</v>
      </c>
      <c r="E2657">
        <v>0</v>
      </c>
      <c r="F2657">
        <v>0</v>
      </c>
      <c r="G2657">
        <v>1217.71</v>
      </c>
      <c r="H2657">
        <v>-1217.71</v>
      </c>
      <c r="I2657">
        <v>0</v>
      </c>
      <c r="J2657">
        <v>0</v>
      </c>
      <c r="K2657" s="249">
        <v>0</v>
      </c>
      <c r="L2657" s="249">
        <v>0</v>
      </c>
      <c r="M2657" s="249">
        <v>0</v>
      </c>
      <c r="N2657" s="249">
        <v>0</v>
      </c>
    </row>
    <row r="2658" spans="1:14" x14ac:dyDescent="0.25">
      <c r="A2658" t="s">
        <v>3006</v>
      </c>
      <c r="C2658" t="s">
        <v>1347</v>
      </c>
      <c r="D2658" s="67">
        <v>0</v>
      </c>
      <c r="I2658">
        <v>0</v>
      </c>
      <c r="J2658">
        <v>0</v>
      </c>
      <c r="L2658" s="249">
        <v>0</v>
      </c>
      <c r="M2658" s="249">
        <v>4800000</v>
      </c>
      <c r="N2658" s="249">
        <v>8000000</v>
      </c>
    </row>
    <row r="2659" spans="1:14" x14ac:dyDescent="0.25">
      <c r="A2659" t="s">
        <v>3007</v>
      </c>
      <c r="C2659" t="s">
        <v>1348</v>
      </c>
      <c r="D2659" s="67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L2659" s="249">
        <v>0</v>
      </c>
      <c r="M2659" s="249">
        <v>0</v>
      </c>
      <c r="N2659" s="249">
        <v>0</v>
      </c>
    </row>
    <row r="2660" spans="1:14" x14ac:dyDescent="0.25">
      <c r="A2660" t="s">
        <v>3008</v>
      </c>
      <c r="C2660" t="s">
        <v>1349</v>
      </c>
      <c r="D2660" s="67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L2660" s="249">
        <v>0</v>
      </c>
      <c r="M2660" s="249">
        <v>0</v>
      </c>
    </row>
    <row r="2661" spans="1:14" x14ac:dyDescent="0.25">
      <c r="A2661" t="s">
        <v>1350</v>
      </c>
      <c r="C2661" t="s">
        <v>1351</v>
      </c>
      <c r="D2661" s="67">
        <v>0</v>
      </c>
      <c r="E2661">
        <v>0</v>
      </c>
      <c r="F2661">
        <v>0</v>
      </c>
      <c r="G2661">
        <v>1217.71</v>
      </c>
      <c r="H2661">
        <v>-1217.71</v>
      </c>
      <c r="I2661">
        <v>0</v>
      </c>
      <c r="J2661">
        <v>0</v>
      </c>
      <c r="K2661" s="249">
        <v>0</v>
      </c>
      <c r="L2661" s="249">
        <v>14861980.24</v>
      </c>
      <c r="M2661" s="249">
        <v>2988019.78</v>
      </c>
    </row>
    <row r="2662" spans="1:14" x14ac:dyDescent="0.25">
      <c r="A2662" t="s">
        <v>1352</v>
      </c>
      <c r="C2662" t="s">
        <v>3044</v>
      </c>
      <c r="D2662" s="67">
        <v>0</v>
      </c>
      <c r="E2662">
        <v>0</v>
      </c>
      <c r="F2662">
        <v>0</v>
      </c>
      <c r="G2662">
        <v>1217.71</v>
      </c>
      <c r="H2662">
        <v>-1217.71</v>
      </c>
      <c r="I2662">
        <v>0</v>
      </c>
      <c r="J2662">
        <v>0</v>
      </c>
      <c r="K2662" s="249">
        <v>0</v>
      </c>
      <c r="L2662" s="249">
        <v>0</v>
      </c>
      <c r="M2662" s="249">
        <v>12105000</v>
      </c>
      <c r="N2662" s="249">
        <v>7000000</v>
      </c>
    </row>
    <row r="2663" spans="1:14" x14ac:dyDescent="0.25">
      <c r="A2663" t="s">
        <v>3083</v>
      </c>
      <c r="C2663" t="s">
        <v>3067</v>
      </c>
      <c r="D2663" s="67">
        <v>0</v>
      </c>
      <c r="K2663" s="249">
        <v>0</v>
      </c>
      <c r="L2663" s="249">
        <v>0</v>
      </c>
      <c r="M2663" s="249">
        <v>2000000</v>
      </c>
      <c r="N2663" s="249">
        <v>6000000</v>
      </c>
    </row>
    <row r="2664" spans="1:14" x14ac:dyDescent="0.25">
      <c r="A2664" t="s">
        <v>3084</v>
      </c>
      <c r="C2664" t="s">
        <v>3068</v>
      </c>
      <c r="D2664" s="67">
        <v>0</v>
      </c>
      <c r="K2664" s="249">
        <v>0</v>
      </c>
      <c r="L2664" s="249">
        <v>0</v>
      </c>
      <c r="M2664" s="249">
        <v>2000000</v>
      </c>
      <c r="N2664" s="249">
        <v>6000000</v>
      </c>
    </row>
    <row r="2665" spans="1:14" x14ac:dyDescent="0.25">
      <c r="A2665" t="s">
        <v>3085</v>
      </c>
      <c r="C2665" t="s">
        <v>3069</v>
      </c>
      <c r="M2665" s="249">
        <v>2000000</v>
      </c>
      <c r="N2665" s="249">
        <v>5905050</v>
      </c>
    </row>
    <row r="2666" spans="1:14" x14ac:dyDescent="0.25">
      <c r="A2666" t="s">
        <v>3086</v>
      </c>
      <c r="C2666" t="s">
        <v>3070</v>
      </c>
      <c r="D2666" s="67">
        <v>0</v>
      </c>
      <c r="K2666" s="249">
        <v>0</v>
      </c>
      <c r="L2666" s="249">
        <v>0</v>
      </c>
      <c r="M2666" s="249">
        <v>2500000</v>
      </c>
      <c r="N2666" s="249">
        <v>6897350</v>
      </c>
    </row>
    <row r="2667" spans="1:14" x14ac:dyDescent="0.25">
      <c r="A2667" s="250" t="s">
        <v>3082</v>
      </c>
      <c r="C2667" t="s">
        <v>3043</v>
      </c>
      <c r="D2667" s="67">
        <v>0</v>
      </c>
      <c r="M2667" s="249">
        <v>12259030</v>
      </c>
      <c r="N2667" s="249">
        <v>6000000</v>
      </c>
    </row>
    <row r="2668" spans="1:14" x14ac:dyDescent="0.25">
      <c r="D2668" s="67">
        <v>0</v>
      </c>
      <c r="M2668" s="249">
        <v>0</v>
      </c>
      <c r="N2668" s="249">
        <v>0</v>
      </c>
    </row>
    <row r="2669" spans="1:14" x14ac:dyDescent="0.25">
      <c r="N2669" s="249">
        <v>0</v>
      </c>
    </row>
    <row r="2670" spans="1:14" x14ac:dyDescent="0.25">
      <c r="C2670" t="s">
        <v>320</v>
      </c>
      <c r="D2670" s="67">
        <v>45541271</v>
      </c>
      <c r="E2670">
        <v>0</v>
      </c>
      <c r="F2670">
        <v>0</v>
      </c>
      <c r="G2670">
        <v>13394.809999999998</v>
      </c>
      <c r="H2670">
        <v>-13394.809999999998</v>
      </c>
      <c r="I2670">
        <v>0</v>
      </c>
      <c r="J2670">
        <v>1468180</v>
      </c>
      <c r="K2670" s="249">
        <v>47009451</v>
      </c>
      <c r="L2670" s="249">
        <v>37446350</v>
      </c>
      <c r="M2670" s="249">
        <v>41912049.780000001</v>
      </c>
      <c r="N2670" s="249">
        <v>45802400</v>
      </c>
    </row>
    <row r="2672" spans="1:14" x14ac:dyDescent="0.25">
      <c r="C2672" t="s">
        <v>1217</v>
      </c>
      <c r="J2672">
        <v>0</v>
      </c>
    </row>
    <row r="2673" spans="1:14" x14ac:dyDescent="0.25">
      <c r="C2673" t="s">
        <v>9</v>
      </c>
      <c r="J2673">
        <v>0</v>
      </c>
    </row>
    <row r="2674" spans="1:14" x14ac:dyDescent="0.25">
      <c r="C2674" t="s">
        <v>10</v>
      </c>
      <c r="J2674">
        <v>0</v>
      </c>
    </row>
    <row r="2675" spans="1:14" x14ac:dyDescent="0.25">
      <c r="C2675" t="s">
        <v>29</v>
      </c>
      <c r="J2675">
        <v>0</v>
      </c>
    </row>
    <row r="2676" spans="1:14" x14ac:dyDescent="0.25">
      <c r="C2676" t="s">
        <v>30</v>
      </c>
      <c r="J2676">
        <v>0</v>
      </c>
    </row>
    <row r="2678" spans="1:14" x14ac:dyDescent="0.25">
      <c r="A2678" t="s">
        <v>1218</v>
      </c>
      <c r="C2678" t="s">
        <v>33</v>
      </c>
      <c r="D2678" s="67">
        <v>-1757550</v>
      </c>
      <c r="E2678">
        <v>-474821.9</v>
      </c>
      <c r="F2678">
        <v>0</v>
      </c>
      <c r="G2678">
        <v>-932309.88</v>
      </c>
      <c r="H2678">
        <v>-825240.12</v>
      </c>
      <c r="I2678">
        <v>53.04</v>
      </c>
      <c r="J2678">
        <v>0</v>
      </c>
      <c r="K2678" s="249">
        <v>-1757550</v>
      </c>
      <c r="L2678" s="249">
        <v>-1746650</v>
      </c>
      <c r="M2678" s="249">
        <v>-1886950</v>
      </c>
      <c r="N2678" s="249">
        <v>-1989600</v>
      </c>
    </row>
    <row r="2680" spans="1:14" x14ac:dyDescent="0.25">
      <c r="C2680" t="s">
        <v>35</v>
      </c>
      <c r="D2680" s="67">
        <v>-1757550</v>
      </c>
      <c r="E2680">
        <v>-474821.9</v>
      </c>
      <c r="F2680">
        <v>0</v>
      </c>
      <c r="G2680">
        <v>-932309.88</v>
      </c>
      <c r="H2680">
        <v>-825240.12</v>
      </c>
      <c r="I2680">
        <v>53.04</v>
      </c>
      <c r="J2680">
        <v>0</v>
      </c>
      <c r="K2680" s="249">
        <v>-1757550</v>
      </c>
      <c r="L2680" s="249">
        <v>-1746650</v>
      </c>
      <c r="M2680" s="249">
        <v>-1886950</v>
      </c>
      <c r="N2680" s="249">
        <v>-1989600</v>
      </c>
    </row>
    <row r="2682" spans="1:14" x14ac:dyDescent="0.25">
      <c r="C2682" t="s">
        <v>36</v>
      </c>
      <c r="J2682">
        <v>0</v>
      </c>
    </row>
    <row r="2684" spans="1:14" x14ac:dyDescent="0.25">
      <c r="A2684" t="s">
        <v>1219</v>
      </c>
      <c r="C2684" t="s">
        <v>37</v>
      </c>
      <c r="D2684" s="67">
        <v>-33393460</v>
      </c>
      <c r="E2684">
        <v>-16715989.720000001</v>
      </c>
      <c r="F2684">
        <v>0</v>
      </c>
      <c r="G2684">
        <v>-31038466.530000001</v>
      </c>
      <c r="H2684">
        <v>-2354993.4700000002</v>
      </c>
      <c r="I2684">
        <v>92.94</v>
      </c>
      <c r="J2684">
        <v>0</v>
      </c>
      <c r="K2684" s="249">
        <v>-43119460</v>
      </c>
      <c r="L2684" s="249">
        <v>-33186350</v>
      </c>
      <c r="M2684" s="249">
        <v>-35852050</v>
      </c>
      <c r="N2684" s="249">
        <v>-37802400</v>
      </c>
    </row>
    <row r="2686" spans="1:14" x14ac:dyDescent="0.25">
      <c r="C2686" t="s">
        <v>38</v>
      </c>
      <c r="D2686" s="67">
        <v>-33393460</v>
      </c>
      <c r="E2686">
        <v>-16715989.720000001</v>
      </c>
      <c r="F2686">
        <v>0</v>
      </c>
      <c r="G2686">
        <v>-31038466.530000001</v>
      </c>
      <c r="H2686">
        <v>-2354993.4700000002</v>
      </c>
      <c r="I2686">
        <v>92.94</v>
      </c>
      <c r="J2686">
        <v>0</v>
      </c>
      <c r="K2686" s="249">
        <v>-43119460</v>
      </c>
      <c r="L2686" s="249">
        <v>-33186350</v>
      </c>
      <c r="M2686" s="249">
        <v>-35852050</v>
      </c>
      <c r="N2686" s="249">
        <v>-37802400</v>
      </c>
    </row>
    <row r="2688" spans="1:14" x14ac:dyDescent="0.25">
      <c r="C2688" t="s">
        <v>39</v>
      </c>
      <c r="D2688" s="67">
        <v>-35151010</v>
      </c>
      <c r="E2688">
        <v>-17190811.620000001</v>
      </c>
      <c r="F2688">
        <v>0</v>
      </c>
      <c r="G2688">
        <v>-31970776.41</v>
      </c>
      <c r="H2688">
        <v>-3180233.5900000003</v>
      </c>
      <c r="I2688">
        <v>90.95</v>
      </c>
      <c r="J2688">
        <v>-9726000</v>
      </c>
      <c r="K2688" s="249">
        <v>-44877010</v>
      </c>
      <c r="L2688" s="249">
        <v>-34933000</v>
      </c>
      <c r="M2688" s="249">
        <v>-37739000</v>
      </c>
      <c r="N2688" s="249">
        <v>-39792000</v>
      </c>
    </row>
    <row r="2690" spans="1:14" x14ac:dyDescent="0.25">
      <c r="C2690" t="s">
        <v>40</v>
      </c>
      <c r="D2690" s="67">
        <v>-35151010</v>
      </c>
      <c r="E2690">
        <v>-17190811.620000001</v>
      </c>
      <c r="F2690">
        <v>0</v>
      </c>
      <c r="G2690">
        <v>-31970776.41</v>
      </c>
      <c r="H2690">
        <v>-3180233.5900000003</v>
      </c>
      <c r="I2690">
        <v>90.95</v>
      </c>
      <c r="J2690">
        <v>-9726000</v>
      </c>
      <c r="K2690" s="249">
        <v>-44877010</v>
      </c>
      <c r="L2690" s="249">
        <v>-34933000</v>
      </c>
      <c r="M2690" s="249">
        <v>-37739000</v>
      </c>
      <c r="N2690" s="249">
        <v>-39792000</v>
      </c>
    </row>
    <row r="2692" spans="1:14" x14ac:dyDescent="0.25">
      <c r="C2692" t="s">
        <v>95</v>
      </c>
      <c r="D2692" s="67">
        <v>-35151010</v>
      </c>
      <c r="E2692">
        <v>-17190811.620000001</v>
      </c>
      <c r="F2692">
        <v>0</v>
      </c>
      <c r="G2692">
        <v>-31970776.41</v>
      </c>
      <c r="H2692">
        <v>-3180233.5900000003</v>
      </c>
      <c r="I2692">
        <v>90.95</v>
      </c>
      <c r="J2692">
        <v>-9726000</v>
      </c>
      <c r="K2692" s="249">
        <v>-44877010</v>
      </c>
      <c r="L2692" s="249">
        <v>-34933000</v>
      </c>
      <c r="M2692" s="249">
        <v>-37739000</v>
      </c>
      <c r="N2692" s="249">
        <v>-39792000</v>
      </c>
    </row>
    <row r="2694" spans="1:14" x14ac:dyDescent="0.25">
      <c r="C2694" t="s">
        <v>96</v>
      </c>
      <c r="J2694">
        <v>0</v>
      </c>
    </row>
    <row r="2695" spans="1:14" x14ac:dyDescent="0.25">
      <c r="C2695" t="s">
        <v>97</v>
      </c>
      <c r="J2695">
        <v>0</v>
      </c>
    </row>
    <row r="2696" spans="1:14" x14ac:dyDescent="0.25">
      <c r="C2696" t="s">
        <v>148</v>
      </c>
      <c r="J2696">
        <v>0</v>
      </c>
    </row>
    <row r="2697" spans="1:14" x14ac:dyDescent="0.25">
      <c r="C2697" t="s">
        <v>149</v>
      </c>
      <c r="J2697">
        <v>0</v>
      </c>
    </row>
    <row r="2699" spans="1:14" x14ac:dyDescent="0.25">
      <c r="A2699" t="s">
        <v>1220</v>
      </c>
      <c r="C2699" t="s">
        <v>150</v>
      </c>
      <c r="D2699" s="67">
        <v>1709823</v>
      </c>
      <c r="E2699">
        <v>0</v>
      </c>
      <c r="F2699">
        <v>0</v>
      </c>
      <c r="G2699">
        <v>1217.71</v>
      </c>
      <c r="H2699">
        <v>-1217.71</v>
      </c>
      <c r="I2699">
        <v>0</v>
      </c>
      <c r="J2699">
        <v>0</v>
      </c>
      <c r="K2699" s="249">
        <v>1709823</v>
      </c>
      <c r="L2699" s="249">
        <v>1746650</v>
      </c>
      <c r="M2699" s="249">
        <v>1886950</v>
      </c>
      <c r="N2699" s="249">
        <v>1989600</v>
      </c>
    </row>
    <row r="2700" spans="1:14" x14ac:dyDescent="0.25">
      <c r="A2700" t="s">
        <v>1221</v>
      </c>
      <c r="C2700" t="s">
        <v>151</v>
      </c>
      <c r="D2700" s="67">
        <v>0</v>
      </c>
      <c r="E2700">
        <v>0</v>
      </c>
      <c r="F2700">
        <v>0</v>
      </c>
      <c r="G2700">
        <v>1217.71</v>
      </c>
      <c r="H2700">
        <v>-1217.71</v>
      </c>
      <c r="I2700">
        <v>0</v>
      </c>
      <c r="J2700">
        <v>16934</v>
      </c>
      <c r="K2700" s="249">
        <v>16934</v>
      </c>
      <c r="L2700" s="249">
        <v>17992.375</v>
      </c>
      <c r="M2700" s="249">
        <v>19251.841250000001</v>
      </c>
      <c r="N2700" s="249">
        <v>20599.4701375</v>
      </c>
    </row>
    <row r="2702" spans="1:14" x14ac:dyDescent="0.25">
      <c r="C2702" t="s">
        <v>165</v>
      </c>
      <c r="D2702" s="67">
        <v>1709823</v>
      </c>
      <c r="E2702">
        <v>0</v>
      </c>
      <c r="F2702">
        <v>0</v>
      </c>
      <c r="G2702">
        <v>2435.42</v>
      </c>
      <c r="H2702">
        <v>-2435.42</v>
      </c>
      <c r="I2702">
        <v>56.51</v>
      </c>
      <c r="J2702">
        <v>16934</v>
      </c>
      <c r="K2702" s="249">
        <v>1726757</v>
      </c>
      <c r="L2702" s="249">
        <v>1764642.375</v>
      </c>
      <c r="M2702" s="249">
        <v>1906201.8412500001</v>
      </c>
      <c r="N2702" s="249">
        <v>2010199.4701375</v>
      </c>
    </row>
    <row r="2704" spans="1:14" x14ac:dyDescent="0.25">
      <c r="C2704" t="s">
        <v>166</v>
      </c>
      <c r="J2704">
        <v>0</v>
      </c>
    </row>
    <row r="2706" spans="1:14" x14ac:dyDescent="0.25">
      <c r="A2706" t="s">
        <v>1222</v>
      </c>
      <c r="C2706" t="s">
        <v>170</v>
      </c>
      <c r="D2706" s="67">
        <v>0</v>
      </c>
      <c r="E2706">
        <v>0</v>
      </c>
      <c r="F2706">
        <v>0</v>
      </c>
      <c r="G2706">
        <v>1217.71</v>
      </c>
      <c r="H2706">
        <v>-1217.71</v>
      </c>
      <c r="I2706">
        <v>0</v>
      </c>
      <c r="J2706">
        <v>1800</v>
      </c>
      <c r="K2706" s="249">
        <v>1800</v>
      </c>
      <c r="L2706" s="249">
        <v>1912.5</v>
      </c>
      <c r="M2706" s="249">
        <v>2046.375</v>
      </c>
      <c r="N2706" s="249">
        <v>2189.6212500000001</v>
      </c>
    </row>
    <row r="2708" spans="1:14" x14ac:dyDescent="0.25">
      <c r="C2708" t="s">
        <v>171</v>
      </c>
      <c r="D2708" s="67">
        <v>0</v>
      </c>
      <c r="E2708">
        <v>0</v>
      </c>
      <c r="F2708">
        <v>0</v>
      </c>
      <c r="G2708">
        <v>1217.71</v>
      </c>
      <c r="H2708">
        <v>-1217.71</v>
      </c>
      <c r="I2708">
        <v>0</v>
      </c>
      <c r="J2708">
        <v>1800</v>
      </c>
      <c r="K2708" s="249">
        <v>1800</v>
      </c>
      <c r="L2708" s="249">
        <v>1912.5</v>
      </c>
      <c r="M2708" s="249">
        <v>2046.375</v>
      </c>
      <c r="N2708" s="249">
        <v>2189.6212500000001</v>
      </c>
    </row>
    <row r="2710" spans="1:14" x14ac:dyDescent="0.25">
      <c r="C2710" t="s">
        <v>177</v>
      </c>
      <c r="D2710" s="67">
        <v>1709823</v>
      </c>
      <c r="E2710">
        <v>0</v>
      </c>
      <c r="F2710">
        <v>0</v>
      </c>
      <c r="G2710">
        <v>3653.13</v>
      </c>
      <c r="H2710">
        <v>-3653.13</v>
      </c>
      <c r="I2710">
        <v>56.56</v>
      </c>
      <c r="J2710">
        <v>18734</v>
      </c>
      <c r="K2710" s="249">
        <v>1728557</v>
      </c>
      <c r="L2710" s="249">
        <v>1766554.875</v>
      </c>
      <c r="M2710" s="249">
        <v>1908248.2162500001</v>
      </c>
      <c r="N2710" s="249">
        <v>2012389.0913875001</v>
      </c>
    </row>
    <row r="2712" spans="1:14" x14ac:dyDescent="0.25">
      <c r="C2712" t="s">
        <v>178</v>
      </c>
      <c r="D2712" s="67">
        <v>1709823</v>
      </c>
      <c r="E2712">
        <v>0</v>
      </c>
      <c r="F2712">
        <v>0</v>
      </c>
      <c r="G2712">
        <v>3653.13</v>
      </c>
      <c r="H2712">
        <v>-3653.13</v>
      </c>
      <c r="I2712">
        <v>56.56</v>
      </c>
      <c r="J2712">
        <v>18734</v>
      </c>
      <c r="K2712" s="249">
        <v>1728557</v>
      </c>
      <c r="L2712" s="249">
        <v>1766554.875</v>
      </c>
      <c r="M2712" s="249">
        <v>1908248.2162500001</v>
      </c>
      <c r="N2712" s="249">
        <v>2012389.0913875001</v>
      </c>
    </row>
    <row r="2714" spans="1:14" x14ac:dyDescent="0.25">
      <c r="C2714" t="s">
        <v>208</v>
      </c>
      <c r="J2714">
        <v>0</v>
      </c>
    </row>
    <row r="2716" spans="1:14" x14ac:dyDescent="0.25">
      <c r="C2716" t="s">
        <v>218</v>
      </c>
      <c r="J2716">
        <v>0</v>
      </c>
    </row>
    <row r="2718" spans="1:14" x14ac:dyDescent="0.25">
      <c r="A2718" t="s">
        <v>1223</v>
      </c>
      <c r="C2718" t="s">
        <v>222</v>
      </c>
      <c r="D2718" s="67">
        <v>47727</v>
      </c>
      <c r="E2718">
        <v>0</v>
      </c>
      <c r="F2718">
        <v>0</v>
      </c>
      <c r="G2718">
        <v>1217.71</v>
      </c>
      <c r="H2718">
        <v>-1217.71</v>
      </c>
      <c r="I2718">
        <v>0</v>
      </c>
      <c r="J2718">
        <v>0</v>
      </c>
      <c r="K2718" s="249">
        <v>47727</v>
      </c>
      <c r="L2718" s="249">
        <v>49874.714999999997</v>
      </c>
      <c r="M2718" s="249">
        <v>52168.951889999997</v>
      </c>
      <c r="N2718" s="249">
        <v>54568.723676939997</v>
      </c>
    </row>
    <row r="2719" spans="1:14" x14ac:dyDescent="0.25">
      <c r="A2719" t="s">
        <v>1224</v>
      </c>
      <c r="C2719" t="s">
        <v>223</v>
      </c>
      <c r="D2719" s="67">
        <v>1000000</v>
      </c>
      <c r="E2719">
        <v>0</v>
      </c>
      <c r="F2719">
        <v>0</v>
      </c>
      <c r="G2719">
        <v>1217.71</v>
      </c>
      <c r="H2719">
        <v>-1217.71</v>
      </c>
      <c r="I2719">
        <v>0</v>
      </c>
      <c r="J2719">
        <v>-247025</v>
      </c>
      <c r="K2719" s="249">
        <v>752975</v>
      </c>
      <c r="L2719" s="249">
        <v>0</v>
      </c>
      <c r="M2719" s="249">
        <v>0</v>
      </c>
      <c r="N2719" s="249">
        <v>0</v>
      </c>
    </row>
    <row r="2721" spans="1:14" x14ac:dyDescent="0.25">
      <c r="C2721" t="s">
        <v>227</v>
      </c>
      <c r="D2721" s="67">
        <v>1047727</v>
      </c>
      <c r="E2721">
        <v>0</v>
      </c>
      <c r="F2721">
        <v>0</v>
      </c>
      <c r="G2721">
        <v>2435.42</v>
      </c>
      <c r="H2721">
        <v>-2435.42</v>
      </c>
      <c r="I2721">
        <v>2.48</v>
      </c>
      <c r="J2721">
        <v>-247025</v>
      </c>
      <c r="K2721" s="249">
        <v>800702</v>
      </c>
      <c r="L2721" s="249">
        <v>49874.714999999997</v>
      </c>
      <c r="M2721" s="249">
        <v>52168.951889999997</v>
      </c>
      <c r="N2721" s="249">
        <v>54568.723676939997</v>
      </c>
    </row>
    <row r="2723" spans="1:14" x14ac:dyDescent="0.25">
      <c r="C2723" t="s">
        <v>240</v>
      </c>
      <c r="D2723" s="67">
        <v>1047727</v>
      </c>
      <c r="E2723">
        <v>0</v>
      </c>
      <c r="F2723">
        <v>0</v>
      </c>
      <c r="G2723">
        <v>2435.42</v>
      </c>
      <c r="H2723">
        <v>-2435.42</v>
      </c>
      <c r="I2723">
        <v>2.48</v>
      </c>
      <c r="J2723">
        <v>-247025</v>
      </c>
      <c r="K2723" s="249">
        <v>800702</v>
      </c>
      <c r="L2723" s="249">
        <v>49874.714999999997</v>
      </c>
      <c r="M2723" s="249">
        <v>52168.951889999997</v>
      </c>
      <c r="N2723" s="249">
        <v>54568.723676939997</v>
      </c>
    </row>
    <row r="2725" spans="1:14" x14ac:dyDescent="0.25">
      <c r="C2725" t="s">
        <v>241</v>
      </c>
      <c r="J2725">
        <v>0</v>
      </c>
    </row>
    <row r="2727" spans="1:14" x14ac:dyDescent="0.25">
      <c r="A2727" t="s">
        <v>1225</v>
      </c>
      <c r="C2727" t="s">
        <v>265</v>
      </c>
      <c r="D2727" s="67">
        <v>0</v>
      </c>
      <c r="E2727">
        <v>0</v>
      </c>
      <c r="F2727">
        <v>0</v>
      </c>
      <c r="G2727">
        <v>1217.71</v>
      </c>
      <c r="H2727">
        <v>-1217.71</v>
      </c>
      <c r="I2727">
        <v>0</v>
      </c>
      <c r="J2727">
        <v>15000</v>
      </c>
      <c r="K2727" s="249">
        <v>15000</v>
      </c>
      <c r="L2727" s="249">
        <v>15937.5</v>
      </c>
      <c r="M2727" s="249">
        <v>17053.125</v>
      </c>
      <c r="N2727" s="249">
        <v>18246.84375</v>
      </c>
    </row>
    <row r="2728" spans="1:14" x14ac:dyDescent="0.25">
      <c r="A2728" t="s">
        <v>1226</v>
      </c>
      <c r="C2728" t="s">
        <v>268</v>
      </c>
      <c r="D2728" s="67">
        <v>0</v>
      </c>
      <c r="E2728">
        <v>0</v>
      </c>
      <c r="F2728">
        <v>0</v>
      </c>
      <c r="G2728">
        <v>1217.71</v>
      </c>
      <c r="H2728">
        <v>-1217.71</v>
      </c>
      <c r="I2728">
        <v>0</v>
      </c>
      <c r="J2728">
        <v>4000</v>
      </c>
      <c r="K2728" s="249">
        <v>4000</v>
      </c>
      <c r="L2728" s="249">
        <v>4250</v>
      </c>
      <c r="M2728" s="249">
        <v>4547.5</v>
      </c>
      <c r="N2728" s="249">
        <v>4865.8249999999998</v>
      </c>
    </row>
    <row r="2730" spans="1:14" x14ac:dyDescent="0.25">
      <c r="C2730" t="s">
        <v>274</v>
      </c>
      <c r="D2730" s="67">
        <v>0</v>
      </c>
      <c r="E2730">
        <v>0</v>
      </c>
      <c r="F2730">
        <v>0</v>
      </c>
      <c r="G2730">
        <v>2435.42</v>
      </c>
      <c r="H2730">
        <v>-2435.42</v>
      </c>
      <c r="I2730">
        <v>0</v>
      </c>
      <c r="J2730">
        <v>19000</v>
      </c>
      <c r="K2730" s="249">
        <v>19000</v>
      </c>
      <c r="L2730" s="249">
        <v>20187.5</v>
      </c>
      <c r="M2730" s="249">
        <v>21600.625</v>
      </c>
      <c r="N2730" s="249">
        <v>23112.668750000001</v>
      </c>
    </row>
    <row r="2732" spans="1:14" x14ac:dyDescent="0.25">
      <c r="C2732" t="s">
        <v>290</v>
      </c>
      <c r="J2732">
        <v>0</v>
      </c>
    </row>
    <row r="2734" spans="1:14" x14ac:dyDescent="0.25">
      <c r="A2734" t="s">
        <v>1227</v>
      </c>
      <c r="C2734" t="s">
        <v>291</v>
      </c>
      <c r="D2734" s="67">
        <v>3371</v>
      </c>
      <c r="E2734">
        <v>0</v>
      </c>
      <c r="F2734">
        <v>0</v>
      </c>
      <c r="G2734">
        <v>1217.71</v>
      </c>
      <c r="H2734">
        <v>-1217.71</v>
      </c>
      <c r="I2734">
        <v>0</v>
      </c>
      <c r="J2734">
        <v>0</v>
      </c>
      <c r="K2734" s="249">
        <v>3371</v>
      </c>
      <c r="L2734" s="249">
        <v>3522.6950000000002</v>
      </c>
      <c r="M2734" s="249">
        <v>3684.7389700000003</v>
      </c>
      <c r="N2734" s="249">
        <v>3854.2369626200002</v>
      </c>
    </row>
    <row r="2735" spans="1:14" x14ac:dyDescent="0.25">
      <c r="A2735" t="s">
        <v>1228</v>
      </c>
      <c r="C2735" t="s">
        <v>292</v>
      </c>
      <c r="D2735" s="67">
        <v>46972</v>
      </c>
      <c r="E2735">
        <v>0</v>
      </c>
      <c r="F2735">
        <v>0</v>
      </c>
      <c r="G2735">
        <v>1217.71</v>
      </c>
      <c r="H2735">
        <v>-1217.71</v>
      </c>
      <c r="I2735">
        <v>0</v>
      </c>
      <c r="J2735">
        <v>0</v>
      </c>
      <c r="K2735" s="249">
        <v>46972</v>
      </c>
      <c r="L2735" s="249">
        <v>49085.74</v>
      </c>
      <c r="M2735" s="249">
        <v>51343.68404</v>
      </c>
      <c r="N2735" s="249">
        <v>53705.493505840001</v>
      </c>
    </row>
    <row r="2736" spans="1:14" x14ac:dyDescent="0.25">
      <c r="A2736" t="s">
        <v>1229</v>
      </c>
      <c r="C2736" t="s">
        <v>293</v>
      </c>
      <c r="D2736" s="67">
        <v>15501</v>
      </c>
      <c r="E2736">
        <v>0</v>
      </c>
      <c r="F2736">
        <v>0</v>
      </c>
      <c r="G2736">
        <v>1217.71</v>
      </c>
      <c r="H2736">
        <v>-1217.71</v>
      </c>
      <c r="I2736">
        <v>0</v>
      </c>
      <c r="J2736">
        <v>0</v>
      </c>
      <c r="K2736" s="249">
        <v>15501</v>
      </c>
      <c r="L2736" s="249">
        <v>16198.545</v>
      </c>
      <c r="M2736" s="249">
        <v>16943.678070000002</v>
      </c>
      <c r="N2736" s="249">
        <v>17723.08726122</v>
      </c>
    </row>
    <row r="2738" spans="1:14" x14ac:dyDescent="0.25">
      <c r="C2738" t="s">
        <v>304</v>
      </c>
      <c r="D2738" s="67">
        <v>65844</v>
      </c>
      <c r="E2738">
        <v>0</v>
      </c>
      <c r="F2738">
        <v>0</v>
      </c>
      <c r="G2738">
        <v>3653.13</v>
      </c>
      <c r="H2738">
        <v>-3653.13</v>
      </c>
      <c r="I2738">
        <v>31.39</v>
      </c>
      <c r="J2738">
        <v>0</v>
      </c>
      <c r="K2738" s="249">
        <v>65844</v>
      </c>
      <c r="L2738" s="249">
        <v>68806.98</v>
      </c>
      <c r="M2738" s="249">
        <v>71972.101079999993</v>
      </c>
      <c r="N2738" s="249">
        <v>75282.817729679999</v>
      </c>
    </row>
    <row r="2740" spans="1:14" x14ac:dyDescent="0.25">
      <c r="C2740" t="s">
        <v>305</v>
      </c>
      <c r="D2740" s="67">
        <v>2823394</v>
      </c>
      <c r="E2740">
        <v>0</v>
      </c>
      <c r="F2740">
        <v>0</v>
      </c>
      <c r="G2740">
        <v>12177.100000000002</v>
      </c>
      <c r="H2740">
        <v>-12177.100000000002</v>
      </c>
      <c r="I2740">
        <v>36.19</v>
      </c>
      <c r="J2740">
        <v>-209291</v>
      </c>
      <c r="K2740" s="249">
        <v>2614103</v>
      </c>
      <c r="L2740" s="249">
        <v>1905424.07</v>
      </c>
      <c r="M2740" s="249">
        <v>2053989.8942199999</v>
      </c>
      <c r="N2740" s="249">
        <v>2165353.3015441201</v>
      </c>
    </row>
    <row r="2742" spans="1:14" x14ac:dyDescent="0.25">
      <c r="C2742" t="s">
        <v>306</v>
      </c>
      <c r="D2742" s="67">
        <v>-32327616</v>
      </c>
      <c r="E2742">
        <v>-17190811.620000001</v>
      </c>
      <c r="F2742">
        <v>0</v>
      </c>
      <c r="G2742">
        <v>-31958599.309999999</v>
      </c>
      <c r="H2742">
        <v>-3192410.6900000004</v>
      </c>
      <c r="I2742">
        <v>95.73</v>
      </c>
      <c r="J2742">
        <v>-9935291</v>
      </c>
      <c r="K2742" s="249">
        <v>-42262907</v>
      </c>
      <c r="L2742" s="249">
        <v>-33027575.93</v>
      </c>
      <c r="M2742" s="249">
        <v>-35685010.105779998</v>
      </c>
      <c r="N2742" s="249">
        <v>-37626646.698455878</v>
      </c>
    </row>
    <row r="2744" spans="1:14" x14ac:dyDescent="0.25">
      <c r="C2744" t="s">
        <v>1230</v>
      </c>
      <c r="J2744">
        <v>0</v>
      </c>
    </row>
    <row r="2745" spans="1:14" x14ac:dyDescent="0.25">
      <c r="C2745" t="s">
        <v>9</v>
      </c>
      <c r="J2745">
        <v>0</v>
      </c>
    </row>
    <row r="2746" spans="1:14" x14ac:dyDescent="0.25">
      <c r="C2746" t="s">
        <v>10</v>
      </c>
      <c r="J2746">
        <v>0</v>
      </c>
    </row>
    <row r="2747" spans="1:14" x14ac:dyDescent="0.25">
      <c r="C2747" t="s">
        <v>22</v>
      </c>
      <c r="J2747">
        <v>0</v>
      </c>
    </row>
    <row r="2749" spans="1:14" x14ac:dyDescent="0.25">
      <c r="A2749" t="s">
        <v>1231</v>
      </c>
      <c r="C2749" t="s">
        <v>23</v>
      </c>
      <c r="D2749" s="67">
        <v>-30535</v>
      </c>
      <c r="E2749">
        <v>0</v>
      </c>
      <c r="F2749">
        <v>0</v>
      </c>
      <c r="G2749">
        <v>0</v>
      </c>
      <c r="H2749">
        <v>-30535</v>
      </c>
      <c r="I2749">
        <v>0</v>
      </c>
      <c r="J2749">
        <v>0</v>
      </c>
      <c r="K2749" s="249">
        <v>0</v>
      </c>
      <c r="L2749" s="249">
        <v>-32367.1</v>
      </c>
      <c r="M2749" s="249">
        <v>-34632.796999999999</v>
      </c>
      <c r="N2749" s="249">
        <v>-37403.420760000001</v>
      </c>
    </row>
    <row r="2751" spans="1:14" x14ac:dyDescent="0.25">
      <c r="C2751" t="s">
        <v>28</v>
      </c>
      <c r="D2751" s="67">
        <v>-30535</v>
      </c>
      <c r="E2751">
        <v>0</v>
      </c>
      <c r="F2751">
        <v>0</v>
      </c>
      <c r="G2751">
        <v>0</v>
      </c>
      <c r="H2751">
        <v>-30535</v>
      </c>
      <c r="I2751">
        <v>0</v>
      </c>
      <c r="J2751">
        <v>30535</v>
      </c>
      <c r="K2751" s="249">
        <v>0</v>
      </c>
      <c r="L2751" s="249">
        <v>-32367.1</v>
      </c>
      <c r="M2751" s="249">
        <v>-34632.796999999999</v>
      </c>
      <c r="N2751" s="249">
        <v>-37403.420760000001</v>
      </c>
    </row>
    <row r="2753" spans="1:14" x14ac:dyDescent="0.25">
      <c r="C2753" t="s">
        <v>36</v>
      </c>
    </row>
    <row r="2755" spans="1:14" x14ac:dyDescent="0.25">
      <c r="A2755" s="250" t="s">
        <v>3094</v>
      </c>
      <c r="C2755" t="s">
        <v>3040</v>
      </c>
      <c r="D2755" s="67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 s="249">
        <v>0</v>
      </c>
      <c r="L2755" s="249">
        <v>-3000000</v>
      </c>
      <c r="M2755" s="249">
        <v>0</v>
      </c>
      <c r="N2755" s="249">
        <v>0</v>
      </c>
    </row>
    <row r="2756" spans="1:14" x14ac:dyDescent="0.25">
      <c r="A2756" s="250" t="s">
        <v>3095</v>
      </c>
      <c r="C2756" t="s">
        <v>3041</v>
      </c>
      <c r="D2756" s="67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 s="249">
        <v>0</v>
      </c>
      <c r="L2756" s="249">
        <v>-13000000</v>
      </c>
      <c r="M2756" s="249">
        <v>-6000000</v>
      </c>
      <c r="N2756" s="249">
        <v>-7000000</v>
      </c>
    </row>
    <row r="2758" spans="1:14" x14ac:dyDescent="0.25">
      <c r="C2758" t="s">
        <v>38</v>
      </c>
      <c r="D2758" s="67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 s="249">
        <v>0</v>
      </c>
      <c r="L2758" s="249">
        <v>-16000000</v>
      </c>
      <c r="M2758" s="249">
        <v>-6000000</v>
      </c>
      <c r="N2758" s="249">
        <v>-7000000</v>
      </c>
    </row>
    <row r="2760" spans="1:14" x14ac:dyDescent="0.25">
      <c r="C2760" t="s">
        <v>39</v>
      </c>
      <c r="D2760" s="67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 s="249">
        <v>0</v>
      </c>
      <c r="L2760" s="249">
        <v>-16000000</v>
      </c>
      <c r="M2760" s="249">
        <v>-6000000</v>
      </c>
      <c r="N2760" s="249">
        <v>-7000000</v>
      </c>
    </row>
    <row r="2762" spans="1:14" x14ac:dyDescent="0.25">
      <c r="C2762" t="s">
        <v>40</v>
      </c>
      <c r="D2762" s="67">
        <v>-30535</v>
      </c>
      <c r="E2762">
        <v>0</v>
      </c>
      <c r="F2762">
        <v>0</v>
      </c>
      <c r="G2762">
        <v>0</v>
      </c>
      <c r="H2762">
        <v>-30535</v>
      </c>
      <c r="I2762">
        <v>0</v>
      </c>
      <c r="J2762">
        <v>30535</v>
      </c>
      <c r="K2762" s="249">
        <v>0</v>
      </c>
      <c r="L2762" s="249">
        <v>-16032367.1</v>
      </c>
      <c r="M2762" s="249">
        <v>-6034632.7970000003</v>
      </c>
      <c r="N2762" s="249">
        <v>-7037403.4207600001</v>
      </c>
    </row>
    <row r="2764" spans="1:14" x14ac:dyDescent="0.25">
      <c r="C2764" t="s">
        <v>41</v>
      </c>
      <c r="J2764">
        <v>0</v>
      </c>
    </row>
    <row r="2766" spans="1:14" x14ac:dyDescent="0.25">
      <c r="C2766" t="s">
        <v>42</v>
      </c>
      <c r="J2766">
        <v>0</v>
      </c>
    </row>
    <row r="2768" spans="1:14" x14ac:dyDescent="0.25">
      <c r="A2768" t="s">
        <v>1232</v>
      </c>
      <c r="C2768" t="s">
        <v>43</v>
      </c>
      <c r="D2768" s="67">
        <v>-56291</v>
      </c>
      <c r="E2768">
        <v>0</v>
      </c>
      <c r="F2768">
        <v>0</v>
      </c>
      <c r="G2768">
        <v>0</v>
      </c>
      <c r="H2768">
        <v>-56291</v>
      </c>
      <c r="I2768">
        <v>0</v>
      </c>
      <c r="J2768">
        <v>0</v>
      </c>
      <c r="K2768" s="249">
        <v>-56291</v>
      </c>
      <c r="L2768" s="249">
        <v>-60850.570999999996</v>
      </c>
      <c r="M2768" s="249">
        <v>-64014.800691999997</v>
      </c>
      <c r="N2768" s="249">
        <v>-69712.117953587993</v>
      </c>
    </row>
    <row r="2769" spans="1:14" x14ac:dyDescent="0.25">
      <c r="A2769" t="s">
        <v>1233</v>
      </c>
      <c r="C2769" t="s">
        <v>44</v>
      </c>
      <c r="D2769" s="67">
        <v>-3611799</v>
      </c>
      <c r="E2769">
        <v>0</v>
      </c>
      <c r="F2769">
        <v>0</v>
      </c>
      <c r="G2769">
        <v>0</v>
      </c>
      <c r="H2769">
        <v>-3611799</v>
      </c>
      <c r="I2769">
        <v>0</v>
      </c>
      <c r="J2769">
        <v>0</v>
      </c>
      <c r="K2769" s="249">
        <v>-3611799</v>
      </c>
      <c r="L2769" s="249">
        <v>-3904354.719</v>
      </c>
      <c r="M2769" s="249">
        <v>-4107381.164388</v>
      </c>
      <c r="N2769" s="249">
        <v>-4472938.0880185319</v>
      </c>
    </row>
    <row r="2770" spans="1:14" x14ac:dyDescent="0.25">
      <c r="A2770" t="s">
        <v>1234</v>
      </c>
      <c r="C2770" t="s">
        <v>45</v>
      </c>
      <c r="D2770" s="67">
        <v>-4019609</v>
      </c>
      <c r="E2770">
        <v>-115264.58</v>
      </c>
      <c r="F2770">
        <v>0</v>
      </c>
      <c r="G2770">
        <v>-891425.05</v>
      </c>
      <c r="H2770">
        <v>-3128183.95</v>
      </c>
      <c r="I2770">
        <v>22.17</v>
      </c>
      <c r="J2770">
        <v>0</v>
      </c>
      <c r="K2770" s="249">
        <v>-4019609</v>
      </c>
      <c r="L2770" s="249">
        <v>-4345197.3289999999</v>
      </c>
      <c r="M2770" s="249">
        <v>-4571147.5901079997</v>
      </c>
      <c r="N2770" s="249">
        <v>-4977979.7256276114</v>
      </c>
    </row>
    <row r="2771" spans="1:14" x14ac:dyDescent="0.25">
      <c r="A2771" t="s">
        <v>1235</v>
      </c>
      <c r="C2771" t="s">
        <v>46</v>
      </c>
      <c r="D2771" s="67">
        <v>-1374256</v>
      </c>
      <c r="E2771">
        <v>-445577.79</v>
      </c>
      <c r="F2771">
        <v>0</v>
      </c>
      <c r="G2771">
        <v>-2911894.37</v>
      </c>
      <c r="H2771">
        <v>1537638.37</v>
      </c>
      <c r="I2771">
        <v>211.88</v>
      </c>
      <c r="J2771">
        <v>0</v>
      </c>
      <c r="K2771" s="249">
        <v>-1374256</v>
      </c>
      <c r="L2771" s="249">
        <v>-1485570.736</v>
      </c>
      <c r="M2771" s="249">
        <v>-1562820.4142720001</v>
      </c>
      <c r="N2771" s="249">
        <v>-1701911.4311422082</v>
      </c>
    </row>
    <row r="2772" spans="1:14" x14ac:dyDescent="0.25">
      <c r="A2772" t="s">
        <v>1236</v>
      </c>
      <c r="C2772" t="s">
        <v>47</v>
      </c>
      <c r="D2772" s="67">
        <v>-145390</v>
      </c>
      <c r="E2772">
        <v>5253.04</v>
      </c>
      <c r="F2772">
        <v>0</v>
      </c>
      <c r="G2772">
        <v>34823.17</v>
      </c>
      <c r="H2772">
        <v>-180213.17</v>
      </c>
      <c r="I2772">
        <v>-23.95</v>
      </c>
      <c r="J2772">
        <v>0</v>
      </c>
      <c r="K2772" s="249">
        <v>-145390</v>
      </c>
      <c r="L2772" s="249">
        <v>-157166.59</v>
      </c>
      <c r="M2772" s="249">
        <v>-165339.25268000001</v>
      </c>
      <c r="N2772" s="249">
        <v>-180054.44616852002</v>
      </c>
    </row>
    <row r="2773" spans="1:14" x14ac:dyDescent="0.25">
      <c r="A2773" t="s">
        <v>1237</v>
      </c>
      <c r="C2773" t="s">
        <v>48</v>
      </c>
      <c r="D2773" s="67">
        <v>-17172</v>
      </c>
      <c r="E2773">
        <v>-975.62</v>
      </c>
      <c r="F2773">
        <v>0</v>
      </c>
      <c r="G2773">
        <v>-8489.01</v>
      </c>
      <c r="H2773">
        <v>-8682.99</v>
      </c>
      <c r="I2773">
        <v>49.43</v>
      </c>
      <c r="J2773">
        <v>0</v>
      </c>
      <c r="K2773" s="249">
        <v>-17172</v>
      </c>
      <c r="L2773" s="249">
        <v>-18562.932000000001</v>
      </c>
      <c r="M2773" s="249">
        <v>-19528.204464000002</v>
      </c>
      <c r="N2773" s="249">
        <v>-21266.214661296002</v>
      </c>
    </row>
    <row r="2775" spans="1:14" x14ac:dyDescent="0.25">
      <c r="C2775" t="s">
        <v>55</v>
      </c>
      <c r="D2775" s="67">
        <v>-9224517</v>
      </c>
      <c r="E2775">
        <v>-556564.94999999995</v>
      </c>
      <c r="F2775">
        <v>0</v>
      </c>
      <c r="G2775">
        <v>-3776985.26</v>
      </c>
      <c r="H2775">
        <v>-5447531.7400000002</v>
      </c>
      <c r="I2775">
        <v>259.53000000000003</v>
      </c>
      <c r="J2775">
        <v>0</v>
      </c>
      <c r="K2775" s="249">
        <v>-9224517</v>
      </c>
      <c r="L2775" s="249">
        <v>-9971702.8770000003</v>
      </c>
      <c r="M2775" s="249">
        <v>-10490231.426603999</v>
      </c>
      <c r="N2775" s="249">
        <v>-11423862.023571756</v>
      </c>
    </row>
    <row r="2777" spans="1:14" x14ac:dyDescent="0.25">
      <c r="C2777" t="s">
        <v>56</v>
      </c>
      <c r="J2777">
        <v>0</v>
      </c>
    </row>
    <row r="2779" spans="1:14" x14ac:dyDescent="0.25">
      <c r="A2779" t="s">
        <v>1238</v>
      </c>
      <c r="C2779" t="s">
        <v>57</v>
      </c>
      <c r="D2779" s="67">
        <v>-495509</v>
      </c>
      <c r="E2779">
        <v>-17545.96</v>
      </c>
      <c r="F2779">
        <v>0</v>
      </c>
      <c r="G2779">
        <v>-105597.6</v>
      </c>
      <c r="H2779">
        <v>-389911.4</v>
      </c>
      <c r="I2779">
        <v>21.31</v>
      </c>
      <c r="J2779">
        <v>0</v>
      </c>
      <c r="K2779" s="249">
        <v>-495509</v>
      </c>
      <c r="L2779" s="249">
        <v>-535645.22900000005</v>
      </c>
      <c r="M2779" s="249">
        <v>-563498.78090800007</v>
      </c>
      <c r="N2779" s="249">
        <v>-613650.1724088121</v>
      </c>
    </row>
    <row r="2781" spans="1:14" x14ac:dyDescent="0.25">
      <c r="C2781" t="s">
        <v>64</v>
      </c>
      <c r="D2781" s="67">
        <v>-495509</v>
      </c>
      <c r="E2781">
        <v>-17545.96</v>
      </c>
      <c r="F2781">
        <v>0</v>
      </c>
      <c r="G2781">
        <v>-105597.6</v>
      </c>
      <c r="H2781">
        <v>-389911.4</v>
      </c>
      <c r="I2781">
        <v>21.31</v>
      </c>
      <c r="J2781">
        <v>0</v>
      </c>
      <c r="K2781" s="249">
        <v>-495509</v>
      </c>
      <c r="L2781" s="249">
        <v>-535645.22900000005</v>
      </c>
      <c r="M2781" s="249">
        <v>-563498.78090800007</v>
      </c>
      <c r="N2781" s="249">
        <v>-613650.1724088121</v>
      </c>
    </row>
    <row r="2783" spans="1:14" x14ac:dyDescent="0.25">
      <c r="C2783" t="s">
        <v>70</v>
      </c>
      <c r="J2783">
        <v>0</v>
      </c>
    </row>
    <row r="2785" spans="1:14" x14ac:dyDescent="0.25">
      <c r="C2785" t="s">
        <v>94</v>
      </c>
      <c r="D2785" s="67">
        <v>-9720026</v>
      </c>
      <c r="E2785">
        <v>-574110.90999999992</v>
      </c>
      <c r="F2785">
        <v>0</v>
      </c>
      <c r="G2785">
        <v>-3882582.86</v>
      </c>
      <c r="H2785">
        <v>-5837443.1400000006</v>
      </c>
      <c r="I2785">
        <v>39.94</v>
      </c>
      <c r="J2785">
        <v>0</v>
      </c>
      <c r="K2785" s="249">
        <v>-9720026</v>
      </c>
      <c r="L2785" s="249">
        <v>-10507348.106000001</v>
      </c>
      <c r="M2785" s="249">
        <v>-11053730.207511999</v>
      </c>
      <c r="N2785" s="249">
        <v>-12037512.195980567</v>
      </c>
    </row>
    <row r="2787" spans="1:14" x14ac:dyDescent="0.25">
      <c r="C2787" t="s">
        <v>95</v>
      </c>
      <c r="D2787" s="67">
        <v>-9750561</v>
      </c>
      <c r="E2787">
        <v>-574110.90999999992</v>
      </c>
      <c r="F2787">
        <v>0</v>
      </c>
      <c r="G2787">
        <v>-3882582.86</v>
      </c>
      <c r="H2787">
        <v>-5867978.1400000006</v>
      </c>
      <c r="I2787">
        <v>39.81</v>
      </c>
      <c r="J2787">
        <v>30535</v>
      </c>
      <c r="K2787" s="249">
        <v>-9720026</v>
      </c>
      <c r="L2787" s="249">
        <v>-26539715.206</v>
      </c>
      <c r="M2787" s="249">
        <v>-17088363.004511997</v>
      </c>
      <c r="N2787" s="249">
        <v>-19074915.616740569</v>
      </c>
    </row>
    <row r="2789" spans="1:14" x14ac:dyDescent="0.25">
      <c r="C2789" t="s">
        <v>96</v>
      </c>
      <c r="J2789">
        <v>0</v>
      </c>
    </row>
    <row r="2790" spans="1:14" x14ac:dyDescent="0.25">
      <c r="C2790" t="s">
        <v>97</v>
      </c>
      <c r="J2790">
        <v>0</v>
      </c>
    </row>
    <row r="2791" spans="1:14" x14ac:dyDescent="0.25">
      <c r="C2791" t="s">
        <v>148</v>
      </c>
      <c r="J2791">
        <v>0</v>
      </c>
    </row>
    <row r="2792" spans="1:14" x14ac:dyDescent="0.25">
      <c r="C2792" t="s">
        <v>149</v>
      </c>
      <c r="J2792">
        <v>0</v>
      </c>
    </row>
    <row r="2794" spans="1:14" x14ac:dyDescent="0.25">
      <c r="A2794" t="s">
        <v>1239</v>
      </c>
      <c r="C2794" t="s">
        <v>150</v>
      </c>
      <c r="D2794" s="67">
        <v>1827794</v>
      </c>
      <c r="E2794">
        <v>0</v>
      </c>
      <c r="F2794">
        <v>0</v>
      </c>
      <c r="G2794">
        <v>1217.71</v>
      </c>
      <c r="H2794">
        <v>-1217.71</v>
      </c>
      <c r="I2794">
        <v>0</v>
      </c>
      <c r="J2794">
        <v>0</v>
      </c>
      <c r="K2794" s="249">
        <v>1827794</v>
      </c>
      <c r="L2794" s="249">
        <v>1942031.125</v>
      </c>
      <c r="M2794" s="249">
        <v>2077973.30375</v>
      </c>
      <c r="N2794" s="249">
        <v>2223431.4350124998</v>
      </c>
    </row>
    <row r="2795" spans="1:14" x14ac:dyDescent="0.25">
      <c r="A2795" t="s">
        <v>1240</v>
      </c>
      <c r="C2795" t="s">
        <v>151</v>
      </c>
      <c r="D2795" s="67">
        <v>84982</v>
      </c>
      <c r="E2795">
        <v>0</v>
      </c>
      <c r="F2795">
        <v>0</v>
      </c>
      <c r="G2795">
        <v>1217.71</v>
      </c>
      <c r="H2795">
        <v>-1217.71</v>
      </c>
      <c r="I2795">
        <v>0</v>
      </c>
      <c r="J2795">
        <v>-51113.639999999985</v>
      </c>
      <c r="K2795" s="249">
        <v>33868.360000000015</v>
      </c>
      <c r="L2795" s="249">
        <v>35985.132500000014</v>
      </c>
      <c r="M2795" s="249">
        <v>38504.091775000015</v>
      </c>
      <c r="N2795" s="249">
        <v>41199.378199250015</v>
      </c>
    </row>
    <row r="2796" spans="1:14" x14ac:dyDescent="0.25">
      <c r="A2796" t="s">
        <v>1241</v>
      </c>
      <c r="C2796" t="s">
        <v>152</v>
      </c>
      <c r="D2796" s="67">
        <v>66300</v>
      </c>
      <c r="E2796">
        <v>0</v>
      </c>
      <c r="F2796">
        <v>0</v>
      </c>
      <c r="G2796">
        <v>1217.71</v>
      </c>
      <c r="H2796">
        <v>-1217.71</v>
      </c>
      <c r="I2796">
        <v>0</v>
      </c>
      <c r="J2796">
        <v>0</v>
      </c>
      <c r="K2796" s="249">
        <v>66300</v>
      </c>
      <c r="L2796" s="249">
        <v>70443.75</v>
      </c>
      <c r="M2796" s="249">
        <v>75374.8125</v>
      </c>
      <c r="N2796" s="249">
        <v>80651.049375000002</v>
      </c>
    </row>
    <row r="2797" spans="1:14" x14ac:dyDescent="0.25">
      <c r="A2797" t="s">
        <v>1242</v>
      </c>
      <c r="C2797" t="s">
        <v>153</v>
      </c>
      <c r="D2797" s="67">
        <v>10893</v>
      </c>
      <c r="E2797">
        <v>0</v>
      </c>
      <c r="F2797">
        <v>0</v>
      </c>
      <c r="G2797">
        <v>1217.71</v>
      </c>
      <c r="H2797">
        <v>-1217.71</v>
      </c>
      <c r="I2797">
        <v>0</v>
      </c>
      <c r="J2797">
        <v>0</v>
      </c>
      <c r="K2797" s="249">
        <v>10893</v>
      </c>
      <c r="L2797" s="249">
        <v>11573.8125</v>
      </c>
      <c r="M2797" s="249">
        <v>12383.979375000001</v>
      </c>
      <c r="N2797" s="249">
        <v>13250.857931250001</v>
      </c>
    </row>
    <row r="2798" spans="1:14" x14ac:dyDescent="0.25">
      <c r="A2798" t="s">
        <v>1243</v>
      </c>
      <c r="C2798" t="s">
        <v>155</v>
      </c>
      <c r="D2798" s="67">
        <v>60349</v>
      </c>
      <c r="E2798">
        <v>0</v>
      </c>
      <c r="F2798">
        <v>0</v>
      </c>
      <c r="G2798">
        <v>1217.71</v>
      </c>
      <c r="H2798">
        <v>-1217.71</v>
      </c>
      <c r="I2798">
        <v>0</v>
      </c>
      <c r="J2798">
        <v>0</v>
      </c>
      <c r="K2798" s="249">
        <v>60349</v>
      </c>
      <c r="L2798" s="249">
        <v>64120.8125</v>
      </c>
      <c r="M2798" s="249">
        <v>68609.269375000003</v>
      </c>
      <c r="N2798" s="249">
        <v>73411.918231250005</v>
      </c>
    </row>
    <row r="2799" spans="1:14" x14ac:dyDescent="0.25">
      <c r="A2799" t="s">
        <v>1244</v>
      </c>
      <c r="C2799" t="s">
        <v>156</v>
      </c>
      <c r="D2799" s="67">
        <v>138573</v>
      </c>
      <c r="E2799">
        <v>0</v>
      </c>
      <c r="F2799">
        <v>0</v>
      </c>
      <c r="G2799">
        <v>1217.71</v>
      </c>
      <c r="H2799">
        <v>-1217.71</v>
      </c>
      <c r="I2799">
        <v>0</v>
      </c>
      <c r="J2799">
        <v>0</v>
      </c>
      <c r="K2799" s="249">
        <v>138573</v>
      </c>
      <c r="L2799" s="249">
        <v>147233.8125</v>
      </c>
      <c r="M2799" s="249">
        <v>157540.17937500001</v>
      </c>
      <c r="N2799" s="249">
        <v>168567.99193125</v>
      </c>
    </row>
    <row r="2800" spans="1:14" x14ac:dyDescent="0.25">
      <c r="A2800" t="s">
        <v>1245</v>
      </c>
      <c r="C2800" t="s">
        <v>157</v>
      </c>
      <c r="D2800" s="67">
        <v>12290</v>
      </c>
      <c r="E2800">
        <v>0</v>
      </c>
      <c r="F2800">
        <v>0</v>
      </c>
      <c r="G2800">
        <v>1217.71</v>
      </c>
      <c r="H2800">
        <v>-1217.71</v>
      </c>
      <c r="I2800">
        <v>0</v>
      </c>
      <c r="J2800">
        <v>11242</v>
      </c>
      <c r="K2800" s="249">
        <v>23532</v>
      </c>
      <c r="L2800" s="249">
        <v>25002.75</v>
      </c>
      <c r="M2800" s="249">
        <v>26752.942500000001</v>
      </c>
      <c r="N2800" s="249">
        <v>28625.648475000002</v>
      </c>
    </row>
    <row r="2801" spans="1:14" x14ac:dyDescent="0.25">
      <c r="A2801" t="s">
        <v>1246</v>
      </c>
      <c r="C2801" t="s">
        <v>158</v>
      </c>
      <c r="D2801" s="67">
        <v>11242</v>
      </c>
      <c r="E2801">
        <v>0</v>
      </c>
      <c r="F2801">
        <v>0</v>
      </c>
      <c r="G2801">
        <v>1217.71</v>
      </c>
      <c r="H2801">
        <v>-1217.71</v>
      </c>
      <c r="I2801">
        <v>0</v>
      </c>
      <c r="J2801">
        <v>-11242</v>
      </c>
      <c r="K2801" s="249">
        <v>0</v>
      </c>
      <c r="L2801" s="249">
        <v>0</v>
      </c>
      <c r="M2801" s="249">
        <v>0</v>
      </c>
      <c r="N2801" s="249">
        <v>0</v>
      </c>
    </row>
    <row r="2802" spans="1:14" x14ac:dyDescent="0.25">
      <c r="A2802" t="s">
        <v>1247</v>
      </c>
      <c r="C2802" t="s">
        <v>159</v>
      </c>
      <c r="D2802" s="67">
        <v>152316</v>
      </c>
      <c r="E2802">
        <v>0</v>
      </c>
      <c r="F2802">
        <v>0</v>
      </c>
      <c r="G2802">
        <v>1217.71</v>
      </c>
      <c r="H2802">
        <v>-1217.71</v>
      </c>
      <c r="I2802">
        <v>0</v>
      </c>
      <c r="J2802">
        <v>0</v>
      </c>
      <c r="K2802" s="249">
        <v>152316</v>
      </c>
      <c r="L2802" s="249">
        <v>161835.75</v>
      </c>
      <c r="M2802" s="249">
        <v>173164.2525</v>
      </c>
      <c r="N2802" s="249">
        <v>185285.75017499999</v>
      </c>
    </row>
    <row r="2803" spans="1:14" x14ac:dyDescent="0.25">
      <c r="A2803" t="s">
        <v>1248</v>
      </c>
      <c r="C2803" t="s">
        <v>162</v>
      </c>
      <c r="D2803" s="67">
        <v>221161</v>
      </c>
      <c r="E2803">
        <v>0</v>
      </c>
      <c r="F2803">
        <v>0</v>
      </c>
      <c r="G2803">
        <v>1217.71</v>
      </c>
      <c r="H2803">
        <v>-1217.71</v>
      </c>
      <c r="I2803">
        <v>0</v>
      </c>
      <c r="J2803">
        <v>0</v>
      </c>
      <c r="K2803" s="249">
        <v>221161</v>
      </c>
      <c r="L2803" s="249">
        <v>234983.5625</v>
      </c>
      <c r="M2803" s="249">
        <v>251432.41187499999</v>
      </c>
      <c r="N2803" s="249">
        <v>269032.68070625002</v>
      </c>
    </row>
    <row r="2804" spans="1:14" x14ac:dyDescent="0.25">
      <c r="A2804" t="s">
        <v>1249</v>
      </c>
      <c r="C2804" t="s">
        <v>164</v>
      </c>
      <c r="D2804" s="67">
        <v>15692</v>
      </c>
      <c r="E2804">
        <v>0</v>
      </c>
      <c r="F2804">
        <v>0</v>
      </c>
      <c r="G2804">
        <v>1217.71</v>
      </c>
      <c r="H2804">
        <v>-1217.71</v>
      </c>
      <c r="I2804">
        <v>0</v>
      </c>
      <c r="J2804">
        <v>0</v>
      </c>
      <c r="K2804" s="249">
        <v>15692</v>
      </c>
      <c r="L2804" s="249">
        <v>16672.75</v>
      </c>
      <c r="M2804" s="249">
        <v>17839.842499999999</v>
      </c>
      <c r="N2804" s="249">
        <v>19088.631474999998</v>
      </c>
    </row>
    <row r="2806" spans="1:14" x14ac:dyDescent="0.25">
      <c r="C2806" t="s">
        <v>165</v>
      </c>
      <c r="D2806" s="67">
        <v>2601592</v>
      </c>
      <c r="E2806">
        <v>0</v>
      </c>
      <c r="F2806">
        <v>0</v>
      </c>
      <c r="G2806">
        <v>13394.809999999998</v>
      </c>
      <c r="H2806">
        <v>-13394.809999999998</v>
      </c>
      <c r="I2806">
        <v>47.03</v>
      </c>
      <c r="J2806">
        <v>-51113.639999999665</v>
      </c>
      <c r="K2806" s="249">
        <v>2550478.3600000003</v>
      </c>
      <c r="L2806" s="249">
        <v>2709883.2575000003</v>
      </c>
      <c r="M2806" s="249">
        <v>2899575.085525</v>
      </c>
      <c r="N2806" s="249">
        <v>3102545.3415117497</v>
      </c>
    </row>
    <row r="2808" spans="1:14" x14ac:dyDescent="0.25">
      <c r="C2808" t="s">
        <v>166</v>
      </c>
      <c r="J2808">
        <v>0</v>
      </c>
    </row>
    <row r="2810" spans="1:14" x14ac:dyDescent="0.25">
      <c r="A2810" t="s">
        <v>1250</v>
      </c>
      <c r="C2810" t="s">
        <v>167</v>
      </c>
      <c r="D2810" s="67">
        <v>562</v>
      </c>
      <c r="E2810">
        <v>0</v>
      </c>
      <c r="F2810">
        <v>0</v>
      </c>
      <c r="G2810">
        <v>1217.71</v>
      </c>
      <c r="H2810">
        <v>-1217.71</v>
      </c>
      <c r="I2810">
        <v>0</v>
      </c>
      <c r="J2810">
        <v>0</v>
      </c>
      <c r="K2810" s="249">
        <v>562</v>
      </c>
      <c r="L2810" s="249">
        <v>597.125</v>
      </c>
      <c r="M2810" s="249">
        <v>638.92375000000004</v>
      </c>
      <c r="N2810" s="249">
        <v>683.64841250000006</v>
      </c>
    </row>
    <row r="2811" spans="1:14" x14ac:dyDescent="0.25">
      <c r="A2811" t="s">
        <v>1251</v>
      </c>
      <c r="C2811" t="s">
        <v>168</v>
      </c>
      <c r="D2811" s="67">
        <v>134382</v>
      </c>
      <c r="E2811">
        <v>0</v>
      </c>
      <c r="F2811">
        <v>0</v>
      </c>
      <c r="G2811">
        <v>1217.71</v>
      </c>
      <c r="H2811">
        <v>-1217.71</v>
      </c>
      <c r="I2811">
        <v>0</v>
      </c>
      <c r="J2811">
        <v>0</v>
      </c>
      <c r="K2811" s="249">
        <v>134382</v>
      </c>
      <c r="L2811" s="249">
        <v>142780.875</v>
      </c>
      <c r="M2811" s="249">
        <v>152775.53625</v>
      </c>
      <c r="N2811" s="249">
        <v>163469.8237875</v>
      </c>
    </row>
    <row r="2812" spans="1:14" x14ac:dyDescent="0.25">
      <c r="A2812" t="s">
        <v>1252</v>
      </c>
      <c r="C2812" t="s">
        <v>169</v>
      </c>
      <c r="D2812" s="67">
        <v>402115</v>
      </c>
      <c r="E2812">
        <v>0</v>
      </c>
      <c r="F2812">
        <v>0</v>
      </c>
      <c r="G2812">
        <v>1217.71</v>
      </c>
      <c r="H2812">
        <v>-1217.71</v>
      </c>
      <c r="I2812">
        <v>0</v>
      </c>
      <c r="J2812">
        <v>0</v>
      </c>
      <c r="K2812" s="249">
        <v>402115</v>
      </c>
      <c r="L2812" s="249">
        <v>427247.1875</v>
      </c>
      <c r="M2812" s="249">
        <v>457154.49062499998</v>
      </c>
      <c r="N2812" s="249">
        <v>489155.30496874999</v>
      </c>
    </row>
    <row r="2813" spans="1:14" x14ac:dyDescent="0.25">
      <c r="A2813" t="s">
        <v>1253</v>
      </c>
      <c r="C2813" t="s">
        <v>170</v>
      </c>
      <c r="D2813" s="67">
        <v>8925</v>
      </c>
      <c r="E2813">
        <v>0</v>
      </c>
      <c r="F2813">
        <v>0</v>
      </c>
      <c r="G2813">
        <v>1217.71</v>
      </c>
      <c r="H2813">
        <v>-1217.71</v>
      </c>
      <c r="I2813">
        <v>0</v>
      </c>
      <c r="J2813">
        <v>0</v>
      </c>
      <c r="K2813" s="249">
        <v>8925</v>
      </c>
      <c r="L2813" s="249">
        <v>9482.8125</v>
      </c>
      <c r="M2813" s="249">
        <v>10146.609375</v>
      </c>
      <c r="N2813" s="249">
        <v>10856.872031250001</v>
      </c>
    </row>
    <row r="2815" spans="1:14" x14ac:dyDescent="0.25">
      <c r="C2815" t="s">
        <v>171</v>
      </c>
      <c r="D2815" s="67">
        <v>545984</v>
      </c>
      <c r="E2815">
        <v>0</v>
      </c>
      <c r="F2815">
        <v>0</v>
      </c>
      <c r="G2815">
        <v>4870.84</v>
      </c>
      <c r="H2815">
        <v>-4870.84</v>
      </c>
      <c r="I2815">
        <v>46.85</v>
      </c>
      <c r="J2815">
        <v>0</v>
      </c>
      <c r="K2815" s="249">
        <v>545984</v>
      </c>
      <c r="L2815" s="249">
        <v>580108</v>
      </c>
      <c r="M2815" s="249">
        <v>620715.55999999994</v>
      </c>
      <c r="N2815" s="249">
        <v>664165.6492000001</v>
      </c>
    </row>
    <row r="2817" spans="1:14" x14ac:dyDescent="0.25">
      <c r="C2817" t="s">
        <v>172</v>
      </c>
      <c r="J2817">
        <v>0</v>
      </c>
    </row>
    <row r="2819" spans="1:14" x14ac:dyDescent="0.25">
      <c r="A2819" t="s">
        <v>1254</v>
      </c>
      <c r="C2819" t="s">
        <v>173</v>
      </c>
      <c r="D2819" s="67">
        <v>17907</v>
      </c>
      <c r="E2819">
        <v>0</v>
      </c>
      <c r="F2819">
        <v>0</v>
      </c>
      <c r="G2819">
        <v>1217.71</v>
      </c>
      <c r="H2819">
        <v>-1217.71</v>
      </c>
      <c r="I2819">
        <v>0</v>
      </c>
      <c r="J2819">
        <v>0</v>
      </c>
      <c r="K2819" s="249">
        <v>17907</v>
      </c>
      <c r="L2819" s="249">
        <v>19026.1875</v>
      </c>
      <c r="M2819" s="249">
        <v>20358.020625000001</v>
      </c>
      <c r="N2819" s="249">
        <v>21783.082068750002</v>
      </c>
    </row>
    <row r="2820" spans="1:14" x14ac:dyDescent="0.25">
      <c r="A2820" t="s">
        <v>1255</v>
      </c>
      <c r="C2820" t="s">
        <v>174</v>
      </c>
      <c r="D2820" s="67">
        <v>14818</v>
      </c>
      <c r="E2820">
        <v>0</v>
      </c>
      <c r="F2820">
        <v>0</v>
      </c>
      <c r="G2820">
        <v>1217.71</v>
      </c>
      <c r="H2820">
        <v>-1217.71</v>
      </c>
      <c r="I2820">
        <v>0</v>
      </c>
      <c r="J2820">
        <v>0</v>
      </c>
      <c r="K2820" s="249">
        <v>14818</v>
      </c>
      <c r="L2820" s="249">
        <v>15744.125</v>
      </c>
      <c r="M2820" s="249">
        <v>16846.213749999999</v>
      </c>
      <c r="N2820" s="249">
        <v>18025.448712499998</v>
      </c>
    </row>
    <row r="2821" spans="1:14" x14ac:dyDescent="0.25">
      <c r="A2821" t="s">
        <v>1256</v>
      </c>
      <c r="C2821" t="s">
        <v>175</v>
      </c>
      <c r="D2821" s="67">
        <v>31326</v>
      </c>
      <c r="E2821">
        <v>0</v>
      </c>
      <c r="F2821">
        <v>0</v>
      </c>
      <c r="G2821">
        <v>1217.71</v>
      </c>
      <c r="H2821">
        <v>-1217.71</v>
      </c>
      <c r="I2821">
        <v>0</v>
      </c>
      <c r="J2821">
        <v>0</v>
      </c>
      <c r="K2821" s="249">
        <v>31326</v>
      </c>
      <c r="L2821" s="249">
        <v>33283.875</v>
      </c>
      <c r="M2821" s="249">
        <v>35613.746249999997</v>
      </c>
      <c r="N2821" s="249">
        <v>38106.7084875</v>
      </c>
    </row>
    <row r="2823" spans="1:14" x14ac:dyDescent="0.25">
      <c r="C2823" t="s">
        <v>176</v>
      </c>
      <c r="D2823" s="67">
        <v>64051</v>
      </c>
      <c r="E2823">
        <v>0</v>
      </c>
      <c r="F2823">
        <v>0</v>
      </c>
      <c r="G2823">
        <v>3653.13</v>
      </c>
      <c r="H2823">
        <v>-3653.13</v>
      </c>
      <c r="I2823">
        <v>0</v>
      </c>
      <c r="J2823">
        <v>0</v>
      </c>
      <c r="K2823" s="249">
        <v>64051</v>
      </c>
      <c r="L2823" s="249">
        <v>68054.1875</v>
      </c>
      <c r="M2823" s="249">
        <v>72817.980624999997</v>
      </c>
      <c r="N2823" s="249">
        <v>77915.239268749996</v>
      </c>
    </row>
    <row r="2825" spans="1:14" x14ac:dyDescent="0.25">
      <c r="C2825" t="s">
        <v>177</v>
      </c>
      <c r="D2825" s="67">
        <v>3211627</v>
      </c>
      <c r="E2825">
        <v>0</v>
      </c>
      <c r="F2825">
        <v>0</v>
      </c>
      <c r="G2825">
        <v>21918.78</v>
      </c>
      <c r="H2825">
        <v>-21918.78</v>
      </c>
      <c r="I2825">
        <v>46.06</v>
      </c>
      <c r="J2825">
        <v>-51113.639999999665</v>
      </c>
      <c r="K2825" s="249">
        <v>3160513.3600000003</v>
      </c>
      <c r="L2825" s="249">
        <v>3358045.4450000003</v>
      </c>
      <c r="M2825" s="249">
        <v>3593108.6261499999</v>
      </c>
      <c r="N2825" s="249">
        <v>3844626.2299804995</v>
      </c>
    </row>
    <row r="2827" spans="1:14" x14ac:dyDescent="0.25">
      <c r="C2827" t="s">
        <v>178</v>
      </c>
      <c r="D2827" s="67">
        <v>3211627</v>
      </c>
      <c r="E2827">
        <v>0</v>
      </c>
      <c r="F2827">
        <v>0</v>
      </c>
      <c r="G2827">
        <v>21918.78</v>
      </c>
      <c r="H2827">
        <v>-21918.78</v>
      </c>
      <c r="I2827">
        <v>46.06</v>
      </c>
      <c r="J2827">
        <v>-51113.639999999665</v>
      </c>
      <c r="K2827" s="249">
        <v>3160513.3600000003</v>
      </c>
      <c r="L2827" s="249">
        <v>3358045.4450000003</v>
      </c>
      <c r="M2827" s="249">
        <v>3593108.6261499999</v>
      </c>
      <c r="N2827" s="249">
        <v>3844626.2299804995</v>
      </c>
    </row>
    <row r="2829" spans="1:14" x14ac:dyDescent="0.25">
      <c r="C2829" t="s">
        <v>208</v>
      </c>
      <c r="J2829">
        <v>0</v>
      </c>
    </row>
    <row r="2831" spans="1:14" x14ac:dyDescent="0.25">
      <c r="C2831" t="s">
        <v>209</v>
      </c>
      <c r="J2831">
        <v>0</v>
      </c>
    </row>
    <row r="2833" spans="1:14" x14ac:dyDescent="0.25">
      <c r="A2833" t="s">
        <v>1257</v>
      </c>
      <c r="C2833" t="s">
        <v>215</v>
      </c>
      <c r="D2833" s="67">
        <v>46033</v>
      </c>
      <c r="E2833">
        <v>0</v>
      </c>
      <c r="F2833">
        <v>0</v>
      </c>
      <c r="G2833">
        <v>1217.71</v>
      </c>
      <c r="H2833">
        <v>-1217.71</v>
      </c>
      <c r="I2833">
        <v>0</v>
      </c>
      <c r="J2833">
        <v>-46033</v>
      </c>
      <c r="K2833" s="249">
        <v>0</v>
      </c>
      <c r="M2833" s="249">
        <v>0</v>
      </c>
    </row>
    <row r="2835" spans="1:14" x14ac:dyDescent="0.25">
      <c r="C2835" t="s">
        <v>217</v>
      </c>
      <c r="D2835" s="67">
        <v>46033</v>
      </c>
      <c r="E2835">
        <v>0</v>
      </c>
      <c r="F2835">
        <v>0</v>
      </c>
      <c r="G2835">
        <v>1217.71</v>
      </c>
      <c r="H2835">
        <v>-1217.71</v>
      </c>
      <c r="I2835">
        <v>0</v>
      </c>
      <c r="J2835">
        <v>-46033</v>
      </c>
      <c r="K2835" s="249">
        <v>0</v>
      </c>
      <c r="L2835" s="249">
        <v>0</v>
      </c>
      <c r="M2835" s="249">
        <v>0</v>
      </c>
      <c r="N2835" s="249">
        <v>0</v>
      </c>
    </row>
    <row r="2837" spans="1:14" x14ac:dyDescent="0.25">
      <c r="C2837" t="s">
        <v>218</v>
      </c>
      <c r="J2837">
        <v>0</v>
      </c>
    </row>
    <row r="2838" spans="1:14" x14ac:dyDescent="0.25">
      <c r="C2838" t="s">
        <v>228</v>
      </c>
      <c r="J2838">
        <v>0</v>
      </c>
    </row>
    <row r="2840" spans="1:14" x14ac:dyDescent="0.25">
      <c r="A2840" t="s">
        <v>1258</v>
      </c>
      <c r="C2840" t="s">
        <v>236</v>
      </c>
      <c r="D2840" s="67">
        <v>636000</v>
      </c>
      <c r="E2840">
        <v>0</v>
      </c>
      <c r="F2840">
        <v>0</v>
      </c>
      <c r="G2840">
        <v>1217.71</v>
      </c>
      <c r="H2840">
        <v>-1217.71</v>
      </c>
      <c r="I2840">
        <v>0</v>
      </c>
      <c r="J2840">
        <v>0</v>
      </c>
      <c r="K2840" s="249">
        <v>636000</v>
      </c>
      <c r="L2840" s="249">
        <v>664620</v>
      </c>
      <c r="M2840" s="249">
        <v>695192.52</v>
      </c>
      <c r="N2840" s="249">
        <v>727171.37592000002</v>
      </c>
    </row>
    <row r="2842" spans="1:14" x14ac:dyDescent="0.25">
      <c r="C2842" t="s">
        <v>239</v>
      </c>
      <c r="D2842" s="67">
        <v>636000</v>
      </c>
      <c r="E2842">
        <v>0</v>
      </c>
      <c r="F2842">
        <v>0</v>
      </c>
      <c r="G2842">
        <v>1217.71</v>
      </c>
      <c r="H2842">
        <v>-1217.71</v>
      </c>
      <c r="I2842">
        <v>8.48</v>
      </c>
      <c r="J2842">
        <v>0</v>
      </c>
      <c r="K2842" s="249">
        <v>636000</v>
      </c>
      <c r="L2842" s="249">
        <v>664620</v>
      </c>
      <c r="M2842" s="249">
        <v>695192.52</v>
      </c>
      <c r="N2842" s="249">
        <v>727171.37592000002</v>
      </c>
    </row>
    <row r="2844" spans="1:14" x14ac:dyDescent="0.25">
      <c r="C2844" t="s">
        <v>240</v>
      </c>
      <c r="D2844" s="67">
        <v>682033</v>
      </c>
      <c r="E2844">
        <v>0</v>
      </c>
      <c r="F2844">
        <v>0</v>
      </c>
      <c r="G2844">
        <v>2435.42</v>
      </c>
      <c r="H2844">
        <v>-2435.42</v>
      </c>
      <c r="I2844">
        <v>7.91</v>
      </c>
      <c r="J2844">
        <v>-46033</v>
      </c>
      <c r="K2844" s="249">
        <v>636000</v>
      </c>
      <c r="L2844" s="249">
        <v>664620</v>
      </c>
      <c r="M2844" s="249">
        <v>695192.52</v>
      </c>
      <c r="N2844" s="249">
        <v>727171.37592000002</v>
      </c>
    </row>
    <row r="2846" spans="1:14" x14ac:dyDescent="0.25">
      <c r="C2846" t="s">
        <v>241</v>
      </c>
      <c r="J2846">
        <v>0</v>
      </c>
    </row>
    <row r="2848" spans="1:14" x14ac:dyDescent="0.25">
      <c r="A2848" t="s">
        <v>1259</v>
      </c>
      <c r="C2848" t="s">
        <v>265</v>
      </c>
      <c r="D2848" s="67">
        <v>33129</v>
      </c>
      <c r="E2848">
        <v>0</v>
      </c>
      <c r="F2848">
        <v>0</v>
      </c>
      <c r="G2848">
        <v>1217.71</v>
      </c>
      <c r="H2848">
        <v>-1217.71</v>
      </c>
      <c r="I2848">
        <v>0</v>
      </c>
      <c r="J2848">
        <v>0</v>
      </c>
      <c r="K2848" s="249">
        <v>33129</v>
      </c>
      <c r="L2848" s="249">
        <v>34619.805</v>
      </c>
      <c r="M2848" s="249">
        <v>36212.316030000002</v>
      </c>
      <c r="N2848" s="249">
        <v>37878.082567379999</v>
      </c>
    </row>
    <row r="2849" spans="1:14" x14ac:dyDescent="0.25">
      <c r="A2849" t="s">
        <v>1260</v>
      </c>
      <c r="C2849" t="s">
        <v>268</v>
      </c>
      <c r="D2849" s="67">
        <v>76213</v>
      </c>
      <c r="E2849">
        <v>0</v>
      </c>
      <c r="F2849">
        <v>0</v>
      </c>
      <c r="G2849">
        <v>1217.71</v>
      </c>
      <c r="H2849">
        <v>-1217.71</v>
      </c>
      <c r="I2849">
        <v>0</v>
      </c>
      <c r="J2849">
        <v>0</v>
      </c>
      <c r="K2849" s="249">
        <v>76213</v>
      </c>
      <c r="L2849" s="249">
        <v>79642.585000000006</v>
      </c>
      <c r="M2849" s="249">
        <v>83306.143910000013</v>
      </c>
      <c r="N2849" s="249">
        <v>87138.22652986001</v>
      </c>
    </row>
    <row r="2850" spans="1:14" x14ac:dyDescent="0.25">
      <c r="A2850" t="s">
        <v>1261</v>
      </c>
      <c r="C2850" t="s">
        <v>273</v>
      </c>
      <c r="D2850" s="67">
        <v>4355626</v>
      </c>
      <c r="E2850">
        <v>0</v>
      </c>
      <c r="F2850">
        <v>0</v>
      </c>
      <c r="G2850">
        <v>1217.71</v>
      </c>
      <c r="H2850">
        <v>-1217.71</v>
      </c>
      <c r="I2850">
        <v>0</v>
      </c>
      <c r="J2850">
        <v>344539</v>
      </c>
      <c r="K2850" s="249">
        <v>4700165</v>
      </c>
      <c r="L2850" s="249">
        <v>5080878.3650000002</v>
      </c>
      <c r="M2850" s="249">
        <v>5345084.0399799999</v>
      </c>
      <c r="N2850" s="249">
        <v>5820796.51953822</v>
      </c>
    </row>
    <row r="2852" spans="1:14" x14ac:dyDescent="0.25">
      <c r="C2852" t="s">
        <v>274</v>
      </c>
      <c r="D2852" s="67">
        <v>4464968</v>
      </c>
      <c r="E2852">
        <v>0</v>
      </c>
      <c r="F2852">
        <v>0</v>
      </c>
      <c r="G2852">
        <v>3653.13</v>
      </c>
      <c r="H2852">
        <v>-3653.13</v>
      </c>
      <c r="I2852">
        <v>49.2</v>
      </c>
      <c r="J2852">
        <v>344539</v>
      </c>
      <c r="K2852" s="249">
        <v>4809507</v>
      </c>
      <c r="L2852" s="249">
        <v>5195140.7549999999</v>
      </c>
      <c r="M2852" s="249">
        <v>5464602.4999200003</v>
      </c>
      <c r="N2852" s="249">
        <v>5945812.8286354598</v>
      </c>
    </row>
    <row r="2854" spans="1:14" x14ac:dyDescent="0.25">
      <c r="C2854" t="s">
        <v>280</v>
      </c>
      <c r="J2854">
        <v>0</v>
      </c>
    </row>
    <row r="2856" spans="1:14" x14ac:dyDescent="0.25">
      <c r="A2856" t="s">
        <v>1262</v>
      </c>
      <c r="C2856" t="s">
        <v>281</v>
      </c>
      <c r="D2856" s="67">
        <v>8268000</v>
      </c>
      <c r="E2856">
        <v>0</v>
      </c>
      <c r="F2856">
        <v>0</v>
      </c>
      <c r="G2856">
        <v>1217.71</v>
      </c>
      <c r="H2856">
        <v>-1217.71</v>
      </c>
      <c r="I2856">
        <v>0</v>
      </c>
      <c r="J2856">
        <v>0</v>
      </c>
      <c r="K2856" s="249">
        <v>8268000</v>
      </c>
      <c r="L2856" s="249">
        <v>8937708</v>
      </c>
      <c r="M2856" s="249">
        <v>9402468.8159999996</v>
      </c>
      <c r="N2856" s="249">
        <v>10239288.540624</v>
      </c>
    </row>
    <row r="2858" spans="1:14" x14ac:dyDescent="0.25">
      <c r="C2858" t="s">
        <v>282</v>
      </c>
      <c r="D2858" s="67">
        <v>8268000</v>
      </c>
      <c r="E2858">
        <v>0</v>
      </c>
      <c r="F2858">
        <v>0</v>
      </c>
      <c r="G2858">
        <v>1217.71</v>
      </c>
      <c r="H2858">
        <v>-1217.71</v>
      </c>
      <c r="I2858">
        <v>86.53</v>
      </c>
      <c r="J2858">
        <v>0</v>
      </c>
      <c r="K2858" s="249">
        <v>8268000</v>
      </c>
      <c r="L2858" s="249">
        <v>8937708</v>
      </c>
      <c r="M2858" s="249">
        <v>9402468.8159999996</v>
      </c>
      <c r="N2858" s="249">
        <v>10239288.540624</v>
      </c>
    </row>
    <row r="2860" spans="1:14" x14ac:dyDescent="0.25">
      <c r="C2860" t="s">
        <v>290</v>
      </c>
      <c r="J2860">
        <v>0</v>
      </c>
    </row>
    <row r="2862" spans="1:14" x14ac:dyDescent="0.25">
      <c r="A2862" t="s">
        <v>1263</v>
      </c>
      <c r="C2862" t="s">
        <v>292</v>
      </c>
      <c r="D2862" s="67">
        <v>3371</v>
      </c>
      <c r="E2862">
        <v>0</v>
      </c>
      <c r="F2862">
        <v>0</v>
      </c>
      <c r="G2862">
        <v>1217.71</v>
      </c>
      <c r="H2862">
        <v>-1217.71</v>
      </c>
      <c r="I2862">
        <v>0</v>
      </c>
      <c r="J2862">
        <v>0</v>
      </c>
      <c r="K2862" s="249">
        <v>3371</v>
      </c>
      <c r="L2862" s="249">
        <v>3522.6950000000002</v>
      </c>
      <c r="M2862" s="249">
        <v>3684.7389700000003</v>
      </c>
      <c r="N2862" s="249">
        <v>3854.2369626200002</v>
      </c>
    </row>
    <row r="2863" spans="1:14" x14ac:dyDescent="0.25">
      <c r="A2863" t="s">
        <v>1264</v>
      </c>
      <c r="C2863" t="s">
        <v>293</v>
      </c>
      <c r="D2863" s="67">
        <v>5077</v>
      </c>
      <c r="E2863">
        <v>0</v>
      </c>
      <c r="F2863">
        <v>0</v>
      </c>
      <c r="G2863">
        <v>1217.71</v>
      </c>
      <c r="H2863">
        <v>-1217.71</v>
      </c>
      <c r="I2863">
        <v>0</v>
      </c>
      <c r="J2863">
        <v>0</v>
      </c>
      <c r="K2863" s="249">
        <v>5077</v>
      </c>
      <c r="L2863" s="249">
        <v>5305.4650000000001</v>
      </c>
      <c r="M2863" s="249">
        <v>5549.5163899999998</v>
      </c>
      <c r="N2863" s="249">
        <v>5804.7941439400001</v>
      </c>
    </row>
    <row r="2864" spans="1:14" x14ac:dyDescent="0.25">
      <c r="A2864" t="s">
        <v>1265</v>
      </c>
      <c r="C2864" t="s">
        <v>294</v>
      </c>
      <c r="D2864" s="67">
        <v>526309</v>
      </c>
      <c r="E2864">
        <v>0</v>
      </c>
      <c r="F2864">
        <v>0</v>
      </c>
      <c r="G2864">
        <v>1217.71</v>
      </c>
      <c r="H2864">
        <v>-1217.71</v>
      </c>
      <c r="I2864">
        <v>0</v>
      </c>
      <c r="J2864">
        <v>0</v>
      </c>
      <c r="K2864" s="249">
        <v>526309</v>
      </c>
      <c r="L2864" s="249">
        <v>549992.90500000003</v>
      </c>
      <c r="M2864" s="249">
        <v>575292.57863</v>
      </c>
      <c r="N2864" s="249">
        <v>601756.03724698001</v>
      </c>
    </row>
    <row r="2865" spans="1:14" x14ac:dyDescent="0.25">
      <c r="A2865" t="s">
        <v>1266</v>
      </c>
      <c r="C2865" t="s">
        <v>296</v>
      </c>
      <c r="D2865" s="67">
        <v>25648</v>
      </c>
      <c r="E2865">
        <v>0</v>
      </c>
      <c r="F2865">
        <v>0</v>
      </c>
      <c r="G2865">
        <v>1217.71</v>
      </c>
      <c r="H2865">
        <v>-1217.71</v>
      </c>
      <c r="I2865">
        <v>0</v>
      </c>
      <c r="J2865">
        <v>0</v>
      </c>
      <c r="K2865" s="249">
        <v>25648</v>
      </c>
      <c r="L2865" s="249">
        <v>26802.16</v>
      </c>
      <c r="M2865" s="249">
        <v>28035.059359999999</v>
      </c>
      <c r="N2865" s="249">
        <v>29324.672090559998</v>
      </c>
    </row>
    <row r="2866" spans="1:14" x14ac:dyDescent="0.25">
      <c r="A2866" t="s">
        <v>1267</v>
      </c>
      <c r="C2866" t="s">
        <v>297</v>
      </c>
      <c r="D2866" s="67">
        <v>116115</v>
      </c>
      <c r="E2866">
        <v>0</v>
      </c>
      <c r="F2866">
        <v>0</v>
      </c>
      <c r="G2866">
        <v>1217.71</v>
      </c>
      <c r="H2866">
        <v>-1217.71</v>
      </c>
      <c r="I2866">
        <v>0</v>
      </c>
      <c r="J2866">
        <v>0</v>
      </c>
      <c r="K2866" s="249">
        <v>116115</v>
      </c>
      <c r="L2866" s="249">
        <v>121340.175</v>
      </c>
      <c r="M2866" s="249">
        <v>126921.82305000001</v>
      </c>
      <c r="N2866" s="249">
        <v>132760.2269103</v>
      </c>
    </row>
    <row r="2868" spans="1:14" x14ac:dyDescent="0.25">
      <c r="C2868" t="s">
        <v>304</v>
      </c>
      <c r="D2868" s="67">
        <v>676520</v>
      </c>
      <c r="E2868">
        <v>0</v>
      </c>
      <c r="F2868">
        <v>0</v>
      </c>
      <c r="G2868">
        <v>6088.55</v>
      </c>
      <c r="H2868">
        <v>-6088.55</v>
      </c>
      <c r="I2868">
        <v>50.03</v>
      </c>
      <c r="J2868">
        <v>0</v>
      </c>
      <c r="K2868" s="249">
        <v>676520</v>
      </c>
      <c r="L2868" s="249">
        <v>706963.40000000014</v>
      </c>
      <c r="M2868" s="249">
        <v>739483.71639999992</v>
      </c>
      <c r="N2868" s="249">
        <v>773499.96735439997</v>
      </c>
    </row>
    <row r="2870" spans="1:14" x14ac:dyDescent="0.25">
      <c r="C2870" t="s">
        <v>305</v>
      </c>
      <c r="D2870" s="67">
        <v>17303148</v>
      </c>
      <c r="E2870">
        <v>0</v>
      </c>
      <c r="F2870">
        <v>0</v>
      </c>
      <c r="G2870">
        <v>35313.589999999997</v>
      </c>
      <c r="H2870">
        <v>-35313.589999999997</v>
      </c>
      <c r="I2870">
        <v>64.86</v>
      </c>
      <c r="J2870">
        <v>247392.3599999994</v>
      </c>
      <c r="K2870" s="249">
        <v>17550540.359999999</v>
      </c>
      <c r="L2870" s="249">
        <v>18862477.599999998</v>
      </c>
      <c r="M2870" s="249">
        <v>19894856.178470001</v>
      </c>
      <c r="N2870" s="249">
        <v>21530398.942514356</v>
      </c>
    </row>
    <row r="2872" spans="1:14" x14ac:dyDescent="0.25">
      <c r="C2872" t="s">
        <v>306</v>
      </c>
      <c r="D2872" s="67">
        <v>7552587</v>
      </c>
      <c r="E2872">
        <v>-574110.90999999992</v>
      </c>
      <c r="F2872">
        <v>0</v>
      </c>
      <c r="G2872">
        <v>-3847269.27</v>
      </c>
      <c r="H2872">
        <v>-5903291.7300000004</v>
      </c>
      <c r="I2872">
        <v>97.19</v>
      </c>
      <c r="J2872">
        <v>277927.3599999994</v>
      </c>
      <c r="K2872" s="249">
        <v>7830514.3599999994</v>
      </c>
      <c r="L2872" s="249">
        <v>-7677237.6060000025</v>
      </c>
      <c r="M2872" s="249">
        <v>2806493.1739580035</v>
      </c>
      <c r="N2872" s="249">
        <v>2455483.3257737868</v>
      </c>
    </row>
    <row r="2874" spans="1:14" x14ac:dyDescent="0.25">
      <c r="C2874" t="s">
        <v>308</v>
      </c>
      <c r="J2874">
        <v>0</v>
      </c>
    </row>
    <row r="2876" spans="1:14" x14ac:dyDescent="0.25">
      <c r="A2876" t="s">
        <v>1268</v>
      </c>
      <c r="B2876" t="s">
        <v>3036</v>
      </c>
      <c r="C2876" t="s">
        <v>1269</v>
      </c>
      <c r="D2876" s="67">
        <v>2000000</v>
      </c>
      <c r="E2876">
        <v>0</v>
      </c>
      <c r="F2876">
        <v>0</v>
      </c>
      <c r="G2876">
        <v>1217.71</v>
      </c>
      <c r="H2876">
        <v>-1217.71</v>
      </c>
      <c r="I2876">
        <v>0</v>
      </c>
      <c r="J2876">
        <v>-787662.5</v>
      </c>
      <c r="K2876" s="249">
        <v>1212337.5</v>
      </c>
      <c r="L2876" s="249">
        <v>1200000</v>
      </c>
      <c r="M2876" s="249">
        <v>1000000</v>
      </c>
      <c r="N2876" s="249">
        <v>0</v>
      </c>
    </row>
    <row r="2877" spans="1:14" x14ac:dyDescent="0.25">
      <c r="A2877" t="s">
        <v>1270</v>
      </c>
      <c r="B2877" t="s">
        <v>3045</v>
      </c>
      <c r="C2877" t="s">
        <v>1271</v>
      </c>
      <c r="D2877" s="67">
        <v>3000000</v>
      </c>
      <c r="E2877">
        <v>0</v>
      </c>
      <c r="F2877">
        <v>0</v>
      </c>
      <c r="G2877">
        <v>1217.71</v>
      </c>
      <c r="H2877">
        <v>-1217.71</v>
      </c>
      <c r="I2877">
        <v>0</v>
      </c>
      <c r="J2877">
        <v>0</v>
      </c>
      <c r="K2877" s="249">
        <v>3000000</v>
      </c>
      <c r="L2877" s="249">
        <v>1700000</v>
      </c>
      <c r="M2877" s="249">
        <v>1200000</v>
      </c>
      <c r="N2877" s="249">
        <v>3500000</v>
      </c>
    </row>
    <row r="2878" spans="1:14" x14ac:dyDescent="0.25">
      <c r="A2878" s="250" t="s">
        <v>3089</v>
      </c>
      <c r="C2878" t="s">
        <v>1271</v>
      </c>
    </row>
    <row r="2879" spans="1:14" x14ac:dyDescent="0.25">
      <c r="A2879" s="250" t="s">
        <v>3088</v>
      </c>
      <c r="C2879" t="s">
        <v>3046</v>
      </c>
    </row>
    <row r="2880" spans="1:14" x14ac:dyDescent="0.25">
      <c r="A2880" t="s">
        <v>3087</v>
      </c>
      <c r="C2880" t="s">
        <v>3048</v>
      </c>
      <c r="L2880" s="249">
        <v>500000</v>
      </c>
      <c r="M2880" s="249">
        <v>600000</v>
      </c>
      <c r="N2880" s="249">
        <v>0</v>
      </c>
    </row>
    <row r="2881" spans="1:14" x14ac:dyDescent="0.25">
      <c r="A2881" s="250" t="s">
        <v>3090</v>
      </c>
      <c r="C2881" t="s">
        <v>3049</v>
      </c>
      <c r="D2881" s="67">
        <v>0</v>
      </c>
      <c r="K2881" s="249">
        <v>0</v>
      </c>
      <c r="L2881" s="249">
        <v>0</v>
      </c>
      <c r="M2881" s="249">
        <v>0</v>
      </c>
      <c r="N2881" s="249">
        <v>1500000</v>
      </c>
    </row>
    <row r="2882" spans="1:14" x14ac:dyDescent="0.25">
      <c r="A2882" s="250" t="s">
        <v>3092</v>
      </c>
      <c r="C2882" t="s">
        <v>3071</v>
      </c>
      <c r="D2882" s="67">
        <v>0</v>
      </c>
      <c r="K2882" s="249">
        <v>0</v>
      </c>
      <c r="L2882" s="249">
        <v>13000000</v>
      </c>
      <c r="M2882" s="249">
        <v>6000000</v>
      </c>
      <c r="N2882" s="249">
        <v>7000000</v>
      </c>
    </row>
    <row r="2883" spans="1:14" x14ac:dyDescent="0.25">
      <c r="A2883" s="250" t="s">
        <v>3093</v>
      </c>
      <c r="C2883" t="s">
        <v>3072</v>
      </c>
      <c r="D2883" s="67">
        <v>0</v>
      </c>
      <c r="K2883" s="249">
        <v>0</v>
      </c>
      <c r="L2883" s="249">
        <v>3000000</v>
      </c>
      <c r="M2883" s="249">
        <v>0</v>
      </c>
      <c r="N2883" s="249">
        <v>0</v>
      </c>
    </row>
    <row r="2884" spans="1:14" x14ac:dyDescent="0.25">
      <c r="A2884" s="250" t="s">
        <v>3091</v>
      </c>
      <c r="C2884" t="s">
        <v>1354</v>
      </c>
      <c r="D2884" s="67">
        <v>0</v>
      </c>
      <c r="J2884">
        <v>0</v>
      </c>
      <c r="K2884" s="249">
        <v>0</v>
      </c>
      <c r="L2884" s="249">
        <v>0</v>
      </c>
      <c r="M2884" s="249">
        <v>0</v>
      </c>
      <c r="N2884" s="249">
        <v>0</v>
      </c>
    </row>
    <row r="2886" spans="1:14" x14ac:dyDescent="0.25">
      <c r="C2886" t="s">
        <v>320</v>
      </c>
      <c r="D2886" s="67">
        <v>5000000</v>
      </c>
      <c r="E2886">
        <v>0</v>
      </c>
      <c r="F2886">
        <v>0</v>
      </c>
      <c r="G2886">
        <v>2435.42</v>
      </c>
      <c r="H2886">
        <v>-2435.42</v>
      </c>
      <c r="I2886">
        <v>9.7899999999999991</v>
      </c>
      <c r="J2886">
        <v>-787662.5</v>
      </c>
      <c r="K2886" s="249">
        <v>4212337.5</v>
      </c>
      <c r="L2886" s="249">
        <v>19400000</v>
      </c>
      <c r="M2886" s="249">
        <v>8800000</v>
      </c>
      <c r="N2886" s="249">
        <v>12000000</v>
      </c>
    </row>
    <row r="2888" spans="1:14" x14ac:dyDescent="0.25">
      <c r="C2888" t="s">
        <v>1272</v>
      </c>
      <c r="J2888">
        <v>0</v>
      </c>
    </row>
    <row r="2889" spans="1:14" x14ac:dyDescent="0.25">
      <c r="C2889" t="s">
        <v>9</v>
      </c>
      <c r="J2889">
        <v>0</v>
      </c>
    </row>
    <row r="2890" spans="1:14" x14ac:dyDescent="0.25">
      <c r="C2890" t="s">
        <v>42</v>
      </c>
      <c r="J2890">
        <v>0</v>
      </c>
    </row>
    <row r="2892" spans="1:14" x14ac:dyDescent="0.25">
      <c r="A2892" t="s">
        <v>1273</v>
      </c>
      <c r="C2892" t="s">
        <v>53</v>
      </c>
      <c r="D2892" s="67">
        <v>0</v>
      </c>
      <c r="E2892">
        <v>0</v>
      </c>
      <c r="F2892">
        <v>0</v>
      </c>
      <c r="G2892">
        <v>1217.71</v>
      </c>
      <c r="H2892">
        <v>-1217.71</v>
      </c>
      <c r="I2892">
        <v>0</v>
      </c>
      <c r="J2892">
        <v>0</v>
      </c>
      <c r="K2892" s="249">
        <v>0</v>
      </c>
      <c r="L2892" s="249">
        <v>0</v>
      </c>
      <c r="M2892" s="249">
        <v>0</v>
      </c>
    </row>
    <row r="2893" spans="1:14" x14ac:dyDescent="0.25">
      <c r="A2893" t="s">
        <v>1274</v>
      </c>
      <c r="C2893" t="s">
        <v>54</v>
      </c>
      <c r="D2893" s="67">
        <v>0</v>
      </c>
      <c r="E2893">
        <v>0</v>
      </c>
      <c r="F2893">
        <v>0</v>
      </c>
      <c r="G2893">
        <v>1217.71</v>
      </c>
      <c r="H2893">
        <v>-1217.71</v>
      </c>
      <c r="I2893">
        <v>0</v>
      </c>
      <c r="J2893">
        <v>0</v>
      </c>
      <c r="K2893" s="249">
        <v>0</v>
      </c>
      <c r="L2893" s="249">
        <v>0</v>
      </c>
      <c r="M2893" s="249">
        <v>0</v>
      </c>
    </row>
    <row r="2895" spans="1:14" x14ac:dyDescent="0.25">
      <c r="C2895" t="s">
        <v>55</v>
      </c>
      <c r="D2895" s="67">
        <v>0</v>
      </c>
      <c r="E2895">
        <v>0</v>
      </c>
      <c r="F2895">
        <v>0</v>
      </c>
      <c r="G2895">
        <v>2435.42</v>
      </c>
      <c r="H2895">
        <v>-2435.42</v>
      </c>
      <c r="I2895">
        <v>0</v>
      </c>
      <c r="J2895">
        <v>0</v>
      </c>
      <c r="K2895" s="249">
        <v>0</v>
      </c>
      <c r="L2895" s="249">
        <v>0</v>
      </c>
      <c r="M2895" s="249">
        <v>0</v>
      </c>
    </row>
    <row r="2897" spans="1:14" x14ac:dyDescent="0.25">
      <c r="C2897" t="s">
        <v>56</v>
      </c>
      <c r="J2897">
        <v>0</v>
      </c>
    </row>
    <row r="2899" spans="1:14" x14ac:dyDescent="0.25">
      <c r="A2899" t="s">
        <v>1275</v>
      </c>
      <c r="C2899" t="s">
        <v>61</v>
      </c>
      <c r="D2899" s="67">
        <v>-315185</v>
      </c>
      <c r="E2899">
        <v>0</v>
      </c>
      <c r="F2899">
        <v>0</v>
      </c>
      <c r="G2899">
        <v>1217.71</v>
      </c>
      <c r="H2899">
        <v>-1217.71</v>
      </c>
      <c r="I2899">
        <v>0</v>
      </c>
      <c r="J2899">
        <v>315185</v>
      </c>
      <c r="K2899" s="249">
        <v>0</v>
      </c>
      <c r="L2899" s="249">
        <v>0</v>
      </c>
      <c r="M2899" s="249">
        <v>0</v>
      </c>
    </row>
    <row r="2901" spans="1:14" x14ac:dyDescent="0.25">
      <c r="C2901" t="s">
        <v>64</v>
      </c>
      <c r="D2901" s="67">
        <v>-315185</v>
      </c>
      <c r="E2901">
        <v>0</v>
      </c>
      <c r="F2901">
        <v>0</v>
      </c>
      <c r="G2901">
        <v>1217.71</v>
      </c>
      <c r="H2901">
        <v>-1217.71</v>
      </c>
      <c r="I2901">
        <v>17.97</v>
      </c>
      <c r="J2901">
        <v>315185</v>
      </c>
      <c r="K2901" s="249">
        <v>0</v>
      </c>
      <c r="L2901" s="249">
        <v>0</v>
      </c>
      <c r="M2901" s="249">
        <v>0</v>
      </c>
      <c r="N2901" s="249">
        <v>0</v>
      </c>
    </row>
    <row r="2903" spans="1:14" x14ac:dyDescent="0.25">
      <c r="C2903" t="s">
        <v>67</v>
      </c>
      <c r="J2903">
        <v>0</v>
      </c>
    </row>
    <row r="2905" spans="1:14" x14ac:dyDescent="0.25">
      <c r="A2905" t="s">
        <v>1276</v>
      </c>
      <c r="C2905" t="s">
        <v>68</v>
      </c>
      <c r="D2905" s="67">
        <v>-1696600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 s="249">
        <v>-403536</v>
      </c>
      <c r="L2905" s="249">
        <v>-421695.12</v>
      </c>
      <c r="M2905" s="249">
        <v>-441093.09551999997</v>
      </c>
      <c r="N2905" s="249">
        <v>-461383.37791391998</v>
      </c>
    </row>
    <row r="2907" spans="1:14" x14ac:dyDescent="0.25">
      <c r="C2907" t="s">
        <v>69</v>
      </c>
      <c r="D2907" s="67">
        <v>-1696600</v>
      </c>
      <c r="E2907">
        <v>0</v>
      </c>
      <c r="F2907">
        <v>0</v>
      </c>
      <c r="G2907">
        <v>1217.71</v>
      </c>
      <c r="H2907">
        <v>-1217.71</v>
      </c>
      <c r="I2907">
        <v>0</v>
      </c>
      <c r="J2907">
        <v>1293064</v>
      </c>
      <c r="K2907" s="249">
        <v>-403536</v>
      </c>
      <c r="L2907" s="249">
        <v>-421695.12</v>
      </c>
      <c r="M2907" s="249">
        <v>-441093.09551999997</v>
      </c>
      <c r="N2907" s="249">
        <v>-461383.37791391998</v>
      </c>
    </row>
    <row r="2909" spans="1:14" x14ac:dyDescent="0.25">
      <c r="C2909" t="s">
        <v>70</v>
      </c>
      <c r="J2909">
        <v>0</v>
      </c>
    </row>
    <row r="2911" spans="1:14" x14ac:dyDescent="0.25">
      <c r="A2911" t="s">
        <v>1277</v>
      </c>
      <c r="C2911" t="s">
        <v>73</v>
      </c>
    </row>
    <row r="2913" spans="1:14" x14ac:dyDescent="0.25">
      <c r="C2913" t="s">
        <v>77</v>
      </c>
      <c r="D2913" s="67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 s="249">
        <v>0</v>
      </c>
      <c r="L2913" s="249">
        <v>0</v>
      </c>
      <c r="M2913" s="249">
        <v>0</v>
      </c>
    </row>
    <row r="2915" spans="1:14" x14ac:dyDescent="0.25">
      <c r="C2915" t="s">
        <v>94</v>
      </c>
      <c r="D2915" s="67">
        <v>-2011785</v>
      </c>
      <c r="E2915">
        <v>0</v>
      </c>
      <c r="F2915">
        <v>0</v>
      </c>
      <c r="G2915">
        <v>2435.42</v>
      </c>
      <c r="H2915">
        <v>-2435.42</v>
      </c>
      <c r="I2915">
        <v>29.07</v>
      </c>
      <c r="J2915">
        <v>1608249</v>
      </c>
      <c r="K2915" s="249">
        <v>-403536</v>
      </c>
      <c r="L2915" s="249">
        <v>-421695.12</v>
      </c>
      <c r="M2915" s="249">
        <v>-441093.09551999997</v>
      </c>
      <c r="N2915" s="249">
        <v>-461383.37791391998</v>
      </c>
    </row>
    <row r="2917" spans="1:14" x14ac:dyDescent="0.25">
      <c r="C2917" t="s">
        <v>95</v>
      </c>
      <c r="D2917" s="67">
        <v>-2011785</v>
      </c>
      <c r="E2917">
        <v>0</v>
      </c>
      <c r="F2917">
        <v>0</v>
      </c>
      <c r="G2917">
        <v>2435.42</v>
      </c>
      <c r="H2917">
        <v>-2435.42</v>
      </c>
      <c r="I2917">
        <v>29.07</v>
      </c>
      <c r="J2917">
        <v>1608249</v>
      </c>
      <c r="K2917" s="249">
        <v>-403536</v>
      </c>
      <c r="L2917" s="249">
        <v>-421695.12</v>
      </c>
      <c r="M2917" s="249">
        <v>-441093.09551999997</v>
      </c>
      <c r="N2917" s="249">
        <v>-461383.37791391998</v>
      </c>
    </row>
    <row r="2919" spans="1:14" x14ac:dyDescent="0.25">
      <c r="C2919" t="s">
        <v>96</v>
      </c>
      <c r="J2919">
        <v>0</v>
      </c>
    </row>
    <row r="2920" spans="1:14" x14ac:dyDescent="0.25">
      <c r="C2920" t="s">
        <v>97</v>
      </c>
      <c r="J2920">
        <v>0</v>
      </c>
    </row>
    <row r="2921" spans="1:14" x14ac:dyDescent="0.25">
      <c r="C2921" t="s">
        <v>148</v>
      </c>
      <c r="J2921">
        <v>0</v>
      </c>
    </row>
    <row r="2922" spans="1:14" x14ac:dyDescent="0.25">
      <c r="C2922" t="s">
        <v>149</v>
      </c>
      <c r="J2922">
        <v>0</v>
      </c>
    </row>
    <row r="2924" spans="1:14" x14ac:dyDescent="0.25">
      <c r="A2924" t="s">
        <v>1278</v>
      </c>
      <c r="C2924" t="s">
        <v>150</v>
      </c>
      <c r="D2924" s="67">
        <v>4209658</v>
      </c>
      <c r="E2924">
        <v>0</v>
      </c>
      <c r="F2924">
        <v>0</v>
      </c>
      <c r="G2924">
        <v>1217.71</v>
      </c>
      <c r="H2924">
        <v>-1217.71</v>
      </c>
      <c r="I2924">
        <v>0</v>
      </c>
      <c r="J2924">
        <v>0</v>
      </c>
      <c r="K2924" s="249">
        <v>4209658</v>
      </c>
      <c r="L2924" s="249">
        <v>4472761.625</v>
      </c>
      <c r="M2924" s="249">
        <v>4785854.9387499997</v>
      </c>
      <c r="N2924" s="249">
        <v>5120864.7844624994</v>
      </c>
    </row>
    <row r="2925" spans="1:14" x14ac:dyDescent="0.25">
      <c r="A2925" t="s">
        <v>1279</v>
      </c>
      <c r="C2925" t="s">
        <v>151</v>
      </c>
      <c r="D2925" s="67">
        <v>194892</v>
      </c>
      <c r="E2925">
        <v>0</v>
      </c>
      <c r="F2925">
        <v>0</v>
      </c>
      <c r="G2925">
        <v>1217.71</v>
      </c>
      <c r="H2925">
        <v>-1217.71</v>
      </c>
      <c r="I2925">
        <v>0</v>
      </c>
      <c r="J2925">
        <v>-59418.559999999998</v>
      </c>
      <c r="K2925" s="249">
        <v>135473.44</v>
      </c>
      <c r="L2925" s="249">
        <v>143940.53</v>
      </c>
      <c r="M2925" s="249">
        <v>154016.3671</v>
      </c>
      <c r="N2925" s="249">
        <v>164797.512797</v>
      </c>
    </row>
    <row r="2926" spans="1:14" x14ac:dyDescent="0.25">
      <c r="A2926" t="s">
        <v>1280</v>
      </c>
      <c r="C2926" t="s">
        <v>152</v>
      </c>
      <c r="D2926" s="67">
        <v>28200</v>
      </c>
      <c r="E2926">
        <v>0</v>
      </c>
      <c r="F2926">
        <v>0</v>
      </c>
      <c r="G2926">
        <v>1217.71</v>
      </c>
      <c r="H2926">
        <v>-1217.71</v>
      </c>
      <c r="I2926">
        <v>0</v>
      </c>
      <c r="J2926">
        <v>0</v>
      </c>
      <c r="K2926" s="249">
        <v>28200</v>
      </c>
      <c r="L2926" s="249">
        <v>29962.5</v>
      </c>
      <c r="M2926" s="249">
        <v>32059.875</v>
      </c>
      <c r="N2926" s="249">
        <v>34304.066250000003</v>
      </c>
    </row>
    <row r="2927" spans="1:14" x14ac:dyDescent="0.25">
      <c r="A2927" t="s">
        <v>1281</v>
      </c>
      <c r="C2927" t="s">
        <v>153</v>
      </c>
      <c r="D2927" s="67">
        <v>0</v>
      </c>
      <c r="E2927">
        <v>0</v>
      </c>
      <c r="F2927">
        <v>0</v>
      </c>
      <c r="G2927">
        <v>1217.71</v>
      </c>
      <c r="H2927">
        <v>-1217.71</v>
      </c>
      <c r="I2927">
        <v>0</v>
      </c>
      <c r="J2927">
        <v>12000</v>
      </c>
      <c r="K2927" s="249">
        <v>12000</v>
      </c>
      <c r="L2927" s="249">
        <v>12750</v>
      </c>
      <c r="M2927" s="249">
        <v>13642.5</v>
      </c>
      <c r="N2927" s="249">
        <v>14597.475</v>
      </c>
    </row>
    <row r="2928" spans="1:14" x14ac:dyDescent="0.25">
      <c r="A2928" t="s">
        <v>1282</v>
      </c>
      <c r="C2928" t="s">
        <v>154</v>
      </c>
      <c r="D2928" s="67">
        <v>6420</v>
      </c>
      <c r="E2928">
        <v>0</v>
      </c>
      <c r="F2928">
        <v>0</v>
      </c>
      <c r="G2928">
        <v>1217.71</v>
      </c>
      <c r="H2928">
        <v>-1217.71</v>
      </c>
      <c r="I2928">
        <v>0</v>
      </c>
      <c r="J2928">
        <v>0</v>
      </c>
      <c r="K2928" s="249">
        <v>6420</v>
      </c>
      <c r="L2928" s="249">
        <v>6821.25</v>
      </c>
      <c r="M2928" s="249">
        <v>7298.7375000000002</v>
      </c>
      <c r="N2928" s="249">
        <v>7809.6491249999999</v>
      </c>
    </row>
    <row r="2929" spans="1:14" x14ac:dyDescent="0.25">
      <c r="A2929" t="s">
        <v>1283</v>
      </c>
      <c r="C2929" t="s">
        <v>155</v>
      </c>
      <c r="D2929" s="67">
        <v>138400</v>
      </c>
      <c r="E2929">
        <v>0</v>
      </c>
      <c r="F2929">
        <v>0</v>
      </c>
      <c r="G2929">
        <v>1217.71</v>
      </c>
      <c r="H2929">
        <v>-1217.71</v>
      </c>
      <c r="I2929">
        <v>0</v>
      </c>
      <c r="J2929">
        <v>0</v>
      </c>
      <c r="K2929" s="249">
        <v>138400</v>
      </c>
      <c r="L2929" s="249">
        <v>147050</v>
      </c>
      <c r="M2929" s="249">
        <v>157343.5</v>
      </c>
      <c r="N2929" s="249">
        <v>168357.54500000001</v>
      </c>
    </row>
    <row r="2930" spans="1:14" x14ac:dyDescent="0.25">
      <c r="A2930" t="s">
        <v>1284</v>
      </c>
      <c r="C2930" t="s">
        <v>156</v>
      </c>
      <c r="D2930" s="67">
        <v>185604</v>
      </c>
      <c r="E2930">
        <v>0</v>
      </c>
      <c r="F2930">
        <v>0</v>
      </c>
      <c r="G2930">
        <v>1217.71</v>
      </c>
      <c r="H2930">
        <v>-1217.71</v>
      </c>
      <c r="I2930">
        <v>0</v>
      </c>
      <c r="J2930">
        <v>0</v>
      </c>
      <c r="K2930" s="249">
        <v>185604</v>
      </c>
      <c r="L2930" s="249">
        <v>197204.25</v>
      </c>
      <c r="M2930" s="249">
        <v>211008.54749999999</v>
      </c>
      <c r="N2930" s="249">
        <v>225779.14582499999</v>
      </c>
    </row>
    <row r="2931" spans="1:14" x14ac:dyDescent="0.25">
      <c r="A2931" t="s">
        <v>1285</v>
      </c>
      <c r="C2931" t="s">
        <v>157</v>
      </c>
      <c r="D2931" s="67">
        <v>416905</v>
      </c>
      <c r="E2931">
        <v>0</v>
      </c>
      <c r="F2931">
        <v>0</v>
      </c>
      <c r="G2931">
        <v>1217.71</v>
      </c>
      <c r="H2931">
        <v>-1217.71</v>
      </c>
      <c r="I2931">
        <v>0</v>
      </c>
      <c r="J2931">
        <v>-40000</v>
      </c>
      <c r="K2931" s="249">
        <v>376905</v>
      </c>
      <c r="L2931" s="249">
        <v>400461.5625</v>
      </c>
      <c r="M2931" s="249">
        <v>428493.87187500001</v>
      </c>
      <c r="N2931" s="249">
        <v>458488.44290625001</v>
      </c>
    </row>
    <row r="2932" spans="1:14" x14ac:dyDescent="0.25">
      <c r="A2932" t="s">
        <v>1286</v>
      </c>
      <c r="C2932" t="s">
        <v>159</v>
      </c>
      <c r="D2932" s="67">
        <v>350805</v>
      </c>
      <c r="E2932">
        <v>0</v>
      </c>
      <c r="F2932">
        <v>0</v>
      </c>
      <c r="G2932">
        <v>1217.71</v>
      </c>
      <c r="H2932">
        <v>-1217.71</v>
      </c>
      <c r="I2932">
        <v>0</v>
      </c>
      <c r="J2932">
        <v>0</v>
      </c>
      <c r="K2932" s="249">
        <v>350805</v>
      </c>
      <c r="L2932" s="249">
        <v>372730.3125</v>
      </c>
      <c r="M2932" s="249">
        <v>398821.43437500001</v>
      </c>
      <c r="N2932" s="249">
        <v>426738.93478125002</v>
      </c>
    </row>
    <row r="2933" spans="1:14" x14ac:dyDescent="0.25">
      <c r="A2933" t="s">
        <v>1287</v>
      </c>
      <c r="C2933" t="s">
        <v>161</v>
      </c>
      <c r="D2933" s="67">
        <v>37996</v>
      </c>
      <c r="E2933">
        <v>0</v>
      </c>
      <c r="F2933">
        <v>0</v>
      </c>
      <c r="G2933">
        <v>1217.71</v>
      </c>
      <c r="H2933">
        <v>-1217.71</v>
      </c>
      <c r="I2933">
        <v>0</v>
      </c>
      <c r="J2933">
        <v>0</v>
      </c>
      <c r="K2933" s="249">
        <v>37996</v>
      </c>
      <c r="L2933" s="249">
        <v>40370.75</v>
      </c>
      <c r="M2933" s="249">
        <v>43196.702499999999</v>
      </c>
      <c r="N2933" s="249">
        <v>46220.471675000001</v>
      </c>
    </row>
    <row r="2934" spans="1:14" x14ac:dyDescent="0.25">
      <c r="A2934" t="s">
        <v>1288</v>
      </c>
      <c r="C2934" t="s">
        <v>162</v>
      </c>
      <c r="D2934" s="67">
        <v>50197</v>
      </c>
      <c r="E2934">
        <v>0</v>
      </c>
      <c r="F2934">
        <v>0</v>
      </c>
      <c r="G2934">
        <v>1217.71</v>
      </c>
      <c r="H2934">
        <v>-1217.71</v>
      </c>
      <c r="I2934">
        <v>0</v>
      </c>
      <c r="J2934">
        <v>40000</v>
      </c>
      <c r="K2934" s="249">
        <v>90197</v>
      </c>
      <c r="L2934" s="249">
        <v>95834.3125</v>
      </c>
      <c r="M2934" s="249">
        <v>102542.714375</v>
      </c>
      <c r="N2934" s="249">
        <v>109720.70438124999</v>
      </c>
    </row>
    <row r="2936" spans="1:14" x14ac:dyDescent="0.25">
      <c r="C2936" t="s">
        <v>165</v>
      </c>
      <c r="D2936" s="67">
        <v>5619077</v>
      </c>
      <c r="E2936">
        <v>0</v>
      </c>
      <c r="F2936">
        <v>0</v>
      </c>
      <c r="G2936">
        <v>13394.809999999998</v>
      </c>
      <c r="H2936">
        <v>-13394.809999999998</v>
      </c>
      <c r="I2936">
        <v>45.26</v>
      </c>
      <c r="J2936">
        <v>-47418.55999999959</v>
      </c>
      <c r="K2936" s="249">
        <v>5571658.4400000004</v>
      </c>
      <c r="L2936" s="249">
        <v>5919887.0925000003</v>
      </c>
      <c r="M2936" s="249">
        <v>6334279.1889750008</v>
      </c>
      <c r="N2936" s="249">
        <v>6777678.7322032489</v>
      </c>
    </row>
    <row r="2938" spans="1:14" x14ac:dyDescent="0.25">
      <c r="C2938" t="s">
        <v>166</v>
      </c>
      <c r="J2938">
        <v>0</v>
      </c>
    </row>
    <row r="2940" spans="1:14" x14ac:dyDescent="0.25">
      <c r="A2940" t="s">
        <v>1289</v>
      </c>
      <c r="C2940" t="s">
        <v>167</v>
      </c>
      <c r="D2940" s="67">
        <v>1910</v>
      </c>
      <c r="E2940">
        <v>0</v>
      </c>
      <c r="F2940">
        <v>0</v>
      </c>
      <c r="G2940">
        <v>1217.71</v>
      </c>
      <c r="H2940">
        <v>-1217.71</v>
      </c>
      <c r="I2940">
        <v>0</v>
      </c>
      <c r="J2940">
        <v>0</v>
      </c>
      <c r="K2940" s="249">
        <v>1910</v>
      </c>
      <c r="L2940" s="249">
        <v>2029.375</v>
      </c>
      <c r="M2940" s="249">
        <v>2171.4312500000001</v>
      </c>
      <c r="N2940" s="249">
        <v>2323.4314374999999</v>
      </c>
    </row>
    <row r="2941" spans="1:14" x14ac:dyDescent="0.25">
      <c r="A2941" t="s">
        <v>1290</v>
      </c>
      <c r="C2941" t="s">
        <v>168</v>
      </c>
      <c r="D2941" s="67">
        <v>134382</v>
      </c>
      <c r="E2941">
        <v>0</v>
      </c>
      <c r="F2941">
        <v>0</v>
      </c>
      <c r="G2941">
        <v>1217.71</v>
      </c>
      <c r="H2941">
        <v>-1217.71</v>
      </c>
      <c r="I2941">
        <v>0</v>
      </c>
      <c r="J2941">
        <v>102160.79999999999</v>
      </c>
      <c r="K2941" s="249">
        <v>236542.8</v>
      </c>
      <c r="L2941" s="249">
        <v>251326.72499999998</v>
      </c>
      <c r="M2941" s="249">
        <v>268919.59574999998</v>
      </c>
      <c r="N2941" s="249">
        <v>287743.96745249996</v>
      </c>
    </row>
    <row r="2942" spans="1:14" x14ac:dyDescent="0.25">
      <c r="A2942" t="s">
        <v>1291</v>
      </c>
      <c r="C2942" t="s">
        <v>169</v>
      </c>
      <c r="D2942" s="67">
        <v>926125</v>
      </c>
      <c r="E2942">
        <v>0</v>
      </c>
      <c r="F2942">
        <v>0</v>
      </c>
      <c r="G2942">
        <v>1217.71</v>
      </c>
      <c r="H2942">
        <v>-1217.71</v>
      </c>
      <c r="I2942">
        <v>0</v>
      </c>
      <c r="J2942">
        <v>0</v>
      </c>
      <c r="K2942" s="249">
        <v>926125</v>
      </c>
      <c r="L2942" s="249">
        <v>984007.8125</v>
      </c>
      <c r="M2942" s="249">
        <v>1052888.359375</v>
      </c>
      <c r="N2942" s="249">
        <v>1126590.5445312499</v>
      </c>
    </row>
    <row r="2943" spans="1:14" x14ac:dyDescent="0.25">
      <c r="A2943" t="s">
        <v>1292</v>
      </c>
      <c r="C2943" t="s">
        <v>170</v>
      </c>
      <c r="D2943" s="67">
        <v>30345</v>
      </c>
      <c r="E2943">
        <v>0</v>
      </c>
      <c r="F2943">
        <v>0</v>
      </c>
      <c r="G2943">
        <v>1217.71</v>
      </c>
      <c r="H2943">
        <v>-1217.71</v>
      </c>
      <c r="I2943">
        <v>0</v>
      </c>
      <c r="J2943">
        <v>0</v>
      </c>
      <c r="K2943" s="249">
        <v>30345</v>
      </c>
      <c r="L2943" s="249">
        <v>32241.5625</v>
      </c>
      <c r="M2943" s="249">
        <v>34498.471875000003</v>
      </c>
      <c r="N2943" s="249">
        <v>36913.364906250004</v>
      </c>
    </row>
    <row r="2945" spans="1:14" x14ac:dyDescent="0.25">
      <c r="C2945" t="s">
        <v>171</v>
      </c>
      <c r="D2945" s="67">
        <v>1092762</v>
      </c>
      <c r="E2945">
        <v>82145.38</v>
      </c>
      <c r="F2945">
        <v>0</v>
      </c>
      <c r="G2945">
        <v>542269.32999999996</v>
      </c>
      <c r="H2945">
        <v>550492.67000000004</v>
      </c>
      <c r="I2945">
        <v>49.62</v>
      </c>
      <c r="J2945">
        <v>102160.80000000005</v>
      </c>
      <c r="K2945" s="249">
        <v>1194922.8</v>
      </c>
      <c r="L2945" s="249">
        <v>1269605.4750000001</v>
      </c>
      <c r="M2945" s="249">
        <v>1358477.85825</v>
      </c>
      <c r="N2945" s="249">
        <v>1453571.3083274998</v>
      </c>
    </row>
    <row r="2947" spans="1:14" x14ac:dyDescent="0.25">
      <c r="C2947" t="s">
        <v>172</v>
      </c>
      <c r="J2947">
        <v>276424</v>
      </c>
      <c r="K2947" s="249">
        <v>0</v>
      </c>
    </row>
    <row r="2949" spans="1:14" x14ac:dyDescent="0.25">
      <c r="A2949" t="s">
        <v>1293</v>
      </c>
      <c r="C2949" t="s">
        <v>173</v>
      </c>
      <c r="D2949" s="67">
        <v>82612</v>
      </c>
      <c r="E2949">
        <v>0</v>
      </c>
      <c r="F2949">
        <v>0</v>
      </c>
      <c r="G2949">
        <v>1217.71</v>
      </c>
      <c r="H2949">
        <v>-1217.71</v>
      </c>
      <c r="I2949">
        <v>0</v>
      </c>
      <c r="J2949">
        <v>0</v>
      </c>
      <c r="K2949" s="249">
        <v>82612</v>
      </c>
      <c r="L2949" s="249">
        <v>87775.25</v>
      </c>
      <c r="M2949" s="249">
        <v>93919.517500000002</v>
      </c>
      <c r="N2949" s="249">
        <v>100493.88372500001</v>
      </c>
    </row>
    <row r="2950" spans="1:14" x14ac:dyDescent="0.25">
      <c r="A2950" t="s">
        <v>1294</v>
      </c>
      <c r="C2950" t="s">
        <v>174</v>
      </c>
      <c r="D2950" s="67">
        <v>107209</v>
      </c>
      <c r="E2950">
        <v>0</v>
      </c>
      <c r="F2950">
        <v>0</v>
      </c>
      <c r="G2950">
        <v>1217.71</v>
      </c>
      <c r="H2950">
        <v>-1217.71</v>
      </c>
      <c r="I2950">
        <v>0</v>
      </c>
      <c r="J2950">
        <v>0</v>
      </c>
      <c r="K2950" s="249">
        <v>107209</v>
      </c>
      <c r="L2950" s="249">
        <v>113909.5625</v>
      </c>
      <c r="M2950" s="249">
        <v>121883.231875</v>
      </c>
      <c r="N2950" s="249">
        <v>130415.05810625</v>
      </c>
    </row>
    <row r="2951" spans="1:14" x14ac:dyDescent="0.25">
      <c r="A2951" t="s">
        <v>1295</v>
      </c>
      <c r="C2951" t="s">
        <v>175</v>
      </c>
      <c r="D2951" s="67">
        <v>53913</v>
      </c>
      <c r="E2951">
        <v>0</v>
      </c>
      <c r="F2951">
        <v>0</v>
      </c>
      <c r="G2951">
        <v>1217.71</v>
      </c>
      <c r="H2951">
        <v>-1217.71</v>
      </c>
      <c r="I2951">
        <v>0</v>
      </c>
      <c r="J2951">
        <v>0</v>
      </c>
      <c r="K2951" s="249">
        <v>53913</v>
      </c>
      <c r="L2951" s="249">
        <v>57282.5625</v>
      </c>
      <c r="M2951" s="249">
        <v>61292.341874999998</v>
      </c>
      <c r="N2951" s="249">
        <v>65582.805806249991</v>
      </c>
    </row>
    <row r="2953" spans="1:14" x14ac:dyDescent="0.25">
      <c r="C2953" t="s">
        <v>176</v>
      </c>
      <c r="D2953" s="67">
        <v>243734</v>
      </c>
      <c r="E2953">
        <v>0</v>
      </c>
      <c r="F2953">
        <v>0</v>
      </c>
      <c r="G2953">
        <v>0</v>
      </c>
      <c r="H2953">
        <v>243734</v>
      </c>
      <c r="I2953">
        <v>0</v>
      </c>
      <c r="J2953">
        <v>0</v>
      </c>
      <c r="K2953" s="249">
        <v>243734</v>
      </c>
      <c r="L2953" s="249">
        <v>258967.375</v>
      </c>
      <c r="M2953" s="249">
        <v>277095.09125</v>
      </c>
      <c r="N2953" s="249">
        <v>296491.7476375</v>
      </c>
    </row>
    <row r="2955" spans="1:14" x14ac:dyDescent="0.25">
      <c r="C2955" t="s">
        <v>177</v>
      </c>
      <c r="D2955" s="67">
        <v>6955573</v>
      </c>
      <c r="E2955">
        <v>556448.72</v>
      </c>
      <c r="F2955">
        <v>0</v>
      </c>
      <c r="G2955">
        <v>3085696.95</v>
      </c>
      <c r="H2955">
        <v>3869876.05</v>
      </c>
      <c r="I2955">
        <v>44.36</v>
      </c>
      <c r="J2955">
        <v>54742.240000000224</v>
      </c>
      <c r="K2955" s="249">
        <v>7010315.2400000002</v>
      </c>
      <c r="L2955" s="249">
        <v>7448459.9425000008</v>
      </c>
      <c r="M2955" s="249">
        <v>7969852.1384749999</v>
      </c>
      <c r="N2955" s="249">
        <v>8527741.7881682478</v>
      </c>
    </row>
    <row r="2957" spans="1:14" x14ac:dyDescent="0.25">
      <c r="C2957" t="s">
        <v>178</v>
      </c>
      <c r="D2957" s="67">
        <v>6955573</v>
      </c>
      <c r="E2957">
        <v>556448.72</v>
      </c>
      <c r="F2957">
        <v>0</v>
      </c>
      <c r="G2957">
        <v>3085696.95</v>
      </c>
      <c r="H2957">
        <v>3869876.05</v>
      </c>
      <c r="I2957">
        <v>44.36</v>
      </c>
      <c r="J2957">
        <v>54742.240000000224</v>
      </c>
      <c r="K2957" s="249">
        <v>7010315.2400000002</v>
      </c>
      <c r="L2957" s="249">
        <v>7448459.9425000008</v>
      </c>
      <c r="M2957" s="249">
        <v>7969852.1384749999</v>
      </c>
      <c r="N2957" s="249">
        <v>8527741.7881682478</v>
      </c>
    </row>
    <row r="2959" spans="1:14" x14ac:dyDescent="0.25">
      <c r="C2959" t="s">
        <v>241</v>
      </c>
    </row>
    <row r="2961" spans="1:14" x14ac:dyDescent="0.25">
      <c r="A2961" t="s">
        <v>1296</v>
      </c>
      <c r="C2961" t="s">
        <v>265</v>
      </c>
      <c r="D2961" s="67">
        <v>56387</v>
      </c>
      <c r="E2961">
        <v>0</v>
      </c>
      <c r="F2961">
        <v>0</v>
      </c>
      <c r="G2961">
        <v>1217.71</v>
      </c>
      <c r="H2961">
        <v>-1217.71</v>
      </c>
      <c r="I2961">
        <v>0</v>
      </c>
      <c r="J2961">
        <v>0</v>
      </c>
      <c r="K2961" s="249">
        <v>56387</v>
      </c>
      <c r="L2961" s="249">
        <v>58924.415000000001</v>
      </c>
      <c r="M2961" s="249">
        <v>61634.938090000003</v>
      </c>
      <c r="N2961" s="249">
        <v>64470.145242140003</v>
      </c>
    </row>
    <row r="2962" spans="1:14" x14ac:dyDescent="0.25">
      <c r="A2962" t="s">
        <v>1297</v>
      </c>
      <c r="C2962" t="s">
        <v>268</v>
      </c>
      <c r="D2962" s="67">
        <v>13448</v>
      </c>
      <c r="E2962">
        <v>0</v>
      </c>
      <c r="F2962">
        <v>0</v>
      </c>
      <c r="G2962">
        <v>1217.71</v>
      </c>
      <c r="H2962">
        <v>-1217.71</v>
      </c>
      <c r="I2962">
        <v>0</v>
      </c>
      <c r="J2962">
        <v>36267</v>
      </c>
      <c r="K2962" s="249">
        <v>49715</v>
      </c>
      <c r="L2962" s="249">
        <v>51952.175000000003</v>
      </c>
      <c r="M2962" s="249">
        <v>54341.975050000001</v>
      </c>
      <c r="N2962" s="249">
        <v>56841.705902300004</v>
      </c>
    </row>
    <row r="2964" spans="1:14" x14ac:dyDescent="0.25">
      <c r="C2964" t="s">
        <v>274</v>
      </c>
      <c r="D2964" s="67">
        <v>69835</v>
      </c>
      <c r="E2964">
        <v>5576.96</v>
      </c>
      <c r="F2964">
        <v>0</v>
      </c>
      <c r="G2964">
        <v>49833.36</v>
      </c>
      <c r="H2964">
        <v>20001.64</v>
      </c>
      <c r="I2964">
        <v>71.349999999999994</v>
      </c>
      <c r="J2964">
        <v>36267</v>
      </c>
      <c r="K2964" s="249">
        <v>106102</v>
      </c>
      <c r="L2964" s="249">
        <v>110876.59</v>
      </c>
      <c r="M2964" s="249">
        <v>115976.91314</v>
      </c>
      <c r="N2964" s="249">
        <v>121311.85114444001</v>
      </c>
    </row>
    <row r="2966" spans="1:14" x14ac:dyDescent="0.25">
      <c r="C2966" t="s">
        <v>288</v>
      </c>
      <c r="J2966">
        <v>276424</v>
      </c>
      <c r="K2966" s="249">
        <v>0</v>
      </c>
    </row>
    <row r="2968" spans="1:14" x14ac:dyDescent="0.25">
      <c r="A2968" t="s">
        <v>1298</v>
      </c>
      <c r="C2968" t="s">
        <v>288</v>
      </c>
      <c r="D2968" s="67">
        <v>0</v>
      </c>
      <c r="E2968">
        <v>0</v>
      </c>
      <c r="F2968">
        <v>0</v>
      </c>
      <c r="G2968">
        <v>1217.71</v>
      </c>
      <c r="H2968">
        <v>-1217.71</v>
      </c>
      <c r="I2968">
        <v>0</v>
      </c>
      <c r="J2968">
        <v>0</v>
      </c>
      <c r="K2968" s="249">
        <v>0</v>
      </c>
      <c r="L2968" s="249">
        <v>0</v>
      </c>
      <c r="M2968" s="249">
        <v>0</v>
      </c>
    </row>
    <row r="2970" spans="1:14" x14ac:dyDescent="0.25">
      <c r="C2970" t="s">
        <v>289</v>
      </c>
      <c r="D2970" s="67">
        <v>0</v>
      </c>
      <c r="E2970">
        <v>0</v>
      </c>
      <c r="F2970">
        <v>0</v>
      </c>
      <c r="G2970">
        <v>185362.16</v>
      </c>
      <c r="H2970">
        <v>-185362.16</v>
      </c>
      <c r="I2970">
        <v>0</v>
      </c>
      <c r="J2970">
        <v>0</v>
      </c>
      <c r="K2970" s="249">
        <v>0</v>
      </c>
      <c r="L2970" s="249">
        <v>0</v>
      </c>
      <c r="M2970" s="249">
        <v>0</v>
      </c>
    </row>
    <row r="2972" spans="1:14" x14ac:dyDescent="0.25">
      <c r="C2972" t="s">
        <v>290</v>
      </c>
      <c r="J2972">
        <v>276424</v>
      </c>
      <c r="K2972" s="249">
        <v>0</v>
      </c>
    </row>
    <row r="2974" spans="1:14" x14ac:dyDescent="0.25">
      <c r="A2974" t="s">
        <v>1299</v>
      </c>
      <c r="C2974" t="s">
        <v>292</v>
      </c>
      <c r="D2974" s="67">
        <v>3371</v>
      </c>
      <c r="E2974">
        <v>0</v>
      </c>
      <c r="F2974">
        <v>0</v>
      </c>
      <c r="G2974">
        <v>1217.71</v>
      </c>
      <c r="H2974">
        <v>-1217.71</v>
      </c>
      <c r="I2974">
        <v>0</v>
      </c>
      <c r="J2974">
        <v>0</v>
      </c>
      <c r="K2974" s="249">
        <v>3371</v>
      </c>
      <c r="L2974" s="249">
        <v>3522.6950000000002</v>
      </c>
      <c r="M2974" s="249">
        <v>3684.7389700000003</v>
      </c>
      <c r="N2974" s="249">
        <v>3854.2369626200002</v>
      </c>
    </row>
    <row r="2975" spans="1:14" x14ac:dyDescent="0.25">
      <c r="A2975" t="s">
        <v>1300</v>
      </c>
      <c r="C2975" t="s">
        <v>293</v>
      </c>
      <c r="D2975" s="67">
        <v>7219</v>
      </c>
      <c r="E2975">
        <v>0</v>
      </c>
      <c r="F2975">
        <v>0</v>
      </c>
      <c r="G2975">
        <v>1217.71</v>
      </c>
      <c r="H2975">
        <v>-1217.71</v>
      </c>
      <c r="I2975">
        <v>0</v>
      </c>
      <c r="J2975">
        <v>0</v>
      </c>
      <c r="K2975" s="249">
        <v>7219</v>
      </c>
      <c r="L2975" s="249">
        <v>7543.8549999999996</v>
      </c>
      <c r="M2975" s="249">
        <v>7890.8723299999992</v>
      </c>
      <c r="N2975" s="249">
        <v>8253.852457179999</v>
      </c>
    </row>
    <row r="2976" spans="1:14" x14ac:dyDescent="0.25">
      <c r="A2976" t="s">
        <v>1301</v>
      </c>
      <c r="C2976" t="s">
        <v>297</v>
      </c>
      <c r="D2976" s="67">
        <v>3371</v>
      </c>
      <c r="E2976">
        <v>0</v>
      </c>
      <c r="F2976">
        <v>0</v>
      </c>
      <c r="G2976">
        <v>1217.71</v>
      </c>
      <c r="H2976">
        <v>-1217.71</v>
      </c>
      <c r="I2976">
        <v>0</v>
      </c>
      <c r="J2976">
        <v>0</v>
      </c>
      <c r="K2976" s="249">
        <v>3371</v>
      </c>
      <c r="L2976" s="249">
        <v>3522.6950000000002</v>
      </c>
      <c r="M2976" s="249">
        <v>3684.7389700000003</v>
      </c>
      <c r="N2976" s="249">
        <v>3854.2369626200002</v>
      </c>
    </row>
    <row r="2978" spans="1:14" x14ac:dyDescent="0.25">
      <c r="C2978" t="s">
        <v>304</v>
      </c>
      <c r="D2978" s="67">
        <v>13961</v>
      </c>
      <c r="E2978">
        <v>5165.96</v>
      </c>
      <c r="F2978">
        <v>0</v>
      </c>
      <c r="G2978">
        <v>15568.32</v>
      </c>
      <c r="H2978">
        <v>-1607.32</v>
      </c>
      <c r="I2978">
        <v>111.51</v>
      </c>
      <c r="J2978">
        <v>0</v>
      </c>
      <c r="K2978" s="249">
        <v>13961</v>
      </c>
      <c r="L2978" s="249">
        <v>14589.244999999999</v>
      </c>
      <c r="M2978" s="249">
        <v>15260.350270000001</v>
      </c>
      <c r="N2978" s="249">
        <v>15962.326382419998</v>
      </c>
    </row>
    <row r="2980" spans="1:14" x14ac:dyDescent="0.25">
      <c r="C2980" t="s">
        <v>305</v>
      </c>
      <c r="D2980" s="67">
        <v>7039369</v>
      </c>
      <c r="E2980">
        <v>567191.64</v>
      </c>
      <c r="F2980">
        <v>0</v>
      </c>
      <c r="G2980">
        <v>3336460.79</v>
      </c>
      <c r="H2980">
        <v>3702908.21</v>
      </c>
      <c r="I2980">
        <v>47.39</v>
      </c>
      <c r="J2980">
        <v>91009.240000000224</v>
      </c>
      <c r="K2980" s="249">
        <v>7130378.2400000002</v>
      </c>
      <c r="L2980" s="249">
        <v>7573925.7775000008</v>
      </c>
      <c r="M2980" s="249">
        <v>8101089.4018850001</v>
      </c>
      <c r="N2980" s="249">
        <v>8665015.9656951074</v>
      </c>
    </row>
    <row r="2982" spans="1:14" x14ac:dyDescent="0.25">
      <c r="C2982" t="s">
        <v>306</v>
      </c>
      <c r="D2982" s="67">
        <v>5027584</v>
      </c>
      <c r="E2982">
        <v>487981.81</v>
      </c>
      <c r="F2982">
        <v>0</v>
      </c>
      <c r="G2982">
        <v>2751463.85</v>
      </c>
      <c r="H2982">
        <v>2276120.15</v>
      </c>
      <c r="I2982">
        <v>54.72</v>
      </c>
      <c r="J2982">
        <v>1699258.2400000002</v>
      </c>
      <c r="K2982" s="249">
        <v>6726842.2400000002</v>
      </c>
      <c r="L2982" s="249">
        <v>7152230.6575000007</v>
      </c>
      <c r="M2982" s="249">
        <v>7659996.3063650001</v>
      </c>
      <c r="N2982" s="249">
        <v>8203632.5877811871</v>
      </c>
    </row>
    <row r="2984" spans="1:14" x14ac:dyDescent="0.25">
      <c r="C2984" t="s">
        <v>1302</v>
      </c>
      <c r="J2984">
        <v>0</v>
      </c>
    </row>
    <row r="2985" spans="1:14" x14ac:dyDescent="0.25">
      <c r="C2985" t="s">
        <v>9</v>
      </c>
      <c r="J2985">
        <v>0</v>
      </c>
    </row>
    <row r="2986" spans="1:14" x14ac:dyDescent="0.25">
      <c r="C2986" t="s">
        <v>41</v>
      </c>
      <c r="J2986">
        <v>0</v>
      </c>
    </row>
    <row r="2987" spans="1:14" x14ac:dyDescent="0.25">
      <c r="C2987" t="s">
        <v>42</v>
      </c>
      <c r="J2987">
        <v>0</v>
      </c>
    </row>
    <row r="2989" spans="1:14" x14ac:dyDescent="0.25">
      <c r="A2989" t="s">
        <v>1303</v>
      </c>
      <c r="C2989" t="s">
        <v>52</v>
      </c>
      <c r="D2989" s="67">
        <v>0</v>
      </c>
      <c r="E2989">
        <v>0</v>
      </c>
      <c r="F2989">
        <v>0</v>
      </c>
      <c r="G2989">
        <v>1217.71</v>
      </c>
      <c r="H2989">
        <v>-1217.71</v>
      </c>
      <c r="I2989">
        <v>0</v>
      </c>
      <c r="J2989">
        <v>0</v>
      </c>
      <c r="K2989" s="249">
        <v>0</v>
      </c>
      <c r="L2989" s="249">
        <v>0</v>
      </c>
      <c r="M2989" s="249">
        <v>0</v>
      </c>
    </row>
    <row r="2991" spans="1:14" x14ac:dyDescent="0.25">
      <c r="C2991" t="s">
        <v>55</v>
      </c>
      <c r="D2991" s="67">
        <v>0</v>
      </c>
      <c r="E2991">
        <v>-64386</v>
      </c>
      <c r="F2991">
        <v>0</v>
      </c>
      <c r="G2991">
        <v>-386530.28</v>
      </c>
      <c r="H2991">
        <v>386530.28</v>
      </c>
      <c r="I2991">
        <v>0</v>
      </c>
      <c r="J2991">
        <v>0</v>
      </c>
      <c r="K2991" s="249">
        <v>0</v>
      </c>
      <c r="L2991" s="249">
        <v>0</v>
      </c>
      <c r="M2991" s="249">
        <v>0</v>
      </c>
    </row>
    <row r="2993" spans="1:14" x14ac:dyDescent="0.25">
      <c r="C2993" t="s">
        <v>56</v>
      </c>
      <c r="J2993">
        <v>0</v>
      </c>
    </row>
    <row r="2995" spans="1:14" x14ac:dyDescent="0.25">
      <c r="A2995" t="s">
        <v>1304</v>
      </c>
      <c r="C2995" t="s">
        <v>60</v>
      </c>
      <c r="D2995" s="67">
        <v>-88683</v>
      </c>
      <c r="E2995">
        <v>0</v>
      </c>
      <c r="F2995">
        <v>0</v>
      </c>
      <c r="G2995">
        <v>1217.71</v>
      </c>
      <c r="H2995">
        <v>-1217.71</v>
      </c>
      <c r="I2995">
        <v>0</v>
      </c>
      <c r="J2995">
        <v>88683</v>
      </c>
      <c r="K2995" s="249">
        <v>0</v>
      </c>
      <c r="L2995" s="249">
        <v>0</v>
      </c>
      <c r="M2995" s="249">
        <v>0</v>
      </c>
    </row>
    <row r="2997" spans="1:14" x14ac:dyDescent="0.25">
      <c r="C2997" t="s">
        <v>64</v>
      </c>
      <c r="D2997" s="67">
        <v>-88683</v>
      </c>
      <c r="E2997">
        <v>-11320.92</v>
      </c>
      <c r="F2997">
        <v>0</v>
      </c>
      <c r="G2997">
        <v>-61871.98</v>
      </c>
      <c r="H2997">
        <v>-26811.02</v>
      </c>
      <c r="I2997">
        <v>69.760000000000005</v>
      </c>
      <c r="J2997">
        <v>88683</v>
      </c>
      <c r="K2997" s="249">
        <v>0</v>
      </c>
      <c r="L2997" s="249">
        <v>0</v>
      </c>
      <c r="M2997" s="249">
        <v>0</v>
      </c>
    </row>
    <row r="2999" spans="1:14" x14ac:dyDescent="0.25">
      <c r="C2999" t="s">
        <v>67</v>
      </c>
      <c r="J2999">
        <v>0</v>
      </c>
    </row>
    <row r="3001" spans="1:14" x14ac:dyDescent="0.25">
      <c r="A3001" t="s">
        <v>1305</v>
      </c>
      <c r="C3001" t="s">
        <v>68</v>
      </c>
      <c r="D3001" s="67">
        <v>-781881</v>
      </c>
      <c r="E3001">
        <v>-781881</v>
      </c>
      <c r="F3001">
        <v>-781881</v>
      </c>
      <c r="G3001">
        <v>-781881</v>
      </c>
      <c r="H3001">
        <v>-781881</v>
      </c>
      <c r="I3001">
        <v>-781881</v>
      </c>
      <c r="J3001">
        <v>-781881</v>
      </c>
      <c r="K3001" s="249">
        <v>-261169</v>
      </c>
      <c r="L3001" s="249">
        <v>-272921.60499999998</v>
      </c>
      <c r="M3001" s="249">
        <v>-285475.99883</v>
      </c>
      <c r="N3001" s="249">
        <v>-298607.89477617998</v>
      </c>
    </row>
    <row r="3003" spans="1:14" x14ac:dyDescent="0.25">
      <c r="C3003" t="s">
        <v>69</v>
      </c>
      <c r="D3003" s="67">
        <v>-781881</v>
      </c>
      <c r="E3003">
        <v>0</v>
      </c>
      <c r="F3003">
        <v>0</v>
      </c>
      <c r="G3003">
        <v>0</v>
      </c>
      <c r="H3003">
        <v>-781880</v>
      </c>
      <c r="I3003">
        <v>0</v>
      </c>
      <c r="J3003">
        <v>520712</v>
      </c>
      <c r="K3003" s="249">
        <v>-261169</v>
      </c>
      <c r="L3003" s="249">
        <v>-272921.60499999998</v>
      </c>
      <c r="M3003" s="249">
        <v>-285475.99883</v>
      </c>
      <c r="N3003" s="249">
        <v>-298607.89477617998</v>
      </c>
    </row>
    <row r="3005" spans="1:14" x14ac:dyDescent="0.25">
      <c r="C3005" t="s">
        <v>94</v>
      </c>
      <c r="D3005" s="67">
        <v>-870564</v>
      </c>
      <c r="E3005">
        <v>-75706.92</v>
      </c>
      <c r="F3005">
        <v>0</v>
      </c>
      <c r="G3005">
        <v>-448402.26</v>
      </c>
      <c r="H3005">
        <v>-422160.74</v>
      </c>
      <c r="I3005">
        <v>51.5</v>
      </c>
      <c r="J3005">
        <v>609395</v>
      </c>
      <c r="K3005" s="249">
        <v>-261169</v>
      </c>
      <c r="L3005" s="249">
        <v>-272921.60499999998</v>
      </c>
      <c r="M3005" s="249">
        <v>-285475.99883</v>
      </c>
      <c r="N3005" s="249">
        <v>-298607.89477617998</v>
      </c>
    </row>
    <row r="3007" spans="1:14" x14ac:dyDescent="0.25">
      <c r="C3007" t="s">
        <v>95</v>
      </c>
      <c r="D3007" s="67">
        <v>-870564</v>
      </c>
      <c r="E3007">
        <v>-75706.92</v>
      </c>
      <c r="F3007">
        <v>0</v>
      </c>
      <c r="G3007">
        <v>-448402.26</v>
      </c>
      <c r="H3007">
        <v>-422160.74</v>
      </c>
      <c r="I3007">
        <v>51.5</v>
      </c>
      <c r="J3007">
        <v>609395</v>
      </c>
      <c r="K3007" s="249">
        <v>-261169</v>
      </c>
      <c r="L3007" s="249">
        <v>-272921.60499999998</v>
      </c>
      <c r="M3007" s="249">
        <v>-285475.99883</v>
      </c>
      <c r="N3007" s="249">
        <v>-298607.89477617998</v>
      </c>
    </row>
    <row r="3009" spans="1:14" x14ac:dyDescent="0.25">
      <c r="C3009" t="s">
        <v>96</v>
      </c>
      <c r="J3009">
        <v>0</v>
      </c>
    </row>
    <row r="3010" spans="1:14" x14ac:dyDescent="0.25">
      <c r="C3010" t="s">
        <v>97</v>
      </c>
      <c r="J3010">
        <v>0</v>
      </c>
    </row>
    <row r="3011" spans="1:14" x14ac:dyDescent="0.25">
      <c r="C3011" t="s">
        <v>148</v>
      </c>
      <c r="J3011">
        <v>0</v>
      </c>
    </row>
    <row r="3012" spans="1:14" x14ac:dyDescent="0.25">
      <c r="C3012" t="s">
        <v>149</v>
      </c>
      <c r="J3012">
        <v>0</v>
      </c>
    </row>
    <row r="3014" spans="1:14" x14ac:dyDescent="0.25">
      <c r="A3014" t="s">
        <v>1306</v>
      </c>
      <c r="C3014" t="s">
        <v>150</v>
      </c>
      <c r="D3014" s="67">
        <v>1598343</v>
      </c>
      <c r="E3014">
        <v>0</v>
      </c>
      <c r="F3014">
        <v>0</v>
      </c>
      <c r="G3014">
        <v>1217.71</v>
      </c>
      <c r="H3014">
        <v>-1217.71</v>
      </c>
      <c r="I3014">
        <v>0</v>
      </c>
      <c r="J3014">
        <v>0</v>
      </c>
      <c r="K3014" s="249">
        <v>1598343</v>
      </c>
      <c r="L3014" s="249">
        <v>1698239.4375</v>
      </c>
      <c r="M3014" s="249">
        <v>1817116.1981250001</v>
      </c>
      <c r="N3014" s="249">
        <v>1944314.3319937501</v>
      </c>
    </row>
    <row r="3015" spans="1:14" x14ac:dyDescent="0.25">
      <c r="A3015" t="s">
        <v>1307</v>
      </c>
      <c r="C3015" t="s">
        <v>151</v>
      </c>
      <c r="D3015" s="67">
        <v>72197</v>
      </c>
      <c r="E3015">
        <v>0</v>
      </c>
      <c r="F3015">
        <v>0</v>
      </c>
      <c r="G3015">
        <v>1217.71</v>
      </c>
      <c r="H3015">
        <v>-1217.71</v>
      </c>
      <c r="I3015">
        <v>0</v>
      </c>
      <c r="J3015">
        <v>-21394.460000000006</v>
      </c>
      <c r="K3015" s="249">
        <v>50802.539999999994</v>
      </c>
      <c r="L3015" s="249">
        <v>53977.698749999996</v>
      </c>
      <c r="M3015" s="249">
        <v>57756.137662499998</v>
      </c>
      <c r="N3015" s="249">
        <v>61799.067298874994</v>
      </c>
    </row>
    <row r="3016" spans="1:14" x14ac:dyDescent="0.25">
      <c r="A3016" t="s">
        <v>1308</v>
      </c>
      <c r="C3016" t="s">
        <v>155</v>
      </c>
      <c r="D3016" s="67">
        <v>51270</v>
      </c>
      <c r="E3016">
        <v>0</v>
      </c>
      <c r="F3016">
        <v>0</v>
      </c>
      <c r="G3016">
        <v>1217.71</v>
      </c>
      <c r="H3016">
        <v>-1217.71</v>
      </c>
      <c r="I3016">
        <v>0</v>
      </c>
      <c r="J3016">
        <v>0</v>
      </c>
      <c r="K3016" s="249">
        <v>51270</v>
      </c>
      <c r="L3016" s="249">
        <v>54474.375</v>
      </c>
      <c r="M3016" s="249">
        <v>58287.581250000003</v>
      </c>
      <c r="N3016" s="249">
        <v>62367.711937500004</v>
      </c>
    </row>
    <row r="3017" spans="1:14" x14ac:dyDescent="0.25">
      <c r="A3017" t="s">
        <v>1309</v>
      </c>
      <c r="C3017" t="s">
        <v>157</v>
      </c>
      <c r="D3017" s="67">
        <v>75281</v>
      </c>
      <c r="E3017">
        <v>0</v>
      </c>
      <c r="F3017">
        <v>0</v>
      </c>
      <c r="G3017">
        <v>1217.71</v>
      </c>
      <c r="H3017">
        <v>-1217.71</v>
      </c>
      <c r="I3017">
        <v>0</v>
      </c>
      <c r="J3017">
        <v>-10000</v>
      </c>
      <c r="K3017" s="249">
        <v>65281</v>
      </c>
      <c r="L3017" s="249">
        <v>69361.0625</v>
      </c>
      <c r="M3017" s="249">
        <v>74216.336874999994</v>
      </c>
      <c r="N3017" s="249">
        <v>79411.480456249992</v>
      </c>
    </row>
    <row r="3018" spans="1:14" x14ac:dyDescent="0.25">
      <c r="A3018" t="s">
        <v>1310</v>
      </c>
      <c r="C3018" t="s">
        <v>159</v>
      </c>
      <c r="D3018" s="67">
        <v>129955</v>
      </c>
      <c r="E3018">
        <v>0</v>
      </c>
      <c r="F3018">
        <v>0</v>
      </c>
      <c r="G3018">
        <v>1217.71</v>
      </c>
      <c r="H3018">
        <v>-1217.71</v>
      </c>
      <c r="I3018">
        <v>0</v>
      </c>
      <c r="J3018">
        <v>0</v>
      </c>
      <c r="K3018" s="249">
        <v>129955</v>
      </c>
      <c r="L3018" s="249">
        <v>138077.1875</v>
      </c>
      <c r="M3018" s="249">
        <v>147742.59062500001</v>
      </c>
      <c r="N3018" s="249">
        <v>158084.57196875001</v>
      </c>
    </row>
    <row r="3019" spans="1:14" x14ac:dyDescent="0.25">
      <c r="A3019" t="s">
        <v>1311</v>
      </c>
      <c r="C3019" t="s">
        <v>161</v>
      </c>
      <c r="D3019" s="67">
        <v>22568</v>
      </c>
      <c r="E3019">
        <v>0</v>
      </c>
      <c r="F3019">
        <v>0</v>
      </c>
      <c r="G3019">
        <v>1217.71</v>
      </c>
      <c r="H3019">
        <v>-1217.71</v>
      </c>
      <c r="I3019">
        <v>0</v>
      </c>
      <c r="J3019">
        <v>0</v>
      </c>
      <c r="K3019" s="249">
        <v>22568</v>
      </c>
      <c r="L3019" s="249">
        <v>23978.5</v>
      </c>
      <c r="M3019" s="249">
        <v>25656.994999999999</v>
      </c>
      <c r="N3019" s="249">
        <v>27452.984649999999</v>
      </c>
    </row>
    <row r="3020" spans="1:14" x14ac:dyDescent="0.25">
      <c r="A3020" t="s">
        <v>1312</v>
      </c>
      <c r="C3020" t="s">
        <v>162</v>
      </c>
      <c r="D3020" s="67">
        <v>0</v>
      </c>
      <c r="E3020">
        <v>0</v>
      </c>
      <c r="F3020">
        <v>0</v>
      </c>
      <c r="G3020">
        <v>1217.71</v>
      </c>
      <c r="H3020">
        <v>-1217.71</v>
      </c>
      <c r="I3020">
        <v>0</v>
      </c>
      <c r="J3020">
        <v>10000</v>
      </c>
      <c r="K3020" s="249">
        <v>10000</v>
      </c>
      <c r="L3020" s="249">
        <v>10625</v>
      </c>
      <c r="M3020" s="249">
        <v>11368.75</v>
      </c>
      <c r="N3020" s="249">
        <v>12164.5625</v>
      </c>
    </row>
    <row r="3022" spans="1:14" x14ac:dyDescent="0.25">
      <c r="C3022" t="s">
        <v>165</v>
      </c>
      <c r="D3022" s="67">
        <v>1949614</v>
      </c>
      <c r="E3022">
        <v>0</v>
      </c>
      <c r="F3022">
        <v>0</v>
      </c>
      <c r="G3022">
        <v>8523.9700000000012</v>
      </c>
      <c r="H3022">
        <v>-8523.9700000000012</v>
      </c>
      <c r="I3022">
        <v>52.17</v>
      </c>
      <c r="J3022">
        <v>-21394.459999999963</v>
      </c>
      <c r="K3022" s="249">
        <v>1928219.54</v>
      </c>
      <c r="L3022" s="249">
        <v>2048733.26125</v>
      </c>
      <c r="M3022" s="249">
        <v>2192144.5895375004</v>
      </c>
      <c r="N3022" s="249">
        <v>2345594.7108051251</v>
      </c>
    </row>
    <row r="3024" spans="1:14" x14ac:dyDescent="0.25">
      <c r="C3024" t="s">
        <v>166</v>
      </c>
      <c r="J3024">
        <v>0</v>
      </c>
    </row>
    <row r="3026" spans="1:14" x14ac:dyDescent="0.25">
      <c r="A3026" t="s">
        <v>1313</v>
      </c>
      <c r="C3026" t="s">
        <v>167</v>
      </c>
      <c r="D3026" s="67">
        <v>674</v>
      </c>
      <c r="E3026">
        <v>0</v>
      </c>
      <c r="F3026">
        <v>0</v>
      </c>
      <c r="G3026">
        <v>1217.71</v>
      </c>
      <c r="H3026">
        <v>-1217.71</v>
      </c>
      <c r="I3026">
        <v>0</v>
      </c>
      <c r="J3026">
        <v>0</v>
      </c>
      <c r="K3026" s="249">
        <v>674</v>
      </c>
      <c r="L3026" s="249">
        <v>716.125</v>
      </c>
      <c r="M3026" s="249">
        <v>766.25374999999997</v>
      </c>
      <c r="N3026" s="249">
        <v>819.89151249999998</v>
      </c>
    </row>
    <row r="3027" spans="1:14" x14ac:dyDescent="0.25">
      <c r="A3027" t="s">
        <v>1314</v>
      </c>
      <c r="C3027" t="s">
        <v>168</v>
      </c>
      <c r="D3027" s="67">
        <v>67191</v>
      </c>
      <c r="E3027">
        <v>0</v>
      </c>
      <c r="F3027">
        <v>0</v>
      </c>
      <c r="G3027">
        <v>1217.71</v>
      </c>
      <c r="H3027">
        <v>-1217.71</v>
      </c>
      <c r="I3027">
        <v>0</v>
      </c>
      <c r="J3027">
        <v>0</v>
      </c>
      <c r="K3027" s="249">
        <v>67191</v>
      </c>
      <c r="L3027" s="249">
        <v>71390.4375</v>
      </c>
      <c r="M3027" s="249">
        <v>76387.768125000002</v>
      </c>
      <c r="N3027" s="249">
        <v>81734.911893750002</v>
      </c>
    </row>
    <row r="3028" spans="1:14" x14ac:dyDescent="0.25">
      <c r="A3028" t="s">
        <v>1315</v>
      </c>
      <c r="C3028" t="s">
        <v>169</v>
      </c>
      <c r="D3028" s="67">
        <v>343082</v>
      </c>
      <c r="E3028">
        <v>0</v>
      </c>
      <c r="F3028">
        <v>0</v>
      </c>
      <c r="G3028">
        <v>1217.71</v>
      </c>
      <c r="H3028">
        <v>-1217.71</v>
      </c>
      <c r="I3028">
        <v>0</v>
      </c>
      <c r="J3028">
        <v>0</v>
      </c>
      <c r="K3028" s="249">
        <v>343082</v>
      </c>
      <c r="L3028" s="249">
        <v>364524.625</v>
      </c>
      <c r="M3028" s="249">
        <v>390041.34875</v>
      </c>
      <c r="N3028" s="249">
        <v>417344.24316250003</v>
      </c>
    </row>
    <row r="3029" spans="1:14" x14ac:dyDescent="0.25">
      <c r="A3029" t="s">
        <v>1316</v>
      </c>
      <c r="C3029" t="s">
        <v>170</v>
      </c>
      <c r="D3029" s="67">
        <v>12495</v>
      </c>
      <c r="E3029">
        <v>0</v>
      </c>
      <c r="F3029">
        <v>0</v>
      </c>
      <c r="G3029">
        <v>1217.71</v>
      </c>
      <c r="H3029">
        <v>-1217.71</v>
      </c>
      <c r="I3029">
        <v>0</v>
      </c>
      <c r="J3029">
        <v>0</v>
      </c>
      <c r="K3029" s="249">
        <v>12495</v>
      </c>
      <c r="L3029" s="249">
        <v>13275.9375</v>
      </c>
      <c r="M3029" s="249">
        <v>14205.253124999999</v>
      </c>
      <c r="N3029" s="249">
        <v>15199.620843749999</v>
      </c>
    </row>
    <row r="3031" spans="1:14" x14ac:dyDescent="0.25">
      <c r="C3031" t="s">
        <v>171</v>
      </c>
      <c r="D3031" s="67">
        <v>423442</v>
      </c>
      <c r="E3031">
        <v>0</v>
      </c>
      <c r="F3031">
        <v>0</v>
      </c>
      <c r="G3031">
        <v>4870.84</v>
      </c>
      <c r="H3031">
        <v>-4870.84</v>
      </c>
      <c r="I3031">
        <v>52.11</v>
      </c>
      <c r="J3031">
        <v>0</v>
      </c>
      <c r="K3031" s="249">
        <v>423442</v>
      </c>
      <c r="L3031" s="249">
        <v>449907.125</v>
      </c>
      <c r="M3031" s="249">
        <v>481400.62374999997</v>
      </c>
      <c r="N3031" s="249">
        <v>515098.66741250007</v>
      </c>
    </row>
    <row r="3033" spans="1:14" x14ac:dyDescent="0.25">
      <c r="C3033" t="s">
        <v>172</v>
      </c>
      <c r="J3033">
        <v>0</v>
      </c>
    </row>
    <row r="3035" spans="1:14" x14ac:dyDescent="0.25">
      <c r="A3035" t="s">
        <v>1317</v>
      </c>
      <c r="C3035" t="s">
        <v>173</v>
      </c>
      <c r="D3035" s="67">
        <v>30119</v>
      </c>
      <c r="E3035">
        <v>0</v>
      </c>
      <c r="F3035">
        <v>0</v>
      </c>
      <c r="G3035">
        <v>1217.71</v>
      </c>
      <c r="H3035">
        <v>-1217.71</v>
      </c>
      <c r="I3035">
        <v>0</v>
      </c>
      <c r="J3035">
        <v>0</v>
      </c>
      <c r="K3035" s="249">
        <v>30119</v>
      </c>
      <c r="L3035" s="249">
        <v>32001.4375</v>
      </c>
      <c r="M3035" s="249">
        <v>34241.538124999999</v>
      </c>
      <c r="N3035" s="249">
        <v>36638.445793749997</v>
      </c>
    </row>
    <row r="3036" spans="1:14" x14ac:dyDescent="0.25">
      <c r="A3036" t="s">
        <v>1318</v>
      </c>
      <c r="C3036" t="s">
        <v>174</v>
      </c>
      <c r="D3036" s="67">
        <v>42336</v>
      </c>
      <c r="E3036">
        <v>0</v>
      </c>
      <c r="F3036">
        <v>0</v>
      </c>
      <c r="G3036">
        <v>1217.71</v>
      </c>
      <c r="H3036">
        <v>-1217.71</v>
      </c>
      <c r="I3036">
        <v>0</v>
      </c>
      <c r="J3036">
        <v>0</v>
      </c>
      <c r="K3036" s="249">
        <v>42336</v>
      </c>
      <c r="L3036" s="249">
        <v>44982</v>
      </c>
      <c r="M3036" s="249">
        <v>48130.74</v>
      </c>
      <c r="N3036" s="249">
        <v>51499.891799999998</v>
      </c>
    </row>
    <row r="3037" spans="1:14" x14ac:dyDescent="0.25">
      <c r="A3037" t="s">
        <v>1319</v>
      </c>
      <c r="C3037" t="s">
        <v>175</v>
      </c>
      <c r="D3037" s="67">
        <v>28718</v>
      </c>
      <c r="E3037">
        <v>0</v>
      </c>
      <c r="F3037">
        <v>0</v>
      </c>
      <c r="G3037">
        <v>1217.71</v>
      </c>
      <c r="H3037">
        <v>-1217.71</v>
      </c>
      <c r="I3037">
        <v>0</v>
      </c>
      <c r="J3037">
        <v>0</v>
      </c>
      <c r="K3037" s="249">
        <v>28718</v>
      </c>
      <c r="L3037" s="249">
        <v>30512.875</v>
      </c>
      <c r="M3037" s="249">
        <v>32648.776249999999</v>
      </c>
      <c r="N3037" s="249">
        <v>34934.190587500001</v>
      </c>
    </row>
    <row r="3039" spans="1:14" x14ac:dyDescent="0.25">
      <c r="C3039" t="s">
        <v>176</v>
      </c>
      <c r="D3039" s="67">
        <v>101173</v>
      </c>
      <c r="E3039">
        <v>0</v>
      </c>
      <c r="F3039">
        <v>0</v>
      </c>
      <c r="G3039">
        <v>3653.13</v>
      </c>
      <c r="H3039">
        <v>-3653.13</v>
      </c>
      <c r="I3039">
        <v>0</v>
      </c>
      <c r="J3039">
        <v>0</v>
      </c>
      <c r="K3039" s="249">
        <v>101173</v>
      </c>
      <c r="L3039" s="249">
        <v>107496.3125</v>
      </c>
      <c r="M3039" s="249">
        <v>115021.05437499999</v>
      </c>
      <c r="N3039" s="249">
        <v>123072.52818125</v>
      </c>
    </row>
    <row r="3041" spans="1:14" x14ac:dyDescent="0.25">
      <c r="C3041" t="s">
        <v>177</v>
      </c>
      <c r="D3041" s="67">
        <v>2474229</v>
      </c>
      <c r="E3041">
        <v>0</v>
      </c>
      <c r="F3041">
        <v>0</v>
      </c>
      <c r="G3041">
        <v>17047.940000000002</v>
      </c>
      <c r="H3041">
        <v>-17047.940000000002</v>
      </c>
      <c r="I3041">
        <v>50.03</v>
      </c>
      <c r="J3041">
        <v>-21394.459999999963</v>
      </c>
      <c r="K3041" s="249">
        <v>2452834.54</v>
      </c>
      <c r="L3041" s="249">
        <v>2606136.69875</v>
      </c>
      <c r="M3041" s="249">
        <v>2788566.2676625</v>
      </c>
      <c r="N3041" s="249">
        <v>2983765.9063988752</v>
      </c>
    </row>
    <row r="3043" spans="1:14" x14ac:dyDescent="0.25">
      <c r="C3043" t="s">
        <v>178</v>
      </c>
      <c r="D3043" s="67">
        <v>2474229</v>
      </c>
      <c r="E3043">
        <v>0</v>
      </c>
      <c r="F3043">
        <v>0</v>
      </c>
      <c r="G3043">
        <v>17047.940000000002</v>
      </c>
      <c r="H3043">
        <v>-17047.940000000002</v>
      </c>
      <c r="I3043">
        <v>50.03</v>
      </c>
      <c r="J3043">
        <v>-21394.459999999963</v>
      </c>
      <c r="K3043" s="249">
        <v>2452834.54</v>
      </c>
      <c r="L3043" s="249">
        <v>2606136.69875</v>
      </c>
      <c r="M3043" s="249">
        <v>2788566.2676625</v>
      </c>
      <c r="N3043" s="249">
        <v>2983765.9063988752</v>
      </c>
    </row>
    <row r="3045" spans="1:14" x14ac:dyDescent="0.25">
      <c r="C3045" t="s">
        <v>241</v>
      </c>
      <c r="J3045">
        <v>0</v>
      </c>
    </row>
    <row r="3047" spans="1:14" x14ac:dyDescent="0.25">
      <c r="A3047" t="s">
        <v>1320</v>
      </c>
      <c r="C3047" t="s">
        <v>265</v>
      </c>
      <c r="D3047" s="67">
        <v>50136</v>
      </c>
      <c r="E3047">
        <v>0</v>
      </c>
      <c r="F3047">
        <v>0</v>
      </c>
      <c r="G3047">
        <v>1217.71</v>
      </c>
      <c r="H3047">
        <v>-1217.71</v>
      </c>
      <c r="I3047">
        <v>0</v>
      </c>
      <c r="J3047">
        <v>0</v>
      </c>
      <c r="K3047" s="249">
        <v>50136</v>
      </c>
      <c r="L3047" s="249">
        <v>52392.12</v>
      </c>
      <c r="M3047" s="249">
        <v>54802.157520000001</v>
      </c>
      <c r="N3047" s="249">
        <v>57323.056765920002</v>
      </c>
    </row>
    <row r="3048" spans="1:14" x14ac:dyDescent="0.25">
      <c r="A3048" t="s">
        <v>1321</v>
      </c>
      <c r="C3048" t="s">
        <v>268</v>
      </c>
      <c r="D3048" s="67">
        <v>11957</v>
      </c>
      <c r="E3048">
        <v>0</v>
      </c>
      <c r="F3048">
        <v>0</v>
      </c>
      <c r="G3048">
        <v>1217.71</v>
      </c>
      <c r="H3048">
        <v>-1217.71</v>
      </c>
      <c r="I3048">
        <v>0</v>
      </c>
      <c r="J3048">
        <v>-10000</v>
      </c>
      <c r="K3048" s="249">
        <v>1957</v>
      </c>
      <c r="L3048" s="249">
        <v>2045.0650000000001</v>
      </c>
      <c r="M3048" s="249">
        <v>2139.1379900000002</v>
      </c>
      <c r="N3048" s="249">
        <v>2237.5383375400002</v>
      </c>
    </row>
    <row r="3050" spans="1:14" x14ac:dyDescent="0.25">
      <c r="C3050" t="s">
        <v>274</v>
      </c>
      <c r="D3050" s="67">
        <v>62093</v>
      </c>
      <c r="E3050">
        <v>0</v>
      </c>
      <c r="F3050">
        <v>0</v>
      </c>
      <c r="G3050">
        <v>2435.42</v>
      </c>
      <c r="H3050">
        <v>-2435.42</v>
      </c>
      <c r="I3050">
        <v>15.99</v>
      </c>
      <c r="J3050">
        <v>-10000</v>
      </c>
      <c r="K3050" s="249">
        <v>52093</v>
      </c>
      <c r="L3050" s="249">
        <v>54437.185000000005</v>
      </c>
      <c r="M3050" s="249">
        <v>56941.295510000004</v>
      </c>
      <c r="N3050" s="249">
        <v>59560.59510346</v>
      </c>
    </row>
    <row r="3052" spans="1:14" x14ac:dyDescent="0.25">
      <c r="C3052" t="s">
        <v>305</v>
      </c>
      <c r="D3052" s="67">
        <v>2536322</v>
      </c>
      <c r="E3052">
        <v>0</v>
      </c>
      <c r="F3052">
        <v>0</v>
      </c>
      <c r="G3052">
        <v>19483.36</v>
      </c>
      <c r="H3052">
        <v>-19483.36</v>
      </c>
      <c r="I3052">
        <v>49.19</v>
      </c>
      <c r="J3052">
        <v>-31394.459999999963</v>
      </c>
      <c r="K3052" s="249">
        <v>2504927.54</v>
      </c>
      <c r="L3052" s="249">
        <v>2660573.88375</v>
      </c>
      <c r="M3052" s="249">
        <v>2845507.5631725001</v>
      </c>
      <c r="N3052" s="249">
        <v>3043326.5015023351</v>
      </c>
    </row>
    <row r="3054" spans="1:14" x14ac:dyDescent="0.25">
      <c r="C3054" t="s">
        <v>306</v>
      </c>
      <c r="D3054" s="67">
        <v>1665758</v>
      </c>
      <c r="E3054">
        <v>-75706.92</v>
      </c>
      <c r="F3054">
        <v>0</v>
      </c>
      <c r="G3054">
        <v>-428918.9</v>
      </c>
      <c r="H3054">
        <v>-441644.1</v>
      </c>
      <c r="I3054">
        <v>47.99</v>
      </c>
      <c r="J3054">
        <v>578000.54</v>
      </c>
      <c r="K3054" s="249">
        <v>2243758.54</v>
      </c>
      <c r="L3054" s="249">
        <v>2387652.2787500001</v>
      </c>
      <c r="M3054" s="249">
        <v>2560031.5643425002</v>
      </c>
      <c r="N3054" s="249">
        <v>2744718.6067261552</v>
      </c>
    </row>
    <row r="3057" spans="3:14" x14ac:dyDescent="0.25">
      <c r="C3057" t="s">
        <v>3038</v>
      </c>
      <c r="D3057" s="67">
        <v>-47783920</v>
      </c>
      <c r="E3057">
        <v>-47783920</v>
      </c>
      <c r="F3057">
        <v>-47783920</v>
      </c>
      <c r="G3057">
        <v>-47783920</v>
      </c>
      <c r="H3057">
        <v>-47783920</v>
      </c>
      <c r="I3057">
        <v>211.32999999999998</v>
      </c>
      <c r="J3057">
        <v>-7477821</v>
      </c>
      <c r="K3057" s="249">
        <v>-55261741</v>
      </c>
      <c r="L3057" s="249">
        <v>-62167331.930999994</v>
      </c>
      <c r="M3057" s="249">
        <v>-55553932.098861992</v>
      </c>
      <c r="N3057" s="249">
        <v>-59626906.889430672</v>
      </c>
    </row>
    <row r="3058" spans="3:14" x14ac:dyDescent="0.25">
      <c r="C3058" t="s">
        <v>3052</v>
      </c>
      <c r="D3058" s="67">
        <v>45051433</v>
      </c>
      <c r="E3058">
        <v>639559.62</v>
      </c>
      <c r="F3058">
        <v>0</v>
      </c>
      <c r="G3058">
        <v>3887568.83</v>
      </c>
      <c r="H3058">
        <v>4150293.1700000004</v>
      </c>
      <c r="I3058">
        <v>305.98</v>
      </c>
      <c r="J3058">
        <v>5930774.2600000193</v>
      </c>
      <c r="K3058" s="249">
        <v>50982207.26000002</v>
      </c>
      <c r="L3058" s="249">
        <v>51455176.292025022</v>
      </c>
      <c r="M3058" s="249">
        <v>54404658.403693169</v>
      </c>
      <c r="N3058" s="249">
        <v>58026446.073998339</v>
      </c>
    </row>
    <row r="3059" spans="3:14" x14ac:dyDescent="0.25">
      <c r="C3059" t="s">
        <v>3053</v>
      </c>
      <c r="D3059" s="67">
        <v>50541271</v>
      </c>
      <c r="E3059">
        <v>0</v>
      </c>
      <c r="F3059">
        <v>0</v>
      </c>
      <c r="G3059">
        <v>15830.229999999998</v>
      </c>
      <c r="H3059">
        <v>-15830.229999999998</v>
      </c>
      <c r="I3059">
        <v>9.7899999999999991</v>
      </c>
      <c r="J3059">
        <v>680517.5</v>
      </c>
      <c r="K3059" s="249">
        <v>51221788.5</v>
      </c>
      <c r="L3059" s="249">
        <v>56846350</v>
      </c>
      <c r="M3059" s="249">
        <v>50712049.780000001</v>
      </c>
      <c r="N3059" s="249">
        <v>57802400</v>
      </c>
    </row>
  </sheetData>
  <autoFilter ref="A1:N305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zoomScaleNormal="100" workbookViewId="0"/>
  </sheetViews>
  <sheetFormatPr defaultColWidth="9.140625" defaultRowHeight="14.25" x14ac:dyDescent="0.2"/>
  <cols>
    <col min="1" max="1" width="52.85546875" style="82" customWidth="1"/>
    <col min="2" max="2" width="15" style="197" customWidth="1"/>
    <col min="3" max="3" width="14.7109375" style="205" customWidth="1"/>
    <col min="4" max="5" width="14.7109375" style="197" customWidth="1"/>
    <col min="6" max="6" width="17.140625" style="197" customWidth="1"/>
    <col min="7" max="7" width="11.28515625" style="82" bestFit="1" customWidth="1"/>
    <col min="8" max="8" width="12.7109375" style="82" bestFit="1" customWidth="1"/>
    <col min="9" max="16384" width="9.140625" style="82"/>
  </cols>
  <sheetData>
    <row r="1" spans="1:6" s="81" customFormat="1" ht="15" x14ac:dyDescent="0.25">
      <c r="A1" s="243" t="s">
        <v>1327</v>
      </c>
      <c r="B1" s="193"/>
      <c r="C1" s="194"/>
      <c r="D1" s="193"/>
      <c r="E1" s="193"/>
      <c r="F1" s="193"/>
    </row>
    <row r="2" spans="1:6" s="81" customFormat="1" ht="45" hidden="1" x14ac:dyDescent="0.25">
      <c r="A2" s="243" t="s">
        <v>1328</v>
      </c>
      <c r="B2" s="244" t="s">
        <v>1336</v>
      </c>
      <c r="C2" s="245" t="s">
        <v>1395</v>
      </c>
      <c r="D2" s="244" t="s">
        <v>1323</v>
      </c>
      <c r="E2" s="244" t="s">
        <v>1324</v>
      </c>
      <c r="F2" s="193"/>
    </row>
    <row r="3" spans="1:6" hidden="1" x14ac:dyDescent="0.2">
      <c r="A3" s="246"/>
      <c r="B3" s="247"/>
      <c r="C3" s="248"/>
      <c r="D3" s="247"/>
      <c r="E3" s="247"/>
      <c r="F3" s="247"/>
    </row>
    <row r="4" spans="1:6" hidden="1" x14ac:dyDescent="0.2">
      <c r="A4" s="246" t="s">
        <v>178</v>
      </c>
      <c r="B4" s="247">
        <f>'All Dept'!C248</f>
        <v>93985993</v>
      </c>
      <c r="C4" s="248">
        <f>'All Dept'!J248</f>
        <v>92456427.289999992</v>
      </c>
      <c r="D4" s="248">
        <f>'All Dept'!K248</f>
        <v>98165142.058125004</v>
      </c>
      <c r="E4" s="248">
        <f>'All Dept'!L248</f>
        <v>105054736.50219372</v>
      </c>
      <c r="F4" s="247"/>
    </row>
    <row r="5" spans="1:6" hidden="1" x14ac:dyDescent="0.2">
      <c r="A5" s="246" t="s">
        <v>207</v>
      </c>
      <c r="B5" s="247">
        <f>'All Dept'!C292</f>
        <v>14127295</v>
      </c>
      <c r="C5" s="248">
        <f>'All Dept'!J292</f>
        <v>14127295</v>
      </c>
      <c r="D5" s="248">
        <f>'All Dept'!K292</f>
        <v>15010250.9375</v>
      </c>
      <c r="E5" s="248">
        <f>'All Dept'!L292</f>
        <v>16060968.503125001</v>
      </c>
      <c r="F5" s="247"/>
    </row>
    <row r="6" spans="1:6" hidden="1" x14ac:dyDescent="0.2">
      <c r="A6" s="246" t="s">
        <v>240</v>
      </c>
      <c r="B6" s="247">
        <f>'All Dept'!C337</f>
        <v>34663701</v>
      </c>
      <c r="C6" s="248">
        <f>'All Dept'!J337</f>
        <v>34810737</v>
      </c>
      <c r="D6" s="248">
        <f>'All Dept'!K337</f>
        <v>30390733.539999999</v>
      </c>
      <c r="E6" s="248">
        <f>'All Dept'!L337</f>
        <v>30742887.282839999</v>
      </c>
      <c r="F6" s="247"/>
    </row>
    <row r="7" spans="1:6" hidden="1" x14ac:dyDescent="0.2">
      <c r="A7" s="246" t="s">
        <v>274</v>
      </c>
      <c r="B7" s="247">
        <f>'All Dept'!C387</f>
        <v>33342859</v>
      </c>
      <c r="C7" s="248">
        <f>'All Dept'!J387</f>
        <v>34572043.370000005</v>
      </c>
      <c r="D7" s="248">
        <f>'All Dept'!K387</f>
        <v>36421729.941649996</v>
      </c>
      <c r="E7" s="248">
        <f>'All Dept'!L387</f>
        <v>36743252.173945904</v>
      </c>
      <c r="F7" s="247"/>
    </row>
    <row r="8" spans="1:6" hidden="1" x14ac:dyDescent="0.2">
      <c r="A8" s="246" t="s">
        <v>279</v>
      </c>
      <c r="B8" s="247">
        <f>'All Dept'!C395</f>
        <v>4858679</v>
      </c>
      <c r="C8" s="248">
        <f>'All Dept'!J395</f>
        <v>5239045</v>
      </c>
      <c r="D8" s="248">
        <f>'All Dept'!K395</f>
        <v>5514217.0250000004</v>
      </c>
      <c r="E8" s="248">
        <f>'All Dept'!L395</f>
        <v>5766230.28082</v>
      </c>
      <c r="F8" s="247"/>
    </row>
    <row r="9" spans="1:6" hidden="1" x14ac:dyDescent="0.2">
      <c r="A9" s="246" t="s">
        <v>282</v>
      </c>
      <c r="B9" s="247">
        <f>'All Dept'!C401</f>
        <v>8268000</v>
      </c>
      <c r="C9" s="248">
        <f>'All Dept'!J401</f>
        <v>8268000</v>
      </c>
      <c r="D9" s="248">
        <f>'All Dept'!K401</f>
        <v>8937708</v>
      </c>
      <c r="E9" s="248">
        <f>'All Dept'!L401</f>
        <v>9402468.8159999996</v>
      </c>
      <c r="F9" s="247"/>
    </row>
    <row r="10" spans="1:6" hidden="1" x14ac:dyDescent="0.2">
      <c r="A10" s="246" t="s">
        <v>284</v>
      </c>
      <c r="B10" s="247">
        <f>'All Dept'!C407</f>
        <v>1255286</v>
      </c>
      <c r="C10" s="248">
        <f>'All Dept'!J407</f>
        <v>1255286</v>
      </c>
      <c r="D10" s="248">
        <f>'All Dept'!K407</f>
        <v>1311773.8700000001</v>
      </c>
      <c r="E10" s="248">
        <f>'All Dept'!L407</f>
        <v>1370803.6941500001</v>
      </c>
      <c r="F10" s="247"/>
    </row>
    <row r="11" spans="1:6" hidden="1" x14ac:dyDescent="0.2">
      <c r="A11" s="246" t="s">
        <v>287</v>
      </c>
      <c r="B11" s="247">
        <f>'All Dept'!C413</f>
        <v>549705</v>
      </c>
      <c r="C11" s="248">
        <f>'All Dept'!J413</f>
        <v>549705</v>
      </c>
      <c r="D11" s="248">
        <f>'All Dept'!K413</f>
        <v>2974441.7250000001</v>
      </c>
      <c r="E11" s="248">
        <f>'All Dept'!L413</f>
        <v>3111266.0443500001</v>
      </c>
      <c r="F11" s="247"/>
    </row>
    <row r="12" spans="1:6" hidden="1" x14ac:dyDescent="0.2">
      <c r="A12" s="246" t="s">
        <v>289</v>
      </c>
      <c r="B12" s="247">
        <f>'All Dept'!C419</f>
        <v>5837102</v>
      </c>
      <c r="C12" s="248">
        <f>'All Dept'!J419</f>
        <v>5837102</v>
      </c>
      <c r="D12" s="248">
        <f>'All Dept'!K419</f>
        <v>6099771.5899999999</v>
      </c>
      <c r="E12" s="248">
        <f>'All Dept'!L419</f>
        <v>6374261.3115499998</v>
      </c>
      <c r="F12" s="247"/>
    </row>
    <row r="13" spans="1:6" hidden="1" x14ac:dyDescent="0.2">
      <c r="A13" s="246" t="s">
        <v>304</v>
      </c>
      <c r="B13" s="247">
        <f>'All Dept'!C437</f>
        <v>8659942</v>
      </c>
      <c r="C13" s="248">
        <f>'All Dept'!J437</f>
        <v>15137210.67000002</v>
      </c>
      <c r="D13" s="248">
        <f>'All Dept'!K437</f>
        <v>15818385.15015002</v>
      </c>
      <c r="E13" s="248">
        <f>'All Dept'!L437</f>
        <v>16545851.344416924</v>
      </c>
      <c r="F13" s="247"/>
    </row>
    <row r="14" spans="1:6" hidden="1" x14ac:dyDescent="0.2">
      <c r="A14" s="246"/>
      <c r="B14" s="247"/>
      <c r="C14" s="248"/>
      <c r="D14" s="247"/>
      <c r="E14" s="247"/>
      <c r="F14" s="247"/>
    </row>
    <row r="15" spans="1:6" s="81" customFormat="1" ht="15" hidden="1" x14ac:dyDescent="0.25">
      <c r="A15" s="243" t="s">
        <v>305</v>
      </c>
      <c r="B15" s="193">
        <f>SUM(B4:B13)</f>
        <v>205548562</v>
      </c>
      <c r="C15" s="193">
        <f>SUM(C4:C13)</f>
        <v>212252851.33000001</v>
      </c>
      <c r="D15" s="193">
        <f>SUM(D4:D13)</f>
        <v>220644153.83742505</v>
      </c>
      <c r="E15" s="193">
        <f>SUM(E4:E13)</f>
        <v>231172725.95339152</v>
      </c>
      <c r="F15" s="193"/>
    </row>
    <row r="16" spans="1:6" hidden="1" x14ac:dyDescent="0.2">
      <c r="A16" s="246"/>
      <c r="B16" s="247"/>
      <c r="C16" s="248"/>
      <c r="D16" s="247"/>
      <c r="E16" s="247"/>
      <c r="F16" s="247"/>
    </row>
    <row r="17" spans="1:7" hidden="1" x14ac:dyDescent="0.2">
      <c r="A17" s="246" t="s">
        <v>1329</v>
      </c>
      <c r="B17" s="247">
        <f>'All Dept'!C485</f>
        <v>55441271</v>
      </c>
      <c r="C17" s="248">
        <f>'All Dept'!J485</f>
        <v>54304784.5</v>
      </c>
      <c r="D17" s="248">
        <f>'All Dept'!K485</f>
        <v>61599350</v>
      </c>
      <c r="E17" s="248">
        <f>'All Dept'!L485</f>
        <v>55851049.780000001</v>
      </c>
      <c r="F17" s="247"/>
    </row>
    <row r="18" spans="1:7" hidden="1" x14ac:dyDescent="0.2">
      <c r="A18" s="246"/>
      <c r="B18" s="247"/>
      <c r="C18" s="248"/>
      <c r="D18" s="247"/>
      <c r="E18" s="247"/>
      <c r="F18" s="247"/>
    </row>
    <row r="19" spans="1:7" s="81" customFormat="1" ht="15" hidden="1" x14ac:dyDescent="0.25">
      <c r="A19" s="243" t="s">
        <v>1330</v>
      </c>
      <c r="B19" s="193">
        <f>B15+B17</f>
        <v>260989833</v>
      </c>
      <c r="C19" s="193">
        <f>C15+C17</f>
        <v>266557635.83000001</v>
      </c>
      <c r="D19" s="193">
        <f>D15+D17</f>
        <v>282243503.83742505</v>
      </c>
      <c r="E19" s="193">
        <f>E15+E17</f>
        <v>287023775.73339152</v>
      </c>
      <c r="F19" s="193"/>
    </row>
    <row r="20" spans="1:7" hidden="1" x14ac:dyDescent="0.2">
      <c r="A20" s="246"/>
      <c r="B20" s="247"/>
      <c r="C20" s="248"/>
      <c r="D20" s="247"/>
      <c r="E20" s="247"/>
      <c r="F20" s="247"/>
    </row>
    <row r="21" spans="1:7" hidden="1" x14ac:dyDescent="0.2">
      <c r="A21" s="246" t="s">
        <v>95</v>
      </c>
      <c r="B21" s="247">
        <f>'All Dept'!C132</f>
        <v>-260989833</v>
      </c>
      <c r="C21" s="248">
        <f>'All Dept'!J132</f>
        <v>-266557636</v>
      </c>
      <c r="D21" s="248">
        <f>'All Dept'!K132</f>
        <v>-282493503.79800004</v>
      </c>
      <c r="E21" s="248">
        <f>'All Dept'!L132</f>
        <v>-287285275.563748</v>
      </c>
      <c r="F21" s="247"/>
    </row>
    <row r="22" spans="1:7" hidden="1" x14ac:dyDescent="0.2">
      <c r="A22" s="246"/>
      <c r="B22" s="247"/>
      <c r="C22" s="248"/>
      <c r="D22" s="247"/>
      <c r="E22" s="247"/>
      <c r="F22" s="247"/>
    </row>
    <row r="23" spans="1:7" s="81" customFormat="1" ht="15" hidden="1" x14ac:dyDescent="0.25">
      <c r="A23" s="243" t="s">
        <v>1331</v>
      </c>
      <c r="B23" s="193">
        <f>SUM(B19:B21)</f>
        <v>0</v>
      </c>
      <c r="C23" s="193">
        <f>SUM(C19:C21)</f>
        <v>-0.16999998688697815</v>
      </c>
      <c r="D23" s="193">
        <f>SUM(D19:D21)</f>
        <v>-249999.96057498455</v>
      </c>
      <c r="E23" s="193">
        <f>SUM(E19:E21)</f>
        <v>-261499.83035647869</v>
      </c>
      <c r="F23" s="193"/>
    </row>
    <row r="24" spans="1:7" hidden="1" x14ac:dyDescent="0.2">
      <c r="A24" s="246"/>
      <c r="B24" s="247"/>
      <c r="C24" s="248"/>
      <c r="D24" s="247"/>
      <c r="E24" s="247"/>
      <c r="F24" s="247"/>
    </row>
    <row r="25" spans="1:7" ht="15" thickBot="1" x14ac:dyDescent="0.25">
      <c r="A25" s="246"/>
      <c r="B25" s="247"/>
      <c r="C25" s="248"/>
      <c r="D25" s="247"/>
      <c r="E25" s="247"/>
      <c r="F25" s="247"/>
    </row>
    <row r="26" spans="1:7" ht="15" hidden="1" thickBot="1" x14ac:dyDescent="0.25">
      <c r="G26" s="83">
        <f>+B6-B36</f>
        <v>0</v>
      </c>
    </row>
    <row r="27" spans="1:7" ht="60.75" thickBot="1" x14ac:dyDescent="0.3">
      <c r="A27" s="87" t="s">
        <v>1328</v>
      </c>
      <c r="B27" s="206" t="s">
        <v>1336</v>
      </c>
      <c r="C27" s="154" t="s">
        <v>3012</v>
      </c>
      <c r="D27" s="41" t="s">
        <v>3013</v>
      </c>
      <c r="E27" s="137" t="s">
        <v>3014</v>
      </c>
      <c r="F27" s="41" t="s">
        <v>3015</v>
      </c>
    </row>
    <row r="28" spans="1:7" x14ac:dyDescent="0.2">
      <c r="A28" s="89"/>
      <c r="B28" s="198"/>
      <c r="C28" s="199"/>
      <c r="D28" s="198"/>
      <c r="E28" s="207"/>
      <c r="F28" s="198"/>
    </row>
    <row r="29" spans="1:7" x14ac:dyDescent="0.2">
      <c r="A29" s="89" t="s">
        <v>1333</v>
      </c>
      <c r="B29" s="198">
        <f>'All Dept'!C48</f>
        <v>-181299010</v>
      </c>
      <c r="C29" s="198">
        <f>'All Dept'!J48</f>
        <v>-191025010</v>
      </c>
      <c r="D29" s="198">
        <f>'All Dept'!K48</f>
        <v>-205424000</v>
      </c>
      <c r="E29" s="198">
        <f>'All Dept'!L48</f>
        <v>-205968000</v>
      </c>
      <c r="F29" s="198">
        <f>'All Dept'!O48</f>
        <v>-216243000</v>
      </c>
    </row>
    <row r="30" spans="1:7" x14ac:dyDescent="0.2">
      <c r="A30" s="89" t="s">
        <v>1334</v>
      </c>
      <c r="B30" s="198">
        <f>'All Dept'!C132-'Executive Summary'!B5</f>
        <v>-79690823</v>
      </c>
      <c r="C30" s="198">
        <f>'All Dept'!J132-Summary!C29</f>
        <v>-75532626</v>
      </c>
      <c r="D30" s="198">
        <f>'All Dept'!K132-Summary!D29</f>
        <v>-77069503.798000038</v>
      </c>
      <c r="E30" s="198">
        <f>'All Dept'!L132-Summary!E29</f>
        <v>-81317275.563748002</v>
      </c>
      <c r="F30" s="198">
        <f>'All Dept'!O132-Summary!F29</f>
        <v>-88353234.437762737</v>
      </c>
    </row>
    <row r="31" spans="1:7" x14ac:dyDescent="0.2">
      <c r="A31" s="89"/>
      <c r="B31" s="198"/>
      <c r="C31" s="199"/>
      <c r="D31" s="198"/>
      <c r="E31" s="207"/>
      <c r="F31" s="198"/>
    </row>
    <row r="32" spans="1:7" s="81" customFormat="1" ht="15" x14ac:dyDescent="0.25">
      <c r="A32" s="181" t="s">
        <v>3038</v>
      </c>
      <c r="B32" s="208">
        <f>B29+B30</f>
        <v>-260989833</v>
      </c>
      <c r="C32" s="208">
        <f t="shared" ref="C32:F32" si="0">C29+C30</f>
        <v>-266557636</v>
      </c>
      <c r="D32" s="208">
        <f t="shared" si="0"/>
        <v>-282493503.79800004</v>
      </c>
      <c r="E32" s="208">
        <f t="shared" si="0"/>
        <v>-287285275.563748</v>
      </c>
      <c r="F32" s="208">
        <f t="shared" si="0"/>
        <v>-304596234.43776274</v>
      </c>
    </row>
    <row r="33" spans="1:8" x14ac:dyDescent="0.2">
      <c r="A33" s="88"/>
      <c r="B33" s="195"/>
      <c r="C33" s="196"/>
      <c r="D33" s="195"/>
      <c r="E33" s="209"/>
      <c r="F33" s="195"/>
    </row>
    <row r="34" spans="1:8" x14ac:dyDescent="0.2">
      <c r="A34" s="89" t="s">
        <v>178</v>
      </c>
      <c r="B34" s="198">
        <f>'All Dept'!C248</f>
        <v>93985993</v>
      </c>
      <c r="C34" s="198">
        <f>'All Dept'!J248</f>
        <v>92456427.289999992</v>
      </c>
      <c r="D34" s="200">
        <f>'All Dept'!K248</f>
        <v>98165142.058125004</v>
      </c>
      <c r="E34" s="200">
        <f>'All Dept'!L248</f>
        <v>105054736.50219372</v>
      </c>
      <c r="F34" s="200">
        <f>'All Dept'!O248</f>
        <v>112379131.55734733</v>
      </c>
    </row>
    <row r="35" spans="1:8" x14ac:dyDescent="0.2">
      <c r="A35" s="89" t="s">
        <v>207</v>
      </c>
      <c r="B35" s="198">
        <f>'All Dept'!C292</f>
        <v>14127295</v>
      </c>
      <c r="C35" s="199">
        <f>'All Dept'!J292</f>
        <v>14127295</v>
      </c>
      <c r="D35" s="200">
        <f>'All Dept'!K292</f>
        <v>15010250.9375</v>
      </c>
      <c r="E35" s="199">
        <f>'All Dept'!L292</f>
        <v>16060968.503125001</v>
      </c>
      <c r="F35" s="200">
        <f>'All Dept'!O292</f>
        <v>17185236.298343748</v>
      </c>
    </row>
    <row r="36" spans="1:8" x14ac:dyDescent="0.2">
      <c r="A36" s="89" t="s">
        <v>240</v>
      </c>
      <c r="B36" s="198">
        <f>'All Dept'!C337</f>
        <v>34663701</v>
      </c>
      <c r="C36" s="199">
        <f>+'Corporate Services'!K88+'Corporate Services'!K224+'Corporate Services'!K311+LEDP!K165+MM!K70+MM!K157+MM!K276+MM!K347+mayors!K80+'B&amp;T'!K135+'B&amp;T'!K334+'B&amp;T'!K421+Community!K74+Community!K262+Community!K366+Community!K451+Technical!K124+Technical!K233+Technical!K354</f>
        <v>34810737</v>
      </c>
      <c r="D36" s="200">
        <f>'All Dept'!K337</f>
        <v>30390733.539999999</v>
      </c>
      <c r="E36" s="199">
        <f>'All Dept'!L337</f>
        <v>30742887.282839999</v>
      </c>
      <c r="F36" s="200">
        <f>+'Corporate Services'!N88+'Corporate Services'!N224+'Corporate Services'!N311+LEDP!N165+MM!N70+MM!N157+MM!N276+MM!N347+mayors!N80+'B&amp;T'!N135+'B&amp;T'!N334+'B&amp;T'!N421+Community!N74+Community!N262+Community!N366+Community!N451+Technical!N124+Technical!N233+Technical!N354</f>
        <v>30578238.097850636</v>
      </c>
    </row>
    <row r="37" spans="1:8" x14ac:dyDescent="0.2">
      <c r="A37" s="89" t="s">
        <v>274</v>
      </c>
      <c r="B37" s="198">
        <f>'All Dept'!C387</f>
        <v>33342859</v>
      </c>
      <c r="C37" s="199">
        <f>'All Dept'!J387</f>
        <v>34572043.370000005</v>
      </c>
      <c r="D37" s="200">
        <f>'All Dept'!K387</f>
        <v>36421729.941649996</v>
      </c>
      <c r="E37" s="210">
        <f>'All Dept'!L387</f>
        <v>36743252.173945904</v>
      </c>
      <c r="F37" s="200">
        <f>'All Dept'!O387</f>
        <v>38664738.253952101</v>
      </c>
    </row>
    <row r="38" spans="1:8" x14ac:dyDescent="0.2">
      <c r="A38" s="89" t="s">
        <v>279</v>
      </c>
      <c r="B38" s="198">
        <f>'All Dept'!C395</f>
        <v>4858679</v>
      </c>
      <c r="C38" s="198">
        <f>'All Dept'!J395</f>
        <v>5239045</v>
      </c>
      <c r="D38" s="198">
        <f>'All Dept'!K395</f>
        <v>5514217.0250000004</v>
      </c>
      <c r="E38" s="211">
        <f>'All Dept'!L395</f>
        <v>5766230.28082</v>
      </c>
      <c r="F38" s="198">
        <f>'All Dept'!O395</f>
        <v>6029762.3136778707</v>
      </c>
    </row>
    <row r="39" spans="1:8" x14ac:dyDescent="0.2">
      <c r="A39" s="89" t="s">
        <v>282</v>
      </c>
      <c r="B39" s="198">
        <f>'All Dept'!C401</f>
        <v>8268000</v>
      </c>
      <c r="C39" s="199">
        <f>'All Dept'!J399</f>
        <v>8268000</v>
      </c>
      <c r="D39" s="200">
        <f>'All Dept'!K399</f>
        <v>8937708</v>
      </c>
      <c r="E39" s="199">
        <f>'All Dept'!L401</f>
        <v>9402468.8159999996</v>
      </c>
      <c r="F39" s="200">
        <f>'All Dept'!O401</f>
        <v>10239288.540624</v>
      </c>
    </row>
    <row r="40" spans="1:8" x14ac:dyDescent="0.2">
      <c r="A40" s="89" t="s">
        <v>284</v>
      </c>
      <c r="B40" s="198">
        <f>+'B&amp;T'!D503</f>
        <v>1255286</v>
      </c>
      <c r="C40" s="198">
        <f>+'B&amp;T'!K503</f>
        <v>1255286</v>
      </c>
      <c r="D40" s="198">
        <f>'All Dept'!K407</f>
        <v>1311773.8700000001</v>
      </c>
      <c r="E40" s="211">
        <f>'All Dept'!L407</f>
        <v>1370803.6941500001</v>
      </c>
      <c r="F40" s="198">
        <f>'All Dept'!O407</f>
        <v>1432489.8603867502</v>
      </c>
    </row>
    <row r="41" spans="1:8" x14ac:dyDescent="0.2">
      <c r="A41" s="89" t="s">
        <v>287</v>
      </c>
      <c r="B41" s="198">
        <f>+'Corporate Services'!D127</f>
        <v>549705</v>
      </c>
      <c r="C41" s="199">
        <f>+'Corporate Services'!K127</f>
        <v>549705</v>
      </c>
      <c r="D41" s="200">
        <f>'All Dept'!K413</f>
        <v>2974441.7250000001</v>
      </c>
      <c r="E41" s="199">
        <f>+'Corporate Services'!M127</f>
        <v>3111266.0443500001</v>
      </c>
      <c r="F41" s="200">
        <f>+'Corporate Services'!N127</f>
        <v>3254384.2823901</v>
      </c>
    </row>
    <row r="42" spans="1:8" x14ac:dyDescent="0.2">
      <c r="A42" s="89" t="s">
        <v>289</v>
      </c>
      <c r="B42" s="198">
        <f>+'B&amp;T'!D349+Technical!D470</f>
        <v>5837102</v>
      </c>
      <c r="C42" s="198">
        <f>+'B&amp;T'!K349+Technical!K470</f>
        <v>5837102</v>
      </c>
      <c r="D42" s="198">
        <f>'All Dept'!K419</f>
        <v>6099771.5899999999</v>
      </c>
      <c r="E42" s="211">
        <f>'All Dept'!L419</f>
        <v>6374261.3115499998</v>
      </c>
      <c r="F42" s="198">
        <f>'All Dept'!O419</f>
        <v>6661103.0705697499</v>
      </c>
    </row>
    <row r="43" spans="1:8" x14ac:dyDescent="0.2">
      <c r="A43" s="89" t="s">
        <v>304</v>
      </c>
      <c r="B43" s="198">
        <f>'All Dept'!C437</f>
        <v>8659942</v>
      </c>
      <c r="C43" s="198">
        <f>'All Dept'!J437</f>
        <v>15137210.67000002</v>
      </c>
      <c r="D43" s="198">
        <f>'All Dept'!K437</f>
        <v>15818385.15015002</v>
      </c>
      <c r="E43" s="211">
        <f>'All Dept'!L437</f>
        <v>16545851.344416924</v>
      </c>
      <c r="F43" s="198">
        <f>'All Dept'!O437</f>
        <v>17306772.905101303</v>
      </c>
    </row>
    <row r="44" spans="1:8" x14ac:dyDescent="0.2">
      <c r="A44" s="89" t="s">
        <v>3005</v>
      </c>
      <c r="B44" s="198"/>
      <c r="C44" s="207"/>
      <c r="D44" s="198">
        <f>'All Dept'!K443</f>
        <v>250000</v>
      </c>
      <c r="E44" s="207">
        <f>'All Dept'!L443</f>
        <v>261500</v>
      </c>
      <c r="F44" s="198">
        <f>'All Dept'!O443</f>
        <v>273529</v>
      </c>
    </row>
    <row r="45" spans="1:8" x14ac:dyDescent="0.2">
      <c r="A45" s="89"/>
      <c r="B45" s="198"/>
      <c r="C45" s="199"/>
      <c r="D45" s="198"/>
      <c r="E45" s="207"/>
      <c r="F45" s="198"/>
    </row>
    <row r="46" spans="1:8" ht="15" x14ac:dyDescent="0.25">
      <c r="A46" s="90" t="s">
        <v>305</v>
      </c>
      <c r="B46" s="201">
        <f>SUM(B34:B45)</f>
        <v>205548562</v>
      </c>
      <c r="C46" s="201">
        <f t="shared" ref="C46:F46" si="1">SUM(C34:C45)</f>
        <v>212252851.33000001</v>
      </c>
      <c r="D46" s="201">
        <f t="shared" si="1"/>
        <v>220894153.83742505</v>
      </c>
      <c r="E46" s="201">
        <f t="shared" si="1"/>
        <v>231434225.95339152</v>
      </c>
      <c r="F46" s="201">
        <f t="shared" si="1"/>
        <v>244004674.18024355</v>
      </c>
    </row>
    <row r="47" spans="1:8" x14ac:dyDescent="0.2">
      <c r="A47" s="89"/>
      <c r="B47" s="198"/>
      <c r="C47" s="199"/>
      <c r="D47" s="198"/>
      <c r="E47" s="207"/>
      <c r="F47" s="198"/>
      <c r="G47" s="197"/>
    </row>
    <row r="48" spans="1:8" x14ac:dyDescent="0.2">
      <c r="A48" s="89" t="s">
        <v>1329</v>
      </c>
      <c r="B48" s="198">
        <f>'All Dept'!C485</f>
        <v>55441271</v>
      </c>
      <c r="C48" s="198">
        <f>'All Dept'!J485</f>
        <v>54304784.5</v>
      </c>
      <c r="D48" s="198">
        <f>'All Dept'!K485</f>
        <v>61599350</v>
      </c>
      <c r="E48" s="198">
        <f>'All Dept'!L485</f>
        <v>55851049.780000001</v>
      </c>
      <c r="F48" s="198">
        <f>'All Dept'!O485</f>
        <v>60591560</v>
      </c>
      <c r="H48" s="197"/>
    </row>
    <row r="49" spans="1:7" x14ac:dyDescent="0.2">
      <c r="A49" s="89"/>
      <c r="B49" s="198"/>
      <c r="C49" s="207"/>
      <c r="D49" s="198"/>
      <c r="E49" s="207"/>
      <c r="F49" s="198"/>
    </row>
    <row r="50" spans="1:7" ht="15" x14ac:dyDescent="0.25">
      <c r="A50" s="90" t="s">
        <v>1330</v>
      </c>
      <c r="B50" s="201">
        <f>B46+B48</f>
        <v>260989833</v>
      </c>
      <c r="C50" s="201">
        <f t="shared" ref="C50:F50" si="2">C46+C48</f>
        <v>266557635.83000001</v>
      </c>
      <c r="D50" s="201">
        <f t="shared" si="2"/>
        <v>282493503.83742505</v>
      </c>
      <c r="E50" s="201">
        <f t="shared" si="2"/>
        <v>287285275.73339152</v>
      </c>
      <c r="F50" s="201">
        <f t="shared" si="2"/>
        <v>304596234.18024355</v>
      </c>
    </row>
    <row r="51" spans="1:7" ht="15" x14ac:dyDescent="0.25">
      <c r="A51" s="90"/>
      <c r="B51" s="201"/>
      <c r="C51" s="202"/>
      <c r="D51" s="201"/>
      <c r="E51" s="202"/>
      <c r="F51" s="201"/>
      <c r="G51" s="197">
        <f>D46-'All Dept'!K445</f>
        <v>0</v>
      </c>
    </row>
    <row r="52" spans="1:7" ht="15" x14ac:dyDescent="0.25">
      <c r="A52" s="90" t="s">
        <v>1331</v>
      </c>
      <c r="B52" s="201">
        <f>B32+B50</f>
        <v>0</v>
      </c>
      <c r="C52" s="201">
        <f t="shared" ref="C52:F52" si="3">C32+C50</f>
        <v>-0.16999998688697815</v>
      </c>
      <c r="D52" s="201">
        <f t="shared" si="3"/>
        <v>3.9425015449523926E-2</v>
      </c>
      <c r="E52" s="201">
        <f t="shared" si="3"/>
        <v>0.16964352130889893</v>
      </c>
      <c r="F52" s="201">
        <f t="shared" si="3"/>
        <v>-0.2575191855430603</v>
      </c>
    </row>
    <row r="53" spans="1:7" ht="15" thickBot="1" x14ac:dyDescent="0.25">
      <c r="A53" s="91"/>
      <c r="B53" s="203"/>
      <c r="C53" s="204"/>
      <c r="D53" s="203"/>
      <c r="E53" s="212"/>
      <c r="F53" s="203"/>
    </row>
  </sheetData>
  <pageMargins left="0.7" right="0.7" top="0.75" bottom="0.75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topLeftCell="B1" zoomScaleNormal="100" workbookViewId="0">
      <selection activeCell="C15" sqref="C15:C16"/>
    </sheetView>
  </sheetViews>
  <sheetFormatPr defaultRowHeight="14.25" x14ac:dyDescent="0.2"/>
  <cols>
    <col min="1" max="1" width="45" style="1" customWidth="1"/>
    <col min="2" max="5" width="18.5703125" style="37" customWidth="1"/>
    <col min="6" max="6" width="10" style="37" customWidth="1"/>
    <col min="7" max="7" width="16.42578125" style="1" customWidth="1"/>
    <col min="8" max="8" width="9.140625" style="37"/>
    <col min="9" max="9" width="17.140625" style="64" customWidth="1"/>
    <col min="10" max="10" width="8.7109375" style="1" customWidth="1"/>
    <col min="11" max="11" width="15.42578125" style="37" customWidth="1"/>
    <col min="12" max="12" width="8.85546875" style="37" customWidth="1"/>
    <col min="13" max="259" width="9.140625" style="1"/>
    <col min="260" max="260" width="45" style="1" customWidth="1"/>
    <col min="261" max="261" width="18.5703125" style="1" customWidth="1"/>
    <col min="262" max="262" width="10" style="1" customWidth="1"/>
    <col min="263" max="263" width="16.42578125" style="1" customWidth="1"/>
    <col min="264" max="264" width="9.140625" style="1"/>
    <col min="265" max="265" width="17.140625" style="1" customWidth="1"/>
    <col min="266" max="266" width="8.7109375" style="1" customWidth="1"/>
    <col min="267" max="267" width="15.42578125" style="1" customWidth="1"/>
    <col min="268" max="268" width="8.85546875" style="1" customWidth="1"/>
    <col min="269" max="515" width="9.140625" style="1"/>
    <col min="516" max="516" width="45" style="1" customWidth="1"/>
    <col min="517" max="517" width="18.5703125" style="1" customWidth="1"/>
    <col min="518" max="518" width="10" style="1" customWidth="1"/>
    <col min="519" max="519" width="16.42578125" style="1" customWidth="1"/>
    <col min="520" max="520" width="9.140625" style="1"/>
    <col min="521" max="521" width="17.140625" style="1" customWidth="1"/>
    <col min="522" max="522" width="8.7109375" style="1" customWidth="1"/>
    <col min="523" max="523" width="15.42578125" style="1" customWidth="1"/>
    <col min="524" max="524" width="8.85546875" style="1" customWidth="1"/>
    <col min="525" max="771" width="9.140625" style="1"/>
    <col min="772" max="772" width="45" style="1" customWidth="1"/>
    <col min="773" max="773" width="18.5703125" style="1" customWidth="1"/>
    <col min="774" max="774" width="10" style="1" customWidth="1"/>
    <col min="775" max="775" width="16.42578125" style="1" customWidth="1"/>
    <col min="776" max="776" width="9.140625" style="1"/>
    <col min="777" max="777" width="17.140625" style="1" customWidth="1"/>
    <col min="778" max="778" width="8.7109375" style="1" customWidth="1"/>
    <col min="779" max="779" width="15.42578125" style="1" customWidth="1"/>
    <col min="780" max="780" width="8.85546875" style="1" customWidth="1"/>
    <col min="781" max="1027" width="9.140625" style="1"/>
    <col min="1028" max="1028" width="45" style="1" customWidth="1"/>
    <col min="1029" max="1029" width="18.5703125" style="1" customWidth="1"/>
    <col min="1030" max="1030" width="10" style="1" customWidth="1"/>
    <col min="1031" max="1031" width="16.42578125" style="1" customWidth="1"/>
    <col min="1032" max="1032" width="9.140625" style="1"/>
    <col min="1033" max="1033" width="17.140625" style="1" customWidth="1"/>
    <col min="1034" max="1034" width="8.7109375" style="1" customWidth="1"/>
    <col min="1035" max="1035" width="15.42578125" style="1" customWidth="1"/>
    <col min="1036" max="1036" width="8.85546875" style="1" customWidth="1"/>
    <col min="1037" max="1283" width="9.140625" style="1"/>
    <col min="1284" max="1284" width="45" style="1" customWidth="1"/>
    <col min="1285" max="1285" width="18.5703125" style="1" customWidth="1"/>
    <col min="1286" max="1286" width="10" style="1" customWidth="1"/>
    <col min="1287" max="1287" width="16.42578125" style="1" customWidth="1"/>
    <col min="1288" max="1288" width="9.140625" style="1"/>
    <col min="1289" max="1289" width="17.140625" style="1" customWidth="1"/>
    <col min="1290" max="1290" width="8.7109375" style="1" customWidth="1"/>
    <col min="1291" max="1291" width="15.42578125" style="1" customWidth="1"/>
    <col min="1292" max="1292" width="8.85546875" style="1" customWidth="1"/>
    <col min="1293" max="1539" width="9.140625" style="1"/>
    <col min="1540" max="1540" width="45" style="1" customWidth="1"/>
    <col min="1541" max="1541" width="18.5703125" style="1" customWidth="1"/>
    <col min="1542" max="1542" width="10" style="1" customWidth="1"/>
    <col min="1543" max="1543" width="16.42578125" style="1" customWidth="1"/>
    <col min="1544" max="1544" width="9.140625" style="1"/>
    <col min="1545" max="1545" width="17.140625" style="1" customWidth="1"/>
    <col min="1546" max="1546" width="8.7109375" style="1" customWidth="1"/>
    <col min="1547" max="1547" width="15.42578125" style="1" customWidth="1"/>
    <col min="1548" max="1548" width="8.85546875" style="1" customWidth="1"/>
    <col min="1549" max="1795" width="9.140625" style="1"/>
    <col min="1796" max="1796" width="45" style="1" customWidth="1"/>
    <col min="1797" max="1797" width="18.5703125" style="1" customWidth="1"/>
    <col min="1798" max="1798" width="10" style="1" customWidth="1"/>
    <col min="1799" max="1799" width="16.42578125" style="1" customWidth="1"/>
    <col min="1800" max="1800" width="9.140625" style="1"/>
    <col min="1801" max="1801" width="17.140625" style="1" customWidth="1"/>
    <col min="1802" max="1802" width="8.7109375" style="1" customWidth="1"/>
    <col min="1803" max="1803" width="15.42578125" style="1" customWidth="1"/>
    <col min="1804" max="1804" width="8.85546875" style="1" customWidth="1"/>
    <col min="1805" max="2051" width="9.140625" style="1"/>
    <col min="2052" max="2052" width="45" style="1" customWidth="1"/>
    <col min="2053" max="2053" width="18.5703125" style="1" customWidth="1"/>
    <col min="2054" max="2054" width="10" style="1" customWidth="1"/>
    <col min="2055" max="2055" width="16.42578125" style="1" customWidth="1"/>
    <col min="2056" max="2056" width="9.140625" style="1"/>
    <col min="2057" max="2057" width="17.140625" style="1" customWidth="1"/>
    <col min="2058" max="2058" width="8.7109375" style="1" customWidth="1"/>
    <col min="2059" max="2059" width="15.42578125" style="1" customWidth="1"/>
    <col min="2060" max="2060" width="8.85546875" style="1" customWidth="1"/>
    <col min="2061" max="2307" width="9.140625" style="1"/>
    <col min="2308" max="2308" width="45" style="1" customWidth="1"/>
    <col min="2309" max="2309" width="18.5703125" style="1" customWidth="1"/>
    <col min="2310" max="2310" width="10" style="1" customWidth="1"/>
    <col min="2311" max="2311" width="16.42578125" style="1" customWidth="1"/>
    <col min="2312" max="2312" width="9.140625" style="1"/>
    <col min="2313" max="2313" width="17.140625" style="1" customWidth="1"/>
    <col min="2314" max="2314" width="8.7109375" style="1" customWidth="1"/>
    <col min="2315" max="2315" width="15.42578125" style="1" customWidth="1"/>
    <col min="2316" max="2316" width="8.85546875" style="1" customWidth="1"/>
    <col min="2317" max="2563" width="9.140625" style="1"/>
    <col min="2564" max="2564" width="45" style="1" customWidth="1"/>
    <col min="2565" max="2565" width="18.5703125" style="1" customWidth="1"/>
    <col min="2566" max="2566" width="10" style="1" customWidth="1"/>
    <col min="2567" max="2567" width="16.42578125" style="1" customWidth="1"/>
    <col min="2568" max="2568" width="9.140625" style="1"/>
    <col min="2569" max="2569" width="17.140625" style="1" customWidth="1"/>
    <col min="2570" max="2570" width="8.7109375" style="1" customWidth="1"/>
    <col min="2571" max="2571" width="15.42578125" style="1" customWidth="1"/>
    <col min="2572" max="2572" width="8.85546875" style="1" customWidth="1"/>
    <col min="2573" max="2819" width="9.140625" style="1"/>
    <col min="2820" max="2820" width="45" style="1" customWidth="1"/>
    <col min="2821" max="2821" width="18.5703125" style="1" customWidth="1"/>
    <col min="2822" max="2822" width="10" style="1" customWidth="1"/>
    <col min="2823" max="2823" width="16.42578125" style="1" customWidth="1"/>
    <col min="2824" max="2824" width="9.140625" style="1"/>
    <col min="2825" max="2825" width="17.140625" style="1" customWidth="1"/>
    <col min="2826" max="2826" width="8.7109375" style="1" customWidth="1"/>
    <col min="2827" max="2827" width="15.42578125" style="1" customWidth="1"/>
    <col min="2828" max="2828" width="8.85546875" style="1" customWidth="1"/>
    <col min="2829" max="3075" width="9.140625" style="1"/>
    <col min="3076" max="3076" width="45" style="1" customWidth="1"/>
    <col min="3077" max="3077" width="18.5703125" style="1" customWidth="1"/>
    <col min="3078" max="3078" width="10" style="1" customWidth="1"/>
    <col min="3079" max="3079" width="16.42578125" style="1" customWidth="1"/>
    <col min="3080" max="3080" width="9.140625" style="1"/>
    <col min="3081" max="3081" width="17.140625" style="1" customWidth="1"/>
    <col min="3082" max="3082" width="8.7109375" style="1" customWidth="1"/>
    <col min="3083" max="3083" width="15.42578125" style="1" customWidth="1"/>
    <col min="3084" max="3084" width="8.85546875" style="1" customWidth="1"/>
    <col min="3085" max="3331" width="9.140625" style="1"/>
    <col min="3332" max="3332" width="45" style="1" customWidth="1"/>
    <col min="3333" max="3333" width="18.5703125" style="1" customWidth="1"/>
    <col min="3334" max="3334" width="10" style="1" customWidth="1"/>
    <col min="3335" max="3335" width="16.42578125" style="1" customWidth="1"/>
    <col min="3336" max="3336" width="9.140625" style="1"/>
    <col min="3337" max="3337" width="17.140625" style="1" customWidth="1"/>
    <col min="3338" max="3338" width="8.7109375" style="1" customWidth="1"/>
    <col min="3339" max="3339" width="15.42578125" style="1" customWidth="1"/>
    <col min="3340" max="3340" width="8.85546875" style="1" customWidth="1"/>
    <col min="3341" max="3587" width="9.140625" style="1"/>
    <col min="3588" max="3588" width="45" style="1" customWidth="1"/>
    <col min="3589" max="3589" width="18.5703125" style="1" customWidth="1"/>
    <col min="3590" max="3590" width="10" style="1" customWidth="1"/>
    <col min="3591" max="3591" width="16.42578125" style="1" customWidth="1"/>
    <col min="3592" max="3592" width="9.140625" style="1"/>
    <col min="3593" max="3593" width="17.140625" style="1" customWidth="1"/>
    <col min="3594" max="3594" width="8.7109375" style="1" customWidth="1"/>
    <col min="3595" max="3595" width="15.42578125" style="1" customWidth="1"/>
    <col min="3596" max="3596" width="8.85546875" style="1" customWidth="1"/>
    <col min="3597" max="3843" width="9.140625" style="1"/>
    <col min="3844" max="3844" width="45" style="1" customWidth="1"/>
    <col min="3845" max="3845" width="18.5703125" style="1" customWidth="1"/>
    <col min="3846" max="3846" width="10" style="1" customWidth="1"/>
    <col min="3847" max="3847" width="16.42578125" style="1" customWidth="1"/>
    <col min="3848" max="3848" width="9.140625" style="1"/>
    <col min="3849" max="3849" width="17.140625" style="1" customWidth="1"/>
    <col min="3850" max="3850" width="8.7109375" style="1" customWidth="1"/>
    <col min="3851" max="3851" width="15.42578125" style="1" customWidth="1"/>
    <col min="3852" max="3852" width="8.85546875" style="1" customWidth="1"/>
    <col min="3853" max="4099" width="9.140625" style="1"/>
    <col min="4100" max="4100" width="45" style="1" customWidth="1"/>
    <col min="4101" max="4101" width="18.5703125" style="1" customWidth="1"/>
    <col min="4102" max="4102" width="10" style="1" customWidth="1"/>
    <col min="4103" max="4103" width="16.42578125" style="1" customWidth="1"/>
    <col min="4104" max="4104" width="9.140625" style="1"/>
    <col min="4105" max="4105" width="17.140625" style="1" customWidth="1"/>
    <col min="4106" max="4106" width="8.7109375" style="1" customWidth="1"/>
    <col min="4107" max="4107" width="15.42578125" style="1" customWidth="1"/>
    <col min="4108" max="4108" width="8.85546875" style="1" customWidth="1"/>
    <col min="4109" max="4355" width="9.140625" style="1"/>
    <col min="4356" max="4356" width="45" style="1" customWidth="1"/>
    <col min="4357" max="4357" width="18.5703125" style="1" customWidth="1"/>
    <col min="4358" max="4358" width="10" style="1" customWidth="1"/>
    <col min="4359" max="4359" width="16.42578125" style="1" customWidth="1"/>
    <col min="4360" max="4360" width="9.140625" style="1"/>
    <col min="4361" max="4361" width="17.140625" style="1" customWidth="1"/>
    <col min="4362" max="4362" width="8.7109375" style="1" customWidth="1"/>
    <col min="4363" max="4363" width="15.42578125" style="1" customWidth="1"/>
    <col min="4364" max="4364" width="8.85546875" style="1" customWidth="1"/>
    <col min="4365" max="4611" width="9.140625" style="1"/>
    <col min="4612" max="4612" width="45" style="1" customWidth="1"/>
    <col min="4613" max="4613" width="18.5703125" style="1" customWidth="1"/>
    <col min="4614" max="4614" width="10" style="1" customWidth="1"/>
    <col min="4615" max="4615" width="16.42578125" style="1" customWidth="1"/>
    <col min="4616" max="4616" width="9.140625" style="1"/>
    <col min="4617" max="4617" width="17.140625" style="1" customWidth="1"/>
    <col min="4618" max="4618" width="8.7109375" style="1" customWidth="1"/>
    <col min="4619" max="4619" width="15.42578125" style="1" customWidth="1"/>
    <col min="4620" max="4620" width="8.85546875" style="1" customWidth="1"/>
    <col min="4621" max="4867" width="9.140625" style="1"/>
    <col min="4868" max="4868" width="45" style="1" customWidth="1"/>
    <col min="4869" max="4869" width="18.5703125" style="1" customWidth="1"/>
    <col min="4870" max="4870" width="10" style="1" customWidth="1"/>
    <col min="4871" max="4871" width="16.42578125" style="1" customWidth="1"/>
    <col min="4872" max="4872" width="9.140625" style="1"/>
    <col min="4873" max="4873" width="17.140625" style="1" customWidth="1"/>
    <col min="4874" max="4874" width="8.7109375" style="1" customWidth="1"/>
    <col min="4875" max="4875" width="15.42578125" style="1" customWidth="1"/>
    <col min="4876" max="4876" width="8.85546875" style="1" customWidth="1"/>
    <col min="4877" max="5123" width="9.140625" style="1"/>
    <col min="5124" max="5124" width="45" style="1" customWidth="1"/>
    <col min="5125" max="5125" width="18.5703125" style="1" customWidth="1"/>
    <col min="5126" max="5126" width="10" style="1" customWidth="1"/>
    <col min="5127" max="5127" width="16.42578125" style="1" customWidth="1"/>
    <col min="5128" max="5128" width="9.140625" style="1"/>
    <col min="5129" max="5129" width="17.140625" style="1" customWidth="1"/>
    <col min="5130" max="5130" width="8.7109375" style="1" customWidth="1"/>
    <col min="5131" max="5131" width="15.42578125" style="1" customWidth="1"/>
    <col min="5132" max="5132" width="8.85546875" style="1" customWidth="1"/>
    <col min="5133" max="5379" width="9.140625" style="1"/>
    <col min="5380" max="5380" width="45" style="1" customWidth="1"/>
    <col min="5381" max="5381" width="18.5703125" style="1" customWidth="1"/>
    <col min="5382" max="5382" width="10" style="1" customWidth="1"/>
    <col min="5383" max="5383" width="16.42578125" style="1" customWidth="1"/>
    <col min="5384" max="5384" width="9.140625" style="1"/>
    <col min="5385" max="5385" width="17.140625" style="1" customWidth="1"/>
    <col min="5386" max="5386" width="8.7109375" style="1" customWidth="1"/>
    <col min="5387" max="5387" width="15.42578125" style="1" customWidth="1"/>
    <col min="5388" max="5388" width="8.85546875" style="1" customWidth="1"/>
    <col min="5389" max="5635" width="9.140625" style="1"/>
    <col min="5636" max="5636" width="45" style="1" customWidth="1"/>
    <col min="5637" max="5637" width="18.5703125" style="1" customWidth="1"/>
    <col min="5638" max="5638" width="10" style="1" customWidth="1"/>
    <col min="5639" max="5639" width="16.42578125" style="1" customWidth="1"/>
    <col min="5640" max="5640" width="9.140625" style="1"/>
    <col min="5641" max="5641" width="17.140625" style="1" customWidth="1"/>
    <col min="5642" max="5642" width="8.7109375" style="1" customWidth="1"/>
    <col min="5643" max="5643" width="15.42578125" style="1" customWidth="1"/>
    <col min="5644" max="5644" width="8.85546875" style="1" customWidth="1"/>
    <col min="5645" max="5891" width="9.140625" style="1"/>
    <col min="5892" max="5892" width="45" style="1" customWidth="1"/>
    <col min="5893" max="5893" width="18.5703125" style="1" customWidth="1"/>
    <col min="5894" max="5894" width="10" style="1" customWidth="1"/>
    <col min="5895" max="5895" width="16.42578125" style="1" customWidth="1"/>
    <col min="5896" max="5896" width="9.140625" style="1"/>
    <col min="5897" max="5897" width="17.140625" style="1" customWidth="1"/>
    <col min="5898" max="5898" width="8.7109375" style="1" customWidth="1"/>
    <col min="5899" max="5899" width="15.42578125" style="1" customWidth="1"/>
    <col min="5900" max="5900" width="8.85546875" style="1" customWidth="1"/>
    <col min="5901" max="6147" width="9.140625" style="1"/>
    <col min="6148" max="6148" width="45" style="1" customWidth="1"/>
    <col min="6149" max="6149" width="18.5703125" style="1" customWidth="1"/>
    <col min="6150" max="6150" width="10" style="1" customWidth="1"/>
    <col min="6151" max="6151" width="16.42578125" style="1" customWidth="1"/>
    <col min="6152" max="6152" width="9.140625" style="1"/>
    <col min="6153" max="6153" width="17.140625" style="1" customWidth="1"/>
    <col min="6154" max="6154" width="8.7109375" style="1" customWidth="1"/>
    <col min="6155" max="6155" width="15.42578125" style="1" customWidth="1"/>
    <col min="6156" max="6156" width="8.85546875" style="1" customWidth="1"/>
    <col min="6157" max="6403" width="9.140625" style="1"/>
    <col min="6404" max="6404" width="45" style="1" customWidth="1"/>
    <col min="6405" max="6405" width="18.5703125" style="1" customWidth="1"/>
    <col min="6406" max="6406" width="10" style="1" customWidth="1"/>
    <col min="6407" max="6407" width="16.42578125" style="1" customWidth="1"/>
    <col min="6408" max="6408" width="9.140625" style="1"/>
    <col min="6409" max="6409" width="17.140625" style="1" customWidth="1"/>
    <col min="6410" max="6410" width="8.7109375" style="1" customWidth="1"/>
    <col min="6411" max="6411" width="15.42578125" style="1" customWidth="1"/>
    <col min="6412" max="6412" width="8.85546875" style="1" customWidth="1"/>
    <col min="6413" max="6659" width="9.140625" style="1"/>
    <col min="6660" max="6660" width="45" style="1" customWidth="1"/>
    <col min="6661" max="6661" width="18.5703125" style="1" customWidth="1"/>
    <col min="6662" max="6662" width="10" style="1" customWidth="1"/>
    <col min="6663" max="6663" width="16.42578125" style="1" customWidth="1"/>
    <col min="6664" max="6664" width="9.140625" style="1"/>
    <col min="6665" max="6665" width="17.140625" style="1" customWidth="1"/>
    <col min="6666" max="6666" width="8.7109375" style="1" customWidth="1"/>
    <col min="6667" max="6667" width="15.42578125" style="1" customWidth="1"/>
    <col min="6668" max="6668" width="8.85546875" style="1" customWidth="1"/>
    <col min="6669" max="6915" width="9.140625" style="1"/>
    <col min="6916" max="6916" width="45" style="1" customWidth="1"/>
    <col min="6917" max="6917" width="18.5703125" style="1" customWidth="1"/>
    <col min="6918" max="6918" width="10" style="1" customWidth="1"/>
    <col min="6919" max="6919" width="16.42578125" style="1" customWidth="1"/>
    <col min="6920" max="6920" width="9.140625" style="1"/>
    <col min="6921" max="6921" width="17.140625" style="1" customWidth="1"/>
    <col min="6922" max="6922" width="8.7109375" style="1" customWidth="1"/>
    <col min="6923" max="6923" width="15.42578125" style="1" customWidth="1"/>
    <col min="6924" max="6924" width="8.85546875" style="1" customWidth="1"/>
    <col min="6925" max="7171" width="9.140625" style="1"/>
    <col min="7172" max="7172" width="45" style="1" customWidth="1"/>
    <col min="7173" max="7173" width="18.5703125" style="1" customWidth="1"/>
    <col min="7174" max="7174" width="10" style="1" customWidth="1"/>
    <col min="7175" max="7175" width="16.42578125" style="1" customWidth="1"/>
    <col min="7176" max="7176" width="9.140625" style="1"/>
    <col min="7177" max="7177" width="17.140625" style="1" customWidth="1"/>
    <col min="7178" max="7178" width="8.7109375" style="1" customWidth="1"/>
    <col min="7179" max="7179" width="15.42578125" style="1" customWidth="1"/>
    <col min="7180" max="7180" width="8.85546875" style="1" customWidth="1"/>
    <col min="7181" max="7427" width="9.140625" style="1"/>
    <col min="7428" max="7428" width="45" style="1" customWidth="1"/>
    <col min="7429" max="7429" width="18.5703125" style="1" customWidth="1"/>
    <col min="7430" max="7430" width="10" style="1" customWidth="1"/>
    <col min="7431" max="7431" width="16.42578125" style="1" customWidth="1"/>
    <col min="7432" max="7432" width="9.140625" style="1"/>
    <col min="7433" max="7433" width="17.140625" style="1" customWidth="1"/>
    <col min="7434" max="7434" width="8.7109375" style="1" customWidth="1"/>
    <col min="7435" max="7435" width="15.42578125" style="1" customWidth="1"/>
    <col min="7436" max="7436" width="8.85546875" style="1" customWidth="1"/>
    <col min="7437" max="7683" width="9.140625" style="1"/>
    <col min="7684" max="7684" width="45" style="1" customWidth="1"/>
    <col min="7685" max="7685" width="18.5703125" style="1" customWidth="1"/>
    <col min="7686" max="7686" width="10" style="1" customWidth="1"/>
    <col min="7687" max="7687" width="16.42578125" style="1" customWidth="1"/>
    <col min="7688" max="7688" width="9.140625" style="1"/>
    <col min="7689" max="7689" width="17.140625" style="1" customWidth="1"/>
    <col min="7690" max="7690" width="8.7109375" style="1" customWidth="1"/>
    <col min="7691" max="7691" width="15.42578125" style="1" customWidth="1"/>
    <col min="7692" max="7692" width="8.85546875" style="1" customWidth="1"/>
    <col min="7693" max="7939" width="9.140625" style="1"/>
    <col min="7940" max="7940" width="45" style="1" customWidth="1"/>
    <col min="7941" max="7941" width="18.5703125" style="1" customWidth="1"/>
    <col min="7942" max="7942" width="10" style="1" customWidth="1"/>
    <col min="7943" max="7943" width="16.42578125" style="1" customWidth="1"/>
    <col min="7944" max="7944" width="9.140625" style="1"/>
    <col min="7945" max="7945" width="17.140625" style="1" customWidth="1"/>
    <col min="7946" max="7946" width="8.7109375" style="1" customWidth="1"/>
    <col min="7947" max="7947" width="15.42578125" style="1" customWidth="1"/>
    <col min="7948" max="7948" width="8.85546875" style="1" customWidth="1"/>
    <col min="7949" max="8195" width="9.140625" style="1"/>
    <col min="8196" max="8196" width="45" style="1" customWidth="1"/>
    <col min="8197" max="8197" width="18.5703125" style="1" customWidth="1"/>
    <col min="8198" max="8198" width="10" style="1" customWidth="1"/>
    <col min="8199" max="8199" width="16.42578125" style="1" customWidth="1"/>
    <col min="8200" max="8200" width="9.140625" style="1"/>
    <col min="8201" max="8201" width="17.140625" style="1" customWidth="1"/>
    <col min="8202" max="8202" width="8.7109375" style="1" customWidth="1"/>
    <col min="8203" max="8203" width="15.42578125" style="1" customWidth="1"/>
    <col min="8204" max="8204" width="8.85546875" style="1" customWidth="1"/>
    <col min="8205" max="8451" width="9.140625" style="1"/>
    <col min="8452" max="8452" width="45" style="1" customWidth="1"/>
    <col min="8453" max="8453" width="18.5703125" style="1" customWidth="1"/>
    <col min="8454" max="8454" width="10" style="1" customWidth="1"/>
    <col min="8455" max="8455" width="16.42578125" style="1" customWidth="1"/>
    <col min="8456" max="8456" width="9.140625" style="1"/>
    <col min="8457" max="8457" width="17.140625" style="1" customWidth="1"/>
    <col min="8458" max="8458" width="8.7109375" style="1" customWidth="1"/>
    <col min="8459" max="8459" width="15.42578125" style="1" customWidth="1"/>
    <col min="8460" max="8460" width="8.85546875" style="1" customWidth="1"/>
    <col min="8461" max="8707" width="9.140625" style="1"/>
    <col min="8708" max="8708" width="45" style="1" customWidth="1"/>
    <col min="8709" max="8709" width="18.5703125" style="1" customWidth="1"/>
    <col min="8710" max="8710" width="10" style="1" customWidth="1"/>
    <col min="8711" max="8711" width="16.42578125" style="1" customWidth="1"/>
    <col min="8712" max="8712" width="9.140625" style="1"/>
    <col min="8713" max="8713" width="17.140625" style="1" customWidth="1"/>
    <col min="8714" max="8714" width="8.7109375" style="1" customWidth="1"/>
    <col min="8715" max="8715" width="15.42578125" style="1" customWidth="1"/>
    <col min="8716" max="8716" width="8.85546875" style="1" customWidth="1"/>
    <col min="8717" max="8963" width="9.140625" style="1"/>
    <col min="8964" max="8964" width="45" style="1" customWidth="1"/>
    <col min="8965" max="8965" width="18.5703125" style="1" customWidth="1"/>
    <col min="8966" max="8966" width="10" style="1" customWidth="1"/>
    <col min="8967" max="8967" width="16.42578125" style="1" customWidth="1"/>
    <col min="8968" max="8968" width="9.140625" style="1"/>
    <col min="8969" max="8969" width="17.140625" style="1" customWidth="1"/>
    <col min="8970" max="8970" width="8.7109375" style="1" customWidth="1"/>
    <col min="8971" max="8971" width="15.42578125" style="1" customWidth="1"/>
    <col min="8972" max="8972" width="8.85546875" style="1" customWidth="1"/>
    <col min="8973" max="9219" width="9.140625" style="1"/>
    <col min="9220" max="9220" width="45" style="1" customWidth="1"/>
    <col min="9221" max="9221" width="18.5703125" style="1" customWidth="1"/>
    <col min="9222" max="9222" width="10" style="1" customWidth="1"/>
    <col min="9223" max="9223" width="16.42578125" style="1" customWidth="1"/>
    <col min="9224" max="9224" width="9.140625" style="1"/>
    <col min="9225" max="9225" width="17.140625" style="1" customWidth="1"/>
    <col min="9226" max="9226" width="8.7109375" style="1" customWidth="1"/>
    <col min="9227" max="9227" width="15.42578125" style="1" customWidth="1"/>
    <col min="9228" max="9228" width="8.85546875" style="1" customWidth="1"/>
    <col min="9229" max="9475" width="9.140625" style="1"/>
    <col min="9476" max="9476" width="45" style="1" customWidth="1"/>
    <col min="9477" max="9477" width="18.5703125" style="1" customWidth="1"/>
    <col min="9478" max="9478" width="10" style="1" customWidth="1"/>
    <col min="9479" max="9479" width="16.42578125" style="1" customWidth="1"/>
    <col min="9480" max="9480" width="9.140625" style="1"/>
    <col min="9481" max="9481" width="17.140625" style="1" customWidth="1"/>
    <col min="9482" max="9482" width="8.7109375" style="1" customWidth="1"/>
    <col min="9483" max="9483" width="15.42578125" style="1" customWidth="1"/>
    <col min="9484" max="9484" width="8.85546875" style="1" customWidth="1"/>
    <col min="9485" max="9731" width="9.140625" style="1"/>
    <col min="9732" max="9732" width="45" style="1" customWidth="1"/>
    <col min="9733" max="9733" width="18.5703125" style="1" customWidth="1"/>
    <col min="9734" max="9734" width="10" style="1" customWidth="1"/>
    <col min="9735" max="9735" width="16.42578125" style="1" customWidth="1"/>
    <col min="9736" max="9736" width="9.140625" style="1"/>
    <col min="9737" max="9737" width="17.140625" style="1" customWidth="1"/>
    <col min="9738" max="9738" width="8.7109375" style="1" customWidth="1"/>
    <col min="9739" max="9739" width="15.42578125" style="1" customWidth="1"/>
    <col min="9740" max="9740" width="8.85546875" style="1" customWidth="1"/>
    <col min="9741" max="9987" width="9.140625" style="1"/>
    <col min="9988" max="9988" width="45" style="1" customWidth="1"/>
    <col min="9989" max="9989" width="18.5703125" style="1" customWidth="1"/>
    <col min="9990" max="9990" width="10" style="1" customWidth="1"/>
    <col min="9991" max="9991" width="16.42578125" style="1" customWidth="1"/>
    <col min="9992" max="9992" width="9.140625" style="1"/>
    <col min="9993" max="9993" width="17.140625" style="1" customWidth="1"/>
    <col min="9994" max="9994" width="8.7109375" style="1" customWidth="1"/>
    <col min="9995" max="9995" width="15.42578125" style="1" customWidth="1"/>
    <col min="9996" max="9996" width="8.85546875" style="1" customWidth="1"/>
    <col min="9997" max="10243" width="9.140625" style="1"/>
    <col min="10244" max="10244" width="45" style="1" customWidth="1"/>
    <col min="10245" max="10245" width="18.5703125" style="1" customWidth="1"/>
    <col min="10246" max="10246" width="10" style="1" customWidth="1"/>
    <col min="10247" max="10247" width="16.42578125" style="1" customWidth="1"/>
    <col min="10248" max="10248" width="9.140625" style="1"/>
    <col min="10249" max="10249" width="17.140625" style="1" customWidth="1"/>
    <col min="10250" max="10250" width="8.7109375" style="1" customWidth="1"/>
    <col min="10251" max="10251" width="15.42578125" style="1" customWidth="1"/>
    <col min="10252" max="10252" width="8.85546875" style="1" customWidth="1"/>
    <col min="10253" max="10499" width="9.140625" style="1"/>
    <col min="10500" max="10500" width="45" style="1" customWidth="1"/>
    <col min="10501" max="10501" width="18.5703125" style="1" customWidth="1"/>
    <col min="10502" max="10502" width="10" style="1" customWidth="1"/>
    <col min="10503" max="10503" width="16.42578125" style="1" customWidth="1"/>
    <col min="10504" max="10504" width="9.140625" style="1"/>
    <col min="10505" max="10505" width="17.140625" style="1" customWidth="1"/>
    <col min="10506" max="10506" width="8.7109375" style="1" customWidth="1"/>
    <col min="10507" max="10507" width="15.42578125" style="1" customWidth="1"/>
    <col min="10508" max="10508" width="8.85546875" style="1" customWidth="1"/>
    <col min="10509" max="10755" width="9.140625" style="1"/>
    <col min="10756" max="10756" width="45" style="1" customWidth="1"/>
    <col min="10757" max="10757" width="18.5703125" style="1" customWidth="1"/>
    <col min="10758" max="10758" width="10" style="1" customWidth="1"/>
    <col min="10759" max="10759" width="16.42578125" style="1" customWidth="1"/>
    <col min="10760" max="10760" width="9.140625" style="1"/>
    <col min="10761" max="10761" width="17.140625" style="1" customWidth="1"/>
    <col min="10762" max="10762" width="8.7109375" style="1" customWidth="1"/>
    <col min="10763" max="10763" width="15.42578125" style="1" customWidth="1"/>
    <col min="10764" max="10764" width="8.85546875" style="1" customWidth="1"/>
    <col min="10765" max="11011" width="9.140625" style="1"/>
    <col min="11012" max="11012" width="45" style="1" customWidth="1"/>
    <col min="11013" max="11013" width="18.5703125" style="1" customWidth="1"/>
    <col min="11014" max="11014" width="10" style="1" customWidth="1"/>
    <col min="11015" max="11015" width="16.42578125" style="1" customWidth="1"/>
    <col min="11016" max="11016" width="9.140625" style="1"/>
    <col min="11017" max="11017" width="17.140625" style="1" customWidth="1"/>
    <col min="11018" max="11018" width="8.7109375" style="1" customWidth="1"/>
    <col min="11019" max="11019" width="15.42578125" style="1" customWidth="1"/>
    <col min="11020" max="11020" width="8.85546875" style="1" customWidth="1"/>
    <col min="11021" max="11267" width="9.140625" style="1"/>
    <col min="11268" max="11268" width="45" style="1" customWidth="1"/>
    <col min="11269" max="11269" width="18.5703125" style="1" customWidth="1"/>
    <col min="11270" max="11270" width="10" style="1" customWidth="1"/>
    <col min="11271" max="11271" width="16.42578125" style="1" customWidth="1"/>
    <col min="11272" max="11272" width="9.140625" style="1"/>
    <col min="11273" max="11273" width="17.140625" style="1" customWidth="1"/>
    <col min="11274" max="11274" width="8.7109375" style="1" customWidth="1"/>
    <col min="11275" max="11275" width="15.42578125" style="1" customWidth="1"/>
    <col min="11276" max="11276" width="8.85546875" style="1" customWidth="1"/>
    <col min="11277" max="11523" width="9.140625" style="1"/>
    <col min="11524" max="11524" width="45" style="1" customWidth="1"/>
    <col min="11525" max="11525" width="18.5703125" style="1" customWidth="1"/>
    <col min="11526" max="11526" width="10" style="1" customWidth="1"/>
    <col min="11527" max="11527" width="16.42578125" style="1" customWidth="1"/>
    <col min="11528" max="11528" width="9.140625" style="1"/>
    <col min="11529" max="11529" width="17.140625" style="1" customWidth="1"/>
    <col min="11530" max="11530" width="8.7109375" style="1" customWidth="1"/>
    <col min="11531" max="11531" width="15.42578125" style="1" customWidth="1"/>
    <col min="11532" max="11532" width="8.85546875" style="1" customWidth="1"/>
    <col min="11533" max="11779" width="9.140625" style="1"/>
    <col min="11780" max="11780" width="45" style="1" customWidth="1"/>
    <col min="11781" max="11781" width="18.5703125" style="1" customWidth="1"/>
    <col min="11782" max="11782" width="10" style="1" customWidth="1"/>
    <col min="11783" max="11783" width="16.42578125" style="1" customWidth="1"/>
    <col min="11784" max="11784" width="9.140625" style="1"/>
    <col min="11785" max="11785" width="17.140625" style="1" customWidth="1"/>
    <col min="11786" max="11786" width="8.7109375" style="1" customWidth="1"/>
    <col min="11787" max="11787" width="15.42578125" style="1" customWidth="1"/>
    <col min="11788" max="11788" width="8.85546875" style="1" customWidth="1"/>
    <col min="11789" max="12035" width="9.140625" style="1"/>
    <col min="12036" max="12036" width="45" style="1" customWidth="1"/>
    <col min="12037" max="12037" width="18.5703125" style="1" customWidth="1"/>
    <col min="12038" max="12038" width="10" style="1" customWidth="1"/>
    <col min="12039" max="12039" width="16.42578125" style="1" customWidth="1"/>
    <col min="12040" max="12040" width="9.140625" style="1"/>
    <col min="12041" max="12041" width="17.140625" style="1" customWidth="1"/>
    <col min="12042" max="12042" width="8.7109375" style="1" customWidth="1"/>
    <col min="12043" max="12043" width="15.42578125" style="1" customWidth="1"/>
    <col min="12044" max="12044" width="8.85546875" style="1" customWidth="1"/>
    <col min="12045" max="12291" width="9.140625" style="1"/>
    <col min="12292" max="12292" width="45" style="1" customWidth="1"/>
    <col min="12293" max="12293" width="18.5703125" style="1" customWidth="1"/>
    <col min="12294" max="12294" width="10" style="1" customWidth="1"/>
    <col min="12295" max="12295" width="16.42578125" style="1" customWidth="1"/>
    <col min="12296" max="12296" width="9.140625" style="1"/>
    <col min="12297" max="12297" width="17.140625" style="1" customWidth="1"/>
    <col min="12298" max="12298" width="8.7109375" style="1" customWidth="1"/>
    <col min="12299" max="12299" width="15.42578125" style="1" customWidth="1"/>
    <col min="12300" max="12300" width="8.85546875" style="1" customWidth="1"/>
    <col min="12301" max="12547" width="9.140625" style="1"/>
    <col min="12548" max="12548" width="45" style="1" customWidth="1"/>
    <col min="12549" max="12549" width="18.5703125" style="1" customWidth="1"/>
    <col min="12550" max="12550" width="10" style="1" customWidth="1"/>
    <col min="12551" max="12551" width="16.42578125" style="1" customWidth="1"/>
    <col min="12552" max="12552" width="9.140625" style="1"/>
    <col min="12553" max="12553" width="17.140625" style="1" customWidth="1"/>
    <col min="12554" max="12554" width="8.7109375" style="1" customWidth="1"/>
    <col min="12555" max="12555" width="15.42578125" style="1" customWidth="1"/>
    <col min="12556" max="12556" width="8.85546875" style="1" customWidth="1"/>
    <col min="12557" max="12803" width="9.140625" style="1"/>
    <col min="12804" max="12804" width="45" style="1" customWidth="1"/>
    <col min="12805" max="12805" width="18.5703125" style="1" customWidth="1"/>
    <col min="12806" max="12806" width="10" style="1" customWidth="1"/>
    <col min="12807" max="12807" width="16.42578125" style="1" customWidth="1"/>
    <col min="12808" max="12808" width="9.140625" style="1"/>
    <col min="12809" max="12809" width="17.140625" style="1" customWidth="1"/>
    <col min="12810" max="12810" width="8.7109375" style="1" customWidth="1"/>
    <col min="12811" max="12811" width="15.42578125" style="1" customWidth="1"/>
    <col min="12812" max="12812" width="8.85546875" style="1" customWidth="1"/>
    <col min="12813" max="13059" width="9.140625" style="1"/>
    <col min="13060" max="13060" width="45" style="1" customWidth="1"/>
    <col min="13061" max="13061" width="18.5703125" style="1" customWidth="1"/>
    <col min="13062" max="13062" width="10" style="1" customWidth="1"/>
    <col min="13063" max="13063" width="16.42578125" style="1" customWidth="1"/>
    <col min="13064" max="13064" width="9.140625" style="1"/>
    <col min="13065" max="13065" width="17.140625" style="1" customWidth="1"/>
    <col min="13066" max="13066" width="8.7109375" style="1" customWidth="1"/>
    <col min="13067" max="13067" width="15.42578125" style="1" customWidth="1"/>
    <col min="13068" max="13068" width="8.85546875" style="1" customWidth="1"/>
    <col min="13069" max="13315" width="9.140625" style="1"/>
    <col min="13316" max="13316" width="45" style="1" customWidth="1"/>
    <col min="13317" max="13317" width="18.5703125" style="1" customWidth="1"/>
    <col min="13318" max="13318" width="10" style="1" customWidth="1"/>
    <col min="13319" max="13319" width="16.42578125" style="1" customWidth="1"/>
    <col min="13320" max="13320" width="9.140625" style="1"/>
    <col min="13321" max="13321" width="17.140625" style="1" customWidth="1"/>
    <col min="13322" max="13322" width="8.7109375" style="1" customWidth="1"/>
    <col min="13323" max="13323" width="15.42578125" style="1" customWidth="1"/>
    <col min="13324" max="13324" width="8.85546875" style="1" customWidth="1"/>
    <col min="13325" max="13571" width="9.140625" style="1"/>
    <col min="13572" max="13572" width="45" style="1" customWidth="1"/>
    <col min="13573" max="13573" width="18.5703125" style="1" customWidth="1"/>
    <col min="13574" max="13574" width="10" style="1" customWidth="1"/>
    <col min="13575" max="13575" width="16.42578125" style="1" customWidth="1"/>
    <col min="13576" max="13576" width="9.140625" style="1"/>
    <col min="13577" max="13577" width="17.140625" style="1" customWidth="1"/>
    <col min="13578" max="13578" width="8.7109375" style="1" customWidth="1"/>
    <col min="13579" max="13579" width="15.42578125" style="1" customWidth="1"/>
    <col min="13580" max="13580" width="8.85546875" style="1" customWidth="1"/>
    <col min="13581" max="13827" width="9.140625" style="1"/>
    <col min="13828" max="13828" width="45" style="1" customWidth="1"/>
    <col min="13829" max="13829" width="18.5703125" style="1" customWidth="1"/>
    <col min="13830" max="13830" width="10" style="1" customWidth="1"/>
    <col min="13831" max="13831" width="16.42578125" style="1" customWidth="1"/>
    <col min="13832" max="13832" width="9.140625" style="1"/>
    <col min="13833" max="13833" width="17.140625" style="1" customWidth="1"/>
    <col min="13834" max="13834" width="8.7109375" style="1" customWidth="1"/>
    <col min="13835" max="13835" width="15.42578125" style="1" customWidth="1"/>
    <col min="13836" max="13836" width="8.85546875" style="1" customWidth="1"/>
    <col min="13837" max="14083" width="9.140625" style="1"/>
    <col min="14084" max="14084" width="45" style="1" customWidth="1"/>
    <col min="14085" max="14085" width="18.5703125" style="1" customWidth="1"/>
    <col min="14086" max="14086" width="10" style="1" customWidth="1"/>
    <col min="14087" max="14087" width="16.42578125" style="1" customWidth="1"/>
    <col min="14088" max="14088" width="9.140625" style="1"/>
    <col min="14089" max="14089" width="17.140625" style="1" customWidth="1"/>
    <col min="14090" max="14090" width="8.7109375" style="1" customWidth="1"/>
    <col min="14091" max="14091" width="15.42578125" style="1" customWidth="1"/>
    <col min="14092" max="14092" width="8.85546875" style="1" customWidth="1"/>
    <col min="14093" max="14339" width="9.140625" style="1"/>
    <col min="14340" max="14340" width="45" style="1" customWidth="1"/>
    <col min="14341" max="14341" width="18.5703125" style="1" customWidth="1"/>
    <col min="14342" max="14342" width="10" style="1" customWidth="1"/>
    <col min="14343" max="14343" width="16.42578125" style="1" customWidth="1"/>
    <col min="14344" max="14344" width="9.140625" style="1"/>
    <col min="14345" max="14345" width="17.140625" style="1" customWidth="1"/>
    <col min="14346" max="14346" width="8.7109375" style="1" customWidth="1"/>
    <col min="14347" max="14347" width="15.42578125" style="1" customWidth="1"/>
    <col min="14348" max="14348" width="8.85546875" style="1" customWidth="1"/>
    <col min="14349" max="14595" width="9.140625" style="1"/>
    <col min="14596" max="14596" width="45" style="1" customWidth="1"/>
    <col min="14597" max="14597" width="18.5703125" style="1" customWidth="1"/>
    <col min="14598" max="14598" width="10" style="1" customWidth="1"/>
    <col min="14599" max="14599" width="16.42578125" style="1" customWidth="1"/>
    <col min="14600" max="14600" width="9.140625" style="1"/>
    <col min="14601" max="14601" width="17.140625" style="1" customWidth="1"/>
    <col min="14602" max="14602" width="8.7109375" style="1" customWidth="1"/>
    <col min="14603" max="14603" width="15.42578125" style="1" customWidth="1"/>
    <col min="14604" max="14604" width="8.85546875" style="1" customWidth="1"/>
    <col min="14605" max="14851" width="9.140625" style="1"/>
    <col min="14852" max="14852" width="45" style="1" customWidth="1"/>
    <col min="14853" max="14853" width="18.5703125" style="1" customWidth="1"/>
    <col min="14854" max="14854" width="10" style="1" customWidth="1"/>
    <col min="14855" max="14855" width="16.42578125" style="1" customWidth="1"/>
    <col min="14856" max="14856" width="9.140625" style="1"/>
    <col min="14857" max="14857" width="17.140625" style="1" customWidth="1"/>
    <col min="14858" max="14858" width="8.7109375" style="1" customWidth="1"/>
    <col min="14859" max="14859" width="15.42578125" style="1" customWidth="1"/>
    <col min="14860" max="14860" width="8.85546875" style="1" customWidth="1"/>
    <col min="14861" max="15107" width="9.140625" style="1"/>
    <col min="15108" max="15108" width="45" style="1" customWidth="1"/>
    <col min="15109" max="15109" width="18.5703125" style="1" customWidth="1"/>
    <col min="15110" max="15110" width="10" style="1" customWidth="1"/>
    <col min="15111" max="15111" width="16.42578125" style="1" customWidth="1"/>
    <col min="15112" max="15112" width="9.140625" style="1"/>
    <col min="15113" max="15113" width="17.140625" style="1" customWidth="1"/>
    <col min="15114" max="15114" width="8.7109375" style="1" customWidth="1"/>
    <col min="15115" max="15115" width="15.42578125" style="1" customWidth="1"/>
    <col min="15116" max="15116" width="8.85546875" style="1" customWidth="1"/>
    <col min="15117" max="15363" width="9.140625" style="1"/>
    <col min="15364" max="15364" width="45" style="1" customWidth="1"/>
    <col min="15365" max="15365" width="18.5703125" style="1" customWidth="1"/>
    <col min="15366" max="15366" width="10" style="1" customWidth="1"/>
    <col min="15367" max="15367" width="16.42578125" style="1" customWidth="1"/>
    <col min="15368" max="15368" width="9.140625" style="1"/>
    <col min="15369" max="15369" width="17.140625" style="1" customWidth="1"/>
    <col min="15370" max="15370" width="8.7109375" style="1" customWidth="1"/>
    <col min="15371" max="15371" width="15.42578125" style="1" customWidth="1"/>
    <col min="15372" max="15372" width="8.85546875" style="1" customWidth="1"/>
    <col min="15373" max="15619" width="9.140625" style="1"/>
    <col min="15620" max="15620" width="45" style="1" customWidth="1"/>
    <col min="15621" max="15621" width="18.5703125" style="1" customWidth="1"/>
    <col min="15622" max="15622" width="10" style="1" customWidth="1"/>
    <col min="15623" max="15623" width="16.42578125" style="1" customWidth="1"/>
    <col min="15624" max="15624" width="9.140625" style="1"/>
    <col min="15625" max="15625" width="17.140625" style="1" customWidth="1"/>
    <col min="15626" max="15626" width="8.7109375" style="1" customWidth="1"/>
    <col min="15627" max="15627" width="15.42578125" style="1" customWidth="1"/>
    <col min="15628" max="15628" width="8.85546875" style="1" customWidth="1"/>
    <col min="15629" max="15875" width="9.140625" style="1"/>
    <col min="15876" max="15876" width="45" style="1" customWidth="1"/>
    <col min="15877" max="15877" width="18.5703125" style="1" customWidth="1"/>
    <col min="15878" max="15878" width="10" style="1" customWidth="1"/>
    <col min="15879" max="15879" width="16.42578125" style="1" customWidth="1"/>
    <col min="15880" max="15880" width="9.140625" style="1"/>
    <col min="15881" max="15881" width="17.140625" style="1" customWidth="1"/>
    <col min="15882" max="15882" width="8.7109375" style="1" customWidth="1"/>
    <col min="15883" max="15883" width="15.42578125" style="1" customWidth="1"/>
    <col min="15884" max="15884" width="8.85546875" style="1" customWidth="1"/>
    <col min="15885" max="16131" width="9.140625" style="1"/>
    <col min="16132" max="16132" width="45" style="1" customWidth="1"/>
    <col min="16133" max="16133" width="18.5703125" style="1" customWidth="1"/>
    <col min="16134" max="16134" width="10" style="1" customWidth="1"/>
    <col min="16135" max="16135" width="16.42578125" style="1" customWidth="1"/>
    <col min="16136" max="16136" width="9.140625" style="1"/>
    <col min="16137" max="16137" width="17.140625" style="1" customWidth="1"/>
    <col min="16138" max="16138" width="8.7109375" style="1" customWidth="1"/>
    <col min="16139" max="16139" width="15.42578125" style="1" customWidth="1"/>
    <col min="16140" max="16140" width="8.85546875" style="1" customWidth="1"/>
    <col min="16141" max="16384" width="9.140625" style="1"/>
  </cols>
  <sheetData>
    <row r="1" spans="1:12" s="2" customFormat="1" ht="15" x14ac:dyDescent="0.25">
      <c r="A1" s="2" t="s">
        <v>1373</v>
      </c>
      <c r="B1" s="38"/>
      <c r="C1" s="38"/>
      <c r="D1" s="38"/>
      <c r="E1" s="38"/>
      <c r="F1" s="38"/>
      <c r="H1" s="38"/>
      <c r="I1" s="39"/>
      <c r="K1" s="38"/>
      <c r="L1" s="38"/>
    </row>
    <row r="2" spans="1:12" s="2" customFormat="1" ht="15.75" thickBot="1" x14ac:dyDescent="0.3">
      <c r="B2" s="38"/>
      <c r="C2" s="38"/>
      <c r="D2" s="38"/>
      <c r="E2" s="38"/>
      <c r="F2" s="38"/>
      <c r="H2" s="38"/>
      <c r="I2" s="39"/>
      <c r="K2" s="38"/>
      <c r="L2" s="38"/>
    </row>
    <row r="3" spans="1:12" s="2" customFormat="1" ht="45.75" thickBot="1" x14ac:dyDescent="0.3">
      <c r="A3" s="40" t="s">
        <v>1374</v>
      </c>
      <c r="B3" s="12" t="s">
        <v>1386</v>
      </c>
      <c r="C3" s="12" t="s">
        <v>1387</v>
      </c>
      <c r="D3" s="12" t="s">
        <v>1388</v>
      </c>
      <c r="E3" s="12" t="s">
        <v>1389</v>
      </c>
      <c r="F3" s="41" t="s">
        <v>1375</v>
      </c>
      <c r="G3" s="42" t="s">
        <v>1376</v>
      </c>
      <c r="H3" s="41" t="s">
        <v>1375</v>
      </c>
      <c r="I3" s="43" t="s">
        <v>1377</v>
      </c>
      <c r="J3" s="44" t="s">
        <v>1375</v>
      </c>
      <c r="K3" s="44" t="s">
        <v>1378</v>
      </c>
      <c r="L3" s="41" t="s">
        <v>1375</v>
      </c>
    </row>
    <row r="4" spans="1:12" x14ac:dyDescent="0.2">
      <c r="A4" s="17" t="s">
        <v>1379</v>
      </c>
      <c r="B4" s="45">
        <f>'Corporate Services'!G143+'Corporate Services'!G251+'Corporate Services'!G407</f>
        <v>20120961.009999998</v>
      </c>
      <c r="C4" s="45">
        <f>'Corporate Services'!K143+'Corporate Services'!K251+'Corporate Services'!K329+'Corporate Services'!K407</f>
        <v>46658627.969999999</v>
      </c>
      <c r="D4" s="45">
        <f>'All Dept'!J627+'All Dept'!J735+'All Dept'!J813+'All Dept'!J891</f>
        <v>46658627.969999999</v>
      </c>
      <c r="E4" s="45">
        <f>C4-D4</f>
        <v>0</v>
      </c>
      <c r="F4" s="46">
        <f>B4/B14*100</f>
        <v>11.051657603895775</v>
      </c>
      <c r="G4" s="47">
        <f>'[1]All depts'!K511</f>
        <v>29510717.923780609</v>
      </c>
      <c r="H4" s="45">
        <f>G4/G14*100</f>
        <v>17.717763612603388</v>
      </c>
      <c r="I4" s="48">
        <f>'[1]All depts'!L511</f>
        <v>30892143.441205248</v>
      </c>
      <c r="J4" s="45">
        <f>I4/I14*100</f>
        <v>17.278939835987185</v>
      </c>
      <c r="K4" s="49">
        <f>'[1]All depts'!M511</f>
        <v>32720491.528528582</v>
      </c>
      <c r="L4" s="49">
        <f>K4/K14*100</f>
        <v>17.855807901262633</v>
      </c>
    </row>
    <row r="5" spans="1:12" x14ac:dyDescent="0.2">
      <c r="A5" s="17" t="s">
        <v>1380</v>
      </c>
      <c r="B5" s="50">
        <f>'[1]All depts'!J646</f>
        <v>7628601.7999999998</v>
      </c>
      <c r="C5" s="50">
        <f>LEDP!K78+LEDP!K183+LEDP!K261+LEDP!K299</f>
        <v>10286549.449999999</v>
      </c>
      <c r="D5" s="50">
        <f>LEDP!K80+LEDP!K183+LEDP!K261+LEDP!K299</f>
        <v>10286549.449999999</v>
      </c>
      <c r="E5" s="45">
        <f>C5-D5</f>
        <v>0</v>
      </c>
      <c r="F5" s="46">
        <f>B5/B14*100</f>
        <v>4.1900928612784485</v>
      </c>
      <c r="G5" s="47">
        <f>'[1]All depts'!K646</f>
        <v>8491928.4800224099</v>
      </c>
      <c r="H5" s="50">
        <f>G5/G14*100</f>
        <v>5.0984182022534927</v>
      </c>
      <c r="I5" s="51">
        <f>'[1]All depts'!L646</f>
        <v>12206329.80162398</v>
      </c>
      <c r="J5" s="50">
        <f>I5/I14*100</f>
        <v>6.8273811644663729</v>
      </c>
      <c r="K5" s="46">
        <f>'[1]All depts'!M646</f>
        <v>7896125.1274176585</v>
      </c>
      <c r="L5" s="49">
        <f>K5/K14*100</f>
        <v>4.3089723550324344</v>
      </c>
    </row>
    <row r="6" spans="1:12" x14ac:dyDescent="0.2">
      <c r="A6" s="17" t="s">
        <v>1381</v>
      </c>
      <c r="B6" s="50">
        <f>MM!D100+MM!D166+MM!D217+MM!D285+MM!D365</f>
        <v>21522488</v>
      </c>
      <c r="C6" s="50">
        <f>MM!K100+MM!K166+MM!K217+MM!K285+MM!K365</f>
        <v>21317531.57</v>
      </c>
      <c r="D6" s="50">
        <f>'All Dept'!J1290+'All Dept'!J1356+'All Dept'!J1407+'All Dept'!J1475+'All Dept'!J1555</f>
        <v>21317531.57</v>
      </c>
      <c r="E6" s="45">
        <f>C6-D6</f>
        <v>0</v>
      </c>
      <c r="F6" s="46">
        <f>B6/B14*100</f>
        <v>11.821461611189495</v>
      </c>
      <c r="G6" s="47">
        <f>'[1]All depts'!K747</f>
        <v>22328789.418270342</v>
      </c>
      <c r="H6" s="50">
        <f>G6/G14*100</f>
        <v>13.405848468014215</v>
      </c>
      <c r="I6" s="52">
        <f>'[1]All depts'!L747</f>
        <v>23837903.372781262</v>
      </c>
      <c r="J6" s="50">
        <f>I6/I14*100</f>
        <v>13.333283233592724</v>
      </c>
      <c r="K6" s="46">
        <f>'[1]All depts'!M747</f>
        <v>25355736.996305421</v>
      </c>
      <c r="L6" s="46">
        <f>K6/K14*100</f>
        <v>13.836808307302567</v>
      </c>
    </row>
    <row r="7" spans="1:12" x14ac:dyDescent="0.2">
      <c r="A7" s="17" t="s">
        <v>1382</v>
      </c>
      <c r="B7" s="50">
        <f>'[1]All depts'!J821</f>
        <v>14767640.600000001</v>
      </c>
      <c r="C7" s="50">
        <f>mayors!K94+mayors!K118+mayors!K181+mayors!K231+mayors!K281+mayors!K326</f>
        <v>19830195.960000001</v>
      </c>
      <c r="D7" s="50">
        <f>'All Dept'!J1650+'All Dept'!J1674+'All Dept'!J1737+'All Dept'!J1787+'All Dept'!J1837+'All Dept'!J1882</f>
        <v>19830195.960000001</v>
      </c>
      <c r="E7" s="45">
        <f t="shared" ref="E7:E12" si="0">C7-D7</f>
        <v>0</v>
      </c>
      <c r="F7" s="46">
        <f>B7/B14*100</f>
        <v>8.1112878976047487</v>
      </c>
      <c r="G7" s="47">
        <f>'[1]All depts'!K821</f>
        <v>17201803.959240146</v>
      </c>
      <c r="H7" s="50">
        <f>G7/G14*100</f>
        <v>10.32768830115662</v>
      </c>
      <c r="I7" s="51">
        <f>'[1]All depts'!L821</f>
        <v>18257754.655310951</v>
      </c>
      <c r="J7" s="50">
        <f>I7/I14*100</f>
        <v>10.212131923760895</v>
      </c>
      <c r="K7" s="46">
        <f>'[1]All depts'!M821</f>
        <v>19519617.561579823</v>
      </c>
      <c r="L7" s="46">
        <f>K7/K14*100</f>
        <v>10.651995896265664</v>
      </c>
    </row>
    <row r="8" spans="1:12" x14ac:dyDescent="0.2">
      <c r="A8" s="17" t="s">
        <v>1383</v>
      </c>
      <c r="B8" s="50">
        <f>'[1]All depts'!J915</f>
        <v>52044971.780000001</v>
      </c>
      <c r="C8" s="50">
        <f>'B&amp;T'!K149+'B&amp;T'!K244+'B&amp;T'!K360+'B&amp;T'!K444+'B&amp;T'!K512</f>
        <v>33379262.129999999</v>
      </c>
      <c r="D8" s="50">
        <f>'All Dept'!J2031+'All Dept'!J2046+'All Dept'!J2126+'All Dept'!J2242+'All Dept'!J2326+'All Dept'!J2394</f>
        <v>33379262.129999999</v>
      </c>
      <c r="E8" s="45">
        <f t="shared" si="0"/>
        <v>0</v>
      </c>
      <c r="F8" s="46">
        <f>B8/B14*100</f>
        <v>28.586269206083912</v>
      </c>
      <c r="G8" s="47">
        <f>'[1]All depts'!K915</f>
        <v>44564093.583398275</v>
      </c>
      <c r="H8" s="50">
        <f>G8/G14*100</f>
        <v>26.755569883453173</v>
      </c>
      <c r="I8" s="51">
        <f>'[1]All depts'!L915</f>
        <v>47204273.471831188</v>
      </c>
      <c r="J8" s="50">
        <f>I8/I14*100</f>
        <v>26.402823192686657</v>
      </c>
      <c r="K8" s="46">
        <f>'[1]All depts'!M915</f>
        <v>49300055.39406947</v>
      </c>
      <c r="L8" s="46">
        <f>K8/K14*100</f>
        <v>26.903395319431418</v>
      </c>
    </row>
    <row r="9" spans="1:12" x14ac:dyDescent="0.2">
      <c r="A9" s="17" t="s">
        <v>1384</v>
      </c>
      <c r="B9" s="50">
        <f>'[1]All depts'!J1054</f>
        <v>20926737.559999999</v>
      </c>
      <c r="C9" s="50">
        <f>Community!K110+Community!K164+Community!K283+Community!K386+Community!K465+Community!K539</f>
        <v>29798476.989999995</v>
      </c>
      <c r="D9" s="50">
        <f>'All Dept'!J2505+'All Dept'!J2559+'All Dept'!J2678+'All Dept'!J2781+'All Dept'!J2860+'All Dept'!J2934</f>
        <v>29798476.989999995</v>
      </c>
      <c r="E9" s="45">
        <f t="shared" si="0"/>
        <v>0</v>
      </c>
      <c r="F9" s="46">
        <f>B9/B14*100</f>
        <v>11.494239174995812</v>
      </c>
      <c r="G9" s="47">
        <f>'[1]All depts'!K1054</f>
        <v>22611764.280829977</v>
      </c>
      <c r="H9" s="50">
        <f>G9/G14*100</f>
        <v>13.575742055018425</v>
      </c>
      <c r="I9" s="51">
        <f>'[1]All depts'!L1054</f>
        <v>22673077.291096076</v>
      </c>
      <c r="J9" s="50">
        <f>I9/I14*100</f>
        <v>12.681759656954764</v>
      </c>
      <c r="K9" s="46">
        <f>'[1]All depts'!M1054</f>
        <v>24233430.530547969</v>
      </c>
      <c r="L9" s="46">
        <f>K9/K14*100</f>
        <v>13.224357585361618</v>
      </c>
    </row>
    <row r="10" spans="1:12" x14ac:dyDescent="0.2">
      <c r="A10" s="17" t="s">
        <v>1390</v>
      </c>
      <c r="B10" s="50">
        <f>'All Dept'!C2953+'All Dept'!C3005+'All Dept'!C3087+'All Dept'!C3183+'All Dept'!C3313+'All Dept'!C3423+'All Dept'!C3495</f>
        <v>45051433</v>
      </c>
      <c r="C10" s="50">
        <f>Technical!K18+Technical!K70+Technical!K153+Technical!K250+Technical!K380+Technical!K490+Technical!K562</f>
        <v>50982207.26000002</v>
      </c>
      <c r="D10" s="50">
        <f>'All Dept'!J2953+'All Dept'!J3005+'All Dept'!J3087+'All Dept'!J3183+'All Dept'!J3313+'All Dept'!J3423+'All Dept'!J3495</f>
        <v>50982207.26000002</v>
      </c>
      <c r="E10" s="45">
        <f t="shared" si="0"/>
        <v>0</v>
      </c>
      <c r="F10" s="46">
        <f>B10/B14*100</f>
        <v>24.74499164495181</v>
      </c>
      <c r="G10" s="47">
        <f>'[1]All depts'!K1197</f>
        <v>7272492.6714955252</v>
      </c>
      <c r="H10" s="50">
        <f>G10/G14*100</f>
        <v>4.3662884230991628</v>
      </c>
      <c r="I10" s="51">
        <f>'[1]All depts'!L1197</f>
        <v>7687024.7537707705</v>
      </c>
      <c r="J10" s="50">
        <f>I10/I14*100</f>
        <v>4.2995928233643887</v>
      </c>
      <c r="K10" s="46">
        <f>'[1]All depts'!M1197</f>
        <v>8186137.9133669809</v>
      </c>
      <c r="L10" s="46">
        <f>K10/K14*100</f>
        <v>4.4672344211846537</v>
      </c>
    </row>
    <row r="11" spans="1:12" x14ac:dyDescent="0.2">
      <c r="A11" s="53"/>
      <c r="B11" s="54">
        <v>0</v>
      </c>
      <c r="C11" s="54"/>
      <c r="D11" s="54"/>
      <c r="E11" s="45">
        <f t="shared" si="0"/>
        <v>0</v>
      </c>
      <c r="F11" s="46">
        <f>B11/B14*100</f>
        <v>0</v>
      </c>
      <c r="G11" s="55">
        <f>'[1]All depts'!K1317</f>
        <v>7107114.9005914684</v>
      </c>
      <c r="H11" s="50">
        <f>G11/G14*100</f>
        <v>4.2669982513308859</v>
      </c>
      <c r="I11" s="51">
        <f>'[1]All depts'!L1317</f>
        <v>8032089.3436328713</v>
      </c>
      <c r="J11" s="50">
        <f>I11/I14*100</f>
        <v>4.4925982164380196</v>
      </c>
      <c r="K11" s="46">
        <f>'[1]All depts'!M1317</f>
        <v>7482901.1976871723</v>
      </c>
      <c r="L11" s="46">
        <f>K11/K14*100</f>
        <v>4.0834730802724808</v>
      </c>
    </row>
    <row r="12" spans="1:12" x14ac:dyDescent="0.2">
      <c r="A12" s="53"/>
      <c r="B12" s="54">
        <v>0</v>
      </c>
      <c r="C12" s="54"/>
      <c r="D12" s="54"/>
      <c r="E12" s="45">
        <f t="shared" si="0"/>
        <v>0</v>
      </c>
      <c r="F12" s="46">
        <f>B12/B14*100</f>
        <v>0</v>
      </c>
      <c r="G12" s="55">
        <f>'[1]All depts'!K1410</f>
        <v>7471356.0238949638</v>
      </c>
      <c r="H12" s="50">
        <f>G12/G14*100</f>
        <v>4.4856828030706453</v>
      </c>
      <c r="I12" s="51">
        <f>'[1]All depts'!L1410</f>
        <v>7994350.9455676116</v>
      </c>
      <c r="J12" s="50">
        <f>I12/I14*100</f>
        <v>4.4714899527489944</v>
      </c>
      <c r="K12" s="46">
        <f>'[1]All depts'!M1410</f>
        <v>8553955.5117573459</v>
      </c>
      <c r="L12" s="46">
        <f>K12/K14*100</f>
        <v>4.6679551338865348</v>
      </c>
    </row>
    <row r="13" spans="1:12" ht="15" thickBot="1" x14ac:dyDescent="0.25">
      <c r="A13" s="53"/>
      <c r="B13" s="54"/>
      <c r="C13" s="54"/>
      <c r="D13" s="54"/>
      <c r="E13" s="54"/>
      <c r="F13" s="54"/>
      <c r="G13" s="56"/>
      <c r="H13" s="54"/>
      <c r="I13" s="57"/>
      <c r="J13" s="56"/>
      <c r="K13" s="58"/>
      <c r="L13" s="58"/>
    </row>
    <row r="14" spans="1:12" s="2" customFormat="1" ht="15.75" thickBot="1" x14ac:dyDescent="0.3">
      <c r="A14" s="40" t="s">
        <v>1385</v>
      </c>
      <c r="B14" s="59">
        <f>SUM(B4:B13)</f>
        <v>182062833.75</v>
      </c>
      <c r="C14" s="59">
        <f>SUM(C4:C13)</f>
        <v>212252851.33000001</v>
      </c>
      <c r="D14" s="59">
        <f>SUM(D4:D13)</f>
        <v>212252851.33000001</v>
      </c>
      <c r="E14" s="59">
        <f>SUM(E4:E13)</f>
        <v>0</v>
      </c>
      <c r="F14" s="60">
        <f>B14/B14*100</f>
        <v>100</v>
      </c>
      <c r="G14" s="61">
        <f>SUM(G4:G13)</f>
        <v>166560061.24152371</v>
      </c>
      <c r="H14" s="62">
        <f>G14/G14*100</f>
        <v>100</v>
      </c>
      <c r="I14" s="63">
        <f>SUM(I4:I13)</f>
        <v>178784947.07681996</v>
      </c>
      <c r="J14" s="62">
        <f>I14/I14*100</f>
        <v>100</v>
      </c>
      <c r="K14" s="63">
        <f>SUM(K4:K13)</f>
        <v>183248451.76126042</v>
      </c>
      <c r="L14" s="60">
        <f>K14/K14*100</f>
        <v>100</v>
      </c>
    </row>
    <row r="15" spans="1:12" x14ac:dyDescent="0.2">
      <c r="C15" s="37">
        <f>Summary!C15</f>
        <v>212252851.33000001</v>
      </c>
      <c r="D15" s="37">
        <f>C15</f>
        <v>212252851.33000001</v>
      </c>
      <c r="G15" s="37"/>
    </row>
    <row r="16" spans="1:12" x14ac:dyDescent="0.2">
      <c r="A16" s="65"/>
      <c r="C16" s="37">
        <f>C14-C15</f>
        <v>0</v>
      </c>
      <c r="D16" s="37">
        <f>D14-D15</f>
        <v>0</v>
      </c>
      <c r="G16" s="65"/>
    </row>
    <row r="17" spans="10:10" x14ac:dyDescent="0.2">
      <c r="J17" s="66"/>
    </row>
  </sheetData>
  <pageMargins left="0.7" right="0.7" top="0.75" bottom="0.75" header="0.3" footer="0.3"/>
  <pageSetup scale="83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7"/>
  <sheetViews>
    <sheetView zoomScale="90" zoomScaleNormal="90" workbookViewId="0"/>
  </sheetViews>
  <sheetFormatPr defaultColWidth="9.140625" defaultRowHeight="15" x14ac:dyDescent="0.25"/>
  <cols>
    <col min="1" max="1" width="24.28515625" style="124" bestFit="1" customWidth="1"/>
    <col min="2" max="2" width="55.140625" style="124" bestFit="1" customWidth="1"/>
    <col min="3" max="3" width="17.140625" style="130" customWidth="1"/>
    <col min="4" max="9" width="0" style="130" hidden="1" customWidth="1"/>
    <col min="10" max="10" width="15" style="130" customWidth="1"/>
    <col min="11" max="11" width="16.85546875" style="130" customWidth="1"/>
    <col min="12" max="12" width="15.5703125" style="130" customWidth="1"/>
    <col min="13" max="13" width="16" style="130" customWidth="1"/>
    <col min="14" max="14" width="9.140625" style="125"/>
    <col min="15" max="16384" width="9.140625" style="124"/>
  </cols>
  <sheetData>
    <row r="1" spans="1:14" s="114" customFormat="1" ht="105.75" thickBot="1" x14ac:dyDescent="0.3">
      <c r="A1" s="111" t="s">
        <v>0</v>
      </c>
      <c r="B1" s="112" t="s">
        <v>1</v>
      </c>
      <c r="C1" s="158" t="s">
        <v>1336</v>
      </c>
      <c r="D1" s="159" t="s">
        <v>3012</v>
      </c>
      <c r="E1" s="158" t="s">
        <v>3013</v>
      </c>
      <c r="F1" s="158" t="s">
        <v>3014</v>
      </c>
      <c r="G1" s="158" t="s">
        <v>3015</v>
      </c>
      <c r="H1" s="160" t="s">
        <v>7</v>
      </c>
      <c r="I1" s="160" t="s">
        <v>1322</v>
      </c>
      <c r="J1" s="158" t="s">
        <v>3012</v>
      </c>
      <c r="K1" s="158" t="s">
        <v>3013</v>
      </c>
      <c r="L1" s="158" t="s">
        <v>3014</v>
      </c>
      <c r="M1" s="127" t="s">
        <v>3015</v>
      </c>
      <c r="N1" s="113"/>
    </row>
    <row r="2" spans="1:14" s="114" customFormat="1" x14ac:dyDescent="0.25">
      <c r="A2" s="115"/>
      <c r="B2" s="116"/>
      <c r="C2" s="161"/>
      <c r="D2" s="161"/>
      <c r="E2" s="161"/>
      <c r="F2" s="161"/>
      <c r="G2" s="161"/>
      <c r="H2" s="161"/>
      <c r="I2" s="161"/>
      <c r="J2" s="162"/>
      <c r="K2" s="162"/>
      <c r="L2" s="162"/>
      <c r="M2" s="128"/>
      <c r="N2" s="113"/>
    </row>
    <row r="3" spans="1:14" s="114" customFormat="1" x14ac:dyDescent="0.25">
      <c r="A3" s="118"/>
      <c r="B3" s="117" t="s">
        <v>8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13"/>
    </row>
    <row r="4" spans="1:14" s="114" customFormat="1" x14ac:dyDescent="0.25">
      <c r="A4" s="118"/>
      <c r="B4" s="117" t="s">
        <v>9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13"/>
    </row>
    <row r="5" spans="1:14" s="114" customFormat="1" x14ac:dyDescent="0.25">
      <c r="A5" s="118"/>
      <c r="B5" s="117" t="s">
        <v>10</v>
      </c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13"/>
    </row>
    <row r="6" spans="1:14" s="114" customFormat="1" x14ac:dyDescent="0.25">
      <c r="A6" s="118"/>
      <c r="B6" s="117" t="s">
        <v>11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13"/>
    </row>
    <row r="7" spans="1:14" s="123" customFormat="1" ht="14.25" x14ac:dyDescent="0.2">
      <c r="A7" s="119"/>
      <c r="B7" s="120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2"/>
    </row>
    <row r="8" spans="1:14" s="123" customFormat="1" ht="14.25" x14ac:dyDescent="0.2">
      <c r="A8" s="119">
        <v>1.00010203E+19</v>
      </c>
      <c r="B8" s="120" t="s">
        <v>12</v>
      </c>
      <c r="C8" s="129">
        <v>-1411279</v>
      </c>
      <c r="D8" s="129">
        <v>-141346.4</v>
      </c>
      <c r="E8" s="129">
        <v>0</v>
      </c>
      <c r="F8" s="129">
        <v>-848078.4</v>
      </c>
      <c r="G8" s="129">
        <v>-563200.6</v>
      </c>
      <c r="H8" s="129">
        <v>60.09</v>
      </c>
      <c r="I8" s="129"/>
      <c r="J8" s="129">
        <v>-1696156</v>
      </c>
      <c r="K8" s="129">
        <f>J8*4.5/100+J8</f>
        <v>-1772483.02</v>
      </c>
      <c r="L8" s="129">
        <f>K8*4.6/100+K8</f>
        <v>-1854017.2389199999</v>
      </c>
      <c r="M8" s="129">
        <f>L8*4.6/100+L8</f>
        <v>-1939302.0319103198</v>
      </c>
      <c r="N8" s="122"/>
    </row>
    <row r="9" spans="1:14" s="123" customFormat="1" ht="14.25" x14ac:dyDescent="0.2">
      <c r="A9" s="119">
        <v>1.00010215E+19</v>
      </c>
      <c r="B9" s="120" t="s">
        <v>13</v>
      </c>
      <c r="C9" s="129">
        <v>0</v>
      </c>
      <c r="D9" s="129">
        <v>-464849.13</v>
      </c>
      <c r="E9" s="129">
        <v>0</v>
      </c>
      <c r="F9" s="129">
        <v>-2748139.43</v>
      </c>
      <c r="G9" s="129">
        <v>2748139.43</v>
      </c>
      <c r="H9" s="129">
        <v>0</v>
      </c>
      <c r="I9" s="129">
        <f>I1835</f>
        <v>0</v>
      </c>
      <c r="J9" s="129">
        <v>-5496279</v>
      </c>
      <c r="K9" s="129">
        <f t="shared" ref="K9:K16" si="0">J9*4.5/100+J9</f>
        <v>-5743611.5549999997</v>
      </c>
      <c r="L9" s="129">
        <f t="shared" ref="L9:M16" si="1">K9*4.6/100+K9</f>
        <v>-6007817.6865299996</v>
      </c>
      <c r="M9" s="129">
        <f t="shared" si="1"/>
        <v>-6284177.3001103792</v>
      </c>
      <c r="N9" s="122"/>
    </row>
    <row r="10" spans="1:14" s="123" customFormat="1" ht="14.25" x14ac:dyDescent="0.2">
      <c r="A10" s="119">
        <v>1.0001023609999999E+19</v>
      </c>
      <c r="B10" s="120" t="s">
        <v>14</v>
      </c>
      <c r="C10" s="129">
        <v>-7880</v>
      </c>
      <c r="D10" s="129">
        <v>0</v>
      </c>
      <c r="E10" s="129">
        <v>0</v>
      </c>
      <c r="F10" s="129">
        <v>0</v>
      </c>
      <c r="G10" s="129">
        <v>-7880</v>
      </c>
      <c r="H10" s="129">
        <v>0</v>
      </c>
      <c r="I10" s="129">
        <f>I1836</f>
        <v>0</v>
      </c>
      <c r="J10" s="129">
        <v>0</v>
      </c>
      <c r="K10" s="129">
        <f t="shared" si="0"/>
        <v>0</v>
      </c>
      <c r="L10" s="129">
        <f t="shared" si="1"/>
        <v>0</v>
      </c>
      <c r="M10" s="129">
        <f t="shared" si="1"/>
        <v>0</v>
      </c>
      <c r="N10" s="122"/>
    </row>
    <row r="11" spans="1:14" s="123" customFormat="1" ht="14.25" x14ac:dyDescent="0.2">
      <c r="A11" s="119">
        <v>1.0001024529999999E+19</v>
      </c>
      <c r="B11" s="120" t="s">
        <v>15</v>
      </c>
      <c r="C11" s="129">
        <v>-22835</v>
      </c>
      <c r="D11" s="129">
        <v>-501.78</v>
      </c>
      <c r="E11" s="129">
        <v>0</v>
      </c>
      <c r="F11" s="129">
        <v>-3010.68</v>
      </c>
      <c r="G11" s="129">
        <v>-19824.32</v>
      </c>
      <c r="H11" s="129">
        <v>13.18</v>
      </c>
      <c r="I11" s="129">
        <f>I1837</f>
        <v>0</v>
      </c>
      <c r="J11" s="129">
        <v>-6022</v>
      </c>
      <c r="K11" s="129">
        <f t="shared" si="0"/>
        <v>-6292.99</v>
      </c>
      <c r="L11" s="129">
        <f t="shared" si="1"/>
        <v>-6582.4675399999996</v>
      </c>
      <c r="M11" s="129">
        <f t="shared" si="1"/>
        <v>-6885.2610468399998</v>
      </c>
      <c r="N11" s="122"/>
    </row>
    <row r="12" spans="1:14" s="123" customFormat="1" ht="14.25" x14ac:dyDescent="0.2">
      <c r="A12" s="119">
        <v>1.00010251E+19</v>
      </c>
      <c r="B12" s="120" t="s">
        <v>16</v>
      </c>
      <c r="C12" s="129">
        <v>-1954883</v>
      </c>
      <c r="D12" s="129">
        <v>-181892.18</v>
      </c>
      <c r="E12" s="129">
        <v>0</v>
      </c>
      <c r="F12" s="129">
        <v>-930342.28</v>
      </c>
      <c r="G12" s="129">
        <v>-1024540.72</v>
      </c>
      <c r="H12" s="129">
        <v>47.59</v>
      </c>
      <c r="I12" s="129">
        <f>I1838+I1839</f>
        <v>0</v>
      </c>
      <c r="J12" s="129">
        <v>1724122</v>
      </c>
      <c r="K12" s="129">
        <f t="shared" si="0"/>
        <v>1801707.49</v>
      </c>
      <c r="L12" s="129">
        <f t="shared" si="1"/>
        <v>1884586.0345399999</v>
      </c>
      <c r="M12" s="129">
        <f t="shared" si="1"/>
        <v>1971276.9921288399</v>
      </c>
      <c r="N12" s="122"/>
    </row>
    <row r="13" spans="1:14" s="123" customFormat="1" ht="14.25" x14ac:dyDescent="0.2">
      <c r="A13" s="119">
        <v>1.0001025110000001E+19</v>
      </c>
      <c r="B13" s="120" t="s">
        <v>17</v>
      </c>
      <c r="C13" s="129">
        <v>-214619</v>
      </c>
      <c r="D13" s="129">
        <v>-4726.59</v>
      </c>
      <c r="E13" s="129">
        <v>0</v>
      </c>
      <c r="F13" s="129">
        <v>-28359.54</v>
      </c>
      <c r="G13" s="129">
        <v>-186259.46</v>
      </c>
      <c r="H13" s="129">
        <v>13.21</v>
      </c>
      <c r="I13" s="129">
        <f>I1840</f>
        <v>0</v>
      </c>
      <c r="J13" s="129">
        <v>-3584807</v>
      </c>
      <c r="K13" s="129">
        <f t="shared" si="0"/>
        <v>-3746123.3149999999</v>
      </c>
      <c r="L13" s="129">
        <f t="shared" si="1"/>
        <v>-3918444.9874899997</v>
      </c>
      <c r="M13" s="129">
        <f t="shared" si="1"/>
        <v>-4098693.4569145399</v>
      </c>
      <c r="N13" s="122"/>
    </row>
    <row r="14" spans="1:14" s="123" customFormat="1" ht="14.25" x14ac:dyDescent="0.2">
      <c r="A14" s="119">
        <v>1.00010254E+19</v>
      </c>
      <c r="B14" s="120" t="s">
        <v>18</v>
      </c>
      <c r="C14" s="129">
        <v>-1327315</v>
      </c>
      <c r="D14" s="129">
        <v>0</v>
      </c>
      <c r="E14" s="129">
        <v>0</v>
      </c>
      <c r="F14" s="129">
        <v>0</v>
      </c>
      <c r="G14" s="129">
        <v>-1327315</v>
      </c>
      <c r="H14" s="129">
        <v>0</v>
      </c>
      <c r="I14" s="129">
        <f>I1841</f>
        <v>0</v>
      </c>
      <c r="J14" s="129">
        <v>-56720</v>
      </c>
      <c r="K14" s="129">
        <f t="shared" si="0"/>
        <v>-59272.4</v>
      </c>
      <c r="L14" s="129">
        <f t="shared" si="1"/>
        <v>-61998.930399999997</v>
      </c>
      <c r="M14" s="129">
        <f t="shared" si="1"/>
        <v>-64850.881198399999</v>
      </c>
      <c r="N14" s="122"/>
    </row>
    <row r="15" spans="1:14" s="123" customFormat="1" ht="14.25" x14ac:dyDescent="0.2">
      <c r="A15" s="119">
        <v>1.000102546E+19</v>
      </c>
      <c r="B15" s="120" t="s">
        <v>19</v>
      </c>
      <c r="C15" s="129">
        <v>-10352372</v>
      </c>
      <c r="D15" s="129">
        <v>-1236991.79</v>
      </c>
      <c r="E15" s="129">
        <v>0</v>
      </c>
      <c r="F15" s="129">
        <v>-7421950.7400000002</v>
      </c>
      <c r="G15" s="129">
        <v>-2930421.26</v>
      </c>
      <c r="H15" s="129">
        <v>71.69</v>
      </c>
      <c r="I15" s="129">
        <f>I1842</f>
        <v>0</v>
      </c>
      <c r="J15" s="129">
        <v>0</v>
      </c>
      <c r="K15" s="129">
        <f t="shared" si="0"/>
        <v>0</v>
      </c>
      <c r="L15" s="129">
        <f t="shared" si="1"/>
        <v>0</v>
      </c>
      <c r="M15" s="129">
        <f t="shared" si="1"/>
        <v>0</v>
      </c>
      <c r="N15" s="122"/>
    </row>
    <row r="16" spans="1:14" s="123" customFormat="1" ht="14.25" x14ac:dyDescent="0.2">
      <c r="A16" s="119">
        <v>1.000102548E+19</v>
      </c>
      <c r="B16" s="120" t="s">
        <v>20</v>
      </c>
      <c r="C16" s="129">
        <v>0</v>
      </c>
      <c r="D16" s="129">
        <v>348636.42</v>
      </c>
      <c r="E16" s="129">
        <v>0</v>
      </c>
      <c r="F16" s="129">
        <v>2050848.2</v>
      </c>
      <c r="G16" s="129">
        <v>-2050848.2</v>
      </c>
      <c r="H16" s="129">
        <v>0</v>
      </c>
      <c r="I16" s="129">
        <f>I1843</f>
        <v>0</v>
      </c>
      <c r="J16" s="129">
        <v>-10742205</v>
      </c>
      <c r="K16" s="129">
        <f t="shared" si="0"/>
        <v>-11225604.225</v>
      </c>
      <c r="L16" s="129">
        <f t="shared" si="1"/>
        <v>-11741982.01935</v>
      </c>
      <c r="M16" s="129">
        <f t="shared" si="1"/>
        <v>-12282113.1922401</v>
      </c>
      <c r="N16" s="122"/>
    </row>
    <row r="17" spans="1:14" s="123" customFormat="1" ht="14.25" x14ac:dyDescent="0.2">
      <c r="A17" s="119"/>
      <c r="B17" s="120"/>
      <c r="C17" s="129"/>
      <c r="D17" s="129"/>
      <c r="E17" s="129"/>
      <c r="F17" s="129"/>
      <c r="G17" s="129"/>
      <c r="H17" s="129"/>
      <c r="I17" s="129"/>
      <c r="J17" s="129">
        <v>0</v>
      </c>
      <c r="K17" s="129"/>
      <c r="L17" s="129"/>
      <c r="M17" s="129"/>
      <c r="N17" s="122"/>
    </row>
    <row r="18" spans="1:14" s="114" customFormat="1" x14ac:dyDescent="0.25">
      <c r="A18" s="118"/>
      <c r="B18" s="117" t="s">
        <v>21</v>
      </c>
      <c r="C18" s="128">
        <f>SUM(C8:C17)</f>
        <v>-15291183</v>
      </c>
      <c r="D18" s="128">
        <f t="shared" ref="D18:M18" si="2">SUM(D8:D17)</f>
        <v>-1681671.4500000002</v>
      </c>
      <c r="E18" s="128">
        <f t="shared" si="2"/>
        <v>0</v>
      </c>
      <c r="F18" s="128">
        <f t="shared" si="2"/>
        <v>-9929032.870000001</v>
      </c>
      <c r="G18" s="128">
        <f t="shared" si="2"/>
        <v>-5362150.13</v>
      </c>
      <c r="H18" s="128">
        <f t="shared" si="2"/>
        <v>205.76000000000002</v>
      </c>
      <c r="I18" s="128">
        <f t="shared" si="2"/>
        <v>0</v>
      </c>
      <c r="J18" s="128">
        <f t="shared" si="2"/>
        <v>-19858067</v>
      </c>
      <c r="K18" s="128">
        <f t="shared" si="2"/>
        <v>-20751680.015000001</v>
      </c>
      <c r="L18" s="128">
        <f t="shared" si="2"/>
        <v>-21706257.29569</v>
      </c>
      <c r="M18" s="128">
        <f t="shared" si="2"/>
        <v>-22704745.13129174</v>
      </c>
      <c r="N18" s="113"/>
    </row>
    <row r="19" spans="1:14" s="114" customFormat="1" x14ac:dyDescent="0.25">
      <c r="A19" s="118"/>
      <c r="B19" s="117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13"/>
    </row>
    <row r="20" spans="1:14" s="114" customFormat="1" x14ac:dyDescent="0.25">
      <c r="A20" s="118"/>
      <c r="B20" s="117" t="s">
        <v>22</v>
      </c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13"/>
    </row>
    <row r="21" spans="1:14" s="123" customFormat="1" ht="14.25" x14ac:dyDescent="0.2">
      <c r="A21" s="119"/>
      <c r="B21" s="120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2"/>
    </row>
    <row r="22" spans="1:14" s="123" customFormat="1" ht="14.25" x14ac:dyDescent="0.2">
      <c r="A22" s="119">
        <v>1.000104002E+19</v>
      </c>
      <c r="B22" s="120" t="s">
        <v>23</v>
      </c>
      <c r="C22" s="129">
        <v>-30535</v>
      </c>
      <c r="D22" s="129">
        <v>0</v>
      </c>
      <c r="E22" s="129">
        <v>0</v>
      </c>
      <c r="F22" s="129">
        <v>0</v>
      </c>
      <c r="G22" s="129">
        <v>-30535</v>
      </c>
      <c r="H22" s="129">
        <v>0</v>
      </c>
      <c r="I22" s="129">
        <f>I3126</f>
        <v>0</v>
      </c>
      <c r="J22" s="129"/>
      <c r="K22" s="180">
        <f>C22*6/100+C22</f>
        <v>-32367.1</v>
      </c>
      <c r="L22" s="129">
        <f>K22*7/100+K22</f>
        <v>-34632.796999999999</v>
      </c>
      <c r="M22" s="180">
        <f>L22*8/100+L22</f>
        <v>-37403.420760000001</v>
      </c>
      <c r="N22" s="122"/>
    </row>
    <row r="23" spans="1:14" s="123" customFormat="1" ht="14.25" x14ac:dyDescent="0.2">
      <c r="A23" s="119">
        <v>1.000104008E+19</v>
      </c>
      <c r="B23" s="120" t="s">
        <v>24</v>
      </c>
      <c r="C23" s="129">
        <v>-1200007</v>
      </c>
      <c r="D23" s="129">
        <v>-21350</v>
      </c>
      <c r="E23" s="129">
        <v>0</v>
      </c>
      <c r="F23" s="129">
        <v>-64050</v>
      </c>
      <c r="G23" s="129">
        <v>-1135957</v>
      </c>
      <c r="H23" s="129">
        <v>5.33</v>
      </c>
      <c r="I23" s="129">
        <f>I2635</f>
        <v>0</v>
      </c>
      <c r="J23" s="129">
        <v>-1200007</v>
      </c>
      <c r="K23" s="129">
        <f>J23*4.5/100+J23</f>
        <v>-1254007.3149999999</v>
      </c>
      <c r="L23" s="129">
        <f>K23*4.8/100+K23</f>
        <v>-1314199.66612</v>
      </c>
      <c r="M23" s="129">
        <f>L23*4.6/100+L23</f>
        <v>-1374652.85076152</v>
      </c>
      <c r="N23" s="122"/>
    </row>
    <row r="24" spans="1:14" s="123" customFormat="1" ht="14.25" x14ac:dyDescent="0.2">
      <c r="A24" s="119">
        <v>1.00010405E+19</v>
      </c>
      <c r="B24" s="120" t="s">
        <v>25</v>
      </c>
      <c r="C24" s="129">
        <v>-827</v>
      </c>
      <c r="D24" s="129">
        <v>0</v>
      </c>
      <c r="E24" s="129">
        <v>0</v>
      </c>
      <c r="F24" s="129">
        <v>-72.17</v>
      </c>
      <c r="G24" s="129">
        <v>-754.83</v>
      </c>
      <c r="H24" s="129">
        <v>8.7200000000000006</v>
      </c>
      <c r="I24" s="129">
        <f>I2509</f>
        <v>0</v>
      </c>
      <c r="J24" s="129">
        <v>-827</v>
      </c>
      <c r="K24" s="129">
        <f>J24*4.5/100+J24</f>
        <v>-864.21500000000003</v>
      </c>
      <c r="L24" s="129">
        <f>K24*4.8/100+K24</f>
        <v>-905.69731999999999</v>
      </c>
      <c r="M24" s="129">
        <f>L24*4.6/100+L24</f>
        <v>-947.35939671999995</v>
      </c>
      <c r="N24" s="122"/>
    </row>
    <row r="25" spans="1:14" s="123" customFormat="1" ht="14.25" x14ac:dyDescent="0.2">
      <c r="A25" s="119">
        <v>1.000104052E+19</v>
      </c>
      <c r="B25" s="120" t="s">
        <v>26</v>
      </c>
      <c r="C25" s="129">
        <v>0</v>
      </c>
      <c r="D25" s="129">
        <v>0</v>
      </c>
      <c r="E25" s="129">
        <v>0</v>
      </c>
      <c r="F25" s="129">
        <v>-1814931.33</v>
      </c>
      <c r="G25" s="129">
        <v>1814931.33</v>
      </c>
      <c r="H25" s="129">
        <v>0</v>
      </c>
      <c r="I25" s="129">
        <f>I2636</f>
        <v>0</v>
      </c>
      <c r="J25" s="129">
        <v>0</v>
      </c>
      <c r="K25" s="129">
        <f>J25*4.9/100+J25</f>
        <v>0</v>
      </c>
      <c r="L25" s="129">
        <f>K25*4.8/100+K25</f>
        <v>0</v>
      </c>
      <c r="M25" s="129">
        <f>L25*4.8/100+L25</f>
        <v>0</v>
      </c>
      <c r="N25" s="122"/>
    </row>
    <row r="26" spans="1:14" s="123" customFormat="1" ht="14.25" x14ac:dyDescent="0.2">
      <c r="A26" s="119">
        <v>1.0001041009999999E+19</v>
      </c>
      <c r="B26" s="120" t="s">
        <v>27</v>
      </c>
      <c r="C26" s="129">
        <v>-3520000</v>
      </c>
      <c r="D26" s="129">
        <v>0</v>
      </c>
      <c r="E26" s="129">
        <v>0</v>
      </c>
      <c r="F26" s="129">
        <v>0</v>
      </c>
      <c r="G26" s="129">
        <v>-3520000</v>
      </c>
      <c r="H26" s="129">
        <v>0</v>
      </c>
      <c r="I26" s="129">
        <f>I1849</f>
        <v>0</v>
      </c>
      <c r="J26" s="129">
        <v>-3520000</v>
      </c>
      <c r="K26" s="129">
        <v>-3000000</v>
      </c>
      <c r="L26" s="129">
        <v>0</v>
      </c>
      <c r="M26" s="129">
        <f>L26*4.8/100+L26</f>
        <v>0</v>
      </c>
      <c r="N26" s="122"/>
    </row>
    <row r="27" spans="1:14" s="123" customFormat="1" ht="14.25" x14ac:dyDescent="0.2">
      <c r="A27" s="119"/>
      <c r="B27" s="120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2"/>
    </row>
    <row r="28" spans="1:14" s="114" customFormat="1" x14ac:dyDescent="0.25">
      <c r="A28" s="118"/>
      <c r="B28" s="117" t="s">
        <v>28</v>
      </c>
      <c r="C28" s="128">
        <f>SUM(C22:C27)</f>
        <v>-4751369</v>
      </c>
      <c r="D28" s="128">
        <f t="shared" ref="D28:M28" si="3">SUM(D22:D27)</f>
        <v>-21350</v>
      </c>
      <c r="E28" s="128">
        <f t="shared" si="3"/>
        <v>0</v>
      </c>
      <c r="F28" s="128">
        <f t="shared" si="3"/>
        <v>-1879053.5</v>
      </c>
      <c r="G28" s="128">
        <f t="shared" si="3"/>
        <v>-2872315.5</v>
      </c>
      <c r="H28" s="128">
        <f t="shared" si="3"/>
        <v>14.05</v>
      </c>
      <c r="I28" s="128">
        <f t="shared" si="3"/>
        <v>0</v>
      </c>
      <c r="J28" s="128">
        <f t="shared" si="3"/>
        <v>-4720834</v>
      </c>
      <c r="K28" s="128">
        <f t="shared" si="3"/>
        <v>-4287238.63</v>
      </c>
      <c r="L28" s="128">
        <f t="shared" si="3"/>
        <v>-1349738.16044</v>
      </c>
      <c r="M28" s="128">
        <f t="shared" si="3"/>
        <v>-1413003.6309182399</v>
      </c>
      <c r="N28" s="113"/>
    </row>
    <row r="29" spans="1:14" s="114" customFormat="1" x14ac:dyDescent="0.25">
      <c r="A29" s="118"/>
      <c r="B29" s="117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13"/>
    </row>
    <row r="30" spans="1:14" s="114" customFormat="1" x14ac:dyDescent="0.25">
      <c r="A30" s="118"/>
      <c r="B30" s="117" t="s">
        <v>29</v>
      </c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13"/>
    </row>
    <row r="31" spans="1:14" s="114" customFormat="1" x14ac:dyDescent="0.25">
      <c r="A31" s="118"/>
      <c r="B31" s="117" t="s">
        <v>30</v>
      </c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13"/>
    </row>
    <row r="32" spans="1:14" s="123" customFormat="1" ht="14.25" x14ac:dyDescent="0.2">
      <c r="A32" s="119"/>
      <c r="B32" s="120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2"/>
    </row>
    <row r="33" spans="1:14" s="123" customFormat="1" ht="14.25" x14ac:dyDescent="0.2">
      <c r="A33" s="119">
        <v>1.0001178910000001E+19</v>
      </c>
      <c r="B33" s="120" t="s">
        <v>31</v>
      </c>
      <c r="C33" s="129">
        <v>-1167000</v>
      </c>
      <c r="D33" s="129">
        <v>-290187</v>
      </c>
      <c r="E33" s="129">
        <v>0</v>
      </c>
      <c r="F33" s="129">
        <v>-524054</v>
      </c>
      <c r="G33" s="129">
        <v>-642946</v>
      </c>
      <c r="H33" s="129">
        <v>44.9</v>
      </c>
      <c r="I33" s="129">
        <f>I2345</f>
        <v>0</v>
      </c>
      <c r="J33" s="129">
        <v>-1167000</v>
      </c>
      <c r="K33" s="129">
        <v>-1304000</v>
      </c>
      <c r="L33" s="129">
        <f>L2345</f>
        <v>0</v>
      </c>
      <c r="M33" s="129">
        <v>0</v>
      </c>
      <c r="N33" s="122"/>
    </row>
    <row r="34" spans="1:14" s="123" customFormat="1" ht="14.25" x14ac:dyDescent="0.2">
      <c r="A34" s="119">
        <v>1.0001178950000001E+19</v>
      </c>
      <c r="B34" s="120" t="s">
        <v>32</v>
      </c>
      <c r="C34" s="129">
        <v>-2403000</v>
      </c>
      <c r="D34" s="129">
        <v>-252538</v>
      </c>
      <c r="E34" s="129">
        <v>0</v>
      </c>
      <c r="F34" s="129">
        <v>-1159420.99</v>
      </c>
      <c r="G34" s="129">
        <v>-1243579.01</v>
      </c>
      <c r="H34" s="129">
        <v>48.24</v>
      </c>
      <c r="I34" s="129">
        <f>I1857</f>
        <v>0</v>
      </c>
      <c r="J34" s="129">
        <v>-2403000</v>
      </c>
      <c r="K34" s="129">
        <v>-2400000</v>
      </c>
      <c r="L34" s="129">
        <v>-2400000</v>
      </c>
      <c r="M34" s="129">
        <v>-2400000</v>
      </c>
      <c r="N34" s="122"/>
    </row>
    <row r="35" spans="1:14" s="123" customFormat="1" ht="14.25" x14ac:dyDescent="0.2">
      <c r="A35" s="119">
        <v>1.0001178969999999E+19</v>
      </c>
      <c r="B35" s="120" t="s">
        <v>33</v>
      </c>
      <c r="C35" s="129">
        <v>-1757550</v>
      </c>
      <c r="D35" s="129">
        <v>-474821.9</v>
      </c>
      <c r="E35" s="129">
        <v>0</v>
      </c>
      <c r="F35" s="129">
        <v>-932309.88</v>
      </c>
      <c r="G35" s="129">
        <v>-825240.12</v>
      </c>
      <c r="H35" s="129">
        <v>53.04</v>
      </c>
      <c r="I35" s="129">
        <f>I3055</f>
        <v>0</v>
      </c>
      <c r="J35" s="129">
        <v>-1757550</v>
      </c>
      <c r="K35" s="129">
        <v>-1746650</v>
      </c>
      <c r="L35" s="129">
        <v>-1886950</v>
      </c>
      <c r="M35" s="129">
        <v>-1989600</v>
      </c>
      <c r="N35" s="122"/>
    </row>
    <row r="36" spans="1:14" s="123" customFormat="1" ht="14.25" x14ac:dyDescent="0.2">
      <c r="A36" s="119">
        <v>1.00011791E+19</v>
      </c>
      <c r="B36" s="120" t="s">
        <v>34</v>
      </c>
      <c r="C36" s="129">
        <v>-142578000</v>
      </c>
      <c r="D36" s="129">
        <v>-47017000</v>
      </c>
      <c r="E36" s="129">
        <v>0</v>
      </c>
      <c r="F36" s="129">
        <v>-106425000</v>
      </c>
      <c r="G36" s="129">
        <v>-36153000</v>
      </c>
      <c r="H36" s="129">
        <v>74.64</v>
      </c>
      <c r="I36" s="129">
        <f>I1858</f>
        <v>0</v>
      </c>
      <c r="J36" s="129">
        <f>-142578000</f>
        <v>-142578000</v>
      </c>
      <c r="K36" s="129">
        <v>-150787000</v>
      </c>
      <c r="L36" s="129">
        <v>-159829000</v>
      </c>
      <c r="M36" s="129">
        <v>-167051000</v>
      </c>
      <c r="N36" s="122"/>
    </row>
    <row r="37" spans="1:14" s="123" customFormat="1" ht="14.25" x14ac:dyDescent="0.2">
      <c r="A37" s="119"/>
      <c r="B37" s="120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2"/>
    </row>
    <row r="38" spans="1:14" s="114" customFormat="1" x14ac:dyDescent="0.25">
      <c r="A38" s="118"/>
      <c r="B38" s="117" t="s">
        <v>35</v>
      </c>
      <c r="C38" s="128">
        <f>SUM(C33:C37)</f>
        <v>-147905550</v>
      </c>
      <c r="D38" s="128">
        <f t="shared" ref="D38:M38" si="4">SUM(D33:D37)</f>
        <v>-48034546.899999999</v>
      </c>
      <c r="E38" s="128">
        <f t="shared" si="4"/>
        <v>0</v>
      </c>
      <c r="F38" s="128">
        <f t="shared" si="4"/>
        <v>-109040784.87</v>
      </c>
      <c r="G38" s="128">
        <f t="shared" si="4"/>
        <v>-38864765.130000003</v>
      </c>
      <c r="H38" s="128">
        <f t="shared" si="4"/>
        <v>220.82</v>
      </c>
      <c r="I38" s="128">
        <f t="shared" si="4"/>
        <v>0</v>
      </c>
      <c r="J38" s="128">
        <f t="shared" si="4"/>
        <v>-147905550</v>
      </c>
      <c r="K38" s="128">
        <f t="shared" si="4"/>
        <v>-156237650</v>
      </c>
      <c r="L38" s="128">
        <f t="shared" si="4"/>
        <v>-164115950</v>
      </c>
      <c r="M38" s="128">
        <f t="shared" si="4"/>
        <v>-171440600</v>
      </c>
      <c r="N38" s="113"/>
    </row>
    <row r="39" spans="1:14" s="114" customFormat="1" x14ac:dyDescent="0.25">
      <c r="A39" s="118"/>
      <c r="B39" s="117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13"/>
    </row>
    <row r="40" spans="1:14" s="114" customFormat="1" x14ac:dyDescent="0.25">
      <c r="A40" s="118"/>
      <c r="B40" s="117" t="s">
        <v>36</v>
      </c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13"/>
    </row>
    <row r="41" spans="1:14" s="123" customFormat="1" ht="14.25" x14ac:dyDescent="0.2">
      <c r="A41" s="119"/>
      <c r="B41" s="120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2"/>
    </row>
    <row r="42" spans="1:14" s="123" customFormat="1" ht="14.25" x14ac:dyDescent="0.2">
      <c r="A42" s="119">
        <v>1.000125894E+19</v>
      </c>
      <c r="B42" s="120" t="s">
        <v>37</v>
      </c>
      <c r="C42" s="129">
        <v>-33393460</v>
      </c>
      <c r="D42" s="129">
        <v>-16715989.720000001</v>
      </c>
      <c r="E42" s="129">
        <v>0</v>
      </c>
      <c r="F42" s="129">
        <v>-31038466.530000001</v>
      </c>
      <c r="G42" s="129">
        <v>-2354993.4700000002</v>
      </c>
      <c r="H42" s="129">
        <v>92.94</v>
      </c>
      <c r="I42" s="129">
        <f>I3061</f>
        <v>0</v>
      </c>
      <c r="J42" s="129">
        <v>-43119460</v>
      </c>
      <c r="K42" s="129">
        <f>-34933000-K35</f>
        <v>-33186350</v>
      </c>
      <c r="L42" s="129">
        <f>-37739000-L35</f>
        <v>-35852050</v>
      </c>
      <c r="M42" s="129">
        <f>-39792000-M35</f>
        <v>-37802400</v>
      </c>
      <c r="N42" s="122"/>
    </row>
    <row r="43" spans="1:14" s="123" customFormat="1" ht="14.25" x14ac:dyDescent="0.2">
      <c r="A43" s="119"/>
      <c r="B43" s="120" t="s">
        <v>3040</v>
      </c>
      <c r="C43" s="129">
        <v>0</v>
      </c>
      <c r="D43" s="129"/>
      <c r="E43" s="129"/>
      <c r="F43" s="129"/>
      <c r="G43" s="129"/>
      <c r="H43" s="129"/>
      <c r="I43" s="129"/>
      <c r="J43" s="129">
        <v>0</v>
      </c>
      <c r="K43" s="129">
        <f>-3000000</f>
        <v>-3000000</v>
      </c>
      <c r="L43" s="129">
        <v>0</v>
      </c>
      <c r="M43" s="129">
        <v>0</v>
      </c>
      <c r="N43" s="122"/>
    </row>
    <row r="44" spans="1:14" s="123" customFormat="1" ht="14.25" x14ac:dyDescent="0.2">
      <c r="A44" s="119"/>
      <c r="B44" s="120" t="s">
        <v>3041</v>
      </c>
      <c r="C44" s="129">
        <v>0</v>
      </c>
      <c r="D44" s="129"/>
      <c r="E44" s="129"/>
      <c r="F44" s="129"/>
      <c r="G44" s="129"/>
      <c r="H44" s="129"/>
      <c r="I44" s="129"/>
      <c r="J44" s="129">
        <v>0</v>
      </c>
      <c r="K44" s="129">
        <v>-13000000</v>
      </c>
      <c r="L44" s="129">
        <v>-6000000</v>
      </c>
      <c r="M44" s="129">
        <v>-7000000</v>
      </c>
      <c r="N44" s="122"/>
    </row>
    <row r="45" spans="1:14" s="123" customFormat="1" ht="14.25" x14ac:dyDescent="0.2">
      <c r="A45" s="119"/>
      <c r="B45" s="120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2"/>
    </row>
    <row r="46" spans="1:14" s="114" customFormat="1" x14ac:dyDescent="0.25">
      <c r="A46" s="118"/>
      <c r="B46" s="117" t="s">
        <v>38</v>
      </c>
      <c r="C46" s="128">
        <f>SUM(C42:C45)</f>
        <v>-33393460</v>
      </c>
      <c r="D46" s="128">
        <f t="shared" ref="D46:M46" si="5">SUM(D42:D45)</f>
        <v>-16715989.720000001</v>
      </c>
      <c r="E46" s="128">
        <f t="shared" si="5"/>
        <v>0</v>
      </c>
      <c r="F46" s="128">
        <f t="shared" si="5"/>
        <v>-31038466.530000001</v>
      </c>
      <c r="G46" s="128">
        <f t="shared" si="5"/>
        <v>-2354993.4700000002</v>
      </c>
      <c r="H46" s="128">
        <f t="shared" si="5"/>
        <v>92.94</v>
      </c>
      <c r="I46" s="128">
        <f t="shared" si="5"/>
        <v>0</v>
      </c>
      <c r="J46" s="128">
        <f t="shared" si="5"/>
        <v>-43119460</v>
      </c>
      <c r="K46" s="128">
        <f t="shared" si="5"/>
        <v>-49186350</v>
      </c>
      <c r="L46" s="128">
        <f t="shared" si="5"/>
        <v>-41852050</v>
      </c>
      <c r="M46" s="128">
        <f t="shared" si="5"/>
        <v>-44802400</v>
      </c>
      <c r="N46" s="113"/>
    </row>
    <row r="47" spans="1:14" s="114" customFormat="1" x14ac:dyDescent="0.25">
      <c r="A47" s="118"/>
      <c r="B47" s="117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13"/>
    </row>
    <row r="48" spans="1:14" s="114" customFormat="1" x14ac:dyDescent="0.25">
      <c r="A48" s="118"/>
      <c r="B48" s="117" t="s">
        <v>39</v>
      </c>
      <c r="C48" s="128">
        <f>C38+C46</f>
        <v>-181299010</v>
      </c>
      <c r="D48" s="128">
        <f t="shared" ref="D48:M48" si="6">D38+D46</f>
        <v>-64750536.619999997</v>
      </c>
      <c r="E48" s="128">
        <f t="shared" si="6"/>
        <v>0</v>
      </c>
      <c r="F48" s="128">
        <f t="shared" si="6"/>
        <v>-140079251.40000001</v>
      </c>
      <c r="G48" s="128">
        <f t="shared" si="6"/>
        <v>-41219758.600000001</v>
      </c>
      <c r="H48" s="128">
        <f t="shared" si="6"/>
        <v>313.76</v>
      </c>
      <c r="I48" s="128">
        <f t="shared" si="6"/>
        <v>0</v>
      </c>
      <c r="J48" s="128">
        <f t="shared" si="6"/>
        <v>-191025010</v>
      </c>
      <c r="K48" s="128">
        <f t="shared" si="6"/>
        <v>-205424000</v>
      </c>
      <c r="L48" s="128">
        <f t="shared" si="6"/>
        <v>-205968000</v>
      </c>
      <c r="M48" s="128">
        <f t="shared" si="6"/>
        <v>-216243000</v>
      </c>
      <c r="N48" s="113"/>
    </row>
    <row r="49" spans="1:14" s="114" customFormat="1" x14ac:dyDescent="0.25">
      <c r="A49" s="118"/>
      <c r="B49" s="117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13"/>
    </row>
    <row r="50" spans="1:14" s="114" customFormat="1" x14ac:dyDescent="0.25">
      <c r="A50" s="118"/>
      <c r="B50" s="117" t="s">
        <v>40</v>
      </c>
      <c r="C50" s="128">
        <f>+C18+C28+C38+C46</f>
        <v>-201341562</v>
      </c>
      <c r="D50" s="128">
        <f t="shared" ref="D50:M50" si="7">+D18+D28+D38+D46</f>
        <v>-66453558.07</v>
      </c>
      <c r="E50" s="128">
        <f t="shared" si="7"/>
        <v>0</v>
      </c>
      <c r="F50" s="128">
        <f t="shared" si="7"/>
        <v>-151887337.77000001</v>
      </c>
      <c r="G50" s="128">
        <f t="shared" si="7"/>
        <v>-49454224.230000004</v>
      </c>
      <c r="H50" s="128">
        <f t="shared" si="7"/>
        <v>533.56999999999994</v>
      </c>
      <c r="I50" s="128">
        <f t="shared" si="7"/>
        <v>0</v>
      </c>
      <c r="J50" s="128">
        <f t="shared" si="7"/>
        <v>-215603911</v>
      </c>
      <c r="K50" s="128">
        <f t="shared" si="7"/>
        <v>-230462918.64500001</v>
      </c>
      <c r="L50" s="128">
        <f t="shared" si="7"/>
        <v>-229023995.45613</v>
      </c>
      <c r="M50" s="128">
        <f t="shared" si="7"/>
        <v>-240360748.76220998</v>
      </c>
      <c r="N50" s="113"/>
    </row>
    <row r="51" spans="1:14" s="114" customFormat="1" x14ac:dyDescent="0.25">
      <c r="A51" s="118"/>
      <c r="B51" s="117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13"/>
    </row>
    <row r="52" spans="1:14" s="114" customFormat="1" x14ac:dyDescent="0.25">
      <c r="A52" s="118"/>
      <c r="B52" s="117" t="s">
        <v>41</v>
      </c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13"/>
    </row>
    <row r="53" spans="1:14" s="114" customFormat="1" x14ac:dyDescent="0.25">
      <c r="A53" s="118"/>
      <c r="B53" s="117" t="s">
        <v>42</v>
      </c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13"/>
    </row>
    <row r="54" spans="1:14" s="123" customFormat="1" ht="14.25" x14ac:dyDescent="0.2">
      <c r="A54" s="119"/>
      <c r="B54" s="120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2"/>
    </row>
    <row r="55" spans="1:14" s="123" customFormat="1" ht="14.25" x14ac:dyDescent="0.2">
      <c r="A55" s="119">
        <v>1.000132104E+19</v>
      </c>
      <c r="B55" s="120" t="s">
        <v>43</v>
      </c>
      <c r="C55" s="129">
        <v>-56291</v>
      </c>
      <c r="D55" s="129">
        <v>0</v>
      </c>
      <c r="E55" s="129">
        <v>0</v>
      </c>
      <c r="F55" s="129">
        <v>0</v>
      </c>
      <c r="G55" s="129">
        <v>-56291</v>
      </c>
      <c r="H55" s="129">
        <v>0</v>
      </c>
      <c r="I55" s="129">
        <f t="shared" ref="I55:I60" si="8">I3136</f>
        <v>0</v>
      </c>
      <c r="J55" s="129">
        <v>-56291</v>
      </c>
      <c r="K55" s="129">
        <f>J55*8.1/100+J55</f>
        <v>-60850.570999999996</v>
      </c>
      <c r="L55" s="180">
        <f>K55*5.2/100+K55</f>
        <v>-64014.800691999997</v>
      </c>
      <c r="M55" s="129">
        <f>L55*8.9/100+L55</f>
        <v>-69712.117953587993</v>
      </c>
      <c r="N55" s="122"/>
    </row>
    <row r="56" spans="1:14" s="123" customFormat="1" ht="14.25" x14ac:dyDescent="0.2">
      <c r="A56" s="119">
        <v>1.000132112E+19</v>
      </c>
      <c r="B56" s="120" t="s">
        <v>44</v>
      </c>
      <c r="C56" s="129">
        <v>-3611799</v>
      </c>
      <c r="D56" s="129">
        <v>0</v>
      </c>
      <c r="E56" s="129">
        <v>0</v>
      </c>
      <c r="F56" s="129">
        <v>0</v>
      </c>
      <c r="G56" s="129">
        <v>-3611799</v>
      </c>
      <c r="H56" s="129">
        <v>0</v>
      </c>
      <c r="I56" s="129">
        <f t="shared" si="8"/>
        <v>0</v>
      </c>
      <c r="J56" s="129">
        <v>-3611799</v>
      </c>
      <c r="K56" s="129">
        <f t="shared" ref="K56:K60" si="9">J56*8.1/100+J56</f>
        <v>-3904354.719</v>
      </c>
      <c r="L56" s="180">
        <f t="shared" ref="L56:L60" si="10">K56*5.2/100+K56</f>
        <v>-4107381.164388</v>
      </c>
      <c r="M56" s="129">
        <f t="shared" ref="M56:M60" si="11">L56*8.9/100+L56</f>
        <v>-4472938.0880185319</v>
      </c>
      <c r="N56" s="122"/>
    </row>
    <row r="57" spans="1:14" s="123" customFormat="1" ht="14.25" x14ac:dyDescent="0.2">
      <c r="A57" s="119">
        <v>1.0001321129999999E+19</v>
      </c>
      <c r="B57" s="120" t="s">
        <v>45</v>
      </c>
      <c r="C57" s="129">
        <v>-4019609</v>
      </c>
      <c r="D57" s="129">
        <v>-115264.58</v>
      </c>
      <c r="E57" s="129">
        <v>0</v>
      </c>
      <c r="F57" s="129">
        <v>-891425.05</v>
      </c>
      <c r="G57" s="129">
        <v>-3128183.95</v>
      </c>
      <c r="H57" s="129">
        <v>22.17</v>
      </c>
      <c r="I57" s="129">
        <f t="shared" si="8"/>
        <v>0</v>
      </c>
      <c r="J57" s="129">
        <v>-4019609</v>
      </c>
      <c r="K57" s="129">
        <f t="shared" si="9"/>
        <v>-4345197.3289999999</v>
      </c>
      <c r="L57" s="180">
        <f t="shared" si="10"/>
        <v>-4571147.5901079997</v>
      </c>
      <c r="M57" s="129">
        <f t="shared" si="11"/>
        <v>-4977979.7256276114</v>
      </c>
      <c r="N57" s="122"/>
    </row>
    <row r="58" spans="1:14" s="123" customFormat="1" ht="14.25" x14ac:dyDescent="0.2">
      <c r="A58" s="119">
        <v>1.0001321190000001E+19</v>
      </c>
      <c r="B58" s="120" t="s">
        <v>46</v>
      </c>
      <c r="C58" s="129">
        <v>-1374256</v>
      </c>
      <c r="D58" s="129">
        <v>-445577.79</v>
      </c>
      <c r="E58" s="129">
        <v>0</v>
      </c>
      <c r="F58" s="129">
        <v>-2911894.37</v>
      </c>
      <c r="G58" s="129">
        <v>1537638.37</v>
      </c>
      <c r="H58" s="129">
        <v>211.88</v>
      </c>
      <c r="I58" s="129">
        <f t="shared" si="8"/>
        <v>0</v>
      </c>
      <c r="J58" s="129">
        <v>-1374256</v>
      </c>
      <c r="K58" s="129">
        <f t="shared" si="9"/>
        <v>-1485570.736</v>
      </c>
      <c r="L58" s="180">
        <f t="shared" si="10"/>
        <v>-1562820.4142720001</v>
      </c>
      <c r="M58" s="129">
        <f t="shared" si="11"/>
        <v>-1701911.4311422082</v>
      </c>
      <c r="N58" s="122"/>
    </row>
    <row r="59" spans="1:14" s="123" customFormat="1" ht="14.25" x14ac:dyDescent="0.2">
      <c r="A59" s="119">
        <v>1.00013212E+19</v>
      </c>
      <c r="B59" s="120" t="s">
        <v>47</v>
      </c>
      <c r="C59" s="129">
        <v>-145390</v>
      </c>
      <c r="D59" s="129">
        <v>5253.04</v>
      </c>
      <c r="E59" s="129">
        <v>0</v>
      </c>
      <c r="F59" s="129">
        <v>34823.17</v>
      </c>
      <c r="G59" s="129">
        <v>-180213.17</v>
      </c>
      <c r="H59" s="129">
        <v>-23.95</v>
      </c>
      <c r="I59" s="129">
        <f t="shared" si="8"/>
        <v>0</v>
      </c>
      <c r="J59" s="129">
        <v>-145390</v>
      </c>
      <c r="K59" s="129">
        <f t="shared" si="9"/>
        <v>-157166.59</v>
      </c>
      <c r="L59" s="180">
        <f t="shared" si="10"/>
        <v>-165339.25268000001</v>
      </c>
      <c r="M59" s="129">
        <f t="shared" si="11"/>
        <v>-180054.44616852002</v>
      </c>
      <c r="N59" s="122"/>
    </row>
    <row r="60" spans="1:14" s="123" customFormat="1" ht="14.25" x14ac:dyDescent="0.2">
      <c r="A60" s="119">
        <v>1.000132126E+19</v>
      </c>
      <c r="B60" s="120" t="s">
        <v>48</v>
      </c>
      <c r="C60" s="129">
        <v>-17172</v>
      </c>
      <c r="D60" s="129">
        <v>-975.62</v>
      </c>
      <c r="E60" s="129">
        <v>0</v>
      </c>
      <c r="F60" s="129">
        <v>-8489.01</v>
      </c>
      <c r="G60" s="129">
        <v>-8682.99</v>
      </c>
      <c r="H60" s="129">
        <v>49.43</v>
      </c>
      <c r="I60" s="129">
        <f t="shared" si="8"/>
        <v>0</v>
      </c>
      <c r="J60" s="129">
        <v>-17172</v>
      </c>
      <c r="K60" s="129">
        <f t="shared" si="9"/>
        <v>-18562.932000000001</v>
      </c>
      <c r="L60" s="180">
        <f t="shared" si="10"/>
        <v>-19528.204464000002</v>
      </c>
      <c r="M60" s="129">
        <f t="shared" si="11"/>
        <v>-21266.214661296002</v>
      </c>
      <c r="N60" s="122"/>
    </row>
    <row r="61" spans="1:14" s="123" customFormat="1" ht="14.25" x14ac:dyDescent="0.2">
      <c r="A61" s="119">
        <v>1.0001322E+19</v>
      </c>
      <c r="B61" s="120" t="s">
        <v>49</v>
      </c>
      <c r="C61" s="129">
        <v>-2285558</v>
      </c>
      <c r="D61" s="129">
        <v>0</v>
      </c>
      <c r="E61" s="129">
        <v>0</v>
      </c>
      <c r="F61" s="129">
        <v>0</v>
      </c>
      <c r="G61" s="129">
        <v>-2285558</v>
      </c>
      <c r="H61" s="129">
        <v>0</v>
      </c>
      <c r="I61" s="129">
        <f t="shared" ref="I61:J63" si="12">I2809</f>
        <v>0</v>
      </c>
      <c r="J61" s="129">
        <v>-2285558</v>
      </c>
      <c r="K61" s="129">
        <f>J61*4.5/100+J61</f>
        <v>-2388408.11</v>
      </c>
      <c r="L61" s="129">
        <f t="shared" ref="L61:M63" si="13">K61*4.6/100+K61</f>
        <v>-2498274.8830599999</v>
      </c>
      <c r="M61" s="129">
        <f t="shared" si="13"/>
        <v>-2613195.5276807598</v>
      </c>
      <c r="N61" s="122"/>
    </row>
    <row r="62" spans="1:14" s="123" customFormat="1" ht="14.25" x14ac:dyDescent="0.2">
      <c r="A62" s="119">
        <v>1.0001322030000001E+19</v>
      </c>
      <c r="B62" s="120" t="s">
        <v>50</v>
      </c>
      <c r="C62" s="129">
        <v>0</v>
      </c>
      <c r="D62" s="129">
        <v>-183433.4</v>
      </c>
      <c r="E62" s="129">
        <v>0</v>
      </c>
      <c r="F62" s="129">
        <v>-1100205.7</v>
      </c>
      <c r="G62" s="129">
        <v>1100205.7</v>
      </c>
      <c r="H62" s="129">
        <v>0</v>
      </c>
      <c r="I62" s="129">
        <f t="shared" si="12"/>
        <v>0</v>
      </c>
      <c r="J62" s="129">
        <f t="shared" si="12"/>
        <v>0</v>
      </c>
      <c r="K62" s="129">
        <f>J62*4.5/100+J62</f>
        <v>0</v>
      </c>
      <c r="L62" s="129">
        <f t="shared" si="13"/>
        <v>0</v>
      </c>
      <c r="M62" s="129">
        <f t="shared" si="13"/>
        <v>0</v>
      </c>
      <c r="N62" s="122"/>
    </row>
    <row r="63" spans="1:14" s="123" customFormat="1" ht="14.25" x14ac:dyDescent="0.2">
      <c r="A63" s="119">
        <v>1.000132204E+19</v>
      </c>
      <c r="B63" s="120" t="s">
        <v>51</v>
      </c>
      <c r="C63" s="129">
        <v>-2779</v>
      </c>
      <c r="D63" s="129">
        <v>0</v>
      </c>
      <c r="E63" s="129">
        <v>0</v>
      </c>
      <c r="F63" s="129">
        <v>0</v>
      </c>
      <c r="G63" s="129">
        <v>-2779</v>
      </c>
      <c r="H63" s="129">
        <v>0</v>
      </c>
      <c r="I63" s="129">
        <f t="shared" si="12"/>
        <v>0</v>
      </c>
      <c r="J63" s="129">
        <v>-2779</v>
      </c>
      <c r="K63" s="129">
        <f>J63*4.5/100+J63</f>
        <v>-2904.0549999999998</v>
      </c>
      <c r="L63" s="129">
        <f t="shared" si="13"/>
        <v>-3037.6415299999999</v>
      </c>
      <c r="M63" s="129">
        <f t="shared" si="13"/>
        <v>-3177.37304038</v>
      </c>
      <c r="N63" s="122"/>
    </row>
    <row r="64" spans="1:14" s="123" customFormat="1" ht="14.25" x14ac:dyDescent="0.2">
      <c r="A64" s="119">
        <v>1.000132302E+19</v>
      </c>
      <c r="B64" s="120" t="s">
        <v>52</v>
      </c>
      <c r="C64" s="129">
        <v>0</v>
      </c>
      <c r="D64" s="129">
        <v>-64386</v>
      </c>
      <c r="E64" s="129">
        <v>0</v>
      </c>
      <c r="F64" s="129">
        <v>-386530.28</v>
      </c>
      <c r="G64" s="129">
        <v>386530.28</v>
      </c>
      <c r="H64" s="129">
        <v>0</v>
      </c>
      <c r="I64" s="129">
        <f>I3351</f>
        <v>0</v>
      </c>
      <c r="J64" s="129">
        <f>J3351</f>
        <v>0</v>
      </c>
      <c r="K64" s="129">
        <f>K3351</f>
        <v>0</v>
      </c>
      <c r="L64" s="129">
        <f>L3351</f>
        <v>0</v>
      </c>
      <c r="M64" s="129"/>
      <c r="N64" s="122"/>
    </row>
    <row r="65" spans="1:14" s="123" customFormat="1" ht="14.25" x14ac:dyDescent="0.2">
      <c r="A65" s="119">
        <v>1.000132402E+19</v>
      </c>
      <c r="B65" s="120" t="s">
        <v>53</v>
      </c>
      <c r="C65" s="129">
        <v>0</v>
      </c>
      <c r="D65" s="129">
        <v>-21174.2</v>
      </c>
      <c r="E65" s="129">
        <v>0</v>
      </c>
      <c r="F65" s="129">
        <v>-238904.13</v>
      </c>
      <c r="G65" s="129">
        <v>238904.13</v>
      </c>
      <c r="H65" s="129">
        <v>0</v>
      </c>
      <c r="I65" s="129">
        <f t="shared" ref="I65:L66" si="14">I3254</f>
        <v>0</v>
      </c>
      <c r="J65" s="129">
        <f t="shared" si="14"/>
        <v>0</v>
      </c>
      <c r="K65" s="129">
        <f t="shared" si="14"/>
        <v>0</v>
      </c>
      <c r="L65" s="129">
        <f t="shared" si="14"/>
        <v>0</v>
      </c>
      <c r="M65" s="129"/>
      <c r="N65" s="122"/>
    </row>
    <row r="66" spans="1:14" s="123" customFormat="1" ht="14.25" x14ac:dyDescent="0.2">
      <c r="A66" s="119">
        <v>1.000132408E+19</v>
      </c>
      <c r="B66" s="120" t="s">
        <v>54</v>
      </c>
      <c r="C66" s="129">
        <v>0</v>
      </c>
      <c r="D66" s="129">
        <v>-48068</v>
      </c>
      <c r="E66" s="129">
        <v>0</v>
      </c>
      <c r="F66" s="129">
        <v>-288408</v>
      </c>
      <c r="G66" s="129">
        <v>288408</v>
      </c>
      <c r="H66" s="129">
        <v>0</v>
      </c>
      <c r="I66" s="129">
        <f t="shared" si="14"/>
        <v>0</v>
      </c>
      <c r="J66" s="129">
        <f t="shared" si="14"/>
        <v>0</v>
      </c>
      <c r="K66" s="129">
        <f t="shared" si="14"/>
        <v>0</v>
      </c>
      <c r="L66" s="129">
        <f t="shared" si="14"/>
        <v>0</v>
      </c>
      <c r="M66" s="129"/>
      <c r="N66" s="122"/>
    </row>
    <row r="67" spans="1:14" s="123" customFormat="1" ht="14.25" x14ac:dyDescent="0.2">
      <c r="A67" s="119"/>
      <c r="B67" s="120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2"/>
    </row>
    <row r="68" spans="1:14" s="114" customFormat="1" x14ac:dyDescent="0.25">
      <c r="A68" s="118"/>
      <c r="B68" s="117" t="s">
        <v>55</v>
      </c>
      <c r="C68" s="128">
        <f>SUM(C55:C67)</f>
        <v>-11512854</v>
      </c>
      <c r="D68" s="128">
        <f t="shared" ref="D68:M68" si="15">SUM(D55:D67)</f>
        <v>-873626.54999999993</v>
      </c>
      <c r="E68" s="128">
        <f t="shared" si="15"/>
        <v>0</v>
      </c>
      <c r="F68" s="128">
        <f t="shared" si="15"/>
        <v>-5791033.3700000001</v>
      </c>
      <c r="G68" s="128">
        <f t="shared" si="15"/>
        <v>-5721820.6299999999</v>
      </c>
      <c r="H68" s="128">
        <f t="shared" si="15"/>
        <v>259.53000000000003</v>
      </c>
      <c r="I68" s="128">
        <f t="shared" si="15"/>
        <v>0</v>
      </c>
      <c r="J68" s="128">
        <f t="shared" si="15"/>
        <v>-11512854</v>
      </c>
      <c r="K68" s="128">
        <f t="shared" si="15"/>
        <v>-12363015.041999999</v>
      </c>
      <c r="L68" s="128">
        <f t="shared" si="15"/>
        <v>-12991543.951193999</v>
      </c>
      <c r="M68" s="128">
        <f t="shared" si="15"/>
        <v>-14040234.924292896</v>
      </c>
      <c r="N68" s="113"/>
    </row>
    <row r="69" spans="1:14" s="114" customFormat="1" x14ac:dyDescent="0.25">
      <c r="A69" s="118"/>
      <c r="B69" s="117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13"/>
    </row>
    <row r="70" spans="1:14" s="114" customFormat="1" x14ac:dyDescent="0.25">
      <c r="A70" s="118"/>
      <c r="B70" s="117" t="s">
        <v>56</v>
      </c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13"/>
    </row>
    <row r="71" spans="1:14" s="123" customFormat="1" ht="14.25" x14ac:dyDescent="0.2">
      <c r="A71" s="119"/>
      <c r="B71" s="120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2"/>
    </row>
    <row r="72" spans="1:14" s="123" customFormat="1" ht="14.25" x14ac:dyDescent="0.2">
      <c r="A72" s="119">
        <v>1.0001341009999999E+19</v>
      </c>
      <c r="B72" s="120" t="s">
        <v>57</v>
      </c>
      <c r="C72" s="129">
        <v>-495509</v>
      </c>
      <c r="D72" s="129">
        <v>-17545.96</v>
      </c>
      <c r="E72" s="129">
        <v>0</v>
      </c>
      <c r="F72" s="129">
        <v>-105597.6</v>
      </c>
      <c r="G72" s="129">
        <v>-389911.4</v>
      </c>
      <c r="H72" s="129">
        <v>21.31</v>
      </c>
      <c r="I72" s="129">
        <f>I3147</f>
        <v>0</v>
      </c>
      <c r="J72" s="129">
        <v>-495509</v>
      </c>
      <c r="K72" s="180">
        <f>J72*8.1/100+J72</f>
        <v>-535645.22900000005</v>
      </c>
      <c r="L72" s="129">
        <f>K72*5.2/100+K72</f>
        <v>-563498.78090800007</v>
      </c>
      <c r="M72" s="180">
        <f>L72*8.9/100+L72</f>
        <v>-613650.1724088121</v>
      </c>
      <c r="N72" s="122"/>
    </row>
    <row r="73" spans="1:14" s="123" customFormat="1" ht="14.25" x14ac:dyDescent="0.2">
      <c r="A73" s="119">
        <v>1.0001341089999999E+19</v>
      </c>
      <c r="B73" s="120" t="s">
        <v>58</v>
      </c>
      <c r="C73" s="129">
        <v>-18666</v>
      </c>
      <c r="D73" s="129">
        <v>-2474.44</v>
      </c>
      <c r="E73" s="129">
        <v>0</v>
      </c>
      <c r="F73" s="129">
        <v>-14202.7</v>
      </c>
      <c r="G73" s="129">
        <v>-4463.3</v>
      </c>
      <c r="H73" s="129">
        <v>76.08</v>
      </c>
      <c r="I73" s="129">
        <f>I2083</f>
        <v>0</v>
      </c>
      <c r="J73" s="129">
        <v>-28405</v>
      </c>
      <c r="K73" s="129">
        <f t="shared" ref="K73:K78" si="16">J73*4.9/100+J73</f>
        <v>-29796.845000000001</v>
      </c>
      <c r="L73" s="129">
        <f t="shared" ref="L73:M78" si="17">K73*4.8/100+K73</f>
        <v>-31227.093560000001</v>
      </c>
      <c r="M73" s="129">
        <f t="shared" si="17"/>
        <v>-32725.994050880003</v>
      </c>
      <c r="N73" s="122"/>
    </row>
    <row r="74" spans="1:14" s="123" customFormat="1" ht="14.25" x14ac:dyDescent="0.2">
      <c r="A74" s="119">
        <v>1.000134112E+19</v>
      </c>
      <c r="B74" s="120" t="s">
        <v>59</v>
      </c>
      <c r="C74" s="129">
        <v>-219191</v>
      </c>
      <c r="D74" s="129">
        <v>-17032.490000000002</v>
      </c>
      <c r="E74" s="129">
        <v>0</v>
      </c>
      <c r="F74" s="129">
        <v>-97021.84</v>
      </c>
      <c r="G74" s="129">
        <v>-122169.16</v>
      </c>
      <c r="H74" s="129">
        <v>44.26</v>
      </c>
      <c r="I74" s="129">
        <f>I2817</f>
        <v>0</v>
      </c>
      <c r="J74" s="129">
        <v>-219191</v>
      </c>
      <c r="K74" s="129">
        <f t="shared" si="16"/>
        <v>-229931.359</v>
      </c>
      <c r="L74" s="129">
        <f t="shared" si="17"/>
        <v>-240968.064232</v>
      </c>
      <c r="M74" s="129">
        <f t="shared" si="17"/>
        <v>-252534.531315136</v>
      </c>
      <c r="N74" s="126"/>
    </row>
    <row r="75" spans="1:14" s="123" customFormat="1" ht="14.25" x14ac:dyDescent="0.2">
      <c r="A75" s="119">
        <v>1.0001341129999999E+19</v>
      </c>
      <c r="B75" s="120" t="s">
        <v>60</v>
      </c>
      <c r="C75" s="129">
        <v>-88683</v>
      </c>
      <c r="D75" s="129">
        <v>-11320.92</v>
      </c>
      <c r="E75" s="129">
        <v>0</v>
      </c>
      <c r="F75" s="129">
        <v>-61871.98</v>
      </c>
      <c r="G75" s="129">
        <v>-26811.02</v>
      </c>
      <c r="H75" s="129">
        <v>69.760000000000005</v>
      </c>
      <c r="I75" s="129">
        <f>I3357</f>
        <v>0</v>
      </c>
      <c r="J75" s="129">
        <v>0</v>
      </c>
      <c r="K75" s="129">
        <f t="shared" si="16"/>
        <v>0</v>
      </c>
      <c r="L75" s="129">
        <f t="shared" si="17"/>
        <v>0</v>
      </c>
      <c r="M75" s="129">
        <f t="shared" si="17"/>
        <v>0</v>
      </c>
      <c r="N75" s="122"/>
    </row>
    <row r="76" spans="1:14" s="123" customFormat="1" ht="14.25" x14ac:dyDescent="0.2">
      <c r="A76" s="119">
        <v>1.000134114E+19</v>
      </c>
      <c r="B76" s="120" t="s">
        <v>61</v>
      </c>
      <c r="C76" s="129">
        <v>-315185</v>
      </c>
      <c r="D76" s="129">
        <v>-9967.6299999999992</v>
      </c>
      <c r="E76" s="129">
        <v>0</v>
      </c>
      <c r="F76" s="129">
        <v>-56658.96</v>
      </c>
      <c r="G76" s="129">
        <v>-258526.04</v>
      </c>
      <c r="H76" s="129">
        <v>17.97</v>
      </c>
      <c r="I76" s="129">
        <f>I3261</f>
        <v>0</v>
      </c>
      <c r="J76" s="129">
        <v>0</v>
      </c>
      <c r="K76" s="129">
        <f t="shared" si="16"/>
        <v>0</v>
      </c>
      <c r="L76" s="129">
        <f t="shared" si="17"/>
        <v>0</v>
      </c>
      <c r="M76" s="129">
        <f t="shared" si="17"/>
        <v>0</v>
      </c>
      <c r="N76" s="122"/>
    </row>
    <row r="77" spans="1:14" s="123" customFormat="1" ht="14.25" x14ac:dyDescent="0.2">
      <c r="A77" s="119">
        <v>1.0001341169999999E+19</v>
      </c>
      <c r="B77" s="120" t="s">
        <v>62</v>
      </c>
      <c r="C77" s="129">
        <v>-2112000</v>
      </c>
      <c r="D77" s="129">
        <v>-158518.66</v>
      </c>
      <c r="E77" s="129">
        <v>0</v>
      </c>
      <c r="F77" s="129">
        <v>-1057902.8999999999</v>
      </c>
      <c r="G77" s="129">
        <v>-1054097.1000000001</v>
      </c>
      <c r="H77" s="129">
        <v>50.09</v>
      </c>
      <c r="I77" s="129">
        <f>I1998</f>
        <v>0</v>
      </c>
      <c r="J77" s="129">
        <v>-2112000</v>
      </c>
      <c r="K77" s="129">
        <f t="shared" si="16"/>
        <v>-2215488</v>
      </c>
      <c r="L77" s="129">
        <f t="shared" si="17"/>
        <v>-2321831.4240000001</v>
      </c>
      <c r="M77" s="129">
        <f t="shared" si="17"/>
        <v>-2433279.3323520003</v>
      </c>
      <c r="N77" s="122"/>
    </row>
    <row r="78" spans="1:14" s="123" customFormat="1" ht="14.25" x14ac:dyDescent="0.2">
      <c r="A78" s="119">
        <v>1.0001343009999999E+19</v>
      </c>
      <c r="B78" s="120" t="s">
        <v>63</v>
      </c>
      <c r="C78" s="129">
        <v>0</v>
      </c>
      <c r="D78" s="129">
        <v>-3359.36</v>
      </c>
      <c r="E78" s="129">
        <v>0</v>
      </c>
      <c r="F78" s="129">
        <v>-23178.240000000002</v>
      </c>
      <c r="G78" s="129">
        <v>23178.240000000002</v>
      </c>
      <c r="H78" s="129">
        <v>0</v>
      </c>
      <c r="I78" s="129">
        <f>I930</f>
        <v>0</v>
      </c>
      <c r="J78" s="129">
        <v>-50000</v>
      </c>
      <c r="K78" s="129">
        <f t="shared" si="16"/>
        <v>-52450</v>
      </c>
      <c r="L78" s="129">
        <f t="shared" si="17"/>
        <v>-54967.6</v>
      </c>
      <c r="M78" s="129">
        <f t="shared" si="17"/>
        <v>-57606.044799999996</v>
      </c>
      <c r="N78" s="122"/>
    </row>
    <row r="79" spans="1:14" s="123" customFormat="1" ht="14.25" x14ac:dyDescent="0.2">
      <c r="A79" s="119"/>
      <c r="B79" s="120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2"/>
    </row>
    <row r="80" spans="1:14" s="114" customFormat="1" x14ac:dyDescent="0.25">
      <c r="A80" s="118"/>
      <c r="B80" s="117" t="s">
        <v>64</v>
      </c>
      <c r="C80" s="128">
        <f>SUM(C72:C79)</f>
        <v>-3249234</v>
      </c>
      <c r="D80" s="128">
        <f t="shared" ref="D80:M80" si="18">SUM(D72:D79)</f>
        <v>-220219.46</v>
      </c>
      <c r="E80" s="128">
        <f t="shared" si="18"/>
        <v>0</v>
      </c>
      <c r="F80" s="128">
        <f t="shared" si="18"/>
        <v>-1416434.22</v>
      </c>
      <c r="G80" s="128">
        <f t="shared" si="18"/>
        <v>-1832799.78</v>
      </c>
      <c r="H80" s="128">
        <f t="shared" si="18"/>
        <v>279.47000000000003</v>
      </c>
      <c r="I80" s="128">
        <f t="shared" si="18"/>
        <v>0</v>
      </c>
      <c r="J80" s="128">
        <f t="shared" si="18"/>
        <v>-2905105</v>
      </c>
      <c r="K80" s="128">
        <f t="shared" si="18"/>
        <v>-3063311.4330000002</v>
      </c>
      <c r="L80" s="128">
        <f t="shared" si="18"/>
        <v>-3212492.9627000005</v>
      </c>
      <c r="M80" s="128">
        <f t="shared" si="18"/>
        <v>-3389796.074926828</v>
      </c>
      <c r="N80" s="113"/>
    </row>
    <row r="81" spans="1:14" s="114" customFormat="1" x14ac:dyDescent="0.25">
      <c r="A81" s="118"/>
      <c r="B81" s="117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13"/>
    </row>
    <row r="82" spans="1:14" s="114" customFormat="1" x14ac:dyDescent="0.25">
      <c r="A82" s="118"/>
      <c r="B82" s="117" t="s">
        <v>1326</v>
      </c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13"/>
    </row>
    <row r="83" spans="1:14" s="123" customFormat="1" ht="14.25" x14ac:dyDescent="0.2">
      <c r="A83" s="119"/>
      <c r="B83" s="120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2"/>
    </row>
    <row r="84" spans="1:14" s="123" customFormat="1" ht="14.25" x14ac:dyDescent="0.2">
      <c r="A84" s="119">
        <v>1.00013512E+19</v>
      </c>
      <c r="B84" s="120" t="s">
        <v>65</v>
      </c>
      <c r="C84" s="129">
        <v>-346932</v>
      </c>
      <c r="D84" s="129">
        <v>-40547.550000000003</v>
      </c>
      <c r="E84" s="129">
        <v>0</v>
      </c>
      <c r="F84" s="129">
        <v>-228665.99</v>
      </c>
      <c r="G84" s="129">
        <v>-118266.01</v>
      </c>
      <c r="H84" s="129">
        <v>65.91</v>
      </c>
      <c r="I84" s="129">
        <f>I1872</f>
        <v>0</v>
      </c>
      <c r="J84" s="129">
        <v>-457332</v>
      </c>
      <c r="K84" s="129">
        <f>J84*4.9/100+J84</f>
        <v>-479741.26799999998</v>
      </c>
      <c r="L84" s="129">
        <f>K84*4.8/100+K84</f>
        <v>-502768.848864</v>
      </c>
      <c r="M84" s="129">
        <f>L84*4.8/100+L84</f>
        <v>-526901.75360947195</v>
      </c>
      <c r="N84" s="122"/>
    </row>
    <row r="85" spans="1:14" s="123" customFormat="1" ht="14.25" x14ac:dyDescent="0.2">
      <c r="A85" s="119"/>
      <c r="B85" s="120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2"/>
    </row>
    <row r="86" spans="1:14" s="114" customFormat="1" x14ac:dyDescent="0.25">
      <c r="A86" s="118"/>
      <c r="B86" s="117" t="s">
        <v>66</v>
      </c>
      <c r="C86" s="128">
        <f>SUM(C84:C85)</f>
        <v>-346932</v>
      </c>
      <c r="D86" s="128">
        <f t="shared" ref="D86:M86" si="19">SUM(D84:D85)</f>
        <v>-40547.550000000003</v>
      </c>
      <c r="E86" s="128">
        <f t="shared" si="19"/>
        <v>0</v>
      </c>
      <c r="F86" s="128">
        <f t="shared" si="19"/>
        <v>-228665.99</v>
      </c>
      <c r="G86" s="128">
        <f t="shared" si="19"/>
        <v>-118266.01</v>
      </c>
      <c r="H86" s="128">
        <f t="shared" si="19"/>
        <v>65.91</v>
      </c>
      <c r="I86" s="128">
        <f t="shared" si="19"/>
        <v>0</v>
      </c>
      <c r="J86" s="128">
        <f t="shared" si="19"/>
        <v>-457332</v>
      </c>
      <c r="K86" s="128">
        <f t="shared" si="19"/>
        <v>-479741.26799999998</v>
      </c>
      <c r="L86" s="128">
        <f t="shared" si="19"/>
        <v>-502768.848864</v>
      </c>
      <c r="M86" s="128">
        <f t="shared" si="19"/>
        <v>-526901.75360947195</v>
      </c>
      <c r="N86" s="113"/>
    </row>
    <row r="87" spans="1:14" s="114" customFormat="1" x14ac:dyDescent="0.25">
      <c r="A87" s="118"/>
      <c r="B87" s="117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13"/>
    </row>
    <row r="88" spans="1:14" s="114" customFormat="1" x14ac:dyDescent="0.25">
      <c r="A88" s="118"/>
      <c r="B88" s="117" t="s">
        <v>67</v>
      </c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13"/>
    </row>
    <row r="89" spans="1:14" s="114" customFormat="1" x14ac:dyDescent="0.25">
      <c r="A89" s="118"/>
      <c r="B89" s="117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13"/>
    </row>
    <row r="90" spans="1:14" s="123" customFormat="1" ht="14.25" x14ac:dyDescent="0.2">
      <c r="A90" s="119" t="s">
        <v>1276</v>
      </c>
      <c r="B90" s="120" t="s">
        <v>68</v>
      </c>
      <c r="C90" s="129">
        <v>-1696600</v>
      </c>
      <c r="D90" s="129">
        <f ca="1">Technical!E415</f>
        <v>0</v>
      </c>
      <c r="E90" s="129">
        <f ca="1">Technical!F415</f>
        <v>0</v>
      </c>
      <c r="F90" s="129">
        <f ca="1">Technical!G415</f>
        <v>1217.71</v>
      </c>
      <c r="G90" s="129">
        <f ca="1">Technical!H415</f>
        <v>-1217.71</v>
      </c>
      <c r="H90" s="129">
        <f ca="1">Technical!I415</f>
        <v>0</v>
      </c>
      <c r="I90" s="129">
        <f ca="1">Technical!J415</f>
        <v>1293064.5</v>
      </c>
      <c r="J90" s="129">
        <v>-403536</v>
      </c>
      <c r="K90" s="129">
        <f>J90*4.5/100+J90</f>
        <v>-421695.12</v>
      </c>
      <c r="L90" s="129">
        <f>K90*4.6/100+K90</f>
        <v>-441093.09551999997</v>
      </c>
      <c r="M90" s="129">
        <f>L90*4.6/100+L90</f>
        <v>-461383.37791391998</v>
      </c>
      <c r="N90" s="122"/>
    </row>
    <row r="91" spans="1:14" s="123" customFormat="1" ht="14.25" x14ac:dyDescent="0.2">
      <c r="A91" s="119"/>
      <c r="B91" s="26" t="s">
        <v>68</v>
      </c>
      <c r="C91" s="129">
        <v>-781881</v>
      </c>
      <c r="D91" s="129">
        <f ca="1">Technical!E511</f>
        <v>0</v>
      </c>
      <c r="E91" s="129">
        <f ca="1">Technical!F511</f>
        <v>0</v>
      </c>
      <c r="F91" s="129">
        <f ca="1">Technical!G511</f>
        <v>1217.71</v>
      </c>
      <c r="G91" s="129">
        <f ca="1">Technical!H511</f>
        <v>-1217.71</v>
      </c>
      <c r="H91" s="129">
        <f ca="1">Technical!I511</f>
        <v>0</v>
      </c>
      <c r="I91" s="129">
        <f ca="1">Technical!J511</f>
        <v>520712.1</v>
      </c>
      <c r="J91" s="129">
        <v>-261169</v>
      </c>
      <c r="K91" s="129">
        <f>J91*4.5/100+J91</f>
        <v>-272921.60499999998</v>
      </c>
      <c r="L91" s="129">
        <f>K91*4.6/100+K91</f>
        <v>-285475.99883</v>
      </c>
      <c r="M91" s="129">
        <f>L91*4.6/100+L91</f>
        <v>-298607.89477617998</v>
      </c>
      <c r="N91" s="122"/>
    </row>
    <row r="92" spans="1:14" s="123" customFormat="1" ht="14.25" x14ac:dyDescent="0.2">
      <c r="A92" s="119"/>
      <c r="B92" s="26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2"/>
    </row>
    <row r="93" spans="1:14" s="123" customFormat="1" ht="14.25" x14ac:dyDescent="0.2">
      <c r="A93" s="119"/>
      <c r="B93" s="26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2"/>
    </row>
    <row r="94" spans="1:14" s="114" customFormat="1" x14ac:dyDescent="0.25">
      <c r="A94" s="118"/>
      <c r="B94" s="117" t="s">
        <v>69</v>
      </c>
      <c r="C94" s="128">
        <f>SUM(C90:C93)</f>
        <v>-2478481</v>
      </c>
      <c r="D94" s="128">
        <f t="shared" ref="D94:M94" ca="1" si="20">SUM(D90:D93)</f>
        <v>0</v>
      </c>
      <c r="E94" s="128">
        <f t="shared" ca="1" si="20"/>
        <v>0</v>
      </c>
      <c r="F94" s="128">
        <f t="shared" ca="1" si="20"/>
        <v>2435.42</v>
      </c>
      <c r="G94" s="128">
        <f t="shared" ca="1" si="20"/>
        <v>-2435.42</v>
      </c>
      <c r="H94" s="128">
        <f t="shared" ca="1" si="20"/>
        <v>0</v>
      </c>
      <c r="I94" s="128">
        <f t="shared" ca="1" si="20"/>
        <v>1813775.6</v>
      </c>
      <c r="J94" s="128">
        <f t="shared" si="20"/>
        <v>-664705</v>
      </c>
      <c r="K94" s="128">
        <f t="shared" si="20"/>
        <v>-694616.72499999998</v>
      </c>
      <c r="L94" s="128">
        <f t="shared" si="20"/>
        <v>-726569.09434999991</v>
      </c>
      <c r="M94" s="128">
        <f t="shared" si="20"/>
        <v>-759991.2726900999</v>
      </c>
      <c r="N94" s="113"/>
    </row>
    <row r="95" spans="1:14" s="123" customFormat="1" ht="14.25" x14ac:dyDescent="0.2">
      <c r="A95" s="119"/>
      <c r="B95" s="120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2"/>
    </row>
    <row r="96" spans="1:14" s="114" customFormat="1" x14ac:dyDescent="0.25">
      <c r="A96" s="118"/>
      <c r="B96" s="117" t="s">
        <v>70</v>
      </c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13"/>
    </row>
    <row r="97" spans="1:14" s="123" customFormat="1" ht="14.25" x14ac:dyDescent="0.2">
      <c r="A97" s="119"/>
      <c r="B97" s="120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2"/>
    </row>
    <row r="98" spans="1:14" s="123" customFormat="1" ht="14.25" x14ac:dyDescent="0.2">
      <c r="A98" s="119">
        <v>1.0001380310000001E+19</v>
      </c>
      <c r="B98" s="120" t="s">
        <v>71</v>
      </c>
      <c r="C98" s="129">
        <v>-310</v>
      </c>
      <c r="D98" s="129">
        <v>0</v>
      </c>
      <c r="E98" s="129">
        <v>0</v>
      </c>
      <c r="F98" s="129">
        <v>0</v>
      </c>
      <c r="G98" s="129">
        <v>-310</v>
      </c>
      <c r="H98" s="129">
        <v>0</v>
      </c>
      <c r="I98" s="129">
        <f>I2519</f>
        <v>0</v>
      </c>
      <c r="J98" s="129">
        <v>-310</v>
      </c>
      <c r="K98" s="129">
        <f t="shared" ref="K98:K103" si="21">J98*4.5/100+J98</f>
        <v>-323.95</v>
      </c>
      <c r="L98" s="129">
        <f>K98*4.6/100+K98</f>
        <v>-338.85169999999999</v>
      </c>
      <c r="M98" s="129">
        <f>L98*4.6/100+L98</f>
        <v>-354.43887819999998</v>
      </c>
      <c r="N98" s="122"/>
    </row>
    <row r="99" spans="1:14" s="123" customFormat="1" ht="14.25" x14ac:dyDescent="0.2">
      <c r="A99" s="119">
        <v>1.00013806E+19</v>
      </c>
      <c r="B99" s="120" t="s">
        <v>72</v>
      </c>
      <c r="C99" s="129">
        <v>-669425</v>
      </c>
      <c r="D99" s="129">
        <v>0</v>
      </c>
      <c r="E99" s="129">
        <v>0</v>
      </c>
      <c r="F99" s="129">
        <v>0</v>
      </c>
      <c r="G99" s="129">
        <v>-669425</v>
      </c>
      <c r="H99" s="129">
        <v>0</v>
      </c>
      <c r="I99" s="129">
        <f>I1878</f>
        <v>0</v>
      </c>
      <c r="J99" s="129">
        <v>0</v>
      </c>
      <c r="K99" s="129">
        <f t="shared" si="21"/>
        <v>0</v>
      </c>
      <c r="L99" s="129">
        <f t="shared" ref="L99:M103" si="22">K99*4.6/100+K99</f>
        <v>0</v>
      </c>
      <c r="M99" s="129">
        <f t="shared" si="22"/>
        <v>0</v>
      </c>
      <c r="N99" s="122"/>
    </row>
    <row r="100" spans="1:14" s="123" customFormat="1" ht="14.25" x14ac:dyDescent="0.2">
      <c r="A100" s="119">
        <v>1.000138062E+19</v>
      </c>
      <c r="B100" s="120" t="s">
        <v>73</v>
      </c>
      <c r="C100" s="129">
        <v>0</v>
      </c>
      <c r="D100" s="129">
        <v>0</v>
      </c>
      <c r="E100" s="129">
        <v>0</v>
      </c>
      <c r="F100" s="129">
        <v>-1025.8499999999999</v>
      </c>
      <c r="G100" s="129">
        <v>1025.8499999999999</v>
      </c>
      <c r="H100" s="129">
        <v>0</v>
      </c>
      <c r="I100" s="129">
        <f>I3273</f>
        <v>0</v>
      </c>
      <c r="J100" s="129">
        <v>0</v>
      </c>
      <c r="K100" s="129">
        <f t="shared" si="21"/>
        <v>0</v>
      </c>
      <c r="L100" s="129">
        <f t="shared" si="22"/>
        <v>0</v>
      </c>
      <c r="M100" s="129">
        <f t="shared" si="22"/>
        <v>0</v>
      </c>
      <c r="N100" s="122"/>
    </row>
    <row r="101" spans="1:14" s="123" customFormat="1" ht="14.25" x14ac:dyDescent="0.2">
      <c r="A101" s="119">
        <v>1.00013824E+19</v>
      </c>
      <c r="B101" s="120" t="s">
        <v>74</v>
      </c>
      <c r="C101" s="129">
        <v>-18426329</v>
      </c>
      <c r="D101" s="129">
        <v>0</v>
      </c>
      <c r="E101" s="129">
        <v>0</v>
      </c>
      <c r="F101" s="129">
        <v>0</v>
      </c>
      <c r="G101" s="129">
        <v>-18426329</v>
      </c>
      <c r="H101" s="129">
        <v>0</v>
      </c>
      <c r="I101" s="129">
        <f>I2089</f>
        <v>0</v>
      </c>
      <c r="J101" s="129">
        <v>-20255136</v>
      </c>
      <c r="K101" s="180">
        <v>-18926671</v>
      </c>
      <c r="L101" s="129">
        <v>-23910527</v>
      </c>
      <c r="M101" s="129">
        <v>-28167984</v>
      </c>
      <c r="N101" s="122"/>
    </row>
    <row r="102" spans="1:14" s="123" customFormat="1" ht="14.25" x14ac:dyDescent="0.2">
      <c r="A102" s="119">
        <v>1.0001385249999999E+19</v>
      </c>
      <c r="B102" s="120" t="s">
        <v>75</v>
      </c>
      <c r="C102" s="129">
        <v>-15000000</v>
      </c>
      <c r="D102" s="129">
        <v>0</v>
      </c>
      <c r="E102" s="129">
        <v>0</v>
      </c>
      <c r="F102" s="129">
        <v>0</v>
      </c>
      <c r="G102" s="129">
        <v>-15000000</v>
      </c>
      <c r="H102" s="129">
        <v>0</v>
      </c>
      <c r="I102" s="129">
        <f>I1031</f>
        <v>0</v>
      </c>
      <c r="J102" s="129">
        <v>-7500000</v>
      </c>
      <c r="K102" s="129">
        <v>-7500000</v>
      </c>
      <c r="L102" s="129">
        <v>-7500000</v>
      </c>
      <c r="M102" s="129">
        <v>-7500000</v>
      </c>
      <c r="N102" s="122"/>
    </row>
    <row r="103" spans="1:14" s="123" customFormat="1" ht="14.25" x14ac:dyDescent="0.2">
      <c r="A103" s="119">
        <v>1.0001385329999999E+19</v>
      </c>
      <c r="B103" s="120" t="s">
        <v>76</v>
      </c>
      <c r="C103" s="129">
        <v>-204317</v>
      </c>
      <c r="D103" s="129">
        <v>0</v>
      </c>
      <c r="E103" s="129">
        <v>0</v>
      </c>
      <c r="F103" s="129">
        <v>-70522.350000000006</v>
      </c>
      <c r="G103" s="129">
        <v>-133794.65</v>
      </c>
      <c r="H103" s="129">
        <v>34.51</v>
      </c>
      <c r="I103" s="129">
        <f>I603</f>
        <v>0</v>
      </c>
      <c r="J103" s="129">
        <v>-204317</v>
      </c>
      <c r="K103" s="129">
        <f t="shared" si="21"/>
        <v>-213511.26500000001</v>
      </c>
      <c r="L103" s="129">
        <f t="shared" si="22"/>
        <v>-223332.78319000002</v>
      </c>
      <c r="M103" s="129">
        <f t="shared" si="22"/>
        <v>-233606.09121674002</v>
      </c>
      <c r="N103" s="122"/>
    </row>
    <row r="104" spans="1:14" s="123" customFormat="1" ht="14.25" x14ac:dyDescent="0.2">
      <c r="A104" s="119"/>
      <c r="B104" s="120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2"/>
    </row>
    <row r="105" spans="1:14" s="114" customFormat="1" x14ac:dyDescent="0.25">
      <c r="A105" s="118"/>
      <c r="B105" s="117" t="s">
        <v>77</v>
      </c>
      <c r="C105" s="128">
        <f>SUM(C98:C104)</f>
        <v>-34300381</v>
      </c>
      <c r="D105" s="128">
        <v>0</v>
      </c>
      <c r="E105" s="128">
        <v>0</v>
      </c>
      <c r="F105" s="128">
        <v>-71548.2</v>
      </c>
      <c r="G105" s="128">
        <v>-34228832.799999997</v>
      </c>
      <c r="H105" s="128">
        <v>0.2</v>
      </c>
      <c r="I105" s="128">
        <f>SUM(I98:I104)</f>
        <v>0</v>
      </c>
      <c r="J105" s="128">
        <f>SUM(J98:J104)</f>
        <v>-27959763</v>
      </c>
      <c r="K105" s="128">
        <f>SUM(K98:K104)</f>
        <v>-26640506.215</v>
      </c>
      <c r="L105" s="128">
        <f>SUM(L98:L104)</f>
        <v>-31634198.634890001</v>
      </c>
      <c r="M105" s="128">
        <f>SUM(M98:M104)</f>
        <v>-35901944.530094944</v>
      </c>
      <c r="N105" s="113"/>
    </row>
    <row r="106" spans="1:14" s="114" customFormat="1" x14ac:dyDescent="0.25">
      <c r="A106" s="118"/>
      <c r="B106" s="117"/>
      <c r="C106" s="128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13"/>
    </row>
    <row r="107" spans="1:14" s="114" customFormat="1" x14ac:dyDescent="0.25">
      <c r="A107" s="118"/>
      <c r="B107" s="117" t="s">
        <v>78</v>
      </c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13"/>
    </row>
    <row r="108" spans="1:14" s="123" customFormat="1" ht="14.25" x14ac:dyDescent="0.2">
      <c r="A108" s="119"/>
      <c r="B108" s="120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2"/>
    </row>
    <row r="109" spans="1:14" s="123" customFormat="1" ht="14.25" x14ac:dyDescent="0.2">
      <c r="A109" s="119">
        <v>1.0001401089999999E+19</v>
      </c>
      <c r="B109" s="120" t="s">
        <v>79</v>
      </c>
      <c r="C109" s="129">
        <v>-283935</v>
      </c>
      <c r="D109" s="129">
        <v>-15256.34</v>
      </c>
      <c r="E109" s="129">
        <v>0</v>
      </c>
      <c r="F109" s="129">
        <v>-100969.64</v>
      </c>
      <c r="G109" s="129">
        <v>-182965.36</v>
      </c>
      <c r="H109" s="129">
        <v>35.56</v>
      </c>
      <c r="I109" s="129">
        <f>I2525</f>
        <v>0</v>
      </c>
      <c r="J109" s="129">
        <v>-233935</v>
      </c>
      <c r="K109" s="129">
        <f>J109*4.5/100+J109</f>
        <v>-244462.07500000001</v>
      </c>
      <c r="L109" s="129">
        <f>K109*4.6/100+K109</f>
        <v>-255707.33045000001</v>
      </c>
      <c r="M109" s="129">
        <f>L109*4.6/100+L109</f>
        <v>-267469.86765070003</v>
      </c>
      <c r="N109" s="122"/>
    </row>
    <row r="110" spans="1:14" s="123" customFormat="1" ht="14.25" x14ac:dyDescent="0.2">
      <c r="A110" s="119"/>
      <c r="B110" s="120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2"/>
    </row>
    <row r="111" spans="1:14" s="114" customFormat="1" x14ac:dyDescent="0.25">
      <c r="A111" s="118"/>
      <c r="B111" s="117" t="s">
        <v>80</v>
      </c>
      <c r="C111" s="128">
        <f>C109</f>
        <v>-283935</v>
      </c>
      <c r="D111" s="128">
        <v>-15256.34</v>
      </c>
      <c r="E111" s="128">
        <v>0</v>
      </c>
      <c r="F111" s="128">
        <v>-100969.64</v>
      </c>
      <c r="G111" s="128">
        <v>-182965.36</v>
      </c>
      <c r="H111" s="128">
        <v>35.56</v>
      </c>
      <c r="I111" s="128">
        <f>I109</f>
        <v>0</v>
      </c>
      <c r="J111" s="128">
        <f>J109</f>
        <v>-233935</v>
      </c>
      <c r="K111" s="128">
        <f>K109</f>
        <v>-244462.07500000001</v>
      </c>
      <c r="L111" s="128">
        <f>L109</f>
        <v>-255707.33045000001</v>
      </c>
      <c r="M111" s="128">
        <f>M109</f>
        <v>-267469.86765070003</v>
      </c>
      <c r="N111" s="113"/>
    </row>
    <row r="112" spans="1:14" s="114" customFormat="1" x14ac:dyDescent="0.25">
      <c r="A112" s="118"/>
      <c r="B112" s="117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13"/>
    </row>
    <row r="113" spans="1:14" s="114" customFormat="1" x14ac:dyDescent="0.25">
      <c r="A113" s="118"/>
      <c r="B113" s="117" t="s">
        <v>81</v>
      </c>
      <c r="C113" s="128"/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13"/>
    </row>
    <row r="114" spans="1:14" s="123" customFormat="1" ht="14.25" x14ac:dyDescent="0.2">
      <c r="A114" s="119"/>
      <c r="B114" s="120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2"/>
    </row>
    <row r="115" spans="1:14" s="123" customFormat="1" ht="14.25" x14ac:dyDescent="0.2">
      <c r="A115" s="119">
        <v>1.000142008E+19</v>
      </c>
      <c r="B115" s="120" t="s">
        <v>82</v>
      </c>
      <c r="C115" s="129">
        <v>-4640</v>
      </c>
      <c r="D115" s="129">
        <v>0</v>
      </c>
      <c r="E115" s="129">
        <v>0</v>
      </c>
      <c r="F115" s="129">
        <v>0</v>
      </c>
      <c r="G115" s="129">
        <v>-4640</v>
      </c>
      <c r="H115" s="129">
        <v>0</v>
      </c>
      <c r="I115" s="129">
        <f>I1037</f>
        <v>0</v>
      </c>
      <c r="J115" s="129">
        <v>-4640</v>
      </c>
      <c r="K115" s="129">
        <f>J115*4.5/100+J115</f>
        <v>-4848.8</v>
      </c>
      <c r="L115" s="129">
        <f>K115*4.6/100+K115</f>
        <v>-5071.8447999999999</v>
      </c>
      <c r="M115" s="129">
        <f>L115*4.6/100+L115</f>
        <v>-5305.1496607999998</v>
      </c>
      <c r="N115" s="122"/>
    </row>
    <row r="116" spans="1:14" s="123" customFormat="1" ht="14.25" x14ac:dyDescent="0.2">
      <c r="A116" s="119">
        <v>1.0001420609999999E+19</v>
      </c>
      <c r="B116" s="120" t="s">
        <v>83</v>
      </c>
      <c r="C116" s="129">
        <v>-12565</v>
      </c>
      <c r="D116" s="129">
        <v>-3408.84</v>
      </c>
      <c r="E116" s="129">
        <v>0</v>
      </c>
      <c r="F116" s="129">
        <v>-4408.84</v>
      </c>
      <c r="G116" s="129">
        <v>-8156.16</v>
      </c>
      <c r="H116" s="129">
        <v>35.08</v>
      </c>
      <c r="I116" s="129">
        <f>I2734</f>
        <v>0</v>
      </c>
      <c r="J116" s="129">
        <v>-12565</v>
      </c>
      <c r="K116" s="129">
        <f t="shared" ref="K116:K121" si="23">J116*4.5/100+J116</f>
        <v>-13130.424999999999</v>
      </c>
      <c r="L116" s="129">
        <f t="shared" ref="L116:M122" si="24">K116*4.6/100+K116</f>
        <v>-13734.42455</v>
      </c>
      <c r="M116" s="129">
        <f t="shared" si="24"/>
        <v>-14366.2080793</v>
      </c>
      <c r="N116" s="122"/>
    </row>
    <row r="117" spans="1:14" s="123" customFormat="1" ht="14.25" x14ac:dyDescent="0.2">
      <c r="A117" s="119">
        <v>1.0001423329999999E+19</v>
      </c>
      <c r="B117" s="120" t="s">
        <v>84</v>
      </c>
      <c r="C117" s="129">
        <v>-2200</v>
      </c>
      <c r="D117" s="129">
        <v>0</v>
      </c>
      <c r="E117" s="129">
        <v>0</v>
      </c>
      <c r="F117" s="129">
        <v>0</v>
      </c>
      <c r="G117" s="129">
        <v>-2200</v>
      </c>
      <c r="H117" s="129">
        <v>0</v>
      </c>
      <c r="I117" s="129">
        <f>I2531</f>
        <v>0</v>
      </c>
      <c r="J117" s="129">
        <v>-2200</v>
      </c>
      <c r="K117" s="129">
        <f t="shared" si="23"/>
        <v>-2299</v>
      </c>
      <c r="L117" s="129">
        <f t="shared" si="24"/>
        <v>-2404.7539999999999</v>
      </c>
      <c r="M117" s="129">
        <f t="shared" si="24"/>
        <v>-2515.3726839999999</v>
      </c>
      <c r="N117" s="122"/>
    </row>
    <row r="118" spans="1:14" s="123" customFormat="1" ht="14.25" x14ac:dyDescent="0.2">
      <c r="A118" s="119">
        <v>1.000142454E+19</v>
      </c>
      <c r="B118" s="120" t="s">
        <v>85</v>
      </c>
      <c r="C118" s="129">
        <v>-41011</v>
      </c>
      <c r="D118" s="129">
        <v>0</v>
      </c>
      <c r="E118" s="129">
        <v>0</v>
      </c>
      <c r="F118" s="129">
        <v>-13216.23</v>
      </c>
      <c r="G118" s="129">
        <v>-27794.77</v>
      </c>
      <c r="H118" s="129">
        <v>32.22</v>
      </c>
      <c r="I118" s="129">
        <f>I1038</f>
        <v>0</v>
      </c>
      <c r="J118" s="129">
        <v>-41011</v>
      </c>
      <c r="K118" s="129">
        <f t="shared" si="23"/>
        <v>-42856.495000000003</v>
      </c>
      <c r="L118" s="129">
        <f t="shared" si="24"/>
        <v>-44827.893770000002</v>
      </c>
      <c r="M118" s="129">
        <f t="shared" si="24"/>
        <v>-46889.97688342</v>
      </c>
      <c r="N118" s="122"/>
    </row>
    <row r="119" spans="1:14" s="123" customFormat="1" ht="14.25" x14ac:dyDescent="0.2">
      <c r="A119" s="119">
        <v>1.000142456E+19</v>
      </c>
      <c r="B119" s="120" t="s">
        <v>86</v>
      </c>
      <c r="C119" s="129">
        <v>-10462</v>
      </c>
      <c r="D119" s="129">
        <v>0</v>
      </c>
      <c r="E119" s="129">
        <v>0</v>
      </c>
      <c r="F119" s="129">
        <v>-9352.99</v>
      </c>
      <c r="G119" s="129">
        <v>-1109.01</v>
      </c>
      <c r="H119" s="129">
        <v>89.39</v>
      </c>
      <c r="I119" s="129">
        <f>I938</f>
        <v>0</v>
      </c>
      <c r="J119" s="129">
        <v>-30462</v>
      </c>
      <c r="K119" s="129">
        <f t="shared" si="23"/>
        <v>-31832.79</v>
      </c>
      <c r="L119" s="129">
        <f t="shared" si="24"/>
        <v>-33297.098340000004</v>
      </c>
      <c r="M119" s="129">
        <f t="shared" si="24"/>
        <v>-34828.764863640004</v>
      </c>
      <c r="N119" s="122"/>
    </row>
    <row r="120" spans="1:14" s="123" customFormat="1" ht="14.25" x14ac:dyDescent="0.2">
      <c r="A120" s="119">
        <v>1.0001424609999999E+19</v>
      </c>
      <c r="B120" s="120" t="s">
        <v>87</v>
      </c>
      <c r="C120" s="129">
        <v>-4715</v>
      </c>
      <c r="D120" s="129">
        <v>-1881.4</v>
      </c>
      <c r="E120" s="129">
        <v>0</v>
      </c>
      <c r="F120" s="129">
        <v>-2020.53</v>
      </c>
      <c r="G120" s="129">
        <v>-2694.47</v>
      </c>
      <c r="H120" s="129">
        <v>42.85</v>
      </c>
      <c r="I120" s="129">
        <f>I1040</f>
        <v>0</v>
      </c>
      <c r="J120" s="129">
        <v>-4715</v>
      </c>
      <c r="K120" s="129">
        <f t="shared" si="23"/>
        <v>-4927.1750000000002</v>
      </c>
      <c r="L120" s="129">
        <f t="shared" si="24"/>
        <v>-5153.8250500000004</v>
      </c>
      <c r="M120" s="129">
        <f t="shared" si="24"/>
        <v>-5390.9010023000001</v>
      </c>
      <c r="N120" s="122"/>
    </row>
    <row r="121" spans="1:14" s="123" customFormat="1" ht="14.25" x14ac:dyDescent="0.2">
      <c r="A121" s="119">
        <v>1.00014254E+19</v>
      </c>
      <c r="B121" s="120" t="s">
        <v>88</v>
      </c>
      <c r="C121" s="129">
        <v>-58934</v>
      </c>
      <c r="D121" s="129">
        <v>0</v>
      </c>
      <c r="E121" s="129">
        <v>0</v>
      </c>
      <c r="F121" s="129">
        <v>0</v>
      </c>
      <c r="G121" s="129">
        <v>-58934</v>
      </c>
      <c r="H121" s="129">
        <v>0</v>
      </c>
      <c r="I121" s="129">
        <f>I1041</f>
        <v>0</v>
      </c>
      <c r="J121" s="129">
        <v>-58934</v>
      </c>
      <c r="K121" s="129">
        <f t="shared" si="23"/>
        <v>-61586.03</v>
      </c>
      <c r="L121" s="129">
        <f t="shared" si="24"/>
        <v>-64418.987379999999</v>
      </c>
      <c r="M121" s="129">
        <f t="shared" si="24"/>
        <v>-67382.260799479991</v>
      </c>
      <c r="N121" s="122"/>
    </row>
    <row r="122" spans="1:14" s="123" customFormat="1" ht="14.25" x14ac:dyDescent="0.2">
      <c r="A122" s="119">
        <v>1.0001425430000001E+19</v>
      </c>
      <c r="B122" s="120" t="s">
        <v>89</v>
      </c>
      <c r="C122" s="129">
        <v>-276424</v>
      </c>
      <c r="D122" s="129">
        <v>0</v>
      </c>
      <c r="E122" s="129">
        <v>0</v>
      </c>
      <c r="F122" s="129">
        <v>-712288.67</v>
      </c>
      <c r="G122" s="129">
        <v>435864.67</v>
      </c>
      <c r="H122" s="129">
        <v>257.67</v>
      </c>
      <c r="I122" s="129">
        <f>I461</f>
        <v>0</v>
      </c>
      <c r="J122" s="129">
        <v>0</v>
      </c>
      <c r="K122" s="129">
        <v>-1000000</v>
      </c>
      <c r="L122" s="129">
        <f t="shared" si="24"/>
        <v>-1046000</v>
      </c>
      <c r="M122" s="129">
        <f t="shared" si="24"/>
        <v>-1094116</v>
      </c>
      <c r="N122" s="122"/>
    </row>
    <row r="123" spans="1:14" s="123" customFormat="1" ht="14.25" x14ac:dyDescent="0.2">
      <c r="A123" s="119"/>
      <c r="B123" s="120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2"/>
    </row>
    <row r="124" spans="1:14" s="114" customFormat="1" x14ac:dyDescent="0.25">
      <c r="A124" s="118"/>
      <c r="B124" s="117" t="s">
        <v>90</v>
      </c>
      <c r="C124" s="128">
        <f>SUM(C115:C123)</f>
        <v>-410951</v>
      </c>
      <c r="D124" s="128">
        <f t="shared" ref="D124:M124" si="25">SUM(D115:D123)</f>
        <v>-5290.24</v>
      </c>
      <c r="E124" s="128">
        <f t="shared" si="25"/>
        <v>0</v>
      </c>
      <c r="F124" s="128">
        <f t="shared" si="25"/>
        <v>-741287.26</v>
      </c>
      <c r="G124" s="128">
        <f t="shared" si="25"/>
        <v>330336.26</v>
      </c>
      <c r="H124" s="128">
        <f t="shared" si="25"/>
        <v>457.21000000000004</v>
      </c>
      <c r="I124" s="128">
        <f t="shared" si="25"/>
        <v>0</v>
      </c>
      <c r="J124" s="128">
        <f t="shared" si="25"/>
        <v>-154527</v>
      </c>
      <c r="K124" s="128">
        <f t="shared" si="25"/>
        <v>-1161480.7150000001</v>
      </c>
      <c r="L124" s="128">
        <f t="shared" si="25"/>
        <v>-1214908.8278900001</v>
      </c>
      <c r="M124" s="128">
        <f t="shared" si="25"/>
        <v>-1270794.63397294</v>
      </c>
      <c r="N124" s="113"/>
    </row>
    <row r="125" spans="1:14" s="114" customFormat="1" x14ac:dyDescent="0.25">
      <c r="A125" s="118"/>
      <c r="B125" s="117"/>
      <c r="C125" s="128"/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13"/>
    </row>
    <row r="126" spans="1:14" s="114" customFormat="1" x14ac:dyDescent="0.25">
      <c r="A126" s="118"/>
      <c r="B126" s="117" t="s">
        <v>91</v>
      </c>
      <c r="C126" s="128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13"/>
    </row>
    <row r="127" spans="1:14" s="123" customFormat="1" ht="14.25" x14ac:dyDescent="0.2">
      <c r="A127" s="119"/>
      <c r="B127" s="120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2"/>
    </row>
    <row r="128" spans="1:14" s="123" customFormat="1" ht="14.25" x14ac:dyDescent="0.2">
      <c r="A128" s="119">
        <v>1.000148204E+19</v>
      </c>
      <c r="B128" s="120" t="s">
        <v>92</v>
      </c>
      <c r="C128" s="129">
        <v>-7065504</v>
      </c>
      <c r="D128" s="129">
        <v>-667782.97</v>
      </c>
      <c r="E128" s="129">
        <v>0</v>
      </c>
      <c r="F128" s="129">
        <v>-2221218.98</v>
      </c>
      <c r="G128" s="129">
        <v>-4844285.0199999996</v>
      </c>
      <c r="H128" s="129">
        <v>31.43</v>
      </c>
      <c r="I128" s="129">
        <f>I2645</f>
        <v>0</v>
      </c>
      <c r="J128" s="129">
        <v>-7065504</v>
      </c>
      <c r="K128" s="129">
        <f>J128*4.5/100+J128</f>
        <v>-7383451.6799999997</v>
      </c>
      <c r="L128" s="129">
        <f>K128*4.6/100+K128</f>
        <v>-7723090.4572799997</v>
      </c>
      <c r="M128" s="129">
        <f>L128*4.6/100+L128</f>
        <v>-8078352.6183148799</v>
      </c>
      <c r="N128" s="122"/>
    </row>
    <row r="129" spans="1:14" s="123" customFormat="1" ht="14.25" x14ac:dyDescent="0.2">
      <c r="A129" s="119"/>
      <c r="B129" s="120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2"/>
    </row>
    <row r="130" spans="1:14" s="114" customFormat="1" x14ac:dyDescent="0.25">
      <c r="A130" s="118"/>
      <c r="B130" s="117" t="s">
        <v>93</v>
      </c>
      <c r="C130" s="128">
        <f>SUM(C128:C129)</f>
        <v>-7065504</v>
      </c>
      <c r="D130" s="128">
        <f t="shared" ref="D130:M130" si="26">SUM(D128:D129)</f>
        <v>-667782.97</v>
      </c>
      <c r="E130" s="128">
        <f t="shared" si="26"/>
        <v>0</v>
      </c>
      <c r="F130" s="128">
        <f t="shared" si="26"/>
        <v>-2221218.98</v>
      </c>
      <c r="G130" s="128">
        <f t="shared" si="26"/>
        <v>-4844285.0199999996</v>
      </c>
      <c r="H130" s="128">
        <f t="shared" si="26"/>
        <v>31.43</v>
      </c>
      <c r="I130" s="128">
        <f t="shared" si="26"/>
        <v>0</v>
      </c>
      <c r="J130" s="128">
        <f t="shared" si="26"/>
        <v>-7065504</v>
      </c>
      <c r="K130" s="128">
        <f t="shared" si="26"/>
        <v>-7383451.6799999997</v>
      </c>
      <c r="L130" s="128">
        <f t="shared" si="26"/>
        <v>-7723090.4572799997</v>
      </c>
      <c r="M130" s="128">
        <f t="shared" si="26"/>
        <v>-8078352.6183148799</v>
      </c>
      <c r="N130" s="113"/>
    </row>
    <row r="131" spans="1:14" s="114" customFormat="1" x14ac:dyDescent="0.25">
      <c r="A131" s="118"/>
      <c r="B131" s="117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13"/>
    </row>
    <row r="132" spans="1:14" s="114" customFormat="1" x14ac:dyDescent="0.25">
      <c r="A132" s="118"/>
      <c r="B132" s="117" t="s">
        <v>94</v>
      </c>
      <c r="C132" s="128">
        <f>C68+C80+C86+C94+C105+C111+C124+C130</f>
        <v>-59648272</v>
      </c>
      <c r="D132" s="128">
        <f t="shared" ref="D132:M132" ca="1" si="27">D68+D80+D86+D94+D105+D111+D124+D130</f>
        <v>-59648272</v>
      </c>
      <c r="E132" s="128">
        <f t="shared" ca="1" si="27"/>
        <v>-59648272</v>
      </c>
      <c r="F132" s="128">
        <f t="shared" ca="1" si="27"/>
        <v>-59648272</v>
      </c>
      <c r="G132" s="128">
        <f t="shared" ca="1" si="27"/>
        <v>-59648272</v>
      </c>
      <c r="H132" s="128">
        <f t="shared" ca="1" si="27"/>
        <v>-59648272</v>
      </c>
      <c r="I132" s="128">
        <f t="shared" ca="1" si="27"/>
        <v>-59648272</v>
      </c>
      <c r="J132" s="128">
        <f t="shared" si="27"/>
        <v>-50953725</v>
      </c>
      <c r="K132" s="128">
        <f t="shared" si="27"/>
        <v>-52030585.153000005</v>
      </c>
      <c r="L132" s="128">
        <f t="shared" si="27"/>
        <v>-58261280.107618004</v>
      </c>
      <c r="M132" s="128">
        <f t="shared" si="27"/>
        <v>-64235485.675552756</v>
      </c>
      <c r="N132" s="113"/>
    </row>
    <row r="133" spans="1:14" s="114" customFormat="1" x14ac:dyDescent="0.25">
      <c r="A133" s="118"/>
      <c r="B133" s="117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13"/>
    </row>
    <row r="134" spans="1:14" s="114" customFormat="1" x14ac:dyDescent="0.25">
      <c r="A134" s="118"/>
      <c r="B134" s="117" t="s">
        <v>95</v>
      </c>
      <c r="C134" s="128">
        <f>C50+C132</f>
        <v>-260989834</v>
      </c>
      <c r="D134" s="128">
        <f t="shared" ref="D134:M134" ca="1" si="28">D50+D132</f>
        <v>-260989834</v>
      </c>
      <c r="E134" s="128">
        <f t="shared" ca="1" si="28"/>
        <v>-260989834</v>
      </c>
      <c r="F134" s="128">
        <f t="shared" ca="1" si="28"/>
        <v>-260989834</v>
      </c>
      <c r="G134" s="128">
        <f t="shared" ca="1" si="28"/>
        <v>-260989834</v>
      </c>
      <c r="H134" s="128">
        <f t="shared" ca="1" si="28"/>
        <v>-260989834</v>
      </c>
      <c r="I134" s="128">
        <f t="shared" ca="1" si="28"/>
        <v>-260989834</v>
      </c>
      <c r="J134" s="128">
        <f t="shared" si="28"/>
        <v>-266557636</v>
      </c>
      <c r="K134" s="128">
        <f t="shared" si="28"/>
        <v>-282493503.79800004</v>
      </c>
      <c r="L134" s="128">
        <f t="shared" si="28"/>
        <v>-287285275.563748</v>
      </c>
      <c r="M134" s="128">
        <f t="shared" si="28"/>
        <v>-304596234.43776274</v>
      </c>
      <c r="N134" s="113"/>
    </row>
    <row r="135" spans="1:14" s="114" customFormat="1" x14ac:dyDescent="0.25">
      <c r="A135" s="118"/>
      <c r="B135" s="117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13"/>
    </row>
    <row r="136" spans="1:14" x14ac:dyDescent="0.25">
      <c r="C136" s="208">
        <f>C133+C134</f>
        <v>-260989834</v>
      </c>
      <c r="D136" s="208">
        <f t="shared" ref="D136:G136" ca="1" si="29">D133+D134</f>
        <v>-68276281.180000007</v>
      </c>
      <c r="E136" s="208">
        <f t="shared" ca="1" si="29"/>
        <v>0</v>
      </c>
      <c r="F136" s="208">
        <f t="shared" ca="1" si="29"/>
        <v>-162456060.01000002</v>
      </c>
      <c r="G136" s="208">
        <f t="shared" ca="1" si="29"/>
        <v>-96055292.99000001</v>
      </c>
      <c r="J136" s="130">
        <f>Summary!C32</f>
        <v>-266557636</v>
      </c>
      <c r="K136" s="130">
        <f>Summary!D32</f>
        <v>-282493503.79800004</v>
      </c>
      <c r="L136" s="130">
        <f>Summary!E32</f>
        <v>-287285275.563748</v>
      </c>
      <c r="M136" s="130">
        <f>Summary!F32</f>
        <v>-304596234.43776274</v>
      </c>
    </row>
    <row r="137" spans="1:14" x14ac:dyDescent="0.25">
      <c r="C137" s="130">
        <f>C134-C136</f>
        <v>0</v>
      </c>
      <c r="D137" s="130">
        <f t="shared" ref="D137:M137" ca="1" si="30">D134-D136</f>
        <v>0</v>
      </c>
      <c r="E137" s="130">
        <f t="shared" ca="1" si="30"/>
        <v>0</v>
      </c>
      <c r="F137" s="130">
        <f t="shared" ca="1" si="30"/>
        <v>0</v>
      </c>
      <c r="G137" s="130">
        <f t="shared" ca="1" si="30"/>
        <v>0</v>
      </c>
      <c r="H137" s="130">
        <f t="shared" ca="1" si="30"/>
        <v>1662.88</v>
      </c>
      <c r="I137" s="130">
        <f t="shared" ca="1" si="30"/>
        <v>1813775.6</v>
      </c>
      <c r="J137" s="130">
        <f t="shared" si="30"/>
        <v>0</v>
      </c>
      <c r="K137" s="130">
        <f t="shared" si="30"/>
        <v>0</v>
      </c>
      <c r="L137" s="130">
        <f t="shared" si="30"/>
        <v>0</v>
      </c>
      <c r="M137" s="130">
        <f t="shared" si="30"/>
        <v>0</v>
      </c>
    </row>
  </sheetData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28325"/>
  <sheetViews>
    <sheetView zoomScaleNormal="100" workbookViewId="0">
      <pane xSplit="2" ySplit="1" topLeftCell="C3122" activePane="bottomRight" state="frozen"/>
      <selection pane="topRight" activeCell="C1" sqref="C1"/>
      <selection pane="bottomLeft" activeCell="A2" sqref="A2"/>
      <selection pane="bottomRight" activeCell="B3107" sqref="B3107"/>
    </sheetView>
  </sheetViews>
  <sheetFormatPr defaultColWidth="9.140625" defaultRowHeight="14.25" x14ac:dyDescent="0.2"/>
  <cols>
    <col min="1" max="1" width="27.140625" style="141" customWidth="1"/>
    <col min="2" max="2" width="56.140625" style="123" customWidth="1"/>
    <col min="3" max="3" width="19.42578125" style="187" customWidth="1"/>
    <col min="4" max="4" width="18.140625" style="187" hidden="1" customWidth="1"/>
    <col min="5" max="5" width="14.7109375" style="187" hidden="1" customWidth="1"/>
    <col min="6" max="6" width="18.5703125" style="187" hidden="1" customWidth="1"/>
    <col min="7" max="7" width="16.85546875" style="187" hidden="1" customWidth="1"/>
    <col min="8" max="8" width="9.42578125" style="187" hidden="1" customWidth="1"/>
    <col min="9" max="9" width="14.7109375" style="187" hidden="1" customWidth="1"/>
    <col min="10" max="10" width="18.42578125" style="187" customWidth="1"/>
    <col min="11" max="11" width="18.5703125" style="187" customWidth="1"/>
    <col min="12" max="12" width="17.42578125" style="187" customWidth="1"/>
    <col min="13" max="13" width="0.85546875" style="187" hidden="1" customWidth="1"/>
    <col min="14" max="14" width="9.140625" style="187" hidden="1" customWidth="1"/>
    <col min="15" max="15" width="16.140625" style="187" customWidth="1"/>
    <col min="16" max="16384" width="9.140625" style="123"/>
  </cols>
  <sheetData>
    <row r="1" spans="1:16" s="114" customFormat="1" ht="45" x14ac:dyDescent="0.25">
      <c r="A1" s="118" t="s">
        <v>0</v>
      </c>
      <c r="B1" s="117" t="s">
        <v>1</v>
      </c>
      <c r="C1" s="127" t="s">
        <v>1336</v>
      </c>
      <c r="D1" s="127" t="s">
        <v>3</v>
      </c>
      <c r="E1" s="128" t="s">
        <v>4</v>
      </c>
      <c r="F1" s="127" t="s">
        <v>5</v>
      </c>
      <c r="G1" s="127" t="s">
        <v>6</v>
      </c>
      <c r="H1" s="128" t="s">
        <v>7</v>
      </c>
      <c r="I1" s="128" t="s">
        <v>1322</v>
      </c>
      <c r="J1" s="127" t="s">
        <v>3012</v>
      </c>
      <c r="K1" s="127" t="s">
        <v>3013</v>
      </c>
      <c r="L1" s="127" t="s">
        <v>3014</v>
      </c>
      <c r="M1" s="186"/>
      <c r="N1" s="186"/>
      <c r="O1" s="127" t="s">
        <v>3015</v>
      </c>
      <c r="P1" s="114" t="s">
        <v>3250</v>
      </c>
    </row>
    <row r="2" spans="1:16" s="114" customFormat="1" ht="15" x14ac:dyDescent="0.25">
      <c r="A2" s="118"/>
      <c r="B2" s="117"/>
      <c r="C2" s="128"/>
      <c r="D2" s="128"/>
      <c r="E2" s="128"/>
      <c r="F2" s="128"/>
      <c r="G2" s="128"/>
      <c r="H2" s="128"/>
      <c r="I2" s="128"/>
      <c r="J2" s="127"/>
      <c r="K2" s="127"/>
      <c r="L2" s="127"/>
      <c r="M2" s="186"/>
      <c r="N2" s="186"/>
      <c r="O2" s="128"/>
    </row>
    <row r="3" spans="1:16" s="114" customFormat="1" ht="15" x14ac:dyDescent="0.25">
      <c r="A3" s="118"/>
      <c r="B3" s="117" t="s">
        <v>8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86"/>
      <c r="N3" s="186"/>
      <c r="O3" s="128"/>
    </row>
    <row r="4" spans="1:16" s="114" customFormat="1" ht="15" x14ac:dyDescent="0.25">
      <c r="A4" s="118"/>
      <c r="B4" s="117" t="s">
        <v>9</v>
      </c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86"/>
      <c r="N4" s="186"/>
      <c r="O4" s="128"/>
    </row>
    <row r="5" spans="1:16" s="114" customFormat="1" ht="15" x14ac:dyDescent="0.25">
      <c r="A5" s="118"/>
      <c r="B5" s="117" t="s">
        <v>10</v>
      </c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86"/>
      <c r="N5" s="186"/>
      <c r="O5" s="128"/>
    </row>
    <row r="6" spans="1:16" s="114" customFormat="1" ht="15" x14ac:dyDescent="0.25">
      <c r="A6" s="118"/>
      <c r="B6" s="117" t="s">
        <v>11</v>
      </c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86"/>
      <c r="N6" s="186"/>
      <c r="O6" s="128"/>
    </row>
    <row r="7" spans="1:16" x14ac:dyDescent="0.2">
      <c r="A7" s="119"/>
      <c r="B7" s="120"/>
      <c r="C7" s="129"/>
      <c r="D7" s="129"/>
      <c r="E7" s="129"/>
      <c r="F7" s="129"/>
      <c r="G7" s="129"/>
      <c r="H7" s="129"/>
      <c r="I7" s="129"/>
      <c r="J7" s="129"/>
      <c r="K7" s="129"/>
      <c r="L7" s="129"/>
      <c r="O7" s="129"/>
    </row>
    <row r="8" spans="1:16" x14ac:dyDescent="0.2">
      <c r="A8" s="119">
        <v>1.00010203E+19</v>
      </c>
      <c r="B8" s="120" t="s">
        <v>12</v>
      </c>
      <c r="C8" s="129">
        <f>C1891</f>
        <v>-1411279</v>
      </c>
      <c r="D8" s="129">
        <f t="shared" ref="D8:O8" si="0">D1891</f>
        <v>-141346.4</v>
      </c>
      <c r="E8" s="129">
        <f t="shared" si="0"/>
        <v>0</v>
      </c>
      <c r="F8" s="129">
        <f t="shared" si="0"/>
        <v>-848078.4</v>
      </c>
      <c r="G8" s="129">
        <f t="shared" si="0"/>
        <v>-563200.6</v>
      </c>
      <c r="H8" s="129">
        <f t="shared" si="0"/>
        <v>60.09</v>
      </c>
      <c r="I8" s="129">
        <f t="shared" si="0"/>
        <v>0</v>
      </c>
      <c r="J8" s="129">
        <f t="shared" si="0"/>
        <v>-1696156</v>
      </c>
      <c r="K8" s="129">
        <f t="shared" si="0"/>
        <v>-1772483.02</v>
      </c>
      <c r="L8" s="129">
        <f t="shared" si="0"/>
        <v>-1854017.2389199999</v>
      </c>
      <c r="M8" s="129">
        <f t="shared" si="0"/>
        <v>-1939302.0319103198</v>
      </c>
      <c r="N8" s="129">
        <f t="shared" si="0"/>
        <v>0</v>
      </c>
      <c r="O8" s="129">
        <f t="shared" si="0"/>
        <v>-1939302.0319103198</v>
      </c>
    </row>
    <row r="9" spans="1:16" x14ac:dyDescent="0.2">
      <c r="A9" s="119">
        <v>1.00010215E+19</v>
      </c>
      <c r="B9" s="120" t="s">
        <v>13</v>
      </c>
      <c r="C9" s="129">
        <f>C1892</f>
        <v>0</v>
      </c>
      <c r="D9" s="129">
        <f t="shared" ref="D9:O9" si="1">D1892</f>
        <v>-464849.13</v>
      </c>
      <c r="E9" s="129">
        <f t="shared" si="1"/>
        <v>0</v>
      </c>
      <c r="F9" s="129">
        <f t="shared" si="1"/>
        <v>-2748139.43</v>
      </c>
      <c r="G9" s="129">
        <f t="shared" si="1"/>
        <v>2748139.43</v>
      </c>
      <c r="H9" s="129">
        <f t="shared" si="1"/>
        <v>0</v>
      </c>
      <c r="I9" s="129">
        <f t="shared" si="1"/>
        <v>-5496279</v>
      </c>
      <c r="J9" s="129">
        <f t="shared" si="1"/>
        <v>-5496279</v>
      </c>
      <c r="K9" s="129">
        <f t="shared" si="1"/>
        <v>-5743611.5549999997</v>
      </c>
      <c r="L9" s="129">
        <f t="shared" si="1"/>
        <v>-6007817.6865299996</v>
      </c>
      <c r="M9" s="129">
        <f t="shared" si="1"/>
        <v>-6284177.3001103792</v>
      </c>
      <c r="N9" s="129">
        <f t="shared" si="1"/>
        <v>0</v>
      </c>
      <c r="O9" s="129">
        <f t="shared" si="1"/>
        <v>-6284177.3001103792</v>
      </c>
    </row>
    <row r="10" spans="1:16" x14ac:dyDescent="0.2">
      <c r="A10" s="119">
        <v>1.0001023609999999E+19</v>
      </c>
      <c r="B10" s="120" t="s">
        <v>14</v>
      </c>
      <c r="C10" s="129">
        <v>-7880</v>
      </c>
      <c r="D10" s="129">
        <v>0</v>
      </c>
      <c r="E10" s="129">
        <v>0</v>
      </c>
      <c r="F10" s="129">
        <v>0</v>
      </c>
      <c r="G10" s="129">
        <v>-7880</v>
      </c>
      <c r="H10" s="129">
        <v>0</v>
      </c>
      <c r="I10" s="129">
        <f>I1893</f>
        <v>7880</v>
      </c>
      <c r="J10" s="129">
        <f t="shared" ref="J10:O11" si="2">J1893</f>
        <v>0</v>
      </c>
      <c r="K10" s="129">
        <f t="shared" si="2"/>
        <v>0</v>
      </c>
      <c r="L10" s="129">
        <f t="shared" si="2"/>
        <v>0</v>
      </c>
      <c r="M10" s="129">
        <f t="shared" si="2"/>
        <v>0</v>
      </c>
      <c r="N10" s="129">
        <f t="shared" si="2"/>
        <v>0</v>
      </c>
      <c r="O10" s="129">
        <f t="shared" si="2"/>
        <v>0</v>
      </c>
    </row>
    <row r="11" spans="1:16" x14ac:dyDescent="0.2">
      <c r="A11" s="119">
        <v>1.0001024529999999E+19</v>
      </c>
      <c r="B11" s="120" t="s">
        <v>15</v>
      </c>
      <c r="C11" s="129">
        <v>-22835</v>
      </c>
      <c r="D11" s="129">
        <v>-501.78</v>
      </c>
      <c r="E11" s="129">
        <v>0</v>
      </c>
      <c r="F11" s="129">
        <v>-3010.68</v>
      </c>
      <c r="G11" s="129">
        <v>-19824.32</v>
      </c>
      <c r="H11" s="129">
        <v>13.18</v>
      </c>
      <c r="I11" s="129">
        <f>I1894</f>
        <v>16813</v>
      </c>
      <c r="J11" s="129">
        <f t="shared" si="2"/>
        <v>-6022</v>
      </c>
      <c r="K11" s="129">
        <f t="shared" si="2"/>
        <v>-6292.99</v>
      </c>
      <c r="L11" s="129">
        <f t="shared" si="2"/>
        <v>-6582.4675399999996</v>
      </c>
      <c r="M11" s="129">
        <f t="shared" si="2"/>
        <v>-6885.2610468399998</v>
      </c>
      <c r="N11" s="129">
        <f t="shared" si="2"/>
        <v>0</v>
      </c>
      <c r="O11" s="129">
        <f t="shared" si="2"/>
        <v>-6885.2610468399998</v>
      </c>
    </row>
    <row r="12" spans="1:16" x14ac:dyDescent="0.2">
      <c r="A12" s="119">
        <v>1.00010251E+19</v>
      </c>
      <c r="B12" s="120" t="s">
        <v>16</v>
      </c>
      <c r="C12" s="129">
        <v>-1954883</v>
      </c>
      <c r="D12" s="129">
        <v>-181892.18</v>
      </c>
      <c r="E12" s="129">
        <v>0</v>
      </c>
      <c r="F12" s="129">
        <v>-930342.28</v>
      </c>
      <c r="G12" s="129">
        <v>-1024540.72</v>
      </c>
      <c r="H12" s="129">
        <v>47.59</v>
      </c>
      <c r="I12" s="129">
        <f t="shared" ref="I12:O12" si="3">I1895+I1896</f>
        <v>308817</v>
      </c>
      <c r="J12" s="129">
        <f t="shared" si="3"/>
        <v>-1860685</v>
      </c>
      <c r="K12" s="129">
        <f t="shared" si="3"/>
        <v>-1944415.825</v>
      </c>
      <c r="L12" s="129">
        <f t="shared" si="3"/>
        <v>-2033858.9529499998</v>
      </c>
      <c r="M12" s="129">
        <f t="shared" si="3"/>
        <v>-2127416.4647856997</v>
      </c>
      <c r="N12" s="129">
        <f t="shared" si="3"/>
        <v>0</v>
      </c>
      <c r="O12" s="129">
        <f t="shared" si="3"/>
        <v>-2127416.4647856997</v>
      </c>
    </row>
    <row r="13" spans="1:16" x14ac:dyDescent="0.2">
      <c r="A13" s="119">
        <v>1.0001025110000001E+19</v>
      </c>
      <c r="B13" s="120" t="s">
        <v>17</v>
      </c>
      <c r="C13" s="129">
        <v>-214619</v>
      </c>
      <c r="D13" s="129">
        <v>-4726.59</v>
      </c>
      <c r="E13" s="129">
        <v>0</v>
      </c>
      <c r="F13" s="129">
        <v>-28359.54</v>
      </c>
      <c r="G13" s="129">
        <v>-186259.46</v>
      </c>
      <c r="H13" s="129">
        <v>13.21</v>
      </c>
      <c r="I13" s="129">
        <f t="shared" ref="I13:O16" si="4">I1897</f>
        <v>1270595</v>
      </c>
      <c r="J13" s="129">
        <f t="shared" si="4"/>
        <v>-56720</v>
      </c>
      <c r="K13" s="129">
        <f t="shared" si="4"/>
        <v>-59272.4</v>
      </c>
      <c r="L13" s="129">
        <f t="shared" si="4"/>
        <v>-61998.930399999997</v>
      </c>
      <c r="M13" s="129">
        <f t="shared" si="4"/>
        <v>-64850.881198399999</v>
      </c>
      <c r="N13" s="129">
        <f t="shared" si="4"/>
        <v>0</v>
      </c>
      <c r="O13" s="129">
        <f t="shared" si="4"/>
        <v>-64850.881198399999</v>
      </c>
    </row>
    <row r="14" spans="1:16" x14ac:dyDescent="0.2">
      <c r="A14" s="119">
        <v>1.00010254E+19</v>
      </c>
      <c r="B14" s="120" t="s">
        <v>18</v>
      </c>
      <c r="C14" s="129">
        <v>-1327315</v>
      </c>
      <c r="D14" s="129">
        <v>0</v>
      </c>
      <c r="E14" s="129">
        <v>0</v>
      </c>
      <c r="F14" s="129">
        <v>0</v>
      </c>
      <c r="G14" s="129">
        <v>-1327315</v>
      </c>
      <c r="H14" s="129">
        <v>0</v>
      </c>
      <c r="I14" s="129">
        <f t="shared" si="4"/>
        <v>10352372</v>
      </c>
      <c r="J14" s="129">
        <f t="shared" si="4"/>
        <v>0</v>
      </c>
      <c r="K14" s="129">
        <f t="shared" si="4"/>
        <v>0</v>
      </c>
      <c r="L14" s="129">
        <f t="shared" si="4"/>
        <v>0</v>
      </c>
      <c r="M14" s="129">
        <f t="shared" si="4"/>
        <v>0</v>
      </c>
      <c r="N14" s="129">
        <f t="shared" si="4"/>
        <v>0</v>
      </c>
      <c r="O14" s="129">
        <f t="shared" si="4"/>
        <v>0</v>
      </c>
    </row>
    <row r="15" spans="1:16" x14ac:dyDescent="0.2">
      <c r="A15" s="119">
        <v>1.000102546E+19</v>
      </c>
      <c r="B15" s="120" t="s">
        <v>19</v>
      </c>
      <c r="C15" s="129">
        <v>-10352372</v>
      </c>
      <c r="D15" s="129">
        <v>-1236991.79</v>
      </c>
      <c r="E15" s="129">
        <v>0</v>
      </c>
      <c r="F15" s="129">
        <v>-7421950.7400000002</v>
      </c>
      <c r="G15" s="129">
        <v>-2930421.26</v>
      </c>
      <c r="H15" s="129">
        <v>71.69</v>
      </c>
      <c r="I15" s="129">
        <f t="shared" si="4"/>
        <v>-10742205</v>
      </c>
      <c r="J15" s="129">
        <f t="shared" si="4"/>
        <v>-10742205</v>
      </c>
      <c r="K15" s="129">
        <f t="shared" si="4"/>
        <v>-11225604.225</v>
      </c>
      <c r="L15" s="129">
        <f t="shared" si="4"/>
        <v>-11741982.01935</v>
      </c>
      <c r="M15" s="129">
        <f t="shared" si="4"/>
        <v>-12282113.1922401</v>
      </c>
      <c r="N15" s="129">
        <f t="shared" si="4"/>
        <v>0</v>
      </c>
      <c r="O15" s="129">
        <f t="shared" si="4"/>
        <v>-12282113.1922401</v>
      </c>
    </row>
    <row r="16" spans="1:16" x14ac:dyDescent="0.2">
      <c r="A16" s="119">
        <v>1.000102548E+19</v>
      </c>
      <c r="B16" s="120" t="s">
        <v>20</v>
      </c>
      <c r="C16" s="129">
        <v>0</v>
      </c>
      <c r="D16" s="129">
        <v>348636.42</v>
      </c>
      <c r="E16" s="129">
        <v>0</v>
      </c>
      <c r="F16" s="129">
        <v>2050848.2</v>
      </c>
      <c r="G16" s="129">
        <v>-2050848.2</v>
      </c>
      <c r="H16" s="129">
        <v>0</v>
      </c>
      <c r="I16" s="129">
        <f t="shared" si="4"/>
        <v>0</v>
      </c>
      <c r="J16" s="129">
        <f t="shared" si="4"/>
        <v>0</v>
      </c>
      <c r="K16" s="129">
        <f t="shared" si="4"/>
        <v>0</v>
      </c>
      <c r="L16" s="129">
        <f t="shared" si="4"/>
        <v>0</v>
      </c>
      <c r="M16" s="129">
        <f t="shared" si="4"/>
        <v>0</v>
      </c>
      <c r="N16" s="129">
        <f t="shared" si="4"/>
        <v>0</v>
      </c>
      <c r="O16" s="129">
        <f t="shared" si="4"/>
        <v>0</v>
      </c>
    </row>
    <row r="17" spans="1:15" x14ac:dyDescent="0.2">
      <c r="A17" s="119"/>
      <c r="B17" s="120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O17" s="129"/>
    </row>
    <row r="18" spans="1:15" s="114" customFormat="1" ht="15" x14ac:dyDescent="0.25">
      <c r="A18" s="118"/>
      <c r="B18" s="117" t="s">
        <v>21</v>
      </c>
      <c r="C18" s="128">
        <f>SUM(C8:C17)</f>
        <v>-15291183</v>
      </c>
      <c r="D18" s="128">
        <f>SUM(D8:D17)</f>
        <v>-1681671.4500000002</v>
      </c>
      <c r="E18" s="128">
        <f>SUM(E8:E17)</f>
        <v>0</v>
      </c>
      <c r="F18" s="128">
        <f>SUM(F8:F17)</f>
        <v>-9929032.870000001</v>
      </c>
      <c r="G18" s="128">
        <f>SUM(G8:G17)</f>
        <v>-5362150.13</v>
      </c>
      <c r="H18" s="128">
        <v>64.930000000000007</v>
      </c>
      <c r="I18" s="128">
        <f t="shared" ref="I18:O18" si="5">SUM(I8:I17)</f>
        <v>-4282007</v>
      </c>
      <c r="J18" s="128">
        <f t="shared" si="5"/>
        <v>-19858067</v>
      </c>
      <c r="K18" s="128">
        <f t="shared" si="5"/>
        <v>-20751680.015000001</v>
      </c>
      <c r="L18" s="128">
        <f t="shared" si="5"/>
        <v>-21706257.29569</v>
      </c>
      <c r="M18" s="128">
        <f t="shared" si="5"/>
        <v>-22704745.13129174</v>
      </c>
      <c r="N18" s="128">
        <f t="shared" si="5"/>
        <v>0</v>
      </c>
      <c r="O18" s="128">
        <f t="shared" si="5"/>
        <v>-22704745.13129174</v>
      </c>
    </row>
    <row r="19" spans="1:15" s="114" customFormat="1" ht="15" x14ac:dyDescent="0.25">
      <c r="A19" s="118"/>
      <c r="B19" s="117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86"/>
      <c r="N19" s="186"/>
      <c r="O19" s="128"/>
    </row>
    <row r="20" spans="1:15" s="114" customFormat="1" ht="15" x14ac:dyDescent="0.25">
      <c r="A20" s="118"/>
      <c r="B20" s="117" t="s">
        <v>22</v>
      </c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86"/>
      <c r="N20" s="186"/>
      <c r="O20" s="128"/>
    </row>
    <row r="21" spans="1:15" x14ac:dyDescent="0.2">
      <c r="A21" s="119"/>
      <c r="B21" s="120"/>
      <c r="C21" s="129"/>
      <c r="D21" s="129"/>
      <c r="E21" s="129"/>
      <c r="F21" s="129"/>
      <c r="G21" s="129"/>
      <c r="H21" s="129"/>
      <c r="I21" s="129"/>
      <c r="J21" s="129"/>
      <c r="K21" s="129"/>
      <c r="L21" s="129"/>
      <c r="O21" s="129"/>
    </row>
    <row r="22" spans="1:15" x14ac:dyDescent="0.2">
      <c r="A22" s="119">
        <v>1.000104002E+19</v>
      </c>
      <c r="B22" s="120" t="s">
        <v>23</v>
      </c>
      <c r="C22" s="129">
        <f>'All Dept'!C3192</f>
        <v>-30535</v>
      </c>
      <c r="D22" s="129">
        <f>'All Dept'!D3192</f>
        <v>0</v>
      </c>
      <c r="E22" s="129">
        <f>'All Dept'!E3192</f>
        <v>0</v>
      </c>
      <c r="F22" s="129">
        <f>'All Dept'!F3192</f>
        <v>0</v>
      </c>
      <c r="G22" s="129">
        <f>'All Dept'!G3192</f>
        <v>-30535</v>
      </c>
      <c r="H22" s="129">
        <f>'All Dept'!H3192</f>
        <v>0</v>
      </c>
      <c r="I22" s="129">
        <f>'All Dept'!I3192</f>
        <v>0</v>
      </c>
      <c r="J22" s="129">
        <f>'All Dept'!J3192</f>
        <v>0</v>
      </c>
      <c r="K22" s="129">
        <f>'All Dept'!K3192</f>
        <v>-32367.1</v>
      </c>
      <c r="L22" s="129">
        <f>'All Dept'!L3192</f>
        <v>-34632.796999999999</v>
      </c>
      <c r="M22" s="129">
        <f>'All Dept'!M3192</f>
        <v>0</v>
      </c>
      <c r="N22" s="129">
        <f>'All Dept'!N3192</f>
        <v>0</v>
      </c>
      <c r="O22" s="129">
        <f>'All Dept'!O3192</f>
        <v>-37403.420760000001</v>
      </c>
    </row>
    <row r="23" spans="1:15" x14ac:dyDescent="0.2">
      <c r="A23" s="119">
        <v>1.000104008E+19</v>
      </c>
      <c r="B23" s="120" t="s">
        <v>24</v>
      </c>
      <c r="C23" s="129">
        <f>C2696</f>
        <v>-1200007</v>
      </c>
      <c r="D23" s="129">
        <f t="shared" ref="D23:O23" si="6">D2696</f>
        <v>-290187</v>
      </c>
      <c r="E23" s="129">
        <f t="shared" si="6"/>
        <v>0</v>
      </c>
      <c r="F23" s="129">
        <f t="shared" si="6"/>
        <v>-524054</v>
      </c>
      <c r="G23" s="129">
        <f t="shared" si="6"/>
        <v>-642946</v>
      </c>
      <c r="H23" s="129">
        <f t="shared" si="6"/>
        <v>44.9</v>
      </c>
      <c r="I23" s="129">
        <f t="shared" si="6"/>
        <v>0</v>
      </c>
      <c r="J23" s="129">
        <f t="shared" si="6"/>
        <v>-1200007</v>
      </c>
      <c r="K23" s="129">
        <f t="shared" si="6"/>
        <v>-1254007.3149999999</v>
      </c>
      <c r="L23" s="129">
        <f t="shared" si="6"/>
        <v>-1314199.66612</v>
      </c>
      <c r="M23" s="129">
        <f t="shared" si="6"/>
        <v>-1374652.85076152</v>
      </c>
      <c r="N23" s="129">
        <f t="shared" si="6"/>
        <v>0</v>
      </c>
      <c r="O23" s="129">
        <f t="shared" si="6"/>
        <v>-1374652.85076152</v>
      </c>
    </row>
    <row r="24" spans="1:15" x14ac:dyDescent="0.2">
      <c r="A24" s="119">
        <v>1.00010405E+19</v>
      </c>
      <c r="B24" s="120" t="s">
        <v>25</v>
      </c>
      <c r="C24" s="129">
        <f>C2568</f>
        <v>-827</v>
      </c>
      <c r="D24" s="129">
        <f t="shared" ref="D24:O24" si="7">D2568</f>
        <v>0</v>
      </c>
      <c r="E24" s="129">
        <f t="shared" si="7"/>
        <v>0</v>
      </c>
      <c r="F24" s="129">
        <f t="shared" si="7"/>
        <v>-72.17</v>
      </c>
      <c r="G24" s="129">
        <f t="shared" si="7"/>
        <v>-754.83</v>
      </c>
      <c r="H24" s="129">
        <f t="shared" si="7"/>
        <v>8.7200000000000006</v>
      </c>
      <c r="I24" s="129">
        <f t="shared" si="7"/>
        <v>0</v>
      </c>
      <c r="J24" s="129">
        <f t="shared" si="7"/>
        <v>-827</v>
      </c>
      <c r="K24" s="129">
        <f t="shared" si="7"/>
        <v>-864.21500000000003</v>
      </c>
      <c r="L24" s="129">
        <f t="shared" si="7"/>
        <v>-905.69731999999999</v>
      </c>
      <c r="M24" s="129">
        <f t="shared" si="7"/>
        <v>0</v>
      </c>
      <c r="N24" s="129">
        <f t="shared" si="7"/>
        <v>0</v>
      </c>
      <c r="O24" s="129">
        <f t="shared" si="7"/>
        <v>-947.35939671999995</v>
      </c>
    </row>
    <row r="25" spans="1:15" x14ac:dyDescent="0.2">
      <c r="A25" s="119">
        <v>1.000104052E+19</v>
      </c>
      <c r="B25" s="120" t="s">
        <v>26</v>
      </c>
      <c r="C25" s="129">
        <v>0</v>
      </c>
      <c r="D25" s="129">
        <v>0</v>
      </c>
      <c r="E25" s="129">
        <v>0</v>
      </c>
      <c r="F25" s="129">
        <v>-1814931.33</v>
      </c>
      <c r="G25" s="129">
        <v>1814931.33</v>
      </c>
      <c r="H25" s="129">
        <v>0</v>
      </c>
      <c r="I25" s="129">
        <f t="shared" ref="I25:O25" si="8">I2697</f>
        <v>0</v>
      </c>
      <c r="J25" s="129">
        <f t="shared" si="8"/>
        <v>0</v>
      </c>
      <c r="K25" s="129">
        <f t="shared" si="8"/>
        <v>0</v>
      </c>
      <c r="L25" s="129">
        <f t="shared" si="8"/>
        <v>0</v>
      </c>
      <c r="M25" s="129">
        <f t="shared" si="8"/>
        <v>0</v>
      </c>
      <c r="N25" s="129">
        <f t="shared" si="8"/>
        <v>0</v>
      </c>
      <c r="O25" s="129">
        <f t="shared" si="8"/>
        <v>0</v>
      </c>
    </row>
    <row r="26" spans="1:15" x14ac:dyDescent="0.2">
      <c r="A26" s="119">
        <v>1.0001041009999999E+19</v>
      </c>
      <c r="B26" s="120" t="s">
        <v>27</v>
      </c>
      <c r="C26" s="129">
        <v>-3520000</v>
      </c>
      <c r="D26" s="129">
        <v>0</v>
      </c>
      <c r="E26" s="129">
        <v>0</v>
      </c>
      <c r="F26" s="129">
        <v>0</v>
      </c>
      <c r="G26" s="129">
        <v>-3520000</v>
      </c>
      <c r="H26" s="129">
        <v>0</v>
      </c>
      <c r="I26" s="129">
        <f t="shared" ref="I26:O26" si="9">I1906</f>
        <v>0</v>
      </c>
      <c r="J26" s="129">
        <f t="shared" si="9"/>
        <v>-3520000</v>
      </c>
      <c r="K26" s="129">
        <f t="shared" si="9"/>
        <v>-3000000</v>
      </c>
      <c r="L26" s="129">
        <f t="shared" si="9"/>
        <v>0</v>
      </c>
      <c r="M26" s="129">
        <f t="shared" si="9"/>
        <v>0</v>
      </c>
      <c r="N26" s="129">
        <f t="shared" si="9"/>
        <v>0</v>
      </c>
      <c r="O26" s="129">
        <f t="shared" si="9"/>
        <v>0</v>
      </c>
    </row>
    <row r="27" spans="1:15" x14ac:dyDescent="0.2">
      <c r="A27" s="119"/>
      <c r="B27" s="120"/>
      <c r="C27" s="129"/>
      <c r="D27" s="129"/>
      <c r="E27" s="129"/>
      <c r="F27" s="129"/>
      <c r="G27" s="129"/>
      <c r="H27" s="129"/>
      <c r="I27" s="129"/>
      <c r="J27" s="129"/>
      <c r="K27" s="129"/>
      <c r="L27" s="129"/>
      <c r="O27" s="129"/>
    </row>
    <row r="28" spans="1:15" s="114" customFormat="1" ht="15" x14ac:dyDescent="0.25">
      <c r="A28" s="118"/>
      <c r="B28" s="117" t="s">
        <v>28</v>
      </c>
      <c r="C28" s="128">
        <f>SUM(C22:C27)</f>
        <v>-4751369</v>
      </c>
      <c r="D28" s="128">
        <f>SUM(D22:D27)</f>
        <v>-290187</v>
      </c>
      <c r="E28" s="128">
        <f>SUM(E22:E27)</f>
        <v>0</v>
      </c>
      <c r="F28" s="128">
        <f>SUM(F22:F27)</f>
        <v>-2339057.5</v>
      </c>
      <c r="G28" s="128">
        <f>SUM(G22:G27)</f>
        <v>-2379304.5</v>
      </c>
      <c r="H28" s="128">
        <v>39.54</v>
      </c>
      <c r="I28" s="128">
        <f t="shared" ref="I28:O28" si="10">SUM(I22:I27)</f>
        <v>0</v>
      </c>
      <c r="J28" s="128">
        <f t="shared" si="10"/>
        <v>-4720834</v>
      </c>
      <c r="K28" s="128">
        <f t="shared" si="10"/>
        <v>-4287238.63</v>
      </c>
      <c r="L28" s="128">
        <f t="shared" si="10"/>
        <v>-1349738.16044</v>
      </c>
      <c r="M28" s="128">
        <f t="shared" si="10"/>
        <v>-1374652.85076152</v>
      </c>
      <c r="N28" s="128">
        <f t="shared" si="10"/>
        <v>0</v>
      </c>
      <c r="O28" s="128">
        <f t="shared" si="10"/>
        <v>-1413003.6309182399</v>
      </c>
    </row>
    <row r="29" spans="1:15" s="114" customFormat="1" ht="15" x14ac:dyDescent="0.25">
      <c r="A29" s="118"/>
      <c r="B29" s="117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86"/>
      <c r="N29" s="186"/>
      <c r="O29" s="128"/>
    </row>
    <row r="30" spans="1:15" s="114" customFormat="1" ht="15" x14ac:dyDescent="0.25">
      <c r="A30" s="118"/>
      <c r="B30" s="117" t="s">
        <v>29</v>
      </c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86"/>
      <c r="N30" s="186"/>
      <c r="O30" s="128"/>
    </row>
    <row r="31" spans="1:15" s="114" customFormat="1" ht="15" x14ac:dyDescent="0.25">
      <c r="A31" s="118"/>
      <c r="B31" s="117" t="s">
        <v>30</v>
      </c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86"/>
      <c r="N31" s="186"/>
      <c r="O31" s="128"/>
    </row>
    <row r="32" spans="1:15" x14ac:dyDescent="0.2">
      <c r="A32" s="119"/>
      <c r="B32" s="120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O32" s="129"/>
    </row>
    <row r="33" spans="1:15" x14ac:dyDescent="0.2">
      <c r="A33" s="119">
        <v>1.0001178910000001E+19</v>
      </c>
      <c r="B33" s="120" t="s">
        <v>31</v>
      </c>
      <c r="C33" s="129">
        <f>C2404</f>
        <v>-1167000</v>
      </c>
      <c r="D33" s="129">
        <f t="shared" ref="D33:O33" si="11">D2404</f>
        <v>-290187</v>
      </c>
      <c r="E33" s="129">
        <f t="shared" si="11"/>
        <v>0</v>
      </c>
      <c r="F33" s="129">
        <f t="shared" si="11"/>
        <v>-524054</v>
      </c>
      <c r="G33" s="129">
        <f t="shared" si="11"/>
        <v>-642946</v>
      </c>
      <c r="H33" s="129">
        <f t="shared" si="11"/>
        <v>44.9</v>
      </c>
      <c r="I33" s="129">
        <f t="shared" si="11"/>
        <v>0</v>
      </c>
      <c r="J33" s="129">
        <f t="shared" si="11"/>
        <v>-1167000</v>
      </c>
      <c r="K33" s="129">
        <f t="shared" si="11"/>
        <v>-1304000</v>
      </c>
      <c r="L33" s="129">
        <f t="shared" si="11"/>
        <v>0</v>
      </c>
      <c r="M33" s="129">
        <f t="shared" si="11"/>
        <v>0</v>
      </c>
      <c r="N33" s="129">
        <f t="shared" si="11"/>
        <v>0</v>
      </c>
      <c r="O33" s="129">
        <f t="shared" si="11"/>
        <v>0</v>
      </c>
    </row>
    <row r="34" spans="1:15" x14ac:dyDescent="0.2">
      <c r="A34" s="119">
        <v>1.0001178950000001E+19</v>
      </c>
      <c r="B34" s="120" t="s">
        <v>32</v>
      </c>
      <c r="C34" s="129">
        <f>C1914</f>
        <v>-2403000</v>
      </c>
      <c r="D34" s="129">
        <f t="shared" ref="D34:O34" si="12">D1914</f>
        <v>-252538</v>
      </c>
      <c r="E34" s="129">
        <f t="shared" si="12"/>
        <v>0</v>
      </c>
      <c r="F34" s="129">
        <f t="shared" si="12"/>
        <v>-1159420.99</v>
      </c>
      <c r="G34" s="129">
        <f t="shared" si="12"/>
        <v>-1243579.01</v>
      </c>
      <c r="H34" s="129">
        <f t="shared" si="12"/>
        <v>48.24</v>
      </c>
      <c r="I34" s="129">
        <f t="shared" si="12"/>
        <v>0</v>
      </c>
      <c r="J34" s="129">
        <f t="shared" si="12"/>
        <v>-2403000</v>
      </c>
      <c r="K34" s="129">
        <f t="shared" si="12"/>
        <v>-2400000</v>
      </c>
      <c r="L34" s="129">
        <f t="shared" si="12"/>
        <v>-2400000</v>
      </c>
      <c r="M34" s="129">
        <f t="shared" si="12"/>
        <v>-2400000</v>
      </c>
      <c r="N34" s="129">
        <f t="shared" si="12"/>
        <v>0</v>
      </c>
      <c r="O34" s="129">
        <f t="shared" si="12"/>
        <v>-2400000</v>
      </c>
    </row>
    <row r="35" spans="1:15" x14ac:dyDescent="0.2">
      <c r="A35" s="119">
        <v>1.0001178969999999E+19</v>
      </c>
      <c r="B35" s="120" t="s">
        <v>33</v>
      </c>
      <c r="C35" s="129">
        <f>C3121</f>
        <v>-1757550</v>
      </c>
      <c r="D35" s="129">
        <f t="shared" ref="D35:O35" si="13">D3121</f>
        <v>-474821.9</v>
      </c>
      <c r="E35" s="129">
        <f t="shared" si="13"/>
        <v>0</v>
      </c>
      <c r="F35" s="129">
        <f t="shared" si="13"/>
        <v>-932309.88</v>
      </c>
      <c r="G35" s="129">
        <f t="shared" si="13"/>
        <v>-825240.12</v>
      </c>
      <c r="H35" s="129">
        <f t="shared" si="13"/>
        <v>53.04</v>
      </c>
      <c r="I35" s="129">
        <f t="shared" si="13"/>
        <v>0</v>
      </c>
      <c r="J35" s="129">
        <f t="shared" si="13"/>
        <v>-1757550</v>
      </c>
      <c r="K35" s="129">
        <f t="shared" si="13"/>
        <v>-1746650</v>
      </c>
      <c r="L35" s="129">
        <f t="shared" si="13"/>
        <v>-1886950</v>
      </c>
      <c r="M35" s="129">
        <f t="shared" si="13"/>
        <v>0</v>
      </c>
      <c r="N35" s="129">
        <f t="shared" si="13"/>
        <v>0</v>
      </c>
      <c r="O35" s="129">
        <f t="shared" si="13"/>
        <v>-1989600</v>
      </c>
    </row>
    <row r="36" spans="1:15" x14ac:dyDescent="0.2">
      <c r="A36" s="119">
        <v>1.00011791E+19</v>
      </c>
      <c r="B36" s="120" t="s">
        <v>34</v>
      </c>
      <c r="C36" s="129">
        <f>C1915</f>
        <v>-142578000</v>
      </c>
      <c r="D36" s="129">
        <f t="shared" ref="D36:O36" si="14">D1915</f>
        <v>-47017000</v>
      </c>
      <c r="E36" s="129">
        <f t="shared" si="14"/>
        <v>0</v>
      </c>
      <c r="F36" s="129">
        <f t="shared" si="14"/>
        <v>-106425000</v>
      </c>
      <c r="G36" s="129">
        <f t="shared" si="14"/>
        <v>-36153000</v>
      </c>
      <c r="H36" s="129">
        <f t="shared" si="14"/>
        <v>74.64</v>
      </c>
      <c r="I36" s="129">
        <f t="shared" si="14"/>
        <v>0</v>
      </c>
      <c r="J36" s="129">
        <f t="shared" si="14"/>
        <v>-142578000</v>
      </c>
      <c r="K36" s="129">
        <f t="shared" si="14"/>
        <v>-150787000</v>
      </c>
      <c r="L36" s="129">
        <f t="shared" si="14"/>
        <v>-159829000</v>
      </c>
      <c r="M36" s="129">
        <f t="shared" si="14"/>
        <v>-167051000</v>
      </c>
      <c r="N36" s="129">
        <f t="shared" si="14"/>
        <v>0</v>
      </c>
      <c r="O36" s="129">
        <f t="shared" si="14"/>
        <v>-167051000</v>
      </c>
    </row>
    <row r="37" spans="1:15" x14ac:dyDescent="0.2">
      <c r="A37" s="119"/>
      <c r="B37" s="120"/>
      <c r="C37" s="129"/>
      <c r="D37" s="129"/>
      <c r="E37" s="129"/>
      <c r="F37" s="129"/>
      <c r="G37" s="129"/>
      <c r="H37" s="129"/>
      <c r="I37" s="129"/>
      <c r="J37" s="129"/>
      <c r="K37" s="129"/>
      <c r="L37" s="129"/>
      <c r="O37" s="129"/>
    </row>
    <row r="38" spans="1:15" s="114" customFormat="1" ht="15" x14ac:dyDescent="0.25">
      <c r="A38" s="118"/>
      <c r="B38" s="117" t="s">
        <v>35</v>
      </c>
      <c r="C38" s="128">
        <f>SUM(C33:C37)</f>
        <v>-147905550</v>
      </c>
      <c r="D38" s="128">
        <f t="shared" ref="D38:O38" si="15">SUM(D33:D37)</f>
        <v>-48034546.899999999</v>
      </c>
      <c r="E38" s="128">
        <f t="shared" si="15"/>
        <v>0</v>
      </c>
      <c r="F38" s="128">
        <f t="shared" si="15"/>
        <v>-109040784.87</v>
      </c>
      <c r="G38" s="128">
        <f t="shared" si="15"/>
        <v>-38864765.130000003</v>
      </c>
      <c r="H38" s="128">
        <f t="shared" si="15"/>
        <v>220.82</v>
      </c>
      <c r="I38" s="128">
        <f t="shared" si="15"/>
        <v>0</v>
      </c>
      <c r="J38" s="128">
        <f>SUM(J33:J37)</f>
        <v>-147905550</v>
      </c>
      <c r="K38" s="128">
        <f t="shared" si="15"/>
        <v>-156237650</v>
      </c>
      <c r="L38" s="128">
        <f t="shared" si="15"/>
        <v>-164115950</v>
      </c>
      <c r="M38" s="128">
        <f t="shared" si="15"/>
        <v>-169451000</v>
      </c>
      <c r="N38" s="128">
        <f t="shared" si="15"/>
        <v>0</v>
      </c>
      <c r="O38" s="128">
        <f t="shared" si="15"/>
        <v>-171440600</v>
      </c>
    </row>
    <row r="39" spans="1:15" s="114" customFormat="1" ht="15" x14ac:dyDescent="0.25">
      <c r="A39" s="118"/>
      <c r="B39" s="117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86"/>
      <c r="N39" s="186"/>
      <c r="O39" s="128"/>
    </row>
    <row r="40" spans="1:15" s="114" customFormat="1" ht="15" x14ac:dyDescent="0.25">
      <c r="A40" s="118"/>
      <c r="B40" s="117" t="s">
        <v>36</v>
      </c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86"/>
      <c r="N40" s="186"/>
      <c r="O40" s="128"/>
    </row>
    <row r="41" spans="1:15" x14ac:dyDescent="0.2">
      <c r="A41" s="119"/>
      <c r="B41" s="120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O41" s="129"/>
    </row>
    <row r="42" spans="1:15" x14ac:dyDescent="0.2">
      <c r="A42" s="119">
        <v>1.000125894E+19</v>
      </c>
      <c r="B42" s="120" t="s">
        <v>37</v>
      </c>
      <c r="C42" s="129">
        <f>C3127+C3198+C3199</f>
        <v>-33393460</v>
      </c>
      <c r="D42" s="129">
        <f t="shared" ref="D42:J42" si="16">D3127+D3198+D3199</f>
        <v>-16715989.720000001</v>
      </c>
      <c r="E42" s="129">
        <f t="shared" si="16"/>
        <v>0</v>
      </c>
      <c r="F42" s="129">
        <f t="shared" si="16"/>
        <v>-31038466.530000001</v>
      </c>
      <c r="G42" s="129">
        <f t="shared" si="16"/>
        <v>-2354993.4700000002</v>
      </c>
      <c r="H42" s="129">
        <f t="shared" si="16"/>
        <v>92.94</v>
      </c>
      <c r="I42" s="129">
        <f t="shared" si="16"/>
        <v>0</v>
      </c>
      <c r="J42" s="129">
        <f t="shared" si="16"/>
        <v>-43119460</v>
      </c>
      <c r="K42" s="129">
        <f>K3127</f>
        <v>-33186350</v>
      </c>
      <c r="L42" s="129">
        <f t="shared" ref="L42:O42" si="17">L3127</f>
        <v>-35852050</v>
      </c>
      <c r="M42" s="129">
        <f t="shared" si="17"/>
        <v>-37802400</v>
      </c>
      <c r="N42" s="129">
        <f t="shared" si="17"/>
        <v>0</v>
      </c>
      <c r="O42" s="129">
        <f t="shared" si="17"/>
        <v>-37802400</v>
      </c>
    </row>
    <row r="43" spans="1:15" x14ac:dyDescent="0.2">
      <c r="A43" s="119"/>
      <c r="B43" s="120" t="s">
        <v>3040</v>
      </c>
      <c r="C43" s="129">
        <f>C3198</f>
        <v>0</v>
      </c>
      <c r="D43" s="129">
        <f t="shared" ref="D43:O43" si="18">D3198</f>
        <v>0</v>
      </c>
      <c r="E43" s="129">
        <f t="shared" si="18"/>
        <v>0</v>
      </c>
      <c r="F43" s="129">
        <f t="shared" si="18"/>
        <v>0</v>
      </c>
      <c r="G43" s="129">
        <f t="shared" si="18"/>
        <v>0</v>
      </c>
      <c r="H43" s="129">
        <f t="shared" si="18"/>
        <v>0</v>
      </c>
      <c r="I43" s="129">
        <f t="shared" si="18"/>
        <v>0</v>
      </c>
      <c r="J43" s="129">
        <f t="shared" si="18"/>
        <v>0</v>
      </c>
      <c r="K43" s="129">
        <f t="shared" si="18"/>
        <v>-3000000</v>
      </c>
      <c r="L43" s="129">
        <f t="shared" si="18"/>
        <v>0</v>
      </c>
      <c r="M43" s="129">
        <f t="shared" si="18"/>
        <v>0</v>
      </c>
      <c r="N43" s="129">
        <f t="shared" si="18"/>
        <v>0</v>
      </c>
      <c r="O43" s="129">
        <f t="shared" si="18"/>
        <v>0</v>
      </c>
    </row>
    <row r="44" spans="1:15" x14ac:dyDescent="0.2">
      <c r="A44" s="119"/>
      <c r="B44" s="120" t="s">
        <v>3041</v>
      </c>
      <c r="C44" s="129">
        <f>C3199</f>
        <v>0</v>
      </c>
      <c r="D44" s="129">
        <f t="shared" ref="D44:O44" si="19">D3199</f>
        <v>0</v>
      </c>
      <c r="E44" s="129">
        <f t="shared" si="19"/>
        <v>0</v>
      </c>
      <c r="F44" s="129">
        <f t="shared" si="19"/>
        <v>0</v>
      </c>
      <c r="G44" s="129">
        <f t="shared" si="19"/>
        <v>0</v>
      </c>
      <c r="H44" s="129">
        <f t="shared" si="19"/>
        <v>0</v>
      </c>
      <c r="I44" s="129">
        <f t="shared" si="19"/>
        <v>0</v>
      </c>
      <c r="J44" s="129">
        <f t="shared" si="19"/>
        <v>0</v>
      </c>
      <c r="K44" s="129">
        <f t="shared" si="19"/>
        <v>-13000000</v>
      </c>
      <c r="L44" s="129">
        <f t="shared" si="19"/>
        <v>-6000000</v>
      </c>
      <c r="M44" s="129">
        <f t="shared" si="19"/>
        <v>-7000000</v>
      </c>
      <c r="N44" s="129">
        <f t="shared" si="19"/>
        <v>0</v>
      </c>
      <c r="O44" s="129">
        <f t="shared" si="19"/>
        <v>-7000000</v>
      </c>
    </row>
    <row r="45" spans="1:15" x14ac:dyDescent="0.2">
      <c r="A45" s="119"/>
      <c r="B45" s="120"/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O45" s="129"/>
    </row>
    <row r="46" spans="1:15" s="114" customFormat="1" ht="15" x14ac:dyDescent="0.25">
      <c r="A46" s="118"/>
      <c r="B46" s="117" t="s">
        <v>38</v>
      </c>
      <c r="C46" s="128">
        <f>SUM(C42:C45)</f>
        <v>-33393460</v>
      </c>
      <c r="D46" s="128">
        <v>-16715989.720000001</v>
      </c>
      <c r="E46" s="128">
        <v>0</v>
      </c>
      <c r="F46" s="128">
        <v>-31038466.530000001</v>
      </c>
      <c r="G46" s="128">
        <v>-2354993.4700000002</v>
      </c>
      <c r="H46" s="128">
        <v>92.94</v>
      </c>
      <c r="I46" s="128">
        <f t="shared" ref="I46:O46" si="20">SUM(I42:I45)</f>
        <v>0</v>
      </c>
      <c r="J46" s="128">
        <f t="shared" si="20"/>
        <v>-43119460</v>
      </c>
      <c r="K46" s="128">
        <f t="shared" si="20"/>
        <v>-49186350</v>
      </c>
      <c r="L46" s="128">
        <f t="shared" si="20"/>
        <v>-41852050</v>
      </c>
      <c r="M46" s="128">
        <f t="shared" si="20"/>
        <v>-44802400</v>
      </c>
      <c r="N46" s="128">
        <f t="shared" si="20"/>
        <v>0</v>
      </c>
      <c r="O46" s="128">
        <f t="shared" si="20"/>
        <v>-44802400</v>
      </c>
    </row>
    <row r="47" spans="1:15" s="114" customFormat="1" ht="15" x14ac:dyDescent="0.25">
      <c r="A47" s="118"/>
      <c r="B47" s="117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86"/>
      <c r="N47" s="186"/>
      <c r="O47" s="128"/>
    </row>
    <row r="48" spans="1:15" s="192" customFormat="1" ht="15" x14ac:dyDescent="0.25">
      <c r="A48" s="189"/>
      <c r="B48" s="190" t="s">
        <v>39</v>
      </c>
      <c r="C48" s="191">
        <f>C38+C46</f>
        <v>-181299010</v>
      </c>
      <c r="D48" s="191">
        <f t="shared" ref="D48:O48" si="21">D38+D46</f>
        <v>-64750536.619999997</v>
      </c>
      <c r="E48" s="191">
        <f t="shared" si="21"/>
        <v>0</v>
      </c>
      <c r="F48" s="191">
        <f t="shared" si="21"/>
        <v>-140079251.40000001</v>
      </c>
      <c r="G48" s="191">
        <f t="shared" si="21"/>
        <v>-41219758.600000001</v>
      </c>
      <c r="H48" s="191">
        <f t="shared" si="21"/>
        <v>313.76</v>
      </c>
      <c r="I48" s="191">
        <f t="shared" si="21"/>
        <v>0</v>
      </c>
      <c r="J48" s="191">
        <v>-191025010</v>
      </c>
      <c r="K48" s="191">
        <f t="shared" si="21"/>
        <v>-205424000</v>
      </c>
      <c r="L48" s="191">
        <f t="shared" si="21"/>
        <v>-205968000</v>
      </c>
      <c r="M48" s="191">
        <f t="shared" si="21"/>
        <v>-214253400</v>
      </c>
      <c r="N48" s="191">
        <f t="shared" si="21"/>
        <v>0</v>
      </c>
      <c r="O48" s="191">
        <f t="shared" si="21"/>
        <v>-216243000</v>
      </c>
    </row>
    <row r="49" spans="1:15" s="114" customFormat="1" ht="15" x14ac:dyDescent="0.25">
      <c r="A49" s="118"/>
      <c r="B49" s="117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86"/>
      <c r="N49" s="186"/>
      <c r="O49" s="128"/>
    </row>
    <row r="50" spans="1:15" s="114" customFormat="1" ht="15" x14ac:dyDescent="0.25">
      <c r="A50" s="118"/>
      <c r="B50" s="117" t="s">
        <v>40</v>
      </c>
      <c r="C50" s="128">
        <f>+C18+C28+C38+C46</f>
        <v>-201341562</v>
      </c>
      <c r="D50" s="128">
        <v>-66453558.07</v>
      </c>
      <c r="E50" s="128">
        <v>0</v>
      </c>
      <c r="F50" s="128">
        <v>-151887337.77000001</v>
      </c>
      <c r="G50" s="128">
        <v>-49454224.229999997</v>
      </c>
      <c r="H50" s="128">
        <v>75.430000000000007</v>
      </c>
      <c r="I50" s="128">
        <f t="shared" ref="I50:O50" si="22">+I18+I28+I38+I46</f>
        <v>-4282007</v>
      </c>
      <c r="J50" s="128">
        <f t="shared" si="22"/>
        <v>-215603911</v>
      </c>
      <c r="K50" s="128">
        <f t="shared" si="22"/>
        <v>-230462918.64500001</v>
      </c>
      <c r="L50" s="128">
        <f t="shared" si="22"/>
        <v>-229023995.45613</v>
      </c>
      <c r="M50" s="128">
        <f t="shared" si="22"/>
        <v>-238332797.98205325</v>
      </c>
      <c r="N50" s="128">
        <f t="shared" si="22"/>
        <v>0</v>
      </c>
      <c r="O50" s="128">
        <f t="shared" si="22"/>
        <v>-240360748.76220998</v>
      </c>
    </row>
    <row r="51" spans="1:15" s="114" customFormat="1" ht="15" x14ac:dyDescent="0.25">
      <c r="A51" s="118"/>
      <c r="B51" s="117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86"/>
      <c r="N51" s="186"/>
      <c r="O51" s="128"/>
    </row>
    <row r="52" spans="1:15" s="114" customFormat="1" ht="15" x14ac:dyDescent="0.25">
      <c r="A52" s="118"/>
      <c r="B52" s="117" t="s">
        <v>41</v>
      </c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86"/>
      <c r="N52" s="186"/>
      <c r="O52" s="128"/>
    </row>
    <row r="53" spans="1:15" s="114" customFormat="1" ht="15" x14ac:dyDescent="0.25">
      <c r="A53" s="118"/>
      <c r="B53" s="117" t="s">
        <v>42</v>
      </c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86"/>
      <c r="N53" s="186"/>
      <c r="O53" s="128"/>
    </row>
    <row r="54" spans="1:15" x14ac:dyDescent="0.2">
      <c r="A54" s="119"/>
      <c r="B54" s="120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O54" s="129"/>
    </row>
    <row r="55" spans="1:15" x14ac:dyDescent="0.2">
      <c r="A55" s="119">
        <v>1.000132104E+19</v>
      </c>
      <c r="B55" s="120" t="s">
        <v>43</v>
      </c>
      <c r="C55" s="129">
        <f>C3211</f>
        <v>-56291</v>
      </c>
      <c r="D55" s="129">
        <f t="shared" ref="D55:O55" si="23">D3211</f>
        <v>0</v>
      </c>
      <c r="E55" s="129">
        <f t="shared" si="23"/>
        <v>0</v>
      </c>
      <c r="F55" s="129">
        <f t="shared" si="23"/>
        <v>0</v>
      </c>
      <c r="G55" s="129">
        <f t="shared" si="23"/>
        <v>-56291</v>
      </c>
      <c r="H55" s="129">
        <f t="shared" si="23"/>
        <v>0</v>
      </c>
      <c r="I55" s="129">
        <f t="shared" si="23"/>
        <v>0</v>
      </c>
      <c r="J55" s="129">
        <f t="shared" si="23"/>
        <v>-56291</v>
      </c>
      <c r="K55" s="129">
        <f t="shared" si="23"/>
        <v>-60850.570999999996</v>
      </c>
      <c r="L55" s="129">
        <f t="shared" si="23"/>
        <v>-64014.800691999997</v>
      </c>
      <c r="M55" s="129">
        <f t="shared" si="23"/>
        <v>-69712.117953587993</v>
      </c>
      <c r="N55" s="129">
        <f t="shared" si="23"/>
        <v>0</v>
      </c>
      <c r="O55" s="129">
        <f t="shared" si="23"/>
        <v>-69712.117953587993</v>
      </c>
    </row>
    <row r="56" spans="1:15" x14ac:dyDescent="0.2">
      <c r="A56" s="119">
        <v>1.000132112E+19</v>
      </c>
      <c r="B56" s="120" t="s">
        <v>44</v>
      </c>
      <c r="C56" s="129">
        <f t="shared" ref="C56:O60" si="24">C3212</f>
        <v>-3611799</v>
      </c>
      <c r="D56" s="129">
        <f t="shared" si="24"/>
        <v>0</v>
      </c>
      <c r="E56" s="129">
        <f t="shared" si="24"/>
        <v>0</v>
      </c>
      <c r="F56" s="129">
        <f t="shared" si="24"/>
        <v>0</v>
      </c>
      <c r="G56" s="129">
        <f t="shared" si="24"/>
        <v>-3611799</v>
      </c>
      <c r="H56" s="129">
        <f t="shared" si="24"/>
        <v>0</v>
      </c>
      <c r="I56" s="129">
        <f t="shared" si="24"/>
        <v>0</v>
      </c>
      <c r="J56" s="129">
        <f t="shared" si="24"/>
        <v>-3611799</v>
      </c>
      <c r="K56" s="129">
        <f t="shared" si="24"/>
        <v>-3904354.719</v>
      </c>
      <c r="L56" s="129">
        <f t="shared" si="24"/>
        <v>-4107381.164388</v>
      </c>
      <c r="M56" s="129">
        <f t="shared" si="24"/>
        <v>0</v>
      </c>
      <c r="N56" s="129">
        <f t="shared" si="24"/>
        <v>0</v>
      </c>
      <c r="O56" s="129">
        <f t="shared" si="24"/>
        <v>-4472938.0880185319</v>
      </c>
    </row>
    <row r="57" spans="1:15" x14ac:dyDescent="0.2">
      <c r="A57" s="119">
        <v>1.0001321129999999E+19</v>
      </c>
      <c r="B57" s="120" t="s">
        <v>45</v>
      </c>
      <c r="C57" s="129">
        <f t="shared" si="24"/>
        <v>-4019609</v>
      </c>
      <c r="D57" s="129">
        <v>-115264.58</v>
      </c>
      <c r="E57" s="129">
        <v>0</v>
      </c>
      <c r="F57" s="129">
        <v>-891425.05</v>
      </c>
      <c r="G57" s="129">
        <v>-3128183.95</v>
      </c>
      <c r="H57" s="129">
        <v>22.17</v>
      </c>
      <c r="I57" s="129">
        <f t="shared" ref="I57:O60" si="25">I3213</f>
        <v>0</v>
      </c>
      <c r="J57" s="129">
        <f t="shared" si="25"/>
        <v>-4019609</v>
      </c>
      <c r="K57" s="129">
        <f t="shared" si="25"/>
        <v>-4345197.3289999999</v>
      </c>
      <c r="L57" s="129">
        <f t="shared" si="25"/>
        <v>-4571147.5901079997</v>
      </c>
      <c r="M57" s="129">
        <f t="shared" si="25"/>
        <v>0</v>
      </c>
      <c r="N57" s="129">
        <f t="shared" si="25"/>
        <v>0</v>
      </c>
      <c r="O57" s="129">
        <f t="shared" si="25"/>
        <v>-4977979.7256276114</v>
      </c>
    </row>
    <row r="58" spans="1:15" x14ac:dyDescent="0.2">
      <c r="A58" s="119">
        <v>1.0001321190000001E+19</v>
      </c>
      <c r="B58" s="120" t="s">
        <v>46</v>
      </c>
      <c r="C58" s="129">
        <f t="shared" si="24"/>
        <v>-1374256</v>
      </c>
      <c r="D58" s="129">
        <v>-445577.79</v>
      </c>
      <c r="E58" s="129">
        <v>0</v>
      </c>
      <c r="F58" s="129">
        <v>-2911894.37</v>
      </c>
      <c r="G58" s="129">
        <v>1537638.37</v>
      </c>
      <c r="H58" s="129">
        <v>211.88</v>
      </c>
      <c r="I58" s="129">
        <f t="shared" si="25"/>
        <v>0</v>
      </c>
      <c r="J58" s="129">
        <f t="shared" si="25"/>
        <v>-1374256</v>
      </c>
      <c r="K58" s="129">
        <f t="shared" si="25"/>
        <v>-1485570.736</v>
      </c>
      <c r="L58" s="129">
        <f t="shared" si="25"/>
        <v>-1562820.4142720001</v>
      </c>
      <c r="M58" s="129">
        <f t="shared" si="25"/>
        <v>0</v>
      </c>
      <c r="N58" s="129">
        <f t="shared" si="25"/>
        <v>0</v>
      </c>
      <c r="O58" s="129">
        <f t="shared" si="25"/>
        <v>-1701911.4311422082</v>
      </c>
    </row>
    <row r="59" spans="1:15" x14ac:dyDescent="0.2">
      <c r="A59" s="119">
        <v>1.00013212E+19</v>
      </c>
      <c r="B59" s="120" t="s">
        <v>47</v>
      </c>
      <c r="C59" s="129">
        <f t="shared" si="24"/>
        <v>-145390</v>
      </c>
      <c r="D59" s="129">
        <v>5253.04</v>
      </c>
      <c r="E59" s="129">
        <v>0</v>
      </c>
      <c r="F59" s="129">
        <v>34823.17</v>
      </c>
      <c r="G59" s="129">
        <v>-180213.17</v>
      </c>
      <c r="H59" s="129">
        <v>-23.95</v>
      </c>
      <c r="I59" s="129">
        <f t="shared" si="25"/>
        <v>0</v>
      </c>
      <c r="J59" s="129">
        <f t="shared" si="25"/>
        <v>-145390</v>
      </c>
      <c r="K59" s="129">
        <f t="shared" si="25"/>
        <v>-157166.59</v>
      </c>
      <c r="L59" s="129">
        <f t="shared" si="25"/>
        <v>-165339.25268000001</v>
      </c>
      <c r="M59" s="129">
        <f t="shared" si="25"/>
        <v>0</v>
      </c>
      <c r="N59" s="129">
        <f t="shared" si="25"/>
        <v>0</v>
      </c>
      <c r="O59" s="129">
        <f t="shared" si="25"/>
        <v>-180054.44616852002</v>
      </c>
    </row>
    <row r="60" spans="1:15" x14ac:dyDescent="0.2">
      <c r="A60" s="119">
        <v>1.000132126E+19</v>
      </c>
      <c r="B60" s="120" t="s">
        <v>48</v>
      </c>
      <c r="C60" s="129">
        <f t="shared" si="24"/>
        <v>-17172</v>
      </c>
      <c r="D60" s="129">
        <v>-975.62</v>
      </c>
      <c r="E60" s="129">
        <v>0</v>
      </c>
      <c r="F60" s="129">
        <v>-8489.01</v>
      </c>
      <c r="G60" s="129">
        <v>-8682.99</v>
      </c>
      <c r="H60" s="129">
        <v>49.43</v>
      </c>
      <c r="I60" s="129">
        <f t="shared" si="25"/>
        <v>0</v>
      </c>
      <c r="J60" s="129">
        <f t="shared" si="25"/>
        <v>-17172</v>
      </c>
      <c r="K60" s="129">
        <f t="shared" si="25"/>
        <v>-18562.932000000001</v>
      </c>
      <c r="L60" s="129">
        <f t="shared" si="25"/>
        <v>-19528.204464000002</v>
      </c>
      <c r="M60" s="129">
        <f t="shared" si="25"/>
        <v>0</v>
      </c>
      <c r="N60" s="129">
        <f t="shared" si="25"/>
        <v>0</v>
      </c>
      <c r="O60" s="129">
        <f t="shared" si="25"/>
        <v>-21266.214661296002</v>
      </c>
    </row>
    <row r="61" spans="1:15" x14ac:dyDescent="0.2">
      <c r="A61" s="119">
        <v>1.0001322E+19</v>
      </c>
      <c r="B61" s="120" t="s">
        <v>49</v>
      </c>
      <c r="C61" s="129">
        <f>C2870</f>
        <v>-2285558</v>
      </c>
      <c r="D61" s="129">
        <f t="shared" ref="D61:O61" si="26">D2870</f>
        <v>0</v>
      </c>
      <c r="E61" s="129">
        <f t="shared" si="26"/>
        <v>0</v>
      </c>
      <c r="F61" s="129">
        <f t="shared" si="26"/>
        <v>0</v>
      </c>
      <c r="G61" s="129">
        <f t="shared" si="26"/>
        <v>-2285558</v>
      </c>
      <c r="H61" s="129">
        <f t="shared" si="26"/>
        <v>0</v>
      </c>
      <c r="I61" s="129">
        <f t="shared" si="26"/>
        <v>0</v>
      </c>
      <c r="J61" s="129">
        <f t="shared" si="26"/>
        <v>-2285558</v>
      </c>
      <c r="K61" s="129">
        <f t="shared" si="26"/>
        <v>-2388408.11</v>
      </c>
      <c r="L61" s="129">
        <f t="shared" si="26"/>
        <v>-2498274.8830599999</v>
      </c>
      <c r="M61" s="129">
        <f t="shared" si="26"/>
        <v>0</v>
      </c>
      <c r="N61" s="129">
        <f t="shared" si="26"/>
        <v>0</v>
      </c>
      <c r="O61" s="129">
        <f t="shared" si="26"/>
        <v>-2613195.5276807598</v>
      </c>
    </row>
    <row r="62" spans="1:15" x14ac:dyDescent="0.2">
      <c r="A62" s="119">
        <v>1.0001322030000001E+19</v>
      </c>
      <c r="B62" s="120" t="s">
        <v>50</v>
      </c>
      <c r="C62" s="129">
        <f t="shared" ref="C62:O63" si="27">C2871</f>
        <v>0</v>
      </c>
      <c r="D62" s="129">
        <v>-183433.4</v>
      </c>
      <c r="E62" s="129">
        <v>0</v>
      </c>
      <c r="F62" s="129">
        <v>-1100205.7</v>
      </c>
      <c r="G62" s="129">
        <v>1100205.7</v>
      </c>
      <c r="H62" s="129">
        <v>0</v>
      </c>
      <c r="I62" s="129">
        <f t="shared" ref="I62:L62" si="28">I2871</f>
        <v>0</v>
      </c>
      <c r="J62" s="129">
        <f t="shared" si="28"/>
        <v>0</v>
      </c>
      <c r="K62" s="129">
        <f t="shared" si="28"/>
        <v>0</v>
      </c>
      <c r="L62" s="129">
        <f t="shared" si="28"/>
        <v>0</v>
      </c>
      <c r="O62" s="129"/>
    </row>
    <row r="63" spans="1:15" x14ac:dyDescent="0.2">
      <c r="A63" s="119">
        <v>1.000132204E+19</v>
      </c>
      <c r="B63" s="120" t="s">
        <v>51</v>
      </c>
      <c r="C63" s="129">
        <f t="shared" si="27"/>
        <v>-2779</v>
      </c>
      <c r="D63" s="129">
        <f t="shared" si="27"/>
        <v>0</v>
      </c>
      <c r="E63" s="129">
        <f t="shared" si="27"/>
        <v>0</v>
      </c>
      <c r="F63" s="129">
        <f t="shared" si="27"/>
        <v>0</v>
      </c>
      <c r="G63" s="129">
        <f t="shared" si="27"/>
        <v>-2779</v>
      </c>
      <c r="H63" s="129">
        <f t="shared" si="27"/>
        <v>0</v>
      </c>
      <c r="I63" s="129">
        <f t="shared" si="27"/>
        <v>0</v>
      </c>
      <c r="J63" s="129">
        <f t="shared" si="27"/>
        <v>-2779</v>
      </c>
      <c r="K63" s="129">
        <f t="shared" si="27"/>
        <v>-2904.0549999999998</v>
      </c>
      <c r="L63" s="129">
        <f t="shared" si="27"/>
        <v>-3037.6415299999999</v>
      </c>
      <c r="M63" s="129">
        <f t="shared" si="27"/>
        <v>0</v>
      </c>
      <c r="N63" s="129">
        <f t="shared" si="27"/>
        <v>0</v>
      </c>
      <c r="O63" s="129">
        <f t="shared" si="27"/>
        <v>-3177.37304038</v>
      </c>
    </row>
    <row r="64" spans="1:15" x14ac:dyDescent="0.2">
      <c r="A64" s="119">
        <v>1.000132302E+19</v>
      </c>
      <c r="B64" s="120" t="s">
        <v>52</v>
      </c>
      <c r="C64" s="129">
        <v>0</v>
      </c>
      <c r="D64" s="129">
        <v>-64386</v>
      </c>
      <c r="E64" s="129">
        <v>0</v>
      </c>
      <c r="F64" s="129">
        <v>-386530.28</v>
      </c>
      <c r="G64" s="129">
        <v>386530.28</v>
      </c>
      <c r="H64" s="129">
        <v>0</v>
      </c>
      <c r="I64" s="129">
        <f>I3432</f>
        <v>0</v>
      </c>
      <c r="J64" s="129">
        <f>J3432</f>
        <v>0</v>
      </c>
      <c r="K64" s="129">
        <f>K3432</f>
        <v>0</v>
      </c>
      <c r="L64" s="129">
        <f>L3432</f>
        <v>0</v>
      </c>
      <c r="O64" s="129"/>
    </row>
    <row r="65" spans="1:15" x14ac:dyDescent="0.2">
      <c r="A65" s="119">
        <v>1.000132402E+19</v>
      </c>
      <c r="B65" s="120" t="s">
        <v>53</v>
      </c>
      <c r="C65" s="129">
        <v>0</v>
      </c>
      <c r="D65" s="129">
        <v>-21174.2</v>
      </c>
      <c r="E65" s="129">
        <v>0</v>
      </c>
      <c r="F65" s="129">
        <v>-238904.13</v>
      </c>
      <c r="G65" s="129">
        <v>238904.13</v>
      </c>
      <c r="H65" s="129">
        <v>0</v>
      </c>
      <c r="I65" s="129">
        <f t="shared" ref="I65:L66" si="29">I3335</f>
        <v>0</v>
      </c>
      <c r="J65" s="129">
        <f t="shared" si="29"/>
        <v>0</v>
      </c>
      <c r="K65" s="129">
        <f t="shared" si="29"/>
        <v>0</v>
      </c>
      <c r="L65" s="129">
        <f t="shared" si="29"/>
        <v>0</v>
      </c>
      <c r="O65" s="129"/>
    </row>
    <row r="66" spans="1:15" x14ac:dyDescent="0.2">
      <c r="A66" s="119">
        <v>1.000132408E+19</v>
      </c>
      <c r="B66" s="120" t="s">
        <v>54</v>
      </c>
      <c r="C66" s="129">
        <v>0</v>
      </c>
      <c r="D66" s="129">
        <v>-48068</v>
      </c>
      <c r="E66" s="129">
        <v>0</v>
      </c>
      <c r="F66" s="129">
        <v>-288408</v>
      </c>
      <c r="G66" s="129">
        <v>288408</v>
      </c>
      <c r="H66" s="129">
        <v>0</v>
      </c>
      <c r="I66" s="129">
        <f t="shared" si="29"/>
        <v>0</v>
      </c>
      <c r="J66" s="129">
        <f t="shared" si="29"/>
        <v>0</v>
      </c>
      <c r="K66" s="129">
        <f t="shared" si="29"/>
        <v>0</v>
      </c>
      <c r="L66" s="129">
        <f t="shared" si="29"/>
        <v>0</v>
      </c>
      <c r="O66" s="129"/>
    </row>
    <row r="67" spans="1:15" x14ac:dyDescent="0.2">
      <c r="A67" s="119"/>
      <c r="B67" s="120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O67" s="129"/>
    </row>
    <row r="68" spans="1:15" s="114" customFormat="1" ht="15" x14ac:dyDescent="0.25">
      <c r="A68" s="118"/>
      <c r="B68" s="117" t="s">
        <v>55</v>
      </c>
      <c r="C68" s="128">
        <f>SUM(C55:C67)</f>
        <v>-11512854</v>
      </c>
      <c r="D68" s="128">
        <f>SUM(D55:D67)</f>
        <v>-873626.54999999993</v>
      </c>
      <c r="E68" s="128">
        <f>SUM(E55:E67)</f>
        <v>0</v>
      </c>
      <c r="F68" s="128">
        <f>SUM(F55:F67)</f>
        <v>-5791033.3700000001</v>
      </c>
      <c r="G68" s="128">
        <f>SUM(G55:G67)</f>
        <v>-5721820.6299999999</v>
      </c>
      <c r="H68" s="128">
        <v>50.3</v>
      </c>
      <c r="I68" s="128">
        <f t="shared" ref="I68:O68" si="30">SUM(I55:I67)</f>
        <v>0</v>
      </c>
      <c r="J68" s="128">
        <f t="shared" si="30"/>
        <v>-11512854</v>
      </c>
      <c r="K68" s="128">
        <f t="shared" si="30"/>
        <v>-12363015.041999999</v>
      </c>
      <c r="L68" s="128">
        <f t="shared" si="30"/>
        <v>-12991543.951193999</v>
      </c>
      <c r="M68" s="128">
        <f t="shared" si="30"/>
        <v>-69712.117953587993</v>
      </c>
      <c r="N68" s="128">
        <f t="shared" si="30"/>
        <v>0</v>
      </c>
      <c r="O68" s="128">
        <f t="shared" si="30"/>
        <v>-14040234.924292896</v>
      </c>
    </row>
    <row r="69" spans="1:15" s="114" customFormat="1" ht="15" x14ac:dyDescent="0.25">
      <c r="A69" s="118"/>
      <c r="B69" s="117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86"/>
      <c r="N69" s="186"/>
      <c r="O69" s="128"/>
    </row>
    <row r="70" spans="1:15" s="114" customFormat="1" ht="15" x14ac:dyDescent="0.25">
      <c r="A70" s="118"/>
      <c r="B70" s="117" t="s">
        <v>56</v>
      </c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86"/>
      <c r="N70" s="186"/>
      <c r="O70" s="128"/>
    </row>
    <row r="71" spans="1:15" x14ac:dyDescent="0.2">
      <c r="A71" s="119"/>
      <c r="B71" s="120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O71" s="129"/>
    </row>
    <row r="72" spans="1:15" x14ac:dyDescent="0.2">
      <c r="A72" s="119">
        <v>1.0001341009999999E+19</v>
      </c>
      <c r="B72" s="120" t="s">
        <v>57</v>
      </c>
      <c r="C72" s="129">
        <v>-495509</v>
      </c>
      <c r="D72" s="129">
        <v>-17545.96</v>
      </c>
      <c r="E72" s="129">
        <v>0</v>
      </c>
      <c r="F72" s="129">
        <v>-105597.6</v>
      </c>
      <c r="G72" s="129">
        <v>-389911.4</v>
      </c>
      <c r="H72" s="129">
        <v>21.31</v>
      </c>
      <c r="I72" s="129">
        <f t="shared" ref="I72:O72" si="31">I3222</f>
        <v>0</v>
      </c>
      <c r="J72" s="129">
        <f t="shared" si="31"/>
        <v>-495509</v>
      </c>
      <c r="K72" s="129">
        <f t="shared" si="31"/>
        <v>-535645.22900000005</v>
      </c>
      <c r="L72" s="129">
        <f t="shared" si="31"/>
        <v>-563498.78090800007</v>
      </c>
      <c r="M72" s="129">
        <f t="shared" si="31"/>
        <v>-613650.1724088121</v>
      </c>
      <c r="N72" s="129">
        <f t="shared" si="31"/>
        <v>0</v>
      </c>
      <c r="O72" s="129">
        <f t="shared" si="31"/>
        <v>-613650.1724088121</v>
      </c>
    </row>
    <row r="73" spans="1:15" x14ac:dyDescent="0.2">
      <c r="A73" s="119">
        <v>1.0001341089999999E+19</v>
      </c>
      <c r="B73" s="120" t="s">
        <v>58</v>
      </c>
      <c r="C73" s="129">
        <v>-18666</v>
      </c>
      <c r="D73" s="129">
        <v>-2474.44</v>
      </c>
      <c r="E73" s="129">
        <v>0</v>
      </c>
      <c r="F73" s="129">
        <v>-14202.7</v>
      </c>
      <c r="G73" s="129">
        <v>-4463.3</v>
      </c>
      <c r="H73" s="129">
        <v>76.08</v>
      </c>
      <c r="I73" s="129">
        <f t="shared" ref="I73:O73" si="32">I2140</f>
        <v>0</v>
      </c>
      <c r="J73" s="129">
        <f t="shared" si="32"/>
        <v>-28405</v>
      </c>
      <c r="K73" s="129">
        <f t="shared" si="32"/>
        <v>-29796.845000000001</v>
      </c>
      <c r="L73" s="129">
        <f t="shared" si="32"/>
        <v>-31227.093560000001</v>
      </c>
      <c r="M73" s="129">
        <f t="shared" si="32"/>
        <v>0</v>
      </c>
      <c r="N73" s="129">
        <f t="shared" si="32"/>
        <v>0</v>
      </c>
      <c r="O73" s="129">
        <f t="shared" si="32"/>
        <v>-32725.994050880003</v>
      </c>
    </row>
    <row r="74" spans="1:15" x14ac:dyDescent="0.2">
      <c r="A74" s="119">
        <v>1.000134112E+19</v>
      </c>
      <c r="B74" s="120" t="s">
        <v>59</v>
      </c>
      <c r="C74" s="129">
        <f>C2878</f>
        <v>-219191</v>
      </c>
      <c r="D74" s="129">
        <f t="shared" ref="D74:O74" si="33">D2878</f>
        <v>-17032.490000000002</v>
      </c>
      <c r="E74" s="129">
        <f t="shared" si="33"/>
        <v>0</v>
      </c>
      <c r="F74" s="129">
        <f t="shared" si="33"/>
        <v>-97021.84</v>
      </c>
      <c r="G74" s="129">
        <f t="shared" si="33"/>
        <v>-122169.16</v>
      </c>
      <c r="H74" s="129">
        <f t="shared" si="33"/>
        <v>44.26</v>
      </c>
      <c r="I74" s="129">
        <f t="shared" si="33"/>
        <v>0</v>
      </c>
      <c r="J74" s="129">
        <f t="shared" si="33"/>
        <v>-219191</v>
      </c>
      <c r="K74" s="129">
        <f t="shared" si="33"/>
        <v>-229931.359</v>
      </c>
      <c r="L74" s="129">
        <f t="shared" si="33"/>
        <v>-240968.064232</v>
      </c>
      <c r="M74" s="129">
        <f t="shared" si="33"/>
        <v>-252534.531315136</v>
      </c>
      <c r="N74" s="129">
        <f t="shared" si="33"/>
        <v>0</v>
      </c>
      <c r="O74" s="129">
        <f t="shared" si="33"/>
        <v>-252534.531315136</v>
      </c>
    </row>
    <row r="75" spans="1:15" x14ac:dyDescent="0.2">
      <c r="A75" s="119">
        <v>1.0001341129999999E+19</v>
      </c>
      <c r="B75" s="120" t="s">
        <v>60</v>
      </c>
      <c r="C75" s="129">
        <v>-88683</v>
      </c>
      <c r="D75" s="129">
        <v>-11320.92</v>
      </c>
      <c r="E75" s="129">
        <v>0</v>
      </c>
      <c r="F75" s="129">
        <v>-61871.98</v>
      </c>
      <c r="G75" s="129">
        <v>-26811.02</v>
      </c>
      <c r="H75" s="129">
        <v>69.760000000000005</v>
      </c>
      <c r="I75" s="129">
        <f t="shared" ref="I75:O75" si="34">I3438</f>
        <v>88683</v>
      </c>
      <c r="J75" s="129">
        <f t="shared" si="34"/>
        <v>0</v>
      </c>
      <c r="K75" s="129">
        <f t="shared" si="34"/>
        <v>0</v>
      </c>
      <c r="L75" s="129">
        <f t="shared" si="34"/>
        <v>0</v>
      </c>
      <c r="M75" s="129">
        <f t="shared" si="34"/>
        <v>0</v>
      </c>
      <c r="N75" s="129">
        <f t="shared" si="34"/>
        <v>0</v>
      </c>
      <c r="O75" s="129">
        <f t="shared" si="34"/>
        <v>0</v>
      </c>
    </row>
    <row r="76" spans="1:15" x14ac:dyDescent="0.2">
      <c r="A76" s="119">
        <v>1.000134114E+19</v>
      </c>
      <c r="B76" s="120" t="s">
        <v>61</v>
      </c>
      <c r="C76" s="129">
        <v>-315185</v>
      </c>
      <c r="D76" s="129">
        <v>-9967.6299999999992</v>
      </c>
      <c r="E76" s="129">
        <v>0</v>
      </c>
      <c r="F76" s="129">
        <v>-56658.96</v>
      </c>
      <c r="G76" s="129">
        <v>-258526.04</v>
      </c>
      <c r="H76" s="129">
        <v>17.97</v>
      </c>
      <c r="I76" s="129">
        <f t="shared" ref="I76:O76" si="35">I3342</f>
        <v>315185</v>
      </c>
      <c r="J76" s="129">
        <f t="shared" si="35"/>
        <v>0</v>
      </c>
      <c r="K76" s="129">
        <f t="shared" si="35"/>
        <v>0</v>
      </c>
      <c r="L76" s="129">
        <f t="shared" si="35"/>
        <v>0</v>
      </c>
      <c r="M76" s="129">
        <f t="shared" si="35"/>
        <v>0</v>
      </c>
      <c r="N76" s="129">
        <f t="shared" si="35"/>
        <v>0</v>
      </c>
      <c r="O76" s="129">
        <f t="shared" si="35"/>
        <v>0</v>
      </c>
    </row>
    <row r="77" spans="1:15" x14ac:dyDescent="0.2">
      <c r="A77" s="119">
        <v>1.0001341169999999E+19</v>
      </c>
      <c r="B77" s="120" t="s">
        <v>62</v>
      </c>
      <c r="C77" s="129">
        <v>-2112000</v>
      </c>
      <c r="D77" s="129">
        <v>-158518.66</v>
      </c>
      <c r="E77" s="129">
        <v>0</v>
      </c>
      <c r="F77" s="129">
        <v>-1057902.8999999999</v>
      </c>
      <c r="G77" s="129">
        <v>-1054097.1000000001</v>
      </c>
      <c r="H77" s="129">
        <v>50.09</v>
      </c>
      <c r="I77" s="129">
        <f t="shared" ref="I77:O77" si="36">I2055</f>
        <v>0</v>
      </c>
      <c r="J77" s="129">
        <f t="shared" si="36"/>
        <v>-2112000</v>
      </c>
      <c r="K77" s="129">
        <f t="shared" si="36"/>
        <v>-2215488</v>
      </c>
      <c r="L77" s="129">
        <f t="shared" si="36"/>
        <v>-2321831.4240000001</v>
      </c>
      <c r="M77" s="129">
        <f t="shared" si="36"/>
        <v>0</v>
      </c>
      <c r="N77" s="129">
        <f t="shared" si="36"/>
        <v>0</v>
      </c>
      <c r="O77" s="129">
        <f t="shared" si="36"/>
        <v>-2433279.3323520003</v>
      </c>
    </row>
    <row r="78" spans="1:15" x14ac:dyDescent="0.2">
      <c r="A78" s="119">
        <v>1.0001343009999999E+19</v>
      </c>
      <c r="B78" s="120" t="s">
        <v>63</v>
      </c>
      <c r="C78" s="129">
        <v>0</v>
      </c>
      <c r="D78" s="129">
        <v>-3359.36</v>
      </c>
      <c r="E78" s="129">
        <v>0</v>
      </c>
      <c r="F78" s="129">
        <v>-23178.240000000002</v>
      </c>
      <c r="G78" s="129">
        <v>23178.240000000002</v>
      </c>
      <c r="H78" s="129">
        <v>0</v>
      </c>
      <c r="I78" s="129">
        <f t="shared" ref="I78:O78" si="37">I979</f>
        <v>0</v>
      </c>
      <c r="J78" s="129">
        <f t="shared" si="37"/>
        <v>-50000</v>
      </c>
      <c r="K78" s="129">
        <f t="shared" si="37"/>
        <v>-52450</v>
      </c>
      <c r="L78" s="129">
        <f t="shared" si="37"/>
        <v>-54967.6</v>
      </c>
      <c r="M78" s="129">
        <f t="shared" si="37"/>
        <v>0</v>
      </c>
      <c r="N78" s="129">
        <f t="shared" si="37"/>
        <v>0</v>
      </c>
      <c r="O78" s="129">
        <f t="shared" si="37"/>
        <v>-57606.044799999996</v>
      </c>
    </row>
    <row r="79" spans="1:15" x14ac:dyDescent="0.2">
      <c r="A79" s="119"/>
      <c r="B79" s="120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O79" s="129"/>
    </row>
    <row r="80" spans="1:15" s="114" customFormat="1" ht="15" x14ac:dyDescent="0.25">
      <c r="A80" s="118"/>
      <c r="B80" s="117" t="s">
        <v>64</v>
      </c>
      <c r="C80" s="128">
        <f>SUM(C72:C79)</f>
        <v>-3249234</v>
      </c>
      <c r="D80" s="128">
        <f>SUM(D72:D79)</f>
        <v>-220219.46</v>
      </c>
      <c r="E80" s="128">
        <f>SUM(E72:E79)</f>
        <v>0</v>
      </c>
      <c r="F80" s="128">
        <f>SUM(F72:F79)</f>
        <v>-1416434.22</v>
      </c>
      <c r="G80" s="128">
        <f>SUM(G72:G79)</f>
        <v>-1832799.78</v>
      </c>
      <c r="H80" s="128">
        <v>43.59</v>
      </c>
      <c r="I80" s="128">
        <f t="shared" ref="I80:O80" si="38">SUM(I72:I79)</f>
        <v>403868</v>
      </c>
      <c r="J80" s="128">
        <f t="shared" si="38"/>
        <v>-2905105</v>
      </c>
      <c r="K80" s="128">
        <f t="shared" si="38"/>
        <v>-3063311.4330000002</v>
      </c>
      <c r="L80" s="128">
        <f t="shared" si="38"/>
        <v>-3212492.9627000005</v>
      </c>
      <c r="M80" s="128">
        <f t="shared" si="38"/>
        <v>-866184.7037239481</v>
      </c>
      <c r="N80" s="128">
        <f t="shared" si="38"/>
        <v>0</v>
      </c>
      <c r="O80" s="128">
        <f t="shared" si="38"/>
        <v>-3389796.074926828</v>
      </c>
    </row>
    <row r="81" spans="1:15" s="114" customFormat="1" ht="15" x14ac:dyDescent="0.25">
      <c r="A81" s="118"/>
      <c r="B81" s="117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86"/>
      <c r="N81" s="186"/>
      <c r="O81" s="128"/>
    </row>
    <row r="82" spans="1:15" s="114" customFormat="1" ht="15" x14ac:dyDescent="0.25">
      <c r="A82" s="118"/>
      <c r="B82" s="117" t="s">
        <v>1326</v>
      </c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86"/>
      <c r="N82" s="186"/>
      <c r="O82" s="128"/>
    </row>
    <row r="83" spans="1:15" x14ac:dyDescent="0.2">
      <c r="A83" s="119"/>
      <c r="B83" s="120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O83" s="129"/>
    </row>
    <row r="84" spans="1:15" x14ac:dyDescent="0.2">
      <c r="A84" s="119">
        <v>1.00013512E+19</v>
      </c>
      <c r="B84" s="120" t="s">
        <v>65</v>
      </c>
      <c r="C84" s="129">
        <v>-346932</v>
      </c>
      <c r="D84" s="129">
        <v>-40547.550000000003</v>
      </c>
      <c r="E84" s="129">
        <v>0</v>
      </c>
      <c r="F84" s="129">
        <v>-228665.99</v>
      </c>
      <c r="G84" s="129">
        <v>-118266.01</v>
      </c>
      <c r="H84" s="129">
        <v>65.91</v>
      </c>
      <c r="I84" s="129">
        <f t="shared" ref="I84:O84" si="39">I1929</f>
        <v>0</v>
      </c>
      <c r="J84" s="129">
        <f t="shared" si="39"/>
        <v>-457332</v>
      </c>
      <c r="K84" s="129">
        <f t="shared" si="39"/>
        <v>-479741.26799999998</v>
      </c>
      <c r="L84" s="129">
        <f t="shared" si="39"/>
        <v>-502768.848864</v>
      </c>
      <c r="M84" s="129">
        <f t="shared" si="39"/>
        <v>-526901.75360947195</v>
      </c>
      <c r="N84" s="129">
        <f t="shared" si="39"/>
        <v>0</v>
      </c>
      <c r="O84" s="129">
        <f t="shared" si="39"/>
        <v>-526901.75360947195</v>
      </c>
    </row>
    <row r="85" spans="1:15" x14ac:dyDescent="0.2">
      <c r="A85" s="119"/>
      <c r="B85" s="120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O85" s="129"/>
    </row>
    <row r="86" spans="1:15" s="114" customFormat="1" ht="15" x14ac:dyDescent="0.25">
      <c r="A86" s="118"/>
      <c r="B86" s="117" t="s">
        <v>66</v>
      </c>
      <c r="C86" s="128">
        <f>SUM(C84:C85)</f>
        <v>-346932</v>
      </c>
      <c r="D86" s="128">
        <f>SUM(D84:D85)</f>
        <v>-40547.550000000003</v>
      </c>
      <c r="E86" s="128">
        <f>SUM(E84:E85)</f>
        <v>0</v>
      </c>
      <c r="F86" s="128">
        <f>SUM(F84:F85)</f>
        <v>-228665.99</v>
      </c>
      <c r="G86" s="128">
        <f>SUM(G84:G85)</f>
        <v>-118266.01</v>
      </c>
      <c r="H86" s="128">
        <v>65.91</v>
      </c>
      <c r="I86" s="128">
        <f t="shared" ref="I86:O86" si="40">SUM(I84:I85)</f>
        <v>0</v>
      </c>
      <c r="J86" s="128">
        <f t="shared" si="40"/>
        <v>-457332</v>
      </c>
      <c r="K86" s="128">
        <f t="shared" si="40"/>
        <v>-479741.26799999998</v>
      </c>
      <c r="L86" s="128">
        <f t="shared" si="40"/>
        <v>-502768.848864</v>
      </c>
      <c r="M86" s="128">
        <f t="shared" si="40"/>
        <v>-526901.75360947195</v>
      </c>
      <c r="N86" s="128">
        <f t="shared" si="40"/>
        <v>0</v>
      </c>
      <c r="O86" s="128">
        <f t="shared" si="40"/>
        <v>-526901.75360947195</v>
      </c>
    </row>
    <row r="87" spans="1:15" s="114" customFormat="1" ht="15" x14ac:dyDescent="0.25">
      <c r="A87" s="118"/>
      <c r="B87" s="117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86"/>
      <c r="N87" s="186"/>
      <c r="O87" s="128"/>
    </row>
    <row r="88" spans="1:15" s="114" customFormat="1" ht="15" x14ac:dyDescent="0.25">
      <c r="A88" s="118"/>
      <c r="B88" s="117" t="s">
        <v>67</v>
      </c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86"/>
      <c r="N88" s="186"/>
      <c r="O88" s="128"/>
    </row>
    <row r="89" spans="1:15" s="114" customFormat="1" ht="15" x14ac:dyDescent="0.25">
      <c r="A89" s="118"/>
      <c r="B89" s="117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86"/>
      <c r="N89" s="186"/>
      <c r="O89" s="128"/>
    </row>
    <row r="90" spans="1:15" x14ac:dyDescent="0.2">
      <c r="A90" s="119"/>
      <c r="B90" s="120" t="s">
        <v>68</v>
      </c>
      <c r="C90" s="129">
        <v>-2478480</v>
      </c>
      <c r="D90" s="129">
        <v>0</v>
      </c>
      <c r="E90" s="129">
        <v>0</v>
      </c>
      <c r="F90" s="129">
        <v>0</v>
      </c>
      <c r="G90" s="129">
        <v>-2478480</v>
      </c>
      <c r="H90" s="129">
        <v>0</v>
      </c>
      <c r="I90" s="129">
        <f t="shared" ref="I90:N90" ca="1" si="41">I3348+I3444</f>
        <v>1813775.6</v>
      </c>
      <c r="J90" s="129">
        <f t="shared" si="41"/>
        <v>-664705</v>
      </c>
      <c r="K90" s="129">
        <f t="shared" si="41"/>
        <v>-694616.72499999998</v>
      </c>
      <c r="L90" s="129">
        <f t="shared" si="41"/>
        <v>-726569.09434999991</v>
      </c>
      <c r="M90" s="129">
        <f t="shared" si="41"/>
        <v>-759991.2726900999</v>
      </c>
      <c r="N90" s="129">
        <f t="shared" si="41"/>
        <v>0</v>
      </c>
      <c r="O90" s="129">
        <f>O3348+O3444</f>
        <v>-759991.2726900999</v>
      </c>
    </row>
    <row r="91" spans="1:15" x14ac:dyDescent="0.2">
      <c r="A91" s="119"/>
      <c r="B91" s="120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O91" s="129"/>
    </row>
    <row r="92" spans="1:15" s="114" customFormat="1" ht="15" x14ac:dyDescent="0.25">
      <c r="A92" s="118"/>
      <c r="B92" s="117" t="s">
        <v>69</v>
      </c>
      <c r="C92" s="128">
        <f>C90</f>
        <v>-2478480</v>
      </c>
      <c r="D92" s="128">
        <v>0</v>
      </c>
      <c r="E92" s="128">
        <v>0</v>
      </c>
      <c r="F92" s="128">
        <v>0</v>
      </c>
      <c r="G92" s="128">
        <v>-2478480</v>
      </c>
      <c r="H92" s="128">
        <v>0</v>
      </c>
      <c r="I92" s="128">
        <f t="shared" ref="I92:O92" ca="1" si="42">I90</f>
        <v>1813775.6</v>
      </c>
      <c r="J92" s="128">
        <f t="shared" si="42"/>
        <v>-664705</v>
      </c>
      <c r="K92" s="128">
        <f t="shared" si="42"/>
        <v>-694616.72499999998</v>
      </c>
      <c r="L92" s="128">
        <f t="shared" si="42"/>
        <v>-726569.09434999991</v>
      </c>
      <c r="M92" s="128">
        <f t="shared" si="42"/>
        <v>-759991.2726900999</v>
      </c>
      <c r="N92" s="128">
        <f t="shared" si="42"/>
        <v>0</v>
      </c>
      <c r="O92" s="128">
        <f t="shared" si="42"/>
        <v>-759991.2726900999</v>
      </c>
    </row>
    <row r="93" spans="1:15" x14ac:dyDescent="0.2">
      <c r="A93" s="119"/>
      <c r="B93" s="120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O93" s="129"/>
    </row>
    <row r="94" spans="1:15" s="114" customFormat="1" ht="15" x14ac:dyDescent="0.25">
      <c r="A94" s="118"/>
      <c r="B94" s="117" t="s">
        <v>70</v>
      </c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86"/>
      <c r="N94" s="186"/>
      <c r="O94" s="128"/>
    </row>
    <row r="95" spans="1:15" x14ac:dyDescent="0.2">
      <c r="A95" s="119"/>
      <c r="B95" s="120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O95" s="129"/>
    </row>
    <row r="96" spans="1:15" x14ac:dyDescent="0.2">
      <c r="A96" s="119">
        <v>1.0001380310000001E+19</v>
      </c>
      <c r="B96" s="120" t="s">
        <v>71</v>
      </c>
      <c r="C96" s="129">
        <v>-310</v>
      </c>
      <c r="D96" s="129">
        <v>0</v>
      </c>
      <c r="E96" s="129">
        <v>0</v>
      </c>
      <c r="F96" s="129">
        <v>0</v>
      </c>
      <c r="G96" s="129">
        <v>-310</v>
      </c>
      <c r="H96" s="129">
        <v>0</v>
      </c>
      <c r="I96" s="129">
        <f>I2578</f>
        <v>0</v>
      </c>
      <c r="J96" s="129">
        <f>J2578</f>
        <v>-310</v>
      </c>
      <c r="K96" s="129">
        <f>K2580</f>
        <v>-323.95</v>
      </c>
      <c r="L96" s="129">
        <f>L2580</f>
        <v>-338.85169999999999</v>
      </c>
      <c r="M96" s="129">
        <f>M2580</f>
        <v>0</v>
      </c>
      <c r="N96" s="129">
        <f>N2580</f>
        <v>0</v>
      </c>
      <c r="O96" s="129">
        <f>O2580</f>
        <v>-354.43887819999998</v>
      </c>
    </row>
    <row r="97" spans="1:15" x14ac:dyDescent="0.2">
      <c r="A97" s="119">
        <v>1.00013806E+19</v>
      </c>
      <c r="B97" s="120" t="s">
        <v>72</v>
      </c>
      <c r="C97" s="129">
        <v>-669425</v>
      </c>
      <c r="D97" s="129">
        <v>0</v>
      </c>
      <c r="E97" s="129">
        <v>0</v>
      </c>
      <c r="F97" s="129">
        <v>0</v>
      </c>
      <c r="G97" s="129">
        <v>-669425</v>
      </c>
      <c r="H97" s="129">
        <v>0</v>
      </c>
      <c r="I97" s="129">
        <f t="shared" ref="I97:O97" si="43">I1935</f>
        <v>669425</v>
      </c>
      <c r="J97" s="129">
        <f t="shared" si="43"/>
        <v>0</v>
      </c>
      <c r="K97" s="129">
        <f t="shared" si="43"/>
        <v>0</v>
      </c>
      <c r="L97" s="129">
        <f t="shared" si="43"/>
        <v>0</v>
      </c>
      <c r="M97" s="129">
        <f t="shared" si="43"/>
        <v>0</v>
      </c>
      <c r="N97" s="129">
        <f t="shared" si="43"/>
        <v>0</v>
      </c>
      <c r="O97" s="129">
        <f t="shared" si="43"/>
        <v>0</v>
      </c>
    </row>
    <row r="98" spans="1:15" x14ac:dyDescent="0.2">
      <c r="A98" s="119">
        <v>1.000138062E+19</v>
      </c>
      <c r="B98" s="120" t="s">
        <v>73</v>
      </c>
      <c r="C98" s="129">
        <v>0</v>
      </c>
      <c r="D98" s="129">
        <v>0</v>
      </c>
      <c r="E98" s="129">
        <v>0</v>
      </c>
      <c r="F98" s="129">
        <v>-1025.8499999999999</v>
      </c>
      <c r="G98" s="129">
        <v>1025.8499999999999</v>
      </c>
      <c r="H98" s="129">
        <v>0</v>
      </c>
      <c r="I98" s="129">
        <f t="shared" ref="I98:O98" si="44">I3354</f>
        <v>0</v>
      </c>
      <c r="J98" s="129">
        <f t="shared" si="44"/>
        <v>0</v>
      </c>
      <c r="K98" s="129">
        <f t="shared" si="44"/>
        <v>0</v>
      </c>
      <c r="L98" s="129">
        <f t="shared" si="44"/>
        <v>0</v>
      </c>
      <c r="M98" s="129">
        <f t="shared" si="44"/>
        <v>0</v>
      </c>
      <c r="N98" s="129">
        <f t="shared" si="44"/>
        <v>0</v>
      </c>
      <c r="O98" s="129">
        <f t="shared" si="44"/>
        <v>0</v>
      </c>
    </row>
    <row r="99" spans="1:15" x14ac:dyDescent="0.2">
      <c r="A99" s="119">
        <v>1.00013824E+19</v>
      </c>
      <c r="B99" s="120" t="s">
        <v>74</v>
      </c>
      <c r="C99" s="129">
        <v>-18426329</v>
      </c>
      <c r="D99" s="129">
        <v>0</v>
      </c>
      <c r="E99" s="129">
        <v>0</v>
      </c>
      <c r="F99" s="129">
        <v>0</v>
      </c>
      <c r="G99" s="129">
        <v>-18426329</v>
      </c>
      <c r="H99" s="129">
        <v>0</v>
      </c>
      <c r="I99" s="129">
        <f t="shared" ref="I99:O99" si="45">I2146</f>
        <v>0</v>
      </c>
      <c r="J99" s="129">
        <f t="shared" si="45"/>
        <v>-20255136</v>
      </c>
      <c r="K99" s="129">
        <f t="shared" si="45"/>
        <v>-18926671</v>
      </c>
      <c r="L99" s="129">
        <f t="shared" si="45"/>
        <v>-23910527</v>
      </c>
      <c r="M99" s="129">
        <f t="shared" si="45"/>
        <v>0</v>
      </c>
      <c r="N99" s="129">
        <f t="shared" si="45"/>
        <v>0</v>
      </c>
      <c r="O99" s="129">
        <f t="shared" si="45"/>
        <v>-28167984</v>
      </c>
    </row>
    <row r="100" spans="1:15" x14ac:dyDescent="0.2">
      <c r="A100" s="119">
        <v>1.0001385249999999E+19</v>
      </c>
      <c r="B100" s="120" t="s">
        <v>75</v>
      </c>
      <c r="C100" s="129">
        <v>-15000000</v>
      </c>
      <c r="D100" s="129">
        <v>0</v>
      </c>
      <c r="E100" s="129">
        <v>0</v>
      </c>
      <c r="F100" s="129">
        <v>0</v>
      </c>
      <c r="G100" s="129">
        <v>-15000000</v>
      </c>
      <c r="H100" s="129">
        <v>0</v>
      </c>
      <c r="I100" s="129">
        <f t="shared" ref="I100:O100" si="46">I1081</f>
        <v>0</v>
      </c>
      <c r="J100" s="129">
        <f t="shared" si="46"/>
        <v>-7500000</v>
      </c>
      <c r="K100" s="129">
        <f t="shared" si="46"/>
        <v>-7500000</v>
      </c>
      <c r="L100" s="129">
        <f t="shared" si="46"/>
        <v>-7500000</v>
      </c>
      <c r="M100" s="129">
        <f t="shared" si="46"/>
        <v>-7500000</v>
      </c>
      <c r="N100" s="129">
        <f t="shared" si="46"/>
        <v>0</v>
      </c>
      <c r="O100" s="129">
        <f t="shared" si="46"/>
        <v>-7500000</v>
      </c>
    </row>
    <row r="101" spans="1:15" x14ac:dyDescent="0.2">
      <c r="A101" s="119">
        <v>1.0001385329999999E+19</v>
      </c>
      <c r="B101" s="120" t="s">
        <v>76</v>
      </c>
      <c r="C101" s="129">
        <v>-204317</v>
      </c>
      <c r="D101" s="129">
        <v>0</v>
      </c>
      <c r="E101" s="129">
        <v>0</v>
      </c>
      <c r="F101" s="129">
        <v>-70522.350000000006</v>
      </c>
      <c r="G101" s="129">
        <v>-133794.65</v>
      </c>
      <c r="H101" s="129">
        <v>34.51</v>
      </c>
      <c r="I101" s="129">
        <f t="shared" ref="I101:O101" si="47">I644</f>
        <v>0</v>
      </c>
      <c r="J101" s="129">
        <f t="shared" si="47"/>
        <v>-204317</v>
      </c>
      <c r="K101" s="129">
        <f t="shared" si="47"/>
        <v>-213511.26500000001</v>
      </c>
      <c r="L101" s="129">
        <f t="shared" si="47"/>
        <v>-223332.78319000002</v>
      </c>
      <c r="M101" s="129">
        <f t="shared" si="47"/>
        <v>-233606.09121674002</v>
      </c>
      <c r="N101" s="129">
        <f t="shared" si="47"/>
        <v>0</v>
      </c>
      <c r="O101" s="129">
        <f t="shared" si="47"/>
        <v>-233606.09121674002</v>
      </c>
    </row>
    <row r="102" spans="1:15" x14ac:dyDescent="0.2">
      <c r="A102" s="119"/>
      <c r="B102" s="120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O102" s="129"/>
    </row>
    <row r="103" spans="1:15" s="114" customFormat="1" ht="15" x14ac:dyDescent="0.25">
      <c r="A103" s="118"/>
      <c r="B103" s="117" t="s">
        <v>77</v>
      </c>
      <c r="C103" s="128">
        <f>SUM(C96:C102)</f>
        <v>-34300381</v>
      </c>
      <c r="D103" s="128">
        <v>0</v>
      </c>
      <c r="E103" s="128">
        <v>0</v>
      </c>
      <c r="F103" s="128">
        <v>-71548.2</v>
      </c>
      <c r="G103" s="128">
        <v>-34228832.799999997</v>
      </c>
      <c r="H103" s="128">
        <v>0.2</v>
      </c>
      <c r="I103" s="128">
        <f t="shared" ref="I103:O103" si="48">SUM(I96:I102)</f>
        <v>669425</v>
      </c>
      <c r="J103" s="128">
        <f t="shared" si="48"/>
        <v>-27959763</v>
      </c>
      <c r="K103" s="128">
        <f t="shared" si="48"/>
        <v>-26640506.215</v>
      </c>
      <c r="L103" s="128">
        <f t="shared" si="48"/>
        <v>-31634198.634890001</v>
      </c>
      <c r="M103" s="128">
        <f t="shared" si="48"/>
        <v>-7733606.0912167402</v>
      </c>
      <c r="N103" s="128">
        <f t="shared" si="48"/>
        <v>0</v>
      </c>
      <c r="O103" s="128">
        <f t="shared" si="48"/>
        <v>-35901944.530094944</v>
      </c>
    </row>
    <row r="104" spans="1:15" s="114" customFormat="1" ht="15" x14ac:dyDescent="0.25">
      <c r="A104" s="118"/>
      <c r="B104" s="117"/>
      <c r="C104" s="128"/>
      <c r="D104" s="128"/>
      <c r="E104" s="128"/>
      <c r="F104" s="128"/>
      <c r="G104" s="128"/>
      <c r="H104" s="128"/>
      <c r="I104" s="128"/>
      <c r="J104" s="128"/>
      <c r="K104" s="128"/>
      <c r="L104" s="128"/>
      <c r="M104" s="186"/>
      <c r="N104" s="186"/>
      <c r="O104" s="128"/>
    </row>
    <row r="105" spans="1:15" s="114" customFormat="1" ht="15" x14ac:dyDescent="0.25">
      <c r="A105" s="118"/>
      <c r="B105" s="117" t="s">
        <v>78</v>
      </c>
      <c r="C105" s="128"/>
      <c r="D105" s="128"/>
      <c r="E105" s="128"/>
      <c r="F105" s="128"/>
      <c r="G105" s="128"/>
      <c r="H105" s="128"/>
      <c r="I105" s="128"/>
      <c r="J105" s="128"/>
      <c r="K105" s="128"/>
      <c r="L105" s="128"/>
      <c r="M105" s="186"/>
      <c r="N105" s="186"/>
      <c r="O105" s="128"/>
    </row>
    <row r="106" spans="1:15" x14ac:dyDescent="0.2">
      <c r="A106" s="119"/>
      <c r="B106" s="120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O106" s="129"/>
    </row>
    <row r="107" spans="1:15" x14ac:dyDescent="0.2">
      <c r="A107" s="119">
        <v>1.0001401089999999E+19</v>
      </c>
      <c r="B107" s="120" t="s">
        <v>79</v>
      </c>
      <c r="C107" s="129">
        <v>-283935</v>
      </c>
      <c r="D107" s="129">
        <v>-15256.34</v>
      </c>
      <c r="E107" s="129">
        <v>0</v>
      </c>
      <c r="F107" s="129">
        <v>-100969.64</v>
      </c>
      <c r="G107" s="129">
        <v>-182965.36</v>
      </c>
      <c r="H107" s="129">
        <v>35.56</v>
      </c>
      <c r="I107" s="129">
        <f>I2584</f>
        <v>50000</v>
      </c>
      <c r="J107" s="129">
        <f>J2584</f>
        <v>-233935</v>
      </c>
      <c r="K107" s="129">
        <f>K2586</f>
        <v>-244462.07500000001</v>
      </c>
      <c r="L107" s="129">
        <f>L2586</f>
        <v>-255707.33045000001</v>
      </c>
      <c r="M107" s="129">
        <f>M2586</f>
        <v>0</v>
      </c>
      <c r="N107" s="129">
        <f>N2586</f>
        <v>0</v>
      </c>
      <c r="O107" s="129">
        <f>O2586</f>
        <v>-267469.86765070003</v>
      </c>
    </row>
    <row r="108" spans="1:15" x14ac:dyDescent="0.2">
      <c r="A108" s="119"/>
      <c r="B108" s="120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O108" s="129"/>
    </row>
    <row r="109" spans="1:15" s="114" customFormat="1" ht="15" x14ac:dyDescent="0.25">
      <c r="A109" s="118"/>
      <c r="B109" s="117" t="s">
        <v>80</v>
      </c>
      <c r="C109" s="128">
        <f>C107</f>
        <v>-283935</v>
      </c>
      <c r="D109" s="128">
        <v>-15256.34</v>
      </c>
      <c r="E109" s="128">
        <v>0</v>
      </c>
      <c r="F109" s="128">
        <v>-100969.64</v>
      </c>
      <c r="G109" s="128">
        <v>-182965.36</v>
      </c>
      <c r="H109" s="128">
        <v>35.56</v>
      </c>
      <c r="I109" s="128">
        <f t="shared" ref="I109:O109" si="49">I107</f>
        <v>50000</v>
      </c>
      <c r="J109" s="128">
        <f t="shared" si="49"/>
        <v>-233935</v>
      </c>
      <c r="K109" s="128">
        <f t="shared" si="49"/>
        <v>-244462.07500000001</v>
      </c>
      <c r="L109" s="128">
        <f t="shared" si="49"/>
        <v>-255707.33045000001</v>
      </c>
      <c r="M109" s="128">
        <f t="shared" si="49"/>
        <v>0</v>
      </c>
      <c r="N109" s="128">
        <f t="shared" si="49"/>
        <v>0</v>
      </c>
      <c r="O109" s="128">
        <f t="shared" si="49"/>
        <v>-267469.86765070003</v>
      </c>
    </row>
    <row r="110" spans="1:15" s="114" customFormat="1" ht="15" x14ac:dyDescent="0.25">
      <c r="A110" s="118"/>
      <c r="B110" s="117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86"/>
      <c r="N110" s="186"/>
      <c r="O110" s="128"/>
    </row>
    <row r="111" spans="1:15" s="114" customFormat="1" ht="15" x14ac:dyDescent="0.25">
      <c r="A111" s="118"/>
      <c r="B111" s="117" t="s">
        <v>81</v>
      </c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86"/>
      <c r="N111" s="186"/>
      <c r="O111" s="128"/>
    </row>
    <row r="112" spans="1:15" x14ac:dyDescent="0.2">
      <c r="A112" s="119"/>
      <c r="B112" s="120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O112" s="129"/>
    </row>
    <row r="113" spans="1:15" x14ac:dyDescent="0.2">
      <c r="A113" s="119">
        <v>1.000142008E+19</v>
      </c>
      <c r="B113" s="120" t="s">
        <v>82</v>
      </c>
      <c r="C113" s="129">
        <v>-4640</v>
      </c>
      <c r="D113" s="129">
        <v>0</v>
      </c>
      <c r="E113" s="129">
        <v>0</v>
      </c>
      <c r="F113" s="129">
        <v>0</v>
      </c>
      <c r="G113" s="129">
        <v>-4640</v>
      </c>
      <c r="H113" s="129">
        <v>0</v>
      </c>
      <c r="I113" s="129">
        <f t="shared" ref="I113:O113" si="50">I1087</f>
        <v>0</v>
      </c>
      <c r="J113" s="129">
        <f t="shared" si="50"/>
        <v>-4640</v>
      </c>
      <c r="K113" s="129">
        <f t="shared" si="50"/>
        <v>-4848.8</v>
      </c>
      <c r="L113" s="129">
        <f t="shared" si="50"/>
        <v>-5071.8447999999999</v>
      </c>
      <c r="M113" s="129">
        <f t="shared" si="50"/>
        <v>-5305.1496607999998</v>
      </c>
      <c r="N113" s="129">
        <f t="shared" si="50"/>
        <v>0</v>
      </c>
      <c r="O113" s="129">
        <f t="shared" si="50"/>
        <v>-5305.1496607999998</v>
      </c>
    </row>
    <row r="114" spans="1:15" x14ac:dyDescent="0.2">
      <c r="A114" s="119">
        <v>1.0001420609999999E+19</v>
      </c>
      <c r="B114" s="120" t="s">
        <v>83</v>
      </c>
      <c r="C114" s="129">
        <v>-12565</v>
      </c>
      <c r="D114" s="129">
        <v>-3408.84</v>
      </c>
      <c r="E114" s="129">
        <v>0</v>
      </c>
      <c r="F114" s="129">
        <v>-4408.84</v>
      </c>
      <c r="G114" s="129">
        <v>-8156.16</v>
      </c>
      <c r="H114" s="129">
        <v>35.08</v>
      </c>
      <c r="I114" s="129">
        <f t="shared" ref="I114:O114" si="51">I2795</f>
        <v>0</v>
      </c>
      <c r="J114" s="129">
        <f t="shared" si="51"/>
        <v>-12565</v>
      </c>
      <c r="K114" s="129">
        <f t="shared" si="51"/>
        <v>-13130.424999999999</v>
      </c>
      <c r="L114" s="129">
        <f t="shared" si="51"/>
        <v>-13734.42455</v>
      </c>
      <c r="M114" s="129">
        <f t="shared" si="51"/>
        <v>0</v>
      </c>
      <c r="N114" s="129">
        <f t="shared" si="51"/>
        <v>0</v>
      </c>
      <c r="O114" s="129">
        <f t="shared" si="51"/>
        <v>-14366.2080793</v>
      </c>
    </row>
    <row r="115" spans="1:15" x14ac:dyDescent="0.2">
      <c r="A115" s="119">
        <v>1.0001423329999999E+19</v>
      </c>
      <c r="B115" s="120" t="s">
        <v>84</v>
      </c>
      <c r="C115" s="129">
        <v>-2200</v>
      </c>
      <c r="D115" s="129">
        <v>0</v>
      </c>
      <c r="E115" s="129">
        <v>0</v>
      </c>
      <c r="F115" s="129">
        <v>0</v>
      </c>
      <c r="G115" s="129">
        <v>-2200</v>
      </c>
      <c r="H115" s="129">
        <v>0</v>
      </c>
      <c r="I115" s="129">
        <f>I2590</f>
        <v>0</v>
      </c>
      <c r="J115" s="129">
        <f>J2590</f>
        <v>-2200</v>
      </c>
      <c r="K115" s="129">
        <f>K2592</f>
        <v>-2299</v>
      </c>
      <c r="L115" s="129">
        <f>L2592</f>
        <v>-2404.7539999999999</v>
      </c>
      <c r="M115" s="129">
        <f>M2592</f>
        <v>0</v>
      </c>
      <c r="N115" s="129">
        <f>N2592</f>
        <v>0</v>
      </c>
      <c r="O115" s="129">
        <f>O2592</f>
        <v>-2515.3726839999999</v>
      </c>
    </row>
    <row r="116" spans="1:15" x14ac:dyDescent="0.2">
      <c r="A116" s="119">
        <v>1.000142454E+19</v>
      </c>
      <c r="B116" s="120" t="s">
        <v>85</v>
      </c>
      <c r="C116" s="129">
        <v>-41011</v>
      </c>
      <c r="D116" s="129">
        <v>0</v>
      </c>
      <c r="E116" s="129">
        <v>0</v>
      </c>
      <c r="F116" s="129">
        <v>-13216.23</v>
      </c>
      <c r="G116" s="129">
        <v>-27794.77</v>
      </c>
      <c r="H116" s="129">
        <v>32.22</v>
      </c>
      <c r="I116" s="129">
        <f t="shared" ref="I116:O116" si="52">I1088</f>
        <v>0</v>
      </c>
      <c r="J116" s="129">
        <f t="shared" si="52"/>
        <v>-41011</v>
      </c>
      <c r="K116" s="129">
        <f t="shared" si="52"/>
        <v>-42856.495000000003</v>
      </c>
      <c r="L116" s="129">
        <f t="shared" si="52"/>
        <v>-44827.893770000002</v>
      </c>
      <c r="M116" s="129">
        <f t="shared" si="52"/>
        <v>0</v>
      </c>
      <c r="N116" s="129">
        <f t="shared" si="52"/>
        <v>0</v>
      </c>
      <c r="O116" s="129">
        <f t="shared" si="52"/>
        <v>-46889.97688342</v>
      </c>
    </row>
    <row r="117" spans="1:15" x14ac:dyDescent="0.2">
      <c r="A117" s="119">
        <v>1.000142456E+19</v>
      </c>
      <c r="B117" s="120" t="s">
        <v>86</v>
      </c>
      <c r="C117" s="129">
        <v>-10462</v>
      </c>
      <c r="D117" s="129">
        <v>0</v>
      </c>
      <c r="E117" s="129">
        <v>0</v>
      </c>
      <c r="F117" s="129">
        <v>-9352.99</v>
      </c>
      <c r="G117" s="129">
        <v>-1109.01</v>
      </c>
      <c r="H117" s="129">
        <v>89.39</v>
      </c>
      <c r="I117" s="129">
        <f t="shared" ref="I117:O117" si="53">I987</f>
        <v>0</v>
      </c>
      <c r="J117" s="129">
        <f t="shared" si="53"/>
        <v>-30462</v>
      </c>
      <c r="K117" s="129">
        <f t="shared" si="53"/>
        <v>-31832.79</v>
      </c>
      <c r="L117" s="129">
        <f t="shared" si="53"/>
        <v>-33297.098340000004</v>
      </c>
      <c r="M117" s="129">
        <f t="shared" si="53"/>
        <v>0</v>
      </c>
      <c r="N117" s="129">
        <f t="shared" si="53"/>
        <v>0</v>
      </c>
      <c r="O117" s="129">
        <f t="shared" si="53"/>
        <v>-34828.764863640004</v>
      </c>
    </row>
    <row r="118" spans="1:15" x14ac:dyDescent="0.2">
      <c r="A118" s="119">
        <v>1.0001424609999999E+19</v>
      </c>
      <c r="B118" s="120" t="s">
        <v>87</v>
      </c>
      <c r="C118" s="129">
        <v>-4715</v>
      </c>
      <c r="D118" s="129">
        <v>-1881.4</v>
      </c>
      <c r="E118" s="129">
        <v>0</v>
      </c>
      <c r="F118" s="129">
        <v>-2020.53</v>
      </c>
      <c r="G118" s="129">
        <v>-2694.47</v>
      </c>
      <c r="H118" s="129">
        <v>42.85</v>
      </c>
      <c r="I118" s="129">
        <f t="shared" ref="I118:O119" si="54">I1090</f>
        <v>0</v>
      </c>
      <c r="J118" s="129">
        <f t="shared" si="54"/>
        <v>-4715</v>
      </c>
      <c r="K118" s="129">
        <f t="shared" si="54"/>
        <v>-4927.1750000000002</v>
      </c>
      <c r="L118" s="129">
        <f t="shared" si="54"/>
        <v>-5153.8250500000004</v>
      </c>
      <c r="M118" s="129">
        <f t="shared" si="54"/>
        <v>0</v>
      </c>
      <c r="N118" s="129">
        <f t="shared" si="54"/>
        <v>0</v>
      </c>
      <c r="O118" s="129">
        <f t="shared" si="54"/>
        <v>-5390.9010023000001</v>
      </c>
    </row>
    <row r="119" spans="1:15" x14ac:dyDescent="0.2">
      <c r="A119" s="119">
        <v>1.00014254E+19</v>
      </c>
      <c r="B119" s="120" t="s">
        <v>88</v>
      </c>
      <c r="C119" s="129">
        <v>-58934</v>
      </c>
      <c r="D119" s="129">
        <v>0</v>
      </c>
      <c r="E119" s="129">
        <v>0</v>
      </c>
      <c r="F119" s="129">
        <v>0</v>
      </c>
      <c r="G119" s="129">
        <v>-58934</v>
      </c>
      <c r="H119" s="129">
        <v>0</v>
      </c>
      <c r="I119" s="129">
        <f t="shared" si="54"/>
        <v>0</v>
      </c>
      <c r="J119" s="129">
        <f t="shared" si="54"/>
        <v>-58934</v>
      </c>
      <c r="K119" s="129">
        <f t="shared" si="54"/>
        <v>-61586.03</v>
      </c>
      <c r="L119" s="129">
        <f t="shared" si="54"/>
        <v>-64418.987379999999</v>
      </c>
      <c r="M119" s="129">
        <f t="shared" si="54"/>
        <v>0</v>
      </c>
      <c r="N119" s="129">
        <f t="shared" si="54"/>
        <v>0</v>
      </c>
      <c r="O119" s="129">
        <f t="shared" si="54"/>
        <v>-67382.260799479991</v>
      </c>
    </row>
    <row r="120" spans="1:15" x14ac:dyDescent="0.2">
      <c r="A120" s="119">
        <v>1.0001425430000001E+19</v>
      </c>
      <c r="B120" s="120" t="s">
        <v>89</v>
      </c>
      <c r="C120" s="129">
        <v>-276424</v>
      </c>
      <c r="D120" s="129">
        <v>0</v>
      </c>
      <c r="E120" s="129">
        <v>0</v>
      </c>
      <c r="F120" s="129">
        <v>-712288.67</v>
      </c>
      <c r="G120" s="129">
        <v>435864.67</v>
      </c>
      <c r="H120" s="129">
        <v>257.67</v>
      </c>
      <c r="I120" s="129">
        <f t="shared" ref="I120:O120" si="55">I492</f>
        <v>276424</v>
      </c>
      <c r="J120" s="129">
        <f t="shared" si="55"/>
        <v>0</v>
      </c>
      <c r="K120" s="129">
        <f t="shared" si="55"/>
        <v>-1000000</v>
      </c>
      <c r="L120" s="129">
        <f t="shared" si="55"/>
        <v>-1046000</v>
      </c>
      <c r="M120" s="129">
        <f t="shared" si="55"/>
        <v>-1094116</v>
      </c>
      <c r="N120" s="129">
        <f t="shared" si="55"/>
        <v>0</v>
      </c>
      <c r="O120" s="129">
        <f t="shared" si="55"/>
        <v>-1094116</v>
      </c>
    </row>
    <row r="121" spans="1:15" x14ac:dyDescent="0.2">
      <c r="A121" s="119"/>
      <c r="B121" s="120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O121" s="129"/>
    </row>
    <row r="122" spans="1:15" s="114" customFormat="1" ht="15" x14ac:dyDescent="0.25">
      <c r="A122" s="118"/>
      <c r="B122" s="117" t="s">
        <v>90</v>
      </c>
      <c r="C122" s="128">
        <f>SUM(C113:C121)</f>
        <v>-410951</v>
      </c>
      <c r="D122" s="128">
        <v>-5290.24</v>
      </c>
      <c r="E122" s="128">
        <v>0</v>
      </c>
      <c r="F122" s="128">
        <v>-741287.26</v>
      </c>
      <c r="G122" s="128">
        <v>330336.26</v>
      </c>
      <c r="H122" s="128">
        <v>180.38</v>
      </c>
      <c r="I122" s="128">
        <f t="shared" ref="I122:O122" si="56">SUM(I113:I121)</f>
        <v>276424</v>
      </c>
      <c r="J122" s="128">
        <f t="shared" si="56"/>
        <v>-154527</v>
      </c>
      <c r="K122" s="128">
        <f t="shared" si="56"/>
        <v>-1161480.7150000001</v>
      </c>
      <c r="L122" s="128">
        <f t="shared" si="56"/>
        <v>-1214908.8278900001</v>
      </c>
      <c r="M122" s="128">
        <f t="shared" si="56"/>
        <v>-1099421.1496607999</v>
      </c>
      <c r="N122" s="128">
        <f t="shared" si="56"/>
        <v>0</v>
      </c>
      <c r="O122" s="128">
        <f t="shared" si="56"/>
        <v>-1270794.63397294</v>
      </c>
    </row>
    <row r="123" spans="1:15" s="114" customFormat="1" ht="15" x14ac:dyDescent="0.25">
      <c r="A123" s="118"/>
      <c r="B123" s="117"/>
      <c r="C123" s="128"/>
      <c r="D123" s="128"/>
      <c r="E123" s="128"/>
      <c r="F123" s="128"/>
      <c r="G123" s="128"/>
      <c r="H123" s="128"/>
      <c r="I123" s="128"/>
      <c r="J123" s="128"/>
      <c r="K123" s="128"/>
      <c r="L123" s="128"/>
      <c r="M123" s="186"/>
      <c r="N123" s="186"/>
      <c r="O123" s="128"/>
    </row>
    <row r="124" spans="1:15" s="114" customFormat="1" ht="15" x14ac:dyDescent="0.25">
      <c r="A124" s="118"/>
      <c r="B124" s="117" t="s">
        <v>91</v>
      </c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86"/>
      <c r="N124" s="186"/>
      <c r="O124" s="128"/>
    </row>
    <row r="125" spans="1:15" x14ac:dyDescent="0.2">
      <c r="A125" s="119"/>
      <c r="B125" s="120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O125" s="129"/>
    </row>
    <row r="126" spans="1:15" x14ac:dyDescent="0.2">
      <c r="A126" s="119">
        <v>1.000148204E+19</v>
      </c>
      <c r="B126" s="120" t="s">
        <v>92</v>
      </c>
      <c r="C126" s="129">
        <v>-7065504</v>
      </c>
      <c r="D126" s="129">
        <v>-667782.97</v>
      </c>
      <c r="E126" s="129">
        <v>0</v>
      </c>
      <c r="F126" s="129">
        <v>-2221218.98</v>
      </c>
      <c r="G126" s="129">
        <v>-4844285.0199999996</v>
      </c>
      <c r="H126" s="129">
        <v>31.43</v>
      </c>
      <c r="I126" s="129">
        <f t="shared" ref="I126:O126" si="57">I2706</f>
        <v>0</v>
      </c>
      <c r="J126" s="129">
        <f t="shared" si="57"/>
        <v>-7065504</v>
      </c>
      <c r="K126" s="129">
        <f t="shared" si="57"/>
        <v>-7383451.6799999997</v>
      </c>
      <c r="L126" s="129">
        <f t="shared" si="57"/>
        <v>-7723090.4572799997</v>
      </c>
      <c r="M126" s="129">
        <f t="shared" si="57"/>
        <v>0</v>
      </c>
      <c r="N126" s="129">
        <f t="shared" si="57"/>
        <v>0</v>
      </c>
      <c r="O126" s="129">
        <f t="shared" si="57"/>
        <v>-8078352.6183148799</v>
      </c>
    </row>
    <row r="127" spans="1:15" x14ac:dyDescent="0.2">
      <c r="A127" s="119"/>
      <c r="B127" s="120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O127" s="129"/>
    </row>
    <row r="128" spans="1:15" s="114" customFormat="1" ht="15" x14ac:dyDescent="0.25">
      <c r="A128" s="118"/>
      <c r="B128" s="117" t="s">
        <v>93</v>
      </c>
      <c r="C128" s="128">
        <f>SUM(C126:C127)</f>
        <v>-7065504</v>
      </c>
      <c r="D128" s="128">
        <v>-667782.97</v>
      </c>
      <c r="E128" s="128">
        <v>0</v>
      </c>
      <c r="F128" s="128">
        <v>-2221218.98</v>
      </c>
      <c r="G128" s="128">
        <v>-4844285.0199999996</v>
      </c>
      <c r="H128" s="128">
        <v>31.43</v>
      </c>
      <c r="I128" s="128">
        <f t="shared" ref="I128:O128" si="58">SUM(I126:I127)</f>
        <v>0</v>
      </c>
      <c r="J128" s="128">
        <f t="shared" si="58"/>
        <v>-7065504</v>
      </c>
      <c r="K128" s="128">
        <f t="shared" si="58"/>
        <v>-7383451.6799999997</v>
      </c>
      <c r="L128" s="128">
        <f t="shared" si="58"/>
        <v>-7723090.4572799997</v>
      </c>
      <c r="M128" s="128">
        <f t="shared" si="58"/>
        <v>0</v>
      </c>
      <c r="N128" s="128">
        <f t="shared" si="58"/>
        <v>0</v>
      </c>
      <c r="O128" s="128">
        <f t="shared" si="58"/>
        <v>-8078352.6183148799</v>
      </c>
    </row>
    <row r="129" spans="1:15" s="114" customFormat="1" ht="15" x14ac:dyDescent="0.25">
      <c r="A129" s="118"/>
      <c r="B129" s="117"/>
      <c r="C129" s="128"/>
      <c r="D129" s="128"/>
      <c r="E129" s="128"/>
      <c r="F129" s="128"/>
      <c r="G129" s="128"/>
      <c r="H129" s="128"/>
      <c r="I129" s="128"/>
      <c r="J129" s="128"/>
      <c r="K129" s="128"/>
      <c r="L129" s="128"/>
      <c r="M129" s="186"/>
      <c r="N129" s="186"/>
      <c r="O129" s="128"/>
    </row>
    <row r="130" spans="1:15" s="114" customFormat="1" ht="15" x14ac:dyDescent="0.25">
      <c r="A130" s="118"/>
      <c r="B130" s="117" t="s">
        <v>94</v>
      </c>
      <c r="C130" s="128">
        <f>+C68+C80+C86+C92+C103+C109+C122+C128</f>
        <v>-59648271</v>
      </c>
      <c r="D130" s="128">
        <v>-1822723.11</v>
      </c>
      <c r="E130" s="128">
        <v>0</v>
      </c>
      <c r="F130" s="128">
        <v>-10571157.66</v>
      </c>
      <c r="G130" s="128">
        <v>-49077113.340000004</v>
      </c>
      <c r="H130" s="128">
        <v>17.72</v>
      </c>
      <c r="I130" s="128">
        <f t="shared" ref="I130:O130" ca="1" si="59">+I68+I80+I86+I92+I103+I109+I122+I128</f>
        <v>3213492.6</v>
      </c>
      <c r="J130" s="128">
        <f t="shared" si="59"/>
        <v>-50953725</v>
      </c>
      <c r="K130" s="128">
        <f t="shared" si="59"/>
        <v>-52030585.153000005</v>
      </c>
      <c r="L130" s="128">
        <f t="shared" si="59"/>
        <v>-58261280.107618004</v>
      </c>
      <c r="M130" s="128">
        <f t="shared" si="59"/>
        <v>-11055817.088854648</v>
      </c>
      <c r="N130" s="128">
        <f t="shared" si="59"/>
        <v>0</v>
      </c>
      <c r="O130" s="128">
        <f t="shared" si="59"/>
        <v>-64235485.675552756</v>
      </c>
    </row>
    <row r="131" spans="1:15" s="114" customFormat="1" ht="15" x14ac:dyDescent="0.25">
      <c r="A131" s="118"/>
      <c r="B131" s="117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86"/>
      <c r="N131" s="186"/>
      <c r="O131" s="128"/>
    </row>
    <row r="132" spans="1:15" s="114" customFormat="1" ht="15" x14ac:dyDescent="0.25">
      <c r="A132" s="118"/>
      <c r="B132" s="117" t="s">
        <v>95</v>
      </c>
      <c r="C132" s="128">
        <f>+C50+C130</f>
        <v>-260989833</v>
      </c>
      <c r="D132" s="128">
        <v>-68276281.180000007</v>
      </c>
      <c r="E132" s="128">
        <v>0</v>
      </c>
      <c r="F132" s="128">
        <v>-162458495.43000001</v>
      </c>
      <c r="G132" s="128">
        <v>-98531337.569999993</v>
      </c>
      <c r="H132" s="128">
        <v>62.24</v>
      </c>
      <c r="I132" s="128">
        <f t="shared" ref="I132:O132" ca="1" si="60">+I50+I130</f>
        <v>-1068514.3999999999</v>
      </c>
      <c r="J132" s="128">
        <f t="shared" si="60"/>
        <v>-266557636</v>
      </c>
      <c r="K132" s="128">
        <f t="shared" si="60"/>
        <v>-282493503.79800004</v>
      </c>
      <c r="L132" s="128">
        <f t="shared" si="60"/>
        <v>-287285275.563748</v>
      </c>
      <c r="M132" s="128">
        <f t="shared" si="60"/>
        <v>-249388615.07090789</v>
      </c>
      <c r="N132" s="128">
        <f t="shared" si="60"/>
        <v>0</v>
      </c>
      <c r="O132" s="128">
        <f t="shared" si="60"/>
        <v>-304596234.43776274</v>
      </c>
    </row>
    <row r="133" spans="1:15" s="114" customFormat="1" ht="15" x14ac:dyDescent="0.25">
      <c r="A133" s="118"/>
      <c r="B133" s="117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86"/>
      <c r="N133" s="186"/>
      <c r="O133" s="128"/>
    </row>
    <row r="134" spans="1:15" s="114" customFormat="1" ht="15" x14ac:dyDescent="0.25">
      <c r="A134" s="118"/>
      <c r="B134" s="117" t="s">
        <v>96</v>
      </c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86"/>
      <c r="N134" s="186"/>
      <c r="O134" s="128"/>
    </row>
    <row r="135" spans="1:15" s="114" customFormat="1" ht="15" x14ac:dyDescent="0.25">
      <c r="A135" s="118"/>
      <c r="B135" s="117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86"/>
      <c r="N135" s="186"/>
      <c r="O135" s="128"/>
    </row>
    <row r="136" spans="1:15" s="114" customFormat="1" ht="15" x14ac:dyDescent="0.25">
      <c r="A136" s="118"/>
      <c r="B136" s="117" t="s">
        <v>97</v>
      </c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86"/>
      <c r="N136" s="186"/>
      <c r="O136" s="128"/>
    </row>
    <row r="137" spans="1:15" s="114" customFormat="1" ht="15" x14ac:dyDescent="0.25">
      <c r="A137" s="118"/>
      <c r="B137" s="117"/>
      <c r="C137" s="128"/>
      <c r="D137" s="128"/>
      <c r="E137" s="128"/>
      <c r="F137" s="128"/>
      <c r="G137" s="128"/>
      <c r="H137" s="128"/>
      <c r="I137" s="128"/>
      <c r="J137" s="128"/>
      <c r="K137" s="128"/>
      <c r="L137" s="128"/>
      <c r="M137" s="186"/>
      <c r="N137" s="186"/>
      <c r="O137" s="128"/>
    </row>
    <row r="138" spans="1:15" s="114" customFormat="1" ht="15" x14ac:dyDescent="0.25">
      <c r="A138" s="118"/>
      <c r="B138" s="117" t="s">
        <v>98</v>
      </c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86"/>
      <c r="N138" s="186"/>
      <c r="O138" s="128"/>
    </row>
    <row r="139" spans="1:15" x14ac:dyDescent="0.2">
      <c r="A139" s="119"/>
      <c r="B139" s="120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O139" s="129"/>
    </row>
    <row r="140" spans="1:15" x14ac:dyDescent="0.2">
      <c r="A140" s="119">
        <v>1.0002030049999999E+19</v>
      </c>
      <c r="B140" s="120" t="s">
        <v>100</v>
      </c>
      <c r="C140" s="129">
        <v>891108</v>
      </c>
      <c r="D140" s="129">
        <v>91950.73</v>
      </c>
      <c r="E140" s="129">
        <v>0</v>
      </c>
      <c r="F140" s="129">
        <v>551704.38</v>
      </c>
      <c r="G140" s="129">
        <v>339403.62</v>
      </c>
      <c r="H140" s="129">
        <v>61.91</v>
      </c>
      <c r="I140" s="129">
        <f t="shared" ref="I140:O145" si="61">I1199</f>
        <v>0</v>
      </c>
      <c r="J140" s="129">
        <f t="shared" si="61"/>
        <v>891108</v>
      </c>
      <c r="K140" s="129">
        <f t="shared" si="61"/>
        <v>946802.25</v>
      </c>
      <c r="L140" s="129">
        <f t="shared" si="61"/>
        <v>1013078.4075</v>
      </c>
      <c r="M140" s="129">
        <f t="shared" si="61"/>
        <v>0</v>
      </c>
      <c r="N140" s="129">
        <f t="shared" si="61"/>
        <v>0</v>
      </c>
      <c r="O140" s="129">
        <f t="shared" si="61"/>
        <v>1083993.8960249999</v>
      </c>
    </row>
    <row r="141" spans="1:15" x14ac:dyDescent="0.2">
      <c r="A141" s="119">
        <v>1.000203006E+19</v>
      </c>
      <c r="B141" s="120" t="s">
        <v>101</v>
      </c>
      <c r="C141" s="129">
        <v>44555</v>
      </c>
      <c r="D141" s="129">
        <v>0</v>
      </c>
      <c r="E141" s="129">
        <v>0</v>
      </c>
      <c r="F141" s="129">
        <v>0</v>
      </c>
      <c r="G141" s="129">
        <v>44555</v>
      </c>
      <c r="H141" s="129">
        <v>0</v>
      </c>
      <c r="I141" s="129">
        <f t="shared" si="61"/>
        <v>0</v>
      </c>
      <c r="J141" s="129">
        <f t="shared" si="61"/>
        <v>44555</v>
      </c>
      <c r="K141" s="129">
        <f t="shared" si="61"/>
        <v>47339.6875</v>
      </c>
      <c r="L141" s="129">
        <f t="shared" si="61"/>
        <v>50653.465624999997</v>
      </c>
      <c r="M141" s="129">
        <f t="shared" si="61"/>
        <v>0</v>
      </c>
      <c r="N141" s="129">
        <f t="shared" si="61"/>
        <v>0</v>
      </c>
      <c r="O141" s="129">
        <f t="shared" si="61"/>
        <v>54199.208218749998</v>
      </c>
    </row>
    <row r="142" spans="1:15" x14ac:dyDescent="0.2">
      <c r="A142" s="119">
        <v>1.0002030070000001E+19</v>
      </c>
      <c r="B142" s="120" t="s">
        <v>102</v>
      </c>
      <c r="C142" s="129">
        <v>40000</v>
      </c>
      <c r="D142" s="129">
        <v>3333.33</v>
      </c>
      <c r="E142" s="129">
        <v>0</v>
      </c>
      <c r="F142" s="129">
        <v>19999.98</v>
      </c>
      <c r="G142" s="129">
        <v>20000.02</v>
      </c>
      <c r="H142" s="129">
        <v>49.99</v>
      </c>
      <c r="I142" s="129">
        <f t="shared" si="61"/>
        <v>0</v>
      </c>
      <c r="J142" s="129">
        <f t="shared" si="61"/>
        <v>40000</v>
      </c>
      <c r="K142" s="129">
        <f t="shared" si="61"/>
        <v>42500</v>
      </c>
      <c r="L142" s="129">
        <f t="shared" si="61"/>
        <v>45475</v>
      </c>
      <c r="M142" s="129">
        <f t="shared" si="61"/>
        <v>0</v>
      </c>
      <c r="N142" s="129">
        <f t="shared" si="61"/>
        <v>0</v>
      </c>
      <c r="O142" s="129">
        <f t="shared" si="61"/>
        <v>48658.25</v>
      </c>
    </row>
    <row r="143" spans="1:15" x14ac:dyDescent="0.2">
      <c r="A143" s="119">
        <v>1.0002030089999999E+19</v>
      </c>
      <c r="B143" s="120" t="s">
        <v>103</v>
      </c>
      <c r="C143" s="129">
        <v>253608</v>
      </c>
      <c r="D143" s="129">
        <v>0</v>
      </c>
      <c r="E143" s="129">
        <v>0</v>
      </c>
      <c r="F143" s="129">
        <v>0</v>
      </c>
      <c r="G143" s="129">
        <v>253608</v>
      </c>
      <c r="H143" s="129">
        <v>0</v>
      </c>
      <c r="I143" s="129">
        <f t="shared" si="61"/>
        <v>0</v>
      </c>
      <c r="J143" s="129">
        <f t="shared" si="61"/>
        <v>253608</v>
      </c>
      <c r="K143" s="129">
        <f t="shared" si="61"/>
        <v>269458.5</v>
      </c>
      <c r="L143" s="129">
        <f t="shared" si="61"/>
        <v>288320.59499999997</v>
      </c>
      <c r="M143" s="129">
        <f t="shared" si="61"/>
        <v>0</v>
      </c>
      <c r="N143" s="129">
        <f t="shared" si="61"/>
        <v>0</v>
      </c>
      <c r="O143" s="129">
        <f t="shared" si="61"/>
        <v>308503.03664999997</v>
      </c>
    </row>
    <row r="144" spans="1:15" x14ac:dyDescent="0.2">
      <c r="A144" s="119">
        <v>1.00020301E+19</v>
      </c>
      <c r="B144" s="120" t="s">
        <v>104</v>
      </c>
      <c r="C144" s="129">
        <v>31385</v>
      </c>
      <c r="D144" s="129">
        <v>0</v>
      </c>
      <c r="E144" s="129">
        <v>0</v>
      </c>
      <c r="F144" s="129">
        <v>0</v>
      </c>
      <c r="G144" s="129">
        <v>31385</v>
      </c>
      <c r="H144" s="129">
        <v>0</v>
      </c>
      <c r="I144" s="129">
        <f t="shared" si="61"/>
        <v>0</v>
      </c>
      <c r="J144" s="129">
        <f t="shared" si="61"/>
        <v>31385</v>
      </c>
      <c r="K144" s="129">
        <f t="shared" si="61"/>
        <v>33346.5625</v>
      </c>
      <c r="L144" s="129">
        <f t="shared" si="61"/>
        <v>35680.821875000001</v>
      </c>
      <c r="M144" s="129">
        <f t="shared" si="61"/>
        <v>0</v>
      </c>
      <c r="N144" s="129">
        <f t="shared" si="61"/>
        <v>0</v>
      </c>
      <c r="O144" s="129">
        <f t="shared" si="61"/>
        <v>38178.47940625</v>
      </c>
    </row>
    <row r="145" spans="1:15" x14ac:dyDescent="0.2">
      <c r="A145" s="119">
        <v>1.0002030110000001E+19</v>
      </c>
      <c r="B145" s="120" t="s">
        <v>105</v>
      </c>
      <c r="C145" s="129">
        <v>17004</v>
      </c>
      <c r="D145" s="129">
        <v>0</v>
      </c>
      <c r="E145" s="129">
        <v>0</v>
      </c>
      <c r="F145" s="129">
        <v>0</v>
      </c>
      <c r="G145" s="129">
        <v>17004</v>
      </c>
      <c r="H145" s="129">
        <v>0</v>
      </c>
      <c r="I145" s="129">
        <f t="shared" si="61"/>
        <v>0</v>
      </c>
      <c r="J145" s="129">
        <f t="shared" si="61"/>
        <v>17004</v>
      </c>
      <c r="K145" s="129">
        <f t="shared" si="61"/>
        <v>18066.75</v>
      </c>
      <c r="L145" s="129">
        <f t="shared" si="61"/>
        <v>19331.422500000001</v>
      </c>
      <c r="M145" s="129">
        <f t="shared" si="61"/>
        <v>0</v>
      </c>
      <c r="N145" s="129">
        <f t="shared" si="61"/>
        <v>0</v>
      </c>
      <c r="O145" s="129">
        <f t="shared" si="61"/>
        <v>20684.622074999999</v>
      </c>
    </row>
    <row r="146" spans="1:15" x14ac:dyDescent="0.2">
      <c r="A146" s="119"/>
      <c r="B146" s="120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O146" s="129"/>
    </row>
    <row r="147" spans="1:15" s="114" customFormat="1" ht="15" x14ac:dyDescent="0.25">
      <c r="A147" s="118"/>
      <c r="B147" s="117" t="s">
        <v>106</v>
      </c>
      <c r="C147" s="128">
        <f>SUM(C140:C146)</f>
        <v>1277660</v>
      </c>
      <c r="D147" s="128">
        <v>95284.06</v>
      </c>
      <c r="E147" s="128">
        <v>0</v>
      </c>
      <c r="F147" s="128">
        <v>571704.36</v>
      </c>
      <c r="G147" s="128">
        <v>705955.64</v>
      </c>
      <c r="H147" s="128">
        <v>44.74</v>
      </c>
      <c r="I147" s="128">
        <f t="shared" ref="I147:O147" si="62">SUM(I140:I146)</f>
        <v>0</v>
      </c>
      <c r="J147" s="128">
        <f t="shared" si="62"/>
        <v>1277660</v>
      </c>
      <c r="K147" s="128">
        <f t="shared" si="62"/>
        <v>1357513.75</v>
      </c>
      <c r="L147" s="128">
        <f t="shared" si="62"/>
        <v>1452539.7124999999</v>
      </c>
      <c r="M147" s="128">
        <f t="shared" si="62"/>
        <v>0</v>
      </c>
      <c r="N147" s="128">
        <f t="shared" si="62"/>
        <v>0</v>
      </c>
      <c r="O147" s="128">
        <f t="shared" si="62"/>
        <v>1554217.4923749999</v>
      </c>
    </row>
    <row r="148" spans="1:15" s="114" customFormat="1" ht="15" x14ac:dyDescent="0.25">
      <c r="A148" s="118"/>
      <c r="B148" s="117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86"/>
      <c r="N148" s="186"/>
      <c r="O148" s="128"/>
    </row>
    <row r="149" spans="1:15" s="114" customFormat="1" ht="15" x14ac:dyDescent="0.25">
      <c r="A149" s="118"/>
      <c r="B149" s="117" t="s">
        <v>107</v>
      </c>
      <c r="C149" s="128"/>
      <c r="D149" s="128"/>
      <c r="E149" s="128"/>
      <c r="F149" s="128"/>
      <c r="G149" s="128"/>
      <c r="H149" s="128"/>
      <c r="I149" s="128"/>
      <c r="J149" s="128"/>
      <c r="K149" s="128"/>
      <c r="L149" s="128"/>
      <c r="M149" s="186"/>
      <c r="N149" s="186"/>
      <c r="O149" s="128"/>
    </row>
    <row r="150" spans="1:15" x14ac:dyDescent="0.2">
      <c r="A150" s="119"/>
      <c r="B150" s="120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O150" s="129"/>
    </row>
    <row r="151" spans="1:15" x14ac:dyDescent="0.2">
      <c r="A151" s="119">
        <v>1.0002030449999999E+19</v>
      </c>
      <c r="B151" s="120" t="s">
        <v>108</v>
      </c>
      <c r="C151" s="129">
        <v>601072</v>
      </c>
      <c r="D151" s="129">
        <v>65133.61</v>
      </c>
      <c r="E151" s="129">
        <v>0</v>
      </c>
      <c r="F151" s="129">
        <v>390801.66</v>
      </c>
      <c r="G151" s="129">
        <v>210270.34</v>
      </c>
      <c r="H151" s="129">
        <v>65.010000000000005</v>
      </c>
      <c r="I151" s="129">
        <f t="shared" ref="I151:O156" si="63">I1949</f>
        <v>0</v>
      </c>
      <c r="J151" s="129">
        <f t="shared" si="63"/>
        <v>601072</v>
      </c>
      <c r="K151" s="129">
        <f t="shared" si="63"/>
        <v>638639</v>
      </c>
      <c r="L151" s="129">
        <f t="shared" si="63"/>
        <v>683343.73</v>
      </c>
      <c r="M151" s="129">
        <f t="shared" si="63"/>
        <v>731177.79110000003</v>
      </c>
      <c r="N151" s="129">
        <f t="shared" si="63"/>
        <v>0</v>
      </c>
      <c r="O151" s="129">
        <f t="shared" si="63"/>
        <v>731177.79110000003</v>
      </c>
    </row>
    <row r="152" spans="1:15" x14ac:dyDescent="0.2">
      <c r="A152" s="119">
        <v>1.000203046E+19</v>
      </c>
      <c r="B152" s="120" t="s">
        <v>109</v>
      </c>
      <c r="C152" s="129">
        <v>30054</v>
      </c>
      <c r="D152" s="129">
        <v>0</v>
      </c>
      <c r="E152" s="129">
        <v>0</v>
      </c>
      <c r="F152" s="129">
        <v>0</v>
      </c>
      <c r="G152" s="129">
        <v>30054</v>
      </c>
      <c r="H152" s="129">
        <v>0</v>
      </c>
      <c r="I152" s="129">
        <f t="shared" si="63"/>
        <v>0</v>
      </c>
      <c r="J152" s="129">
        <f t="shared" si="63"/>
        <v>30054</v>
      </c>
      <c r="K152" s="129">
        <f t="shared" si="63"/>
        <v>31932.375</v>
      </c>
      <c r="L152" s="129">
        <f t="shared" si="63"/>
        <v>34167.641250000001</v>
      </c>
      <c r="M152" s="129">
        <f t="shared" si="63"/>
        <v>36559.376137500003</v>
      </c>
      <c r="N152" s="129">
        <f t="shared" si="63"/>
        <v>0</v>
      </c>
      <c r="O152" s="129">
        <f t="shared" si="63"/>
        <v>36559.376137500003</v>
      </c>
    </row>
    <row r="153" spans="1:15" x14ac:dyDescent="0.2">
      <c r="A153" s="119">
        <v>1.0002030470000001E+19</v>
      </c>
      <c r="B153" s="120" t="s">
        <v>110</v>
      </c>
      <c r="C153" s="129">
        <v>40000</v>
      </c>
      <c r="D153" s="129">
        <v>3333.33</v>
      </c>
      <c r="E153" s="129">
        <v>0</v>
      </c>
      <c r="F153" s="129">
        <v>19999.98</v>
      </c>
      <c r="G153" s="129">
        <v>20000.02</v>
      </c>
      <c r="H153" s="129">
        <v>49.99</v>
      </c>
      <c r="I153" s="129">
        <f t="shared" si="63"/>
        <v>0</v>
      </c>
      <c r="J153" s="129">
        <f t="shared" si="63"/>
        <v>40000</v>
      </c>
      <c r="K153" s="129">
        <f t="shared" si="63"/>
        <v>42500</v>
      </c>
      <c r="L153" s="129">
        <f t="shared" si="63"/>
        <v>45475</v>
      </c>
      <c r="M153" s="129">
        <f t="shared" si="63"/>
        <v>48658.25</v>
      </c>
      <c r="N153" s="129">
        <f t="shared" si="63"/>
        <v>0</v>
      </c>
      <c r="O153" s="129">
        <f t="shared" si="63"/>
        <v>48658.25</v>
      </c>
    </row>
    <row r="154" spans="1:15" x14ac:dyDescent="0.2">
      <c r="A154" s="119">
        <v>1.00020305E+19</v>
      </c>
      <c r="B154" s="120" t="s">
        <v>111</v>
      </c>
      <c r="C154" s="129">
        <v>205628</v>
      </c>
      <c r="D154" s="129">
        <v>0</v>
      </c>
      <c r="E154" s="129">
        <v>0</v>
      </c>
      <c r="F154" s="129">
        <v>0</v>
      </c>
      <c r="G154" s="129">
        <v>205628</v>
      </c>
      <c r="H154" s="129">
        <v>0</v>
      </c>
      <c r="I154" s="129">
        <f t="shared" si="63"/>
        <v>0</v>
      </c>
      <c r="J154" s="129">
        <f t="shared" si="63"/>
        <v>205628</v>
      </c>
      <c r="K154" s="129">
        <f t="shared" si="63"/>
        <v>218479.75</v>
      </c>
      <c r="L154" s="129">
        <f t="shared" si="63"/>
        <v>233773.33249999999</v>
      </c>
      <c r="M154" s="129">
        <f t="shared" si="63"/>
        <v>250137.46577499999</v>
      </c>
      <c r="N154" s="129">
        <f t="shared" si="63"/>
        <v>0</v>
      </c>
      <c r="O154" s="129">
        <f t="shared" si="63"/>
        <v>250137.46577499999</v>
      </c>
    </row>
    <row r="155" spans="1:15" x14ac:dyDescent="0.2">
      <c r="A155" s="119">
        <v>1.0002030510000001E+19</v>
      </c>
      <c r="B155" s="120" t="s">
        <v>112</v>
      </c>
      <c r="C155" s="129">
        <v>17000</v>
      </c>
      <c r="D155" s="129">
        <v>0</v>
      </c>
      <c r="E155" s="129">
        <v>0</v>
      </c>
      <c r="F155" s="129">
        <v>0</v>
      </c>
      <c r="G155" s="129">
        <v>17000</v>
      </c>
      <c r="H155" s="129">
        <v>0</v>
      </c>
      <c r="I155" s="129">
        <f t="shared" si="63"/>
        <v>0</v>
      </c>
      <c r="J155" s="129">
        <f t="shared" si="63"/>
        <v>17000</v>
      </c>
      <c r="K155" s="129">
        <f t="shared" si="63"/>
        <v>18062.5</v>
      </c>
      <c r="L155" s="129">
        <f t="shared" si="63"/>
        <v>19326.875</v>
      </c>
      <c r="M155" s="129">
        <f t="shared" si="63"/>
        <v>20679.756249999999</v>
      </c>
      <c r="N155" s="129">
        <f t="shared" si="63"/>
        <v>0</v>
      </c>
      <c r="O155" s="129">
        <f t="shared" si="63"/>
        <v>20679.756249999999</v>
      </c>
    </row>
    <row r="156" spans="1:15" x14ac:dyDescent="0.2">
      <c r="A156" s="119">
        <v>1.000203058E+19</v>
      </c>
      <c r="B156" s="120" t="s">
        <v>113</v>
      </c>
      <c r="C156" s="129">
        <v>18580</v>
      </c>
      <c r="D156" s="129">
        <v>0</v>
      </c>
      <c r="E156" s="129">
        <v>0</v>
      </c>
      <c r="F156" s="129">
        <v>0</v>
      </c>
      <c r="G156" s="129">
        <v>18580</v>
      </c>
      <c r="H156" s="129">
        <v>0</v>
      </c>
      <c r="I156" s="129">
        <f t="shared" si="63"/>
        <v>-18580</v>
      </c>
      <c r="J156" s="129">
        <f t="shared" si="63"/>
        <v>0</v>
      </c>
      <c r="K156" s="129">
        <f t="shared" si="63"/>
        <v>0</v>
      </c>
      <c r="L156" s="129">
        <f t="shared" si="63"/>
        <v>0</v>
      </c>
      <c r="M156" s="129">
        <f t="shared" si="63"/>
        <v>0</v>
      </c>
      <c r="N156" s="129">
        <f t="shared" si="63"/>
        <v>0</v>
      </c>
      <c r="O156" s="129">
        <f t="shared" si="63"/>
        <v>0</v>
      </c>
    </row>
    <row r="157" spans="1:15" x14ac:dyDescent="0.2">
      <c r="A157" s="119"/>
      <c r="B157" s="120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O157" s="129"/>
    </row>
    <row r="158" spans="1:15" s="114" customFormat="1" ht="15" x14ac:dyDescent="0.25">
      <c r="A158" s="118"/>
      <c r="B158" s="117" t="s">
        <v>114</v>
      </c>
      <c r="C158" s="128">
        <f>SUM(C151:C157)</f>
        <v>912334</v>
      </c>
      <c r="D158" s="128">
        <v>68466.94</v>
      </c>
      <c r="E158" s="128">
        <v>0</v>
      </c>
      <c r="F158" s="128">
        <v>410801.64</v>
      </c>
      <c r="G158" s="128">
        <v>501532.36</v>
      </c>
      <c r="H158" s="128">
        <v>45.02</v>
      </c>
      <c r="I158" s="128">
        <f t="shared" ref="I158:O158" si="64">SUM(I151:I157)</f>
        <v>-18580</v>
      </c>
      <c r="J158" s="128">
        <f t="shared" si="64"/>
        <v>893754</v>
      </c>
      <c r="K158" s="128">
        <f t="shared" si="64"/>
        <v>949613.625</v>
      </c>
      <c r="L158" s="128">
        <f t="shared" si="64"/>
        <v>1016086.57875</v>
      </c>
      <c r="M158" s="128">
        <f t="shared" si="64"/>
        <v>1087212.6392625002</v>
      </c>
      <c r="N158" s="128">
        <f t="shared" si="64"/>
        <v>0</v>
      </c>
      <c r="O158" s="128">
        <f t="shared" si="64"/>
        <v>1087212.6392625002</v>
      </c>
    </row>
    <row r="159" spans="1:15" s="114" customFormat="1" ht="15" x14ac:dyDescent="0.25">
      <c r="A159" s="118"/>
      <c r="B159" s="117"/>
      <c r="C159" s="128"/>
      <c r="D159" s="128"/>
      <c r="E159" s="128"/>
      <c r="F159" s="128"/>
      <c r="G159" s="128"/>
      <c r="H159" s="128"/>
      <c r="I159" s="128"/>
      <c r="J159" s="128"/>
      <c r="K159" s="128"/>
      <c r="L159" s="128"/>
      <c r="M159" s="186"/>
      <c r="N159" s="186"/>
      <c r="O159" s="128"/>
    </row>
    <row r="160" spans="1:15" s="114" customFormat="1" ht="15" x14ac:dyDescent="0.25">
      <c r="A160" s="118"/>
      <c r="B160" s="117" t="s">
        <v>115</v>
      </c>
      <c r="C160" s="128"/>
      <c r="D160" s="128"/>
      <c r="E160" s="128"/>
      <c r="F160" s="128"/>
      <c r="G160" s="128"/>
      <c r="H160" s="128"/>
      <c r="I160" s="128"/>
      <c r="J160" s="128"/>
      <c r="K160" s="128"/>
      <c r="L160" s="128"/>
      <c r="M160" s="186"/>
      <c r="N160" s="186"/>
      <c r="O160" s="128"/>
    </row>
    <row r="161" spans="1:15" x14ac:dyDescent="0.2">
      <c r="A161" s="119"/>
      <c r="B161" s="120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O161" s="129"/>
    </row>
    <row r="162" spans="1:15" x14ac:dyDescent="0.2">
      <c r="A162" s="119">
        <v>1.0002030849999999E+19</v>
      </c>
      <c r="B162" s="120" t="s">
        <v>116</v>
      </c>
      <c r="C162" s="129">
        <v>745888</v>
      </c>
      <c r="D162" s="129">
        <v>71806.25</v>
      </c>
      <c r="E162" s="129">
        <v>0</v>
      </c>
      <c r="F162" s="129">
        <v>430837.5</v>
      </c>
      <c r="G162" s="129">
        <v>315050.5</v>
      </c>
      <c r="H162" s="129">
        <v>57.76</v>
      </c>
      <c r="I162" s="129">
        <f t="shared" ref="I162:O167" si="65">I503</f>
        <v>0</v>
      </c>
      <c r="J162" s="129">
        <f t="shared" si="65"/>
        <v>745888</v>
      </c>
      <c r="K162" s="129">
        <f t="shared" si="65"/>
        <v>792506</v>
      </c>
      <c r="L162" s="129">
        <f t="shared" si="65"/>
        <v>847981.42</v>
      </c>
      <c r="M162" s="129">
        <f t="shared" si="65"/>
        <v>907340.11940000008</v>
      </c>
      <c r="N162" s="129">
        <f t="shared" si="65"/>
        <v>0</v>
      </c>
      <c r="O162" s="129">
        <f t="shared" si="65"/>
        <v>907340.11940000008</v>
      </c>
    </row>
    <row r="163" spans="1:15" x14ac:dyDescent="0.2">
      <c r="A163" s="119">
        <v>1.000203086E+19</v>
      </c>
      <c r="B163" s="120" t="s">
        <v>117</v>
      </c>
      <c r="C163" s="129">
        <v>37294</v>
      </c>
      <c r="D163" s="129">
        <v>0</v>
      </c>
      <c r="E163" s="129">
        <v>0</v>
      </c>
      <c r="F163" s="129">
        <v>0</v>
      </c>
      <c r="G163" s="129">
        <v>37294</v>
      </c>
      <c r="H163" s="129">
        <v>0</v>
      </c>
      <c r="I163" s="129">
        <f t="shared" si="65"/>
        <v>0</v>
      </c>
      <c r="J163" s="129">
        <f t="shared" si="65"/>
        <v>37294</v>
      </c>
      <c r="K163" s="129">
        <f t="shared" si="65"/>
        <v>39624.875</v>
      </c>
      <c r="L163" s="129">
        <f t="shared" si="65"/>
        <v>42398.616249999999</v>
      </c>
      <c r="M163" s="129">
        <f t="shared" si="65"/>
        <v>45366.519387499997</v>
      </c>
      <c r="N163" s="129">
        <f t="shared" si="65"/>
        <v>0</v>
      </c>
      <c r="O163" s="129">
        <f t="shared" si="65"/>
        <v>45366.519387499997</v>
      </c>
    </row>
    <row r="164" spans="1:15" x14ac:dyDescent="0.2">
      <c r="A164" s="119">
        <v>1.0002030870000001E+19</v>
      </c>
      <c r="B164" s="120" t="s">
        <v>118</v>
      </c>
      <c r="C164" s="129">
        <v>40000</v>
      </c>
      <c r="D164" s="129">
        <v>3333.33</v>
      </c>
      <c r="E164" s="129">
        <v>0</v>
      </c>
      <c r="F164" s="129">
        <v>19999.98</v>
      </c>
      <c r="G164" s="129">
        <v>20000.02</v>
      </c>
      <c r="H164" s="129">
        <v>49.99</v>
      </c>
      <c r="I164" s="129">
        <f t="shared" si="65"/>
        <v>0</v>
      </c>
      <c r="J164" s="129">
        <f t="shared" si="65"/>
        <v>40000</v>
      </c>
      <c r="K164" s="129">
        <f t="shared" si="65"/>
        <v>42500</v>
      </c>
      <c r="L164" s="129">
        <f t="shared" si="65"/>
        <v>45475</v>
      </c>
      <c r="M164" s="129">
        <f t="shared" si="65"/>
        <v>48658.25</v>
      </c>
      <c r="N164" s="129">
        <f t="shared" si="65"/>
        <v>0</v>
      </c>
      <c r="O164" s="129">
        <f t="shared" si="65"/>
        <v>48658.25</v>
      </c>
    </row>
    <row r="165" spans="1:15" x14ac:dyDescent="0.2">
      <c r="A165" s="119">
        <v>1.0002030889999999E+19</v>
      </c>
      <c r="B165" s="120" t="s">
        <v>119</v>
      </c>
      <c r="C165" s="129">
        <v>147584</v>
      </c>
      <c r="D165" s="129">
        <v>0</v>
      </c>
      <c r="E165" s="129">
        <v>0</v>
      </c>
      <c r="F165" s="129">
        <v>0</v>
      </c>
      <c r="G165" s="129">
        <v>147584</v>
      </c>
      <c r="H165" s="129">
        <v>0</v>
      </c>
      <c r="I165" s="129">
        <f t="shared" si="65"/>
        <v>0</v>
      </c>
      <c r="J165" s="129">
        <f t="shared" si="65"/>
        <v>147584</v>
      </c>
      <c r="K165" s="129">
        <f t="shared" si="65"/>
        <v>156808</v>
      </c>
      <c r="L165" s="129">
        <f t="shared" si="65"/>
        <v>167784.56</v>
      </c>
      <c r="M165" s="129">
        <f t="shared" si="65"/>
        <v>179529.4792</v>
      </c>
      <c r="N165" s="129">
        <f t="shared" si="65"/>
        <v>0</v>
      </c>
      <c r="O165" s="129">
        <f t="shared" si="65"/>
        <v>179529.4792</v>
      </c>
    </row>
    <row r="166" spans="1:15" x14ac:dyDescent="0.2">
      <c r="A166" s="119">
        <v>1.0002030910000001E+19</v>
      </c>
      <c r="B166" s="120" t="s">
        <v>120</v>
      </c>
      <c r="C166" s="129">
        <v>15692</v>
      </c>
      <c r="D166" s="129">
        <v>0</v>
      </c>
      <c r="E166" s="129">
        <v>0</v>
      </c>
      <c r="F166" s="129">
        <v>0</v>
      </c>
      <c r="G166" s="129">
        <v>15692</v>
      </c>
      <c r="H166" s="129">
        <v>0</v>
      </c>
      <c r="I166" s="129">
        <f t="shared" si="65"/>
        <v>0</v>
      </c>
      <c r="J166" s="129">
        <f t="shared" si="65"/>
        <v>15692</v>
      </c>
      <c r="K166" s="129">
        <f t="shared" si="65"/>
        <v>16672.75</v>
      </c>
      <c r="L166" s="129">
        <f t="shared" si="65"/>
        <v>17839.842499999999</v>
      </c>
      <c r="M166" s="129">
        <f t="shared" si="65"/>
        <v>19088.631474999998</v>
      </c>
      <c r="N166" s="129">
        <f t="shared" si="65"/>
        <v>0</v>
      </c>
      <c r="O166" s="129">
        <f t="shared" si="65"/>
        <v>19088.631474999998</v>
      </c>
    </row>
    <row r="167" spans="1:15" x14ac:dyDescent="0.2">
      <c r="A167" s="119">
        <v>1.000203098E+19</v>
      </c>
      <c r="B167" s="120" t="s">
        <v>121</v>
      </c>
      <c r="C167" s="129">
        <v>20876</v>
      </c>
      <c r="D167" s="129">
        <v>0</v>
      </c>
      <c r="E167" s="129">
        <v>0</v>
      </c>
      <c r="F167" s="129">
        <v>0</v>
      </c>
      <c r="G167" s="129">
        <v>20876</v>
      </c>
      <c r="H167" s="129">
        <v>0</v>
      </c>
      <c r="I167" s="129">
        <f t="shared" si="65"/>
        <v>-20876</v>
      </c>
      <c r="J167" s="129">
        <f t="shared" si="65"/>
        <v>0</v>
      </c>
      <c r="K167" s="129">
        <f t="shared" si="65"/>
        <v>0</v>
      </c>
      <c r="L167" s="129">
        <f t="shared" si="65"/>
        <v>0</v>
      </c>
      <c r="M167" s="129">
        <f t="shared" si="65"/>
        <v>0</v>
      </c>
      <c r="N167" s="129">
        <f t="shared" si="65"/>
        <v>0</v>
      </c>
      <c r="O167" s="129">
        <f t="shared" si="65"/>
        <v>0</v>
      </c>
    </row>
    <row r="168" spans="1:15" x14ac:dyDescent="0.2">
      <c r="A168" s="119"/>
      <c r="B168" s="120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O168" s="129"/>
    </row>
    <row r="169" spans="1:15" s="114" customFormat="1" ht="15" x14ac:dyDescent="0.25">
      <c r="A169" s="118"/>
      <c r="B169" s="117" t="s">
        <v>122</v>
      </c>
      <c r="C169" s="128">
        <f>SUM(C162:C168)</f>
        <v>1007334</v>
      </c>
      <c r="D169" s="128">
        <v>75139.58</v>
      </c>
      <c r="E169" s="128">
        <v>0</v>
      </c>
      <c r="F169" s="128">
        <v>450837.48</v>
      </c>
      <c r="G169" s="128">
        <v>556496.52</v>
      </c>
      <c r="H169" s="128">
        <v>44.75</v>
      </c>
      <c r="I169" s="128">
        <f t="shared" ref="I169:O169" si="66">SUM(I162:I168)</f>
        <v>-20876</v>
      </c>
      <c r="J169" s="128">
        <f t="shared" si="66"/>
        <v>986458</v>
      </c>
      <c r="K169" s="128">
        <f t="shared" si="66"/>
        <v>1048111.625</v>
      </c>
      <c r="L169" s="128">
        <f t="shared" si="66"/>
        <v>1121479.43875</v>
      </c>
      <c r="M169" s="128">
        <f t="shared" si="66"/>
        <v>1199982.9994625</v>
      </c>
      <c r="N169" s="128">
        <f t="shared" si="66"/>
        <v>0</v>
      </c>
      <c r="O169" s="128">
        <f t="shared" si="66"/>
        <v>1199982.9994625</v>
      </c>
    </row>
    <row r="170" spans="1:15" s="114" customFormat="1" ht="15" x14ac:dyDescent="0.25">
      <c r="A170" s="118"/>
      <c r="B170" s="117"/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86"/>
      <c r="N170" s="186"/>
      <c r="O170" s="128"/>
    </row>
    <row r="171" spans="1:15" s="114" customFormat="1" ht="15" x14ac:dyDescent="0.25">
      <c r="A171" s="118"/>
      <c r="B171" s="117" t="s">
        <v>123</v>
      </c>
      <c r="C171" s="128"/>
      <c r="D171" s="128"/>
      <c r="E171" s="128"/>
      <c r="F171" s="128"/>
      <c r="G171" s="128"/>
      <c r="H171" s="128"/>
      <c r="I171" s="128"/>
      <c r="J171" s="128"/>
      <c r="K171" s="128"/>
      <c r="L171" s="128"/>
      <c r="M171" s="186"/>
      <c r="N171" s="186"/>
      <c r="O171" s="128"/>
    </row>
    <row r="172" spans="1:15" x14ac:dyDescent="0.2">
      <c r="A172" s="119"/>
      <c r="B172" s="120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O172" s="129"/>
    </row>
    <row r="173" spans="1:15" x14ac:dyDescent="0.2">
      <c r="A173" s="119">
        <v>1.0002031249999999E+19</v>
      </c>
      <c r="B173" s="120" t="s">
        <v>124</v>
      </c>
      <c r="C173" s="129">
        <v>928990</v>
      </c>
      <c r="D173" s="129">
        <v>0</v>
      </c>
      <c r="E173" s="129">
        <v>0</v>
      </c>
      <c r="F173" s="129">
        <v>0</v>
      </c>
      <c r="G173" s="129">
        <v>928990</v>
      </c>
      <c r="H173" s="129">
        <v>0</v>
      </c>
      <c r="I173" s="129">
        <f t="shared" ref="I173:O177" si="67">I902</f>
        <v>-464495</v>
      </c>
      <c r="J173" s="129">
        <f t="shared" si="67"/>
        <v>464495</v>
      </c>
      <c r="K173" s="129">
        <f t="shared" si="67"/>
        <v>493525.9375</v>
      </c>
      <c r="L173" s="129">
        <f t="shared" si="67"/>
        <v>528072.75312500005</v>
      </c>
      <c r="M173" s="129">
        <f t="shared" si="67"/>
        <v>0</v>
      </c>
      <c r="N173" s="129">
        <f t="shared" si="67"/>
        <v>0</v>
      </c>
      <c r="O173" s="129">
        <f t="shared" si="67"/>
        <v>565037.84584375005</v>
      </c>
    </row>
    <row r="174" spans="1:15" x14ac:dyDescent="0.2">
      <c r="A174" s="119">
        <v>1.000203126E+19</v>
      </c>
      <c r="B174" s="120" t="s">
        <v>125</v>
      </c>
      <c r="C174" s="129">
        <v>46450</v>
      </c>
      <c r="D174" s="129">
        <v>0</v>
      </c>
      <c r="E174" s="129">
        <v>0</v>
      </c>
      <c r="F174" s="129">
        <v>0</v>
      </c>
      <c r="G174" s="129">
        <v>46450</v>
      </c>
      <c r="H174" s="129">
        <v>0</v>
      </c>
      <c r="I174" s="129">
        <f t="shared" si="67"/>
        <v>-23225</v>
      </c>
      <c r="J174" s="129">
        <f t="shared" si="67"/>
        <v>23225</v>
      </c>
      <c r="K174" s="129">
        <f t="shared" si="67"/>
        <v>24676.5625</v>
      </c>
      <c r="L174" s="129">
        <f t="shared" si="67"/>
        <v>26403.921875</v>
      </c>
      <c r="M174" s="129">
        <f t="shared" si="67"/>
        <v>0</v>
      </c>
      <c r="N174" s="129">
        <f t="shared" si="67"/>
        <v>0</v>
      </c>
      <c r="O174" s="129">
        <f t="shared" si="67"/>
        <v>28252.196406250001</v>
      </c>
    </row>
    <row r="175" spans="1:15" x14ac:dyDescent="0.2">
      <c r="A175" s="119">
        <v>1.0002031270000001E+19</v>
      </c>
      <c r="B175" s="120" t="s">
        <v>126</v>
      </c>
      <c r="C175" s="129">
        <v>40000</v>
      </c>
      <c r="D175" s="129">
        <v>0</v>
      </c>
      <c r="E175" s="129">
        <v>0</v>
      </c>
      <c r="F175" s="129">
        <v>0</v>
      </c>
      <c r="G175" s="129">
        <v>40000</v>
      </c>
      <c r="H175" s="129">
        <v>0</v>
      </c>
      <c r="I175" s="129">
        <f t="shared" si="67"/>
        <v>-20000</v>
      </c>
      <c r="J175" s="129">
        <f t="shared" si="67"/>
        <v>20000</v>
      </c>
      <c r="K175" s="129">
        <f t="shared" si="67"/>
        <v>21250</v>
      </c>
      <c r="L175" s="129">
        <f t="shared" si="67"/>
        <v>22737.5</v>
      </c>
      <c r="M175" s="129">
        <f t="shared" si="67"/>
        <v>0</v>
      </c>
      <c r="N175" s="129">
        <f t="shared" si="67"/>
        <v>0</v>
      </c>
      <c r="O175" s="129">
        <f t="shared" si="67"/>
        <v>24329.125</v>
      </c>
    </row>
    <row r="176" spans="1:15" x14ac:dyDescent="0.2">
      <c r="A176" s="119">
        <v>1.0002031310000001E+19</v>
      </c>
      <c r="B176" s="120" t="s">
        <v>127</v>
      </c>
      <c r="C176" s="129">
        <v>17000</v>
      </c>
      <c r="D176" s="129">
        <v>0</v>
      </c>
      <c r="E176" s="129">
        <v>0</v>
      </c>
      <c r="F176" s="129">
        <v>0</v>
      </c>
      <c r="G176" s="129">
        <v>17000</v>
      </c>
      <c r="H176" s="129">
        <v>0</v>
      </c>
      <c r="I176" s="129">
        <f t="shared" si="67"/>
        <v>-8500</v>
      </c>
      <c r="J176" s="129">
        <f t="shared" si="67"/>
        <v>8500</v>
      </c>
      <c r="K176" s="129">
        <f t="shared" si="67"/>
        <v>9031.25</v>
      </c>
      <c r="L176" s="129">
        <f t="shared" si="67"/>
        <v>9663.4375</v>
      </c>
      <c r="M176" s="129">
        <f t="shared" si="67"/>
        <v>0</v>
      </c>
      <c r="N176" s="129">
        <f t="shared" si="67"/>
        <v>0</v>
      </c>
      <c r="O176" s="129">
        <f t="shared" si="67"/>
        <v>10339.878124999999</v>
      </c>
    </row>
    <row r="177" spans="1:15" x14ac:dyDescent="0.2">
      <c r="A177" s="119">
        <v>1.000203138E+19</v>
      </c>
      <c r="B177" s="120" t="s">
        <v>128</v>
      </c>
      <c r="C177" s="129">
        <v>18580</v>
      </c>
      <c r="D177" s="129">
        <v>0</v>
      </c>
      <c r="E177" s="129">
        <v>0</v>
      </c>
      <c r="F177" s="129">
        <v>0</v>
      </c>
      <c r="G177" s="129">
        <v>18580</v>
      </c>
      <c r="H177" s="129">
        <v>0</v>
      </c>
      <c r="I177" s="129">
        <f t="shared" si="67"/>
        <v>-18580</v>
      </c>
      <c r="J177" s="129">
        <f t="shared" si="67"/>
        <v>0</v>
      </c>
      <c r="K177" s="129">
        <f t="shared" si="67"/>
        <v>0</v>
      </c>
      <c r="L177" s="129">
        <f t="shared" si="67"/>
        <v>0</v>
      </c>
      <c r="M177" s="129">
        <f t="shared" si="67"/>
        <v>0</v>
      </c>
      <c r="N177" s="129">
        <f t="shared" si="67"/>
        <v>0</v>
      </c>
      <c r="O177" s="129">
        <f t="shared" si="67"/>
        <v>0</v>
      </c>
    </row>
    <row r="178" spans="1:15" x14ac:dyDescent="0.2">
      <c r="A178" s="119"/>
      <c r="B178" s="120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O178" s="129"/>
    </row>
    <row r="179" spans="1:15" s="114" customFormat="1" ht="15" x14ac:dyDescent="0.25">
      <c r="A179" s="118"/>
      <c r="B179" s="117" t="s">
        <v>129</v>
      </c>
      <c r="C179" s="128">
        <f>SUM(C173:C178)</f>
        <v>1051020</v>
      </c>
      <c r="D179" s="128">
        <v>0</v>
      </c>
      <c r="E179" s="128">
        <v>0</v>
      </c>
      <c r="F179" s="128">
        <v>0</v>
      </c>
      <c r="G179" s="128">
        <v>1051020</v>
      </c>
      <c r="H179" s="128">
        <v>0</v>
      </c>
      <c r="I179" s="128">
        <f t="shared" ref="I179:O179" si="68">SUM(I173:I178)</f>
        <v>-534800</v>
      </c>
      <c r="J179" s="128">
        <f t="shared" si="68"/>
        <v>516220</v>
      </c>
      <c r="K179" s="128">
        <f t="shared" si="68"/>
        <v>548483.75</v>
      </c>
      <c r="L179" s="128">
        <f t="shared" si="68"/>
        <v>586877.61250000005</v>
      </c>
      <c r="M179" s="128">
        <f t="shared" si="68"/>
        <v>0</v>
      </c>
      <c r="N179" s="128">
        <f t="shared" si="68"/>
        <v>0</v>
      </c>
      <c r="O179" s="128">
        <f t="shared" si="68"/>
        <v>627959.0453750001</v>
      </c>
    </row>
    <row r="180" spans="1:15" s="114" customFormat="1" ht="15" x14ac:dyDescent="0.25">
      <c r="A180" s="118"/>
      <c r="B180" s="117"/>
      <c r="C180" s="128"/>
      <c r="D180" s="128"/>
      <c r="E180" s="128"/>
      <c r="F180" s="128"/>
      <c r="G180" s="128"/>
      <c r="H180" s="128"/>
      <c r="I180" s="128"/>
      <c r="J180" s="128"/>
      <c r="K180" s="128"/>
      <c r="L180" s="128"/>
      <c r="M180" s="186"/>
      <c r="N180" s="186"/>
      <c r="O180" s="128"/>
    </row>
    <row r="181" spans="1:15" s="114" customFormat="1" ht="15" x14ac:dyDescent="0.25">
      <c r="A181" s="118"/>
      <c r="B181" s="117" t="s">
        <v>130</v>
      </c>
      <c r="C181" s="128"/>
      <c r="D181" s="128"/>
      <c r="E181" s="128"/>
      <c r="F181" s="128"/>
      <c r="G181" s="128"/>
      <c r="H181" s="128"/>
      <c r="I181" s="128"/>
      <c r="J181" s="128"/>
      <c r="K181" s="128"/>
      <c r="L181" s="128"/>
      <c r="M181" s="186"/>
      <c r="N181" s="186"/>
      <c r="O181" s="128"/>
    </row>
    <row r="182" spans="1:15" x14ac:dyDescent="0.2">
      <c r="A182" s="119"/>
      <c r="B182" s="120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O182" s="129"/>
    </row>
    <row r="183" spans="1:15" x14ac:dyDescent="0.2">
      <c r="A183" s="119">
        <v>1.0002031649999999E+19</v>
      </c>
      <c r="B183" s="120" t="s">
        <v>131</v>
      </c>
      <c r="C183" s="129">
        <v>651161</v>
      </c>
      <c r="D183" s="129">
        <v>69034.649999999994</v>
      </c>
      <c r="E183" s="129">
        <v>0</v>
      </c>
      <c r="F183" s="129">
        <v>414207.9</v>
      </c>
      <c r="G183" s="129">
        <v>236953.1</v>
      </c>
      <c r="H183" s="129">
        <v>63.61</v>
      </c>
      <c r="I183" s="129">
        <f t="shared" ref="I183:O188" si="69">I2964</f>
        <v>0</v>
      </c>
      <c r="J183" s="129">
        <f t="shared" si="69"/>
        <v>651161</v>
      </c>
      <c r="K183" s="129">
        <f t="shared" si="69"/>
        <v>691858.5625</v>
      </c>
      <c r="L183" s="129">
        <f t="shared" si="69"/>
        <v>740288.66187499999</v>
      </c>
      <c r="M183" s="129">
        <f t="shared" si="69"/>
        <v>0</v>
      </c>
      <c r="N183" s="129">
        <f t="shared" si="69"/>
        <v>0</v>
      </c>
      <c r="O183" s="129">
        <f t="shared" si="69"/>
        <v>792108.86820625002</v>
      </c>
    </row>
    <row r="184" spans="1:15" x14ac:dyDescent="0.2">
      <c r="A184" s="119">
        <v>1.000203166E+19</v>
      </c>
      <c r="B184" s="120" t="s">
        <v>132</v>
      </c>
      <c r="C184" s="129">
        <v>32558</v>
      </c>
      <c r="D184" s="129">
        <v>0</v>
      </c>
      <c r="E184" s="129">
        <v>0</v>
      </c>
      <c r="F184" s="129">
        <v>0</v>
      </c>
      <c r="G184" s="129">
        <v>32558</v>
      </c>
      <c r="H184" s="129">
        <v>0</v>
      </c>
      <c r="I184" s="129">
        <f t="shared" si="69"/>
        <v>0</v>
      </c>
      <c r="J184" s="129">
        <f t="shared" si="69"/>
        <v>32558</v>
      </c>
      <c r="K184" s="129">
        <f t="shared" si="69"/>
        <v>34592.875</v>
      </c>
      <c r="L184" s="129">
        <f t="shared" si="69"/>
        <v>37014.376250000001</v>
      </c>
      <c r="M184" s="129">
        <f t="shared" si="69"/>
        <v>0</v>
      </c>
      <c r="N184" s="129">
        <f t="shared" si="69"/>
        <v>0</v>
      </c>
      <c r="O184" s="129">
        <f t="shared" si="69"/>
        <v>39605.382587500004</v>
      </c>
    </row>
    <row r="185" spans="1:15" x14ac:dyDescent="0.2">
      <c r="A185" s="119">
        <v>1.0002031670000001E+19</v>
      </c>
      <c r="B185" s="120" t="s">
        <v>133</v>
      </c>
      <c r="C185" s="129">
        <v>40000</v>
      </c>
      <c r="D185" s="129">
        <v>3333.33</v>
      </c>
      <c r="E185" s="129">
        <v>0</v>
      </c>
      <c r="F185" s="129">
        <v>19999.98</v>
      </c>
      <c r="G185" s="129">
        <v>20000.02</v>
      </c>
      <c r="H185" s="129">
        <v>49.99</v>
      </c>
      <c r="I185" s="129">
        <f t="shared" si="69"/>
        <v>0</v>
      </c>
      <c r="J185" s="129">
        <f t="shared" si="69"/>
        <v>40000</v>
      </c>
      <c r="K185" s="129">
        <f t="shared" si="69"/>
        <v>42500</v>
      </c>
      <c r="L185" s="129">
        <f t="shared" si="69"/>
        <v>45475</v>
      </c>
      <c r="M185" s="129">
        <f t="shared" si="69"/>
        <v>0</v>
      </c>
      <c r="N185" s="129">
        <f t="shared" si="69"/>
        <v>0</v>
      </c>
      <c r="O185" s="129">
        <f t="shared" si="69"/>
        <v>48658.25</v>
      </c>
    </row>
    <row r="186" spans="1:15" x14ac:dyDescent="0.2">
      <c r="A186" s="119">
        <v>1.0002031689999999E+19</v>
      </c>
      <c r="B186" s="120" t="s">
        <v>134</v>
      </c>
      <c r="C186" s="129">
        <v>206737</v>
      </c>
      <c r="D186" s="129">
        <v>0</v>
      </c>
      <c r="E186" s="129">
        <v>0</v>
      </c>
      <c r="F186" s="129">
        <v>0</v>
      </c>
      <c r="G186" s="129">
        <v>206737</v>
      </c>
      <c r="H186" s="129">
        <v>0</v>
      </c>
      <c r="I186" s="129">
        <f t="shared" si="69"/>
        <v>0</v>
      </c>
      <c r="J186" s="129">
        <f t="shared" si="69"/>
        <v>206737</v>
      </c>
      <c r="K186" s="129">
        <f t="shared" si="69"/>
        <v>219658.0625</v>
      </c>
      <c r="L186" s="129">
        <f t="shared" si="69"/>
        <v>235034.12687499999</v>
      </c>
      <c r="M186" s="129">
        <f t="shared" si="69"/>
        <v>0</v>
      </c>
      <c r="N186" s="129">
        <f t="shared" si="69"/>
        <v>0</v>
      </c>
      <c r="O186" s="129">
        <f t="shared" si="69"/>
        <v>251486.51575624998</v>
      </c>
    </row>
    <row r="187" spans="1:15" x14ac:dyDescent="0.2">
      <c r="A187" s="119">
        <v>1.0002031710000001E+19</v>
      </c>
      <c r="B187" s="120" t="s">
        <v>135</v>
      </c>
      <c r="C187" s="129">
        <v>17000</v>
      </c>
      <c r="D187" s="129">
        <v>0</v>
      </c>
      <c r="E187" s="129">
        <v>0</v>
      </c>
      <c r="F187" s="129">
        <v>0</v>
      </c>
      <c r="G187" s="129">
        <v>17000</v>
      </c>
      <c r="H187" s="129">
        <v>0</v>
      </c>
      <c r="I187" s="129">
        <f t="shared" si="69"/>
        <v>0</v>
      </c>
      <c r="J187" s="129">
        <f t="shared" si="69"/>
        <v>17000</v>
      </c>
      <c r="K187" s="129">
        <f t="shared" si="69"/>
        <v>18062.5</v>
      </c>
      <c r="L187" s="129">
        <f t="shared" si="69"/>
        <v>19326.875</v>
      </c>
      <c r="M187" s="129">
        <f t="shared" si="69"/>
        <v>0</v>
      </c>
      <c r="N187" s="129">
        <f t="shared" si="69"/>
        <v>0</v>
      </c>
      <c r="O187" s="129">
        <f t="shared" si="69"/>
        <v>20679.756249999999</v>
      </c>
    </row>
    <row r="188" spans="1:15" x14ac:dyDescent="0.2">
      <c r="A188" s="119">
        <v>1.000203178E+19</v>
      </c>
      <c r="B188" s="120" t="s">
        <v>136</v>
      </c>
      <c r="C188" s="129">
        <v>18580</v>
      </c>
      <c r="D188" s="129">
        <v>0</v>
      </c>
      <c r="E188" s="129">
        <v>0</v>
      </c>
      <c r="F188" s="129">
        <v>0</v>
      </c>
      <c r="G188" s="129">
        <v>18580</v>
      </c>
      <c r="H188" s="129">
        <v>0</v>
      </c>
      <c r="I188" s="129">
        <f t="shared" si="69"/>
        <v>0</v>
      </c>
      <c r="J188" s="129">
        <f t="shared" si="69"/>
        <v>18580</v>
      </c>
      <c r="K188" s="129">
        <f t="shared" si="69"/>
        <v>19741.25</v>
      </c>
      <c r="L188" s="129">
        <f t="shared" si="69"/>
        <v>21123.137500000001</v>
      </c>
      <c r="M188" s="129">
        <f t="shared" si="69"/>
        <v>0</v>
      </c>
      <c r="N188" s="129">
        <f t="shared" si="69"/>
        <v>0</v>
      </c>
      <c r="O188" s="129">
        <f t="shared" si="69"/>
        <v>22601.757125</v>
      </c>
    </row>
    <row r="189" spans="1:15" x14ac:dyDescent="0.2">
      <c r="A189" s="119"/>
      <c r="B189" s="120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O189" s="129"/>
    </row>
    <row r="190" spans="1:15" s="114" customFormat="1" ht="15" x14ac:dyDescent="0.25">
      <c r="A190" s="118"/>
      <c r="B190" s="117" t="s">
        <v>137</v>
      </c>
      <c r="C190" s="128">
        <f>SUM(C183:C189)</f>
        <v>966036</v>
      </c>
      <c r="D190" s="128">
        <v>72367.98</v>
      </c>
      <c r="E190" s="128">
        <v>0</v>
      </c>
      <c r="F190" s="128">
        <v>434207.88</v>
      </c>
      <c r="G190" s="128">
        <v>531828.12</v>
      </c>
      <c r="H190" s="128">
        <v>44.94</v>
      </c>
      <c r="I190" s="128">
        <f t="shared" ref="I190:O190" si="70">SUM(I183:I189)</f>
        <v>0</v>
      </c>
      <c r="J190" s="128">
        <f t="shared" si="70"/>
        <v>966036</v>
      </c>
      <c r="K190" s="128">
        <f t="shared" si="70"/>
        <v>1026413.25</v>
      </c>
      <c r="L190" s="128">
        <f t="shared" si="70"/>
        <v>1098262.1775</v>
      </c>
      <c r="M190" s="128">
        <f t="shared" si="70"/>
        <v>0</v>
      </c>
      <c r="N190" s="128">
        <f t="shared" si="70"/>
        <v>0</v>
      </c>
      <c r="O190" s="128">
        <f t="shared" si="70"/>
        <v>1175140.5299250002</v>
      </c>
    </row>
    <row r="191" spans="1:15" s="114" customFormat="1" ht="15" x14ac:dyDescent="0.25">
      <c r="A191" s="118"/>
      <c r="B191" s="117"/>
      <c r="C191" s="128"/>
      <c r="D191" s="128"/>
      <c r="E191" s="128"/>
      <c r="F191" s="128"/>
      <c r="G191" s="128"/>
      <c r="H191" s="128"/>
      <c r="I191" s="128"/>
      <c r="J191" s="128"/>
      <c r="K191" s="128"/>
      <c r="L191" s="128"/>
      <c r="M191" s="186"/>
      <c r="N191" s="186"/>
      <c r="O191" s="128"/>
    </row>
    <row r="192" spans="1:15" s="114" customFormat="1" ht="15" x14ac:dyDescent="0.25">
      <c r="A192" s="118"/>
      <c r="B192" s="117" t="s">
        <v>138</v>
      </c>
      <c r="C192" s="128"/>
      <c r="D192" s="128"/>
      <c r="E192" s="128"/>
      <c r="F192" s="128"/>
      <c r="G192" s="128"/>
      <c r="H192" s="128"/>
      <c r="I192" s="128"/>
      <c r="J192" s="128"/>
      <c r="K192" s="128"/>
      <c r="L192" s="128"/>
      <c r="M192" s="186"/>
      <c r="N192" s="186"/>
      <c r="O192" s="128"/>
    </row>
    <row r="193" spans="1:15" x14ac:dyDescent="0.2">
      <c r="A193" s="119"/>
      <c r="B193" s="120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O193" s="129"/>
    </row>
    <row r="194" spans="1:15" x14ac:dyDescent="0.2">
      <c r="A194" s="119">
        <v>1.0002032049999999E+19</v>
      </c>
      <c r="B194" s="120" t="s">
        <v>139</v>
      </c>
      <c r="C194" s="129">
        <v>651161</v>
      </c>
      <c r="D194" s="129">
        <v>121164.8</v>
      </c>
      <c r="E194" s="129">
        <v>0</v>
      </c>
      <c r="F194" s="129">
        <v>331602.08</v>
      </c>
      <c r="G194" s="129">
        <v>319558.92</v>
      </c>
      <c r="H194" s="129">
        <v>50.92</v>
      </c>
      <c r="I194" s="129">
        <f t="shared" ref="I194:O195" si="71">I2416</f>
        <v>0</v>
      </c>
      <c r="J194" s="129">
        <f t="shared" si="71"/>
        <v>651161</v>
      </c>
      <c r="K194" s="129">
        <f t="shared" si="71"/>
        <v>691858.5625</v>
      </c>
      <c r="L194" s="129">
        <f t="shared" si="71"/>
        <v>740288.66187499999</v>
      </c>
      <c r="M194" s="129">
        <f t="shared" si="71"/>
        <v>0</v>
      </c>
      <c r="N194" s="129">
        <f t="shared" si="71"/>
        <v>0</v>
      </c>
      <c r="O194" s="129">
        <f t="shared" si="71"/>
        <v>792108.86820625002</v>
      </c>
    </row>
    <row r="195" spans="1:15" x14ac:dyDescent="0.2">
      <c r="A195" s="119">
        <v>1.000203206E+19</v>
      </c>
      <c r="B195" s="120" t="s">
        <v>140</v>
      </c>
      <c r="C195" s="129">
        <v>32558</v>
      </c>
      <c r="D195" s="129">
        <v>0</v>
      </c>
      <c r="E195" s="129">
        <v>0</v>
      </c>
      <c r="F195" s="129">
        <v>0</v>
      </c>
      <c r="G195" s="129">
        <v>32558</v>
      </c>
      <c r="H195" s="129">
        <v>0</v>
      </c>
      <c r="I195" s="129">
        <f t="shared" si="71"/>
        <v>0</v>
      </c>
      <c r="J195" s="129">
        <f t="shared" si="71"/>
        <v>32558</v>
      </c>
      <c r="K195" s="129">
        <f t="shared" si="71"/>
        <v>34592.875</v>
      </c>
      <c r="L195" s="129">
        <f t="shared" si="71"/>
        <v>37014.376250000001</v>
      </c>
      <c r="M195" s="129">
        <f t="shared" si="71"/>
        <v>0</v>
      </c>
      <c r="N195" s="129">
        <f t="shared" si="71"/>
        <v>0</v>
      </c>
      <c r="O195" s="129">
        <f t="shared" si="71"/>
        <v>39605.382587500004</v>
      </c>
    </row>
    <row r="196" spans="1:15" x14ac:dyDescent="0.2">
      <c r="A196" s="119">
        <v>1.0002032070000001E+19</v>
      </c>
      <c r="B196" s="120" t="s">
        <v>141</v>
      </c>
      <c r="C196" s="129">
        <v>40000</v>
      </c>
      <c r="D196" s="129">
        <v>6666.66</v>
      </c>
      <c r="E196" s="129">
        <v>0</v>
      </c>
      <c r="F196" s="129">
        <v>13333.32</v>
      </c>
      <c r="G196" s="129">
        <v>26666.68</v>
      </c>
      <c r="H196" s="129">
        <v>33.33</v>
      </c>
      <c r="I196" s="129"/>
      <c r="J196" s="129">
        <f t="shared" ref="J196:O199" si="72">J2418</f>
        <v>40000</v>
      </c>
      <c r="K196" s="129">
        <f t="shared" si="72"/>
        <v>42500</v>
      </c>
      <c r="L196" s="129">
        <f t="shared" si="72"/>
        <v>45475</v>
      </c>
      <c r="M196" s="129">
        <f t="shared" si="72"/>
        <v>0</v>
      </c>
      <c r="N196" s="129">
        <f t="shared" si="72"/>
        <v>0</v>
      </c>
      <c r="O196" s="129">
        <f t="shared" si="72"/>
        <v>48658.25</v>
      </c>
    </row>
    <row r="197" spans="1:15" x14ac:dyDescent="0.2">
      <c r="A197" s="119">
        <v>1.0002032089999999E+19</v>
      </c>
      <c r="B197" s="120" t="s">
        <v>142</v>
      </c>
      <c r="C197" s="129">
        <v>205628</v>
      </c>
      <c r="D197" s="129">
        <v>16904.5</v>
      </c>
      <c r="E197" s="129">
        <v>0</v>
      </c>
      <c r="F197" s="129">
        <v>16904.5</v>
      </c>
      <c r="G197" s="129">
        <v>188723.5</v>
      </c>
      <c r="H197" s="129">
        <v>8.2200000000000006</v>
      </c>
      <c r="I197" s="129">
        <f>I2419</f>
        <v>0</v>
      </c>
      <c r="J197" s="129">
        <f t="shared" si="72"/>
        <v>205628</v>
      </c>
      <c r="K197" s="129">
        <f t="shared" si="72"/>
        <v>218479.75</v>
      </c>
      <c r="L197" s="129">
        <f t="shared" si="72"/>
        <v>233773.33249999999</v>
      </c>
      <c r="M197" s="129">
        <f t="shared" si="72"/>
        <v>0</v>
      </c>
      <c r="N197" s="129">
        <f t="shared" si="72"/>
        <v>0</v>
      </c>
      <c r="O197" s="129">
        <f t="shared" si="72"/>
        <v>250137.46577499999</v>
      </c>
    </row>
    <row r="198" spans="1:15" x14ac:dyDescent="0.2">
      <c r="A198" s="119">
        <v>1.0002032110000001E+19</v>
      </c>
      <c r="B198" s="120" t="s">
        <v>143</v>
      </c>
      <c r="C198" s="129">
        <v>17000</v>
      </c>
      <c r="D198" s="129">
        <v>0</v>
      </c>
      <c r="E198" s="129">
        <v>0</v>
      </c>
      <c r="F198" s="129">
        <v>0</v>
      </c>
      <c r="G198" s="129">
        <v>17000</v>
      </c>
      <c r="H198" s="129">
        <v>0</v>
      </c>
      <c r="I198" s="129">
        <f>I2420</f>
        <v>0</v>
      </c>
      <c r="J198" s="129">
        <f t="shared" si="72"/>
        <v>17000</v>
      </c>
      <c r="K198" s="129">
        <f t="shared" si="72"/>
        <v>18062.5</v>
      </c>
      <c r="L198" s="129">
        <f t="shared" si="72"/>
        <v>19326.875</v>
      </c>
      <c r="M198" s="129">
        <f t="shared" si="72"/>
        <v>0</v>
      </c>
      <c r="N198" s="129">
        <f t="shared" si="72"/>
        <v>0</v>
      </c>
      <c r="O198" s="129">
        <f t="shared" si="72"/>
        <v>20679.756249999999</v>
      </c>
    </row>
    <row r="199" spans="1:15" x14ac:dyDescent="0.2">
      <c r="A199" s="119">
        <v>1.000203218E+19</v>
      </c>
      <c r="B199" s="120" t="s">
        <v>144</v>
      </c>
      <c r="C199" s="129">
        <v>18580</v>
      </c>
      <c r="D199" s="129">
        <v>0</v>
      </c>
      <c r="E199" s="129">
        <v>0</v>
      </c>
      <c r="F199" s="129">
        <v>0</v>
      </c>
      <c r="G199" s="129">
        <v>18580</v>
      </c>
      <c r="H199" s="129">
        <v>0</v>
      </c>
      <c r="I199" s="129">
        <f>I2421</f>
        <v>-18580</v>
      </c>
      <c r="J199" s="129">
        <f t="shared" si="72"/>
        <v>0</v>
      </c>
      <c r="K199" s="129">
        <f t="shared" si="72"/>
        <v>0</v>
      </c>
      <c r="L199" s="129">
        <f t="shared" si="72"/>
        <v>0</v>
      </c>
      <c r="M199" s="129">
        <f t="shared" si="72"/>
        <v>0</v>
      </c>
      <c r="N199" s="129">
        <f t="shared" si="72"/>
        <v>0</v>
      </c>
      <c r="O199" s="129">
        <f t="shared" si="72"/>
        <v>0</v>
      </c>
    </row>
    <row r="200" spans="1:15" x14ac:dyDescent="0.2">
      <c r="A200" s="119"/>
      <c r="B200" s="120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O200" s="129"/>
    </row>
    <row r="201" spans="1:15" s="114" customFormat="1" ht="15" x14ac:dyDescent="0.25">
      <c r="A201" s="118"/>
      <c r="B201" s="117" t="s">
        <v>145</v>
      </c>
      <c r="C201" s="128">
        <f>SUM(C194:C200)</f>
        <v>964927</v>
      </c>
      <c r="D201" s="128">
        <v>144735.96</v>
      </c>
      <c r="E201" s="128">
        <v>0</v>
      </c>
      <c r="F201" s="128">
        <v>361839.9</v>
      </c>
      <c r="G201" s="128">
        <v>603087.1</v>
      </c>
      <c r="H201" s="128">
        <v>37.49</v>
      </c>
      <c r="I201" s="128">
        <f t="shared" ref="I201:O201" si="73">SUM(I194:I200)</f>
        <v>-18580</v>
      </c>
      <c r="J201" s="128">
        <f t="shared" si="73"/>
        <v>946347</v>
      </c>
      <c r="K201" s="128">
        <f t="shared" si="73"/>
        <v>1005493.6875</v>
      </c>
      <c r="L201" s="128">
        <f t="shared" si="73"/>
        <v>1075878.245625</v>
      </c>
      <c r="M201" s="128">
        <f t="shared" si="73"/>
        <v>0</v>
      </c>
      <c r="N201" s="128">
        <f t="shared" si="73"/>
        <v>0</v>
      </c>
      <c r="O201" s="128">
        <f t="shared" si="73"/>
        <v>1151189.7228187502</v>
      </c>
    </row>
    <row r="202" spans="1:15" s="114" customFormat="1" ht="15" x14ac:dyDescent="0.25">
      <c r="A202" s="118"/>
      <c r="B202" s="117"/>
      <c r="C202" s="128"/>
      <c r="D202" s="128"/>
      <c r="E202" s="128"/>
      <c r="F202" s="128"/>
      <c r="G202" s="128"/>
      <c r="H202" s="128"/>
      <c r="I202" s="128"/>
      <c r="J202" s="128"/>
      <c r="K202" s="128"/>
      <c r="L202" s="128"/>
      <c r="M202" s="186"/>
      <c r="N202" s="186"/>
      <c r="O202" s="128"/>
    </row>
    <row r="203" spans="1:15" s="114" customFormat="1" ht="15" x14ac:dyDescent="0.25">
      <c r="A203" s="118"/>
      <c r="B203" s="117" t="s">
        <v>146</v>
      </c>
      <c r="C203" s="128">
        <f>+C147+C158+C169+C179+C190+C201</f>
        <v>6179311</v>
      </c>
      <c r="D203" s="128">
        <v>455994.52</v>
      </c>
      <c r="E203" s="128">
        <v>0</v>
      </c>
      <c r="F203" s="128">
        <v>2229391.2599999998</v>
      </c>
      <c r="G203" s="128">
        <v>3949919.74</v>
      </c>
      <c r="H203" s="128">
        <v>36.07</v>
      </c>
      <c r="I203" s="128">
        <f t="shared" ref="I203:O203" si="74">+I147+I158+I169+I179+I190+I201</f>
        <v>-592836</v>
      </c>
      <c r="J203" s="128">
        <f t="shared" si="74"/>
        <v>5586475</v>
      </c>
      <c r="K203" s="128">
        <f t="shared" si="74"/>
        <v>5935629.6875</v>
      </c>
      <c r="L203" s="128">
        <f t="shared" si="74"/>
        <v>6351123.765625</v>
      </c>
      <c r="M203" s="128">
        <f t="shared" si="74"/>
        <v>2287195.6387250004</v>
      </c>
      <c r="N203" s="128">
        <f t="shared" si="74"/>
        <v>0</v>
      </c>
      <c r="O203" s="128">
        <f t="shared" si="74"/>
        <v>6795702.4292187495</v>
      </c>
    </row>
    <row r="204" spans="1:15" ht="15" x14ac:dyDescent="0.25">
      <c r="A204" s="119"/>
      <c r="B204" s="120"/>
      <c r="C204" s="129"/>
      <c r="D204" s="129"/>
      <c r="E204" s="129"/>
      <c r="F204" s="129"/>
      <c r="G204" s="129"/>
      <c r="H204" s="129"/>
      <c r="I204" s="129"/>
      <c r="J204" s="129"/>
      <c r="K204" s="129"/>
      <c r="L204" s="128"/>
      <c r="O204" s="129"/>
    </row>
    <row r="205" spans="1:15" s="114" customFormat="1" ht="15" x14ac:dyDescent="0.25">
      <c r="A205" s="118"/>
      <c r="B205" s="117" t="s">
        <v>147</v>
      </c>
      <c r="C205" s="128">
        <f>C203</f>
        <v>6179311</v>
      </c>
      <c r="D205" s="128">
        <v>455994.52</v>
      </c>
      <c r="E205" s="128">
        <v>0</v>
      </c>
      <c r="F205" s="128">
        <v>2229391.2599999998</v>
      </c>
      <c r="G205" s="128">
        <v>3949919.74</v>
      </c>
      <c r="H205" s="128">
        <v>36.07</v>
      </c>
      <c r="I205" s="128">
        <f t="shared" ref="I205:O205" si="75">I203</f>
        <v>-592836</v>
      </c>
      <c r="J205" s="128">
        <f t="shared" si="75"/>
        <v>5586475</v>
      </c>
      <c r="K205" s="128">
        <f t="shared" si="75"/>
        <v>5935629.6875</v>
      </c>
      <c r="L205" s="128">
        <f t="shared" si="75"/>
        <v>6351123.765625</v>
      </c>
      <c r="M205" s="128">
        <f t="shared" si="75"/>
        <v>2287195.6387250004</v>
      </c>
      <c r="N205" s="128">
        <f t="shared" si="75"/>
        <v>0</v>
      </c>
      <c r="O205" s="128">
        <f t="shared" si="75"/>
        <v>6795702.4292187495</v>
      </c>
    </row>
    <row r="206" spans="1:15" s="114" customFormat="1" ht="15" x14ac:dyDescent="0.25">
      <c r="A206" s="118"/>
      <c r="B206" s="117"/>
      <c r="C206" s="128"/>
      <c r="D206" s="128"/>
      <c r="E206" s="128"/>
      <c r="F206" s="128"/>
      <c r="G206" s="128"/>
      <c r="H206" s="128"/>
      <c r="I206" s="128"/>
      <c r="J206" s="128"/>
      <c r="K206" s="128"/>
      <c r="L206" s="128"/>
      <c r="M206" s="186"/>
      <c r="N206" s="186"/>
      <c r="O206" s="128"/>
    </row>
    <row r="207" spans="1:15" s="114" customFormat="1" ht="15" x14ac:dyDescent="0.25">
      <c r="A207" s="118"/>
      <c r="B207" s="117" t="s">
        <v>148</v>
      </c>
      <c r="C207" s="128"/>
      <c r="D207" s="128"/>
      <c r="E207" s="128"/>
      <c r="F207" s="128"/>
      <c r="G207" s="128"/>
      <c r="H207" s="128"/>
      <c r="I207" s="128"/>
      <c r="J207" s="128"/>
      <c r="K207" s="128"/>
      <c r="L207" s="128"/>
      <c r="M207" s="186"/>
      <c r="N207" s="186"/>
      <c r="O207" s="128"/>
    </row>
    <row r="208" spans="1:15" s="114" customFormat="1" ht="15" x14ac:dyDescent="0.25">
      <c r="A208" s="118"/>
      <c r="B208" s="117" t="s">
        <v>149</v>
      </c>
      <c r="C208" s="128"/>
      <c r="D208" s="128"/>
      <c r="E208" s="128"/>
      <c r="F208" s="128"/>
      <c r="G208" s="128"/>
      <c r="H208" s="128"/>
      <c r="I208" s="128"/>
      <c r="J208" s="128"/>
      <c r="K208" s="128"/>
      <c r="L208" s="128"/>
      <c r="M208" s="186"/>
      <c r="N208" s="186"/>
      <c r="O208" s="128"/>
    </row>
    <row r="209" spans="1:15" x14ac:dyDescent="0.2">
      <c r="A209" s="119"/>
      <c r="B209" s="120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O209" s="129"/>
    </row>
    <row r="210" spans="1:15" x14ac:dyDescent="0.2">
      <c r="A210" s="119">
        <v>1.0002110009999999E+19</v>
      </c>
      <c r="B210" s="120" t="s">
        <v>150</v>
      </c>
      <c r="C210" s="129">
        <v>51037867</v>
      </c>
      <c r="D210" s="129">
        <v>4222107.91</v>
      </c>
      <c r="E210" s="129">
        <v>0</v>
      </c>
      <c r="F210" s="129">
        <v>25335640</v>
      </c>
      <c r="G210" s="129">
        <v>25702227</v>
      </c>
      <c r="H210" s="129">
        <v>49.64</v>
      </c>
      <c r="I210" s="129">
        <f t="shared" ref="I210:O210" si="76">I518+I657+I752+I831+I917+I998+I1104+I1161+I1216+I1300+I1365+I1423+I1492+I1493+I1565+I1684+I1848+I1965+I2070+I2071+I2161+I2162+I2258+I2259+I2336+I2337+I2433+I2515+I2603+I2719+I2808+I2891+I3015+I3142+I3237+I3367+I3457</f>
        <v>80000</v>
      </c>
      <c r="J210" s="129">
        <f t="shared" si="76"/>
        <v>51117867</v>
      </c>
      <c r="K210" s="129">
        <f t="shared" si="76"/>
        <v>54242696.75</v>
      </c>
      <c r="L210" s="129">
        <f t="shared" si="76"/>
        <v>58057720.022500001</v>
      </c>
      <c r="M210" s="129">
        <f t="shared" si="76"/>
        <v>12548040.601162501</v>
      </c>
      <c r="N210" s="129">
        <f t="shared" si="76"/>
        <v>0</v>
      </c>
      <c r="O210" s="129">
        <f t="shared" si="76"/>
        <v>62092323.924075</v>
      </c>
    </row>
    <row r="211" spans="1:15" x14ac:dyDescent="0.2">
      <c r="A211" s="119">
        <v>1.00021101E+19</v>
      </c>
      <c r="B211" s="120" t="s">
        <v>151</v>
      </c>
      <c r="C211" s="129">
        <v>2308310</v>
      </c>
      <c r="D211" s="129">
        <v>1570090.81</v>
      </c>
      <c r="E211" s="129">
        <v>0</v>
      </c>
      <c r="F211" s="129">
        <v>3255789.58</v>
      </c>
      <c r="G211" s="129">
        <v>-947479.58</v>
      </c>
      <c r="H211" s="129">
        <v>141.04</v>
      </c>
      <c r="I211" s="129">
        <f t="shared" ref="I211:O211" si="77">I519+I658+I753+I832+I918+I999+I1105+I1162+I1217+I1301+I1366+I1424+I1494+I1566+I1685+I1966+I2072+I2163+I2260+I2338+I2434+I2516+I2604+I2720+I2809+I2892+I3016+I3143+I3238+I3368+I3458</f>
        <v>-1000000.5899999999</v>
      </c>
      <c r="J211" s="129">
        <f t="shared" si="77"/>
        <v>1308309.4100000001</v>
      </c>
      <c r="K211" s="129">
        <f t="shared" si="77"/>
        <v>1390078.7481249999</v>
      </c>
      <c r="L211" s="129">
        <f t="shared" si="77"/>
        <v>1487384.2604937502</v>
      </c>
      <c r="M211" s="129">
        <f t="shared" si="77"/>
        <v>348697.59765762498</v>
      </c>
      <c r="N211" s="129">
        <f t="shared" si="77"/>
        <v>0</v>
      </c>
      <c r="O211" s="129">
        <f t="shared" si="77"/>
        <v>1591501.158728312</v>
      </c>
    </row>
    <row r="212" spans="1:15" x14ac:dyDescent="0.2">
      <c r="A212" s="119">
        <v>1.000211022E+19</v>
      </c>
      <c r="B212" s="120" t="s">
        <v>152</v>
      </c>
      <c r="C212" s="129">
        <v>1001700</v>
      </c>
      <c r="D212" s="129">
        <v>77401.320000000007</v>
      </c>
      <c r="E212" s="129">
        <v>0</v>
      </c>
      <c r="F212" s="129">
        <v>469107.92</v>
      </c>
      <c r="G212" s="129">
        <v>532592.07999999996</v>
      </c>
      <c r="H212" s="129">
        <v>46.83</v>
      </c>
      <c r="I212" s="129">
        <f t="shared" ref="I212:O212" si="78">I520+I659+I754+I833+I919+I1000+I1106+I1218+I1302+I1367+I1425+I1495+I1567+I2073+I2164+I2261+I2339+I2517+I2605+I2721+I2893+I3017+I3239+I3369</f>
        <v>0</v>
      </c>
      <c r="J212" s="129">
        <f t="shared" si="78"/>
        <v>1001700</v>
      </c>
      <c r="K212" s="129">
        <f t="shared" si="78"/>
        <v>1064306.25</v>
      </c>
      <c r="L212" s="129">
        <f t="shared" si="78"/>
        <v>1138807.6875</v>
      </c>
      <c r="M212" s="129">
        <f t="shared" si="78"/>
        <v>173345.015625</v>
      </c>
      <c r="N212" s="129">
        <f t="shared" si="78"/>
        <v>0</v>
      </c>
      <c r="O212" s="129">
        <f t="shared" si="78"/>
        <v>1218524.2256249997</v>
      </c>
    </row>
    <row r="213" spans="1:15" x14ac:dyDescent="0.2">
      <c r="A213" s="119">
        <v>1.000211026E+19</v>
      </c>
      <c r="B213" s="120" t="s">
        <v>153</v>
      </c>
      <c r="C213" s="129">
        <v>261432</v>
      </c>
      <c r="D213" s="129">
        <v>15432.04</v>
      </c>
      <c r="E213" s="129">
        <v>0</v>
      </c>
      <c r="F213" s="129">
        <v>92592.24</v>
      </c>
      <c r="G213" s="129">
        <v>168839.76</v>
      </c>
      <c r="H213" s="129">
        <v>35.409999999999997</v>
      </c>
      <c r="I213" s="129">
        <f>I521+I660+I755+I834+I920+I1001+I1107+I1163+I1219+I1303+I1426+I1496+I1568+I1967+I2074+I2165+I2262+I2340+I2606+I2722+I3018+I3240+I3370</f>
        <v>88252.08</v>
      </c>
      <c r="J213" s="129">
        <f>J521+J660+J755+J834+J920+J1001+J1107+J1163+J1219+J1303+J1426+J1496+J1568+J1967+J2074+J2165+J2262+J2340+J2606+J2722+J3018+J3240+J3370</f>
        <v>349684.07999999996</v>
      </c>
      <c r="K213" s="129">
        <f>K521+K660+K755+K834+K920+K1001+K1107+K1163+K1219+K1303+K1426+K1496+K1568+K1967+K2074+K2165+K2262+K2340+K2606+K2722+K3018+K3240+K3370</f>
        <v>371539.33500000002</v>
      </c>
      <c r="L213" s="129">
        <f t="shared" ref="L213:O213" si="79">L521+L660+L755+L834+L920+L1001+L1107+L1163+L1219+L1303+L1426+L1496+L1568+L1967+L2074+L2165+L2262+L2340+L2606+L2722+L3018+L3240+L3370</f>
        <v>397547.08844999992</v>
      </c>
      <c r="M213" s="129">
        <f t="shared" si="79"/>
        <v>53003.723674499997</v>
      </c>
      <c r="N213" s="129">
        <f t="shared" si="79"/>
        <v>0</v>
      </c>
      <c r="O213" s="129">
        <f t="shared" si="79"/>
        <v>425375.38464150007</v>
      </c>
    </row>
    <row r="214" spans="1:15" x14ac:dyDescent="0.2">
      <c r="A214" s="119">
        <v>1.000211028E+19</v>
      </c>
      <c r="B214" s="120" t="s">
        <v>154</v>
      </c>
      <c r="C214" s="129">
        <v>12840</v>
      </c>
      <c r="D214" s="129">
        <v>0</v>
      </c>
      <c r="E214" s="129">
        <v>0</v>
      </c>
      <c r="F214" s="129">
        <v>12000</v>
      </c>
      <c r="G214" s="129">
        <v>840</v>
      </c>
      <c r="H214" s="129">
        <v>93.45</v>
      </c>
      <c r="I214" s="129">
        <f t="shared" ref="I214:O214" si="80">I1569+I3371</f>
        <v>0</v>
      </c>
      <c r="J214" s="129">
        <f t="shared" si="80"/>
        <v>12840</v>
      </c>
      <c r="K214" s="129">
        <f t="shared" si="80"/>
        <v>13642.5</v>
      </c>
      <c r="L214" s="129">
        <f t="shared" si="80"/>
        <v>14597.475</v>
      </c>
      <c r="M214" s="129">
        <f t="shared" si="80"/>
        <v>0</v>
      </c>
      <c r="N214" s="129">
        <f t="shared" si="80"/>
        <v>0</v>
      </c>
      <c r="O214" s="129">
        <f t="shared" si="80"/>
        <v>15619.29825</v>
      </c>
    </row>
    <row r="215" spans="1:15" x14ac:dyDescent="0.2">
      <c r="A215" s="119">
        <v>1.000211032E+19</v>
      </c>
      <c r="B215" s="120" t="s">
        <v>155</v>
      </c>
      <c r="C215" s="129">
        <v>1599470</v>
      </c>
      <c r="D215" s="129">
        <v>0</v>
      </c>
      <c r="E215" s="129">
        <v>0</v>
      </c>
      <c r="F215" s="129">
        <v>129255.48</v>
      </c>
      <c r="G215" s="129">
        <v>1470214.52</v>
      </c>
      <c r="H215" s="129">
        <v>8.08</v>
      </c>
      <c r="I215" s="129">
        <f>I522+I661+I756+I835+I921+I1002+I1108+I1164+I1220+I1304+I1368+I1427+I1497+I1570+I1686+I1968+I2075+I2166+I2263+I2341+I2435+I2518+I2607+I2723+I2810+I2894+I3019+I3241+I3372+I3459</f>
        <v>101194</v>
      </c>
      <c r="J215" s="129">
        <f>J522+J661+J756+J835+J921+J1002+J1108+J1164+J1220+J1304+J1368+J1427+J1497+J1570+J1686+J1968+J2075+J2166+J2263+J2341+J2435+J2518+J2607+J2723+J2810+J2894+J3019+J3241+J3372+J3459</f>
        <v>1700664</v>
      </c>
      <c r="K215" s="129">
        <f>K522+K661+K756+K835+K921+K1002+K1108+K1164+K1220+K1304+K1368+K1427+K1497+K1570+K1686+K1968+K2075+K2166+K2263+K2341+K2435+K2518+K2607+K2723+K2810+K2894+K3019+K3241+K3372+K3459</f>
        <v>1806955.5</v>
      </c>
      <c r="L215" s="129">
        <f t="shared" ref="L215:O215" si="81">L522+L661+L756+L835+L921+L1002+L1108+L1164+L1220+L1304+L1368+L1427+L1497+L1570+L1686+L1968+L2075+L2166+L2263+L2341+L2435+L2518+L2607+L2723+L2810+L2894+L3019+L3241+L3372+L3459</f>
        <v>1933442.3849999998</v>
      </c>
      <c r="M215" s="129">
        <f t="shared" si="81"/>
        <v>305218.60477499996</v>
      </c>
      <c r="N215" s="129">
        <f t="shared" si="81"/>
        <v>0</v>
      </c>
      <c r="O215" s="129">
        <f t="shared" si="81"/>
        <v>2068783.3519499998</v>
      </c>
    </row>
    <row r="216" spans="1:15" x14ac:dyDescent="0.2">
      <c r="A216" s="119">
        <v>1.000211034E+19</v>
      </c>
      <c r="B216" s="120" t="s">
        <v>156</v>
      </c>
      <c r="C216" s="129">
        <v>5197325</v>
      </c>
      <c r="D216" s="129">
        <v>426452.01</v>
      </c>
      <c r="E216" s="129">
        <v>0</v>
      </c>
      <c r="F216" s="129">
        <v>2578484.48</v>
      </c>
      <c r="G216" s="129">
        <v>2618840.52</v>
      </c>
      <c r="H216" s="129">
        <v>49.61</v>
      </c>
      <c r="I216" s="129">
        <f t="shared" ref="I216:O216" si="82">I523+I662+I757+I836+I922+I1003+I1109+I1221+I1305+I1369+I1428+I1498+I1571+I2076+I2167+I2264+I2342+I2519+I2608+I2724+I2895+I3020+I3242+I3373</f>
        <v>359155.24</v>
      </c>
      <c r="J216" s="129">
        <f t="shared" si="82"/>
        <v>5556480.2400000002</v>
      </c>
      <c r="K216" s="129">
        <f t="shared" si="82"/>
        <v>5903760.2549999999</v>
      </c>
      <c r="L216" s="129">
        <f t="shared" si="82"/>
        <v>6317023.4728500014</v>
      </c>
      <c r="M216" s="129">
        <f t="shared" si="82"/>
        <v>571047.13971875003</v>
      </c>
      <c r="N216" s="129">
        <f t="shared" si="82"/>
        <v>0</v>
      </c>
      <c r="O216" s="129">
        <f t="shared" si="82"/>
        <v>6759215.1159494976</v>
      </c>
    </row>
    <row r="217" spans="1:15" x14ac:dyDescent="0.2">
      <c r="A217" s="119">
        <v>1.000211036E+19</v>
      </c>
      <c r="B217" s="120" t="s">
        <v>157</v>
      </c>
      <c r="C217" s="129">
        <v>1482467</v>
      </c>
      <c r="D217" s="129">
        <v>68552.89</v>
      </c>
      <c r="E217" s="129">
        <v>0</v>
      </c>
      <c r="F217" s="129">
        <v>341687.25</v>
      </c>
      <c r="G217" s="129">
        <v>1140779.75</v>
      </c>
      <c r="H217" s="129">
        <v>23.04</v>
      </c>
      <c r="I217" s="129">
        <f>I524+I663+I1165+I1572+I1687+I1969+I2077+I2168+I2265+I2343+I2436+I2725+I2811+I2896+I3021+I3243+I3374+I3460</f>
        <v>-205023</v>
      </c>
      <c r="J217" s="129">
        <f>J524+J663+J1165+J1572+J1687+J1969+J2077+J2168+J2265+J2343+J2436+J2725+J2811+J2896+J3021+J3243+J3374+J3460</f>
        <v>1277444</v>
      </c>
      <c r="K217" s="129">
        <f>K524+K663+K1165+K1572+K1687+K1969+K2077+K2168+K2265+K2343+K2436+K2725+K2811+K2896+K3021+K3243+K3374+K3460</f>
        <v>1357284.25</v>
      </c>
      <c r="L217" s="129">
        <f t="shared" ref="L217:O217" si="83">L524+L663+L1165+L1572+L1687+L1969+L2077+L2168+L2265+L2343+L2436+L2725+L2811+L2896+L3021+L3243+L3374+L3460</f>
        <v>1452294.1475</v>
      </c>
      <c r="M217" s="129">
        <f t="shared" si="83"/>
        <v>341672.14921874995</v>
      </c>
      <c r="N217" s="129">
        <f t="shared" si="83"/>
        <v>0</v>
      </c>
      <c r="O217" s="129">
        <f t="shared" si="83"/>
        <v>1553954.737825</v>
      </c>
    </row>
    <row r="218" spans="1:15" x14ac:dyDescent="0.2">
      <c r="A218" s="119">
        <v>1.000211044E+19</v>
      </c>
      <c r="B218" s="120" t="s">
        <v>158</v>
      </c>
      <c r="C218" s="129">
        <v>238158</v>
      </c>
      <c r="D218" s="129">
        <v>-800</v>
      </c>
      <c r="E218" s="129">
        <v>0</v>
      </c>
      <c r="F218" s="129">
        <v>141332.21</v>
      </c>
      <c r="G218" s="129">
        <v>96825.79</v>
      </c>
      <c r="H218" s="129">
        <v>59.34</v>
      </c>
      <c r="I218" s="129">
        <f t="shared" ref="I218:O218" si="84">I525+I664+I758+I837+I923+I1004+I1110+I1222+I1306+I1370+I1429+I1499+I2078+I2169+I2266+I2344+I2609+I2726+I3244</f>
        <v>116490</v>
      </c>
      <c r="J218" s="129">
        <f t="shared" si="84"/>
        <v>354648</v>
      </c>
      <c r="K218" s="129">
        <f t="shared" si="84"/>
        <v>376813.5</v>
      </c>
      <c r="L218" s="129">
        <f t="shared" si="84"/>
        <v>403190.44500000007</v>
      </c>
      <c r="M218" s="129">
        <f t="shared" si="84"/>
        <v>136903.63574375</v>
      </c>
      <c r="N218" s="129">
        <f t="shared" si="84"/>
        <v>0</v>
      </c>
      <c r="O218" s="129">
        <f t="shared" si="84"/>
        <v>431413.77614999993</v>
      </c>
    </row>
    <row r="219" spans="1:15" x14ac:dyDescent="0.2">
      <c r="A219" s="119">
        <v>1.000211046E+19</v>
      </c>
      <c r="B219" s="120" t="s">
        <v>159</v>
      </c>
      <c r="C219" s="129">
        <v>4042209</v>
      </c>
      <c r="D219" s="129">
        <v>0</v>
      </c>
      <c r="E219" s="129">
        <v>0</v>
      </c>
      <c r="F219" s="129">
        <v>0</v>
      </c>
      <c r="G219" s="129">
        <v>4042209</v>
      </c>
      <c r="H219" s="129">
        <v>0</v>
      </c>
      <c r="I219" s="129">
        <f>I526+I665+I759+I838+I924+I1005+I1111+I1166+I1223+I1307+I1371+I1430+I1500+I1573+I1688+I1970+I2079+I2170+I2267+I2345+I2437+I2520+I2610+I2727+I2812+I2897+I3022+I3245+I3375+I3461</f>
        <v>60952</v>
      </c>
      <c r="J219" s="129">
        <f>J526+J665+J759+J838+J924+J1005+J1111+J1166+J1223+J1307+J1371+J1430+J1500+J1573+J1688+J1970+J2079+J2170+J2267+J2345+J2437+J2520+J2610+J2727+J2812+J2897+J3022+J3245+J3375+J3461</f>
        <v>4103161</v>
      </c>
      <c r="K219" s="129">
        <f>K526+K665+K759+K838+K924+K1005+K1111+K1166+K1223+K1307+K1371+K1430+K1500+K1573+K1688+K1970+K2079+K2170+K2267+K2345+K2437+K2520+K2610+K2727+K2812+K2897+K3022+K3245+K3375+K3461</f>
        <v>4359608.5625</v>
      </c>
      <c r="L219" s="129">
        <f t="shared" ref="L219:O219" si="85">L526+L665+L759+L838+L924+L1005+L1111+L1166+L1223+L1307+L1371+L1430+L1500+L1573+L1688+L1970+L2079+L2170+L2267+L2345+L2437+L2520+L2610+L2727+L2812+L2897+L3022+L3245+L3375+L3461</f>
        <v>4664781.1618750002</v>
      </c>
      <c r="M219" s="129">
        <f t="shared" si="85"/>
        <v>755798.86560000002</v>
      </c>
      <c r="N219" s="129">
        <f t="shared" si="85"/>
        <v>0</v>
      </c>
      <c r="O219" s="129">
        <f t="shared" si="85"/>
        <v>4991315.8432062501</v>
      </c>
    </row>
    <row r="220" spans="1:15" x14ac:dyDescent="0.2">
      <c r="A220" s="119">
        <v>1.000211048E+19</v>
      </c>
      <c r="B220" s="120" t="s">
        <v>160</v>
      </c>
      <c r="C220" s="129">
        <v>115560</v>
      </c>
      <c r="D220" s="129">
        <v>0</v>
      </c>
      <c r="E220" s="129">
        <v>0</v>
      </c>
      <c r="F220" s="129">
        <v>0</v>
      </c>
      <c r="G220" s="129">
        <v>115560</v>
      </c>
      <c r="H220" s="129">
        <v>0</v>
      </c>
      <c r="I220" s="129">
        <f t="shared" ref="I220:O220" si="86">I2728</f>
        <v>0</v>
      </c>
      <c r="J220" s="129">
        <f t="shared" si="86"/>
        <v>115560</v>
      </c>
      <c r="K220" s="129">
        <f t="shared" si="86"/>
        <v>122782.5</v>
      </c>
      <c r="L220" s="129">
        <f t="shared" si="86"/>
        <v>131377.27499999999</v>
      </c>
      <c r="M220" s="129">
        <f t="shared" si="86"/>
        <v>0</v>
      </c>
      <c r="N220" s="129">
        <f t="shared" si="86"/>
        <v>0</v>
      </c>
      <c r="O220" s="129">
        <f t="shared" si="86"/>
        <v>140573.68424999999</v>
      </c>
    </row>
    <row r="221" spans="1:15" x14ac:dyDescent="0.2">
      <c r="A221" s="119">
        <v>1.00021105E+19</v>
      </c>
      <c r="B221" s="120" t="s">
        <v>161</v>
      </c>
      <c r="C221" s="129">
        <v>470121</v>
      </c>
      <c r="D221" s="129">
        <v>0</v>
      </c>
      <c r="E221" s="129">
        <v>0</v>
      </c>
      <c r="F221" s="129">
        <v>189630.45</v>
      </c>
      <c r="G221" s="129">
        <v>280490.55</v>
      </c>
      <c r="H221" s="129">
        <v>40.33</v>
      </c>
      <c r="I221" s="129">
        <f>I527+I839+I2171+I2268+I2346+I2521+I2611+I2813+I2898+I3376+I3462</f>
        <v>0</v>
      </c>
      <c r="J221" s="129">
        <f>J527+J839+J2171+J2268+J2346+J2521+J2611+J2813+J2898+J3376+J3462</f>
        <v>470121</v>
      </c>
      <c r="K221" s="129">
        <f>K527+K839+K2171+K2268+K2346+K2521+K2611+K2813+K2898+K3376+K3462</f>
        <v>499503.5625</v>
      </c>
      <c r="L221" s="129">
        <f t="shared" ref="L221:O221" si="87">L527+L839+L2171+L2268+L2346+L2521+L2611+L2813+L2898+L3376+L3462</f>
        <v>534468.81187500001</v>
      </c>
      <c r="M221" s="129">
        <f t="shared" si="87"/>
        <v>87526.460099999997</v>
      </c>
      <c r="N221" s="129">
        <f t="shared" si="87"/>
        <v>0</v>
      </c>
      <c r="O221" s="129">
        <f t="shared" si="87"/>
        <v>571881.62870624999</v>
      </c>
    </row>
    <row r="222" spans="1:15" x14ac:dyDescent="0.2">
      <c r="A222" s="119">
        <v>1.000211056E+19</v>
      </c>
      <c r="B222" s="120" t="s">
        <v>162</v>
      </c>
      <c r="C222" s="129">
        <v>322284</v>
      </c>
      <c r="D222" s="129">
        <v>26601.57</v>
      </c>
      <c r="E222" s="129">
        <v>0</v>
      </c>
      <c r="F222" s="129">
        <v>144331.06</v>
      </c>
      <c r="G222" s="129">
        <v>177952.94</v>
      </c>
      <c r="H222" s="129">
        <v>44.78</v>
      </c>
      <c r="I222" s="129">
        <f>I528+I1574+I2814+I2899+I3023+I3246+I3377+I3463</f>
        <v>116000</v>
      </c>
      <c r="J222" s="129">
        <f>J528+J1574+J2814+J2899+J3023+J3246+J3377+J3463</f>
        <v>438284</v>
      </c>
      <c r="K222" s="129">
        <f>K528+K1574+K2814+K2899+K3023+K3246+K3377+K3463</f>
        <v>465676.75</v>
      </c>
      <c r="L222" s="129">
        <f t="shared" ref="L222:O222" si="88">L528+L1574+L2814+L2899+L3023+L3246+L3377+L3463</f>
        <v>498274.12249999994</v>
      </c>
      <c r="M222" s="129">
        <f t="shared" si="88"/>
        <v>34060.775000000001</v>
      </c>
      <c r="N222" s="129">
        <f t="shared" si="88"/>
        <v>0</v>
      </c>
      <c r="O222" s="129">
        <f t="shared" si="88"/>
        <v>533153.31107499998</v>
      </c>
    </row>
    <row r="223" spans="1:15" x14ac:dyDescent="0.2">
      <c r="A223" s="119">
        <v>1.000211058E+19</v>
      </c>
      <c r="B223" s="120" t="s">
        <v>163</v>
      </c>
      <c r="C223" s="129">
        <v>32692</v>
      </c>
      <c r="D223" s="129">
        <v>0</v>
      </c>
      <c r="E223" s="129">
        <v>0</v>
      </c>
      <c r="F223" s="129">
        <v>0</v>
      </c>
      <c r="G223" s="129">
        <v>32692</v>
      </c>
      <c r="H223" s="129">
        <v>0</v>
      </c>
      <c r="I223" s="129">
        <f t="shared" ref="I223:O223" si="89">I529+I925</f>
        <v>-10000</v>
      </c>
      <c r="J223" s="129">
        <f t="shared" si="89"/>
        <v>22692</v>
      </c>
      <c r="K223" s="129">
        <f t="shared" si="89"/>
        <v>24110.25</v>
      </c>
      <c r="L223" s="129">
        <f t="shared" si="89"/>
        <v>25797.967499999999</v>
      </c>
      <c r="M223" s="129">
        <f t="shared" si="89"/>
        <v>8515.1937500000004</v>
      </c>
      <c r="N223" s="129">
        <f t="shared" si="89"/>
        <v>0</v>
      </c>
      <c r="O223" s="129">
        <f t="shared" si="89"/>
        <v>27603.825225000001</v>
      </c>
    </row>
    <row r="224" spans="1:15" x14ac:dyDescent="0.2">
      <c r="A224" s="119">
        <v>1.0002110630000001E+19</v>
      </c>
      <c r="B224" s="120" t="s">
        <v>164</v>
      </c>
      <c r="C224" s="129">
        <v>466483</v>
      </c>
      <c r="D224" s="129">
        <v>41484.03</v>
      </c>
      <c r="E224" s="129">
        <v>0</v>
      </c>
      <c r="F224" s="129">
        <v>248904.18</v>
      </c>
      <c r="G224" s="129">
        <v>217578.82</v>
      </c>
      <c r="H224" s="129">
        <v>53.35</v>
      </c>
      <c r="I224" s="129">
        <f t="shared" ref="I224:O224" si="90">I530+I666+I760+I840+I926+I1006+I1112+I1224+I1308+I1372+I1431+I1501+I1575+I1689+I1748+I1971+I2080+I2172+I2269+I2347+I2438+I2612+I2729+I2980+I3247</f>
        <v>160133.76000000001</v>
      </c>
      <c r="J224" s="129">
        <f t="shared" si="90"/>
        <v>626616.76</v>
      </c>
      <c r="K224" s="129">
        <f t="shared" si="90"/>
        <v>665780.30750000011</v>
      </c>
      <c r="L224" s="129">
        <f t="shared" si="90"/>
        <v>712384.92902500019</v>
      </c>
      <c r="M224" s="129">
        <f t="shared" si="90"/>
        <v>102932.87850625001</v>
      </c>
      <c r="N224" s="129">
        <f t="shared" si="90"/>
        <v>0</v>
      </c>
      <c r="O224" s="129">
        <f t="shared" si="90"/>
        <v>762251.87405674963</v>
      </c>
    </row>
    <row r="225" spans="1:15" x14ac:dyDescent="0.2">
      <c r="A225" s="119"/>
      <c r="B225" s="120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O225" s="129"/>
    </row>
    <row r="226" spans="1:15" s="114" customFormat="1" ht="15" x14ac:dyDescent="0.25">
      <c r="A226" s="118"/>
      <c r="B226" s="117" t="s">
        <v>165</v>
      </c>
      <c r="C226" s="128">
        <f>SUM(C210:C225)</f>
        <v>68588918</v>
      </c>
      <c r="D226" s="128">
        <v>6447322.5800000001</v>
      </c>
      <c r="E226" s="128">
        <v>0</v>
      </c>
      <c r="F226" s="128">
        <v>32938754.850000001</v>
      </c>
      <c r="G226" s="128">
        <v>35650163.149999999</v>
      </c>
      <c r="H226" s="128">
        <v>48.02</v>
      </c>
      <c r="I226" s="128">
        <f t="shared" ref="I226:O226" si="91">SUM(I210:I225)</f>
        <v>-132846.50999999989</v>
      </c>
      <c r="J226" s="128">
        <f t="shared" si="91"/>
        <v>68456071.489999995</v>
      </c>
      <c r="K226" s="128">
        <f t="shared" si="91"/>
        <v>72664539.02062501</v>
      </c>
      <c r="L226" s="128">
        <f t="shared" si="91"/>
        <v>77769091.252068728</v>
      </c>
      <c r="M226" s="128">
        <f t="shared" si="91"/>
        <v>15466762.640532127</v>
      </c>
      <c r="N226" s="128">
        <f t="shared" si="91"/>
        <v>0</v>
      </c>
      <c r="O226" s="128">
        <f t="shared" si="91"/>
        <v>83183491.13971357</v>
      </c>
    </row>
    <row r="227" spans="1:15" s="114" customFormat="1" ht="15" x14ac:dyDescent="0.25">
      <c r="A227" s="118"/>
      <c r="B227" s="117"/>
      <c r="C227" s="128"/>
      <c r="D227" s="128"/>
      <c r="E227" s="128"/>
      <c r="F227" s="128"/>
      <c r="G227" s="128"/>
      <c r="H227" s="128"/>
      <c r="I227" s="128"/>
      <c r="J227" s="128"/>
      <c r="K227" s="128"/>
      <c r="L227" s="128"/>
      <c r="M227" s="186"/>
      <c r="N227" s="186"/>
      <c r="O227" s="128"/>
    </row>
    <row r="228" spans="1:15" s="114" customFormat="1" ht="15" x14ac:dyDescent="0.25">
      <c r="A228" s="118"/>
      <c r="B228" s="117" t="s">
        <v>166</v>
      </c>
      <c r="C228" s="128"/>
      <c r="D228" s="128"/>
      <c r="E228" s="128"/>
      <c r="F228" s="128"/>
      <c r="G228" s="128"/>
      <c r="H228" s="128"/>
      <c r="I228" s="128"/>
      <c r="J228" s="128"/>
      <c r="K228" s="128"/>
      <c r="L228" s="128"/>
      <c r="M228" s="186"/>
      <c r="N228" s="186"/>
      <c r="O228" s="128"/>
    </row>
    <row r="229" spans="1:15" x14ac:dyDescent="0.2">
      <c r="A229" s="119"/>
      <c r="B229" s="120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O229" s="129"/>
    </row>
    <row r="230" spans="1:15" x14ac:dyDescent="0.2">
      <c r="A230" s="119">
        <v>1.0002130009999999E+19</v>
      </c>
      <c r="B230" s="120" t="s">
        <v>167</v>
      </c>
      <c r="C230" s="129">
        <v>19096</v>
      </c>
      <c r="D230" s="129">
        <v>1519.16</v>
      </c>
      <c r="E230" s="129">
        <v>0</v>
      </c>
      <c r="F230" s="129">
        <v>9003.1200000000008</v>
      </c>
      <c r="G230" s="129">
        <v>10092.879999999999</v>
      </c>
      <c r="H230" s="129">
        <v>47.14</v>
      </c>
      <c r="I230" s="129">
        <f>I536+I672+I766+I846+I932+I1012+I1118+I1172+I1230+I1314+I1378+I1437+I1507+I1581+I1695+I1977+I2086+I2178+I2275+I2353+I2444+I2527+I2618+I2735+I2820+I2905+I3029+I3253+I3383+I3469</f>
        <v>226</v>
      </c>
      <c r="J230" s="129">
        <f>J536+J672+J766+J846+J932+J1012+J1118+J1172+J1230+J1314+J1378+J1437+J1507+J1581+J1695+J1977+J2086+J2178+J2275+J2353+J2444+J2527+J2618+J2735+J2820+J2905+J3029+J3253+J3383+J3469</f>
        <v>19322</v>
      </c>
      <c r="K230" s="129">
        <f>K536+K672+K766+K846+K932+K1012+K1118+K1172+K1230+K1314+K1378+K1437+K1507+K1581+K1695+K1977+K2086+K2178+K2275+K2353+K2444+K2527+K2618+K2735+K2820+K2905+K3029+K3253+K3383+K3469</f>
        <v>20529.625</v>
      </c>
      <c r="L230" s="129">
        <f t="shared" ref="L230:O230" si="92">L536+L672+L766+L846+L932+L1012+L1118+L1172+L1230+L1314+L1378+L1437+L1507+L1581+L1695+L1977+L2086+L2178+L2275+L2353+L2444+L2527+L2618+L2735+L2820+L2905+L3029+L3253+L3383+L3469</f>
        <v>21966.698750000003</v>
      </c>
      <c r="M230" s="129">
        <f t="shared" si="92"/>
        <v>6150.4027999999989</v>
      </c>
      <c r="N230" s="129">
        <f t="shared" si="92"/>
        <v>0</v>
      </c>
      <c r="O230" s="129">
        <f t="shared" si="92"/>
        <v>23504.367662499993</v>
      </c>
    </row>
    <row r="231" spans="1:15" x14ac:dyDescent="0.2">
      <c r="A231" s="119">
        <v>1.00021302E+19</v>
      </c>
      <c r="B231" s="120" t="s">
        <v>168</v>
      </c>
      <c r="C231" s="129">
        <v>6109606</v>
      </c>
      <c r="D231" s="129">
        <v>326754.3</v>
      </c>
      <c r="E231" s="129">
        <v>0</v>
      </c>
      <c r="F231" s="129">
        <v>1975622.75</v>
      </c>
      <c r="G231" s="129">
        <v>4133983.25</v>
      </c>
      <c r="H231" s="129">
        <v>32.33</v>
      </c>
      <c r="I231" s="129">
        <f>I537+I673+I767+I847+I933+I1013+I1119+I1173+I1231+I1315+I1379+I1438+I1508+I1582+I1696+I1799+I1854+I1978+I2087+I2179+I2276+I2354+I2445+I2528+I2619+I2736+I2821+I2906+I3030+I3254+I3384+I3470</f>
        <v>-1307839.2</v>
      </c>
      <c r="J231" s="129">
        <f>J537+J673+J767+J847+J933+J1013+J1119+J1173+J1231+J1315+J1379+J1438+J1508+J1582+J1696+J1799+J1854+J1978+J2087+J2179+J2276+J2354+J2445+J2528+J2619+J2736+J2821+J2906+J3030+J3254+J3384+J3470</f>
        <v>4801766.8</v>
      </c>
      <c r="K231" s="129">
        <f>K537+K673+K767+K847+K933+K1013+K1119+K1173+K1231+K1315+K1379+K1438+K1508+K1582+K1696+K1799+K1854+K1978+K2087+K2179+K2276+K2354+K2445+K2528+K2619+K2736+K2821+K2906+K3030+K3254+K3384+K3470</f>
        <v>5102102.2249999996</v>
      </c>
      <c r="L231" s="129">
        <f t="shared" ref="L231:O231" si="93">L537+L673+L767+L847+L933+L1013+L1119+L1173+L1231+L1315+L1379+L1438+L1508+L1582+L1696+L1799+L1854+L1978+L2087+L2179+L2276+L2354+L2445+L2528+L2619+L2736+L2821+L2906+L3030+L3254+L3384+L3470</f>
        <v>5459249.3807500014</v>
      </c>
      <c r="M231" s="129">
        <f t="shared" si="93"/>
        <v>1482824.89151875</v>
      </c>
      <c r="N231" s="129">
        <f t="shared" si="93"/>
        <v>0</v>
      </c>
      <c r="O231" s="129">
        <f t="shared" si="93"/>
        <v>5841396.8374025002</v>
      </c>
    </row>
    <row r="232" spans="1:15" x14ac:dyDescent="0.2">
      <c r="A232" s="119">
        <v>1.00021303E+19</v>
      </c>
      <c r="B232" s="120" t="s">
        <v>169</v>
      </c>
      <c r="C232" s="129">
        <v>10657295</v>
      </c>
      <c r="D232" s="129">
        <v>810355.22</v>
      </c>
      <c r="E232" s="129">
        <v>0</v>
      </c>
      <c r="F232" s="129">
        <v>4820890.33</v>
      </c>
      <c r="G232" s="129">
        <v>5836404.6699999999</v>
      </c>
      <c r="H232" s="129">
        <v>45.23</v>
      </c>
      <c r="I232" s="129">
        <f>I538+I674+I768+I848+I934+I1014+I1120+I1174+I1232+I1316+I1380+I1439+I1509+I1583+I1697+I1979+I2088+I2180+I2277+I2355+I2446+I2529+I2620+I2737+I2822+I2907+I3031+I3255+I3385+I3471</f>
        <v>0</v>
      </c>
      <c r="J232" s="129">
        <f>J538+J674+J768+J848+J934+J1014+J1120+J1174+J1232+J1316+J1380+J1439+J1509+J1583+J1697+J1979+J2088+J2180+J2277+J2355+J2446+J2529+J2620+J2737+J2822+J2907+J3031+J3255+J3385+J3471</f>
        <v>10657295</v>
      </c>
      <c r="K232" s="129">
        <f>K538+K674+K768+K848+K934+K1014+K1120+K1174+K1232+K1316+K1380+K1439+K1509+K1583+K1697+K1979+K2088+K2180+K2277+K2355+K2446+K2529+K2620+K2737+K2822+K2907+K3031+K3255+K3385+K3471</f>
        <v>11323375.9375</v>
      </c>
      <c r="L232" s="129">
        <f t="shared" ref="L232:O232" si="94">L538+L674+L768+L848+L934+L1014+L1120+L1174+L1232+L1316+L1380+L1439+L1509+L1583+L1697+L1979+L2088+L2180+L2277+L2355+L2446+L2529+L2620+L2737+L2822+L2907+L3031+L3255+L3385+L3471</f>
        <v>12116012.253125001</v>
      </c>
      <c r="M232" s="129">
        <f t="shared" si="94"/>
        <v>2229878.6531374999</v>
      </c>
      <c r="N232" s="129">
        <f t="shared" si="94"/>
        <v>0</v>
      </c>
      <c r="O232" s="129">
        <f t="shared" si="94"/>
        <v>12964133.110843752</v>
      </c>
    </row>
    <row r="233" spans="1:15" x14ac:dyDescent="0.2">
      <c r="A233" s="119">
        <v>1.00021304E+19</v>
      </c>
      <c r="B233" s="120" t="s">
        <v>170</v>
      </c>
      <c r="C233" s="129">
        <v>305235</v>
      </c>
      <c r="D233" s="129">
        <v>25075.97</v>
      </c>
      <c r="E233" s="129">
        <v>0</v>
      </c>
      <c r="F233" s="129">
        <v>148389.76000000001</v>
      </c>
      <c r="G233" s="129">
        <v>156845.24</v>
      </c>
      <c r="H233" s="129">
        <v>48.61</v>
      </c>
      <c r="I233" s="129">
        <f>I539+I675+I849+I769+I935+I1015+I1121+I1175+I1233+I1317+I1381+I1440+I1510+I1511+I1584+I1698+I1980+I2089+I2181+I2182+I2278+I2279+I2279+I2356+I2447+I2530+I2621+I2738+I2823+I2908+I3032+I3149+I3256+I3386+I3472</f>
        <v>3730</v>
      </c>
      <c r="J233" s="129">
        <f>J539+J675+J849+J769+J935+J1015+J1121+J1175+J1233+J1317+J1381+J1440+J1510+J1511+J1584+J1698+J1980+J2089+J2181+J2182+J2278+J2279+J2279+J2356+J2447+J2530+J2621+J2738+J2823+J2908+J3032+J3149+J3256+J3386+J3472</f>
        <v>308965</v>
      </c>
      <c r="K233" s="129">
        <f>K539+K675+K769+K849+K935+K1015+K1121+K1175+K1233+K1317+K1381+K1440+K1510+K1511+K1584+K1698+K1980+K2089+K2181+K2182+K2278+K2279+K2356+K2447+K2530+K2621+K2738+K2823+K2908+K3032+K3149+K3256+K3386+K3472</f>
        <v>328275.3125</v>
      </c>
      <c r="L233" s="129">
        <f t="shared" ref="L233:O233" si="95">L539+L675+L769+L849+L935+L1015+L1121+L1175+L1233+L1317+L1381+L1440+L1510+L1511+L1584+L1698+L1980+L2089+L2181+L2182+L2278+L2279+L2356+L2447+L2530+L2621+L2738+L2823+L2908+L3032+L3149+L3256+L3386+L3472</f>
        <v>351254.58437499998</v>
      </c>
      <c r="M233" s="129">
        <f t="shared" si="95"/>
        <v>80340.853031249993</v>
      </c>
      <c r="N233" s="129">
        <f t="shared" si="95"/>
        <v>0</v>
      </c>
      <c r="O233" s="129">
        <f t="shared" si="95"/>
        <v>375842.40528124996</v>
      </c>
    </row>
    <row r="234" spans="1:15" x14ac:dyDescent="0.2">
      <c r="A234" s="119"/>
      <c r="B234" s="120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O234" s="129"/>
    </row>
    <row r="235" spans="1:15" s="114" customFormat="1" ht="15" x14ac:dyDescent="0.25">
      <c r="A235" s="118"/>
      <c r="B235" s="117" t="s">
        <v>171</v>
      </c>
      <c r="C235" s="128">
        <f>SUM(C230:C234)</f>
        <v>17091232</v>
      </c>
      <c r="D235" s="128">
        <v>1163704.6499999999</v>
      </c>
      <c r="E235" s="128">
        <v>0</v>
      </c>
      <c r="F235" s="128">
        <v>6953905.96</v>
      </c>
      <c r="G235" s="128">
        <v>10137326.039999999</v>
      </c>
      <c r="H235" s="128">
        <v>40.68</v>
      </c>
      <c r="I235" s="128">
        <f t="shared" ref="I235:O235" si="96">SUM(I230:I234)</f>
        <v>-1303883.2</v>
      </c>
      <c r="J235" s="128">
        <f t="shared" si="96"/>
        <v>15787348.800000001</v>
      </c>
      <c r="K235" s="128">
        <f t="shared" si="96"/>
        <v>16774283.1</v>
      </c>
      <c r="L235" s="128">
        <f t="shared" si="96"/>
        <v>17948482.917000003</v>
      </c>
      <c r="M235" s="128">
        <f t="shared" si="96"/>
        <v>3799194.8004875001</v>
      </c>
      <c r="N235" s="128">
        <f t="shared" si="96"/>
        <v>0</v>
      </c>
      <c r="O235" s="128">
        <f t="shared" si="96"/>
        <v>19204876.721190002</v>
      </c>
    </row>
    <row r="236" spans="1:15" s="114" customFormat="1" ht="15" x14ac:dyDescent="0.25">
      <c r="A236" s="118"/>
      <c r="B236" s="117"/>
      <c r="C236" s="128"/>
      <c r="D236" s="128"/>
      <c r="E236" s="128"/>
      <c r="F236" s="128"/>
      <c r="G236" s="128"/>
      <c r="H236" s="128"/>
      <c r="I236" s="128"/>
      <c r="J236" s="128"/>
      <c r="K236" s="128"/>
      <c r="L236" s="128"/>
      <c r="M236" s="186"/>
      <c r="N236" s="186"/>
      <c r="O236" s="128"/>
    </row>
    <row r="237" spans="1:15" s="114" customFormat="1" ht="15" x14ac:dyDescent="0.25">
      <c r="A237" s="118"/>
      <c r="B237" s="117" t="s">
        <v>172</v>
      </c>
      <c r="C237" s="128"/>
      <c r="D237" s="128"/>
      <c r="E237" s="128"/>
      <c r="F237" s="128"/>
      <c r="G237" s="128"/>
      <c r="H237" s="128"/>
      <c r="I237" s="128"/>
      <c r="J237" s="128"/>
      <c r="K237" s="128"/>
      <c r="L237" s="128"/>
      <c r="M237" s="186"/>
      <c r="N237" s="186"/>
      <c r="O237" s="128"/>
    </row>
    <row r="238" spans="1:15" x14ac:dyDescent="0.2">
      <c r="A238" s="119"/>
      <c r="B238" s="120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O238" s="129"/>
    </row>
    <row r="239" spans="1:15" x14ac:dyDescent="0.2">
      <c r="A239" s="119">
        <v>1.000214002E+19</v>
      </c>
      <c r="B239" s="120" t="s">
        <v>173</v>
      </c>
      <c r="C239" s="129">
        <v>702784</v>
      </c>
      <c r="D239" s="129">
        <v>0</v>
      </c>
      <c r="E239" s="129">
        <v>0</v>
      </c>
      <c r="F239" s="129">
        <v>0</v>
      </c>
      <c r="G239" s="129">
        <v>702784</v>
      </c>
      <c r="H239" s="129">
        <v>0</v>
      </c>
      <c r="I239" s="129">
        <f t="shared" ref="I239:K240" si="97">I545+I681+I775+I855+I941+I1021+I1127+I1181+I1239+I1323+I1387+I1446+I1517+I1590+I1986+I2095+I2188+I2285+I2362+I2453+I2536+I2627+I2744+I2829+I2914+I3038+I3262+I3392+I3478</f>
        <v>0</v>
      </c>
      <c r="J239" s="129">
        <f t="shared" si="97"/>
        <v>702784</v>
      </c>
      <c r="K239" s="129">
        <f t="shared" si="97"/>
        <v>746708</v>
      </c>
      <c r="L239" s="129">
        <f t="shared" ref="L239:O239" si="98">L545+L681+L775+L855+L941+L1021+L1127+L1181+L1239+L1323+L1387+L1446+L1517+L1590+L1986+L2095+L2188+L2285+L2362+L2453+L2536+L2627+L2744+L2829+L2914+L3038+L3262+L3392+L3478</f>
        <v>798977.55999999994</v>
      </c>
      <c r="M239" s="129">
        <f t="shared" si="98"/>
        <v>197613.31781249997</v>
      </c>
      <c r="N239" s="129">
        <f t="shared" si="98"/>
        <v>0</v>
      </c>
      <c r="O239" s="129">
        <f t="shared" si="98"/>
        <v>854905.98920000019</v>
      </c>
    </row>
    <row r="240" spans="1:15" x14ac:dyDescent="0.2">
      <c r="A240" s="119">
        <v>1.000214004E+19</v>
      </c>
      <c r="B240" s="120" t="s">
        <v>174</v>
      </c>
      <c r="C240" s="129">
        <v>773343</v>
      </c>
      <c r="D240" s="129">
        <v>0</v>
      </c>
      <c r="E240" s="129">
        <v>0</v>
      </c>
      <c r="F240" s="129">
        <v>0</v>
      </c>
      <c r="G240" s="129">
        <v>773343</v>
      </c>
      <c r="H240" s="129">
        <v>0</v>
      </c>
      <c r="I240" s="129">
        <f t="shared" si="97"/>
        <v>0</v>
      </c>
      <c r="J240" s="129">
        <f t="shared" si="97"/>
        <v>773343</v>
      </c>
      <c r="K240" s="129">
        <f t="shared" si="97"/>
        <v>821676.9375</v>
      </c>
      <c r="L240" s="129">
        <f t="shared" ref="L240:O240" si="99">L546+L682+L776+L856+L942+L1022+L1128+L1182+L1240+L1324+L1388+L1447+L1518+L1591+L1987+L2096+L2189+L2286+L2363+L2454+L2537+L2628+L2745+L2830+L2915+L3039+L3263+L3393+L3479</f>
        <v>879194.32312500011</v>
      </c>
      <c r="M240" s="129">
        <f t="shared" si="99"/>
        <v>214438.12420624998</v>
      </c>
      <c r="N240" s="129">
        <f t="shared" si="99"/>
        <v>0</v>
      </c>
      <c r="O240" s="129">
        <f t="shared" si="99"/>
        <v>940737.92574375018</v>
      </c>
    </row>
    <row r="241" spans="1:15" x14ac:dyDescent="0.2">
      <c r="A241" s="119"/>
      <c r="B241" s="120" t="s">
        <v>1392</v>
      </c>
      <c r="C241" s="129">
        <f>C547+C1988</f>
        <v>0</v>
      </c>
      <c r="D241" s="129">
        <f>D547+D1988</f>
        <v>-141346.4</v>
      </c>
      <c r="E241" s="129">
        <f>E547+E1988</f>
        <v>0</v>
      </c>
      <c r="F241" s="129">
        <f>F547+F1988</f>
        <v>-848078.4</v>
      </c>
      <c r="G241" s="129">
        <f>G547+G1988</f>
        <v>-563200.6</v>
      </c>
      <c r="H241" s="129"/>
      <c r="I241" s="129">
        <f t="shared" ref="I241:O241" si="100">I547+I1988</f>
        <v>500000</v>
      </c>
      <c r="J241" s="129">
        <f t="shared" si="100"/>
        <v>500000</v>
      </c>
      <c r="K241" s="129">
        <f t="shared" si="100"/>
        <v>531250</v>
      </c>
      <c r="L241" s="129">
        <f t="shared" si="100"/>
        <v>568437.5</v>
      </c>
      <c r="M241" s="129">
        <f t="shared" si="100"/>
        <v>608228.125</v>
      </c>
      <c r="N241" s="129">
        <f t="shared" si="100"/>
        <v>0</v>
      </c>
      <c r="O241" s="129">
        <f t="shared" si="100"/>
        <v>608228.125</v>
      </c>
    </row>
    <row r="242" spans="1:15" x14ac:dyDescent="0.2">
      <c r="A242" s="119">
        <v>1.00021422E+19</v>
      </c>
      <c r="B242" s="120" t="s">
        <v>175</v>
      </c>
      <c r="C242" s="129">
        <v>650405</v>
      </c>
      <c r="D242" s="129">
        <v>0</v>
      </c>
      <c r="E242" s="129">
        <v>0</v>
      </c>
      <c r="F242" s="129">
        <v>0</v>
      </c>
      <c r="G242" s="129">
        <v>650405</v>
      </c>
      <c r="H242" s="129">
        <v>0</v>
      </c>
      <c r="I242" s="129">
        <f>I548+I683+I777+I857+I943+I1023+I1129+I1183+I1241+I1325+I1389+I1448+I1519+I1592+I1989+I2097+I2190+I2287+I2364+I2455+I2538+I2629+I2746+I2831+I2916+I3040+I3264+I3394+I3480</f>
        <v>0</v>
      </c>
      <c r="J242" s="129">
        <f>J548+J683+J777+J857+J943+J1023+J1129+J1183+J1241+J1325+J1389+J1448+J1519+J1592+J1989+J2097+J2190+J2287+J2364+J2455+J2538+J2629+J2746+J2831+J2916+J3040+J3264+J3394+J3480</f>
        <v>650405</v>
      </c>
      <c r="K242" s="129">
        <f>K548+K683+K777+K857+K943+K1023+K1129+K1183+K1241+K1325+K1389+K1448+K1519+K1592+K1989+K2097+K2190+K2287+K2364+K2455+K2538+K2629+K2746+K2831+K2916+K3040+K3264+K3394+K3480</f>
        <v>691055.3125</v>
      </c>
      <c r="L242" s="129">
        <f t="shared" ref="L242:O242" si="101">L548+L683+L777+L857+L943+L1023+L1129+L1183+L1241+L1325+L1389+L1448+L1519+L1592+L1989+L2097+L2190+L2287+L2364+L2455+L2538+L2629+L2746+L2831+L2916+L3040+L3264+L3394+L3480</f>
        <v>739429.18437499995</v>
      </c>
      <c r="M242" s="129">
        <f t="shared" si="101"/>
        <v>141258.54911875</v>
      </c>
      <c r="N242" s="129">
        <f t="shared" si="101"/>
        <v>0</v>
      </c>
      <c r="O242" s="129">
        <f t="shared" si="101"/>
        <v>791189.22728124994</v>
      </c>
    </row>
    <row r="243" spans="1:15" x14ac:dyDescent="0.2">
      <c r="A243" s="119"/>
      <c r="B243" s="120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O243" s="129"/>
    </row>
    <row r="244" spans="1:15" s="114" customFormat="1" ht="15" x14ac:dyDescent="0.25">
      <c r="A244" s="118"/>
      <c r="B244" s="117" t="s">
        <v>176</v>
      </c>
      <c r="C244" s="128">
        <f>SUM(C239:C243)</f>
        <v>2126532</v>
      </c>
      <c r="D244" s="128">
        <v>0</v>
      </c>
      <c r="E244" s="128">
        <v>0</v>
      </c>
      <c r="F244" s="128">
        <v>0</v>
      </c>
      <c r="G244" s="128">
        <v>2126532</v>
      </c>
      <c r="H244" s="128">
        <v>0</v>
      </c>
      <c r="I244" s="128">
        <f t="shared" ref="I244:O244" si="102">SUM(I239:I243)</f>
        <v>500000</v>
      </c>
      <c r="J244" s="128">
        <f t="shared" si="102"/>
        <v>2626532</v>
      </c>
      <c r="K244" s="128">
        <f t="shared" si="102"/>
        <v>2790690.25</v>
      </c>
      <c r="L244" s="128">
        <f t="shared" si="102"/>
        <v>2986038.5674999999</v>
      </c>
      <c r="M244" s="128">
        <f t="shared" si="102"/>
        <v>1161538.1161374999</v>
      </c>
      <c r="N244" s="128">
        <f t="shared" si="102"/>
        <v>0</v>
      </c>
      <c r="O244" s="128">
        <f t="shared" si="102"/>
        <v>3195061.2672250005</v>
      </c>
    </row>
    <row r="245" spans="1:15" s="114" customFormat="1" ht="15" x14ac:dyDescent="0.25">
      <c r="A245" s="118"/>
      <c r="B245" s="117"/>
      <c r="C245" s="128"/>
      <c r="D245" s="128"/>
      <c r="E245" s="128"/>
      <c r="F245" s="128"/>
      <c r="G245" s="128"/>
      <c r="H245" s="128"/>
      <c r="I245" s="128"/>
      <c r="J245" s="128"/>
      <c r="K245" s="128"/>
      <c r="L245" s="128"/>
      <c r="M245" s="186"/>
      <c r="N245" s="186"/>
      <c r="O245" s="128"/>
    </row>
    <row r="246" spans="1:15" s="114" customFormat="1" ht="15" x14ac:dyDescent="0.25">
      <c r="A246" s="118"/>
      <c r="B246" s="117" t="s">
        <v>177</v>
      </c>
      <c r="C246" s="128">
        <f>+C226+C235+C244</f>
        <v>87806682</v>
      </c>
      <c r="D246" s="128">
        <v>7611027.2300000004</v>
      </c>
      <c r="E246" s="128">
        <v>0</v>
      </c>
      <c r="F246" s="128">
        <v>39892660.810000002</v>
      </c>
      <c r="G246" s="128">
        <v>47914021.189999998</v>
      </c>
      <c r="H246" s="128">
        <v>45.43</v>
      </c>
      <c r="I246" s="128">
        <f t="shared" ref="I246:J246" si="103">+I226+I235+I244</f>
        <v>-936729.71</v>
      </c>
      <c r="J246" s="128">
        <f t="shared" si="103"/>
        <v>86869952.289999992</v>
      </c>
      <c r="K246" s="128">
        <f>K226+K235+K244</f>
        <v>92229512.370625004</v>
      </c>
      <c r="L246" s="128">
        <f t="shared" ref="L246:O246" si="104">L226+L235+L244</f>
        <v>98703612.736568719</v>
      </c>
      <c r="M246" s="128">
        <f t="shared" si="104"/>
        <v>20427495.557157129</v>
      </c>
      <c r="N246" s="128">
        <f t="shared" si="104"/>
        <v>0</v>
      </c>
      <c r="O246" s="128">
        <f t="shared" si="104"/>
        <v>105583429.12812857</v>
      </c>
    </row>
    <row r="247" spans="1:15" s="114" customFormat="1" ht="15" x14ac:dyDescent="0.25">
      <c r="A247" s="118"/>
      <c r="B247" s="117"/>
      <c r="C247" s="128"/>
      <c r="D247" s="128"/>
      <c r="E247" s="128"/>
      <c r="F247" s="128"/>
      <c r="G247" s="128"/>
      <c r="H247" s="128"/>
      <c r="I247" s="128"/>
      <c r="J247" s="128"/>
      <c r="K247" s="128"/>
      <c r="L247" s="128"/>
      <c r="M247" s="186"/>
      <c r="N247" s="186"/>
      <c r="O247" s="128"/>
    </row>
    <row r="248" spans="1:15" s="114" customFormat="1" ht="15" x14ac:dyDescent="0.25">
      <c r="A248" s="118"/>
      <c r="B248" s="117" t="s">
        <v>178</v>
      </c>
      <c r="C248" s="128">
        <f>+C205+C246</f>
        <v>93985993</v>
      </c>
      <c r="D248" s="128">
        <v>8067021.75</v>
      </c>
      <c r="E248" s="128">
        <v>0</v>
      </c>
      <c r="F248" s="128">
        <v>42122052.07</v>
      </c>
      <c r="G248" s="128">
        <v>51863940.93</v>
      </c>
      <c r="H248" s="128">
        <v>44.81</v>
      </c>
      <c r="I248" s="128">
        <f t="shared" ref="I248:J248" si="105">+I205+I246</f>
        <v>-1529565.71</v>
      </c>
      <c r="J248" s="128">
        <f t="shared" si="105"/>
        <v>92456427.289999992</v>
      </c>
      <c r="K248" s="128">
        <f>K205+K246</f>
        <v>98165142.058125004</v>
      </c>
      <c r="L248" s="128">
        <f t="shared" ref="L248:O248" si="106">L205+L246</f>
        <v>105054736.50219372</v>
      </c>
      <c r="M248" s="128">
        <f t="shared" si="106"/>
        <v>22714691.19588213</v>
      </c>
      <c r="N248" s="128">
        <f t="shared" si="106"/>
        <v>0</v>
      </c>
      <c r="O248" s="128">
        <f t="shared" si="106"/>
        <v>112379131.55734733</v>
      </c>
    </row>
    <row r="249" spans="1:15" x14ac:dyDescent="0.2">
      <c r="A249" s="119"/>
      <c r="B249" s="120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O249" s="129"/>
    </row>
    <row r="250" spans="1:15" s="114" customFormat="1" ht="15" x14ac:dyDescent="0.25">
      <c r="A250" s="118"/>
      <c r="B250" s="117" t="s">
        <v>179</v>
      </c>
      <c r="C250" s="128"/>
      <c r="D250" s="128"/>
      <c r="E250" s="128"/>
      <c r="F250" s="128"/>
      <c r="G250" s="128"/>
      <c r="H250" s="128"/>
      <c r="I250" s="128"/>
      <c r="J250" s="128"/>
      <c r="K250" s="128"/>
      <c r="L250" s="128"/>
      <c r="M250" s="186"/>
      <c r="N250" s="186"/>
      <c r="O250" s="128"/>
    </row>
    <row r="251" spans="1:15" x14ac:dyDescent="0.2">
      <c r="A251" s="119"/>
      <c r="B251" s="120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O251" s="129"/>
    </row>
    <row r="252" spans="1:15" x14ac:dyDescent="0.2">
      <c r="A252" s="119">
        <v>1.0002210049999999E+19</v>
      </c>
      <c r="B252" s="120" t="s">
        <v>182</v>
      </c>
      <c r="C252" s="129">
        <v>177139</v>
      </c>
      <c r="D252" s="129">
        <v>0</v>
      </c>
      <c r="E252" s="129">
        <v>0</v>
      </c>
      <c r="F252" s="129">
        <v>0</v>
      </c>
      <c r="G252" s="129">
        <v>177139</v>
      </c>
      <c r="H252" s="129">
        <v>0</v>
      </c>
      <c r="I252" s="129">
        <f t="shared" ref="I252:O254" si="107">I1710</f>
        <v>0</v>
      </c>
      <c r="J252" s="129">
        <f t="shared" si="107"/>
        <v>177139</v>
      </c>
      <c r="K252" s="129">
        <f t="shared" si="107"/>
        <v>188210.1875</v>
      </c>
      <c r="L252" s="129">
        <f t="shared" si="107"/>
        <v>201384.90062500001</v>
      </c>
      <c r="M252" s="129">
        <f t="shared" si="107"/>
        <v>0</v>
      </c>
      <c r="N252" s="129">
        <f t="shared" si="107"/>
        <v>0</v>
      </c>
      <c r="O252" s="129">
        <f t="shared" si="107"/>
        <v>215481.84366875002</v>
      </c>
    </row>
    <row r="253" spans="1:15" x14ac:dyDescent="0.2">
      <c r="A253" s="119">
        <v>1.00022101E+19</v>
      </c>
      <c r="B253" s="120" t="s">
        <v>183</v>
      </c>
      <c r="C253" s="129">
        <v>531416</v>
      </c>
      <c r="D253" s="129">
        <v>0</v>
      </c>
      <c r="E253" s="129">
        <v>0</v>
      </c>
      <c r="F253" s="129">
        <v>0</v>
      </c>
      <c r="G253" s="129">
        <v>531416</v>
      </c>
      <c r="H253" s="129">
        <v>0</v>
      </c>
      <c r="I253" s="129">
        <f t="shared" si="107"/>
        <v>0</v>
      </c>
      <c r="J253" s="129">
        <f t="shared" si="107"/>
        <v>531416</v>
      </c>
      <c r="K253" s="129">
        <f t="shared" si="107"/>
        <v>564629.5</v>
      </c>
      <c r="L253" s="129">
        <f t="shared" si="107"/>
        <v>604153.56499999994</v>
      </c>
      <c r="M253" s="129">
        <f t="shared" si="107"/>
        <v>0</v>
      </c>
      <c r="N253" s="129">
        <f t="shared" si="107"/>
        <v>0</v>
      </c>
      <c r="O253" s="129">
        <f t="shared" si="107"/>
        <v>646444.31454999989</v>
      </c>
    </row>
    <row r="254" spans="1:15" x14ac:dyDescent="0.2">
      <c r="A254" s="119">
        <v>1.000221012E+19</v>
      </c>
      <c r="B254" s="120" t="s">
        <v>184</v>
      </c>
      <c r="C254" s="129">
        <v>47508</v>
      </c>
      <c r="D254" s="129">
        <v>0</v>
      </c>
      <c r="E254" s="129">
        <v>0</v>
      </c>
      <c r="F254" s="129">
        <v>0</v>
      </c>
      <c r="G254" s="129">
        <v>47508</v>
      </c>
      <c r="H254" s="129">
        <v>0</v>
      </c>
      <c r="I254" s="129">
        <f t="shared" si="107"/>
        <v>0</v>
      </c>
      <c r="J254" s="129">
        <f t="shared" si="107"/>
        <v>47508</v>
      </c>
      <c r="K254" s="129">
        <f t="shared" si="107"/>
        <v>50477.25</v>
      </c>
      <c r="L254" s="129">
        <f t="shared" si="107"/>
        <v>54010.657500000001</v>
      </c>
      <c r="M254" s="129">
        <f t="shared" si="107"/>
        <v>0</v>
      </c>
      <c r="N254" s="129">
        <f t="shared" si="107"/>
        <v>0</v>
      </c>
      <c r="O254" s="129">
        <f t="shared" si="107"/>
        <v>57791.403525000002</v>
      </c>
    </row>
    <row r="255" spans="1:15" x14ac:dyDescent="0.2">
      <c r="A255" s="119"/>
      <c r="B255" s="120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O255" s="129"/>
    </row>
    <row r="256" spans="1:15" s="114" customFormat="1" ht="15" x14ac:dyDescent="0.25">
      <c r="A256" s="118"/>
      <c r="B256" s="117" t="s">
        <v>185</v>
      </c>
      <c r="C256" s="128">
        <f>SUM(C252:C255)</f>
        <v>756063</v>
      </c>
      <c r="D256" s="128">
        <v>0</v>
      </c>
      <c r="E256" s="128">
        <v>0</v>
      </c>
      <c r="F256" s="128">
        <v>0</v>
      </c>
      <c r="G256" s="128">
        <v>756063</v>
      </c>
      <c r="H256" s="128">
        <v>0</v>
      </c>
      <c r="I256" s="128">
        <f t="shared" ref="I256:O256" si="108">SUM(I252:I255)</f>
        <v>0</v>
      </c>
      <c r="J256" s="128">
        <f t="shared" si="108"/>
        <v>756063</v>
      </c>
      <c r="K256" s="128">
        <f t="shared" si="108"/>
        <v>803316.9375</v>
      </c>
      <c r="L256" s="128">
        <f t="shared" si="108"/>
        <v>859549.12312499993</v>
      </c>
      <c r="M256" s="128">
        <f t="shared" si="108"/>
        <v>0</v>
      </c>
      <c r="N256" s="128">
        <f t="shared" si="108"/>
        <v>0</v>
      </c>
      <c r="O256" s="128">
        <f t="shared" si="108"/>
        <v>919717.56174374989</v>
      </c>
    </row>
    <row r="257" spans="1:15" s="114" customFormat="1" ht="15" x14ac:dyDescent="0.25">
      <c r="A257" s="118"/>
      <c r="B257" s="117"/>
      <c r="C257" s="128"/>
      <c r="D257" s="128"/>
      <c r="E257" s="128"/>
      <c r="F257" s="128"/>
      <c r="G257" s="128"/>
      <c r="H257" s="128"/>
      <c r="I257" s="128"/>
      <c r="J257" s="128"/>
      <c r="K257" s="128"/>
      <c r="L257" s="128"/>
      <c r="M257" s="186"/>
      <c r="N257" s="186"/>
      <c r="O257" s="128"/>
    </row>
    <row r="258" spans="1:15" s="114" customFormat="1" ht="15" x14ac:dyDescent="0.25">
      <c r="A258" s="118"/>
      <c r="B258" s="117" t="s">
        <v>186</v>
      </c>
      <c r="C258" s="128"/>
      <c r="D258" s="128"/>
      <c r="E258" s="128"/>
      <c r="F258" s="128"/>
      <c r="G258" s="128"/>
      <c r="H258" s="128"/>
      <c r="I258" s="128"/>
      <c r="J258" s="128"/>
      <c r="K258" s="128"/>
      <c r="L258" s="128"/>
      <c r="M258" s="186"/>
      <c r="N258" s="186"/>
      <c r="O258" s="128"/>
    </row>
    <row r="259" spans="1:15" x14ac:dyDescent="0.2">
      <c r="A259" s="119"/>
      <c r="B259" s="120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O259" s="129"/>
    </row>
    <row r="260" spans="1:15" x14ac:dyDescent="0.2">
      <c r="A260" s="119">
        <v>1.0002210350000001E+19</v>
      </c>
      <c r="B260" s="120" t="s">
        <v>187</v>
      </c>
      <c r="C260" s="129">
        <v>166067</v>
      </c>
      <c r="D260" s="129">
        <v>0</v>
      </c>
      <c r="E260" s="129">
        <v>0</v>
      </c>
      <c r="F260" s="129">
        <v>0</v>
      </c>
      <c r="G260" s="129">
        <v>166067</v>
      </c>
      <c r="H260" s="129">
        <v>0</v>
      </c>
      <c r="I260" s="129">
        <f t="shared" ref="I260:O262" si="109">I1760</f>
        <v>0</v>
      </c>
      <c r="J260" s="129">
        <f t="shared" si="109"/>
        <v>166067</v>
      </c>
      <c r="K260" s="129">
        <f t="shared" si="109"/>
        <v>176446.1875</v>
      </c>
      <c r="L260" s="129">
        <f t="shared" si="109"/>
        <v>188797.420625</v>
      </c>
      <c r="M260" s="129">
        <f t="shared" si="109"/>
        <v>0</v>
      </c>
      <c r="N260" s="129">
        <f t="shared" si="109"/>
        <v>0</v>
      </c>
      <c r="O260" s="129">
        <f t="shared" si="109"/>
        <v>202013.24006874999</v>
      </c>
    </row>
    <row r="261" spans="1:15" x14ac:dyDescent="0.2">
      <c r="A261" s="119">
        <v>1.00022104E+19</v>
      </c>
      <c r="B261" s="120" t="s">
        <v>188</v>
      </c>
      <c r="C261" s="129">
        <v>498202</v>
      </c>
      <c r="D261" s="129">
        <v>0</v>
      </c>
      <c r="E261" s="129">
        <v>0</v>
      </c>
      <c r="F261" s="129">
        <v>0</v>
      </c>
      <c r="G261" s="129">
        <v>498202</v>
      </c>
      <c r="H261" s="129">
        <v>0</v>
      </c>
      <c r="I261" s="129">
        <f t="shared" si="109"/>
        <v>0</v>
      </c>
      <c r="J261" s="129">
        <f t="shared" si="109"/>
        <v>498202</v>
      </c>
      <c r="K261" s="129">
        <f t="shared" si="109"/>
        <v>529339.625</v>
      </c>
      <c r="L261" s="129">
        <f t="shared" si="109"/>
        <v>566393.39875000005</v>
      </c>
      <c r="M261" s="129">
        <f t="shared" si="109"/>
        <v>0</v>
      </c>
      <c r="N261" s="129">
        <f t="shared" si="109"/>
        <v>0</v>
      </c>
      <c r="O261" s="129">
        <f t="shared" si="109"/>
        <v>606040.93666250003</v>
      </c>
    </row>
    <row r="262" spans="1:15" x14ac:dyDescent="0.2">
      <c r="A262" s="119">
        <v>1.000221042E+19</v>
      </c>
      <c r="B262" s="120" t="s">
        <v>189</v>
      </c>
      <c r="C262" s="129">
        <v>47508</v>
      </c>
      <c r="D262" s="129">
        <v>0</v>
      </c>
      <c r="E262" s="129">
        <v>0</v>
      </c>
      <c r="F262" s="129">
        <v>0</v>
      </c>
      <c r="G262" s="129">
        <v>47508</v>
      </c>
      <c r="H262" s="129">
        <v>0</v>
      </c>
      <c r="I262" s="129">
        <f t="shared" si="109"/>
        <v>0</v>
      </c>
      <c r="J262" s="129">
        <f t="shared" si="109"/>
        <v>47508</v>
      </c>
      <c r="K262" s="129">
        <f t="shared" si="109"/>
        <v>50477.25</v>
      </c>
      <c r="L262" s="129">
        <f t="shared" si="109"/>
        <v>54010.657500000001</v>
      </c>
      <c r="M262" s="129">
        <f t="shared" si="109"/>
        <v>0</v>
      </c>
      <c r="N262" s="129">
        <f t="shared" si="109"/>
        <v>0</v>
      </c>
      <c r="O262" s="129">
        <f t="shared" si="109"/>
        <v>57791.403525000002</v>
      </c>
    </row>
    <row r="263" spans="1:15" x14ac:dyDescent="0.2">
      <c r="A263" s="119"/>
      <c r="B263" s="120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O263" s="129"/>
    </row>
    <row r="264" spans="1:15" s="114" customFormat="1" ht="15" x14ac:dyDescent="0.25">
      <c r="A264" s="118"/>
      <c r="B264" s="117" t="s">
        <v>190</v>
      </c>
      <c r="C264" s="128">
        <f>SUM(C260:C263)</f>
        <v>711777</v>
      </c>
      <c r="D264" s="128">
        <v>0</v>
      </c>
      <c r="E264" s="128">
        <v>0</v>
      </c>
      <c r="F264" s="128">
        <v>0</v>
      </c>
      <c r="G264" s="128">
        <v>711777</v>
      </c>
      <c r="H264" s="128">
        <v>0</v>
      </c>
      <c r="I264" s="128">
        <f t="shared" ref="I264:O264" si="110">SUM(I260:I263)</f>
        <v>0</v>
      </c>
      <c r="J264" s="128">
        <f t="shared" si="110"/>
        <v>711777</v>
      </c>
      <c r="K264" s="128">
        <f t="shared" si="110"/>
        <v>756263.0625</v>
      </c>
      <c r="L264" s="128">
        <f t="shared" si="110"/>
        <v>809201.47687500005</v>
      </c>
      <c r="M264" s="128">
        <f t="shared" si="110"/>
        <v>0</v>
      </c>
      <c r="N264" s="128">
        <f t="shared" si="110"/>
        <v>0</v>
      </c>
      <c r="O264" s="128">
        <f t="shared" si="110"/>
        <v>865845.58025624999</v>
      </c>
    </row>
    <row r="265" spans="1:15" s="114" customFormat="1" ht="15" x14ac:dyDescent="0.25">
      <c r="A265" s="118"/>
      <c r="B265" s="117"/>
      <c r="C265" s="128"/>
      <c r="D265" s="128"/>
      <c r="E265" s="128"/>
      <c r="F265" s="128"/>
      <c r="G265" s="128"/>
      <c r="H265" s="128"/>
      <c r="I265" s="128"/>
      <c r="J265" s="128"/>
      <c r="K265" s="128"/>
      <c r="L265" s="128"/>
      <c r="M265" s="186"/>
      <c r="N265" s="186"/>
      <c r="O265" s="128"/>
    </row>
    <row r="266" spans="1:15" s="114" customFormat="1" ht="15" x14ac:dyDescent="0.25">
      <c r="A266" s="118"/>
      <c r="B266" s="117" t="s">
        <v>191</v>
      </c>
      <c r="C266" s="128"/>
      <c r="D266" s="128"/>
      <c r="E266" s="128"/>
      <c r="F266" s="128"/>
      <c r="G266" s="128"/>
      <c r="H266" s="128"/>
      <c r="I266" s="128"/>
      <c r="J266" s="128"/>
      <c r="K266" s="128"/>
      <c r="L266" s="128"/>
      <c r="M266" s="186"/>
      <c r="N266" s="186"/>
      <c r="O266" s="128"/>
    </row>
    <row r="267" spans="1:15" x14ac:dyDescent="0.2">
      <c r="A267" s="119"/>
      <c r="B267" s="120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O267" s="129"/>
    </row>
    <row r="268" spans="1:15" x14ac:dyDescent="0.2">
      <c r="A268" s="119">
        <v>1.0002210649999999E+19</v>
      </c>
      <c r="B268" s="120" t="s">
        <v>192</v>
      </c>
      <c r="C268" s="129">
        <v>221423</v>
      </c>
      <c r="D268" s="129">
        <v>0</v>
      </c>
      <c r="E268" s="129">
        <v>0</v>
      </c>
      <c r="F268" s="129">
        <v>0</v>
      </c>
      <c r="G268" s="129">
        <v>221423</v>
      </c>
      <c r="H268" s="129">
        <v>0</v>
      </c>
      <c r="I268" s="129">
        <f t="shared" ref="I268:O270" si="111">I1604</f>
        <v>0</v>
      </c>
      <c r="J268" s="129">
        <f t="shared" si="111"/>
        <v>221423</v>
      </c>
      <c r="K268" s="129">
        <f t="shared" si="111"/>
        <v>235261.9375</v>
      </c>
      <c r="L268" s="129">
        <f t="shared" si="111"/>
        <v>251730.27312500001</v>
      </c>
      <c r="M268" s="129">
        <f t="shared" si="111"/>
        <v>0</v>
      </c>
      <c r="N268" s="129">
        <f t="shared" si="111"/>
        <v>0</v>
      </c>
      <c r="O268" s="129">
        <f t="shared" si="111"/>
        <v>269351.39224374999</v>
      </c>
    </row>
    <row r="269" spans="1:15" x14ac:dyDescent="0.2">
      <c r="A269" s="119">
        <v>1.00022107E+19</v>
      </c>
      <c r="B269" s="120" t="s">
        <v>193</v>
      </c>
      <c r="C269" s="129">
        <v>664269</v>
      </c>
      <c r="D269" s="129">
        <v>0</v>
      </c>
      <c r="E269" s="129">
        <v>0</v>
      </c>
      <c r="F269" s="129">
        <v>0</v>
      </c>
      <c r="G269" s="129">
        <v>664269</v>
      </c>
      <c r="H269" s="129">
        <v>0</v>
      </c>
      <c r="I269" s="129">
        <f t="shared" si="111"/>
        <v>0</v>
      </c>
      <c r="J269" s="129">
        <f t="shared" si="111"/>
        <v>664269</v>
      </c>
      <c r="K269" s="129">
        <f t="shared" si="111"/>
        <v>705785.8125</v>
      </c>
      <c r="L269" s="129">
        <f t="shared" si="111"/>
        <v>755190.81937499996</v>
      </c>
      <c r="M269" s="129">
        <f t="shared" si="111"/>
        <v>0</v>
      </c>
      <c r="N269" s="129">
        <f t="shared" si="111"/>
        <v>0</v>
      </c>
      <c r="O269" s="129">
        <f t="shared" si="111"/>
        <v>808054.17673125002</v>
      </c>
    </row>
    <row r="270" spans="1:15" x14ac:dyDescent="0.2">
      <c r="A270" s="119">
        <v>1.000221072E+19</v>
      </c>
      <c r="B270" s="120" t="s">
        <v>194</v>
      </c>
      <c r="C270" s="129">
        <v>47508</v>
      </c>
      <c r="D270" s="129">
        <v>0</v>
      </c>
      <c r="E270" s="129">
        <v>0</v>
      </c>
      <c r="F270" s="129">
        <v>0</v>
      </c>
      <c r="G270" s="129">
        <v>47508</v>
      </c>
      <c r="H270" s="129">
        <v>0</v>
      </c>
      <c r="I270" s="129">
        <f t="shared" si="111"/>
        <v>0</v>
      </c>
      <c r="J270" s="129">
        <f t="shared" si="111"/>
        <v>47508</v>
      </c>
      <c r="K270" s="129">
        <f t="shared" si="111"/>
        <v>50477.25</v>
      </c>
      <c r="L270" s="129">
        <f t="shared" si="111"/>
        <v>54010.657500000001</v>
      </c>
      <c r="M270" s="129">
        <f t="shared" si="111"/>
        <v>0</v>
      </c>
      <c r="N270" s="129">
        <f t="shared" si="111"/>
        <v>0</v>
      </c>
      <c r="O270" s="129">
        <f t="shared" si="111"/>
        <v>57791.403525000002</v>
      </c>
    </row>
    <row r="271" spans="1:15" x14ac:dyDescent="0.2">
      <c r="A271" s="119"/>
      <c r="B271" s="120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O271" s="129"/>
    </row>
    <row r="272" spans="1:15" s="114" customFormat="1" ht="15" x14ac:dyDescent="0.25">
      <c r="A272" s="118"/>
      <c r="B272" s="117" t="s">
        <v>195</v>
      </c>
      <c r="C272" s="128">
        <f>SUM(C268:C271)</f>
        <v>933200</v>
      </c>
      <c r="D272" s="128">
        <v>0</v>
      </c>
      <c r="E272" s="128">
        <v>0</v>
      </c>
      <c r="F272" s="128">
        <v>0</v>
      </c>
      <c r="G272" s="128">
        <v>933200</v>
      </c>
      <c r="H272" s="128">
        <v>0</v>
      </c>
      <c r="I272" s="128">
        <f t="shared" ref="I272:O272" si="112">SUM(I268:I271)</f>
        <v>0</v>
      </c>
      <c r="J272" s="128">
        <f t="shared" si="112"/>
        <v>933200</v>
      </c>
      <c r="K272" s="128">
        <f t="shared" si="112"/>
        <v>991525</v>
      </c>
      <c r="L272" s="128">
        <f t="shared" si="112"/>
        <v>1060931.75</v>
      </c>
      <c r="M272" s="128">
        <f t="shared" si="112"/>
        <v>0</v>
      </c>
      <c r="N272" s="128">
        <f t="shared" si="112"/>
        <v>0</v>
      </c>
      <c r="O272" s="128">
        <f t="shared" si="112"/>
        <v>1135196.9724999999</v>
      </c>
    </row>
    <row r="273" spans="1:15" s="114" customFormat="1" ht="15" x14ac:dyDescent="0.25">
      <c r="A273" s="118"/>
      <c r="B273" s="117"/>
      <c r="C273" s="128"/>
      <c r="D273" s="128"/>
      <c r="E273" s="128"/>
      <c r="F273" s="128"/>
      <c r="G273" s="128"/>
      <c r="H273" s="128"/>
      <c r="I273" s="128"/>
      <c r="J273" s="128"/>
      <c r="K273" s="128"/>
      <c r="L273" s="128"/>
      <c r="M273" s="186"/>
      <c r="N273" s="186"/>
      <c r="O273" s="128"/>
    </row>
    <row r="274" spans="1:15" s="114" customFormat="1" ht="15" x14ac:dyDescent="0.25">
      <c r="A274" s="118"/>
      <c r="B274" s="117" t="s">
        <v>196</v>
      </c>
      <c r="C274" s="128"/>
      <c r="D274" s="128"/>
      <c r="E274" s="128"/>
      <c r="F274" s="128"/>
      <c r="G274" s="128"/>
      <c r="H274" s="128"/>
      <c r="I274" s="128"/>
      <c r="J274" s="128"/>
      <c r="K274" s="128"/>
      <c r="L274" s="128"/>
      <c r="M274" s="186"/>
      <c r="N274" s="186"/>
      <c r="O274" s="128"/>
    </row>
    <row r="275" spans="1:15" x14ac:dyDescent="0.2">
      <c r="A275" s="119"/>
      <c r="B275" s="120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O275" s="129"/>
    </row>
    <row r="276" spans="1:15" x14ac:dyDescent="0.2">
      <c r="A276" s="119">
        <v>1.0002211249999999E+19</v>
      </c>
      <c r="B276" s="120" t="s">
        <v>197</v>
      </c>
      <c r="C276" s="129">
        <v>683494</v>
      </c>
      <c r="D276" s="129">
        <v>0</v>
      </c>
      <c r="E276" s="129">
        <v>0</v>
      </c>
      <c r="F276" s="129">
        <v>0</v>
      </c>
      <c r="G276" s="129">
        <v>683494</v>
      </c>
      <c r="H276" s="129">
        <v>0</v>
      </c>
      <c r="I276" s="129">
        <f t="shared" ref="I276:O278" si="113">I1811</f>
        <v>0</v>
      </c>
      <c r="J276" s="129">
        <f t="shared" si="113"/>
        <v>683494</v>
      </c>
      <c r="K276" s="129">
        <f t="shared" si="113"/>
        <v>726212.375</v>
      </c>
      <c r="L276" s="129">
        <f t="shared" si="113"/>
        <v>777047.24124999996</v>
      </c>
      <c r="M276" s="129">
        <f t="shared" si="113"/>
        <v>0</v>
      </c>
      <c r="N276" s="129">
        <f t="shared" si="113"/>
        <v>0</v>
      </c>
      <c r="O276" s="129">
        <f t="shared" si="113"/>
        <v>831440.54813749995</v>
      </c>
    </row>
    <row r="277" spans="1:15" x14ac:dyDescent="0.2">
      <c r="A277" s="119">
        <v>1.00022113E+19</v>
      </c>
      <c r="B277" s="120" t="s">
        <v>198</v>
      </c>
      <c r="C277" s="129">
        <v>2050481</v>
      </c>
      <c r="D277" s="129">
        <v>0</v>
      </c>
      <c r="E277" s="129">
        <v>0</v>
      </c>
      <c r="F277" s="129">
        <v>0</v>
      </c>
      <c r="G277" s="129">
        <v>2050481</v>
      </c>
      <c r="H277" s="129">
        <v>0</v>
      </c>
      <c r="I277" s="129">
        <f t="shared" si="113"/>
        <v>0</v>
      </c>
      <c r="J277" s="129">
        <f t="shared" si="113"/>
        <v>2050481</v>
      </c>
      <c r="K277" s="129">
        <f t="shared" si="113"/>
        <v>2178636.0625</v>
      </c>
      <c r="L277" s="129">
        <f t="shared" si="113"/>
        <v>2331140.586875</v>
      </c>
      <c r="M277" s="129">
        <f t="shared" si="113"/>
        <v>0</v>
      </c>
      <c r="N277" s="129">
        <f t="shared" si="113"/>
        <v>0</v>
      </c>
      <c r="O277" s="129">
        <f t="shared" si="113"/>
        <v>2494320.42795625</v>
      </c>
    </row>
    <row r="278" spans="1:15" x14ac:dyDescent="0.2">
      <c r="A278" s="119">
        <v>1.000221132E+19</v>
      </c>
      <c r="B278" s="120" t="s">
        <v>199</v>
      </c>
      <c r="C278" s="129">
        <v>237540</v>
      </c>
      <c r="D278" s="129">
        <v>0</v>
      </c>
      <c r="E278" s="129">
        <v>0</v>
      </c>
      <c r="F278" s="129">
        <v>0</v>
      </c>
      <c r="G278" s="129">
        <v>237540</v>
      </c>
      <c r="H278" s="129">
        <v>0</v>
      </c>
      <c r="I278" s="129">
        <f t="shared" si="113"/>
        <v>0</v>
      </c>
      <c r="J278" s="129">
        <f t="shared" si="113"/>
        <v>237540</v>
      </c>
      <c r="K278" s="129">
        <f t="shared" si="113"/>
        <v>252386.25</v>
      </c>
      <c r="L278" s="129">
        <f t="shared" si="113"/>
        <v>270053.28749999998</v>
      </c>
      <c r="M278" s="129">
        <f t="shared" si="113"/>
        <v>0</v>
      </c>
      <c r="N278" s="129">
        <f t="shared" si="113"/>
        <v>0</v>
      </c>
      <c r="O278" s="129">
        <f t="shared" si="113"/>
        <v>288957.01762499998</v>
      </c>
    </row>
    <row r="279" spans="1:15" x14ac:dyDescent="0.2">
      <c r="A279" s="119"/>
      <c r="B279" s="120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O279" s="129"/>
    </row>
    <row r="280" spans="1:15" s="114" customFormat="1" ht="15" x14ac:dyDescent="0.25">
      <c r="A280" s="118"/>
      <c r="B280" s="117" t="s">
        <v>200</v>
      </c>
      <c r="C280" s="128">
        <f>SUM(C276:C279)</f>
        <v>2971515</v>
      </c>
      <c r="D280" s="128">
        <v>0</v>
      </c>
      <c r="E280" s="128">
        <v>0</v>
      </c>
      <c r="F280" s="128">
        <v>0</v>
      </c>
      <c r="G280" s="128">
        <v>2971515</v>
      </c>
      <c r="H280" s="128">
        <v>0</v>
      </c>
      <c r="I280" s="128">
        <f t="shared" ref="I280:O280" si="114">SUM(I276:I279)</f>
        <v>0</v>
      </c>
      <c r="J280" s="128">
        <f t="shared" si="114"/>
        <v>2971515</v>
      </c>
      <c r="K280" s="128">
        <f t="shared" si="114"/>
        <v>3157234.6875</v>
      </c>
      <c r="L280" s="128">
        <f t="shared" si="114"/>
        <v>3378241.1156250001</v>
      </c>
      <c r="M280" s="128">
        <f t="shared" si="114"/>
        <v>0</v>
      </c>
      <c r="N280" s="128">
        <f t="shared" si="114"/>
        <v>0</v>
      </c>
      <c r="O280" s="128">
        <f t="shared" si="114"/>
        <v>3614717.9937187498</v>
      </c>
    </row>
    <row r="281" spans="1:15" s="114" customFormat="1" ht="15" x14ac:dyDescent="0.25">
      <c r="A281" s="118"/>
      <c r="B281" s="117"/>
      <c r="C281" s="128"/>
      <c r="D281" s="128"/>
      <c r="E281" s="128"/>
      <c r="F281" s="128"/>
      <c r="G281" s="128"/>
      <c r="H281" s="128"/>
      <c r="I281" s="128"/>
      <c r="J281" s="128"/>
      <c r="K281" s="128"/>
      <c r="L281" s="128"/>
      <c r="M281" s="186"/>
      <c r="N281" s="186"/>
      <c r="O281" s="128"/>
    </row>
    <row r="282" spans="1:15" s="114" customFormat="1" ht="15" x14ac:dyDescent="0.25">
      <c r="A282" s="118"/>
      <c r="B282" s="117" t="s">
        <v>201</v>
      </c>
      <c r="C282" s="128"/>
      <c r="D282" s="128"/>
      <c r="E282" s="128"/>
      <c r="F282" s="128"/>
      <c r="G282" s="128"/>
      <c r="H282" s="128"/>
      <c r="I282" s="128"/>
      <c r="J282" s="128"/>
      <c r="K282" s="128"/>
      <c r="L282" s="128"/>
      <c r="M282" s="186"/>
      <c r="N282" s="186"/>
      <c r="O282" s="128"/>
    </row>
    <row r="283" spans="1:15" x14ac:dyDescent="0.2">
      <c r="A283" s="119"/>
      <c r="B283" s="120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O283" s="129"/>
    </row>
    <row r="284" spans="1:15" x14ac:dyDescent="0.2">
      <c r="A284" s="119">
        <v>1.0002211550000001E+19</v>
      </c>
      <c r="B284" s="120" t="s">
        <v>202</v>
      </c>
      <c r="C284" s="129">
        <v>1881437</v>
      </c>
      <c r="D284" s="129">
        <v>231274.18</v>
      </c>
      <c r="E284" s="129">
        <v>0</v>
      </c>
      <c r="F284" s="129">
        <v>1387645.08</v>
      </c>
      <c r="G284" s="129">
        <v>493791.92</v>
      </c>
      <c r="H284" s="129">
        <v>73.75</v>
      </c>
      <c r="I284" s="129">
        <f t="shared" ref="I284:O284" si="115">I1660+I1718+I1768+I1819+I1864</f>
        <v>0</v>
      </c>
      <c r="J284" s="129">
        <f t="shared" si="115"/>
        <v>1881437</v>
      </c>
      <c r="K284" s="129">
        <f t="shared" si="115"/>
        <v>1999026.8125</v>
      </c>
      <c r="L284" s="129">
        <f t="shared" si="115"/>
        <v>2138958.6893750001</v>
      </c>
      <c r="M284" s="129">
        <f t="shared" si="115"/>
        <v>0</v>
      </c>
      <c r="N284" s="129">
        <f t="shared" si="115"/>
        <v>0</v>
      </c>
      <c r="O284" s="129">
        <f t="shared" si="115"/>
        <v>2288685.7976312498</v>
      </c>
    </row>
    <row r="285" spans="1:15" x14ac:dyDescent="0.2">
      <c r="A285" s="119">
        <v>1.00022116E+19</v>
      </c>
      <c r="B285" s="120" t="s">
        <v>203</v>
      </c>
      <c r="C285" s="129">
        <v>5644311</v>
      </c>
      <c r="D285" s="129">
        <v>692822.81</v>
      </c>
      <c r="E285" s="129">
        <v>0</v>
      </c>
      <c r="F285" s="129">
        <v>4164075.55</v>
      </c>
      <c r="G285" s="129">
        <v>1480235.45</v>
      </c>
      <c r="H285" s="129">
        <v>73.77</v>
      </c>
      <c r="I285" s="129">
        <f t="shared" ref="I285:O286" si="116">I1613+I1661+I1719+I1769+I1820+I1865</f>
        <v>0</v>
      </c>
      <c r="J285" s="129">
        <f t="shared" si="116"/>
        <v>5644311</v>
      </c>
      <c r="K285" s="129">
        <f t="shared" si="116"/>
        <v>5997080.4375</v>
      </c>
      <c r="L285" s="129">
        <f t="shared" si="116"/>
        <v>6416876.0681250002</v>
      </c>
      <c r="M285" s="129">
        <f t="shared" si="116"/>
        <v>0</v>
      </c>
      <c r="N285" s="129">
        <f t="shared" si="116"/>
        <v>0</v>
      </c>
      <c r="O285" s="129">
        <f t="shared" si="116"/>
        <v>6866057.3928937502</v>
      </c>
    </row>
    <row r="286" spans="1:15" x14ac:dyDescent="0.2">
      <c r="A286" s="119">
        <v>1.000221162E+19</v>
      </c>
      <c r="B286" s="120" t="s">
        <v>204</v>
      </c>
      <c r="C286" s="129">
        <v>1228992</v>
      </c>
      <c r="D286" s="129">
        <v>108800</v>
      </c>
      <c r="E286" s="129">
        <v>0</v>
      </c>
      <c r="F286" s="129">
        <v>652800</v>
      </c>
      <c r="G286" s="129">
        <v>576192</v>
      </c>
      <c r="H286" s="129">
        <v>53.11</v>
      </c>
      <c r="I286" s="129">
        <f t="shared" si="116"/>
        <v>0</v>
      </c>
      <c r="J286" s="129">
        <f t="shared" si="116"/>
        <v>1228992</v>
      </c>
      <c r="K286" s="129">
        <f t="shared" si="116"/>
        <v>1305804</v>
      </c>
      <c r="L286" s="129">
        <f t="shared" si="116"/>
        <v>1397210.28</v>
      </c>
      <c r="M286" s="129">
        <f t="shared" si="116"/>
        <v>0</v>
      </c>
      <c r="N286" s="129">
        <f t="shared" si="116"/>
        <v>0</v>
      </c>
      <c r="O286" s="129">
        <f t="shared" si="116"/>
        <v>1495014.9996</v>
      </c>
    </row>
    <row r="287" spans="1:15" x14ac:dyDescent="0.2">
      <c r="A287" s="119"/>
      <c r="B287" s="120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O287" s="129"/>
    </row>
    <row r="288" spans="1:15" s="114" customFormat="1" ht="15" x14ac:dyDescent="0.25">
      <c r="A288" s="118"/>
      <c r="B288" s="117" t="s">
        <v>205</v>
      </c>
      <c r="C288" s="128">
        <f>SUM(C284:C287)</f>
        <v>8754740</v>
      </c>
      <c r="D288" s="128">
        <v>1032896.99</v>
      </c>
      <c r="E288" s="128">
        <v>0</v>
      </c>
      <c r="F288" s="128">
        <v>6204520.6299999999</v>
      </c>
      <c r="G288" s="128">
        <v>2550219.37</v>
      </c>
      <c r="H288" s="128">
        <v>70.87</v>
      </c>
      <c r="I288" s="128">
        <f t="shared" ref="I288:O288" si="117">SUM(I284:I287)</f>
        <v>0</v>
      </c>
      <c r="J288" s="128">
        <f t="shared" si="117"/>
        <v>8754740</v>
      </c>
      <c r="K288" s="128">
        <f t="shared" si="117"/>
        <v>9301911.25</v>
      </c>
      <c r="L288" s="128">
        <f t="shared" si="117"/>
        <v>9953045.0374999996</v>
      </c>
      <c r="M288" s="128">
        <f t="shared" si="117"/>
        <v>0</v>
      </c>
      <c r="N288" s="128">
        <f t="shared" si="117"/>
        <v>0</v>
      </c>
      <c r="O288" s="128">
        <f t="shared" si="117"/>
        <v>10649758.190125</v>
      </c>
    </row>
    <row r="289" spans="1:15" s="114" customFormat="1" ht="15" x14ac:dyDescent="0.25">
      <c r="A289" s="118"/>
      <c r="B289" s="117"/>
      <c r="C289" s="128"/>
      <c r="D289" s="128"/>
      <c r="E289" s="128"/>
      <c r="F289" s="128"/>
      <c r="G289" s="128"/>
      <c r="H289" s="128"/>
      <c r="I289" s="128"/>
      <c r="J289" s="128"/>
      <c r="K289" s="128"/>
      <c r="L289" s="128"/>
      <c r="M289" s="186"/>
      <c r="N289" s="186"/>
      <c r="O289" s="128"/>
    </row>
    <row r="290" spans="1:15" s="114" customFormat="1" ht="15" x14ac:dyDescent="0.25">
      <c r="A290" s="118"/>
      <c r="B290" s="117" t="s">
        <v>206</v>
      </c>
      <c r="C290" s="128">
        <f>+C256+C264+C272+C280+C288</f>
        <v>14127295</v>
      </c>
      <c r="D290" s="128">
        <v>1032896.99</v>
      </c>
      <c r="E290" s="128">
        <v>0</v>
      </c>
      <c r="F290" s="128">
        <v>6204520.6299999999</v>
      </c>
      <c r="G290" s="128">
        <v>7922774.3700000001</v>
      </c>
      <c r="H290" s="128">
        <v>43.91</v>
      </c>
      <c r="I290" s="128">
        <f t="shared" ref="I290:O290" si="118">+I256+I264+I272+I280+I288</f>
        <v>0</v>
      </c>
      <c r="J290" s="128">
        <f t="shared" si="118"/>
        <v>14127295</v>
      </c>
      <c r="K290" s="128">
        <f t="shared" si="118"/>
        <v>15010250.9375</v>
      </c>
      <c r="L290" s="128">
        <f t="shared" si="118"/>
        <v>16060968.503125001</v>
      </c>
      <c r="M290" s="128">
        <f t="shared" si="118"/>
        <v>0</v>
      </c>
      <c r="N290" s="128">
        <f t="shared" si="118"/>
        <v>0</v>
      </c>
      <c r="O290" s="128">
        <f t="shared" si="118"/>
        <v>17185236.298343748</v>
      </c>
    </row>
    <row r="291" spans="1:15" s="114" customFormat="1" ht="15" x14ac:dyDescent="0.25">
      <c r="A291" s="118"/>
      <c r="B291" s="117"/>
      <c r="C291" s="128"/>
      <c r="D291" s="128"/>
      <c r="E291" s="128"/>
      <c r="F291" s="128"/>
      <c r="G291" s="128"/>
      <c r="H291" s="128"/>
      <c r="I291" s="128"/>
      <c r="J291" s="128"/>
      <c r="K291" s="128"/>
      <c r="L291" s="128"/>
      <c r="M291" s="186"/>
      <c r="N291" s="186"/>
      <c r="O291" s="128"/>
    </row>
    <row r="292" spans="1:15" s="114" customFormat="1" ht="15" x14ac:dyDescent="0.25">
      <c r="A292" s="118"/>
      <c r="B292" s="117" t="s">
        <v>207</v>
      </c>
      <c r="C292" s="128">
        <f>C290</f>
        <v>14127295</v>
      </c>
      <c r="D292" s="128">
        <v>1032896.99</v>
      </c>
      <c r="E292" s="128">
        <v>0</v>
      </c>
      <c r="F292" s="128">
        <v>6204520.6299999999</v>
      </c>
      <c r="G292" s="128">
        <v>7922774.3700000001</v>
      </c>
      <c r="H292" s="128">
        <v>43.91</v>
      </c>
      <c r="I292" s="128">
        <f t="shared" ref="I292:O292" si="119">I290</f>
        <v>0</v>
      </c>
      <c r="J292" s="128">
        <f t="shared" si="119"/>
        <v>14127295</v>
      </c>
      <c r="K292" s="128">
        <f t="shared" si="119"/>
        <v>15010250.9375</v>
      </c>
      <c r="L292" s="128">
        <f t="shared" si="119"/>
        <v>16060968.503125001</v>
      </c>
      <c r="M292" s="128">
        <f t="shared" si="119"/>
        <v>0</v>
      </c>
      <c r="N292" s="128">
        <f t="shared" si="119"/>
        <v>0</v>
      </c>
      <c r="O292" s="128">
        <f t="shared" si="119"/>
        <v>17185236.298343748</v>
      </c>
    </row>
    <row r="293" spans="1:15" s="114" customFormat="1" ht="15" x14ac:dyDescent="0.25">
      <c r="A293" s="118"/>
      <c r="B293" s="117"/>
      <c r="C293" s="128"/>
      <c r="D293" s="128"/>
      <c r="E293" s="128"/>
      <c r="F293" s="128"/>
      <c r="G293" s="128"/>
      <c r="H293" s="128"/>
      <c r="I293" s="128"/>
      <c r="J293" s="128"/>
      <c r="K293" s="128"/>
      <c r="L293" s="128"/>
      <c r="M293" s="186"/>
      <c r="N293" s="186"/>
      <c r="O293" s="128"/>
    </row>
    <row r="294" spans="1:15" s="114" customFormat="1" ht="15" x14ac:dyDescent="0.25">
      <c r="A294" s="118"/>
      <c r="B294" s="117" t="s">
        <v>208</v>
      </c>
      <c r="C294" s="128"/>
      <c r="D294" s="128"/>
      <c r="E294" s="128"/>
      <c r="F294" s="128"/>
      <c r="G294" s="128"/>
      <c r="H294" s="128"/>
      <c r="I294" s="128"/>
      <c r="J294" s="128"/>
      <c r="K294" s="128"/>
      <c r="L294" s="128"/>
      <c r="M294" s="186"/>
      <c r="N294" s="186"/>
      <c r="O294" s="128"/>
    </row>
    <row r="295" spans="1:15" s="114" customFormat="1" ht="15" x14ac:dyDescent="0.25">
      <c r="A295" s="118"/>
      <c r="B295" s="117" t="s">
        <v>209</v>
      </c>
      <c r="C295" s="128"/>
      <c r="D295" s="128"/>
      <c r="E295" s="128"/>
      <c r="F295" s="128"/>
      <c r="G295" s="128"/>
      <c r="H295" s="128"/>
      <c r="I295" s="128"/>
      <c r="J295" s="128"/>
      <c r="K295" s="128"/>
      <c r="L295" s="128"/>
      <c r="M295" s="186"/>
      <c r="N295" s="186"/>
      <c r="O295" s="128"/>
    </row>
    <row r="296" spans="1:15" x14ac:dyDescent="0.2">
      <c r="A296" s="119"/>
      <c r="B296" s="120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O296" s="129"/>
    </row>
    <row r="297" spans="1:15" x14ac:dyDescent="0.2">
      <c r="A297" s="119">
        <v>1.000226032E+19</v>
      </c>
      <c r="B297" s="120" t="s">
        <v>210</v>
      </c>
      <c r="C297" s="129">
        <v>500000</v>
      </c>
      <c r="D297" s="129">
        <v>0</v>
      </c>
      <c r="E297" s="129">
        <v>0</v>
      </c>
      <c r="F297" s="129">
        <v>0</v>
      </c>
      <c r="G297" s="129">
        <v>500000</v>
      </c>
      <c r="H297" s="129">
        <v>0</v>
      </c>
      <c r="I297" s="129">
        <f t="shared" ref="I297:O297" si="120">I2299</f>
        <v>-500000</v>
      </c>
      <c r="J297" s="129">
        <f>J2299</f>
        <v>0</v>
      </c>
      <c r="K297" s="129">
        <f t="shared" si="120"/>
        <v>350000</v>
      </c>
      <c r="L297" s="129">
        <f t="shared" si="120"/>
        <v>0</v>
      </c>
      <c r="M297" s="129">
        <f t="shared" si="120"/>
        <v>0</v>
      </c>
      <c r="N297" s="129">
        <f t="shared" si="120"/>
        <v>0</v>
      </c>
      <c r="O297" s="129">
        <f t="shared" si="120"/>
        <v>0</v>
      </c>
    </row>
    <row r="298" spans="1:15" x14ac:dyDescent="0.2">
      <c r="A298" s="119">
        <v>1.000226036E+19</v>
      </c>
      <c r="B298" s="120" t="s">
        <v>211</v>
      </c>
      <c r="C298" s="129">
        <v>1117299</v>
      </c>
      <c r="D298" s="129">
        <v>406934.52</v>
      </c>
      <c r="E298" s="129">
        <v>0</v>
      </c>
      <c r="F298" s="129">
        <v>1406934.52</v>
      </c>
      <c r="G298" s="129">
        <v>-289635.52</v>
      </c>
      <c r="H298" s="129">
        <v>125.92</v>
      </c>
      <c r="I298" s="129">
        <f t="shared" ref="I298:O298" si="121">I695+I696</f>
        <v>1000000</v>
      </c>
      <c r="J298" s="129">
        <f t="shared" si="121"/>
        <v>2117299</v>
      </c>
      <c r="K298" s="129">
        <f t="shared" si="121"/>
        <v>522577.45500000002</v>
      </c>
      <c r="L298" s="129">
        <f t="shared" si="121"/>
        <v>546616.01792999997</v>
      </c>
      <c r="M298" s="129">
        <f t="shared" si="121"/>
        <v>571760.35475477995</v>
      </c>
      <c r="N298" s="129">
        <f t="shared" si="121"/>
        <v>0</v>
      </c>
      <c r="O298" s="129">
        <f t="shared" si="121"/>
        <v>571760.35475477995</v>
      </c>
    </row>
    <row r="299" spans="1:15" x14ac:dyDescent="0.2">
      <c r="A299" s="119">
        <v>1.0002260369999999E+19</v>
      </c>
      <c r="B299" s="120" t="s">
        <v>212</v>
      </c>
      <c r="C299" s="129">
        <v>1307176</v>
      </c>
      <c r="D299" s="129">
        <v>0</v>
      </c>
      <c r="E299" s="129">
        <v>32745</v>
      </c>
      <c r="F299" s="129">
        <v>347605.5</v>
      </c>
      <c r="G299" s="129">
        <v>959570.5</v>
      </c>
      <c r="H299" s="129">
        <v>26.59</v>
      </c>
      <c r="I299" s="129">
        <f t="shared" ref="I299:O299" si="122">I1035+I1337+I2202</f>
        <v>100000</v>
      </c>
      <c r="J299" s="129">
        <f t="shared" si="122"/>
        <v>1407176</v>
      </c>
      <c r="K299" s="129">
        <f t="shared" si="122"/>
        <v>1247273.92</v>
      </c>
      <c r="L299" s="129">
        <f t="shared" si="122"/>
        <v>1304648.5203200001</v>
      </c>
      <c r="M299" s="129">
        <f t="shared" si="122"/>
        <v>0</v>
      </c>
      <c r="N299" s="129">
        <f t="shared" si="122"/>
        <v>0</v>
      </c>
      <c r="O299" s="129">
        <f t="shared" si="122"/>
        <v>1364662.3522547199</v>
      </c>
    </row>
    <row r="300" spans="1:15" x14ac:dyDescent="0.2">
      <c r="A300" s="119"/>
      <c r="B300" s="120" t="s">
        <v>3063</v>
      </c>
      <c r="C300" s="129">
        <f>C2203</f>
        <v>0</v>
      </c>
      <c r="D300" s="129">
        <f t="shared" ref="D300:O300" si="123">D2203</f>
        <v>0</v>
      </c>
      <c r="E300" s="129">
        <f t="shared" si="123"/>
        <v>0</v>
      </c>
      <c r="F300" s="129">
        <f t="shared" si="123"/>
        <v>0</v>
      </c>
      <c r="G300" s="129">
        <f t="shared" si="123"/>
        <v>0</v>
      </c>
      <c r="H300" s="129">
        <f t="shared" si="123"/>
        <v>0</v>
      </c>
      <c r="I300" s="129">
        <f t="shared" si="123"/>
        <v>0</v>
      </c>
      <c r="J300" s="129">
        <f t="shared" si="123"/>
        <v>0</v>
      </c>
      <c r="K300" s="129">
        <f t="shared" si="123"/>
        <v>800000</v>
      </c>
      <c r="L300" s="129">
        <f t="shared" si="123"/>
        <v>0</v>
      </c>
      <c r="M300" s="129">
        <f t="shared" si="123"/>
        <v>0</v>
      </c>
      <c r="N300" s="129">
        <f t="shared" si="123"/>
        <v>0</v>
      </c>
      <c r="O300" s="129">
        <f t="shared" si="123"/>
        <v>0</v>
      </c>
    </row>
    <row r="301" spans="1:15" x14ac:dyDescent="0.2">
      <c r="A301" s="119">
        <v>1.000226042E+19</v>
      </c>
      <c r="B301" s="120" t="s">
        <v>213</v>
      </c>
      <c r="C301" s="129">
        <v>1300000</v>
      </c>
      <c r="D301" s="129">
        <v>324757.39</v>
      </c>
      <c r="E301" s="129">
        <v>0</v>
      </c>
      <c r="F301" s="129">
        <v>381626.95</v>
      </c>
      <c r="G301" s="129">
        <v>918373.05</v>
      </c>
      <c r="H301" s="129">
        <v>29.35</v>
      </c>
      <c r="I301" s="129">
        <f t="shared" ref="I301:O301" si="124">I2001+I2204</f>
        <v>318000</v>
      </c>
      <c r="J301" s="129">
        <f t="shared" si="124"/>
        <v>1618000</v>
      </c>
      <c r="K301" s="129">
        <f t="shared" si="124"/>
        <v>1100000</v>
      </c>
      <c r="L301" s="129">
        <f t="shared" si="124"/>
        <v>848000</v>
      </c>
      <c r="M301" s="129">
        <f t="shared" si="124"/>
        <v>898880</v>
      </c>
      <c r="N301" s="129">
        <f t="shared" si="124"/>
        <v>0</v>
      </c>
      <c r="O301" s="129">
        <f t="shared" si="124"/>
        <v>1198880</v>
      </c>
    </row>
    <row r="302" spans="1:15" x14ac:dyDescent="0.2">
      <c r="A302" s="119">
        <v>1.00022606E+19</v>
      </c>
      <c r="B302" s="120" t="s">
        <v>214</v>
      </c>
      <c r="C302" s="129">
        <v>1121747</v>
      </c>
      <c r="D302" s="129">
        <v>168100</v>
      </c>
      <c r="E302" s="129">
        <v>35500</v>
      </c>
      <c r="F302" s="129">
        <v>635868.62</v>
      </c>
      <c r="G302" s="129">
        <v>485878.38</v>
      </c>
      <c r="H302" s="129">
        <v>56.68</v>
      </c>
      <c r="I302" s="129">
        <f t="shared" ref="I302:O302" si="125">I1252+I1626+I1627+I1628+I1629+I1630+I1631+I1632</f>
        <v>95744</v>
      </c>
      <c r="J302" s="129">
        <f t="shared" si="125"/>
        <v>1217491</v>
      </c>
      <c r="K302" s="129">
        <f t="shared" si="125"/>
        <v>1272278.0949999997</v>
      </c>
      <c r="L302" s="129">
        <f t="shared" si="125"/>
        <v>1330802.8873700001</v>
      </c>
      <c r="M302" s="129">
        <f t="shared" si="125"/>
        <v>0</v>
      </c>
      <c r="N302" s="129">
        <f t="shared" si="125"/>
        <v>0</v>
      </c>
      <c r="O302" s="129">
        <f t="shared" si="125"/>
        <v>1392019.8201890201</v>
      </c>
    </row>
    <row r="303" spans="1:15" x14ac:dyDescent="0.2">
      <c r="A303" s="119">
        <v>1.0002265110000001E+19</v>
      </c>
      <c r="B303" s="120" t="s">
        <v>215</v>
      </c>
      <c r="C303" s="129">
        <v>46033</v>
      </c>
      <c r="D303" s="129">
        <v>0</v>
      </c>
      <c r="E303" s="129">
        <v>0</v>
      </c>
      <c r="F303" s="129">
        <v>0</v>
      </c>
      <c r="G303" s="129">
        <v>46033</v>
      </c>
      <c r="H303" s="129">
        <v>0</v>
      </c>
      <c r="I303" s="129">
        <f t="shared" ref="I303:O303" si="126">I3276</f>
        <v>-46033</v>
      </c>
      <c r="J303" s="129">
        <f t="shared" si="126"/>
        <v>0</v>
      </c>
      <c r="K303" s="129">
        <f t="shared" si="126"/>
        <v>0</v>
      </c>
      <c r="L303" s="129">
        <f t="shared" si="126"/>
        <v>0</v>
      </c>
      <c r="M303" s="129">
        <f t="shared" si="126"/>
        <v>0</v>
      </c>
      <c r="N303" s="129">
        <f t="shared" si="126"/>
        <v>0</v>
      </c>
      <c r="O303" s="129">
        <f t="shared" si="126"/>
        <v>0</v>
      </c>
    </row>
    <row r="304" spans="1:15" x14ac:dyDescent="0.2">
      <c r="A304" s="119">
        <v>1.00022654E+19</v>
      </c>
      <c r="B304" s="120" t="s">
        <v>216</v>
      </c>
      <c r="C304" s="129">
        <v>8844091</v>
      </c>
      <c r="D304" s="129">
        <v>650483.55000000005</v>
      </c>
      <c r="E304" s="129">
        <v>0</v>
      </c>
      <c r="F304" s="129">
        <v>2932399.9</v>
      </c>
      <c r="G304" s="129">
        <v>5911691.0999999996</v>
      </c>
      <c r="H304" s="129">
        <v>33.15</v>
      </c>
      <c r="I304" s="129">
        <f t="shared" ref="I304:O304" si="127">I560+I2205+I2640</f>
        <v>0</v>
      </c>
      <c r="J304" s="129">
        <f t="shared" si="127"/>
        <v>8844091</v>
      </c>
      <c r="K304" s="129">
        <f t="shared" si="127"/>
        <v>9242075.0950000007</v>
      </c>
      <c r="L304" s="129">
        <f t="shared" si="127"/>
        <v>9667210.5493699983</v>
      </c>
      <c r="M304" s="129">
        <f t="shared" si="127"/>
        <v>9877812.5058582183</v>
      </c>
      <c r="N304" s="129">
        <f t="shared" si="127"/>
        <v>0</v>
      </c>
      <c r="O304" s="129">
        <f t="shared" si="127"/>
        <v>10111902.234641017</v>
      </c>
    </row>
    <row r="305" spans="1:15" x14ac:dyDescent="0.2">
      <c r="A305" s="119"/>
      <c r="B305" s="120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O305" s="129"/>
    </row>
    <row r="306" spans="1:15" s="114" customFormat="1" ht="15" x14ac:dyDescent="0.25">
      <c r="A306" s="118"/>
      <c r="B306" s="117" t="s">
        <v>217</v>
      </c>
      <c r="C306" s="128">
        <f>SUM(C297:C305)</f>
        <v>14236346</v>
      </c>
      <c r="D306" s="128">
        <v>1550275.46</v>
      </c>
      <c r="E306" s="128">
        <v>68245</v>
      </c>
      <c r="F306" s="128">
        <v>5704435.4900000002</v>
      </c>
      <c r="G306" s="128">
        <v>8531910.5099999998</v>
      </c>
      <c r="H306" s="128">
        <v>40.06</v>
      </c>
      <c r="I306" s="128">
        <f t="shared" ref="I306:O306" si="128">SUM(I297:I305)</f>
        <v>967711</v>
      </c>
      <c r="J306" s="128">
        <f t="shared" si="128"/>
        <v>15204057</v>
      </c>
      <c r="K306" s="128">
        <f t="shared" si="128"/>
        <v>14534204.565000001</v>
      </c>
      <c r="L306" s="128">
        <f t="shared" si="128"/>
        <v>13697277.974989999</v>
      </c>
      <c r="M306" s="128">
        <f t="shared" si="128"/>
        <v>11348452.860612998</v>
      </c>
      <c r="N306" s="128">
        <f t="shared" si="128"/>
        <v>0</v>
      </c>
      <c r="O306" s="128">
        <f t="shared" si="128"/>
        <v>14639224.761839537</v>
      </c>
    </row>
    <row r="307" spans="1:15" s="114" customFormat="1" ht="15" x14ac:dyDescent="0.25">
      <c r="A307" s="118"/>
      <c r="B307" s="117"/>
      <c r="C307" s="128"/>
      <c r="D307" s="128"/>
      <c r="E307" s="128"/>
      <c r="F307" s="128"/>
      <c r="G307" s="128"/>
      <c r="H307" s="128"/>
      <c r="I307" s="128"/>
      <c r="J307" s="128"/>
      <c r="K307" s="128"/>
      <c r="L307" s="128"/>
      <c r="M307" s="186"/>
      <c r="N307" s="186"/>
      <c r="O307" s="128"/>
    </row>
    <row r="308" spans="1:15" s="114" customFormat="1" ht="15" x14ac:dyDescent="0.25">
      <c r="A308" s="118"/>
      <c r="B308" s="117" t="s">
        <v>218</v>
      </c>
      <c r="C308" s="128"/>
      <c r="D308" s="128"/>
      <c r="E308" s="128"/>
      <c r="F308" s="128"/>
      <c r="G308" s="128"/>
      <c r="H308" s="128"/>
      <c r="I308" s="128"/>
      <c r="J308" s="128"/>
      <c r="K308" s="128"/>
      <c r="L308" s="128"/>
      <c r="M308" s="186"/>
      <c r="N308" s="186"/>
      <c r="O308" s="128"/>
    </row>
    <row r="309" spans="1:15" x14ac:dyDescent="0.2">
      <c r="A309" s="119"/>
      <c r="B309" s="120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O309" s="129"/>
    </row>
    <row r="310" spans="1:15" x14ac:dyDescent="0.2">
      <c r="A310" s="119">
        <v>1.00022703E+19</v>
      </c>
      <c r="B310" s="120" t="s">
        <v>219</v>
      </c>
      <c r="C310" s="129">
        <v>3350000</v>
      </c>
      <c r="D310" s="129">
        <v>119480</v>
      </c>
      <c r="E310" s="129">
        <v>0</v>
      </c>
      <c r="F310" s="129">
        <v>2112177.62</v>
      </c>
      <c r="G310" s="129">
        <v>1237822.3799999999</v>
      </c>
      <c r="H310" s="129">
        <v>63.05</v>
      </c>
      <c r="I310" s="129">
        <f t="shared" ref="I310:O310" si="129">I2007+I2211</f>
        <v>248000</v>
      </c>
      <c r="J310" s="129">
        <f t="shared" si="129"/>
        <v>3598000</v>
      </c>
      <c r="K310" s="129">
        <f t="shared" si="129"/>
        <v>3700000</v>
      </c>
      <c r="L310" s="129">
        <f t="shared" si="129"/>
        <v>3180000</v>
      </c>
      <c r="M310" s="129">
        <f t="shared" si="129"/>
        <v>3370800</v>
      </c>
      <c r="N310" s="129">
        <f t="shared" si="129"/>
        <v>0</v>
      </c>
      <c r="O310" s="129">
        <f t="shared" si="129"/>
        <v>3370800</v>
      </c>
    </row>
    <row r="311" spans="1:15" x14ac:dyDescent="0.2">
      <c r="A311" s="119">
        <v>1.000227032E+19</v>
      </c>
      <c r="B311" s="120" t="s">
        <v>220</v>
      </c>
      <c r="C311" s="129">
        <v>424278</v>
      </c>
      <c r="D311" s="129">
        <v>23638.44</v>
      </c>
      <c r="E311" s="129">
        <v>0</v>
      </c>
      <c r="F311" s="129">
        <v>212544.28</v>
      </c>
      <c r="G311" s="129">
        <v>211733.72</v>
      </c>
      <c r="H311" s="129">
        <v>50.09</v>
      </c>
      <c r="I311" s="129">
        <f t="shared" ref="I311:O311" si="130">I1531</f>
        <v>0</v>
      </c>
      <c r="J311" s="129">
        <f t="shared" si="130"/>
        <v>424278</v>
      </c>
      <c r="K311" s="129">
        <f t="shared" si="130"/>
        <v>443370.51</v>
      </c>
      <c r="L311" s="129">
        <f t="shared" si="130"/>
        <v>463765.55346000002</v>
      </c>
      <c r="M311" s="129">
        <f t="shared" si="130"/>
        <v>0</v>
      </c>
      <c r="N311" s="129">
        <f t="shared" si="130"/>
        <v>0</v>
      </c>
      <c r="O311" s="129">
        <f t="shared" si="130"/>
        <v>485098.76891916001</v>
      </c>
    </row>
    <row r="312" spans="1:15" x14ac:dyDescent="0.2">
      <c r="A312" s="119">
        <v>1.000227034E+19</v>
      </c>
      <c r="B312" s="120" t="s">
        <v>221</v>
      </c>
      <c r="C312" s="129">
        <v>400000</v>
      </c>
      <c r="D312" s="129">
        <v>0</v>
      </c>
      <c r="E312" s="129">
        <v>0</v>
      </c>
      <c r="F312" s="129">
        <v>18671.25</v>
      </c>
      <c r="G312" s="129">
        <v>381328.75</v>
      </c>
      <c r="H312" s="129">
        <v>4.66</v>
      </c>
      <c r="I312" s="129">
        <f>I695+I696</f>
        <v>1000000</v>
      </c>
      <c r="J312" s="129">
        <f t="shared" ref="J312:O312" si="131">J1460</f>
        <v>400000</v>
      </c>
      <c r="K312" s="129">
        <f t="shared" si="131"/>
        <v>418000</v>
      </c>
      <c r="L312" s="129">
        <f t="shared" si="131"/>
        <v>437228</v>
      </c>
      <c r="M312" s="129">
        <f t="shared" si="131"/>
        <v>0</v>
      </c>
      <c r="N312" s="129">
        <f t="shared" si="131"/>
        <v>0</v>
      </c>
      <c r="O312" s="129">
        <f t="shared" si="131"/>
        <v>457340.48800000001</v>
      </c>
    </row>
    <row r="313" spans="1:15" x14ac:dyDescent="0.2">
      <c r="A313" s="119">
        <v>1.0002270409999999E+19</v>
      </c>
      <c r="B313" s="120" t="s">
        <v>222</v>
      </c>
      <c r="C313" s="129">
        <v>107107</v>
      </c>
      <c r="D313" s="129">
        <v>13267.91</v>
      </c>
      <c r="E313" s="129">
        <v>15292.8</v>
      </c>
      <c r="F313" s="129">
        <v>26033.15</v>
      </c>
      <c r="G313" s="129">
        <v>81073.850000000006</v>
      </c>
      <c r="H313" s="129">
        <v>24.3</v>
      </c>
      <c r="I313" s="129">
        <f t="shared" ref="I313:O313" si="132">I2646+I3161</f>
        <v>0</v>
      </c>
      <c r="J313" s="129">
        <f t="shared" si="132"/>
        <v>107107</v>
      </c>
      <c r="K313" s="129">
        <f t="shared" si="132"/>
        <v>111926.815</v>
      </c>
      <c r="L313" s="129">
        <f t="shared" si="132"/>
        <v>117075.44849</v>
      </c>
      <c r="M313" s="129">
        <f t="shared" si="132"/>
        <v>0</v>
      </c>
      <c r="N313" s="129">
        <f t="shared" si="132"/>
        <v>0</v>
      </c>
      <c r="O313" s="129">
        <f t="shared" si="132"/>
        <v>122460.91912054</v>
      </c>
    </row>
    <row r="314" spans="1:15" x14ac:dyDescent="0.2">
      <c r="A314" s="119">
        <v>1.000227042E+19</v>
      </c>
      <c r="B314" s="120" t="s">
        <v>223</v>
      </c>
      <c r="C314" s="129">
        <v>1000000</v>
      </c>
      <c r="D314" s="129">
        <v>0</v>
      </c>
      <c r="E314" s="129">
        <v>0</v>
      </c>
      <c r="F314" s="129">
        <v>0</v>
      </c>
      <c r="G314" s="129">
        <v>1000000</v>
      </c>
      <c r="H314" s="129">
        <v>0</v>
      </c>
      <c r="I314" s="129">
        <f t="shared" ref="I314:O314" si="133">I3162</f>
        <v>-247025</v>
      </c>
      <c r="J314" s="129">
        <f t="shared" si="133"/>
        <v>752975</v>
      </c>
      <c r="K314" s="129">
        <f t="shared" si="133"/>
        <v>0</v>
      </c>
      <c r="L314" s="129">
        <f t="shared" si="133"/>
        <v>0</v>
      </c>
      <c r="M314" s="129">
        <f t="shared" si="133"/>
        <v>0</v>
      </c>
      <c r="N314" s="129">
        <f t="shared" si="133"/>
        <v>0</v>
      </c>
      <c r="O314" s="129">
        <f t="shared" si="133"/>
        <v>0</v>
      </c>
    </row>
    <row r="315" spans="1:15" x14ac:dyDescent="0.2">
      <c r="A315" s="119"/>
      <c r="B315" s="120" t="s">
        <v>3066</v>
      </c>
      <c r="C315" s="129">
        <f>C2212</f>
        <v>0</v>
      </c>
      <c r="D315" s="129">
        <f t="shared" ref="D315:O315" si="134">D2212</f>
        <v>0</v>
      </c>
      <c r="E315" s="129">
        <f t="shared" si="134"/>
        <v>0</v>
      </c>
      <c r="F315" s="129">
        <f t="shared" si="134"/>
        <v>0</v>
      </c>
      <c r="G315" s="129">
        <f t="shared" si="134"/>
        <v>0</v>
      </c>
      <c r="H315" s="129">
        <f t="shared" si="134"/>
        <v>0</v>
      </c>
      <c r="I315" s="129">
        <f t="shared" si="134"/>
        <v>0</v>
      </c>
      <c r="J315" s="129">
        <f t="shared" si="134"/>
        <v>0</v>
      </c>
      <c r="K315" s="129">
        <f t="shared" si="134"/>
        <v>0</v>
      </c>
      <c r="L315" s="129">
        <f t="shared" si="134"/>
        <v>2200000</v>
      </c>
      <c r="M315" s="129">
        <f t="shared" si="134"/>
        <v>0</v>
      </c>
      <c r="N315" s="129">
        <f t="shared" si="134"/>
        <v>0</v>
      </c>
      <c r="O315" s="129">
        <f t="shared" si="134"/>
        <v>0</v>
      </c>
    </row>
    <row r="316" spans="1:15" x14ac:dyDescent="0.2">
      <c r="A316" s="119">
        <v>1.000227246E+19</v>
      </c>
      <c r="B316" s="120" t="s">
        <v>224</v>
      </c>
      <c r="C316" s="129">
        <v>1200000</v>
      </c>
      <c r="D316" s="129">
        <v>0</v>
      </c>
      <c r="E316" s="129">
        <v>0</v>
      </c>
      <c r="F316" s="129">
        <v>0</v>
      </c>
      <c r="G316" s="129">
        <v>1200000</v>
      </c>
      <c r="H316" s="129">
        <v>0</v>
      </c>
      <c r="I316" s="129">
        <f t="shared" ref="I316:O316" si="135">I1041</f>
        <v>-200000</v>
      </c>
      <c r="J316" s="129">
        <f t="shared" si="135"/>
        <v>1000000</v>
      </c>
      <c r="K316" s="129">
        <f t="shared" si="135"/>
        <v>0</v>
      </c>
      <c r="L316" s="129">
        <f t="shared" si="135"/>
        <v>0</v>
      </c>
      <c r="M316" s="129">
        <f t="shared" si="135"/>
        <v>0</v>
      </c>
      <c r="N316" s="129">
        <f t="shared" si="135"/>
        <v>0</v>
      </c>
      <c r="O316" s="129">
        <f t="shared" si="135"/>
        <v>0</v>
      </c>
    </row>
    <row r="317" spans="1:15" x14ac:dyDescent="0.2">
      <c r="A317" s="119">
        <v>1.000227258E+19</v>
      </c>
      <c r="B317" s="120" t="s">
        <v>225</v>
      </c>
      <c r="C317" s="129">
        <v>2180000</v>
      </c>
      <c r="D317" s="129">
        <v>0</v>
      </c>
      <c r="E317" s="129">
        <v>5000</v>
      </c>
      <c r="F317" s="129">
        <v>86260.87</v>
      </c>
      <c r="G317" s="129">
        <v>2093739.13</v>
      </c>
      <c r="H317" s="129">
        <v>3.95</v>
      </c>
      <c r="I317" s="129">
        <f t="shared" ref="I317:O317" si="136">I1042+I1043+I1044+I1045</f>
        <v>-221650</v>
      </c>
      <c r="J317" s="129">
        <f t="shared" si="136"/>
        <v>1958350</v>
      </c>
      <c r="K317" s="129">
        <f t="shared" si="136"/>
        <v>1140000</v>
      </c>
      <c r="L317" s="129">
        <f>L1042+L1043+L1044+L1045+L1046</f>
        <v>200000</v>
      </c>
      <c r="M317" s="129">
        <f t="shared" si="136"/>
        <v>500000</v>
      </c>
      <c r="N317" s="129">
        <f t="shared" si="136"/>
        <v>0</v>
      </c>
      <c r="O317" s="129">
        <f t="shared" si="136"/>
        <v>500000</v>
      </c>
    </row>
    <row r="318" spans="1:15" x14ac:dyDescent="0.2">
      <c r="A318" s="119">
        <v>1.000227334E+19</v>
      </c>
      <c r="B318" s="120" t="s">
        <v>226</v>
      </c>
      <c r="C318" s="129">
        <v>1200000</v>
      </c>
      <c r="D318" s="129">
        <v>212960.86</v>
      </c>
      <c r="E318" s="129">
        <v>0</v>
      </c>
      <c r="F318" s="129">
        <v>300304.96999999997</v>
      </c>
      <c r="G318" s="129">
        <v>899695.03</v>
      </c>
      <c r="H318" s="129">
        <v>25.02</v>
      </c>
      <c r="I318" s="129">
        <f t="shared" ref="I318:O318" si="137">I1343</f>
        <v>0</v>
      </c>
      <c r="J318" s="129">
        <f t="shared" si="137"/>
        <v>1200000</v>
      </c>
      <c r="K318" s="129">
        <f t="shared" si="137"/>
        <v>1254000</v>
      </c>
      <c r="L318" s="129">
        <f t="shared" si="137"/>
        <v>1311684</v>
      </c>
      <c r="M318" s="129">
        <f t="shared" si="137"/>
        <v>0</v>
      </c>
      <c r="N318" s="129">
        <f t="shared" si="137"/>
        <v>0</v>
      </c>
      <c r="O318" s="129">
        <f t="shared" si="137"/>
        <v>1372021.4639999999</v>
      </c>
    </row>
    <row r="319" spans="1:15" x14ac:dyDescent="0.2">
      <c r="A319" s="255"/>
      <c r="B319" s="256" t="str">
        <f>B1047</f>
        <v>SIGNBOARDS</v>
      </c>
      <c r="C319" s="129"/>
      <c r="D319" s="129"/>
      <c r="E319" s="129"/>
      <c r="F319" s="129"/>
      <c r="G319" s="129"/>
      <c r="H319" s="129"/>
      <c r="I319" s="129"/>
      <c r="J319" s="129"/>
      <c r="K319" s="129">
        <f>K1047</f>
        <v>180000</v>
      </c>
      <c r="L319" s="129">
        <f>L1047</f>
        <v>125000</v>
      </c>
      <c r="O319" s="129">
        <f>O1047</f>
        <v>0</v>
      </c>
    </row>
    <row r="320" spans="1:15" s="114" customFormat="1" ht="15" x14ac:dyDescent="0.25">
      <c r="A320" s="118"/>
      <c r="B320" s="117" t="s">
        <v>227</v>
      </c>
      <c r="C320" s="128">
        <f>SUM(C310:C319)</f>
        <v>9861385</v>
      </c>
      <c r="D320" s="128">
        <v>369347.21</v>
      </c>
      <c r="E320" s="128">
        <v>20292.8</v>
      </c>
      <c r="F320" s="128">
        <v>2755992.14</v>
      </c>
      <c r="G320" s="128">
        <v>7105392.8600000003</v>
      </c>
      <c r="H320" s="128">
        <v>27.94</v>
      </c>
      <c r="I320" s="128">
        <f t="shared" ref="I320:O320" si="138">SUM(I310:I319)</f>
        <v>579325</v>
      </c>
      <c r="J320" s="128">
        <f>SUM(J310:J319)</f>
        <v>9440710</v>
      </c>
      <c r="K320" s="128">
        <f t="shared" si="138"/>
        <v>7247297.3250000002</v>
      </c>
      <c r="L320" s="128">
        <f t="shared" si="138"/>
        <v>8034753.0019500004</v>
      </c>
      <c r="M320" s="128">
        <f t="shared" si="138"/>
        <v>3870800</v>
      </c>
      <c r="N320" s="128">
        <f t="shared" si="138"/>
        <v>0</v>
      </c>
      <c r="O320" s="128">
        <f t="shared" si="138"/>
        <v>6307721.6400397001</v>
      </c>
    </row>
    <row r="321" spans="1:15" s="114" customFormat="1" ht="15" x14ac:dyDescent="0.25">
      <c r="A321" s="118"/>
      <c r="B321" s="117"/>
      <c r="C321" s="128"/>
      <c r="D321" s="128"/>
      <c r="E321" s="128"/>
      <c r="F321" s="128"/>
      <c r="G321" s="128"/>
      <c r="H321" s="128"/>
      <c r="I321" s="128"/>
      <c r="J321" s="128"/>
      <c r="K321" s="128"/>
      <c r="L321" s="128"/>
      <c r="M321" s="186"/>
      <c r="N321" s="186"/>
      <c r="O321" s="128"/>
    </row>
    <row r="322" spans="1:15" s="114" customFormat="1" ht="15" x14ac:dyDescent="0.25">
      <c r="A322" s="118"/>
      <c r="B322" s="117" t="s">
        <v>228</v>
      </c>
      <c r="C322" s="128"/>
      <c r="D322" s="128"/>
      <c r="E322" s="128"/>
      <c r="F322" s="128"/>
      <c r="G322" s="128"/>
      <c r="H322" s="128"/>
      <c r="I322" s="128"/>
      <c r="J322" s="128"/>
      <c r="K322" s="128"/>
      <c r="L322" s="128"/>
      <c r="M322" s="186"/>
      <c r="N322" s="186"/>
      <c r="O322" s="128"/>
    </row>
    <row r="323" spans="1:15" x14ac:dyDescent="0.2">
      <c r="A323" s="119"/>
      <c r="B323" s="120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O323" s="129"/>
    </row>
    <row r="324" spans="1:15" x14ac:dyDescent="0.2">
      <c r="A324" s="119">
        <v>1.0002280049999999E+19</v>
      </c>
      <c r="B324" s="120" t="s">
        <v>229</v>
      </c>
      <c r="C324" s="129">
        <v>600000</v>
      </c>
      <c r="D324" s="129">
        <v>142000</v>
      </c>
      <c r="E324" s="129">
        <v>171304.35</v>
      </c>
      <c r="F324" s="129">
        <v>142000</v>
      </c>
      <c r="G324" s="129">
        <v>458000</v>
      </c>
      <c r="H324" s="129">
        <v>23.66</v>
      </c>
      <c r="I324" s="129">
        <f t="shared" ref="I324:O324" si="139">I2013</f>
        <v>300000</v>
      </c>
      <c r="J324" s="129">
        <f t="shared" si="139"/>
        <v>900000</v>
      </c>
      <c r="K324" s="129">
        <f t="shared" si="139"/>
        <v>400000</v>
      </c>
      <c r="L324" s="129">
        <f t="shared" si="139"/>
        <v>424000</v>
      </c>
      <c r="M324" s="129">
        <f t="shared" si="139"/>
        <v>449440</v>
      </c>
      <c r="N324" s="129">
        <f t="shared" si="139"/>
        <v>0</v>
      </c>
      <c r="O324" s="129">
        <f t="shared" si="139"/>
        <v>449440</v>
      </c>
    </row>
    <row r="325" spans="1:15" x14ac:dyDescent="0.2">
      <c r="A325" s="119">
        <v>1.0002280609999999E+19</v>
      </c>
      <c r="B325" s="120" t="s">
        <v>230</v>
      </c>
      <c r="C325" s="129">
        <v>400000</v>
      </c>
      <c r="D325" s="129">
        <v>0</v>
      </c>
      <c r="E325" s="129">
        <v>152176</v>
      </c>
      <c r="F325" s="129">
        <v>238006.39999999999</v>
      </c>
      <c r="G325" s="129">
        <v>161993.60000000001</v>
      </c>
      <c r="H325" s="129">
        <v>59.5</v>
      </c>
      <c r="I325" s="129">
        <f t="shared" ref="I325:O327" si="140">I702</f>
        <v>150000</v>
      </c>
      <c r="J325" s="129">
        <f t="shared" si="140"/>
        <v>550000</v>
      </c>
      <c r="K325" s="129">
        <f t="shared" si="140"/>
        <v>424000</v>
      </c>
      <c r="L325" s="129">
        <f t="shared" si="140"/>
        <v>443504</v>
      </c>
      <c r="M325" s="129">
        <f t="shared" si="140"/>
        <v>463905.18400000001</v>
      </c>
      <c r="N325" s="129">
        <f t="shared" si="140"/>
        <v>0</v>
      </c>
      <c r="O325" s="129">
        <f t="shared" si="140"/>
        <v>463905.18400000001</v>
      </c>
    </row>
    <row r="326" spans="1:15" x14ac:dyDescent="0.2">
      <c r="A326" s="119">
        <v>1.0002281209999999E+19</v>
      </c>
      <c r="B326" s="120" t="s">
        <v>231</v>
      </c>
      <c r="C326" s="129">
        <v>150000</v>
      </c>
      <c r="D326" s="129">
        <v>0</v>
      </c>
      <c r="E326" s="129">
        <v>0</v>
      </c>
      <c r="F326" s="129">
        <v>0</v>
      </c>
      <c r="G326" s="129">
        <v>150000</v>
      </c>
      <c r="H326" s="129">
        <v>0</v>
      </c>
      <c r="I326" s="129">
        <f t="shared" si="140"/>
        <v>-100000</v>
      </c>
      <c r="J326" s="129">
        <f t="shared" si="140"/>
        <v>50000</v>
      </c>
      <c r="K326" s="129">
        <f t="shared" si="140"/>
        <v>52250</v>
      </c>
      <c r="L326" s="129">
        <f t="shared" si="140"/>
        <v>54653.5</v>
      </c>
      <c r="M326" s="129">
        <f t="shared" si="140"/>
        <v>57167.561000000002</v>
      </c>
      <c r="N326" s="129">
        <f t="shared" si="140"/>
        <v>0</v>
      </c>
      <c r="O326" s="129">
        <f t="shared" si="140"/>
        <v>57167.561000000002</v>
      </c>
    </row>
    <row r="327" spans="1:15" x14ac:dyDescent="0.2">
      <c r="A327" s="119">
        <v>1.000228122E+19</v>
      </c>
      <c r="B327" s="120" t="s">
        <v>232</v>
      </c>
      <c r="C327" s="129">
        <v>700000</v>
      </c>
      <c r="D327" s="129">
        <v>0</v>
      </c>
      <c r="E327" s="129">
        <v>0</v>
      </c>
      <c r="F327" s="129">
        <v>0</v>
      </c>
      <c r="G327" s="129">
        <v>700000</v>
      </c>
      <c r="H327" s="129">
        <v>0</v>
      </c>
      <c r="I327" s="129">
        <f t="shared" si="140"/>
        <v>-700000</v>
      </c>
      <c r="J327" s="129">
        <f t="shared" si="140"/>
        <v>0</v>
      </c>
      <c r="K327" s="129">
        <f t="shared" si="140"/>
        <v>0</v>
      </c>
      <c r="L327" s="129">
        <f t="shared" si="140"/>
        <v>0</v>
      </c>
      <c r="M327" s="129">
        <f t="shared" si="140"/>
        <v>0</v>
      </c>
      <c r="N327" s="129">
        <f t="shared" si="140"/>
        <v>0</v>
      </c>
      <c r="O327" s="129">
        <f t="shared" si="140"/>
        <v>0</v>
      </c>
    </row>
    <row r="328" spans="1:15" x14ac:dyDescent="0.2">
      <c r="A328" s="119">
        <v>1.000228182E+19</v>
      </c>
      <c r="B328" s="120" t="s">
        <v>233</v>
      </c>
      <c r="C328" s="129">
        <v>84047</v>
      </c>
      <c r="D328" s="129">
        <v>0</v>
      </c>
      <c r="E328" s="129">
        <v>0</v>
      </c>
      <c r="F328" s="129">
        <v>28976.22</v>
      </c>
      <c r="G328" s="129">
        <v>55070.78</v>
      </c>
      <c r="H328" s="129">
        <v>34.47</v>
      </c>
      <c r="I328" s="129">
        <f t="shared" ref="I328:O328" si="141">I789</f>
        <v>0</v>
      </c>
      <c r="J328" s="129">
        <f t="shared" si="141"/>
        <v>84047</v>
      </c>
      <c r="K328" s="129">
        <f t="shared" si="141"/>
        <v>87829.115000000005</v>
      </c>
      <c r="L328" s="129">
        <f t="shared" si="141"/>
        <v>91869.254290000012</v>
      </c>
      <c r="M328" s="129">
        <f t="shared" si="141"/>
        <v>0</v>
      </c>
      <c r="N328" s="129">
        <f t="shared" si="141"/>
        <v>0</v>
      </c>
      <c r="O328" s="129">
        <f t="shared" si="141"/>
        <v>96095.239987340014</v>
      </c>
    </row>
    <row r="329" spans="1:15" x14ac:dyDescent="0.2">
      <c r="A329" s="119">
        <v>1.00022836E+19</v>
      </c>
      <c r="B329" s="120" t="s">
        <v>234</v>
      </c>
      <c r="C329" s="129">
        <v>1027000</v>
      </c>
      <c r="D329" s="129">
        <v>102061.65</v>
      </c>
      <c r="E329" s="129">
        <v>93772</v>
      </c>
      <c r="F329" s="129">
        <v>605522.65</v>
      </c>
      <c r="G329" s="129">
        <v>421477.35</v>
      </c>
      <c r="H329" s="129">
        <v>58.96</v>
      </c>
      <c r="I329" s="129">
        <f t="shared" ref="I329:O329" si="142">I566+I567+I2652+I2842</f>
        <v>0</v>
      </c>
      <c r="J329" s="129">
        <f t="shared" si="142"/>
        <v>1027000</v>
      </c>
      <c r="K329" s="129">
        <f t="shared" si="142"/>
        <v>1055215</v>
      </c>
      <c r="L329" s="129">
        <f t="shared" si="142"/>
        <v>1103754.8900000001</v>
      </c>
      <c r="M329" s="129">
        <f t="shared" si="142"/>
        <v>0</v>
      </c>
      <c r="N329" s="129">
        <f t="shared" si="142"/>
        <v>0</v>
      </c>
      <c r="O329" s="129">
        <f t="shared" si="142"/>
        <v>1154527.61494</v>
      </c>
    </row>
    <row r="330" spans="1:15" x14ac:dyDescent="0.2">
      <c r="A330" s="119">
        <v>1.0002283609999999E+19</v>
      </c>
      <c r="B330" s="120" t="s">
        <v>235</v>
      </c>
      <c r="C330" s="129">
        <v>4959987</v>
      </c>
      <c r="D330" s="129">
        <v>529206.71</v>
      </c>
      <c r="E330" s="129">
        <v>416857.38</v>
      </c>
      <c r="F330" s="129">
        <v>2596296.36</v>
      </c>
      <c r="G330" s="129">
        <v>2363690.64</v>
      </c>
      <c r="H330" s="129">
        <v>52.34</v>
      </c>
      <c r="I330" s="129">
        <f t="shared" ref="I330:O330" si="143">I568+I790+I791+I2465+I2757+I3052+I3053</f>
        <v>-50000</v>
      </c>
      <c r="J330" s="129">
        <f t="shared" si="143"/>
        <v>4909987</v>
      </c>
      <c r="K330" s="129">
        <f t="shared" si="143"/>
        <v>3823936.415</v>
      </c>
      <c r="L330" s="129">
        <f t="shared" si="143"/>
        <v>3999837.49009</v>
      </c>
      <c r="M330" s="129">
        <f t="shared" si="143"/>
        <v>0</v>
      </c>
      <c r="N330" s="129">
        <f t="shared" si="143"/>
        <v>0</v>
      </c>
      <c r="O330" s="129">
        <f t="shared" si="143"/>
        <v>4183830.0146341398</v>
      </c>
    </row>
    <row r="331" spans="1:15" x14ac:dyDescent="0.2">
      <c r="A331" s="119">
        <v>1.000228362E+19</v>
      </c>
      <c r="B331" s="120" t="s">
        <v>236</v>
      </c>
      <c r="C331" s="129">
        <v>2436000</v>
      </c>
      <c r="D331" s="129">
        <v>25500</v>
      </c>
      <c r="E331" s="129">
        <v>220610</v>
      </c>
      <c r="F331" s="129">
        <v>508803.3</v>
      </c>
      <c r="G331" s="129">
        <v>1927196.7</v>
      </c>
      <c r="H331" s="129">
        <v>20.88</v>
      </c>
      <c r="I331" s="129">
        <f t="shared" ref="I331:O331" si="144">I3054+I3283</f>
        <v>0</v>
      </c>
      <c r="J331" s="129">
        <f t="shared" si="144"/>
        <v>2436000</v>
      </c>
      <c r="K331" s="129">
        <f t="shared" si="144"/>
        <v>2545620</v>
      </c>
      <c r="L331" s="129">
        <f t="shared" si="144"/>
        <v>2662718.52</v>
      </c>
      <c r="M331" s="129">
        <f t="shared" si="144"/>
        <v>727171.37592000002</v>
      </c>
      <c r="N331" s="129">
        <f t="shared" si="144"/>
        <v>0</v>
      </c>
      <c r="O331" s="129">
        <f t="shared" si="144"/>
        <v>2785203.57192</v>
      </c>
    </row>
    <row r="332" spans="1:15" x14ac:dyDescent="0.2">
      <c r="A332" s="119">
        <v>1.000228542E+19</v>
      </c>
      <c r="B332" s="120" t="s">
        <v>237</v>
      </c>
      <c r="C332" s="129">
        <v>134336</v>
      </c>
      <c r="D332" s="129">
        <v>0</v>
      </c>
      <c r="E332" s="129">
        <v>29820</v>
      </c>
      <c r="F332" s="129">
        <v>29500</v>
      </c>
      <c r="G332" s="129">
        <v>104836</v>
      </c>
      <c r="H332" s="129">
        <v>21.95</v>
      </c>
      <c r="I332" s="129">
        <f t="shared" ref="I332:O332" si="145">I2653</f>
        <v>0</v>
      </c>
      <c r="J332" s="129">
        <f t="shared" si="145"/>
        <v>134336</v>
      </c>
      <c r="K332" s="129">
        <f t="shared" si="145"/>
        <v>140381.12</v>
      </c>
      <c r="L332" s="129">
        <f t="shared" si="145"/>
        <v>146838.65151999998</v>
      </c>
      <c r="M332" s="129">
        <f t="shared" si="145"/>
        <v>0</v>
      </c>
      <c r="N332" s="129">
        <f t="shared" si="145"/>
        <v>0</v>
      </c>
      <c r="O332" s="129">
        <f t="shared" si="145"/>
        <v>153593.22948991999</v>
      </c>
    </row>
    <row r="333" spans="1:15" x14ac:dyDescent="0.2">
      <c r="A333" s="119">
        <v>1.0002285449999999E+19</v>
      </c>
      <c r="B333" s="120" t="s">
        <v>238</v>
      </c>
      <c r="C333" s="129">
        <v>74600</v>
      </c>
      <c r="D333" s="129">
        <v>3500</v>
      </c>
      <c r="E333" s="129">
        <v>0</v>
      </c>
      <c r="F333" s="129">
        <v>21200</v>
      </c>
      <c r="G333" s="129">
        <v>53400</v>
      </c>
      <c r="H333" s="129">
        <v>28.41</v>
      </c>
      <c r="I333" s="129">
        <f t="shared" ref="I333:O333" si="146">I1053</f>
        <v>0</v>
      </c>
      <c r="J333" s="129">
        <f t="shared" si="146"/>
        <v>74600</v>
      </c>
      <c r="K333" s="129">
        <f t="shared" si="146"/>
        <v>80000</v>
      </c>
      <c r="L333" s="129">
        <f t="shared" si="146"/>
        <v>83680</v>
      </c>
      <c r="M333" s="129">
        <f t="shared" si="146"/>
        <v>87529.279999999999</v>
      </c>
      <c r="N333" s="129">
        <f t="shared" si="146"/>
        <v>0</v>
      </c>
      <c r="O333" s="129">
        <f t="shared" si="146"/>
        <v>87529.279999999999</v>
      </c>
    </row>
    <row r="334" spans="1:15" x14ac:dyDescent="0.2">
      <c r="A334" s="119"/>
      <c r="B334" s="120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O334" s="129"/>
    </row>
    <row r="335" spans="1:15" s="114" customFormat="1" ht="15" x14ac:dyDescent="0.25">
      <c r="A335" s="118"/>
      <c r="B335" s="117" t="s">
        <v>239</v>
      </c>
      <c r="C335" s="128">
        <f>SUM(C324:C334)</f>
        <v>10565970</v>
      </c>
      <c r="D335" s="128">
        <v>802268.36</v>
      </c>
      <c r="E335" s="128">
        <v>1084539.73</v>
      </c>
      <c r="F335" s="128">
        <v>4170304.93</v>
      </c>
      <c r="G335" s="128">
        <v>6395665.0700000003</v>
      </c>
      <c r="H335" s="128">
        <v>39.46</v>
      </c>
      <c r="I335" s="128">
        <f t="shared" ref="I335:O335" si="147">SUM(I324:I334)</f>
        <v>-400000</v>
      </c>
      <c r="J335" s="128">
        <f t="shared" si="147"/>
        <v>10165970</v>
      </c>
      <c r="K335" s="128">
        <f t="shared" si="147"/>
        <v>8609231.6500000004</v>
      </c>
      <c r="L335" s="128">
        <f t="shared" si="147"/>
        <v>9010856.3059</v>
      </c>
      <c r="M335" s="128">
        <f t="shared" si="147"/>
        <v>1785213.4009200002</v>
      </c>
      <c r="N335" s="128">
        <f t="shared" si="147"/>
        <v>0</v>
      </c>
      <c r="O335" s="128">
        <f t="shared" si="147"/>
        <v>9431291.6959713995</v>
      </c>
    </row>
    <row r="336" spans="1:15" s="114" customFormat="1" ht="15" x14ac:dyDescent="0.25">
      <c r="A336" s="118"/>
      <c r="B336" s="117"/>
      <c r="C336" s="128"/>
      <c r="D336" s="128"/>
      <c r="E336" s="128"/>
      <c r="F336" s="128"/>
      <c r="G336" s="128"/>
      <c r="H336" s="128"/>
      <c r="I336" s="128"/>
      <c r="J336" s="128"/>
      <c r="K336" s="128"/>
      <c r="L336" s="128"/>
      <c r="M336" s="186"/>
      <c r="N336" s="186"/>
      <c r="O336" s="128"/>
    </row>
    <row r="337" spans="1:15" s="114" customFormat="1" ht="15" x14ac:dyDescent="0.25">
      <c r="A337" s="118"/>
      <c r="B337" s="117" t="s">
        <v>240</v>
      </c>
      <c r="C337" s="128">
        <f>+C306+C320+C335</f>
        <v>34663701</v>
      </c>
      <c r="D337" s="128">
        <v>2721891.03</v>
      </c>
      <c r="E337" s="128">
        <v>1173077.53</v>
      </c>
      <c r="F337" s="128">
        <v>12630732.560000001</v>
      </c>
      <c r="G337" s="128">
        <v>22032968.440000001</v>
      </c>
      <c r="H337" s="128">
        <v>36.43</v>
      </c>
      <c r="I337" s="128">
        <f t="shared" ref="I337:O337" si="148">+I306+I320+I335</f>
        <v>1147036</v>
      </c>
      <c r="J337" s="128">
        <f t="shared" si="148"/>
        <v>34810737</v>
      </c>
      <c r="K337" s="128">
        <f t="shared" si="148"/>
        <v>30390733.539999999</v>
      </c>
      <c r="L337" s="128">
        <f t="shared" si="148"/>
        <v>30742887.282839999</v>
      </c>
      <c r="M337" s="128">
        <f t="shared" si="148"/>
        <v>17004466.261533</v>
      </c>
      <c r="N337" s="128">
        <f t="shared" si="148"/>
        <v>0</v>
      </c>
      <c r="O337" s="128">
        <f t="shared" si="148"/>
        <v>30378238.097850636</v>
      </c>
    </row>
    <row r="338" spans="1:15" s="114" customFormat="1" ht="15" x14ac:dyDescent="0.25">
      <c r="A338" s="118"/>
      <c r="B338" s="117"/>
      <c r="C338" s="128"/>
      <c r="D338" s="128"/>
      <c r="E338" s="128"/>
      <c r="F338" s="128"/>
      <c r="G338" s="128"/>
      <c r="H338" s="128"/>
      <c r="I338" s="128"/>
      <c r="J338" s="128"/>
      <c r="K338" s="128"/>
      <c r="L338" s="128"/>
      <c r="M338" s="186"/>
      <c r="N338" s="186"/>
      <c r="O338" s="128"/>
    </row>
    <row r="339" spans="1:15" s="114" customFormat="1" ht="15" x14ac:dyDescent="0.25">
      <c r="A339" s="118"/>
      <c r="B339" s="117" t="s">
        <v>241</v>
      </c>
      <c r="C339" s="128"/>
      <c r="D339" s="128"/>
      <c r="E339" s="128"/>
      <c r="F339" s="128"/>
      <c r="G339" s="128"/>
      <c r="H339" s="128"/>
      <c r="I339" s="128"/>
      <c r="J339" s="128"/>
      <c r="K339" s="128"/>
      <c r="L339" s="128"/>
      <c r="M339" s="186"/>
      <c r="N339" s="186"/>
      <c r="O339" s="128"/>
    </row>
    <row r="340" spans="1:15" x14ac:dyDescent="0.2">
      <c r="A340" s="119"/>
      <c r="B340" s="120"/>
      <c r="C340" s="129"/>
      <c r="D340" s="129"/>
      <c r="E340" s="129"/>
      <c r="F340" s="129"/>
      <c r="G340" s="129"/>
      <c r="H340" s="129"/>
      <c r="I340" s="129"/>
      <c r="J340" s="129"/>
      <c r="K340" s="129"/>
      <c r="L340" s="129"/>
      <c r="O340" s="129"/>
    </row>
    <row r="341" spans="1:15" x14ac:dyDescent="0.2">
      <c r="A341" s="119">
        <v>1.000230012E+19</v>
      </c>
      <c r="B341" s="120" t="s">
        <v>242</v>
      </c>
      <c r="C341" s="129">
        <v>2225836</v>
      </c>
      <c r="D341" s="129">
        <v>288715</v>
      </c>
      <c r="E341" s="129">
        <v>103791.51</v>
      </c>
      <c r="F341" s="129">
        <v>586722.28</v>
      </c>
      <c r="G341" s="129">
        <v>1639113.72</v>
      </c>
      <c r="H341" s="129">
        <v>26.35</v>
      </c>
      <c r="I341" s="129">
        <f t="shared" ref="I341:O341" si="149">I712+I953+I1061+I1264+I1265+I1266+I1399+I1640+I2021+I2473+I2661</f>
        <v>-88720</v>
      </c>
      <c r="J341" s="129">
        <f t="shared" si="149"/>
        <v>2137116</v>
      </c>
      <c r="K341" s="129">
        <f t="shared" si="149"/>
        <v>2668557.9949999996</v>
      </c>
      <c r="L341" s="129">
        <f t="shared" si="149"/>
        <v>2795735.7187700002</v>
      </c>
      <c r="M341" s="129">
        <f t="shared" si="149"/>
        <v>714930.8492289799</v>
      </c>
      <c r="N341" s="129">
        <f t="shared" si="149"/>
        <v>0</v>
      </c>
      <c r="O341" s="129">
        <f t="shared" si="149"/>
        <v>2935414.8278334197</v>
      </c>
    </row>
    <row r="342" spans="1:15" x14ac:dyDescent="0.2">
      <c r="A342" s="119">
        <v>1.0002300169999999E+19</v>
      </c>
      <c r="B342" s="120" t="s">
        <v>243</v>
      </c>
      <c r="C342" s="129">
        <v>100000</v>
      </c>
      <c r="D342" s="129">
        <v>0</v>
      </c>
      <c r="E342" s="129">
        <v>23350.09</v>
      </c>
      <c r="F342" s="129">
        <v>66124.259999999995</v>
      </c>
      <c r="G342" s="129">
        <v>33875.74</v>
      </c>
      <c r="H342" s="129">
        <v>66.12</v>
      </c>
      <c r="I342" s="129">
        <f t="shared" ref="I342:O342" si="150">I713</f>
        <v>30000</v>
      </c>
      <c r="J342" s="129">
        <f t="shared" si="150"/>
        <v>130000</v>
      </c>
      <c r="K342" s="129">
        <f t="shared" si="150"/>
        <v>135850</v>
      </c>
      <c r="L342" s="129">
        <f t="shared" si="150"/>
        <v>142099.1</v>
      </c>
      <c r="M342" s="129">
        <f t="shared" si="150"/>
        <v>148635.6586</v>
      </c>
      <c r="N342" s="129">
        <f t="shared" si="150"/>
        <v>0</v>
      </c>
      <c r="O342" s="129">
        <f t="shared" si="150"/>
        <v>148635.6586</v>
      </c>
    </row>
    <row r="343" spans="1:15" x14ac:dyDescent="0.2">
      <c r="A343" s="119"/>
      <c r="B343" s="120" t="s">
        <v>3059</v>
      </c>
      <c r="C343" s="129">
        <f>C1062</f>
        <v>0</v>
      </c>
      <c r="D343" s="129">
        <f t="shared" ref="D343:O343" si="151">D1062</f>
        <v>0</v>
      </c>
      <c r="E343" s="129">
        <f t="shared" si="151"/>
        <v>0</v>
      </c>
      <c r="F343" s="129">
        <f t="shared" si="151"/>
        <v>0</v>
      </c>
      <c r="G343" s="129">
        <f t="shared" si="151"/>
        <v>0</v>
      </c>
      <c r="H343" s="129">
        <f t="shared" si="151"/>
        <v>0</v>
      </c>
      <c r="I343" s="129">
        <f t="shared" si="151"/>
        <v>0</v>
      </c>
      <c r="J343" s="129">
        <f t="shared" si="151"/>
        <v>0</v>
      </c>
      <c r="K343" s="129">
        <f t="shared" si="151"/>
        <v>150000</v>
      </c>
      <c r="L343" s="129">
        <f t="shared" si="151"/>
        <v>156900</v>
      </c>
      <c r="M343" s="129">
        <f t="shared" si="151"/>
        <v>164117.4</v>
      </c>
      <c r="N343" s="129">
        <f t="shared" si="151"/>
        <v>0</v>
      </c>
      <c r="O343" s="129">
        <f t="shared" si="151"/>
        <v>164117.4</v>
      </c>
    </row>
    <row r="344" spans="1:15" x14ac:dyDescent="0.2">
      <c r="A344" s="119">
        <v>1.00023002E+19</v>
      </c>
      <c r="B344" s="120" t="s">
        <v>244</v>
      </c>
      <c r="C344" s="129">
        <v>3000000</v>
      </c>
      <c r="D344" s="129">
        <v>738994.68</v>
      </c>
      <c r="E344" s="129">
        <v>0</v>
      </c>
      <c r="F344" s="129">
        <v>2642840.1800000002</v>
      </c>
      <c r="G344" s="129">
        <v>357159.82</v>
      </c>
      <c r="H344" s="129">
        <v>88.09</v>
      </c>
      <c r="I344" s="129">
        <f t="shared" ref="I344:O344" si="152">I1541</f>
        <v>0</v>
      </c>
      <c r="J344" s="129">
        <f t="shared" si="152"/>
        <v>3000000</v>
      </c>
      <c r="K344" s="129">
        <f t="shared" si="152"/>
        <v>3135000</v>
      </c>
      <c r="L344" s="129">
        <f t="shared" si="152"/>
        <v>3279210</v>
      </c>
      <c r="M344" s="129">
        <f t="shared" si="152"/>
        <v>0</v>
      </c>
      <c r="N344" s="129">
        <f t="shared" si="152"/>
        <v>0</v>
      </c>
      <c r="O344" s="129">
        <f t="shared" si="152"/>
        <v>3430053.66</v>
      </c>
    </row>
    <row r="345" spans="1:15" x14ac:dyDescent="0.2">
      <c r="A345" s="119">
        <v>1.000230022E+19</v>
      </c>
      <c r="B345" s="120" t="s">
        <v>245</v>
      </c>
      <c r="C345" s="129">
        <v>1167000</v>
      </c>
      <c r="D345" s="129">
        <v>102626</v>
      </c>
      <c r="E345" s="129">
        <v>0</v>
      </c>
      <c r="F345" s="129">
        <v>527389</v>
      </c>
      <c r="G345" s="129">
        <v>639611</v>
      </c>
      <c r="H345" s="129">
        <v>45.19</v>
      </c>
      <c r="I345" s="129">
        <f t="shared" ref="I345:N345" si="153">I2926</f>
        <v>0</v>
      </c>
      <c r="J345" s="129">
        <f t="shared" si="153"/>
        <v>1167000</v>
      </c>
      <c r="K345" s="129">
        <f t="shared" si="153"/>
        <v>1304000</v>
      </c>
      <c r="L345" s="129">
        <f t="shared" si="153"/>
        <v>0</v>
      </c>
      <c r="M345" s="129">
        <f t="shared" si="153"/>
        <v>0</v>
      </c>
      <c r="N345" s="129">
        <f t="shared" si="153"/>
        <v>0</v>
      </c>
      <c r="O345" s="129">
        <f>O2926</f>
        <v>0</v>
      </c>
    </row>
    <row r="346" spans="1:15" x14ac:dyDescent="0.2">
      <c r="A346" s="119">
        <v>1.00023004E+19</v>
      </c>
      <c r="B346" s="120" t="s">
        <v>246</v>
      </c>
      <c r="C346" s="129">
        <v>402221</v>
      </c>
      <c r="D346" s="129">
        <v>23086.34</v>
      </c>
      <c r="E346" s="129">
        <v>0</v>
      </c>
      <c r="F346" s="129">
        <v>131475.48000000001</v>
      </c>
      <c r="G346" s="129">
        <v>270745.52</v>
      </c>
      <c r="H346" s="129">
        <v>32.68</v>
      </c>
      <c r="I346" s="129">
        <f t="shared" ref="I346:O346" si="154">I2374</f>
        <v>0</v>
      </c>
      <c r="J346" s="129">
        <f t="shared" si="154"/>
        <v>402221</v>
      </c>
      <c r="K346" s="129">
        <f t="shared" si="154"/>
        <v>420320.94500000001</v>
      </c>
      <c r="L346" s="129">
        <f t="shared" si="154"/>
        <v>439235.38752500003</v>
      </c>
      <c r="M346" s="129">
        <f t="shared" si="154"/>
        <v>0</v>
      </c>
      <c r="N346" s="129">
        <f t="shared" si="154"/>
        <v>0</v>
      </c>
      <c r="O346" s="129">
        <f t="shared" si="154"/>
        <v>459000.97996362502</v>
      </c>
    </row>
    <row r="347" spans="1:15" x14ac:dyDescent="0.2">
      <c r="A347" s="119">
        <v>1.0002300489999999E+19</v>
      </c>
      <c r="B347" s="120" t="s">
        <v>247</v>
      </c>
      <c r="C347" s="129">
        <v>553287</v>
      </c>
      <c r="D347" s="129">
        <v>0</v>
      </c>
      <c r="E347" s="129">
        <v>0</v>
      </c>
      <c r="F347" s="129">
        <v>230438</v>
      </c>
      <c r="G347" s="129">
        <v>322849</v>
      </c>
      <c r="H347" s="129">
        <v>41.64</v>
      </c>
      <c r="I347" s="129">
        <f t="shared" ref="I347:O347" si="155">I714+I715</f>
        <v>0</v>
      </c>
      <c r="J347" s="129">
        <f t="shared" si="155"/>
        <v>553287</v>
      </c>
      <c r="K347" s="129">
        <f t="shared" si="155"/>
        <v>578184.91500000004</v>
      </c>
      <c r="L347" s="129">
        <f t="shared" si="155"/>
        <v>604781.42108999996</v>
      </c>
      <c r="M347" s="129">
        <f t="shared" si="155"/>
        <v>632601.36646013998</v>
      </c>
      <c r="N347" s="129">
        <f t="shared" si="155"/>
        <v>0</v>
      </c>
      <c r="O347" s="129">
        <f t="shared" si="155"/>
        <v>632601.36646013998</v>
      </c>
    </row>
    <row r="348" spans="1:15" x14ac:dyDescent="0.2">
      <c r="A348" s="119">
        <v>1.00023009E+19</v>
      </c>
      <c r="B348" s="120" t="s">
        <v>248</v>
      </c>
      <c r="C348" s="129">
        <v>1176923</v>
      </c>
      <c r="D348" s="129">
        <v>0</v>
      </c>
      <c r="E348" s="129">
        <v>0</v>
      </c>
      <c r="F348" s="129">
        <v>641986.77</v>
      </c>
      <c r="G348" s="129">
        <v>534936.23</v>
      </c>
      <c r="H348" s="129">
        <v>54.54</v>
      </c>
      <c r="I348" s="129">
        <f t="shared" ref="I348:O348" si="156">I2220</f>
        <v>600000</v>
      </c>
      <c r="J348" s="129">
        <f t="shared" si="156"/>
        <v>1776923</v>
      </c>
      <c r="K348" s="129">
        <f t="shared" si="156"/>
        <v>2100000</v>
      </c>
      <c r="L348" s="129">
        <f t="shared" si="156"/>
        <v>2194500</v>
      </c>
      <c r="M348" s="129">
        <f t="shared" si="156"/>
        <v>0</v>
      </c>
      <c r="N348" s="129">
        <f t="shared" si="156"/>
        <v>0</v>
      </c>
      <c r="O348" s="129">
        <f t="shared" si="156"/>
        <v>2293252.5</v>
      </c>
    </row>
    <row r="349" spans="1:15" x14ac:dyDescent="0.2">
      <c r="A349" s="119">
        <v>1.0002301110000001E+19</v>
      </c>
      <c r="B349" s="120" t="s">
        <v>249</v>
      </c>
      <c r="C349" s="129">
        <v>1497385</v>
      </c>
      <c r="D349" s="129">
        <v>1877.85</v>
      </c>
      <c r="E349" s="129">
        <v>0</v>
      </c>
      <c r="F349" s="129">
        <v>747953.79</v>
      </c>
      <c r="G349" s="129">
        <v>749431.21</v>
      </c>
      <c r="H349" s="129">
        <v>49.95</v>
      </c>
      <c r="I349" s="129">
        <f t="shared" ref="I349:O349" si="157">I799</f>
        <v>200000</v>
      </c>
      <c r="J349" s="129">
        <f t="shared" si="157"/>
        <v>1697385</v>
      </c>
      <c r="K349" s="129">
        <f t="shared" si="157"/>
        <v>1700000</v>
      </c>
      <c r="L349" s="129">
        <f t="shared" si="157"/>
        <v>1778200</v>
      </c>
      <c r="M349" s="129">
        <f t="shared" si="157"/>
        <v>0</v>
      </c>
      <c r="N349" s="129">
        <f t="shared" si="157"/>
        <v>0</v>
      </c>
      <c r="O349" s="129">
        <f t="shared" si="157"/>
        <v>1859997.2</v>
      </c>
    </row>
    <row r="350" spans="1:15" x14ac:dyDescent="0.2">
      <c r="A350" s="119">
        <v>1.000230112E+19</v>
      </c>
      <c r="B350" s="120" t="s">
        <v>250</v>
      </c>
      <c r="C350" s="129">
        <v>689000</v>
      </c>
      <c r="D350" s="129">
        <v>0</v>
      </c>
      <c r="E350" s="129">
        <v>0</v>
      </c>
      <c r="F350" s="129">
        <v>132072.35999999999</v>
      </c>
      <c r="G350" s="129">
        <v>556927.64</v>
      </c>
      <c r="H350" s="129">
        <v>19.16</v>
      </c>
      <c r="I350" s="129">
        <f t="shared" ref="I350:O351" si="158">I576</f>
        <v>0</v>
      </c>
      <c r="J350" s="129">
        <f t="shared" si="158"/>
        <v>689000</v>
      </c>
      <c r="K350" s="129">
        <f t="shared" si="158"/>
        <v>720005</v>
      </c>
      <c r="L350" s="129">
        <f t="shared" si="158"/>
        <v>753125.23</v>
      </c>
      <c r="M350" s="129">
        <f t="shared" si="158"/>
        <v>0</v>
      </c>
      <c r="N350" s="129">
        <f t="shared" si="158"/>
        <v>0</v>
      </c>
      <c r="O350" s="129">
        <f t="shared" si="158"/>
        <v>787768.99057999998</v>
      </c>
    </row>
    <row r="351" spans="1:15" x14ac:dyDescent="0.2">
      <c r="A351" s="119">
        <v>1.0002301190000001E+19</v>
      </c>
      <c r="B351" s="120" t="s">
        <v>251</v>
      </c>
      <c r="C351" s="129">
        <v>707862</v>
      </c>
      <c r="D351" s="129">
        <v>142631.6</v>
      </c>
      <c r="E351" s="129">
        <v>0</v>
      </c>
      <c r="F351" s="129">
        <v>479164.38</v>
      </c>
      <c r="G351" s="129">
        <v>228697.62</v>
      </c>
      <c r="H351" s="129">
        <v>67.69</v>
      </c>
      <c r="I351" s="129">
        <f t="shared" si="158"/>
        <v>0</v>
      </c>
      <c r="J351" s="129">
        <f t="shared" si="158"/>
        <v>707862</v>
      </c>
      <c r="K351" s="129">
        <f t="shared" si="158"/>
        <v>739715.79</v>
      </c>
      <c r="L351" s="129">
        <f t="shared" si="158"/>
        <v>773742.71634000004</v>
      </c>
      <c r="M351" s="129">
        <f t="shared" si="158"/>
        <v>0</v>
      </c>
      <c r="N351" s="129">
        <f t="shared" si="158"/>
        <v>0</v>
      </c>
      <c r="O351" s="129">
        <f t="shared" si="158"/>
        <v>809334.88129163999</v>
      </c>
    </row>
    <row r="352" spans="1:15" x14ac:dyDescent="0.2">
      <c r="A352" s="119"/>
      <c r="B352" s="183" t="s">
        <v>3054</v>
      </c>
      <c r="C352" s="129">
        <f>C1400</f>
        <v>0</v>
      </c>
      <c r="D352" s="129">
        <f t="shared" ref="D352:O352" si="159">D1400</f>
        <v>0</v>
      </c>
      <c r="E352" s="129">
        <f t="shared" si="159"/>
        <v>0</v>
      </c>
      <c r="F352" s="129">
        <f t="shared" si="159"/>
        <v>0</v>
      </c>
      <c r="G352" s="129">
        <f t="shared" si="159"/>
        <v>0</v>
      </c>
      <c r="H352" s="129">
        <f t="shared" si="159"/>
        <v>0</v>
      </c>
      <c r="I352" s="129">
        <f t="shared" si="159"/>
        <v>0</v>
      </c>
      <c r="J352" s="129">
        <f t="shared" si="159"/>
        <v>0</v>
      </c>
      <c r="K352" s="129">
        <f t="shared" si="159"/>
        <v>106000</v>
      </c>
      <c r="L352" s="129">
        <f t="shared" si="159"/>
        <v>111724</v>
      </c>
      <c r="M352" s="129">
        <f t="shared" si="159"/>
        <v>118986</v>
      </c>
      <c r="N352" s="129">
        <f t="shared" si="159"/>
        <v>0</v>
      </c>
      <c r="O352" s="129">
        <f t="shared" si="159"/>
        <v>118986</v>
      </c>
    </row>
    <row r="353" spans="1:16383" x14ac:dyDescent="0.2">
      <c r="A353" s="119">
        <v>1.000230144E+19</v>
      </c>
      <c r="B353" s="120" t="s">
        <v>252</v>
      </c>
      <c r="C353" s="129">
        <v>8917</v>
      </c>
      <c r="D353" s="129">
        <v>0</v>
      </c>
      <c r="E353" s="129">
        <v>0</v>
      </c>
      <c r="F353" s="129">
        <v>0</v>
      </c>
      <c r="G353" s="129">
        <v>8917</v>
      </c>
      <c r="H353" s="129">
        <v>0</v>
      </c>
      <c r="I353" s="129">
        <f t="shared" ref="I353:O353" si="160">I2375</f>
        <v>0</v>
      </c>
      <c r="J353" s="129">
        <f t="shared" si="160"/>
        <v>8917</v>
      </c>
      <c r="K353" s="129">
        <f t="shared" si="160"/>
        <v>9318.2649999999994</v>
      </c>
      <c r="L353" s="129">
        <f t="shared" si="160"/>
        <v>9737.5869249999996</v>
      </c>
      <c r="M353" s="129">
        <f t="shared" si="160"/>
        <v>0</v>
      </c>
      <c r="N353" s="129">
        <f t="shared" si="160"/>
        <v>0</v>
      </c>
      <c r="O353" s="129">
        <f t="shared" si="160"/>
        <v>10175.778336624999</v>
      </c>
    </row>
    <row r="354" spans="1:16383" x14ac:dyDescent="0.2">
      <c r="A354" s="119">
        <v>1.00023016E+19</v>
      </c>
      <c r="B354" s="120" t="s">
        <v>253</v>
      </c>
      <c r="C354" s="129">
        <v>18000</v>
      </c>
      <c r="D354" s="129">
        <v>0</v>
      </c>
      <c r="E354" s="129">
        <v>0</v>
      </c>
      <c r="F354" s="129">
        <v>5161.3500000000004</v>
      </c>
      <c r="G354" s="129">
        <v>12838.65</v>
      </c>
      <c r="H354" s="129">
        <v>28.67</v>
      </c>
      <c r="I354" s="129">
        <f t="shared" ref="I354:O354" si="161">I578+I954+I1267+I1641+I1730+I1780+I2022+I2474+I2990</f>
        <v>0</v>
      </c>
      <c r="J354" s="129">
        <f t="shared" si="161"/>
        <v>18000</v>
      </c>
      <c r="K354" s="129">
        <f t="shared" si="161"/>
        <v>18270</v>
      </c>
      <c r="L354" s="129">
        <f t="shared" si="161"/>
        <v>18558.419999999998</v>
      </c>
      <c r="M354" s="129">
        <f t="shared" si="161"/>
        <v>2000</v>
      </c>
      <c r="N354" s="129">
        <f t="shared" si="161"/>
        <v>0</v>
      </c>
      <c r="O354" s="129">
        <f t="shared" si="161"/>
        <v>18860.107319999999</v>
      </c>
    </row>
    <row r="355" spans="1:16383" x14ac:dyDescent="0.2">
      <c r="A355" s="119">
        <v>1.000230162E+19</v>
      </c>
      <c r="B355" s="120" t="s">
        <v>254</v>
      </c>
      <c r="C355" s="129">
        <v>1000</v>
      </c>
      <c r="D355" s="129">
        <v>0</v>
      </c>
      <c r="E355" s="129">
        <v>0</v>
      </c>
      <c r="F355" s="129">
        <v>0</v>
      </c>
      <c r="G355" s="129">
        <v>1000</v>
      </c>
      <c r="H355" s="129">
        <v>0</v>
      </c>
      <c r="I355" s="129">
        <f t="shared" ref="I355:O355" si="162">I1268</f>
        <v>0</v>
      </c>
      <c r="J355" s="129">
        <f t="shared" si="162"/>
        <v>1000</v>
      </c>
      <c r="K355" s="129">
        <f t="shared" si="162"/>
        <v>1045</v>
      </c>
      <c r="L355" s="129">
        <f t="shared" si="162"/>
        <v>1093.07</v>
      </c>
      <c r="M355" s="129">
        <f t="shared" si="162"/>
        <v>0</v>
      </c>
      <c r="N355" s="129">
        <f t="shared" si="162"/>
        <v>0</v>
      </c>
      <c r="O355" s="129">
        <f t="shared" si="162"/>
        <v>1143.35122</v>
      </c>
    </row>
    <row r="356" spans="1:16383" x14ac:dyDescent="0.2">
      <c r="A356" s="119">
        <v>1.000230186E+19</v>
      </c>
      <c r="B356" s="120" t="s">
        <v>255</v>
      </c>
      <c r="C356" s="129">
        <v>83132</v>
      </c>
      <c r="D356" s="129">
        <v>0</v>
      </c>
      <c r="E356" s="129">
        <v>0</v>
      </c>
      <c r="F356" s="129">
        <v>57925</v>
      </c>
      <c r="G356" s="129">
        <v>25207</v>
      </c>
      <c r="H356" s="129">
        <v>69.67</v>
      </c>
      <c r="I356" s="129">
        <f t="shared" ref="I356:N356" si="163">I2927+I2928</f>
        <v>0</v>
      </c>
      <c r="J356" s="129">
        <f t="shared" si="163"/>
        <v>83132</v>
      </c>
      <c r="K356" s="129">
        <f t="shared" si="163"/>
        <v>86872.94</v>
      </c>
      <c r="L356" s="129">
        <f t="shared" si="163"/>
        <v>90869.095239999995</v>
      </c>
      <c r="M356" s="129">
        <f t="shared" si="163"/>
        <v>0</v>
      </c>
      <c r="N356" s="129">
        <f t="shared" si="163"/>
        <v>0</v>
      </c>
      <c r="O356" s="129">
        <f>O2927+O2928</f>
        <v>95049.073621039992</v>
      </c>
    </row>
    <row r="357" spans="1:16383" x14ac:dyDescent="0.2">
      <c r="A357" s="119">
        <v>1.0002301870000001E+19</v>
      </c>
      <c r="B357" s="120" t="s">
        <v>256</v>
      </c>
      <c r="C357" s="129">
        <v>36722</v>
      </c>
      <c r="D357" s="129">
        <v>0</v>
      </c>
      <c r="E357" s="129">
        <v>0</v>
      </c>
      <c r="F357" s="129">
        <v>0</v>
      </c>
      <c r="G357" s="129">
        <v>36722</v>
      </c>
      <c r="H357" s="129">
        <v>0</v>
      </c>
      <c r="I357" s="129">
        <f t="shared" ref="I357:O357" si="164">I3062</f>
        <v>0</v>
      </c>
      <c r="J357" s="129">
        <f t="shared" si="164"/>
        <v>36722</v>
      </c>
      <c r="K357" s="129">
        <f t="shared" si="164"/>
        <v>38374.49</v>
      </c>
      <c r="L357" s="129">
        <f t="shared" si="164"/>
        <v>40139.716540000001</v>
      </c>
      <c r="M357" s="129">
        <f t="shared" si="164"/>
        <v>0</v>
      </c>
      <c r="N357" s="129">
        <f t="shared" si="164"/>
        <v>0</v>
      </c>
      <c r="O357" s="129">
        <f t="shared" si="164"/>
        <v>41986.14350084</v>
      </c>
    </row>
    <row r="358" spans="1:16383" x14ac:dyDescent="0.2">
      <c r="A358" s="119">
        <v>1.00023024E+19</v>
      </c>
      <c r="B358" s="120" t="s">
        <v>257</v>
      </c>
      <c r="C358" s="129">
        <v>790000</v>
      </c>
      <c r="D358" s="129">
        <v>607496.82999999996</v>
      </c>
      <c r="E358" s="129">
        <v>0</v>
      </c>
      <c r="F358" s="129">
        <v>607496.82999999996</v>
      </c>
      <c r="G358" s="129">
        <v>182503.17</v>
      </c>
      <c r="H358" s="129">
        <v>76.89</v>
      </c>
      <c r="I358" s="129">
        <f t="shared" ref="I358:O358" si="165">I1542</f>
        <v>0</v>
      </c>
      <c r="J358" s="129">
        <f t="shared" si="165"/>
        <v>790000</v>
      </c>
      <c r="K358" s="129">
        <f t="shared" si="165"/>
        <v>825550</v>
      </c>
      <c r="L358" s="129">
        <f t="shared" si="165"/>
        <v>863525.3</v>
      </c>
      <c r="M358" s="129">
        <f t="shared" si="165"/>
        <v>0</v>
      </c>
      <c r="N358" s="129">
        <f t="shared" si="165"/>
        <v>0</v>
      </c>
      <c r="O358" s="129">
        <f t="shared" si="165"/>
        <v>903247.46380000003</v>
      </c>
    </row>
    <row r="359" spans="1:16383" x14ac:dyDescent="0.2">
      <c r="A359" s="119">
        <v>1.00023033E+19</v>
      </c>
      <c r="B359" s="120" t="s">
        <v>258</v>
      </c>
      <c r="C359" s="129">
        <v>480000</v>
      </c>
      <c r="D359" s="129">
        <v>0</v>
      </c>
      <c r="E359" s="129">
        <v>0</v>
      </c>
      <c r="F359" s="129">
        <v>109789.04</v>
      </c>
      <c r="G359" s="129">
        <v>370210.96</v>
      </c>
      <c r="H359" s="129">
        <v>22.87</v>
      </c>
      <c r="I359" s="129">
        <f t="shared" ref="I359:O359" si="166">I955</f>
        <v>0</v>
      </c>
      <c r="J359" s="129">
        <f t="shared" si="166"/>
        <v>480000</v>
      </c>
      <c r="K359" s="129">
        <f t="shared" si="166"/>
        <v>0</v>
      </c>
      <c r="L359" s="129">
        <f t="shared" si="166"/>
        <v>0</v>
      </c>
      <c r="M359" s="129">
        <f t="shared" si="166"/>
        <v>0</v>
      </c>
      <c r="N359" s="129">
        <f t="shared" si="166"/>
        <v>0</v>
      </c>
      <c r="O359" s="129">
        <f t="shared" si="166"/>
        <v>0</v>
      </c>
    </row>
    <row r="360" spans="1:16383" x14ac:dyDescent="0.2">
      <c r="A360" s="119">
        <v>1.0002303329999999E+19</v>
      </c>
      <c r="B360" s="120" t="s">
        <v>259</v>
      </c>
      <c r="C360" s="129">
        <v>234398</v>
      </c>
      <c r="D360" s="129">
        <v>0</v>
      </c>
      <c r="E360" s="129">
        <v>0</v>
      </c>
      <c r="F360" s="129">
        <v>124894.9</v>
      </c>
      <c r="G360" s="129">
        <v>109503.1</v>
      </c>
      <c r="H360" s="129">
        <v>53.28</v>
      </c>
      <c r="I360" s="129">
        <f t="shared" ref="I360:O360" si="167">I579</f>
        <v>-50000</v>
      </c>
      <c r="J360" s="129">
        <f t="shared" si="167"/>
        <v>184398</v>
      </c>
      <c r="K360" s="129">
        <f t="shared" si="167"/>
        <v>192695.91</v>
      </c>
      <c r="L360" s="129">
        <f t="shared" si="167"/>
        <v>201559.92186</v>
      </c>
      <c r="M360" s="129">
        <f t="shared" si="167"/>
        <v>0</v>
      </c>
      <c r="N360" s="129">
        <f t="shared" si="167"/>
        <v>0</v>
      </c>
      <c r="O360" s="129">
        <f t="shared" si="167"/>
        <v>210831.67826556001</v>
      </c>
    </row>
    <row r="361" spans="1:16383" x14ac:dyDescent="0.2">
      <c r="A361" s="119">
        <v>1.0002304510000001E+19</v>
      </c>
      <c r="B361" s="120" t="s">
        <v>260</v>
      </c>
      <c r="C361" s="129">
        <v>1132800</v>
      </c>
      <c r="D361" s="129">
        <v>187687</v>
      </c>
      <c r="E361" s="129">
        <v>258795.74</v>
      </c>
      <c r="F361" s="129">
        <v>507187</v>
      </c>
      <c r="G361" s="129">
        <v>625613</v>
      </c>
      <c r="H361" s="129">
        <v>44.77</v>
      </c>
      <c r="I361" s="129">
        <f t="shared" ref="I361:O361" si="168">I1401+I2662</f>
        <v>100000</v>
      </c>
      <c r="J361" s="129">
        <f t="shared" si="168"/>
        <v>1232800</v>
      </c>
      <c r="K361" s="129">
        <f t="shared" si="168"/>
        <v>1200291</v>
      </c>
      <c r="L361" s="129">
        <f t="shared" si="168"/>
        <v>1264840.6259999999</v>
      </c>
      <c r="M361" s="129">
        <f t="shared" si="168"/>
        <v>0</v>
      </c>
      <c r="N361" s="129">
        <f t="shared" si="168"/>
        <v>0</v>
      </c>
      <c r="O361" s="129">
        <f t="shared" si="168"/>
        <v>1346358.568796</v>
      </c>
    </row>
    <row r="362" spans="1:16383" x14ac:dyDescent="0.2">
      <c r="A362" s="119">
        <v>1.000230452E+19</v>
      </c>
      <c r="B362" s="120" t="s">
        <v>261</v>
      </c>
      <c r="C362" s="129">
        <v>1060100</v>
      </c>
      <c r="D362" s="129">
        <v>0</v>
      </c>
      <c r="E362" s="129">
        <v>0</v>
      </c>
      <c r="F362" s="129">
        <v>920733.7</v>
      </c>
      <c r="G362" s="129">
        <v>139366.29999999999</v>
      </c>
      <c r="H362" s="129">
        <v>86.85</v>
      </c>
      <c r="I362" s="129">
        <f t="shared" ref="I362:O362" si="169">I716+I717+I2475</f>
        <v>0</v>
      </c>
      <c r="J362" s="129">
        <f t="shared" si="169"/>
        <v>1060100</v>
      </c>
      <c r="K362" s="129">
        <f t="shared" si="169"/>
        <v>1107804.5</v>
      </c>
      <c r="L362" s="129">
        <f t="shared" si="169"/>
        <v>1158763.507</v>
      </c>
      <c r="M362" s="129">
        <f t="shared" si="169"/>
        <v>0</v>
      </c>
      <c r="N362" s="129">
        <f t="shared" si="169"/>
        <v>0</v>
      </c>
      <c r="O362" s="129">
        <f t="shared" si="169"/>
        <v>1212066.6283219999</v>
      </c>
    </row>
    <row r="363" spans="1:16383" x14ac:dyDescent="0.2">
      <c r="A363" s="119">
        <v>1.0002304529999999E+19</v>
      </c>
      <c r="B363" s="120" t="s">
        <v>262</v>
      </c>
      <c r="C363" s="129">
        <v>97801</v>
      </c>
      <c r="D363" s="129">
        <v>0</v>
      </c>
      <c r="E363" s="129">
        <v>0</v>
      </c>
      <c r="F363" s="129">
        <v>0</v>
      </c>
      <c r="G363" s="129">
        <v>97801</v>
      </c>
      <c r="H363" s="129">
        <v>0</v>
      </c>
      <c r="I363" s="129">
        <f t="shared" ref="I363:O363" si="170">I1642</f>
        <v>-97801</v>
      </c>
      <c r="J363" s="129">
        <f t="shared" si="170"/>
        <v>0</v>
      </c>
      <c r="K363" s="129">
        <f t="shared" si="170"/>
        <v>0</v>
      </c>
      <c r="L363" s="129">
        <f t="shared" si="170"/>
        <v>0</v>
      </c>
      <c r="M363" s="129">
        <f t="shared" si="170"/>
        <v>0</v>
      </c>
      <c r="N363" s="129">
        <f t="shared" si="170"/>
        <v>0</v>
      </c>
      <c r="O363" s="129">
        <f t="shared" si="170"/>
        <v>0</v>
      </c>
    </row>
    <row r="364" spans="1:16383" x14ac:dyDescent="0.2">
      <c r="A364" s="119">
        <v>1.0002305110000001E+19</v>
      </c>
      <c r="B364" s="120" t="s">
        <v>263</v>
      </c>
      <c r="C364" s="129">
        <v>2735000</v>
      </c>
      <c r="D364" s="129">
        <v>93150</v>
      </c>
      <c r="E364" s="129">
        <v>60185.35</v>
      </c>
      <c r="F364" s="129">
        <v>1487599.91</v>
      </c>
      <c r="G364" s="129">
        <v>1247400.0900000001</v>
      </c>
      <c r="H364" s="129">
        <v>54.39</v>
      </c>
      <c r="I364" s="129">
        <f t="shared" ref="I364:O364" si="171">I718+I867+I868+I2023</f>
        <v>-250000</v>
      </c>
      <c r="J364" s="129">
        <f t="shared" si="171"/>
        <v>2485000</v>
      </c>
      <c r="K364" s="129">
        <f t="shared" si="171"/>
        <v>2689190</v>
      </c>
      <c r="L364" s="129">
        <f t="shared" si="171"/>
        <v>2812892.74</v>
      </c>
      <c r="M364" s="129">
        <f t="shared" si="171"/>
        <v>2097349.2544600004</v>
      </c>
      <c r="N364" s="129">
        <f t="shared" si="171"/>
        <v>0</v>
      </c>
      <c r="O364" s="129">
        <f t="shared" si="171"/>
        <v>2942285.8060400002</v>
      </c>
    </row>
    <row r="365" spans="1:16383" x14ac:dyDescent="0.2">
      <c r="A365" s="119"/>
      <c r="B365" s="120" t="s">
        <v>3039</v>
      </c>
      <c r="C365" s="129">
        <f>C719</f>
        <v>0</v>
      </c>
      <c r="D365" s="129">
        <f t="shared" ref="D365:O365" si="172">D719</f>
        <v>0</v>
      </c>
      <c r="E365" s="129">
        <f t="shared" si="172"/>
        <v>0</v>
      </c>
      <c r="F365" s="129">
        <f t="shared" si="172"/>
        <v>0</v>
      </c>
      <c r="G365" s="129">
        <f t="shared" si="172"/>
        <v>0</v>
      </c>
      <c r="H365" s="129">
        <f t="shared" si="172"/>
        <v>0</v>
      </c>
      <c r="I365" s="129">
        <f t="shared" si="172"/>
        <v>0</v>
      </c>
      <c r="J365" s="129">
        <f t="shared" si="172"/>
        <v>0</v>
      </c>
      <c r="K365" s="129">
        <f t="shared" si="172"/>
        <v>213511.26500000001</v>
      </c>
      <c r="L365" s="129">
        <f t="shared" si="172"/>
        <v>223332.78319000002</v>
      </c>
      <c r="M365" s="129">
        <f t="shared" si="172"/>
        <v>233606.09121674002</v>
      </c>
      <c r="N365" s="129">
        <f t="shared" si="172"/>
        <v>0</v>
      </c>
      <c r="O365" s="129">
        <f t="shared" si="172"/>
        <v>233606.09121674002</v>
      </c>
    </row>
    <row r="366" spans="1:16383" x14ac:dyDescent="0.2">
      <c r="A366" s="119">
        <v>1.0002305129999999E+19</v>
      </c>
      <c r="B366" s="120" t="s">
        <v>264</v>
      </c>
      <c r="C366" s="129">
        <v>2304000</v>
      </c>
      <c r="D366" s="129">
        <v>0</v>
      </c>
      <c r="E366" s="129">
        <v>0</v>
      </c>
      <c r="F366" s="129">
        <v>943200</v>
      </c>
      <c r="G366" s="129">
        <v>1360800</v>
      </c>
      <c r="H366" s="129">
        <v>40.93</v>
      </c>
      <c r="I366" s="129">
        <f t="shared" ref="I366:O366" si="173">I869</f>
        <v>0</v>
      </c>
      <c r="J366" s="129">
        <f t="shared" si="173"/>
        <v>2304000</v>
      </c>
      <c r="K366" s="129">
        <f t="shared" si="173"/>
        <v>2304000</v>
      </c>
      <c r="L366" s="129">
        <f t="shared" si="173"/>
        <v>2409984</v>
      </c>
      <c r="M366" s="129">
        <f t="shared" si="173"/>
        <v>2520843.264</v>
      </c>
      <c r="N366" s="129">
        <f t="shared" si="173"/>
        <v>0</v>
      </c>
      <c r="O366" s="129">
        <f t="shared" si="173"/>
        <v>2520843.264</v>
      </c>
    </row>
    <row r="367" spans="1:16383" ht="15" x14ac:dyDescent="0.25">
      <c r="A367" s="124"/>
      <c r="B367" s="120" t="s">
        <v>1370</v>
      </c>
      <c r="C367" s="130">
        <f>C2476</f>
        <v>0</v>
      </c>
      <c r="D367" s="130">
        <f t="shared" ref="D367:O367" si="174">D2476</f>
        <v>-290187</v>
      </c>
      <c r="E367" s="130">
        <f t="shared" si="174"/>
        <v>0</v>
      </c>
      <c r="F367" s="130">
        <f t="shared" si="174"/>
        <v>-524054</v>
      </c>
      <c r="G367" s="130">
        <f t="shared" si="174"/>
        <v>-642946</v>
      </c>
      <c r="H367" s="130"/>
      <c r="I367" s="130">
        <f t="shared" si="174"/>
        <v>350000</v>
      </c>
      <c r="J367" s="130">
        <f t="shared" si="174"/>
        <v>350000</v>
      </c>
      <c r="K367" s="130">
        <f t="shared" si="174"/>
        <v>365750</v>
      </c>
      <c r="L367" s="130">
        <f t="shared" si="174"/>
        <v>382574.5</v>
      </c>
      <c r="M367" s="130">
        <f t="shared" si="174"/>
        <v>0</v>
      </c>
      <c r="N367" s="130">
        <f t="shared" si="174"/>
        <v>0</v>
      </c>
      <c r="O367" s="130">
        <f t="shared" si="174"/>
        <v>400172.92700000003</v>
      </c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  <c r="EC367" s="124"/>
      <c r="ED367" s="124"/>
      <c r="EE367" s="124"/>
      <c r="EF367" s="124"/>
      <c r="EG367" s="124"/>
      <c r="EH367" s="124"/>
      <c r="EI367" s="124"/>
      <c r="EJ367" s="124"/>
      <c r="EK367" s="124"/>
      <c r="EL367" s="124"/>
      <c r="EM367" s="124"/>
      <c r="EN367" s="124"/>
      <c r="EO367" s="124"/>
      <c r="EP367" s="124"/>
      <c r="EQ367" s="124"/>
      <c r="ER367" s="124"/>
      <c r="ES367" s="124"/>
      <c r="ET367" s="124"/>
      <c r="EU367" s="124"/>
      <c r="EV367" s="124"/>
      <c r="EW367" s="124"/>
      <c r="EX367" s="124"/>
      <c r="EY367" s="124"/>
      <c r="EZ367" s="124"/>
      <c r="FA367" s="124"/>
      <c r="FB367" s="124"/>
      <c r="FC367" s="124"/>
      <c r="FD367" s="124"/>
      <c r="FE367" s="124"/>
      <c r="FF367" s="124"/>
      <c r="FG367" s="124"/>
      <c r="FH367" s="124"/>
      <c r="FI367" s="124"/>
      <c r="FJ367" s="124"/>
      <c r="FK367" s="124"/>
      <c r="FL367" s="124"/>
      <c r="FM367" s="124"/>
      <c r="FN367" s="124"/>
      <c r="FO367" s="124"/>
      <c r="FP367" s="124"/>
      <c r="FQ367" s="124"/>
      <c r="FR367" s="124"/>
      <c r="FS367" s="124"/>
      <c r="FT367" s="124"/>
      <c r="FU367" s="124"/>
      <c r="FV367" s="124"/>
      <c r="FW367" s="124"/>
      <c r="FX367" s="124"/>
      <c r="FY367" s="124"/>
      <c r="FZ367" s="124"/>
      <c r="GA367" s="124"/>
      <c r="GB367" s="124"/>
      <c r="GC367" s="124"/>
      <c r="GD367" s="124"/>
      <c r="GE367" s="124"/>
      <c r="GF367" s="124"/>
      <c r="GG367" s="124"/>
      <c r="GH367" s="124"/>
      <c r="GI367" s="124"/>
      <c r="GJ367" s="124"/>
      <c r="GK367" s="124"/>
      <c r="GL367" s="124"/>
      <c r="GM367" s="124"/>
      <c r="GN367" s="124"/>
      <c r="GO367" s="124"/>
      <c r="GP367" s="124"/>
      <c r="GQ367" s="124"/>
      <c r="GR367" s="124"/>
      <c r="GS367" s="124"/>
      <c r="GT367" s="124"/>
      <c r="GU367" s="124"/>
      <c r="GV367" s="124"/>
      <c r="GW367" s="124"/>
      <c r="GX367" s="124"/>
      <c r="GY367" s="124"/>
      <c r="GZ367" s="124"/>
      <c r="HA367" s="124"/>
      <c r="HB367" s="124"/>
      <c r="HC367" s="124"/>
      <c r="HD367" s="124"/>
      <c r="HE367" s="124"/>
      <c r="HF367" s="124"/>
      <c r="HG367" s="124"/>
      <c r="HH367" s="124"/>
      <c r="HI367" s="124"/>
      <c r="HJ367" s="124"/>
      <c r="HK367" s="124"/>
      <c r="HL367" s="124"/>
      <c r="HM367" s="124"/>
      <c r="HN367" s="124"/>
      <c r="HO367" s="124"/>
      <c r="HP367" s="124"/>
      <c r="HQ367" s="124"/>
      <c r="HR367" s="124"/>
      <c r="HS367" s="124"/>
      <c r="HT367" s="124"/>
      <c r="HU367" s="124"/>
      <c r="HV367" s="124"/>
      <c r="HW367" s="124"/>
      <c r="HX367" s="124"/>
      <c r="HY367" s="124"/>
      <c r="HZ367" s="124"/>
      <c r="IA367" s="124"/>
      <c r="IB367" s="124"/>
      <c r="IC367" s="124"/>
      <c r="ID367" s="124"/>
      <c r="IE367" s="124"/>
      <c r="IF367" s="124"/>
      <c r="IG367" s="124"/>
      <c r="IH367" s="124"/>
      <c r="II367" s="124"/>
      <c r="IJ367" s="124"/>
      <c r="IK367" s="124"/>
      <c r="IL367" s="124"/>
      <c r="IM367" s="124"/>
      <c r="IN367" s="124"/>
      <c r="IO367" s="124"/>
      <c r="IP367" s="124"/>
      <c r="IQ367" s="124"/>
      <c r="IR367" s="124"/>
      <c r="IS367" s="124"/>
      <c r="IT367" s="124"/>
      <c r="IU367" s="124"/>
      <c r="IV367" s="124"/>
      <c r="IW367" s="124"/>
      <c r="IX367" s="124"/>
      <c r="IY367" s="124"/>
      <c r="IZ367" s="124"/>
      <c r="JA367" s="124"/>
      <c r="JB367" s="124"/>
      <c r="JC367" s="124"/>
      <c r="JD367" s="124"/>
      <c r="JE367" s="124"/>
      <c r="JF367" s="124"/>
      <c r="JG367" s="124"/>
      <c r="JH367" s="124"/>
      <c r="JI367" s="124"/>
      <c r="JJ367" s="124"/>
      <c r="JK367" s="124"/>
      <c r="JL367" s="124"/>
      <c r="JM367" s="124"/>
      <c r="JN367" s="124"/>
      <c r="JO367" s="124"/>
      <c r="JP367" s="124"/>
      <c r="JQ367" s="124"/>
      <c r="JR367" s="124"/>
      <c r="JS367" s="124"/>
      <c r="JT367" s="124"/>
      <c r="JU367" s="124"/>
      <c r="JV367" s="124"/>
      <c r="JW367" s="124"/>
      <c r="JX367" s="124"/>
      <c r="JY367" s="124"/>
      <c r="JZ367" s="124"/>
      <c r="KA367" s="124"/>
      <c r="KB367" s="124"/>
      <c r="KC367" s="124"/>
      <c r="KD367" s="124"/>
      <c r="KE367" s="124"/>
      <c r="KF367" s="124"/>
      <c r="KG367" s="124"/>
      <c r="KH367" s="124"/>
      <c r="KI367" s="124"/>
      <c r="KJ367" s="124"/>
      <c r="KK367" s="124"/>
      <c r="KL367" s="124"/>
      <c r="KM367" s="124"/>
      <c r="KN367" s="124"/>
      <c r="KO367" s="124"/>
      <c r="KP367" s="124"/>
      <c r="KQ367" s="124"/>
      <c r="KR367" s="124"/>
      <c r="KS367" s="124"/>
      <c r="KT367" s="124"/>
      <c r="KU367" s="124"/>
      <c r="KV367" s="124"/>
      <c r="KW367" s="124"/>
      <c r="KX367" s="124"/>
      <c r="KY367" s="124"/>
      <c r="KZ367" s="124"/>
      <c r="LA367" s="124"/>
      <c r="LB367" s="124"/>
      <c r="LC367" s="124"/>
      <c r="LD367" s="124"/>
      <c r="LE367" s="124"/>
      <c r="LF367" s="124"/>
      <c r="LG367" s="124"/>
      <c r="LH367" s="124"/>
      <c r="LI367" s="124"/>
      <c r="LJ367" s="124"/>
      <c r="LK367" s="124"/>
      <c r="LL367" s="124"/>
      <c r="LM367" s="124"/>
      <c r="LN367" s="124"/>
      <c r="LO367" s="124"/>
      <c r="LP367" s="124"/>
      <c r="LQ367" s="124"/>
      <c r="LR367" s="124"/>
      <c r="LS367" s="124"/>
      <c r="LT367" s="124"/>
      <c r="LU367" s="124"/>
      <c r="LV367" s="124"/>
      <c r="LW367" s="124"/>
      <c r="LX367" s="124"/>
      <c r="LY367" s="124"/>
      <c r="LZ367" s="124"/>
      <c r="MA367" s="124"/>
      <c r="MB367" s="124"/>
      <c r="MC367" s="124"/>
      <c r="MD367" s="124"/>
      <c r="ME367" s="124"/>
      <c r="MF367" s="124"/>
      <c r="MG367" s="124"/>
      <c r="MH367" s="124"/>
      <c r="MI367" s="124"/>
      <c r="MJ367" s="124"/>
      <c r="MK367" s="124"/>
      <c r="ML367" s="124"/>
      <c r="MM367" s="124"/>
      <c r="MN367" s="124"/>
      <c r="MO367" s="124"/>
      <c r="MP367" s="124"/>
      <c r="MQ367" s="124"/>
      <c r="MR367" s="124"/>
      <c r="MS367" s="124"/>
      <c r="MT367" s="124"/>
      <c r="MU367" s="124"/>
      <c r="MV367" s="124"/>
      <c r="MW367" s="124"/>
      <c r="MX367" s="124"/>
      <c r="MY367" s="124"/>
      <c r="MZ367" s="124"/>
      <c r="NA367" s="124"/>
      <c r="NB367" s="124"/>
      <c r="NC367" s="124"/>
      <c r="ND367" s="124"/>
      <c r="NE367" s="124"/>
      <c r="NF367" s="124"/>
      <c r="NG367" s="124"/>
      <c r="NH367" s="124"/>
      <c r="NI367" s="124"/>
      <c r="NJ367" s="124"/>
      <c r="NK367" s="124"/>
      <c r="NL367" s="124"/>
      <c r="NM367" s="124"/>
      <c r="NN367" s="124"/>
      <c r="NO367" s="124"/>
      <c r="NP367" s="124"/>
      <c r="NQ367" s="124"/>
      <c r="NR367" s="124"/>
      <c r="NS367" s="124"/>
      <c r="NT367" s="124"/>
      <c r="NU367" s="124"/>
      <c r="NV367" s="124"/>
      <c r="NW367" s="124"/>
      <c r="NX367" s="124"/>
      <c r="NY367" s="124"/>
      <c r="NZ367" s="124"/>
      <c r="OA367" s="124"/>
      <c r="OB367" s="124"/>
      <c r="OC367" s="124"/>
      <c r="OD367" s="124"/>
      <c r="OE367" s="124"/>
      <c r="OF367" s="124"/>
      <c r="OG367" s="124"/>
      <c r="OH367" s="124"/>
      <c r="OI367" s="124"/>
      <c r="OJ367" s="124"/>
      <c r="OK367" s="124"/>
      <c r="OL367" s="124"/>
      <c r="OM367" s="124"/>
      <c r="ON367" s="124"/>
      <c r="OO367" s="124"/>
      <c r="OP367" s="124"/>
      <c r="OQ367" s="124"/>
      <c r="OR367" s="124"/>
      <c r="OS367" s="124"/>
      <c r="OT367" s="124"/>
      <c r="OU367" s="124"/>
      <c r="OV367" s="124"/>
      <c r="OW367" s="124"/>
      <c r="OX367" s="124"/>
      <c r="OY367" s="124"/>
      <c r="OZ367" s="124"/>
      <c r="PA367" s="124"/>
      <c r="PB367" s="124"/>
      <c r="PC367" s="124"/>
      <c r="PD367" s="124"/>
      <c r="PE367" s="124"/>
      <c r="PF367" s="124"/>
      <c r="PG367" s="124"/>
      <c r="PH367" s="124"/>
      <c r="PI367" s="124"/>
      <c r="PJ367" s="124"/>
      <c r="PK367" s="124"/>
      <c r="PL367" s="124"/>
      <c r="PM367" s="124"/>
      <c r="PN367" s="124"/>
      <c r="PO367" s="124"/>
      <c r="PP367" s="124"/>
      <c r="PQ367" s="124"/>
      <c r="PR367" s="124"/>
      <c r="PS367" s="124"/>
      <c r="PT367" s="124"/>
      <c r="PU367" s="124"/>
      <c r="PV367" s="124"/>
      <c r="PW367" s="124"/>
      <c r="PX367" s="124"/>
      <c r="PY367" s="124"/>
      <c r="PZ367" s="124"/>
      <c r="QA367" s="124"/>
      <c r="QB367" s="124"/>
      <c r="QC367" s="124"/>
      <c r="QD367" s="124"/>
      <c r="QE367" s="124"/>
      <c r="QF367" s="124"/>
      <c r="QG367" s="124"/>
      <c r="QH367" s="124"/>
      <c r="QI367" s="124"/>
      <c r="QJ367" s="124"/>
      <c r="QK367" s="124"/>
      <c r="QL367" s="124"/>
      <c r="QM367" s="124"/>
      <c r="QN367" s="124"/>
      <c r="QO367" s="124"/>
      <c r="QP367" s="124"/>
      <c r="QQ367" s="124"/>
      <c r="QR367" s="124"/>
      <c r="QS367" s="124"/>
      <c r="QT367" s="124"/>
      <c r="QU367" s="124"/>
      <c r="QV367" s="124"/>
      <c r="QW367" s="124"/>
      <c r="QX367" s="124"/>
      <c r="QY367" s="124"/>
      <c r="QZ367" s="124"/>
      <c r="RA367" s="124"/>
      <c r="RB367" s="124"/>
      <c r="RC367" s="124"/>
      <c r="RD367" s="124"/>
      <c r="RE367" s="124"/>
      <c r="RF367" s="124"/>
      <c r="RG367" s="124"/>
      <c r="RH367" s="124"/>
      <c r="RI367" s="124"/>
      <c r="RJ367" s="124"/>
      <c r="RK367" s="124"/>
      <c r="RL367" s="124"/>
      <c r="RM367" s="124"/>
      <c r="RN367" s="124"/>
      <c r="RO367" s="124"/>
      <c r="RP367" s="124"/>
      <c r="RQ367" s="124"/>
      <c r="RR367" s="124"/>
      <c r="RS367" s="124"/>
      <c r="RT367" s="124"/>
      <c r="RU367" s="124"/>
      <c r="RV367" s="124"/>
      <c r="RW367" s="124"/>
      <c r="RX367" s="124"/>
      <c r="RY367" s="124"/>
      <c r="RZ367" s="124"/>
      <c r="SA367" s="124"/>
      <c r="SB367" s="124"/>
      <c r="SC367" s="124"/>
      <c r="SD367" s="124"/>
      <c r="SE367" s="124"/>
      <c r="SF367" s="124"/>
      <c r="SG367" s="124"/>
      <c r="SH367" s="124"/>
      <c r="SI367" s="124"/>
      <c r="SJ367" s="124"/>
      <c r="SK367" s="124"/>
      <c r="SL367" s="124"/>
      <c r="SM367" s="124"/>
      <c r="SN367" s="124"/>
      <c r="SO367" s="124"/>
      <c r="SP367" s="124"/>
      <c r="SQ367" s="124"/>
      <c r="SR367" s="124"/>
      <c r="SS367" s="124"/>
      <c r="ST367" s="124"/>
      <c r="SU367" s="124"/>
      <c r="SV367" s="124"/>
      <c r="SW367" s="124"/>
      <c r="SX367" s="124"/>
      <c r="SY367" s="124"/>
      <c r="SZ367" s="124"/>
      <c r="TA367" s="124"/>
      <c r="TB367" s="124"/>
      <c r="TC367" s="124"/>
      <c r="TD367" s="124"/>
      <c r="TE367" s="124"/>
      <c r="TF367" s="124"/>
      <c r="TG367" s="124"/>
      <c r="TH367" s="124"/>
      <c r="TI367" s="124"/>
      <c r="TJ367" s="124"/>
      <c r="TK367" s="124"/>
      <c r="TL367" s="124"/>
      <c r="TM367" s="124"/>
      <c r="TN367" s="124"/>
      <c r="TO367" s="124"/>
      <c r="TP367" s="124"/>
      <c r="TQ367" s="124"/>
      <c r="TR367" s="124"/>
      <c r="TS367" s="124"/>
      <c r="TT367" s="124"/>
      <c r="TU367" s="124"/>
      <c r="TV367" s="124"/>
      <c r="TW367" s="124"/>
      <c r="TX367" s="124"/>
      <c r="TY367" s="124"/>
      <c r="TZ367" s="124"/>
      <c r="UA367" s="124"/>
      <c r="UB367" s="124"/>
      <c r="UC367" s="124"/>
      <c r="UD367" s="124"/>
      <c r="UE367" s="124"/>
      <c r="UF367" s="124"/>
      <c r="UG367" s="124"/>
      <c r="UH367" s="124"/>
      <c r="UI367" s="124"/>
      <c r="UJ367" s="124"/>
      <c r="UK367" s="124"/>
      <c r="UL367" s="124"/>
      <c r="UM367" s="124"/>
      <c r="UN367" s="124"/>
      <c r="UO367" s="124"/>
      <c r="UP367" s="124"/>
      <c r="UQ367" s="124"/>
      <c r="UR367" s="124"/>
      <c r="US367" s="124"/>
      <c r="UT367" s="124"/>
      <c r="UU367" s="124"/>
      <c r="UV367" s="124"/>
      <c r="UW367" s="124"/>
      <c r="UX367" s="124"/>
      <c r="UY367" s="124"/>
      <c r="UZ367" s="124"/>
      <c r="VA367" s="124"/>
      <c r="VB367" s="124"/>
      <c r="VC367" s="124"/>
      <c r="VD367" s="124"/>
      <c r="VE367" s="124"/>
      <c r="VF367" s="124"/>
      <c r="VG367" s="124"/>
      <c r="VH367" s="124"/>
      <c r="VI367" s="124"/>
      <c r="VJ367" s="124"/>
      <c r="VK367" s="124"/>
      <c r="VL367" s="124"/>
      <c r="VM367" s="124"/>
      <c r="VN367" s="124"/>
      <c r="VO367" s="124"/>
      <c r="VP367" s="124"/>
      <c r="VQ367" s="124"/>
      <c r="VR367" s="124"/>
      <c r="VS367" s="124"/>
      <c r="VT367" s="124"/>
      <c r="VU367" s="124"/>
      <c r="VV367" s="124"/>
      <c r="VW367" s="124"/>
      <c r="VX367" s="124"/>
      <c r="VY367" s="124"/>
      <c r="VZ367" s="124"/>
      <c r="WA367" s="124"/>
      <c r="WB367" s="124"/>
      <c r="WC367" s="124"/>
      <c r="WD367" s="124"/>
      <c r="WE367" s="124"/>
      <c r="WF367" s="124"/>
      <c r="WG367" s="124"/>
      <c r="WH367" s="124"/>
      <c r="WI367" s="124"/>
      <c r="WJ367" s="124"/>
      <c r="WK367" s="124"/>
      <c r="WL367" s="124"/>
      <c r="WM367" s="124"/>
      <c r="WN367" s="124"/>
      <c r="WO367" s="124"/>
      <c r="WP367" s="124"/>
      <c r="WQ367" s="124"/>
      <c r="WR367" s="124"/>
      <c r="WS367" s="124"/>
      <c r="WT367" s="124"/>
      <c r="WU367" s="124"/>
      <c r="WV367" s="124"/>
      <c r="WW367" s="124"/>
      <c r="WX367" s="124"/>
      <c r="WY367" s="124"/>
      <c r="WZ367" s="124"/>
      <c r="XA367" s="124"/>
      <c r="XB367" s="124"/>
      <c r="XC367" s="124"/>
      <c r="XD367" s="124"/>
      <c r="XE367" s="124"/>
      <c r="XF367" s="124"/>
      <c r="XG367" s="124"/>
      <c r="XH367" s="124"/>
      <c r="XI367" s="124"/>
      <c r="XJ367" s="124"/>
      <c r="XK367" s="124"/>
      <c r="XL367" s="124"/>
      <c r="XM367" s="124"/>
      <c r="XN367" s="124"/>
      <c r="XO367" s="124"/>
      <c r="XP367" s="124"/>
      <c r="XQ367" s="124"/>
      <c r="XR367" s="124"/>
      <c r="XS367" s="124"/>
      <c r="XT367" s="124"/>
      <c r="XU367" s="124"/>
      <c r="XV367" s="124"/>
      <c r="XW367" s="124"/>
      <c r="XX367" s="124"/>
      <c r="XY367" s="124"/>
      <c r="XZ367" s="124"/>
      <c r="YA367" s="124"/>
      <c r="YB367" s="124"/>
      <c r="YC367" s="124"/>
      <c r="YD367" s="124"/>
      <c r="YE367" s="124"/>
      <c r="YF367" s="124"/>
      <c r="YG367" s="124"/>
      <c r="YH367" s="124"/>
      <c r="YI367" s="124"/>
      <c r="YJ367" s="124"/>
      <c r="YK367" s="124"/>
      <c r="YL367" s="124"/>
      <c r="YM367" s="124"/>
      <c r="YN367" s="124"/>
      <c r="YO367" s="124"/>
      <c r="YP367" s="124"/>
      <c r="YQ367" s="124"/>
      <c r="YR367" s="124"/>
      <c r="YS367" s="124"/>
      <c r="YT367" s="124"/>
      <c r="YU367" s="124"/>
      <c r="YV367" s="124"/>
      <c r="YW367" s="124"/>
      <c r="YX367" s="124"/>
      <c r="YY367" s="124"/>
      <c r="YZ367" s="124"/>
      <c r="ZA367" s="124"/>
      <c r="ZB367" s="124"/>
      <c r="ZC367" s="124"/>
      <c r="ZD367" s="124"/>
      <c r="ZE367" s="124"/>
      <c r="ZF367" s="124"/>
      <c r="ZG367" s="124"/>
      <c r="ZH367" s="124"/>
      <c r="ZI367" s="124"/>
      <c r="ZJ367" s="124"/>
      <c r="ZK367" s="124"/>
      <c r="ZL367" s="124"/>
      <c r="ZM367" s="124"/>
      <c r="ZN367" s="124"/>
      <c r="ZO367" s="124"/>
      <c r="ZP367" s="124"/>
      <c r="ZQ367" s="124"/>
      <c r="ZR367" s="124"/>
      <c r="ZS367" s="124"/>
      <c r="ZT367" s="124"/>
      <c r="ZU367" s="124"/>
      <c r="ZV367" s="124"/>
      <c r="ZW367" s="124"/>
      <c r="ZX367" s="124"/>
      <c r="ZY367" s="124"/>
      <c r="ZZ367" s="124"/>
      <c r="AAA367" s="124"/>
      <c r="AAB367" s="124"/>
      <c r="AAC367" s="124"/>
      <c r="AAD367" s="124"/>
      <c r="AAE367" s="124"/>
      <c r="AAF367" s="124"/>
      <c r="AAG367" s="124"/>
      <c r="AAH367" s="124"/>
      <c r="AAI367" s="124"/>
      <c r="AAJ367" s="124"/>
      <c r="AAK367" s="124"/>
      <c r="AAL367" s="124"/>
      <c r="AAM367" s="124"/>
      <c r="AAN367" s="124"/>
      <c r="AAO367" s="124"/>
      <c r="AAP367" s="124"/>
      <c r="AAQ367" s="124"/>
      <c r="AAR367" s="124"/>
      <c r="AAS367" s="124"/>
      <c r="AAT367" s="124"/>
      <c r="AAU367" s="124"/>
      <c r="AAV367" s="124"/>
      <c r="AAW367" s="124"/>
      <c r="AAX367" s="124"/>
      <c r="AAY367" s="124"/>
      <c r="AAZ367" s="124"/>
      <c r="ABA367" s="124"/>
      <c r="ABB367" s="124"/>
      <c r="ABC367" s="124"/>
      <c r="ABD367" s="124"/>
      <c r="ABE367" s="124"/>
      <c r="ABF367" s="124"/>
      <c r="ABG367" s="124"/>
      <c r="ABH367" s="124"/>
      <c r="ABI367" s="124"/>
      <c r="ABJ367" s="124"/>
      <c r="ABK367" s="124"/>
      <c r="ABL367" s="124"/>
      <c r="ABM367" s="124"/>
      <c r="ABN367" s="124"/>
      <c r="ABO367" s="124"/>
      <c r="ABP367" s="124"/>
      <c r="ABQ367" s="124"/>
      <c r="ABR367" s="124"/>
      <c r="ABS367" s="124"/>
      <c r="ABT367" s="124"/>
      <c r="ABU367" s="124"/>
      <c r="ABV367" s="124"/>
      <c r="ABW367" s="124"/>
      <c r="ABX367" s="124"/>
      <c r="ABY367" s="124"/>
      <c r="ABZ367" s="124"/>
      <c r="ACA367" s="124"/>
      <c r="ACB367" s="124"/>
      <c r="ACC367" s="124"/>
      <c r="ACD367" s="124"/>
      <c r="ACE367" s="124"/>
      <c r="ACF367" s="124"/>
      <c r="ACG367" s="124"/>
      <c r="ACH367" s="124"/>
      <c r="ACI367" s="124"/>
      <c r="ACJ367" s="124"/>
      <c r="ACK367" s="124"/>
      <c r="ACL367" s="124"/>
      <c r="ACM367" s="124"/>
      <c r="ACN367" s="124"/>
      <c r="ACO367" s="124"/>
      <c r="ACP367" s="124"/>
      <c r="ACQ367" s="124"/>
      <c r="ACR367" s="124"/>
      <c r="ACS367" s="124"/>
      <c r="ACT367" s="124"/>
      <c r="ACU367" s="124"/>
      <c r="ACV367" s="124"/>
      <c r="ACW367" s="124"/>
      <c r="ACX367" s="124"/>
      <c r="ACY367" s="124"/>
      <c r="ACZ367" s="124"/>
      <c r="ADA367" s="124"/>
      <c r="ADB367" s="124"/>
      <c r="ADC367" s="124"/>
      <c r="ADD367" s="124"/>
      <c r="ADE367" s="124"/>
      <c r="ADF367" s="124"/>
      <c r="ADG367" s="124"/>
      <c r="ADH367" s="124"/>
      <c r="ADI367" s="124"/>
      <c r="ADJ367" s="124"/>
      <c r="ADK367" s="124"/>
      <c r="ADL367" s="124"/>
      <c r="ADM367" s="124"/>
      <c r="ADN367" s="124"/>
      <c r="ADO367" s="124"/>
      <c r="ADP367" s="124"/>
      <c r="ADQ367" s="124"/>
      <c r="ADR367" s="124"/>
      <c r="ADS367" s="124"/>
      <c r="ADT367" s="124"/>
      <c r="ADU367" s="124"/>
      <c r="ADV367" s="124"/>
      <c r="ADW367" s="124"/>
      <c r="ADX367" s="124"/>
      <c r="ADY367" s="124"/>
      <c r="ADZ367" s="124"/>
      <c r="AEA367" s="124"/>
      <c r="AEB367" s="124"/>
      <c r="AEC367" s="124"/>
      <c r="AED367" s="124"/>
      <c r="AEE367" s="124"/>
      <c r="AEF367" s="124"/>
      <c r="AEG367" s="124"/>
      <c r="AEH367" s="124"/>
      <c r="AEI367" s="124"/>
      <c r="AEJ367" s="124"/>
      <c r="AEK367" s="124"/>
      <c r="AEL367" s="124"/>
      <c r="AEM367" s="124"/>
      <c r="AEN367" s="124"/>
      <c r="AEO367" s="124"/>
      <c r="AEP367" s="124"/>
      <c r="AEQ367" s="124"/>
      <c r="AER367" s="124"/>
      <c r="AES367" s="124"/>
      <c r="AET367" s="124"/>
      <c r="AEU367" s="124"/>
      <c r="AEV367" s="124"/>
      <c r="AEW367" s="124"/>
      <c r="AEX367" s="124"/>
      <c r="AEY367" s="124"/>
      <c r="AEZ367" s="124"/>
      <c r="AFA367" s="124"/>
      <c r="AFB367" s="124"/>
      <c r="AFC367" s="124"/>
      <c r="AFD367" s="124"/>
      <c r="AFE367" s="124"/>
      <c r="AFF367" s="124"/>
      <c r="AFG367" s="124"/>
      <c r="AFH367" s="124"/>
      <c r="AFI367" s="124"/>
      <c r="AFJ367" s="124"/>
      <c r="AFK367" s="124"/>
      <c r="AFL367" s="124"/>
      <c r="AFM367" s="124"/>
      <c r="AFN367" s="124"/>
      <c r="AFO367" s="124"/>
      <c r="AFP367" s="124"/>
      <c r="AFQ367" s="124"/>
      <c r="AFR367" s="124"/>
      <c r="AFS367" s="124"/>
      <c r="AFT367" s="124"/>
      <c r="AFU367" s="124"/>
      <c r="AFV367" s="124"/>
      <c r="AFW367" s="124"/>
      <c r="AFX367" s="124"/>
      <c r="AFY367" s="124"/>
      <c r="AFZ367" s="124"/>
      <c r="AGA367" s="124"/>
      <c r="AGB367" s="124"/>
      <c r="AGC367" s="124"/>
      <c r="AGD367" s="124"/>
      <c r="AGE367" s="124"/>
      <c r="AGF367" s="124"/>
      <c r="AGG367" s="124"/>
      <c r="AGH367" s="124"/>
      <c r="AGI367" s="124"/>
      <c r="AGJ367" s="124"/>
      <c r="AGK367" s="124"/>
      <c r="AGL367" s="124"/>
      <c r="AGM367" s="124"/>
      <c r="AGN367" s="124"/>
      <c r="AGO367" s="124"/>
      <c r="AGP367" s="124"/>
      <c r="AGQ367" s="124"/>
      <c r="AGR367" s="124"/>
      <c r="AGS367" s="124"/>
      <c r="AGT367" s="124"/>
      <c r="AGU367" s="124"/>
      <c r="AGV367" s="124"/>
      <c r="AGW367" s="124"/>
      <c r="AGX367" s="124"/>
      <c r="AGY367" s="124"/>
      <c r="AGZ367" s="124"/>
      <c r="AHA367" s="124"/>
      <c r="AHB367" s="124"/>
      <c r="AHC367" s="124"/>
      <c r="AHD367" s="124"/>
      <c r="AHE367" s="124"/>
      <c r="AHF367" s="124"/>
      <c r="AHG367" s="124"/>
      <c r="AHH367" s="124"/>
      <c r="AHI367" s="124"/>
      <c r="AHJ367" s="124"/>
      <c r="AHK367" s="124"/>
      <c r="AHL367" s="124"/>
      <c r="AHM367" s="124"/>
      <c r="AHN367" s="124"/>
      <c r="AHO367" s="124"/>
      <c r="AHP367" s="124"/>
      <c r="AHQ367" s="124"/>
      <c r="AHR367" s="124"/>
      <c r="AHS367" s="124"/>
      <c r="AHT367" s="124"/>
      <c r="AHU367" s="124"/>
      <c r="AHV367" s="124"/>
      <c r="AHW367" s="124"/>
      <c r="AHX367" s="124"/>
      <c r="AHY367" s="124"/>
      <c r="AHZ367" s="124"/>
      <c r="AIA367" s="124"/>
      <c r="AIB367" s="124"/>
      <c r="AIC367" s="124"/>
      <c r="AID367" s="124"/>
      <c r="AIE367" s="124"/>
      <c r="AIF367" s="124"/>
      <c r="AIG367" s="124"/>
      <c r="AIH367" s="124"/>
      <c r="AII367" s="124"/>
      <c r="AIJ367" s="124"/>
      <c r="AIK367" s="124"/>
      <c r="AIL367" s="124"/>
      <c r="AIM367" s="124"/>
      <c r="AIN367" s="124"/>
      <c r="AIO367" s="124"/>
      <c r="AIP367" s="124"/>
      <c r="AIQ367" s="124"/>
      <c r="AIR367" s="124"/>
      <c r="AIS367" s="124"/>
      <c r="AIT367" s="124"/>
      <c r="AIU367" s="124"/>
      <c r="AIV367" s="124"/>
      <c r="AIW367" s="124"/>
      <c r="AIX367" s="124"/>
      <c r="AIY367" s="124"/>
      <c r="AIZ367" s="124"/>
      <c r="AJA367" s="124"/>
      <c r="AJB367" s="124"/>
      <c r="AJC367" s="124"/>
      <c r="AJD367" s="124"/>
      <c r="AJE367" s="124"/>
      <c r="AJF367" s="124"/>
      <c r="AJG367" s="124"/>
      <c r="AJH367" s="124"/>
      <c r="AJI367" s="124"/>
      <c r="AJJ367" s="124"/>
      <c r="AJK367" s="124"/>
      <c r="AJL367" s="124"/>
      <c r="AJM367" s="124"/>
      <c r="AJN367" s="124"/>
      <c r="AJO367" s="124"/>
      <c r="AJP367" s="124"/>
      <c r="AJQ367" s="124"/>
      <c r="AJR367" s="124"/>
      <c r="AJS367" s="124"/>
      <c r="AJT367" s="124"/>
      <c r="AJU367" s="124"/>
      <c r="AJV367" s="124"/>
      <c r="AJW367" s="124"/>
      <c r="AJX367" s="124"/>
      <c r="AJY367" s="124"/>
      <c r="AJZ367" s="124"/>
      <c r="AKA367" s="124"/>
      <c r="AKB367" s="124"/>
      <c r="AKC367" s="124"/>
      <c r="AKD367" s="124"/>
      <c r="AKE367" s="124"/>
      <c r="AKF367" s="124"/>
      <c r="AKG367" s="124"/>
      <c r="AKH367" s="124"/>
      <c r="AKI367" s="124"/>
      <c r="AKJ367" s="124"/>
      <c r="AKK367" s="124"/>
      <c r="AKL367" s="124"/>
      <c r="AKM367" s="124"/>
      <c r="AKN367" s="124"/>
      <c r="AKO367" s="124"/>
      <c r="AKP367" s="124"/>
      <c r="AKQ367" s="124"/>
      <c r="AKR367" s="124"/>
      <c r="AKS367" s="124"/>
      <c r="AKT367" s="124"/>
      <c r="AKU367" s="124"/>
      <c r="AKV367" s="124"/>
      <c r="AKW367" s="124"/>
      <c r="AKX367" s="124"/>
      <c r="AKY367" s="124"/>
      <c r="AKZ367" s="124"/>
      <c r="ALA367" s="124"/>
      <c r="ALB367" s="124"/>
      <c r="ALC367" s="124"/>
      <c r="ALD367" s="124"/>
      <c r="ALE367" s="124"/>
      <c r="ALF367" s="124"/>
      <c r="ALG367" s="124"/>
      <c r="ALH367" s="124"/>
      <c r="ALI367" s="124"/>
      <c r="ALJ367" s="124"/>
      <c r="ALK367" s="124"/>
      <c r="ALL367" s="124"/>
      <c r="ALM367" s="124"/>
      <c r="ALN367" s="124"/>
      <c r="ALO367" s="124"/>
      <c r="ALP367" s="124"/>
      <c r="ALQ367" s="124"/>
      <c r="ALR367" s="124"/>
      <c r="ALS367" s="124"/>
      <c r="ALT367" s="124"/>
      <c r="ALU367" s="124"/>
      <c r="ALV367" s="124"/>
      <c r="ALW367" s="124"/>
      <c r="ALX367" s="124"/>
      <c r="ALY367" s="124"/>
      <c r="ALZ367" s="124"/>
      <c r="AMA367" s="124"/>
      <c r="AMB367" s="124"/>
      <c r="AMC367" s="124"/>
      <c r="AMD367" s="124"/>
      <c r="AME367" s="124"/>
      <c r="AMF367" s="124"/>
      <c r="AMG367" s="124"/>
      <c r="AMH367" s="124"/>
      <c r="AMI367" s="124"/>
      <c r="AMJ367" s="124"/>
      <c r="AMK367" s="124"/>
      <c r="AML367" s="124"/>
      <c r="AMM367" s="124"/>
      <c r="AMN367" s="124"/>
      <c r="AMO367" s="124"/>
      <c r="AMP367" s="124"/>
      <c r="AMQ367" s="124"/>
      <c r="AMR367" s="124"/>
      <c r="AMS367" s="124"/>
      <c r="AMT367" s="124"/>
      <c r="AMU367" s="124"/>
      <c r="AMV367" s="124"/>
      <c r="AMW367" s="124"/>
      <c r="AMX367" s="124"/>
      <c r="AMY367" s="124"/>
      <c r="AMZ367" s="124"/>
      <c r="ANA367" s="124"/>
      <c r="ANB367" s="124"/>
      <c r="ANC367" s="124"/>
      <c r="AND367" s="124"/>
      <c r="ANE367" s="124"/>
      <c r="ANF367" s="124"/>
      <c r="ANG367" s="124"/>
      <c r="ANH367" s="124"/>
      <c r="ANI367" s="124"/>
      <c r="ANJ367" s="124"/>
      <c r="ANK367" s="124"/>
      <c r="ANL367" s="124"/>
      <c r="ANM367" s="124"/>
      <c r="ANN367" s="124"/>
      <c r="ANO367" s="124"/>
      <c r="ANP367" s="124"/>
      <c r="ANQ367" s="124"/>
      <c r="ANR367" s="124"/>
      <c r="ANS367" s="124"/>
      <c r="ANT367" s="124"/>
      <c r="ANU367" s="124"/>
      <c r="ANV367" s="124"/>
      <c r="ANW367" s="124"/>
      <c r="ANX367" s="124"/>
      <c r="ANY367" s="124"/>
      <c r="ANZ367" s="124"/>
      <c r="AOA367" s="124"/>
      <c r="AOB367" s="124"/>
      <c r="AOC367" s="124"/>
      <c r="AOD367" s="124"/>
      <c r="AOE367" s="124"/>
      <c r="AOF367" s="124"/>
      <c r="AOG367" s="124"/>
      <c r="AOH367" s="124"/>
      <c r="AOI367" s="124"/>
      <c r="AOJ367" s="124"/>
      <c r="AOK367" s="124"/>
      <c r="AOL367" s="124"/>
      <c r="AOM367" s="124"/>
      <c r="AON367" s="124"/>
      <c r="AOO367" s="124"/>
      <c r="AOP367" s="124"/>
      <c r="AOQ367" s="124"/>
      <c r="AOR367" s="124"/>
      <c r="AOS367" s="124"/>
      <c r="AOT367" s="124"/>
      <c r="AOU367" s="124"/>
      <c r="AOV367" s="124"/>
      <c r="AOW367" s="124"/>
      <c r="AOX367" s="124"/>
      <c r="AOY367" s="124"/>
      <c r="AOZ367" s="124"/>
      <c r="APA367" s="124"/>
      <c r="APB367" s="124"/>
      <c r="APC367" s="124"/>
      <c r="APD367" s="124"/>
      <c r="APE367" s="124"/>
      <c r="APF367" s="124"/>
      <c r="APG367" s="124"/>
      <c r="APH367" s="124"/>
      <c r="API367" s="124"/>
      <c r="APJ367" s="124"/>
      <c r="APK367" s="124"/>
      <c r="APL367" s="124"/>
      <c r="APM367" s="124"/>
      <c r="APN367" s="124"/>
      <c r="APO367" s="124"/>
      <c r="APP367" s="124"/>
      <c r="APQ367" s="124"/>
      <c r="APR367" s="124"/>
      <c r="APS367" s="124"/>
      <c r="APT367" s="124"/>
      <c r="APU367" s="124"/>
      <c r="APV367" s="124"/>
      <c r="APW367" s="124"/>
      <c r="APX367" s="124"/>
      <c r="APY367" s="124"/>
      <c r="APZ367" s="124"/>
      <c r="AQA367" s="124"/>
      <c r="AQB367" s="124"/>
      <c r="AQC367" s="124"/>
      <c r="AQD367" s="124"/>
      <c r="AQE367" s="124"/>
      <c r="AQF367" s="124"/>
      <c r="AQG367" s="124"/>
      <c r="AQH367" s="124"/>
      <c r="AQI367" s="124"/>
      <c r="AQJ367" s="124"/>
      <c r="AQK367" s="124"/>
      <c r="AQL367" s="124"/>
      <c r="AQM367" s="124"/>
      <c r="AQN367" s="124"/>
      <c r="AQO367" s="124"/>
      <c r="AQP367" s="124"/>
      <c r="AQQ367" s="124"/>
      <c r="AQR367" s="124"/>
      <c r="AQS367" s="124"/>
      <c r="AQT367" s="124"/>
      <c r="AQU367" s="124"/>
      <c r="AQV367" s="124"/>
      <c r="AQW367" s="124"/>
      <c r="AQX367" s="124"/>
      <c r="AQY367" s="124"/>
      <c r="AQZ367" s="124"/>
      <c r="ARA367" s="124"/>
      <c r="ARB367" s="124"/>
      <c r="ARC367" s="124"/>
      <c r="ARD367" s="124"/>
      <c r="ARE367" s="124"/>
      <c r="ARF367" s="124"/>
      <c r="ARG367" s="124"/>
      <c r="ARH367" s="124"/>
      <c r="ARI367" s="124"/>
      <c r="ARJ367" s="124"/>
      <c r="ARK367" s="124"/>
      <c r="ARL367" s="124"/>
      <c r="ARM367" s="124"/>
      <c r="ARN367" s="124"/>
      <c r="ARO367" s="124"/>
      <c r="ARP367" s="124"/>
      <c r="ARQ367" s="124"/>
      <c r="ARR367" s="124"/>
      <c r="ARS367" s="124"/>
      <c r="ART367" s="124"/>
      <c r="ARU367" s="124"/>
      <c r="ARV367" s="124"/>
      <c r="ARW367" s="124"/>
      <c r="ARX367" s="124"/>
      <c r="ARY367" s="124"/>
      <c r="ARZ367" s="124"/>
      <c r="ASA367" s="124"/>
      <c r="ASB367" s="124"/>
      <c r="ASC367" s="124"/>
      <c r="ASD367" s="124"/>
      <c r="ASE367" s="124"/>
      <c r="ASF367" s="124"/>
      <c r="ASG367" s="124"/>
      <c r="ASH367" s="124"/>
      <c r="ASI367" s="124"/>
      <c r="ASJ367" s="124"/>
      <c r="ASK367" s="124"/>
      <c r="ASL367" s="124"/>
      <c r="ASM367" s="124"/>
      <c r="ASN367" s="124"/>
      <c r="ASO367" s="124"/>
      <c r="ASP367" s="124"/>
      <c r="ASQ367" s="124"/>
      <c r="ASR367" s="124"/>
      <c r="ASS367" s="124"/>
      <c r="AST367" s="124"/>
      <c r="ASU367" s="124"/>
      <c r="ASV367" s="124"/>
      <c r="ASW367" s="124"/>
      <c r="ASX367" s="124"/>
      <c r="ASY367" s="124"/>
      <c r="ASZ367" s="124"/>
      <c r="ATA367" s="124"/>
      <c r="ATB367" s="124"/>
      <c r="ATC367" s="124"/>
      <c r="ATD367" s="124"/>
      <c r="ATE367" s="124"/>
      <c r="ATF367" s="124"/>
      <c r="ATG367" s="124"/>
      <c r="ATH367" s="124"/>
      <c r="ATI367" s="124"/>
      <c r="ATJ367" s="124"/>
      <c r="ATK367" s="124"/>
      <c r="ATL367" s="124"/>
      <c r="ATM367" s="124"/>
      <c r="ATN367" s="124"/>
      <c r="ATO367" s="124"/>
      <c r="ATP367" s="124"/>
      <c r="ATQ367" s="124"/>
      <c r="ATR367" s="124"/>
      <c r="ATS367" s="124"/>
      <c r="ATT367" s="124"/>
      <c r="ATU367" s="124"/>
      <c r="ATV367" s="124"/>
      <c r="ATW367" s="124"/>
      <c r="ATX367" s="124"/>
      <c r="ATY367" s="124"/>
      <c r="ATZ367" s="124"/>
      <c r="AUA367" s="124"/>
      <c r="AUB367" s="124"/>
      <c r="AUC367" s="124"/>
      <c r="AUD367" s="124"/>
      <c r="AUE367" s="124"/>
      <c r="AUF367" s="124"/>
      <c r="AUG367" s="124"/>
      <c r="AUH367" s="124"/>
      <c r="AUI367" s="124"/>
      <c r="AUJ367" s="124"/>
      <c r="AUK367" s="124"/>
      <c r="AUL367" s="124"/>
      <c r="AUM367" s="124"/>
      <c r="AUN367" s="124"/>
      <c r="AUO367" s="124"/>
      <c r="AUP367" s="124"/>
      <c r="AUQ367" s="124"/>
      <c r="AUR367" s="124"/>
      <c r="AUS367" s="124"/>
      <c r="AUT367" s="124"/>
      <c r="AUU367" s="124"/>
      <c r="AUV367" s="124"/>
      <c r="AUW367" s="124"/>
      <c r="AUX367" s="124"/>
      <c r="AUY367" s="124"/>
      <c r="AUZ367" s="124"/>
      <c r="AVA367" s="124"/>
      <c r="AVB367" s="124"/>
      <c r="AVC367" s="124"/>
      <c r="AVD367" s="124"/>
      <c r="AVE367" s="124"/>
      <c r="AVF367" s="124"/>
      <c r="AVG367" s="124"/>
      <c r="AVH367" s="124"/>
      <c r="AVI367" s="124"/>
      <c r="AVJ367" s="124"/>
      <c r="AVK367" s="124"/>
      <c r="AVL367" s="124"/>
      <c r="AVM367" s="124"/>
      <c r="AVN367" s="124"/>
      <c r="AVO367" s="124"/>
      <c r="AVP367" s="124"/>
      <c r="AVQ367" s="124"/>
      <c r="AVR367" s="124"/>
      <c r="AVS367" s="124"/>
      <c r="AVT367" s="124"/>
      <c r="AVU367" s="124"/>
      <c r="AVV367" s="124"/>
      <c r="AVW367" s="124"/>
      <c r="AVX367" s="124"/>
      <c r="AVY367" s="124"/>
      <c r="AVZ367" s="124"/>
      <c r="AWA367" s="124"/>
      <c r="AWB367" s="124"/>
      <c r="AWC367" s="124"/>
      <c r="AWD367" s="124"/>
      <c r="AWE367" s="124"/>
      <c r="AWF367" s="124"/>
      <c r="AWG367" s="124"/>
      <c r="AWH367" s="124"/>
      <c r="AWI367" s="124"/>
      <c r="AWJ367" s="124"/>
      <c r="AWK367" s="124"/>
      <c r="AWL367" s="124"/>
      <c r="AWM367" s="124"/>
      <c r="AWN367" s="124"/>
      <c r="AWO367" s="124"/>
      <c r="AWP367" s="124"/>
      <c r="AWQ367" s="124"/>
      <c r="AWR367" s="124"/>
      <c r="AWS367" s="124"/>
      <c r="AWT367" s="124"/>
      <c r="AWU367" s="124"/>
      <c r="AWV367" s="124"/>
      <c r="AWW367" s="124"/>
      <c r="AWX367" s="124"/>
      <c r="AWY367" s="124"/>
      <c r="AWZ367" s="124"/>
      <c r="AXA367" s="124"/>
      <c r="AXB367" s="124"/>
      <c r="AXC367" s="124"/>
      <c r="AXD367" s="124"/>
      <c r="AXE367" s="124"/>
      <c r="AXF367" s="124"/>
      <c r="AXG367" s="124"/>
      <c r="AXH367" s="124"/>
      <c r="AXI367" s="124"/>
      <c r="AXJ367" s="124"/>
      <c r="AXK367" s="124"/>
      <c r="AXL367" s="124"/>
      <c r="AXM367" s="124"/>
      <c r="AXN367" s="124"/>
      <c r="AXO367" s="124"/>
      <c r="AXP367" s="124"/>
      <c r="AXQ367" s="124"/>
      <c r="AXR367" s="124"/>
      <c r="AXS367" s="124"/>
      <c r="AXT367" s="124"/>
      <c r="AXU367" s="124"/>
      <c r="AXV367" s="124"/>
      <c r="AXW367" s="124"/>
      <c r="AXX367" s="124"/>
      <c r="AXY367" s="124"/>
      <c r="AXZ367" s="124"/>
      <c r="AYA367" s="124"/>
      <c r="AYB367" s="124"/>
      <c r="AYC367" s="124"/>
      <c r="AYD367" s="124"/>
      <c r="AYE367" s="124"/>
      <c r="AYF367" s="124"/>
      <c r="AYG367" s="124"/>
      <c r="AYH367" s="124"/>
      <c r="AYI367" s="124"/>
      <c r="AYJ367" s="124"/>
      <c r="AYK367" s="124"/>
      <c r="AYL367" s="124"/>
      <c r="AYM367" s="124"/>
      <c r="AYN367" s="124"/>
      <c r="AYO367" s="124"/>
      <c r="AYP367" s="124"/>
      <c r="AYQ367" s="124"/>
      <c r="AYR367" s="124"/>
      <c r="AYS367" s="124"/>
      <c r="AYT367" s="124"/>
      <c r="AYU367" s="124"/>
      <c r="AYV367" s="124"/>
      <c r="AYW367" s="124"/>
      <c r="AYX367" s="124"/>
      <c r="AYY367" s="124"/>
      <c r="AYZ367" s="124"/>
      <c r="AZA367" s="124"/>
      <c r="AZB367" s="124"/>
      <c r="AZC367" s="124"/>
      <c r="AZD367" s="124"/>
      <c r="AZE367" s="124"/>
      <c r="AZF367" s="124"/>
      <c r="AZG367" s="124"/>
      <c r="AZH367" s="124"/>
      <c r="AZI367" s="124"/>
      <c r="AZJ367" s="124"/>
      <c r="AZK367" s="124"/>
      <c r="AZL367" s="124"/>
      <c r="AZM367" s="124"/>
      <c r="AZN367" s="124"/>
      <c r="AZO367" s="124"/>
      <c r="AZP367" s="124"/>
      <c r="AZQ367" s="124"/>
      <c r="AZR367" s="124"/>
      <c r="AZS367" s="124"/>
      <c r="AZT367" s="124"/>
      <c r="AZU367" s="124"/>
      <c r="AZV367" s="124"/>
      <c r="AZW367" s="124"/>
      <c r="AZX367" s="124"/>
      <c r="AZY367" s="124"/>
      <c r="AZZ367" s="124"/>
      <c r="BAA367" s="124"/>
      <c r="BAB367" s="124"/>
      <c r="BAC367" s="124"/>
      <c r="BAD367" s="124"/>
      <c r="BAE367" s="124"/>
      <c r="BAF367" s="124"/>
      <c r="BAG367" s="124"/>
      <c r="BAH367" s="124"/>
      <c r="BAI367" s="124"/>
      <c r="BAJ367" s="124"/>
      <c r="BAK367" s="124"/>
      <c r="BAL367" s="124"/>
      <c r="BAM367" s="124"/>
      <c r="BAN367" s="124"/>
      <c r="BAO367" s="124"/>
      <c r="BAP367" s="124"/>
      <c r="BAQ367" s="124"/>
      <c r="BAR367" s="124"/>
      <c r="BAS367" s="124"/>
      <c r="BAT367" s="124"/>
      <c r="BAU367" s="124"/>
      <c r="BAV367" s="124"/>
      <c r="BAW367" s="124"/>
      <c r="BAX367" s="124"/>
      <c r="BAY367" s="124"/>
      <c r="BAZ367" s="124"/>
      <c r="BBA367" s="124"/>
      <c r="BBB367" s="124"/>
      <c r="BBC367" s="124"/>
      <c r="BBD367" s="124"/>
      <c r="BBE367" s="124"/>
      <c r="BBF367" s="124"/>
      <c r="BBG367" s="124"/>
      <c r="BBH367" s="124"/>
      <c r="BBI367" s="124"/>
      <c r="BBJ367" s="124"/>
      <c r="BBK367" s="124"/>
      <c r="BBL367" s="124"/>
      <c r="BBM367" s="124"/>
      <c r="BBN367" s="124"/>
      <c r="BBO367" s="124"/>
      <c r="BBP367" s="124"/>
      <c r="BBQ367" s="124"/>
      <c r="BBR367" s="124"/>
      <c r="BBS367" s="124"/>
      <c r="BBT367" s="124"/>
      <c r="BBU367" s="124"/>
      <c r="BBV367" s="124"/>
      <c r="BBW367" s="124"/>
      <c r="BBX367" s="124"/>
      <c r="BBY367" s="124"/>
      <c r="BBZ367" s="124"/>
      <c r="BCA367" s="124"/>
      <c r="BCB367" s="124"/>
      <c r="BCC367" s="124"/>
      <c r="BCD367" s="124"/>
      <c r="BCE367" s="124"/>
      <c r="BCF367" s="124"/>
      <c r="BCG367" s="124"/>
      <c r="BCH367" s="124"/>
      <c r="BCI367" s="124"/>
      <c r="BCJ367" s="124"/>
      <c r="BCK367" s="124"/>
      <c r="BCL367" s="124"/>
      <c r="BCM367" s="124"/>
      <c r="BCN367" s="124"/>
      <c r="BCO367" s="124"/>
      <c r="BCP367" s="124"/>
      <c r="BCQ367" s="124"/>
      <c r="BCR367" s="124"/>
      <c r="BCS367" s="124"/>
      <c r="BCT367" s="124"/>
      <c r="BCU367" s="124"/>
      <c r="BCV367" s="124"/>
      <c r="BCW367" s="124"/>
      <c r="BCX367" s="124"/>
      <c r="BCY367" s="124"/>
      <c r="BCZ367" s="124"/>
      <c r="BDA367" s="124"/>
      <c r="BDB367" s="124"/>
      <c r="BDC367" s="124"/>
      <c r="BDD367" s="124"/>
      <c r="BDE367" s="124"/>
      <c r="BDF367" s="124"/>
      <c r="BDG367" s="124"/>
      <c r="BDH367" s="124"/>
      <c r="BDI367" s="124"/>
      <c r="BDJ367" s="124"/>
      <c r="BDK367" s="124"/>
      <c r="BDL367" s="124"/>
      <c r="BDM367" s="124"/>
      <c r="BDN367" s="124"/>
      <c r="BDO367" s="124"/>
      <c r="BDP367" s="124"/>
      <c r="BDQ367" s="124"/>
      <c r="BDR367" s="124"/>
      <c r="BDS367" s="124"/>
      <c r="BDT367" s="124"/>
      <c r="BDU367" s="124"/>
      <c r="BDV367" s="124"/>
      <c r="BDW367" s="124"/>
      <c r="BDX367" s="124"/>
      <c r="BDY367" s="124"/>
      <c r="BDZ367" s="124"/>
      <c r="BEA367" s="124"/>
      <c r="BEB367" s="124"/>
      <c r="BEC367" s="124"/>
      <c r="BED367" s="124"/>
      <c r="BEE367" s="124"/>
      <c r="BEF367" s="124"/>
      <c r="BEG367" s="124"/>
      <c r="BEH367" s="124"/>
      <c r="BEI367" s="124"/>
      <c r="BEJ367" s="124"/>
      <c r="BEK367" s="124"/>
      <c r="BEL367" s="124"/>
      <c r="BEM367" s="124"/>
      <c r="BEN367" s="124"/>
      <c r="BEO367" s="124"/>
      <c r="BEP367" s="124"/>
      <c r="BEQ367" s="124"/>
      <c r="BER367" s="124"/>
      <c r="BES367" s="124"/>
      <c r="BET367" s="124"/>
      <c r="BEU367" s="124"/>
      <c r="BEV367" s="124"/>
      <c r="BEW367" s="124"/>
      <c r="BEX367" s="124"/>
      <c r="BEY367" s="124"/>
      <c r="BEZ367" s="124"/>
      <c r="BFA367" s="124"/>
      <c r="BFB367" s="124"/>
      <c r="BFC367" s="124"/>
      <c r="BFD367" s="124"/>
      <c r="BFE367" s="124"/>
      <c r="BFF367" s="124"/>
      <c r="BFG367" s="124"/>
      <c r="BFH367" s="124"/>
      <c r="BFI367" s="124"/>
      <c r="BFJ367" s="124"/>
      <c r="BFK367" s="124"/>
      <c r="BFL367" s="124"/>
      <c r="BFM367" s="124"/>
      <c r="BFN367" s="124"/>
      <c r="BFO367" s="124"/>
      <c r="BFP367" s="124"/>
      <c r="BFQ367" s="124"/>
      <c r="BFR367" s="124"/>
      <c r="BFS367" s="124"/>
      <c r="BFT367" s="124"/>
      <c r="BFU367" s="124"/>
      <c r="BFV367" s="124"/>
      <c r="BFW367" s="124"/>
      <c r="BFX367" s="124"/>
      <c r="BFY367" s="124"/>
      <c r="BFZ367" s="124"/>
      <c r="BGA367" s="124"/>
      <c r="BGB367" s="124"/>
      <c r="BGC367" s="124"/>
      <c r="BGD367" s="124"/>
      <c r="BGE367" s="124"/>
      <c r="BGF367" s="124"/>
      <c r="BGG367" s="124"/>
      <c r="BGH367" s="124"/>
      <c r="BGI367" s="124"/>
      <c r="BGJ367" s="124"/>
      <c r="BGK367" s="124"/>
      <c r="BGL367" s="124"/>
      <c r="BGM367" s="124"/>
      <c r="BGN367" s="124"/>
      <c r="BGO367" s="124"/>
      <c r="BGP367" s="124"/>
      <c r="BGQ367" s="124"/>
      <c r="BGR367" s="124"/>
      <c r="BGS367" s="124"/>
      <c r="BGT367" s="124"/>
      <c r="BGU367" s="124"/>
      <c r="BGV367" s="124"/>
      <c r="BGW367" s="124"/>
      <c r="BGX367" s="124"/>
      <c r="BGY367" s="124"/>
      <c r="BGZ367" s="124"/>
      <c r="BHA367" s="124"/>
      <c r="BHB367" s="124"/>
      <c r="BHC367" s="124"/>
      <c r="BHD367" s="124"/>
      <c r="BHE367" s="124"/>
      <c r="BHF367" s="124"/>
      <c r="BHG367" s="124"/>
      <c r="BHH367" s="124"/>
      <c r="BHI367" s="124"/>
      <c r="BHJ367" s="124"/>
      <c r="BHK367" s="124"/>
      <c r="BHL367" s="124"/>
      <c r="BHM367" s="124"/>
      <c r="BHN367" s="124"/>
      <c r="BHO367" s="124"/>
      <c r="BHP367" s="124"/>
      <c r="BHQ367" s="124"/>
      <c r="BHR367" s="124"/>
      <c r="BHS367" s="124"/>
      <c r="BHT367" s="124"/>
      <c r="BHU367" s="124"/>
      <c r="BHV367" s="124"/>
      <c r="BHW367" s="124"/>
      <c r="BHX367" s="124"/>
      <c r="BHY367" s="124"/>
      <c r="BHZ367" s="124"/>
      <c r="BIA367" s="124"/>
      <c r="BIB367" s="124"/>
      <c r="BIC367" s="124"/>
      <c r="BID367" s="124"/>
      <c r="BIE367" s="124"/>
      <c r="BIF367" s="124"/>
      <c r="BIG367" s="124"/>
      <c r="BIH367" s="124"/>
      <c r="BII367" s="124"/>
      <c r="BIJ367" s="124"/>
      <c r="BIK367" s="124"/>
      <c r="BIL367" s="124"/>
      <c r="BIM367" s="124"/>
      <c r="BIN367" s="124"/>
      <c r="BIO367" s="124"/>
      <c r="BIP367" s="124"/>
      <c r="BIQ367" s="124"/>
      <c r="BIR367" s="124"/>
      <c r="BIS367" s="124"/>
      <c r="BIT367" s="124"/>
      <c r="BIU367" s="124"/>
      <c r="BIV367" s="124"/>
      <c r="BIW367" s="124"/>
      <c r="BIX367" s="124"/>
      <c r="BIY367" s="124"/>
      <c r="BIZ367" s="124"/>
      <c r="BJA367" s="124"/>
      <c r="BJB367" s="124"/>
      <c r="BJC367" s="124"/>
      <c r="BJD367" s="124"/>
      <c r="BJE367" s="124"/>
      <c r="BJF367" s="124"/>
      <c r="BJG367" s="124"/>
      <c r="BJH367" s="124"/>
      <c r="BJI367" s="124"/>
      <c r="BJJ367" s="124"/>
      <c r="BJK367" s="124"/>
      <c r="BJL367" s="124"/>
      <c r="BJM367" s="124"/>
      <c r="BJN367" s="124"/>
      <c r="BJO367" s="124"/>
      <c r="BJP367" s="124"/>
      <c r="BJQ367" s="124"/>
      <c r="BJR367" s="124"/>
      <c r="BJS367" s="124"/>
      <c r="BJT367" s="124"/>
      <c r="BJU367" s="124"/>
      <c r="BJV367" s="124"/>
      <c r="BJW367" s="124"/>
      <c r="BJX367" s="124"/>
      <c r="BJY367" s="124"/>
      <c r="BJZ367" s="124"/>
      <c r="BKA367" s="124"/>
      <c r="BKB367" s="124"/>
      <c r="BKC367" s="124"/>
      <c r="BKD367" s="124"/>
      <c r="BKE367" s="124"/>
      <c r="BKF367" s="124"/>
      <c r="BKG367" s="124"/>
      <c r="BKH367" s="124"/>
      <c r="BKI367" s="124"/>
      <c r="BKJ367" s="124"/>
      <c r="BKK367" s="124"/>
      <c r="BKL367" s="124"/>
      <c r="BKM367" s="124"/>
      <c r="BKN367" s="124"/>
      <c r="BKO367" s="124"/>
      <c r="BKP367" s="124"/>
      <c r="BKQ367" s="124"/>
      <c r="BKR367" s="124"/>
      <c r="BKS367" s="124"/>
      <c r="BKT367" s="124"/>
      <c r="BKU367" s="124"/>
      <c r="BKV367" s="124"/>
      <c r="BKW367" s="124"/>
      <c r="BKX367" s="124"/>
      <c r="BKY367" s="124"/>
      <c r="BKZ367" s="124"/>
      <c r="BLA367" s="124"/>
      <c r="BLB367" s="124"/>
      <c r="BLC367" s="124"/>
      <c r="BLD367" s="124"/>
      <c r="BLE367" s="124"/>
      <c r="BLF367" s="124"/>
      <c r="BLG367" s="124"/>
      <c r="BLH367" s="124"/>
      <c r="BLI367" s="124"/>
      <c r="BLJ367" s="124"/>
      <c r="BLK367" s="124"/>
      <c r="BLL367" s="124"/>
      <c r="BLM367" s="124"/>
      <c r="BLN367" s="124"/>
      <c r="BLO367" s="124"/>
      <c r="BLP367" s="124"/>
      <c r="BLQ367" s="124"/>
      <c r="BLR367" s="124"/>
      <c r="BLS367" s="124"/>
      <c r="BLT367" s="124"/>
      <c r="BLU367" s="124"/>
      <c r="BLV367" s="124"/>
      <c r="BLW367" s="124"/>
      <c r="BLX367" s="124"/>
      <c r="BLY367" s="124"/>
      <c r="BLZ367" s="124"/>
      <c r="BMA367" s="124"/>
      <c r="BMB367" s="124"/>
      <c r="BMC367" s="124"/>
      <c r="BMD367" s="124"/>
      <c r="BME367" s="124"/>
      <c r="BMF367" s="124"/>
      <c r="BMG367" s="124"/>
      <c r="BMH367" s="124"/>
      <c r="BMI367" s="124"/>
      <c r="BMJ367" s="124"/>
      <c r="BMK367" s="124"/>
      <c r="BML367" s="124"/>
      <c r="BMM367" s="124"/>
      <c r="BMN367" s="124"/>
      <c r="BMO367" s="124"/>
      <c r="BMP367" s="124"/>
      <c r="BMQ367" s="124"/>
      <c r="BMR367" s="124"/>
      <c r="BMS367" s="124"/>
      <c r="BMT367" s="124"/>
      <c r="BMU367" s="124"/>
      <c r="BMV367" s="124"/>
      <c r="BMW367" s="124"/>
      <c r="BMX367" s="124"/>
      <c r="BMY367" s="124"/>
      <c r="BMZ367" s="124"/>
      <c r="BNA367" s="124"/>
      <c r="BNB367" s="124"/>
      <c r="BNC367" s="124"/>
      <c r="BND367" s="124"/>
      <c r="BNE367" s="124"/>
      <c r="BNF367" s="124"/>
      <c r="BNG367" s="124"/>
      <c r="BNH367" s="124"/>
      <c r="BNI367" s="124"/>
      <c r="BNJ367" s="124"/>
      <c r="BNK367" s="124"/>
      <c r="BNL367" s="124"/>
      <c r="BNM367" s="124"/>
      <c r="BNN367" s="124"/>
      <c r="BNO367" s="124"/>
      <c r="BNP367" s="124"/>
      <c r="BNQ367" s="124"/>
      <c r="BNR367" s="124"/>
      <c r="BNS367" s="124"/>
      <c r="BNT367" s="124"/>
      <c r="BNU367" s="124"/>
      <c r="BNV367" s="124"/>
      <c r="BNW367" s="124"/>
      <c r="BNX367" s="124"/>
      <c r="BNY367" s="124"/>
      <c r="BNZ367" s="124"/>
      <c r="BOA367" s="124"/>
      <c r="BOB367" s="124"/>
      <c r="BOC367" s="124"/>
      <c r="BOD367" s="124"/>
      <c r="BOE367" s="124"/>
      <c r="BOF367" s="124"/>
      <c r="BOG367" s="124"/>
      <c r="BOH367" s="124"/>
      <c r="BOI367" s="124"/>
      <c r="BOJ367" s="124"/>
      <c r="BOK367" s="124"/>
      <c r="BOL367" s="124"/>
      <c r="BOM367" s="124"/>
      <c r="BON367" s="124"/>
      <c r="BOO367" s="124"/>
      <c r="BOP367" s="124"/>
      <c r="BOQ367" s="124"/>
      <c r="BOR367" s="124"/>
      <c r="BOS367" s="124"/>
      <c r="BOT367" s="124"/>
      <c r="BOU367" s="124"/>
      <c r="BOV367" s="124"/>
      <c r="BOW367" s="124"/>
      <c r="BOX367" s="124"/>
      <c r="BOY367" s="124"/>
      <c r="BOZ367" s="124"/>
      <c r="BPA367" s="124"/>
      <c r="BPB367" s="124"/>
      <c r="BPC367" s="124"/>
      <c r="BPD367" s="124"/>
      <c r="BPE367" s="124"/>
      <c r="BPF367" s="124"/>
      <c r="BPG367" s="124"/>
      <c r="BPH367" s="124"/>
      <c r="BPI367" s="124"/>
      <c r="BPJ367" s="124"/>
      <c r="BPK367" s="124"/>
      <c r="BPL367" s="124"/>
      <c r="BPM367" s="124"/>
      <c r="BPN367" s="124"/>
      <c r="BPO367" s="124"/>
      <c r="BPP367" s="124"/>
      <c r="BPQ367" s="124"/>
      <c r="BPR367" s="124"/>
      <c r="BPS367" s="124"/>
      <c r="BPT367" s="124"/>
      <c r="BPU367" s="124"/>
      <c r="BPV367" s="124"/>
      <c r="BPW367" s="124"/>
      <c r="BPX367" s="124"/>
      <c r="BPY367" s="124"/>
      <c r="BPZ367" s="124"/>
      <c r="BQA367" s="124"/>
      <c r="BQB367" s="124"/>
      <c r="BQC367" s="124"/>
      <c r="BQD367" s="124"/>
      <c r="BQE367" s="124"/>
      <c r="BQF367" s="124"/>
      <c r="BQG367" s="124"/>
      <c r="BQH367" s="124"/>
      <c r="BQI367" s="124"/>
      <c r="BQJ367" s="124"/>
      <c r="BQK367" s="124"/>
      <c r="BQL367" s="124"/>
      <c r="BQM367" s="124"/>
      <c r="BQN367" s="124"/>
      <c r="BQO367" s="124"/>
      <c r="BQP367" s="124"/>
      <c r="BQQ367" s="124"/>
      <c r="BQR367" s="124"/>
      <c r="BQS367" s="124"/>
      <c r="BQT367" s="124"/>
      <c r="BQU367" s="124"/>
      <c r="BQV367" s="124"/>
      <c r="BQW367" s="124"/>
      <c r="BQX367" s="124"/>
      <c r="BQY367" s="124"/>
      <c r="BQZ367" s="124"/>
      <c r="BRA367" s="124"/>
      <c r="BRB367" s="124"/>
      <c r="BRC367" s="124"/>
      <c r="BRD367" s="124"/>
      <c r="BRE367" s="124"/>
      <c r="BRF367" s="124"/>
      <c r="BRG367" s="124"/>
      <c r="BRH367" s="124"/>
      <c r="BRI367" s="124"/>
      <c r="BRJ367" s="124"/>
      <c r="BRK367" s="124"/>
      <c r="BRL367" s="124"/>
      <c r="BRM367" s="124"/>
      <c r="BRN367" s="124"/>
      <c r="BRO367" s="124"/>
      <c r="BRP367" s="124"/>
      <c r="BRQ367" s="124"/>
      <c r="BRR367" s="124"/>
      <c r="BRS367" s="124"/>
      <c r="BRT367" s="124"/>
      <c r="BRU367" s="124"/>
      <c r="BRV367" s="124"/>
      <c r="BRW367" s="124"/>
      <c r="BRX367" s="124"/>
      <c r="BRY367" s="124"/>
      <c r="BRZ367" s="124"/>
      <c r="BSA367" s="124"/>
      <c r="BSB367" s="124"/>
      <c r="BSC367" s="124"/>
      <c r="BSD367" s="124"/>
      <c r="BSE367" s="124"/>
      <c r="BSF367" s="124"/>
      <c r="BSG367" s="124"/>
      <c r="BSH367" s="124"/>
      <c r="BSI367" s="124"/>
      <c r="BSJ367" s="124"/>
      <c r="BSK367" s="124"/>
      <c r="BSL367" s="124"/>
      <c r="BSM367" s="124"/>
      <c r="BSN367" s="124"/>
      <c r="BSO367" s="124"/>
      <c r="BSP367" s="124"/>
      <c r="BSQ367" s="124"/>
      <c r="BSR367" s="124"/>
      <c r="BSS367" s="124"/>
      <c r="BST367" s="124"/>
      <c r="BSU367" s="124"/>
      <c r="BSV367" s="124"/>
      <c r="BSW367" s="124"/>
      <c r="BSX367" s="124"/>
      <c r="BSY367" s="124"/>
      <c r="BSZ367" s="124"/>
      <c r="BTA367" s="124"/>
      <c r="BTB367" s="124"/>
      <c r="BTC367" s="124"/>
      <c r="BTD367" s="124"/>
      <c r="BTE367" s="124"/>
      <c r="BTF367" s="124"/>
      <c r="BTG367" s="124"/>
      <c r="BTH367" s="124"/>
      <c r="BTI367" s="124"/>
      <c r="BTJ367" s="124"/>
      <c r="BTK367" s="124"/>
      <c r="BTL367" s="124"/>
      <c r="BTM367" s="124"/>
      <c r="BTN367" s="124"/>
      <c r="BTO367" s="124"/>
      <c r="BTP367" s="124"/>
      <c r="BTQ367" s="124"/>
      <c r="BTR367" s="124"/>
      <c r="BTS367" s="124"/>
      <c r="BTT367" s="124"/>
      <c r="BTU367" s="124"/>
      <c r="BTV367" s="124"/>
      <c r="BTW367" s="124"/>
      <c r="BTX367" s="124"/>
      <c r="BTY367" s="124"/>
      <c r="BTZ367" s="124"/>
      <c r="BUA367" s="124"/>
      <c r="BUB367" s="124"/>
      <c r="BUC367" s="124"/>
      <c r="BUD367" s="124"/>
      <c r="BUE367" s="124"/>
      <c r="BUF367" s="124"/>
      <c r="BUG367" s="124"/>
      <c r="BUH367" s="124"/>
      <c r="BUI367" s="124"/>
      <c r="BUJ367" s="124"/>
      <c r="BUK367" s="124"/>
      <c r="BUL367" s="124"/>
      <c r="BUM367" s="124"/>
      <c r="BUN367" s="124"/>
      <c r="BUO367" s="124"/>
      <c r="BUP367" s="124"/>
      <c r="BUQ367" s="124"/>
      <c r="BUR367" s="124"/>
      <c r="BUS367" s="124"/>
      <c r="BUT367" s="124"/>
      <c r="BUU367" s="124"/>
      <c r="BUV367" s="124"/>
      <c r="BUW367" s="124"/>
      <c r="BUX367" s="124"/>
      <c r="BUY367" s="124"/>
      <c r="BUZ367" s="124"/>
      <c r="BVA367" s="124"/>
      <c r="BVB367" s="124"/>
      <c r="BVC367" s="124"/>
      <c r="BVD367" s="124"/>
      <c r="BVE367" s="124"/>
      <c r="BVF367" s="124"/>
      <c r="BVG367" s="124"/>
      <c r="BVH367" s="124"/>
      <c r="BVI367" s="124"/>
      <c r="BVJ367" s="124"/>
      <c r="BVK367" s="124"/>
      <c r="BVL367" s="124"/>
      <c r="BVM367" s="124"/>
      <c r="BVN367" s="124"/>
      <c r="BVO367" s="124"/>
      <c r="BVP367" s="124"/>
      <c r="BVQ367" s="124"/>
      <c r="BVR367" s="124"/>
      <c r="BVS367" s="124"/>
      <c r="BVT367" s="124"/>
      <c r="BVU367" s="124"/>
      <c r="BVV367" s="124"/>
      <c r="BVW367" s="124"/>
      <c r="BVX367" s="124"/>
      <c r="BVY367" s="124"/>
      <c r="BVZ367" s="124"/>
      <c r="BWA367" s="124"/>
      <c r="BWB367" s="124"/>
      <c r="BWC367" s="124"/>
      <c r="BWD367" s="124"/>
      <c r="BWE367" s="124"/>
      <c r="BWF367" s="124"/>
      <c r="BWG367" s="124"/>
      <c r="BWH367" s="124"/>
      <c r="BWI367" s="124"/>
      <c r="BWJ367" s="124"/>
      <c r="BWK367" s="124"/>
      <c r="BWL367" s="124"/>
      <c r="BWM367" s="124"/>
      <c r="BWN367" s="124"/>
      <c r="BWO367" s="124"/>
      <c r="BWP367" s="124"/>
      <c r="BWQ367" s="124"/>
      <c r="BWR367" s="124"/>
      <c r="BWS367" s="124"/>
      <c r="BWT367" s="124"/>
      <c r="BWU367" s="124"/>
      <c r="BWV367" s="124"/>
      <c r="BWW367" s="124"/>
      <c r="BWX367" s="124"/>
      <c r="BWY367" s="124"/>
      <c r="BWZ367" s="124"/>
      <c r="BXA367" s="124"/>
      <c r="BXB367" s="124"/>
      <c r="BXC367" s="124"/>
      <c r="BXD367" s="124"/>
      <c r="BXE367" s="124"/>
      <c r="BXF367" s="124"/>
      <c r="BXG367" s="124"/>
      <c r="BXH367" s="124"/>
      <c r="BXI367" s="124"/>
      <c r="BXJ367" s="124"/>
      <c r="BXK367" s="124"/>
      <c r="BXL367" s="124"/>
      <c r="BXM367" s="124"/>
      <c r="BXN367" s="124"/>
      <c r="BXO367" s="124"/>
      <c r="BXP367" s="124"/>
      <c r="BXQ367" s="124"/>
      <c r="BXR367" s="124"/>
      <c r="BXS367" s="124"/>
      <c r="BXT367" s="124"/>
      <c r="BXU367" s="124"/>
      <c r="BXV367" s="124"/>
      <c r="BXW367" s="124"/>
      <c r="BXX367" s="124"/>
      <c r="BXY367" s="124"/>
      <c r="BXZ367" s="124"/>
      <c r="BYA367" s="124"/>
      <c r="BYB367" s="124"/>
      <c r="BYC367" s="124"/>
      <c r="BYD367" s="124"/>
      <c r="BYE367" s="124"/>
      <c r="BYF367" s="124"/>
      <c r="BYG367" s="124"/>
      <c r="BYH367" s="124"/>
      <c r="BYI367" s="124"/>
      <c r="BYJ367" s="124"/>
      <c r="BYK367" s="124"/>
      <c r="BYL367" s="124"/>
      <c r="BYM367" s="124"/>
      <c r="BYN367" s="124"/>
      <c r="BYO367" s="124"/>
      <c r="BYP367" s="124"/>
      <c r="BYQ367" s="124"/>
      <c r="BYR367" s="124"/>
      <c r="BYS367" s="124"/>
      <c r="BYT367" s="124"/>
      <c r="BYU367" s="124"/>
      <c r="BYV367" s="124"/>
      <c r="BYW367" s="124"/>
      <c r="BYX367" s="124"/>
      <c r="BYY367" s="124"/>
      <c r="BYZ367" s="124"/>
      <c r="BZA367" s="124"/>
      <c r="BZB367" s="124"/>
      <c r="BZC367" s="124"/>
      <c r="BZD367" s="124"/>
      <c r="BZE367" s="124"/>
      <c r="BZF367" s="124"/>
      <c r="BZG367" s="124"/>
      <c r="BZH367" s="124"/>
      <c r="BZI367" s="124"/>
      <c r="BZJ367" s="124"/>
      <c r="BZK367" s="124"/>
      <c r="BZL367" s="124"/>
      <c r="BZM367" s="124"/>
      <c r="BZN367" s="124"/>
      <c r="BZO367" s="124"/>
      <c r="BZP367" s="124"/>
      <c r="BZQ367" s="124"/>
      <c r="BZR367" s="124"/>
      <c r="BZS367" s="124"/>
      <c r="BZT367" s="124"/>
      <c r="BZU367" s="124"/>
      <c r="BZV367" s="124"/>
      <c r="BZW367" s="124"/>
      <c r="BZX367" s="124"/>
      <c r="BZY367" s="124"/>
      <c r="BZZ367" s="124"/>
      <c r="CAA367" s="124"/>
      <c r="CAB367" s="124"/>
      <c r="CAC367" s="124"/>
      <c r="CAD367" s="124"/>
      <c r="CAE367" s="124"/>
      <c r="CAF367" s="124"/>
      <c r="CAG367" s="124"/>
      <c r="CAH367" s="124"/>
      <c r="CAI367" s="124"/>
      <c r="CAJ367" s="124"/>
      <c r="CAK367" s="124"/>
      <c r="CAL367" s="124"/>
      <c r="CAM367" s="124"/>
      <c r="CAN367" s="124"/>
      <c r="CAO367" s="124"/>
      <c r="CAP367" s="124"/>
      <c r="CAQ367" s="124"/>
      <c r="CAR367" s="124"/>
      <c r="CAS367" s="124"/>
      <c r="CAT367" s="124"/>
      <c r="CAU367" s="124"/>
      <c r="CAV367" s="124"/>
      <c r="CAW367" s="124"/>
      <c r="CAX367" s="124"/>
      <c r="CAY367" s="124"/>
      <c r="CAZ367" s="124"/>
      <c r="CBA367" s="124"/>
      <c r="CBB367" s="124"/>
      <c r="CBC367" s="124"/>
      <c r="CBD367" s="124"/>
      <c r="CBE367" s="124"/>
      <c r="CBF367" s="124"/>
      <c r="CBG367" s="124"/>
      <c r="CBH367" s="124"/>
      <c r="CBI367" s="124"/>
      <c r="CBJ367" s="124"/>
      <c r="CBK367" s="124"/>
      <c r="CBL367" s="124"/>
      <c r="CBM367" s="124"/>
      <c r="CBN367" s="124"/>
      <c r="CBO367" s="124"/>
      <c r="CBP367" s="124"/>
      <c r="CBQ367" s="124"/>
      <c r="CBR367" s="124"/>
      <c r="CBS367" s="124"/>
      <c r="CBT367" s="124"/>
      <c r="CBU367" s="124"/>
      <c r="CBV367" s="124"/>
      <c r="CBW367" s="124"/>
      <c r="CBX367" s="124"/>
      <c r="CBY367" s="124"/>
      <c r="CBZ367" s="124"/>
      <c r="CCA367" s="124"/>
      <c r="CCB367" s="124"/>
      <c r="CCC367" s="124"/>
      <c r="CCD367" s="124"/>
      <c r="CCE367" s="124"/>
      <c r="CCF367" s="124"/>
      <c r="CCG367" s="124"/>
      <c r="CCH367" s="124"/>
      <c r="CCI367" s="124"/>
      <c r="CCJ367" s="124"/>
      <c r="CCK367" s="124"/>
      <c r="CCL367" s="124"/>
      <c r="CCM367" s="124"/>
      <c r="CCN367" s="124"/>
      <c r="CCO367" s="124"/>
      <c r="CCP367" s="124"/>
      <c r="CCQ367" s="124"/>
      <c r="CCR367" s="124"/>
      <c r="CCS367" s="124"/>
      <c r="CCT367" s="124"/>
      <c r="CCU367" s="124"/>
      <c r="CCV367" s="124"/>
      <c r="CCW367" s="124"/>
      <c r="CCX367" s="124"/>
      <c r="CCY367" s="124"/>
      <c r="CCZ367" s="124"/>
      <c r="CDA367" s="124"/>
      <c r="CDB367" s="124"/>
      <c r="CDC367" s="124"/>
      <c r="CDD367" s="124"/>
      <c r="CDE367" s="124"/>
      <c r="CDF367" s="124"/>
      <c r="CDG367" s="124"/>
      <c r="CDH367" s="124"/>
      <c r="CDI367" s="124"/>
      <c r="CDJ367" s="124"/>
      <c r="CDK367" s="124"/>
      <c r="CDL367" s="124"/>
      <c r="CDM367" s="124"/>
      <c r="CDN367" s="124"/>
      <c r="CDO367" s="124"/>
      <c r="CDP367" s="124"/>
      <c r="CDQ367" s="124"/>
      <c r="CDR367" s="124"/>
      <c r="CDS367" s="124"/>
      <c r="CDT367" s="124"/>
      <c r="CDU367" s="124"/>
      <c r="CDV367" s="124"/>
      <c r="CDW367" s="124"/>
      <c r="CDX367" s="124"/>
      <c r="CDY367" s="124"/>
      <c r="CDZ367" s="124"/>
      <c r="CEA367" s="124"/>
      <c r="CEB367" s="124"/>
      <c r="CEC367" s="124"/>
      <c r="CED367" s="124"/>
      <c r="CEE367" s="124"/>
      <c r="CEF367" s="124"/>
      <c r="CEG367" s="124"/>
      <c r="CEH367" s="124"/>
      <c r="CEI367" s="124"/>
      <c r="CEJ367" s="124"/>
      <c r="CEK367" s="124"/>
      <c r="CEL367" s="124"/>
      <c r="CEM367" s="124"/>
      <c r="CEN367" s="124"/>
      <c r="CEO367" s="124"/>
      <c r="CEP367" s="124"/>
      <c r="CEQ367" s="124"/>
      <c r="CER367" s="124"/>
      <c r="CES367" s="124"/>
      <c r="CET367" s="124"/>
      <c r="CEU367" s="124"/>
      <c r="CEV367" s="124"/>
      <c r="CEW367" s="124"/>
      <c r="CEX367" s="124"/>
      <c r="CEY367" s="124"/>
      <c r="CEZ367" s="124"/>
      <c r="CFA367" s="124"/>
      <c r="CFB367" s="124"/>
      <c r="CFC367" s="124"/>
      <c r="CFD367" s="124"/>
      <c r="CFE367" s="124"/>
      <c r="CFF367" s="124"/>
      <c r="CFG367" s="124"/>
      <c r="CFH367" s="124"/>
      <c r="CFI367" s="124"/>
      <c r="CFJ367" s="124"/>
      <c r="CFK367" s="124"/>
      <c r="CFL367" s="124"/>
      <c r="CFM367" s="124"/>
      <c r="CFN367" s="124"/>
      <c r="CFO367" s="124"/>
      <c r="CFP367" s="124"/>
      <c r="CFQ367" s="124"/>
      <c r="CFR367" s="124"/>
      <c r="CFS367" s="124"/>
      <c r="CFT367" s="124"/>
      <c r="CFU367" s="124"/>
      <c r="CFV367" s="124"/>
      <c r="CFW367" s="124"/>
      <c r="CFX367" s="124"/>
      <c r="CFY367" s="124"/>
      <c r="CFZ367" s="124"/>
      <c r="CGA367" s="124"/>
      <c r="CGB367" s="124"/>
      <c r="CGC367" s="124"/>
      <c r="CGD367" s="124"/>
      <c r="CGE367" s="124"/>
      <c r="CGF367" s="124"/>
      <c r="CGG367" s="124"/>
      <c r="CGH367" s="124"/>
      <c r="CGI367" s="124"/>
      <c r="CGJ367" s="124"/>
      <c r="CGK367" s="124"/>
      <c r="CGL367" s="124"/>
      <c r="CGM367" s="124"/>
      <c r="CGN367" s="124"/>
      <c r="CGO367" s="124"/>
      <c r="CGP367" s="124"/>
      <c r="CGQ367" s="124"/>
      <c r="CGR367" s="124"/>
      <c r="CGS367" s="124"/>
      <c r="CGT367" s="124"/>
      <c r="CGU367" s="124"/>
      <c r="CGV367" s="124"/>
      <c r="CGW367" s="124"/>
      <c r="CGX367" s="124"/>
      <c r="CGY367" s="124"/>
      <c r="CGZ367" s="124"/>
      <c r="CHA367" s="124"/>
      <c r="CHB367" s="124"/>
      <c r="CHC367" s="124"/>
      <c r="CHD367" s="124"/>
      <c r="CHE367" s="124"/>
      <c r="CHF367" s="124"/>
      <c r="CHG367" s="124"/>
      <c r="CHH367" s="124"/>
      <c r="CHI367" s="124"/>
      <c r="CHJ367" s="124"/>
      <c r="CHK367" s="124"/>
      <c r="CHL367" s="124"/>
      <c r="CHM367" s="124"/>
      <c r="CHN367" s="124"/>
      <c r="CHO367" s="124"/>
      <c r="CHP367" s="124"/>
      <c r="CHQ367" s="124"/>
      <c r="CHR367" s="124"/>
      <c r="CHS367" s="124"/>
      <c r="CHT367" s="124"/>
      <c r="CHU367" s="124"/>
      <c r="CHV367" s="124"/>
      <c r="CHW367" s="124"/>
      <c r="CHX367" s="124"/>
      <c r="CHY367" s="124"/>
      <c r="CHZ367" s="124"/>
      <c r="CIA367" s="124"/>
      <c r="CIB367" s="124"/>
      <c r="CIC367" s="124"/>
      <c r="CID367" s="124"/>
      <c r="CIE367" s="124"/>
      <c r="CIF367" s="124"/>
      <c r="CIG367" s="124"/>
      <c r="CIH367" s="124"/>
      <c r="CII367" s="124"/>
      <c r="CIJ367" s="124"/>
      <c r="CIK367" s="124"/>
      <c r="CIL367" s="124"/>
      <c r="CIM367" s="124"/>
      <c r="CIN367" s="124"/>
      <c r="CIO367" s="124"/>
      <c r="CIP367" s="124"/>
      <c r="CIQ367" s="124"/>
      <c r="CIR367" s="124"/>
      <c r="CIS367" s="124"/>
      <c r="CIT367" s="124"/>
      <c r="CIU367" s="124"/>
      <c r="CIV367" s="124"/>
      <c r="CIW367" s="124"/>
      <c r="CIX367" s="124"/>
      <c r="CIY367" s="124"/>
      <c r="CIZ367" s="124"/>
      <c r="CJA367" s="124"/>
      <c r="CJB367" s="124"/>
      <c r="CJC367" s="124"/>
      <c r="CJD367" s="124"/>
      <c r="CJE367" s="124"/>
      <c r="CJF367" s="124"/>
      <c r="CJG367" s="124"/>
      <c r="CJH367" s="124"/>
      <c r="CJI367" s="124"/>
      <c r="CJJ367" s="124"/>
      <c r="CJK367" s="124"/>
      <c r="CJL367" s="124"/>
      <c r="CJM367" s="124"/>
      <c r="CJN367" s="124"/>
      <c r="CJO367" s="124"/>
      <c r="CJP367" s="124"/>
      <c r="CJQ367" s="124"/>
      <c r="CJR367" s="124"/>
      <c r="CJS367" s="124"/>
      <c r="CJT367" s="124"/>
      <c r="CJU367" s="124"/>
      <c r="CJV367" s="124"/>
      <c r="CJW367" s="124"/>
      <c r="CJX367" s="124"/>
      <c r="CJY367" s="124"/>
      <c r="CJZ367" s="124"/>
      <c r="CKA367" s="124"/>
      <c r="CKB367" s="124"/>
      <c r="CKC367" s="124"/>
      <c r="CKD367" s="124"/>
      <c r="CKE367" s="124"/>
      <c r="CKF367" s="124"/>
      <c r="CKG367" s="124"/>
      <c r="CKH367" s="124"/>
      <c r="CKI367" s="124"/>
      <c r="CKJ367" s="124"/>
      <c r="CKK367" s="124"/>
      <c r="CKL367" s="124"/>
      <c r="CKM367" s="124"/>
      <c r="CKN367" s="124"/>
      <c r="CKO367" s="124"/>
      <c r="CKP367" s="124"/>
      <c r="CKQ367" s="124"/>
      <c r="CKR367" s="124"/>
      <c r="CKS367" s="124"/>
      <c r="CKT367" s="124"/>
      <c r="CKU367" s="124"/>
      <c r="CKV367" s="124"/>
      <c r="CKW367" s="124"/>
      <c r="CKX367" s="124"/>
      <c r="CKY367" s="124"/>
      <c r="CKZ367" s="124"/>
      <c r="CLA367" s="124"/>
      <c r="CLB367" s="124"/>
      <c r="CLC367" s="124"/>
      <c r="CLD367" s="124"/>
      <c r="CLE367" s="124"/>
      <c r="CLF367" s="124"/>
      <c r="CLG367" s="124"/>
      <c r="CLH367" s="124"/>
      <c r="CLI367" s="124"/>
      <c r="CLJ367" s="124"/>
      <c r="CLK367" s="124"/>
      <c r="CLL367" s="124"/>
      <c r="CLM367" s="124"/>
      <c r="CLN367" s="124"/>
      <c r="CLO367" s="124"/>
      <c r="CLP367" s="124"/>
      <c r="CLQ367" s="124"/>
      <c r="CLR367" s="124"/>
      <c r="CLS367" s="124"/>
      <c r="CLT367" s="124"/>
      <c r="CLU367" s="124"/>
      <c r="CLV367" s="124"/>
      <c r="CLW367" s="124"/>
      <c r="CLX367" s="124"/>
      <c r="CLY367" s="124"/>
      <c r="CLZ367" s="124"/>
      <c r="CMA367" s="124"/>
      <c r="CMB367" s="124"/>
      <c r="CMC367" s="124"/>
      <c r="CMD367" s="124"/>
      <c r="CME367" s="124"/>
      <c r="CMF367" s="124"/>
      <c r="CMG367" s="124"/>
      <c r="CMH367" s="124"/>
      <c r="CMI367" s="124"/>
      <c r="CMJ367" s="124"/>
      <c r="CMK367" s="124"/>
      <c r="CML367" s="124"/>
      <c r="CMM367" s="124"/>
      <c r="CMN367" s="124"/>
      <c r="CMO367" s="124"/>
      <c r="CMP367" s="124"/>
      <c r="CMQ367" s="124"/>
      <c r="CMR367" s="124"/>
      <c r="CMS367" s="124"/>
      <c r="CMT367" s="124"/>
      <c r="CMU367" s="124"/>
      <c r="CMV367" s="124"/>
      <c r="CMW367" s="124"/>
      <c r="CMX367" s="124"/>
      <c r="CMY367" s="124"/>
      <c r="CMZ367" s="124"/>
      <c r="CNA367" s="124"/>
      <c r="CNB367" s="124"/>
      <c r="CNC367" s="124"/>
      <c r="CND367" s="124"/>
      <c r="CNE367" s="124"/>
      <c r="CNF367" s="124"/>
      <c r="CNG367" s="124"/>
      <c r="CNH367" s="124"/>
      <c r="CNI367" s="124"/>
      <c r="CNJ367" s="124"/>
      <c r="CNK367" s="124"/>
      <c r="CNL367" s="124"/>
      <c r="CNM367" s="124"/>
      <c r="CNN367" s="124"/>
      <c r="CNO367" s="124"/>
      <c r="CNP367" s="124"/>
      <c r="CNQ367" s="124"/>
      <c r="CNR367" s="124"/>
      <c r="CNS367" s="124"/>
      <c r="CNT367" s="124"/>
      <c r="CNU367" s="124"/>
      <c r="CNV367" s="124"/>
      <c r="CNW367" s="124"/>
      <c r="CNX367" s="124"/>
      <c r="CNY367" s="124"/>
      <c r="CNZ367" s="124"/>
      <c r="COA367" s="124"/>
      <c r="COB367" s="124"/>
      <c r="COC367" s="124"/>
      <c r="COD367" s="124"/>
      <c r="COE367" s="124"/>
      <c r="COF367" s="124"/>
      <c r="COG367" s="124"/>
      <c r="COH367" s="124"/>
      <c r="COI367" s="124"/>
      <c r="COJ367" s="124"/>
      <c r="COK367" s="124"/>
      <c r="COL367" s="124"/>
      <c r="COM367" s="124"/>
      <c r="CON367" s="124"/>
      <c r="COO367" s="124"/>
      <c r="COP367" s="124"/>
      <c r="COQ367" s="124"/>
      <c r="COR367" s="124"/>
      <c r="COS367" s="124"/>
      <c r="COT367" s="124"/>
      <c r="COU367" s="124"/>
      <c r="COV367" s="124"/>
      <c r="COW367" s="124"/>
      <c r="COX367" s="124"/>
      <c r="COY367" s="124"/>
      <c r="COZ367" s="124"/>
      <c r="CPA367" s="124"/>
      <c r="CPB367" s="124"/>
      <c r="CPC367" s="124"/>
      <c r="CPD367" s="124"/>
      <c r="CPE367" s="124"/>
      <c r="CPF367" s="124"/>
      <c r="CPG367" s="124"/>
      <c r="CPH367" s="124"/>
      <c r="CPI367" s="124"/>
      <c r="CPJ367" s="124"/>
      <c r="CPK367" s="124"/>
      <c r="CPL367" s="124"/>
      <c r="CPM367" s="124"/>
      <c r="CPN367" s="124"/>
      <c r="CPO367" s="124"/>
      <c r="CPP367" s="124"/>
      <c r="CPQ367" s="124"/>
      <c r="CPR367" s="124"/>
      <c r="CPS367" s="124"/>
      <c r="CPT367" s="124"/>
      <c r="CPU367" s="124"/>
      <c r="CPV367" s="124"/>
      <c r="CPW367" s="124"/>
      <c r="CPX367" s="124"/>
      <c r="CPY367" s="124"/>
      <c r="CPZ367" s="124"/>
      <c r="CQA367" s="124"/>
      <c r="CQB367" s="124"/>
      <c r="CQC367" s="124"/>
      <c r="CQD367" s="124"/>
      <c r="CQE367" s="124"/>
      <c r="CQF367" s="124"/>
      <c r="CQG367" s="124"/>
      <c r="CQH367" s="124"/>
      <c r="CQI367" s="124"/>
      <c r="CQJ367" s="124"/>
      <c r="CQK367" s="124"/>
      <c r="CQL367" s="124"/>
      <c r="CQM367" s="124"/>
      <c r="CQN367" s="124"/>
      <c r="CQO367" s="124"/>
      <c r="CQP367" s="124"/>
      <c r="CQQ367" s="124"/>
      <c r="CQR367" s="124"/>
      <c r="CQS367" s="124"/>
      <c r="CQT367" s="124"/>
      <c r="CQU367" s="124"/>
      <c r="CQV367" s="124"/>
      <c r="CQW367" s="124"/>
      <c r="CQX367" s="124"/>
      <c r="CQY367" s="124"/>
      <c r="CQZ367" s="124"/>
      <c r="CRA367" s="124"/>
      <c r="CRB367" s="124"/>
      <c r="CRC367" s="124"/>
      <c r="CRD367" s="124"/>
      <c r="CRE367" s="124"/>
      <c r="CRF367" s="124"/>
      <c r="CRG367" s="124"/>
      <c r="CRH367" s="124"/>
      <c r="CRI367" s="124"/>
      <c r="CRJ367" s="124"/>
      <c r="CRK367" s="124"/>
      <c r="CRL367" s="124"/>
      <c r="CRM367" s="124"/>
      <c r="CRN367" s="124"/>
      <c r="CRO367" s="124"/>
      <c r="CRP367" s="124"/>
      <c r="CRQ367" s="124"/>
      <c r="CRR367" s="124"/>
      <c r="CRS367" s="124"/>
      <c r="CRT367" s="124"/>
      <c r="CRU367" s="124"/>
      <c r="CRV367" s="124"/>
      <c r="CRW367" s="124"/>
      <c r="CRX367" s="124"/>
      <c r="CRY367" s="124"/>
      <c r="CRZ367" s="124"/>
      <c r="CSA367" s="124"/>
      <c r="CSB367" s="124"/>
      <c r="CSC367" s="124"/>
      <c r="CSD367" s="124"/>
      <c r="CSE367" s="124"/>
      <c r="CSF367" s="124"/>
      <c r="CSG367" s="124"/>
      <c r="CSH367" s="124"/>
      <c r="CSI367" s="124"/>
      <c r="CSJ367" s="124"/>
      <c r="CSK367" s="124"/>
      <c r="CSL367" s="124"/>
      <c r="CSM367" s="124"/>
      <c r="CSN367" s="124"/>
      <c r="CSO367" s="124"/>
      <c r="CSP367" s="124"/>
      <c r="CSQ367" s="124"/>
      <c r="CSR367" s="124"/>
      <c r="CSS367" s="124"/>
      <c r="CST367" s="124"/>
      <c r="CSU367" s="124"/>
      <c r="CSV367" s="124"/>
      <c r="CSW367" s="124"/>
      <c r="CSX367" s="124"/>
      <c r="CSY367" s="124"/>
      <c r="CSZ367" s="124"/>
      <c r="CTA367" s="124"/>
      <c r="CTB367" s="124"/>
      <c r="CTC367" s="124"/>
      <c r="CTD367" s="124"/>
      <c r="CTE367" s="124"/>
      <c r="CTF367" s="124"/>
      <c r="CTG367" s="124"/>
      <c r="CTH367" s="124"/>
      <c r="CTI367" s="124"/>
      <c r="CTJ367" s="124"/>
      <c r="CTK367" s="124"/>
      <c r="CTL367" s="124"/>
      <c r="CTM367" s="124"/>
      <c r="CTN367" s="124"/>
      <c r="CTO367" s="124"/>
      <c r="CTP367" s="124"/>
      <c r="CTQ367" s="124"/>
      <c r="CTR367" s="124"/>
      <c r="CTS367" s="124"/>
      <c r="CTT367" s="124"/>
      <c r="CTU367" s="124"/>
      <c r="CTV367" s="124"/>
      <c r="CTW367" s="124"/>
      <c r="CTX367" s="124"/>
      <c r="CTY367" s="124"/>
      <c r="CTZ367" s="124"/>
      <c r="CUA367" s="124"/>
      <c r="CUB367" s="124"/>
      <c r="CUC367" s="124"/>
      <c r="CUD367" s="124"/>
      <c r="CUE367" s="124"/>
      <c r="CUF367" s="124"/>
      <c r="CUG367" s="124"/>
      <c r="CUH367" s="124"/>
      <c r="CUI367" s="124"/>
      <c r="CUJ367" s="124"/>
      <c r="CUK367" s="124"/>
      <c r="CUL367" s="124"/>
      <c r="CUM367" s="124"/>
      <c r="CUN367" s="124"/>
      <c r="CUO367" s="124"/>
      <c r="CUP367" s="124"/>
      <c r="CUQ367" s="124"/>
      <c r="CUR367" s="124"/>
      <c r="CUS367" s="124"/>
      <c r="CUT367" s="124"/>
      <c r="CUU367" s="124"/>
      <c r="CUV367" s="124"/>
      <c r="CUW367" s="124"/>
      <c r="CUX367" s="124"/>
      <c r="CUY367" s="124"/>
      <c r="CUZ367" s="124"/>
      <c r="CVA367" s="124"/>
      <c r="CVB367" s="124"/>
      <c r="CVC367" s="124"/>
      <c r="CVD367" s="124"/>
      <c r="CVE367" s="124"/>
      <c r="CVF367" s="124"/>
      <c r="CVG367" s="124"/>
      <c r="CVH367" s="124"/>
      <c r="CVI367" s="124"/>
      <c r="CVJ367" s="124"/>
      <c r="CVK367" s="124"/>
      <c r="CVL367" s="124"/>
      <c r="CVM367" s="124"/>
      <c r="CVN367" s="124"/>
      <c r="CVO367" s="124"/>
      <c r="CVP367" s="124"/>
      <c r="CVQ367" s="124"/>
      <c r="CVR367" s="124"/>
      <c r="CVS367" s="124"/>
      <c r="CVT367" s="124"/>
      <c r="CVU367" s="124"/>
      <c r="CVV367" s="124"/>
      <c r="CVW367" s="124"/>
      <c r="CVX367" s="124"/>
      <c r="CVY367" s="124"/>
      <c r="CVZ367" s="124"/>
      <c r="CWA367" s="124"/>
      <c r="CWB367" s="124"/>
      <c r="CWC367" s="124"/>
      <c r="CWD367" s="124"/>
      <c r="CWE367" s="124"/>
      <c r="CWF367" s="124"/>
      <c r="CWG367" s="124"/>
      <c r="CWH367" s="124"/>
      <c r="CWI367" s="124"/>
      <c r="CWJ367" s="124"/>
      <c r="CWK367" s="124"/>
      <c r="CWL367" s="124"/>
      <c r="CWM367" s="124"/>
      <c r="CWN367" s="124"/>
      <c r="CWO367" s="124"/>
      <c r="CWP367" s="124"/>
      <c r="CWQ367" s="124"/>
      <c r="CWR367" s="124"/>
      <c r="CWS367" s="124"/>
      <c r="CWT367" s="124"/>
      <c r="CWU367" s="124"/>
      <c r="CWV367" s="124"/>
      <c r="CWW367" s="124"/>
      <c r="CWX367" s="124"/>
      <c r="CWY367" s="124"/>
      <c r="CWZ367" s="124"/>
      <c r="CXA367" s="124"/>
      <c r="CXB367" s="124"/>
      <c r="CXC367" s="124"/>
      <c r="CXD367" s="124"/>
      <c r="CXE367" s="124"/>
      <c r="CXF367" s="124"/>
      <c r="CXG367" s="124"/>
      <c r="CXH367" s="124"/>
      <c r="CXI367" s="124"/>
      <c r="CXJ367" s="124"/>
      <c r="CXK367" s="124"/>
      <c r="CXL367" s="124"/>
      <c r="CXM367" s="124"/>
      <c r="CXN367" s="124"/>
      <c r="CXO367" s="124"/>
      <c r="CXP367" s="124"/>
      <c r="CXQ367" s="124"/>
      <c r="CXR367" s="124"/>
      <c r="CXS367" s="124"/>
      <c r="CXT367" s="124"/>
      <c r="CXU367" s="124"/>
      <c r="CXV367" s="124"/>
      <c r="CXW367" s="124"/>
      <c r="CXX367" s="124"/>
      <c r="CXY367" s="124"/>
      <c r="CXZ367" s="124"/>
      <c r="CYA367" s="124"/>
      <c r="CYB367" s="124"/>
      <c r="CYC367" s="124"/>
      <c r="CYD367" s="124"/>
      <c r="CYE367" s="124"/>
      <c r="CYF367" s="124"/>
      <c r="CYG367" s="124"/>
      <c r="CYH367" s="124"/>
      <c r="CYI367" s="124"/>
      <c r="CYJ367" s="124"/>
      <c r="CYK367" s="124"/>
      <c r="CYL367" s="124"/>
      <c r="CYM367" s="124"/>
      <c r="CYN367" s="124"/>
      <c r="CYO367" s="124"/>
      <c r="CYP367" s="124"/>
      <c r="CYQ367" s="124"/>
      <c r="CYR367" s="124"/>
      <c r="CYS367" s="124"/>
      <c r="CYT367" s="124"/>
      <c r="CYU367" s="124"/>
      <c r="CYV367" s="124"/>
      <c r="CYW367" s="124"/>
      <c r="CYX367" s="124"/>
      <c r="CYY367" s="124"/>
      <c r="CYZ367" s="124"/>
      <c r="CZA367" s="124"/>
      <c r="CZB367" s="124"/>
      <c r="CZC367" s="124"/>
      <c r="CZD367" s="124"/>
      <c r="CZE367" s="124"/>
      <c r="CZF367" s="124"/>
      <c r="CZG367" s="124"/>
      <c r="CZH367" s="124"/>
      <c r="CZI367" s="124"/>
      <c r="CZJ367" s="124"/>
      <c r="CZK367" s="124"/>
      <c r="CZL367" s="124"/>
      <c r="CZM367" s="124"/>
      <c r="CZN367" s="124"/>
      <c r="CZO367" s="124"/>
      <c r="CZP367" s="124"/>
      <c r="CZQ367" s="124"/>
      <c r="CZR367" s="124"/>
      <c r="CZS367" s="124"/>
      <c r="CZT367" s="124"/>
      <c r="CZU367" s="124"/>
      <c r="CZV367" s="124"/>
      <c r="CZW367" s="124"/>
      <c r="CZX367" s="124"/>
      <c r="CZY367" s="124"/>
      <c r="CZZ367" s="124"/>
      <c r="DAA367" s="124"/>
      <c r="DAB367" s="124"/>
      <c r="DAC367" s="124"/>
      <c r="DAD367" s="124"/>
      <c r="DAE367" s="124"/>
      <c r="DAF367" s="124"/>
      <c r="DAG367" s="124"/>
      <c r="DAH367" s="124"/>
      <c r="DAI367" s="124"/>
      <c r="DAJ367" s="124"/>
      <c r="DAK367" s="124"/>
      <c r="DAL367" s="124"/>
      <c r="DAM367" s="124"/>
      <c r="DAN367" s="124"/>
      <c r="DAO367" s="124"/>
      <c r="DAP367" s="124"/>
      <c r="DAQ367" s="124"/>
      <c r="DAR367" s="124"/>
      <c r="DAS367" s="124"/>
      <c r="DAT367" s="124"/>
      <c r="DAU367" s="124"/>
      <c r="DAV367" s="124"/>
      <c r="DAW367" s="124"/>
      <c r="DAX367" s="124"/>
      <c r="DAY367" s="124"/>
      <c r="DAZ367" s="124"/>
      <c r="DBA367" s="124"/>
      <c r="DBB367" s="124"/>
      <c r="DBC367" s="124"/>
      <c r="DBD367" s="124"/>
      <c r="DBE367" s="124"/>
      <c r="DBF367" s="124"/>
      <c r="DBG367" s="124"/>
      <c r="DBH367" s="124"/>
      <c r="DBI367" s="124"/>
      <c r="DBJ367" s="124"/>
      <c r="DBK367" s="124"/>
      <c r="DBL367" s="124"/>
      <c r="DBM367" s="124"/>
      <c r="DBN367" s="124"/>
      <c r="DBO367" s="124"/>
      <c r="DBP367" s="124"/>
      <c r="DBQ367" s="124"/>
      <c r="DBR367" s="124"/>
      <c r="DBS367" s="124"/>
      <c r="DBT367" s="124"/>
      <c r="DBU367" s="124"/>
      <c r="DBV367" s="124"/>
      <c r="DBW367" s="124"/>
      <c r="DBX367" s="124"/>
      <c r="DBY367" s="124"/>
      <c r="DBZ367" s="124"/>
      <c r="DCA367" s="124"/>
      <c r="DCB367" s="124"/>
      <c r="DCC367" s="124"/>
      <c r="DCD367" s="124"/>
      <c r="DCE367" s="124"/>
      <c r="DCF367" s="124"/>
      <c r="DCG367" s="124"/>
      <c r="DCH367" s="124"/>
      <c r="DCI367" s="124"/>
      <c r="DCJ367" s="124"/>
      <c r="DCK367" s="124"/>
      <c r="DCL367" s="124"/>
      <c r="DCM367" s="124"/>
      <c r="DCN367" s="124"/>
      <c r="DCO367" s="124"/>
      <c r="DCP367" s="124"/>
      <c r="DCQ367" s="124"/>
      <c r="DCR367" s="124"/>
      <c r="DCS367" s="124"/>
      <c r="DCT367" s="124"/>
      <c r="DCU367" s="124"/>
      <c r="DCV367" s="124"/>
      <c r="DCW367" s="124"/>
      <c r="DCX367" s="124"/>
      <c r="DCY367" s="124"/>
      <c r="DCZ367" s="124"/>
      <c r="DDA367" s="124"/>
      <c r="DDB367" s="124"/>
      <c r="DDC367" s="124"/>
      <c r="DDD367" s="124"/>
      <c r="DDE367" s="124"/>
      <c r="DDF367" s="124"/>
      <c r="DDG367" s="124"/>
      <c r="DDH367" s="124"/>
      <c r="DDI367" s="124"/>
      <c r="DDJ367" s="124"/>
      <c r="DDK367" s="124"/>
      <c r="DDL367" s="124"/>
      <c r="DDM367" s="124"/>
      <c r="DDN367" s="124"/>
      <c r="DDO367" s="124"/>
      <c r="DDP367" s="124"/>
      <c r="DDQ367" s="124"/>
      <c r="DDR367" s="124"/>
      <c r="DDS367" s="124"/>
      <c r="DDT367" s="124"/>
      <c r="DDU367" s="124"/>
      <c r="DDV367" s="124"/>
      <c r="DDW367" s="124"/>
      <c r="DDX367" s="124"/>
      <c r="DDY367" s="124"/>
      <c r="DDZ367" s="124"/>
      <c r="DEA367" s="124"/>
      <c r="DEB367" s="124"/>
      <c r="DEC367" s="124"/>
      <c r="DED367" s="124"/>
      <c r="DEE367" s="124"/>
      <c r="DEF367" s="124"/>
      <c r="DEG367" s="124"/>
      <c r="DEH367" s="124"/>
      <c r="DEI367" s="124"/>
      <c r="DEJ367" s="124"/>
      <c r="DEK367" s="124"/>
      <c r="DEL367" s="124"/>
      <c r="DEM367" s="124"/>
      <c r="DEN367" s="124"/>
      <c r="DEO367" s="124"/>
      <c r="DEP367" s="124"/>
      <c r="DEQ367" s="124"/>
      <c r="DER367" s="124"/>
      <c r="DES367" s="124"/>
      <c r="DET367" s="124"/>
      <c r="DEU367" s="124"/>
      <c r="DEV367" s="124"/>
      <c r="DEW367" s="124"/>
      <c r="DEX367" s="124"/>
      <c r="DEY367" s="124"/>
      <c r="DEZ367" s="124"/>
      <c r="DFA367" s="124"/>
      <c r="DFB367" s="124"/>
      <c r="DFC367" s="124"/>
      <c r="DFD367" s="124"/>
      <c r="DFE367" s="124"/>
      <c r="DFF367" s="124"/>
      <c r="DFG367" s="124"/>
      <c r="DFH367" s="124"/>
      <c r="DFI367" s="124"/>
      <c r="DFJ367" s="124"/>
      <c r="DFK367" s="124"/>
      <c r="DFL367" s="124"/>
      <c r="DFM367" s="124"/>
      <c r="DFN367" s="124"/>
      <c r="DFO367" s="124"/>
      <c r="DFP367" s="124"/>
      <c r="DFQ367" s="124"/>
      <c r="DFR367" s="124"/>
      <c r="DFS367" s="124"/>
      <c r="DFT367" s="124"/>
      <c r="DFU367" s="124"/>
      <c r="DFV367" s="124"/>
      <c r="DFW367" s="124"/>
      <c r="DFX367" s="124"/>
      <c r="DFY367" s="124"/>
      <c r="DFZ367" s="124"/>
      <c r="DGA367" s="124"/>
      <c r="DGB367" s="124"/>
      <c r="DGC367" s="124"/>
      <c r="DGD367" s="124"/>
      <c r="DGE367" s="124"/>
      <c r="DGF367" s="124"/>
      <c r="DGG367" s="124"/>
      <c r="DGH367" s="124"/>
      <c r="DGI367" s="124"/>
      <c r="DGJ367" s="124"/>
      <c r="DGK367" s="124"/>
      <c r="DGL367" s="124"/>
      <c r="DGM367" s="124"/>
      <c r="DGN367" s="124"/>
      <c r="DGO367" s="124"/>
      <c r="DGP367" s="124"/>
      <c r="DGQ367" s="124"/>
      <c r="DGR367" s="124"/>
      <c r="DGS367" s="124"/>
      <c r="DGT367" s="124"/>
      <c r="DGU367" s="124"/>
      <c r="DGV367" s="124"/>
      <c r="DGW367" s="124"/>
      <c r="DGX367" s="124"/>
      <c r="DGY367" s="124"/>
      <c r="DGZ367" s="124"/>
      <c r="DHA367" s="124"/>
      <c r="DHB367" s="124"/>
      <c r="DHC367" s="124"/>
      <c r="DHD367" s="124"/>
      <c r="DHE367" s="124"/>
      <c r="DHF367" s="124"/>
      <c r="DHG367" s="124"/>
      <c r="DHH367" s="124"/>
      <c r="DHI367" s="124"/>
      <c r="DHJ367" s="124"/>
      <c r="DHK367" s="124"/>
      <c r="DHL367" s="124"/>
      <c r="DHM367" s="124"/>
      <c r="DHN367" s="124"/>
      <c r="DHO367" s="124"/>
      <c r="DHP367" s="124"/>
      <c r="DHQ367" s="124"/>
      <c r="DHR367" s="124"/>
      <c r="DHS367" s="124"/>
      <c r="DHT367" s="124"/>
      <c r="DHU367" s="124"/>
      <c r="DHV367" s="124"/>
      <c r="DHW367" s="124"/>
      <c r="DHX367" s="124"/>
      <c r="DHY367" s="124"/>
      <c r="DHZ367" s="124"/>
      <c r="DIA367" s="124"/>
      <c r="DIB367" s="124"/>
      <c r="DIC367" s="124"/>
      <c r="DID367" s="124"/>
      <c r="DIE367" s="124"/>
      <c r="DIF367" s="124"/>
      <c r="DIG367" s="124"/>
      <c r="DIH367" s="124"/>
      <c r="DII367" s="124"/>
      <c r="DIJ367" s="124"/>
      <c r="DIK367" s="124"/>
      <c r="DIL367" s="124"/>
      <c r="DIM367" s="124"/>
      <c r="DIN367" s="124"/>
      <c r="DIO367" s="124"/>
      <c r="DIP367" s="124"/>
      <c r="DIQ367" s="124"/>
      <c r="DIR367" s="124"/>
      <c r="DIS367" s="124"/>
      <c r="DIT367" s="124"/>
      <c r="DIU367" s="124"/>
      <c r="DIV367" s="124"/>
      <c r="DIW367" s="124"/>
      <c r="DIX367" s="124"/>
      <c r="DIY367" s="124"/>
      <c r="DIZ367" s="124"/>
      <c r="DJA367" s="124"/>
      <c r="DJB367" s="124"/>
      <c r="DJC367" s="124"/>
      <c r="DJD367" s="124"/>
      <c r="DJE367" s="124"/>
      <c r="DJF367" s="124"/>
      <c r="DJG367" s="124"/>
      <c r="DJH367" s="124"/>
      <c r="DJI367" s="124"/>
      <c r="DJJ367" s="124"/>
      <c r="DJK367" s="124"/>
      <c r="DJL367" s="124"/>
      <c r="DJM367" s="124"/>
      <c r="DJN367" s="124"/>
      <c r="DJO367" s="124"/>
      <c r="DJP367" s="124"/>
      <c r="DJQ367" s="124"/>
      <c r="DJR367" s="124"/>
      <c r="DJS367" s="124"/>
      <c r="DJT367" s="124"/>
      <c r="DJU367" s="124"/>
      <c r="DJV367" s="124"/>
      <c r="DJW367" s="124"/>
      <c r="DJX367" s="124"/>
      <c r="DJY367" s="124"/>
      <c r="DJZ367" s="124"/>
      <c r="DKA367" s="124"/>
      <c r="DKB367" s="124"/>
      <c r="DKC367" s="124"/>
      <c r="DKD367" s="124"/>
      <c r="DKE367" s="124"/>
      <c r="DKF367" s="124"/>
      <c r="DKG367" s="124"/>
      <c r="DKH367" s="124"/>
      <c r="DKI367" s="124"/>
      <c r="DKJ367" s="124"/>
      <c r="DKK367" s="124"/>
      <c r="DKL367" s="124"/>
      <c r="DKM367" s="124"/>
      <c r="DKN367" s="124"/>
      <c r="DKO367" s="124"/>
      <c r="DKP367" s="124"/>
      <c r="DKQ367" s="124"/>
      <c r="DKR367" s="124"/>
      <c r="DKS367" s="124"/>
      <c r="DKT367" s="124"/>
      <c r="DKU367" s="124"/>
      <c r="DKV367" s="124"/>
      <c r="DKW367" s="124"/>
      <c r="DKX367" s="124"/>
      <c r="DKY367" s="124"/>
      <c r="DKZ367" s="124"/>
      <c r="DLA367" s="124"/>
      <c r="DLB367" s="124"/>
      <c r="DLC367" s="124"/>
      <c r="DLD367" s="124"/>
      <c r="DLE367" s="124"/>
      <c r="DLF367" s="124"/>
      <c r="DLG367" s="124"/>
      <c r="DLH367" s="124"/>
      <c r="DLI367" s="124"/>
      <c r="DLJ367" s="124"/>
      <c r="DLK367" s="124"/>
      <c r="DLL367" s="124"/>
      <c r="DLM367" s="124"/>
      <c r="DLN367" s="124"/>
      <c r="DLO367" s="124"/>
      <c r="DLP367" s="124"/>
      <c r="DLQ367" s="124"/>
      <c r="DLR367" s="124"/>
      <c r="DLS367" s="124"/>
      <c r="DLT367" s="124"/>
      <c r="DLU367" s="124"/>
      <c r="DLV367" s="124"/>
      <c r="DLW367" s="124"/>
      <c r="DLX367" s="124"/>
      <c r="DLY367" s="124"/>
      <c r="DLZ367" s="124"/>
      <c r="DMA367" s="124"/>
      <c r="DMB367" s="124"/>
      <c r="DMC367" s="124"/>
      <c r="DMD367" s="124"/>
      <c r="DME367" s="124"/>
      <c r="DMF367" s="124"/>
      <c r="DMG367" s="124"/>
      <c r="DMH367" s="124"/>
      <c r="DMI367" s="124"/>
      <c r="DMJ367" s="124"/>
      <c r="DMK367" s="124"/>
      <c r="DML367" s="124"/>
      <c r="DMM367" s="124"/>
      <c r="DMN367" s="124"/>
      <c r="DMO367" s="124"/>
      <c r="DMP367" s="124"/>
      <c r="DMQ367" s="124"/>
      <c r="DMR367" s="124"/>
      <c r="DMS367" s="124"/>
      <c r="DMT367" s="124"/>
      <c r="DMU367" s="124"/>
      <c r="DMV367" s="124"/>
      <c r="DMW367" s="124"/>
      <c r="DMX367" s="124"/>
      <c r="DMY367" s="124"/>
      <c r="DMZ367" s="124"/>
      <c r="DNA367" s="124"/>
      <c r="DNB367" s="124"/>
      <c r="DNC367" s="124"/>
      <c r="DND367" s="124"/>
      <c r="DNE367" s="124"/>
      <c r="DNF367" s="124"/>
      <c r="DNG367" s="124"/>
      <c r="DNH367" s="124"/>
      <c r="DNI367" s="124"/>
      <c r="DNJ367" s="124"/>
      <c r="DNK367" s="124"/>
      <c r="DNL367" s="124"/>
      <c r="DNM367" s="124"/>
      <c r="DNN367" s="124"/>
      <c r="DNO367" s="124"/>
      <c r="DNP367" s="124"/>
      <c r="DNQ367" s="124"/>
      <c r="DNR367" s="124"/>
      <c r="DNS367" s="124"/>
      <c r="DNT367" s="124"/>
      <c r="DNU367" s="124"/>
      <c r="DNV367" s="124"/>
      <c r="DNW367" s="124"/>
      <c r="DNX367" s="124"/>
      <c r="DNY367" s="124"/>
      <c r="DNZ367" s="124"/>
      <c r="DOA367" s="124"/>
      <c r="DOB367" s="124"/>
      <c r="DOC367" s="124"/>
      <c r="DOD367" s="124"/>
      <c r="DOE367" s="124"/>
      <c r="DOF367" s="124"/>
      <c r="DOG367" s="124"/>
      <c r="DOH367" s="124"/>
      <c r="DOI367" s="124"/>
      <c r="DOJ367" s="124"/>
      <c r="DOK367" s="124"/>
      <c r="DOL367" s="124"/>
      <c r="DOM367" s="124"/>
      <c r="DON367" s="124"/>
      <c r="DOO367" s="124"/>
      <c r="DOP367" s="124"/>
      <c r="DOQ367" s="124"/>
      <c r="DOR367" s="124"/>
      <c r="DOS367" s="124"/>
      <c r="DOT367" s="124"/>
      <c r="DOU367" s="124"/>
      <c r="DOV367" s="124"/>
      <c r="DOW367" s="124"/>
      <c r="DOX367" s="124"/>
      <c r="DOY367" s="124"/>
      <c r="DOZ367" s="124"/>
      <c r="DPA367" s="124"/>
      <c r="DPB367" s="124"/>
      <c r="DPC367" s="124"/>
      <c r="DPD367" s="124"/>
      <c r="DPE367" s="124"/>
      <c r="DPF367" s="124"/>
      <c r="DPG367" s="124"/>
      <c r="DPH367" s="124"/>
      <c r="DPI367" s="124"/>
      <c r="DPJ367" s="124"/>
      <c r="DPK367" s="124"/>
      <c r="DPL367" s="124"/>
      <c r="DPM367" s="124"/>
      <c r="DPN367" s="124"/>
      <c r="DPO367" s="124"/>
      <c r="DPP367" s="124"/>
      <c r="DPQ367" s="124"/>
      <c r="DPR367" s="124"/>
      <c r="DPS367" s="124"/>
      <c r="DPT367" s="124"/>
      <c r="DPU367" s="124"/>
      <c r="DPV367" s="124"/>
      <c r="DPW367" s="124"/>
      <c r="DPX367" s="124"/>
      <c r="DPY367" s="124"/>
      <c r="DPZ367" s="124"/>
      <c r="DQA367" s="124"/>
      <c r="DQB367" s="124"/>
      <c r="DQC367" s="124"/>
      <c r="DQD367" s="124"/>
      <c r="DQE367" s="124"/>
      <c r="DQF367" s="124"/>
      <c r="DQG367" s="124"/>
      <c r="DQH367" s="124"/>
      <c r="DQI367" s="124"/>
      <c r="DQJ367" s="124"/>
      <c r="DQK367" s="124"/>
      <c r="DQL367" s="124"/>
      <c r="DQM367" s="124"/>
      <c r="DQN367" s="124"/>
      <c r="DQO367" s="124"/>
      <c r="DQP367" s="124"/>
      <c r="DQQ367" s="124"/>
      <c r="DQR367" s="124"/>
      <c r="DQS367" s="124"/>
      <c r="DQT367" s="124"/>
      <c r="DQU367" s="124"/>
      <c r="DQV367" s="124"/>
      <c r="DQW367" s="124"/>
      <c r="DQX367" s="124"/>
      <c r="DQY367" s="124"/>
      <c r="DQZ367" s="124"/>
      <c r="DRA367" s="124"/>
      <c r="DRB367" s="124"/>
      <c r="DRC367" s="124"/>
      <c r="DRD367" s="124"/>
      <c r="DRE367" s="124"/>
      <c r="DRF367" s="124"/>
      <c r="DRG367" s="124"/>
      <c r="DRH367" s="124"/>
      <c r="DRI367" s="124"/>
      <c r="DRJ367" s="124"/>
      <c r="DRK367" s="124"/>
      <c r="DRL367" s="124"/>
      <c r="DRM367" s="124"/>
      <c r="DRN367" s="124"/>
      <c r="DRO367" s="124"/>
      <c r="DRP367" s="124"/>
      <c r="DRQ367" s="124"/>
      <c r="DRR367" s="124"/>
      <c r="DRS367" s="124"/>
      <c r="DRT367" s="124"/>
      <c r="DRU367" s="124"/>
      <c r="DRV367" s="124"/>
      <c r="DRW367" s="124"/>
      <c r="DRX367" s="124"/>
      <c r="DRY367" s="124"/>
      <c r="DRZ367" s="124"/>
      <c r="DSA367" s="124"/>
      <c r="DSB367" s="124"/>
      <c r="DSC367" s="124"/>
      <c r="DSD367" s="124"/>
      <c r="DSE367" s="124"/>
      <c r="DSF367" s="124"/>
      <c r="DSG367" s="124"/>
      <c r="DSH367" s="124"/>
      <c r="DSI367" s="124"/>
      <c r="DSJ367" s="124"/>
      <c r="DSK367" s="124"/>
      <c r="DSL367" s="124"/>
      <c r="DSM367" s="124"/>
      <c r="DSN367" s="124"/>
      <c r="DSO367" s="124"/>
      <c r="DSP367" s="124"/>
      <c r="DSQ367" s="124"/>
      <c r="DSR367" s="124"/>
      <c r="DSS367" s="124"/>
      <c r="DST367" s="124"/>
      <c r="DSU367" s="124"/>
      <c r="DSV367" s="124"/>
      <c r="DSW367" s="124"/>
      <c r="DSX367" s="124"/>
      <c r="DSY367" s="124"/>
      <c r="DSZ367" s="124"/>
      <c r="DTA367" s="124"/>
      <c r="DTB367" s="124"/>
      <c r="DTC367" s="124"/>
      <c r="DTD367" s="124"/>
      <c r="DTE367" s="124"/>
      <c r="DTF367" s="124"/>
      <c r="DTG367" s="124"/>
      <c r="DTH367" s="124"/>
      <c r="DTI367" s="124"/>
      <c r="DTJ367" s="124"/>
      <c r="DTK367" s="124"/>
      <c r="DTL367" s="124"/>
      <c r="DTM367" s="124"/>
      <c r="DTN367" s="124"/>
      <c r="DTO367" s="124"/>
      <c r="DTP367" s="124"/>
      <c r="DTQ367" s="124"/>
      <c r="DTR367" s="124"/>
      <c r="DTS367" s="124"/>
      <c r="DTT367" s="124"/>
      <c r="DTU367" s="124"/>
      <c r="DTV367" s="124"/>
      <c r="DTW367" s="124"/>
      <c r="DTX367" s="124"/>
      <c r="DTY367" s="124"/>
      <c r="DTZ367" s="124"/>
      <c r="DUA367" s="124"/>
      <c r="DUB367" s="124"/>
      <c r="DUC367" s="124"/>
      <c r="DUD367" s="124"/>
      <c r="DUE367" s="124"/>
      <c r="DUF367" s="124"/>
      <c r="DUG367" s="124"/>
      <c r="DUH367" s="124"/>
      <c r="DUI367" s="124"/>
      <c r="DUJ367" s="124"/>
      <c r="DUK367" s="124"/>
      <c r="DUL367" s="124"/>
      <c r="DUM367" s="124"/>
      <c r="DUN367" s="124"/>
      <c r="DUO367" s="124"/>
      <c r="DUP367" s="124"/>
      <c r="DUQ367" s="124"/>
      <c r="DUR367" s="124"/>
      <c r="DUS367" s="124"/>
      <c r="DUT367" s="124"/>
      <c r="DUU367" s="124"/>
      <c r="DUV367" s="124"/>
      <c r="DUW367" s="124"/>
      <c r="DUX367" s="124"/>
      <c r="DUY367" s="124"/>
      <c r="DUZ367" s="124"/>
      <c r="DVA367" s="124"/>
      <c r="DVB367" s="124"/>
      <c r="DVC367" s="124"/>
      <c r="DVD367" s="124"/>
      <c r="DVE367" s="124"/>
      <c r="DVF367" s="124"/>
      <c r="DVG367" s="124"/>
      <c r="DVH367" s="124"/>
      <c r="DVI367" s="124"/>
      <c r="DVJ367" s="124"/>
      <c r="DVK367" s="124"/>
      <c r="DVL367" s="124"/>
      <c r="DVM367" s="124"/>
      <c r="DVN367" s="124"/>
      <c r="DVO367" s="124"/>
      <c r="DVP367" s="124"/>
      <c r="DVQ367" s="124"/>
      <c r="DVR367" s="124"/>
      <c r="DVS367" s="124"/>
      <c r="DVT367" s="124"/>
      <c r="DVU367" s="124"/>
      <c r="DVV367" s="124"/>
      <c r="DVW367" s="124"/>
      <c r="DVX367" s="124"/>
      <c r="DVY367" s="124"/>
      <c r="DVZ367" s="124"/>
      <c r="DWA367" s="124"/>
      <c r="DWB367" s="124"/>
      <c r="DWC367" s="124"/>
      <c r="DWD367" s="124"/>
      <c r="DWE367" s="124"/>
      <c r="DWF367" s="124"/>
      <c r="DWG367" s="124"/>
      <c r="DWH367" s="124"/>
      <c r="DWI367" s="124"/>
      <c r="DWJ367" s="124"/>
      <c r="DWK367" s="124"/>
      <c r="DWL367" s="124"/>
      <c r="DWM367" s="124"/>
      <c r="DWN367" s="124"/>
      <c r="DWO367" s="124"/>
      <c r="DWP367" s="124"/>
      <c r="DWQ367" s="124"/>
      <c r="DWR367" s="124"/>
      <c r="DWS367" s="124"/>
      <c r="DWT367" s="124"/>
      <c r="DWU367" s="124"/>
      <c r="DWV367" s="124"/>
      <c r="DWW367" s="124"/>
      <c r="DWX367" s="124"/>
      <c r="DWY367" s="124"/>
      <c r="DWZ367" s="124"/>
      <c r="DXA367" s="124"/>
      <c r="DXB367" s="124"/>
      <c r="DXC367" s="124"/>
      <c r="DXD367" s="124"/>
      <c r="DXE367" s="124"/>
      <c r="DXF367" s="124"/>
      <c r="DXG367" s="124"/>
      <c r="DXH367" s="124"/>
      <c r="DXI367" s="124"/>
      <c r="DXJ367" s="124"/>
      <c r="DXK367" s="124"/>
      <c r="DXL367" s="124"/>
      <c r="DXM367" s="124"/>
      <c r="DXN367" s="124"/>
      <c r="DXO367" s="124"/>
      <c r="DXP367" s="124"/>
      <c r="DXQ367" s="124"/>
      <c r="DXR367" s="124"/>
      <c r="DXS367" s="124"/>
      <c r="DXT367" s="124"/>
      <c r="DXU367" s="124"/>
      <c r="DXV367" s="124"/>
      <c r="DXW367" s="124"/>
      <c r="DXX367" s="124"/>
      <c r="DXY367" s="124"/>
      <c r="DXZ367" s="124"/>
      <c r="DYA367" s="124"/>
      <c r="DYB367" s="124"/>
      <c r="DYC367" s="124"/>
      <c r="DYD367" s="124"/>
      <c r="DYE367" s="124"/>
      <c r="DYF367" s="124"/>
      <c r="DYG367" s="124"/>
      <c r="DYH367" s="124"/>
      <c r="DYI367" s="124"/>
      <c r="DYJ367" s="124"/>
      <c r="DYK367" s="124"/>
      <c r="DYL367" s="124"/>
      <c r="DYM367" s="124"/>
      <c r="DYN367" s="124"/>
      <c r="DYO367" s="124"/>
      <c r="DYP367" s="124"/>
      <c r="DYQ367" s="124"/>
      <c r="DYR367" s="124"/>
      <c r="DYS367" s="124"/>
      <c r="DYT367" s="124"/>
      <c r="DYU367" s="124"/>
      <c r="DYV367" s="124"/>
      <c r="DYW367" s="124"/>
      <c r="DYX367" s="124"/>
      <c r="DYY367" s="124"/>
      <c r="DYZ367" s="124"/>
      <c r="DZA367" s="124"/>
      <c r="DZB367" s="124"/>
      <c r="DZC367" s="124"/>
      <c r="DZD367" s="124"/>
      <c r="DZE367" s="124"/>
      <c r="DZF367" s="124"/>
      <c r="DZG367" s="124"/>
      <c r="DZH367" s="124"/>
      <c r="DZI367" s="124"/>
      <c r="DZJ367" s="124"/>
      <c r="DZK367" s="124"/>
      <c r="DZL367" s="124"/>
      <c r="DZM367" s="124"/>
      <c r="DZN367" s="124"/>
      <c r="DZO367" s="124"/>
      <c r="DZP367" s="124"/>
      <c r="DZQ367" s="124"/>
      <c r="DZR367" s="124"/>
      <c r="DZS367" s="124"/>
      <c r="DZT367" s="124"/>
      <c r="DZU367" s="124"/>
      <c r="DZV367" s="124"/>
      <c r="DZW367" s="124"/>
      <c r="DZX367" s="124"/>
      <c r="DZY367" s="124"/>
      <c r="DZZ367" s="124"/>
      <c r="EAA367" s="124"/>
      <c r="EAB367" s="124"/>
      <c r="EAC367" s="124"/>
      <c r="EAD367" s="124"/>
      <c r="EAE367" s="124"/>
      <c r="EAF367" s="124"/>
      <c r="EAG367" s="124"/>
      <c r="EAH367" s="124"/>
      <c r="EAI367" s="124"/>
      <c r="EAJ367" s="124"/>
      <c r="EAK367" s="124"/>
      <c r="EAL367" s="124"/>
      <c r="EAM367" s="124"/>
      <c r="EAN367" s="124"/>
      <c r="EAO367" s="124"/>
      <c r="EAP367" s="124"/>
      <c r="EAQ367" s="124"/>
      <c r="EAR367" s="124"/>
      <c r="EAS367" s="124"/>
      <c r="EAT367" s="124"/>
      <c r="EAU367" s="124"/>
      <c r="EAV367" s="124"/>
      <c r="EAW367" s="124"/>
      <c r="EAX367" s="124"/>
      <c r="EAY367" s="124"/>
      <c r="EAZ367" s="124"/>
      <c r="EBA367" s="124"/>
      <c r="EBB367" s="124"/>
      <c r="EBC367" s="124"/>
      <c r="EBD367" s="124"/>
      <c r="EBE367" s="124"/>
      <c r="EBF367" s="124"/>
      <c r="EBG367" s="124"/>
      <c r="EBH367" s="124"/>
      <c r="EBI367" s="124"/>
      <c r="EBJ367" s="124"/>
      <c r="EBK367" s="124"/>
      <c r="EBL367" s="124"/>
      <c r="EBM367" s="124"/>
      <c r="EBN367" s="124"/>
      <c r="EBO367" s="124"/>
      <c r="EBP367" s="124"/>
      <c r="EBQ367" s="124"/>
      <c r="EBR367" s="124"/>
      <c r="EBS367" s="124"/>
      <c r="EBT367" s="124"/>
      <c r="EBU367" s="124"/>
      <c r="EBV367" s="124"/>
      <c r="EBW367" s="124"/>
      <c r="EBX367" s="124"/>
      <c r="EBY367" s="124"/>
      <c r="EBZ367" s="124"/>
      <c r="ECA367" s="124"/>
      <c r="ECB367" s="124"/>
      <c r="ECC367" s="124"/>
      <c r="ECD367" s="124"/>
      <c r="ECE367" s="124"/>
      <c r="ECF367" s="124"/>
      <c r="ECG367" s="124"/>
      <c r="ECH367" s="124"/>
      <c r="ECI367" s="124"/>
      <c r="ECJ367" s="124"/>
      <c r="ECK367" s="124"/>
      <c r="ECL367" s="124"/>
      <c r="ECM367" s="124"/>
      <c r="ECN367" s="124"/>
      <c r="ECO367" s="124"/>
      <c r="ECP367" s="124"/>
      <c r="ECQ367" s="124"/>
      <c r="ECR367" s="124"/>
      <c r="ECS367" s="124"/>
      <c r="ECT367" s="124"/>
      <c r="ECU367" s="124"/>
      <c r="ECV367" s="124"/>
      <c r="ECW367" s="124"/>
      <c r="ECX367" s="124"/>
      <c r="ECY367" s="124"/>
      <c r="ECZ367" s="124"/>
      <c r="EDA367" s="124"/>
      <c r="EDB367" s="124"/>
      <c r="EDC367" s="124"/>
      <c r="EDD367" s="124"/>
      <c r="EDE367" s="124"/>
      <c r="EDF367" s="124"/>
      <c r="EDG367" s="124"/>
      <c r="EDH367" s="124"/>
      <c r="EDI367" s="124"/>
      <c r="EDJ367" s="124"/>
      <c r="EDK367" s="124"/>
      <c r="EDL367" s="124"/>
      <c r="EDM367" s="124"/>
      <c r="EDN367" s="124"/>
      <c r="EDO367" s="124"/>
      <c r="EDP367" s="124"/>
      <c r="EDQ367" s="124"/>
      <c r="EDR367" s="124"/>
      <c r="EDS367" s="124"/>
      <c r="EDT367" s="124"/>
      <c r="EDU367" s="124"/>
      <c r="EDV367" s="124"/>
      <c r="EDW367" s="124"/>
      <c r="EDX367" s="124"/>
      <c r="EDY367" s="124"/>
      <c r="EDZ367" s="124"/>
      <c r="EEA367" s="124"/>
      <c r="EEB367" s="124"/>
      <c r="EEC367" s="124"/>
      <c r="EED367" s="124"/>
      <c r="EEE367" s="124"/>
      <c r="EEF367" s="124"/>
      <c r="EEG367" s="124"/>
      <c r="EEH367" s="124"/>
      <c r="EEI367" s="124"/>
      <c r="EEJ367" s="124"/>
      <c r="EEK367" s="124"/>
      <c r="EEL367" s="124"/>
      <c r="EEM367" s="124"/>
      <c r="EEN367" s="124"/>
      <c r="EEO367" s="124"/>
      <c r="EEP367" s="124"/>
      <c r="EEQ367" s="124"/>
      <c r="EER367" s="124"/>
      <c r="EES367" s="124"/>
      <c r="EET367" s="124"/>
      <c r="EEU367" s="124"/>
      <c r="EEV367" s="124"/>
      <c r="EEW367" s="124"/>
      <c r="EEX367" s="124"/>
      <c r="EEY367" s="124"/>
      <c r="EEZ367" s="124"/>
      <c r="EFA367" s="124"/>
      <c r="EFB367" s="124"/>
      <c r="EFC367" s="124"/>
      <c r="EFD367" s="124"/>
      <c r="EFE367" s="124"/>
      <c r="EFF367" s="124"/>
      <c r="EFG367" s="124"/>
      <c r="EFH367" s="124"/>
      <c r="EFI367" s="124"/>
      <c r="EFJ367" s="124"/>
      <c r="EFK367" s="124"/>
      <c r="EFL367" s="124"/>
      <c r="EFM367" s="124"/>
      <c r="EFN367" s="124"/>
      <c r="EFO367" s="124"/>
      <c r="EFP367" s="124"/>
      <c r="EFQ367" s="124"/>
      <c r="EFR367" s="124"/>
      <c r="EFS367" s="124"/>
      <c r="EFT367" s="124"/>
      <c r="EFU367" s="124"/>
      <c r="EFV367" s="124"/>
      <c r="EFW367" s="124"/>
      <c r="EFX367" s="124"/>
      <c r="EFY367" s="124"/>
      <c r="EFZ367" s="124"/>
      <c r="EGA367" s="124"/>
      <c r="EGB367" s="124"/>
      <c r="EGC367" s="124"/>
      <c r="EGD367" s="124"/>
      <c r="EGE367" s="124"/>
      <c r="EGF367" s="124"/>
      <c r="EGG367" s="124"/>
      <c r="EGH367" s="124"/>
      <c r="EGI367" s="124"/>
      <c r="EGJ367" s="124"/>
      <c r="EGK367" s="124"/>
      <c r="EGL367" s="124"/>
      <c r="EGM367" s="124"/>
      <c r="EGN367" s="124"/>
      <c r="EGO367" s="124"/>
      <c r="EGP367" s="124"/>
      <c r="EGQ367" s="124"/>
      <c r="EGR367" s="124"/>
      <c r="EGS367" s="124"/>
      <c r="EGT367" s="124"/>
      <c r="EGU367" s="124"/>
      <c r="EGV367" s="124"/>
      <c r="EGW367" s="124"/>
      <c r="EGX367" s="124"/>
      <c r="EGY367" s="124"/>
      <c r="EGZ367" s="124"/>
      <c r="EHA367" s="124"/>
      <c r="EHB367" s="124"/>
      <c r="EHC367" s="124"/>
      <c r="EHD367" s="124"/>
      <c r="EHE367" s="124"/>
      <c r="EHF367" s="124"/>
      <c r="EHG367" s="124"/>
      <c r="EHH367" s="124"/>
      <c r="EHI367" s="124"/>
      <c r="EHJ367" s="124"/>
      <c r="EHK367" s="124"/>
      <c r="EHL367" s="124"/>
      <c r="EHM367" s="124"/>
      <c r="EHN367" s="124"/>
      <c r="EHO367" s="124"/>
      <c r="EHP367" s="124"/>
      <c r="EHQ367" s="124"/>
      <c r="EHR367" s="124"/>
      <c r="EHS367" s="124"/>
      <c r="EHT367" s="124"/>
      <c r="EHU367" s="124"/>
      <c r="EHV367" s="124"/>
      <c r="EHW367" s="124"/>
      <c r="EHX367" s="124"/>
      <c r="EHY367" s="124"/>
      <c r="EHZ367" s="124"/>
      <c r="EIA367" s="124"/>
      <c r="EIB367" s="124"/>
      <c r="EIC367" s="124"/>
      <c r="EID367" s="124"/>
      <c r="EIE367" s="124"/>
      <c r="EIF367" s="124"/>
      <c r="EIG367" s="124"/>
      <c r="EIH367" s="124"/>
      <c r="EII367" s="124"/>
      <c r="EIJ367" s="124"/>
      <c r="EIK367" s="124"/>
      <c r="EIL367" s="124"/>
      <c r="EIM367" s="124"/>
      <c r="EIN367" s="124"/>
      <c r="EIO367" s="124"/>
      <c r="EIP367" s="124"/>
      <c r="EIQ367" s="124"/>
      <c r="EIR367" s="124"/>
      <c r="EIS367" s="124"/>
      <c r="EIT367" s="124"/>
      <c r="EIU367" s="124"/>
      <c r="EIV367" s="124"/>
      <c r="EIW367" s="124"/>
      <c r="EIX367" s="124"/>
      <c r="EIY367" s="124"/>
      <c r="EIZ367" s="124"/>
      <c r="EJA367" s="124"/>
      <c r="EJB367" s="124"/>
      <c r="EJC367" s="124"/>
      <c r="EJD367" s="124"/>
      <c r="EJE367" s="124"/>
      <c r="EJF367" s="124"/>
      <c r="EJG367" s="124"/>
      <c r="EJH367" s="124"/>
      <c r="EJI367" s="124"/>
      <c r="EJJ367" s="124"/>
      <c r="EJK367" s="124"/>
      <c r="EJL367" s="124"/>
      <c r="EJM367" s="124"/>
      <c r="EJN367" s="124"/>
      <c r="EJO367" s="124"/>
      <c r="EJP367" s="124"/>
      <c r="EJQ367" s="124"/>
      <c r="EJR367" s="124"/>
      <c r="EJS367" s="124"/>
      <c r="EJT367" s="124"/>
      <c r="EJU367" s="124"/>
      <c r="EJV367" s="124"/>
      <c r="EJW367" s="124"/>
      <c r="EJX367" s="124"/>
      <c r="EJY367" s="124"/>
      <c r="EJZ367" s="124"/>
      <c r="EKA367" s="124"/>
      <c r="EKB367" s="124"/>
      <c r="EKC367" s="124"/>
      <c r="EKD367" s="124"/>
      <c r="EKE367" s="124"/>
      <c r="EKF367" s="124"/>
      <c r="EKG367" s="124"/>
      <c r="EKH367" s="124"/>
      <c r="EKI367" s="124"/>
      <c r="EKJ367" s="124"/>
      <c r="EKK367" s="124"/>
      <c r="EKL367" s="124"/>
      <c r="EKM367" s="124"/>
      <c r="EKN367" s="124"/>
      <c r="EKO367" s="124"/>
      <c r="EKP367" s="124"/>
      <c r="EKQ367" s="124"/>
      <c r="EKR367" s="124"/>
      <c r="EKS367" s="124"/>
      <c r="EKT367" s="124"/>
      <c r="EKU367" s="124"/>
      <c r="EKV367" s="124"/>
      <c r="EKW367" s="124"/>
      <c r="EKX367" s="124"/>
      <c r="EKY367" s="124"/>
      <c r="EKZ367" s="124"/>
      <c r="ELA367" s="124"/>
      <c r="ELB367" s="124"/>
      <c r="ELC367" s="124"/>
      <c r="ELD367" s="124"/>
      <c r="ELE367" s="124"/>
      <c r="ELF367" s="124"/>
      <c r="ELG367" s="124"/>
      <c r="ELH367" s="124"/>
      <c r="ELI367" s="124"/>
      <c r="ELJ367" s="124"/>
      <c r="ELK367" s="124"/>
      <c r="ELL367" s="124"/>
      <c r="ELM367" s="124"/>
      <c r="ELN367" s="124"/>
      <c r="ELO367" s="124"/>
      <c r="ELP367" s="124"/>
      <c r="ELQ367" s="124"/>
      <c r="ELR367" s="124"/>
      <c r="ELS367" s="124"/>
      <c r="ELT367" s="124"/>
      <c r="ELU367" s="124"/>
      <c r="ELV367" s="124"/>
      <c r="ELW367" s="124"/>
      <c r="ELX367" s="124"/>
      <c r="ELY367" s="124"/>
      <c r="ELZ367" s="124"/>
      <c r="EMA367" s="124"/>
      <c r="EMB367" s="124"/>
      <c r="EMC367" s="124"/>
      <c r="EMD367" s="124"/>
      <c r="EME367" s="124"/>
      <c r="EMF367" s="124"/>
      <c r="EMG367" s="124"/>
      <c r="EMH367" s="124"/>
      <c r="EMI367" s="124"/>
      <c r="EMJ367" s="124"/>
      <c r="EMK367" s="124"/>
      <c r="EML367" s="124"/>
      <c r="EMM367" s="124"/>
      <c r="EMN367" s="124"/>
      <c r="EMO367" s="124"/>
      <c r="EMP367" s="124"/>
      <c r="EMQ367" s="124"/>
      <c r="EMR367" s="124"/>
      <c r="EMS367" s="124"/>
      <c r="EMT367" s="124"/>
      <c r="EMU367" s="124"/>
      <c r="EMV367" s="124"/>
      <c r="EMW367" s="124"/>
      <c r="EMX367" s="124"/>
      <c r="EMY367" s="124"/>
      <c r="EMZ367" s="124"/>
      <c r="ENA367" s="124"/>
      <c r="ENB367" s="124"/>
      <c r="ENC367" s="124"/>
      <c r="END367" s="124"/>
      <c r="ENE367" s="124"/>
      <c r="ENF367" s="124"/>
      <c r="ENG367" s="124"/>
      <c r="ENH367" s="124"/>
      <c r="ENI367" s="124"/>
      <c r="ENJ367" s="124"/>
      <c r="ENK367" s="124"/>
      <c r="ENL367" s="124"/>
      <c r="ENM367" s="124"/>
      <c r="ENN367" s="124"/>
      <c r="ENO367" s="124"/>
      <c r="ENP367" s="124"/>
      <c r="ENQ367" s="124"/>
      <c r="ENR367" s="124"/>
      <c r="ENS367" s="124"/>
      <c r="ENT367" s="124"/>
      <c r="ENU367" s="124"/>
      <c r="ENV367" s="124"/>
      <c r="ENW367" s="124"/>
      <c r="ENX367" s="124"/>
      <c r="ENY367" s="124"/>
      <c r="ENZ367" s="124"/>
      <c r="EOA367" s="124"/>
      <c r="EOB367" s="124"/>
      <c r="EOC367" s="124"/>
      <c r="EOD367" s="124"/>
      <c r="EOE367" s="124"/>
      <c r="EOF367" s="124"/>
      <c r="EOG367" s="124"/>
      <c r="EOH367" s="124"/>
      <c r="EOI367" s="124"/>
      <c r="EOJ367" s="124"/>
      <c r="EOK367" s="124"/>
      <c r="EOL367" s="124"/>
      <c r="EOM367" s="124"/>
      <c r="EON367" s="124"/>
      <c r="EOO367" s="124"/>
      <c r="EOP367" s="124"/>
      <c r="EOQ367" s="124"/>
      <c r="EOR367" s="124"/>
      <c r="EOS367" s="124"/>
      <c r="EOT367" s="124"/>
      <c r="EOU367" s="124"/>
      <c r="EOV367" s="124"/>
      <c r="EOW367" s="124"/>
      <c r="EOX367" s="124"/>
      <c r="EOY367" s="124"/>
      <c r="EOZ367" s="124"/>
      <c r="EPA367" s="124"/>
      <c r="EPB367" s="124"/>
      <c r="EPC367" s="124"/>
      <c r="EPD367" s="124"/>
      <c r="EPE367" s="124"/>
      <c r="EPF367" s="124"/>
      <c r="EPG367" s="124"/>
      <c r="EPH367" s="124"/>
      <c r="EPI367" s="124"/>
      <c r="EPJ367" s="124"/>
      <c r="EPK367" s="124"/>
      <c r="EPL367" s="124"/>
      <c r="EPM367" s="124"/>
      <c r="EPN367" s="124"/>
      <c r="EPO367" s="124"/>
      <c r="EPP367" s="124"/>
      <c r="EPQ367" s="124"/>
      <c r="EPR367" s="124"/>
      <c r="EPS367" s="124"/>
      <c r="EPT367" s="124"/>
      <c r="EPU367" s="124"/>
      <c r="EPV367" s="124"/>
      <c r="EPW367" s="124"/>
      <c r="EPX367" s="124"/>
      <c r="EPY367" s="124"/>
      <c r="EPZ367" s="124"/>
      <c r="EQA367" s="124"/>
      <c r="EQB367" s="124"/>
      <c r="EQC367" s="124"/>
      <c r="EQD367" s="124"/>
      <c r="EQE367" s="124"/>
      <c r="EQF367" s="124"/>
      <c r="EQG367" s="124"/>
      <c r="EQH367" s="124"/>
      <c r="EQI367" s="124"/>
      <c r="EQJ367" s="124"/>
      <c r="EQK367" s="124"/>
      <c r="EQL367" s="124"/>
      <c r="EQM367" s="124"/>
      <c r="EQN367" s="124"/>
      <c r="EQO367" s="124"/>
      <c r="EQP367" s="124"/>
      <c r="EQQ367" s="124"/>
      <c r="EQR367" s="124"/>
      <c r="EQS367" s="124"/>
      <c r="EQT367" s="124"/>
      <c r="EQU367" s="124"/>
      <c r="EQV367" s="124"/>
      <c r="EQW367" s="124"/>
      <c r="EQX367" s="124"/>
      <c r="EQY367" s="124"/>
      <c r="EQZ367" s="124"/>
      <c r="ERA367" s="124"/>
      <c r="ERB367" s="124"/>
      <c r="ERC367" s="124"/>
      <c r="ERD367" s="124"/>
      <c r="ERE367" s="124"/>
      <c r="ERF367" s="124"/>
      <c r="ERG367" s="124"/>
      <c r="ERH367" s="124"/>
      <c r="ERI367" s="124"/>
      <c r="ERJ367" s="124"/>
      <c r="ERK367" s="124"/>
      <c r="ERL367" s="124"/>
      <c r="ERM367" s="124"/>
      <c r="ERN367" s="124"/>
      <c r="ERO367" s="124"/>
      <c r="ERP367" s="124"/>
      <c r="ERQ367" s="124"/>
      <c r="ERR367" s="124"/>
      <c r="ERS367" s="124"/>
      <c r="ERT367" s="124"/>
      <c r="ERU367" s="124"/>
      <c r="ERV367" s="124"/>
      <c r="ERW367" s="124"/>
      <c r="ERX367" s="124"/>
      <c r="ERY367" s="124"/>
      <c r="ERZ367" s="124"/>
      <c r="ESA367" s="124"/>
      <c r="ESB367" s="124"/>
      <c r="ESC367" s="124"/>
      <c r="ESD367" s="124"/>
      <c r="ESE367" s="124"/>
      <c r="ESF367" s="124"/>
      <c r="ESG367" s="124"/>
      <c r="ESH367" s="124"/>
      <c r="ESI367" s="124"/>
      <c r="ESJ367" s="124"/>
      <c r="ESK367" s="124"/>
      <c r="ESL367" s="124"/>
      <c r="ESM367" s="124"/>
      <c r="ESN367" s="124"/>
      <c r="ESO367" s="124"/>
      <c r="ESP367" s="124"/>
      <c r="ESQ367" s="124"/>
      <c r="ESR367" s="124"/>
      <c r="ESS367" s="124"/>
      <c r="EST367" s="124"/>
      <c r="ESU367" s="124"/>
      <c r="ESV367" s="124"/>
      <c r="ESW367" s="124"/>
      <c r="ESX367" s="124"/>
      <c r="ESY367" s="124"/>
      <c r="ESZ367" s="124"/>
      <c r="ETA367" s="124"/>
      <c r="ETB367" s="124"/>
      <c r="ETC367" s="124"/>
      <c r="ETD367" s="124"/>
      <c r="ETE367" s="124"/>
      <c r="ETF367" s="124"/>
      <c r="ETG367" s="124"/>
      <c r="ETH367" s="124"/>
      <c r="ETI367" s="124"/>
      <c r="ETJ367" s="124"/>
      <c r="ETK367" s="124"/>
      <c r="ETL367" s="124"/>
      <c r="ETM367" s="124"/>
      <c r="ETN367" s="124"/>
      <c r="ETO367" s="124"/>
      <c r="ETP367" s="124"/>
      <c r="ETQ367" s="124"/>
      <c r="ETR367" s="124"/>
      <c r="ETS367" s="124"/>
      <c r="ETT367" s="124"/>
      <c r="ETU367" s="124"/>
      <c r="ETV367" s="124"/>
      <c r="ETW367" s="124"/>
      <c r="ETX367" s="124"/>
      <c r="ETY367" s="124"/>
      <c r="ETZ367" s="124"/>
      <c r="EUA367" s="124"/>
      <c r="EUB367" s="124"/>
      <c r="EUC367" s="124"/>
      <c r="EUD367" s="124"/>
      <c r="EUE367" s="124"/>
      <c r="EUF367" s="124"/>
      <c r="EUG367" s="124"/>
      <c r="EUH367" s="124"/>
      <c r="EUI367" s="124"/>
      <c r="EUJ367" s="124"/>
      <c r="EUK367" s="124"/>
      <c r="EUL367" s="124"/>
      <c r="EUM367" s="124"/>
      <c r="EUN367" s="124"/>
      <c r="EUO367" s="124"/>
      <c r="EUP367" s="124"/>
      <c r="EUQ367" s="124"/>
      <c r="EUR367" s="124"/>
      <c r="EUS367" s="124"/>
      <c r="EUT367" s="124"/>
      <c r="EUU367" s="124"/>
      <c r="EUV367" s="124"/>
      <c r="EUW367" s="124"/>
      <c r="EUX367" s="124"/>
      <c r="EUY367" s="124"/>
      <c r="EUZ367" s="124"/>
      <c r="EVA367" s="124"/>
      <c r="EVB367" s="124"/>
      <c r="EVC367" s="124"/>
      <c r="EVD367" s="124"/>
      <c r="EVE367" s="124"/>
      <c r="EVF367" s="124"/>
      <c r="EVG367" s="124"/>
      <c r="EVH367" s="124"/>
      <c r="EVI367" s="124"/>
      <c r="EVJ367" s="124"/>
      <c r="EVK367" s="124"/>
      <c r="EVL367" s="124"/>
      <c r="EVM367" s="124"/>
      <c r="EVN367" s="124"/>
      <c r="EVO367" s="124"/>
      <c r="EVP367" s="124"/>
      <c r="EVQ367" s="124"/>
      <c r="EVR367" s="124"/>
      <c r="EVS367" s="124"/>
      <c r="EVT367" s="124"/>
      <c r="EVU367" s="124"/>
      <c r="EVV367" s="124"/>
      <c r="EVW367" s="124"/>
      <c r="EVX367" s="124"/>
      <c r="EVY367" s="124"/>
      <c r="EVZ367" s="124"/>
      <c r="EWA367" s="124"/>
      <c r="EWB367" s="124"/>
      <c r="EWC367" s="124"/>
      <c r="EWD367" s="124"/>
      <c r="EWE367" s="124"/>
      <c r="EWF367" s="124"/>
      <c r="EWG367" s="124"/>
      <c r="EWH367" s="124"/>
      <c r="EWI367" s="124"/>
      <c r="EWJ367" s="124"/>
      <c r="EWK367" s="124"/>
      <c r="EWL367" s="124"/>
      <c r="EWM367" s="124"/>
      <c r="EWN367" s="124"/>
      <c r="EWO367" s="124"/>
      <c r="EWP367" s="124"/>
      <c r="EWQ367" s="124"/>
      <c r="EWR367" s="124"/>
      <c r="EWS367" s="124"/>
      <c r="EWT367" s="124"/>
      <c r="EWU367" s="124"/>
      <c r="EWV367" s="124"/>
      <c r="EWW367" s="124"/>
      <c r="EWX367" s="124"/>
      <c r="EWY367" s="124"/>
      <c r="EWZ367" s="124"/>
      <c r="EXA367" s="124"/>
      <c r="EXB367" s="124"/>
      <c r="EXC367" s="124"/>
      <c r="EXD367" s="124"/>
      <c r="EXE367" s="124"/>
      <c r="EXF367" s="124"/>
      <c r="EXG367" s="124"/>
      <c r="EXH367" s="124"/>
      <c r="EXI367" s="124"/>
      <c r="EXJ367" s="124"/>
      <c r="EXK367" s="124"/>
      <c r="EXL367" s="124"/>
      <c r="EXM367" s="124"/>
      <c r="EXN367" s="124"/>
      <c r="EXO367" s="124"/>
      <c r="EXP367" s="124"/>
      <c r="EXQ367" s="124"/>
      <c r="EXR367" s="124"/>
      <c r="EXS367" s="124"/>
      <c r="EXT367" s="124"/>
      <c r="EXU367" s="124"/>
      <c r="EXV367" s="124"/>
      <c r="EXW367" s="124"/>
      <c r="EXX367" s="124"/>
      <c r="EXY367" s="124"/>
      <c r="EXZ367" s="124"/>
      <c r="EYA367" s="124"/>
      <c r="EYB367" s="124"/>
      <c r="EYC367" s="124"/>
      <c r="EYD367" s="124"/>
      <c r="EYE367" s="124"/>
      <c r="EYF367" s="124"/>
      <c r="EYG367" s="124"/>
      <c r="EYH367" s="124"/>
      <c r="EYI367" s="124"/>
      <c r="EYJ367" s="124"/>
      <c r="EYK367" s="124"/>
      <c r="EYL367" s="124"/>
      <c r="EYM367" s="124"/>
      <c r="EYN367" s="124"/>
      <c r="EYO367" s="124"/>
      <c r="EYP367" s="124"/>
      <c r="EYQ367" s="124"/>
      <c r="EYR367" s="124"/>
      <c r="EYS367" s="124"/>
      <c r="EYT367" s="124"/>
      <c r="EYU367" s="124"/>
      <c r="EYV367" s="124"/>
      <c r="EYW367" s="124"/>
      <c r="EYX367" s="124"/>
      <c r="EYY367" s="124"/>
      <c r="EYZ367" s="124"/>
      <c r="EZA367" s="124"/>
      <c r="EZB367" s="124"/>
      <c r="EZC367" s="124"/>
      <c r="EZD367" s="124"/>
      <c r="EZE367" s="124"/>
      <c r="EZF367" s="124"/>
      <c r="EZG367" s="124"/>
      <c r="EZH367" s="124"/>
      <c r="EZI367" s="124"/>
      <c r="EZJ367" s="124"/>
      <c r="EZK367" s="124"/>
      <c r="EZL367" s="124"/>
      <c r="EZM367" s="124"/>
      <c r="EZN367" s="124"/>
      <c r="EZO367" s="124"/>
      <c r="EZP367" s="124"/>
      <c r="EZQ367" s="124"/>
      <c r="EZR367" s="124"/>
      <c r="EZS367" s="124"/>
      <c r="EZT367" s="124"/>
      <c r="EZU367" s="124"/>
      <c r="EZV367" s="124"/>
      <c r="EZW367" s="124"/>
      <c r="EZX367" s="124"/>
      <c r="EZY367" s="124"/>
      <c r="EZZ367" s="124"/>
      <c r="FAA367" s="124"/>
      <c r="FAB367" s="124"/>
      <c r="FAC367" s="124"/>
      <c r="FAD367" s="124"/>
      <c r="FAE367" s="124"/>
      <c r="FAF367" s="124"/>
      <c r="FAG367" s="124"/>
      <c r="FAH367" s="124"/>
      <c r="FAI367" s="124"/>
      <c r="FAJ367" s="124"/>
      <c r="FAK367" s="124"/>
      <c r="FAL367" s="124"/>
      <c r="FAM367" s="124"/>
      <c r="FAN367" s="124"/>
      <c r="FAO367" s="124"/>
      <c r="FAP367" s="124"/>
      <c r="FAQ367" s="124"/>
      <c r="FAR367" s="124"/>
      <c r="FAS367" s="124"/>
      <c r="FAT367" s="124"/>
      <c r="FAU367" s="124"/>
      <c r="FAV367" s="124"/>
      <c r="FAW367" s="124"/>
      <c r="FAX367" s="124"/>
      <c r="FAY367" s="124"/>
      <c r="FAZ367" s="124"/>
      <c r="FBA367" s="124"/>
      <c r="FBB367" s="124"/>
      <c r="FBC367" s="124"/>
      <c r="FBD367" s="124"/>
      <c r="FBE367" s="124"/>
      <c r="FBF367" s="124"/>
      <c r="FBG367" s="124"/>
      <c r="FBH367" s="124"/>
      <c r="FBI367" s="124"/>
      <c r="FBJ367" s="124"/>
      <c r="FBK367" s="124"/>
      <c r="FBL367" s="124"/>
      <c r="FBM367" s="124"/>
      <c r="FBN367" s="124"/>
      <c r="FBO367" s="124"/>
      <c r="FBP367" s="124"/>
      <c r="FBQ367" s="124"/>
      <c r="FBR367" s="124"/>
      <c r="FBS367" s="124"/>
      <c r="FBT367" s="124"/>
      <c r="FBU367" s="124"/>
      <c r="FBV367" s="124"/>
      <c r="FBW367" s="124"/>
      <c r="FBX367" s="124"/>
      <c r="FBY367" s="124"/>
      <c r="FBZ367" s="124"/>
      <c r="FCA367" s="124"/>
      <c r="FCB367" s="124"/>
      <c r="FCC367" s="124"/>
      <c r="FCD367" s="124"/>
      <c r="FCE367" s="124"/>
      <c r="FCF367" s="124"/>
      <c r="FCG367" s="124"/>
      <c r="FCH367" s="124"/>
      <c r="FCI367" s="124"/>
      <c r="FCJ367" s="124"/>
      <c r="FCK367" s="124"/>
      <c r="FCL367" s="124"/>
      <c r="FCM367" s="124"/>
      <c r="FCN367" s="124"/>
      <c r="FCO367" s="124"/>
      <c r="FCP367" s="124"/>
      <c r="FCQ367" s="124"/>
      <c r="FCR367" s="124"/>
      <c r="FCS367" s="124"/>
      <c r="FCT367" s="124"/>
      <c r="FCU367" s="124"/>
      <c r="FCV367" s="124"/>
      <c r="FCW367" s="124"/>
      <c r="FCX367" s="124"/>
      <c r="FCY367" s="124"/>
      <c r="FCZ367" s="124"/>
      <c r="FDA367" s="124"/>
      <c r="FDB367" s="124"/>
      <c r="FDC367" s="124"/>
      <c r="FDD367" s="124"/>
      <c r="FDE367" s="124"/>
      <c r="FDF367" s="124"/>
      <c r="FDG367" s="124"/>
      <c r="FDH367" s="124"/>
      <c r="FDI367" s="124"/>
      <c r="FDJ367" s="124"/>
      <c r="FDK367" s="124"/>
      <c r="FDL367" s="124"/>
      <c r="FDM367" s="124"/>
      <c r="FDN367" s="124"/>
      <c r="FDO367" s="124"/>
      <c r="FDP367" s="124"/>
      <c r="FDQ367" s="124"/>
      <c r="FDR367" s="124"/>
      <c r="FDS367" s="124"/>
      <c r="FDT367" s="124"/>
      <c r="FDU367" s="124"/>
      <c r="FDV367" s="124"/>
      <c r="FDW367" s="124"/>
      <c r="FDX367" s="124"/>
      <c r="FDY367" s="124"/>
      <c r="FDZ367" s="124"/>
      <c r="FEA367" s="124"/>
      <c r="FEB367" s="124"/>
      <c r="FEC367" s="124"/>
      <c r="FED367" s="124"/>
      <c r="FEE367" s="124"/>
      <c r="FEF367" s="124"/>
      <c r="FEG367" s="124"/>
      <c r="FEH367" s="124"/>
      <c r="FEI367" s="124"/>
      <c r="FEJ367" s="124"/>
      <c r="FEK367" s="124"/>
      <c r="FEL367" s="124"/>
      <c r="FEM367" s="124"/>
      <c r="FEN367" s="124"/>
      <c r="FEO367" s="124"/>
      <c r="FEP367" s="124"/>
      <c r="FEQ367" s="124"/>
      <c r="FER367" s="124"/>
      <c r="FES367" s="124"/>
      <c r="FET367" s="124"/>
      <c r="FEU367" s="124"/>
      <c r="FEV367" s="124"/>
      <c r="FEW367" s="124"/>
      <c r="FEX367" s="124"/>
      <c r="FEY367" s="124"/>
      <c r="FEZ367" s="124"/>
      <c r="FFA367" s="124"/>
      <c r="FFB367" s="124"/>
      <c r="FFC367" s="124"/>
      <c r="FFD367" s="124"/>
      <c r="FFE367" s="124"/>
      <c r="FFF367" s="124"/>
      <c r="FFG367" s="124"/>
      <c r="FFH367" s="124"/>
      <c r="FFI367" s="124"/>
      <c r="FFJ367" s="124"/>
      <c r="FFK367" s="124"/>
      <c r="FFL367" s="124"/>
      <c r="FFM367" s="124"/>
      <c r="FFN367" s="124"/>
      <c r="FFO367" s="124"/>
      <c r="FFP367" s="124"/>
      <c r="FFQ367" s="124"/>
      <c r="FFR367" s="124"/>
      <c r="FFS367" s="124"/>
      <c r="FFT367" s="124"/>
      <c r="FFU367" s="124"/>
      <c r="FFV367" s="124"/>
      <c r="FFW367" s="124"/>
      <c r="FFX367" s="124"/>
      <c r="FFY367" s="124"/>
      <c r="FFZ367" s="124"/>
      <c r="FGA367" s="124"/>
      <c r="FGB367" s="124"/>
      <c r="FGC367" s="124"/>
      <c r="FGD367" s="124"/>
      <c r="FGE367" s="124"/>
      <c r="FGF367" s="124"/>
      <c r="FGG367" s="124"/>
      <c r="FGH367" s="124"/>
      <c r="FGI367" s="124"/>
      <c r="FGJ367" s="124"/>
      <c r="FGK367" s="124"/>
      <c r="FGL367" s="124"/>
      <c r="FGM367" s="124"/>
      <c r="FGN367" s="124"/>
      <c r="FGO367" s="124"/>
      <c r="FGP367" s="124"/>
      <c r="FGQ367" s="124"/>
      <c r="FGR367" s="124"/>
      <c r="FGS367" s="124"/>
      <c r="FGT367" s="124"/>
      <c r="FGU367" s="124"/>
      <c r="FGV367" s="124"/>
      <c r="FGW367" s="124"/>
      <c r="FGX367" s="124"/>
      <c r="FGY367" s="124"/>
      <c r="FGZ367" s="124"/>
      <c r="FHA367" s="124"/>
      <c r="FHB367" s="124"/>
      <c r="FHC367" s="124"/>
      <c r="FHD367" s="124"/>
      <c r="FHE367" s="124"/>
      <c r="FHF367" s="124"/>
      <c r="FHG367" s="124"/>
      <c r="FHH367" s="124"/>
      <c r="FHI367" s="124"/>
      <c r="FHJ367" s="124"/>
      <c r="FHK367" s="124"/>
      <c r="FHL367" s="124"/>
      <c r="FHM367" s="124"/>
      <c r="FHN367" s="124"/>
      <c r="FHO367" s="124"/>
      <c r="FHP367" s="124"/>
      <c r="FHQ367" s="124"/>
      <c r="FHR367" s="124"/>
      <c r="FHS367" s="124"/>
      <c r="FHT367" s="124"/>
      <c r="FHU367" s="124"/>
      <c r="FHV367" s="124"/>
      <c r="FHW367" s="124"/>
      <c r="FHX367" s="124"/>
      <c r="FHY367" s="124"/>
      <c r="FHZ367" s="124"/>
      <c r="FIA367" s="124"/>
      <c r="FIB367" s="124"/>
      <c r="FIC367" s="124"/>
      <c r="FID367" s="124"/>
      <c r="FIE367" s="124"/>
      <c r="FIF367" s="124"/>
      <c r="FIG367" s="124"/>
      <c r="FIH367" s="124"/>
      <c r="FII367" s="124"/>
      <c r="FIJ367" s="124"/>
      <c r="FIK367" s="124"/>
      <c r="FIL367" s="124"/>
      <c r="FIM367" s="124"/>
      <c r="FIN367" s="124"/>
      <c r="FIO367" s="124"/>
      <c r="FIP367" s="124"/>
      <c r="FIQ367" s="124"/>
      <c r="FIR367" s="124"/>
      <c r="FIS367" s="124"/>
      <c r="FIT367" s="124"/>
      <c r="FIU367" s="124"/>
      <c r="FIV367" s="124"/>
      <c r="FIW367" s="124"/>
      <c r="FIX367" s="124"/>
      <c r="FIY367" s="124"/>
      <c r="FIZ367" s="124"/>
      <c r="FJA367" s="124"/>
      <c r="FJB367" s="124"/>
      <c r="FJC367" s="124"/>
      <c r="FJD367" s="124"/>
      <c r="FJE367" s="124"/>
      <c r="FJF367" s="124"/>
      <c r="FJG367" s="124"/>
      <c r="FJH367" s="124"/>
      <c r="FJI367" s="124"/>
      <c r="FJJ367" s="124"/>
      <c r="FJK367" s="124"/>
      <c r="FJL367" s="124"/>
      <c r="FJM367" s="124"/>
      <c r="FJN367" s="124"/>
      <c r="FJO367" s="124"/>
      <c r="FJP367" s="124"/>
      <c r="FJQ367" s="124"/>
      <c r="FJR367" s="124"/>
      <c r="FJS367" s="124"/>
      <c r="FJT367" s="124"/>
      <c r="FJU367" s="124"/>
      <c r="FJV367" s="124"/>
      <c r="FJW367" s="124"/>
      <c r="FJX367" s="124"/>
      <c r="FJY367" s="124"/>
      <c r="FJZ367" s="124"/>
      <c r="FKA367" s="124"/>
      <c r="FKB367" s="124"/>
      <c r="FKC367" s="124"/>
      <c r="FKD367" s="124"/>
      <c r="FKE367" s="124"/>
      <c r="FKF367" s="124"/>
      <c r="FKG367" s="124"/>
      <c r="FKH367" s="124"/>
      <c r="FKI367" s="124"/>
      <c r="FKJ367" s="124"/>
      <c r="FKK367" s="124"/>
      <c r="FKL367" s="124"/>
      <c r="FKM367" s="124"/>
      <c r="FKN367" s="124"/>
      <c r="FKO367" s="124"/>
      <c r="FKP367" s="124"/>
      <c r="FKQ367" s="124"/>
      <c r="FKR367" s="124"/>
      <c r="FKS367" s="124"/>
      <c r="FKT367" s="124"/>
      <c r="FKU367" s="124"/>
      <c r="FKV367" s="124"/>
      <c r="FKW367" s="124"/>
      <c r="FKX367" s="124"/>
      <c r="FKY367" s="124"/>
      <c r="FKZ367" s="124"/>
      <c r="FLA367" s="124"/>
      <c r="FLB367" s="124"/>
      <c r="FLC367" s="124"/>
      <c r="FLD367" s="124"/>
      <c r="FLE367" s="124"/>
      <c r="FLF367" s="124"/>
      <c r="FLG367" s="124"/>
      <c r="FLH367" s="124"/>
      <c r="FLI367" s="124"/>
      <c r="FLJ367" s="124"/>
      <c r="FLK367" s="124"/>
      <c r="FLL367" s="124"/>
      <c r="FLM367" s="124"/>
      <c r="FLN367" s="124"/>
      <c r="FLO367" s="124"/>
      <c r="FLP367" s="124"/>
      <c r="FLQ367" s="124"/>
      <c r="FLR367" s="124"/>
      <c r="FLS367" s="124"/>
      <c r="FLT367" s="124"/>
      <c r="FLU367" s="124"/>
      <c r="FLV367" s="124"/>
      <c r="FLW367" s="124"/>
      <c r="FLX367" s="124"/>
      <c r="FLY367" s="124"/>
      <c r="FLZ367" s="124"/>
      <c r="FMA367" s="124"/>
      <c r="FMB367" s="124"/>
      <c r="FMC367" s="124"/>
      <c r="FMD367" s="124"/>
      <c r="FME367" s="124"/>
      <c r="FMF367" s="124"/>
      <c r="FMG367" s="124"/>
      <c r="FMH367" s="124"/>
      <c r="FMI367" s="124"/>
      <c r="FMJ367" s="124"/>
      <c r="FMK367" s="124"/>
      <c r="FML367" s="124"/>
      <c r="FMM367" s="124"/>
      <c r="FMN367" s="124"/>
      <c r="FMO367" s="124"/>
      <c r="FMP367" s="124"/>
      <c r="FMQ367" s="124"/>
      <c r="FMR367" s="124"/>
      <c r="FMS367" s="124"/>
      <c r="FMT367" s="124"/>
      <c r="FMU367" s="124"/>
      <c r="FMV367" s="124"/>
      <c r="FMW367" s="124"/>
      <c r="FMX367" s="124"/>
      <c r="FMY367" s="124"/>
      <c r="FMZ367" s="124"/>
      <c r="FNA367" s="124"/>
      <c r="FNB367" s="124"/>
      <c r="FNC367" s="124"/>
      <c r="FND367" s="124"/>
      <c r="FNE367" s="124"/>
      <c r="FNF367" s="124"/>
      <c r="FNG367" s="124"/>
      <c r="FNH367" s="124"/>
      <c r="FNI367" s="124"/>
      <c r="FNJ367" s="124"/>
      <c r="FNK367" s="124"/>
      <c r="FNL367" s="124"/>
      <c r="FNM367" s="124"/>
      <c r="FNN367" s="124"/>
      <c r="FNO367" s="124"/>
      <c r="FNP367" s="124"/>
      <c r="FNQ367" s="124"/>
      <c r="FNR367" s="124"/>
      <c r="FNS367" s="124"/>
      <c r="FNT367" s="124"/>
      <c r="FNU367" s="124"/>
      <c r="FNV367" s="124"/>
      <c r="FNW367" s="124"/>
      <c r="FNX367" s="124"/>
      <c r="FNY367" s="124"/>
      <c r="FNZ367" s="124"/>
      <c r="FOA367" s="124"/>
      <c r="FOB367" s="124"/>
      <c r="FOC367" s="124"/>
      <c r="FOD367" s="124"/>
      <c r="FOE367" s="124"/>
      <c r="FOF367" s="124"/>
      <c r="FOG367" s="124"/>
      <c r="FOH367" s="124"/>
      <c r="FOI367" s="124"/>
      <c r="FOJ367" s="124"/>
      <c r="FOK367" s="124"/>
      <c r="FOL367" s="124"/>
      <c r="FOM367" s="124"/>
      <c r="FON367" s="124"/>
      <c r="FOO367" s="124"/>
      <c r="FOP367" s="124"/>
      <c r="FOQ367" s="124"/>
      <c r="FOR367" s="124"/>
      <c r="FOS367" s="124"/>
      <c r="FOT367" s="124"/>
      <c r="FOU367" s="124"/>
      <c r="FOV367" s="124"/>
      <c r="FOW367" s="124"/>
      <c r="FOX367" s="124"/>
      <c r="FOY367" s="124"/>
      <c r="FOZ367" s="124"/>
      <c r="FPA367" s="124"/>
      <c r="FPB367" s="124"/>
      <c r="FPC367" s="124"/>
      <c r="FPD367" s="124"/>
      <c r="FPE367" s="124"/>
      <c r="FPF367" s="124"/>
      <c r="FPG367" s="124"/>
      <c r="FPH367" s="124"/>
      <c r="FPI367" s="124"/>
      <c r="FPJ367" s="124"/>
      <c r="FPK367" s="124"/>
      <c r="FPL367" s="124"/>
      <c r="FPM367" s="124"/>
      <c r="FPN367" s="124"/>
      <c r="FPO367" s="124"/>
      <c r="FPP367" s="124"/>
      <c r="FPQ367" s="124"/>
      <c r="FPR367" s="124"/>
      <c r="FPS367" s="124"/>
      <c r="FPT367" s="124"/>
      <c r="FPU367" s="124"/>
      <c r="FPV367" s="124"/>
      <c r="FPW367" s="124"/>
      <c r="FPX367" s="124"/>
      <c r="FPY367" s="124"/>
      <c r="FPZ367" s="124"/>
      <c r="FQA367" s="124"/>
      <c r="FQB367" s="124"/>
      <c r="FQC367" s="124"/>
      <c r="FQD367" s="124"/>
      <c r="FQE367" s="124"/>
      <c r="FQF367" s="124"/>
      <c r="FQG367" s="124"/>
      <c r="FQH367" s="124"/>
      <c r="FQI367" s="124"/>
      <c r="FQJ367" s="124"/>
      <c r="FQK367" s="124"/>
      <c r="FQL367" s="124"/>
      <c r="FQM367" s="124"/>
      <c r="FQN367" s="124"/>
      <c r="FQO367" s="124"/>
      <c r="FQP367" s="124"/>
      <c r="FQQ367" s="124"/>
      <c r="FQR367" s="124"/>
      <c r="FQS367" s="124"/>
      <c r="FQT367" s="124"/>
      <c r="FQU367" s="124"/>
      <c r="FQV367" s="124"/>
      <c r="FQW367" s="124"/>
      <c r="FQX367" s="124"/>
      <c r="FQY367" s="124"/>
      <c r="FQZ367" s="124"/>
      <c r="FRA367" s="124"/>
      <c r="FRB367" s="124"/>
      <c r="FRC367" s="124"/>
      <c r="FRD367" s="124"/>
      <c r="FRE367" s="124"/>
      <c r="FRF367" s="124"/>
      <c r="FRG367" s="124"/>
      <c r="FRH367" s="124"/>
      <c r="FRI367" s="124"/>
      <c r="FRJ367" s="124"/>
      <c r="FRK367" s="124"/>
      <c r="FRL367" s="124"/>
      <c r="FRM367" s="124"/>
      <c r="FRN367" s="124"/>
      <c r="FRO367" s="124"/>
      <c r="FRP367" s="124"/>
      <c r="FRQ367" s="124"/>
      <c r="FRR367" s="124"/>
      <c r="FRS367" s="124"/>
      <c r="FRT367" s="124"/>
      <c r="FRU367" s="124"/>
      <c r="FRV367" s="124"/>
      <c r="FRW367" s="124"/>
      <c r="FRX367" s="124"/>
      <c r="FRY367" s="124"/>
      <c r="FRZ367" s="124"/>
      <c r="FSA367" s="124"/>
      <c r="FSB367" s="124"/>
      <c r="FSC367" s="124"/>
      <c r="FSD367" s="124"/>
      <c r="FSE367" s="124"/>
      <c r="FSF367" s="124"/>
      <c r="FSG367" s="124"/>
      <c r="FSH367" s="124"/>
      <c r="FSI367" s="124"/>
      <c r="FSJ367" s="124"/>
      <c r="FSK367" s="124"/>
      <c r="FSL367" s="124"/>
      <c r="FSM367" s="124"/>
      <c r="FSN367" s="124"/>
      <c r="FSO367" s="124"/>
      <c r="FSP367" s="124"/>
      <c r="FSQ367" s="124"/>
      <c r="FSR367" s="124"/>
      <c r="FSS367" s="124"/>
      <c r="FST367" s="124"/>
      <c r="FSU367" s="124"/>
      <c r="FSV367" s="124"/>
      <c r="FSW367" s="124"/>
      <c r="FSX367" s="124"/>
      <c r="FSY367" s="124"/>
      <c r="FSZ367" s="124"/>
      <c r="FTA367" s="124"/>
      <c r="FTB367" s="124"/>
      <c r="FTC367" s="124"/>
      <c r="FTD367" s="124"/>
      <c r="FTE367" s="124"/>
      <c r="FTF367" s="124"/>
      <c r="FTG367" s="124"/>
      <c r="FTH367" s="124"/>
      <c r="FTI367" s="124"/>
      <c r="FTJ367" s="124"/>
      <c r="FTK367" s="124"/>
      <c r="FTL367" s="124"/>
      <c r="FTM367" s="124"/>
      <c r="FTN367" s="124"/>
      <c r="FTO367" s="124"/>
      <c r="FTP367" s="124"/>
      <c r="FTQ367" s="124"/>
      <c r="FTR367" s="124"/>
      <c r="FTS367" s="124"/>
      <c r="FTT367" s="124"/>
      <c r="FTU367" s="124"/>
      <c r="FTV367" s="124"/>
      <c r="FTW367" s="124"/>
      <c r="FTX367" s="124"/>
      <c r="FTY367" s="124"/>
      <c r="FTZ367" s="124"/>
      <c r="FUA367" s="124"/>
      <c r="FUB367" s="124"/>
      <c r="FUC367" s="124"/>
      <c r="FUD367" s="124"/>
      <c r="FUE367" s="124"/>
      <c r="FUF367" s="124"/>
      <c r="FUG367" s="124"/>
      <c r="FUH367" s="124"/>
      <c r="FUI367" s="124"/>
      <c r="FUJ367" s="124"/>
      <c r="FUK367" s="124"/>
      <c r="FUL367" s="124"/>
      <c r="FUM367" s="124"/>
      <c r="FUN367" s="124"/>
      <c r="FUO367" s="124"/>
      <c r="FUP367" s="124"/>
      <c r="FUQ367" s="124"/>
      <c r="FUR367" s="124"/>
      <c r="FUS367" s="124"/>
      <c r="FUT367" s="124"/>
      <c r="FUU367" s="124"/>
      <c r="FUV367" s="124"/>
      <c r="FUW367" s="124"/>
      <c r="FUX367" s="124"/>
      <c r="FUY367" s="124"/>
      <c r="FUZ367" s="124"/>
      <c r="FVA367" s="124"/>
      <c r="FVB367" s="124"/>
      <c r="FVC367" s="124"/>
      <c r="FVD367" s="124"/>
      <c r="FVE367" s="124"/>
      <c r="FVF367" s="124"/>
      <c r="FVG367" s="124"/>
      <c r="FVH367" s="124"/>
      <c r="FVI367" s="124"/>
      <c r="FVJ367" s="124"/>
      <c r="FVK367" s="124"/>
      <c r="FVL367" s="124"/>
      <c r="FVM367" s="124"/>
      <c r="FVN367" s="124"/>
      <c r="FVO367" s="124"/>
      <c r="FVP367" s="124"/>
      <c r="FVQ367" s="124"/>
      <c r="FVR367" s="124"/>
      <c r="FVS367" s="124"/>
      <c r="FVT367" s="124"/>
      <c r="FVU367" s="124"/>
      <c r="FVV367" s="124"/>
      <c r="FVW367" s="124"/>
      <c r="FVX367" s="124"/>
      <c r="FVY367" s="124"/>
      <c r="FVZ367" s="124"/>
      <c r="FWA367" s="124"/>
      <c r="FWB367" s="124"/>
      <c r="FWC367" s="124"/>
      <c r="FWD367" s="124"/>
      <c r="FWE367" s="124"/>
      <c r="FWF367" s="124"/>
      <c r="FWG367" s="124"/>
      <c r="FWH367" s="124"/>
      <c r="FWI367" s="124"/>
      <c r="FWJ367" s="124"/>
      <c r="FWK367" s="124"/>
      <c r="FWL367" s="124"/>
      <c r="FWM367" s="124"/>
      <c r="FWN367" s="124"/>
      <c r="FWO367" s="124"/>
      <c r="FWP367" s="124"/>
      <c r="FWQ367" s="124"/>
      <c r="FWR367" s="124"/>
      <c r="FWS367" s="124"/>
      <c r="FWT367" s="124"/>
      <c r="FWU367" s="124"/>
      <c r="FWV367" s="124"/>
      <c r="FWW367" s="124"/>
      <c r="FWX367" s="124"/>
      <c r="FWY367" s="124"/>
      <c r="FWZ367" s="124"/>
      <c r="FXA367" s="124"/>
      <c r="FXB367" s="124"/>
      <c r="FXC367" s="124"/>
      <c r="FXD367" s="124"/>
      <c r="FXE367" s="124"/>
      <c r="FXF367" s="124"/>
      <c r="FXG367" s="124"/>
      <c r="FXH367" s="124"/>
      <c r="FXI367" s="124"/>
      <c r="FXJ367" s="124"/>
      <c r="FXK367" s="124"/>
      <c r="FXL367" s="124"/>
      <c r="FXM367" s="124"/>
      <c r="FXN367" s="124"/>
      <c r="FXO367" s="124"/>
      <c r="FXP367" s="124"/>
      <c r="FXQ367" s="124"/>
      <c r="FXR367" s="124"/>
      <c r="FXS367" s="124"/>
      <c r="FXT367" s="124"/>
      <c r="FXU367" s="124"/>
      <c r="FXV367" s="124"/>
      <c r="FXW367" s="124"/>
      <c r="FXX367" s="124"/>
      <c r="FXY367" s="124"/>
      <c r="FXZ367" s="124"/>
      <c r="FYA367" s="124"/>
      <c r="FYB367" s="124"/>
      <c r="FYC367" s="124"/>
      <c r="FYD367" s="124"/>
      <c r="FYE367" s="124"/>
      <c r="FYF367" s="124"/>
      <c r="FYG367" s="124"/>
      <c r="FYH367" s="124"/>
      <c r="FYI367" s="124"/>
      <c r="FYJ367" s="124"/>
      <c r="FYK367" s="124"/>
      <c r="FYL367" s="124"/>
      <c r="FYM367" s="124"/>
      <c r="FYN367" s="124"/>
      <c r="FYO367" s="124"/>
      <c r="FYP367" s="124"/>
      <c r="FYQ367" s="124"/>
      <c r="FYR367" s="124"/>
      <c r="FYS367" s="124"/>
      <c r="FYT367" s="124"/>
      <c r="FYU367" s="124"/>
      <c r="FYV367" s="124"/>
      <c r="FYW367" s="124"/>
      <c r="FYX367" s="124"/>
      <c r="FYY367" s="124"/>
      <c r="FYZ367" s="124"/>
      <c r="FZA367" s="124"/>
      <c r="FZB367" s="124"/>
      <c r="FZC367" s="124"/>
      <c r="FZD367" s="124"/>
      <c r="FZE367" s="124"/>
      <c r="FZF367" s="124"/>
      <c r="FZG367" s="124"/>
      <c r="FZH367" s="124"/>
      <c r="FZI367" s="124"/>
      <c r="FZJ367" s="124"/>
      <c r="FZK367" s="124"/>
      <c r="FZL367" s="124"/>
      <c r="FZM367" s="124"/>
      <c r="FZN367" s="124"/>
      <c r="FZO367" s="124"/>
      <c r="FZP367" s="124"/>
      <c r="FZQ367" s="124"/>
      <c r="FZR367" s="124"/>
      <c r="FZS367" s="124"/>
      <c r="FZT367" s="124"/>
      <c r="FZU367" s="124"/>
      <c r="FZV367" s="124"/>
      <c r="FZW367" s="124"/>
      <c r="FZX367" s="124"/>
      <c r="FZY367" s="124"/>
      <c r="FZZ367" s="124"/>
      <c r="GAA367" s="124"/>
      <c r="GAB367" s="124"/>
      <c r="GAC367" s="124"/>
      <c r="GAD367" s="124"/>
      <c r="GAE367" s="124"/>
      <c r="GAF367" s="124"/>
      <c r="GAG367" s="124"/>
      <c r="GAH367" s="124"/>
      <c r="GAI367" s="124"/>
      <c r="GAJ367" s="124"/>
      <c r="GAK367" s="124"/>
      <c r="GAL367" s="124"/>
      <c r="GAM367" s="124"/>
      <c r="GAN367" s="124"/>
      <c r="GAO367" s="124"/>
      <c r="GAP367" s="124"/>
      <c r="GAQ367" s="124"/>
      <c r="GAR367" s="124"/>
      <c r="GAS367" s="124"/>
      <c r="GAT367" s="124"/>
      <c r="GAU367" s="124"/>
      <c r="GAV367" s="124"/>
      <c r="GAW367" s="124"/>
      <c r="GAX367" s="124"/>
      <c r="GAY367" s="124"/>
      <c r="GAZ367" s="124"/>
      <c r="GBA367" s="124"/>
      <c r="GBB367" s="124"/>
      <c r="GBC367" s="124"/>
      <c r="GBD367" s="124"/>
      <c r="GBE367" s="124"/>
      <c r="GBF367" s="124"/>
      <c r="GBG367" s="124"/>
      <c r="GBH367" s="124"/>
      <c r="GBI367" s="124"/>
      <c r="GBJ367" s="124"/>
      <c r="GBK367" s="124"/>
      <c r="GBL367" s="124"/>
      <c r="GBM367" s="124"/>
      <c r="GBN367" s="124"/>
      <c r="GBO367" s="124"/>
      <c r="GBP367" s="124"/>
      <c r="GBQ367" s="124"/>
      <c r="GBR367" s="124"/>
      <c r="GBS367" s="124"/>
      <c r="GBT367" s="124"/>
      <c r="GBU367" s="124"/>
      <c r="GBV367" s="124"/>
      <c r="GBW367" s="124"/>
      <c r="GBX367" s="124"/>
      <c r="GBY367" s="124"/>
      <c r="GBZ367" s="124"/>
      <c r="GCA367" s="124"/>
      <c r="GCB367" s="124"/>
      <c r="GCC367" s="124"/>
      <c r="GCD367" s="124"/>
      <c r="GCE367" s="124"/>
      <c r="GCF367" s="124"/>
      <c r="GCG367" s="124"/>
      <c r="GCH367" s="124"/>
      <c r="GCI367" s="124"/>
      <c r="GCJ367" s="124"/>
      <c r="GCK367" s="124"/>
      <c r="GCL367" s="124"/>
      <c r="GCM367" s="124"/>
      <c r="GCN367" s="124"/>
      <c r="GCO367" s="124"/>
      <c r="GCP367" s="124"/>
      <c r="GCQ367" s="124"/>
      <c r="GCR367" s="124"/>
      <c r="GCS367" s="124"/>
      <c r="GCT367" s="124"/>
      <c r="GCU367" s="124"/>
      <c r="GCV367" s="124"/>
      <c r="GCW367" s="124"/>
      <c r="GCX367" s="124"/>
      <c r="GCY367" s="124"/>
      <c r="GCZ367" s="124"/>
      <c r="GDA367" s="124"/>
      <c r="GDB367" s="124"/>
      <c r="GDC367" s="124"/>
      <c r="GDD367" s="124"/>
      <c r="GDE367" s="124"/>
      <c r="GDF367" s="124"/>
      <c r="GDG367" s="124"/>
      <c r="GDH367" s="124"/>
      <c r="GDI367" s="124"/>
      <c r="GDJ367" s="124"/>
      <c r="GDK367" s="124"/>
      <c r="GDL367" s="124"/>
      <c r="GDM367" s="124"/>
      <c r="GDN367" s="124"/>
      <c r="GDO367" s="124"/>
      <c r="GDP367" s="124"/>
      <c r="GDQ367" s="124"/>
      <c r="GDR367" s="124"/>
      <c r="GDS367" s="124"/>
      <c r="GDT367" s="124"/>
      <c r="GDU367" s="124"/>
      <c r="GDV367" s="124"/>
      <c r="GDW367" s="124"/>
      <c r="GDX367" s="124"/>
      <c r="GDY367" s="124"/>
      <c r="GDZ367" s="124"/>
      <c r="GEA367" s="124"/>
      <c r="GEB367" s="124"/>
      <c r="GEC367" s="124"/>
      <c r="GED367" s="124"/>
      <c r="GEE367" s="124"/>
      <c r="GEF367" s="124"/>
      <c r="GEG367" s="124"/>
      <c r="GEH367" s="124"/>
      <c r="GEI367" s="124"/>
      <c r="GEJ367" s="124"/>
      <c r="GEK367" s="124"/>
      <c r="GEL367" s="124"/>
      <c r="GEM367" s="124"/>
      <c r="GEN367" s="124"/>
      <c r="GEO367" s="124"/>
      <c r="GEP367" s="124"/>
      <c r="GEQ367" s="124"/>
      <c r="GER367" s="124"/>
      <c r="GES367" s="124"/>
      <c r="GET367" s="124"/>
      <c r="GEU367" s="124"/>
      <c r="GEV367" s="124"/>
      <c r="GEW367" s="124"/>
      <c r="GEX367" s="124"/>
      <c r="GEY367" s="124"/>
      <c r="GEZ367" s="124"/>
      <c r="GFA367" s="124"/>
      <c r="GFB367" s="124"/>
      <c r="GFC367" s="124"/>
      <c r="GFD367" s="124"/>
      <c r="GFE367" s="124"/>
      <c r="GFF367" s="124"/>
      <c r="GFG367" s="124"/>
      <c r="GFH367" s="124"/>
      <c r="GFI367" s="124"/>
      <c r="GFJ367" s="124"/>
      <c r="GFK367" s="124"/>
      <c r="GFL367" s="124"/>
      <c r="GFM367" s="124"/>
      <c r="GFN367" s="124"/>
      <c r="GFO367" s="124"/>
      <c r="GFP367" s="124"/>
      <c r="GFQ367" s="124"/>
      <c r="GFR367" s="124"/>
      <c r="GFS367" s="124"/>
      <c r="GFT367" s="124"/>
      <c r="GFU367" s="124"/>
      <c r="GFV367" s="124"/>
      <c r="GFW367" s="124"/>
      <c r="GFX367" s="124"/>
      <c r="GFY367" s="124"/>
      <c r="GFZ367" s="124"/>
      <c r="GGA367" s="124"/>
      <c r="GGB367" s="124"/>
      <c r="GGC367" s="124"/>
      <c r="GGD367" s="124"/>
      <c r="GGE367" s="124"/>
      <c r="GGF367" s="124"/>
      <c r="GGG367" s="124"/>
      <c r="GGH367" s="124"/>
      <c r="GGI367" s="124"/>
      <c r="GGJ367" s="124"/>
      <c r="GGK367" s="124"/>
      <c r="GGL367" s="124"/>
      <c r="GGM367" s="124"/>
      <c r="GGN367" s="124"/>
      <c r="GGO367" s="124"/>
      <c r="GGP367" s="124"/>
      <c r="GGQ367" s="124"/>
      <c r="GGR367" s="124"/>
      <c r="GGS367" s="124"/>
      <c r="GGT367" s="124"/>
      <c r="GGU367" s="124"/>
      <c r="GGV367" s="124"/>
      <c r="GGW367" s="124"/>
      <c r="GGX367" s="124"/>
      <c r="GGY367" s="124"/>
      <c r="GGZ367" s="124"/>
      <c r="GHA367" s="124"/>
      <c r="GHB367" s="124"/>
      <c r="GHC367" s="124"/>
      <c r="GHD367" s="124"/>
      <c r="GHE367" s="124"/>
      <c r="GHF367" s="124"/>
      <c r="GHG367" s="124"/>
      <c r="GHH367" s="124"/>
      <c r="GHI367" s="124"/>
      <c r="GHJ367" s="124"/>
      <c r="GHK367" s="124"/>
      <c r="GHL367" s="124"/>
      <c r="GHM367" s="124"/>
      <c r="GHN367" s="124"/>
      <c r="GHO367" s="124"/>
      <c r="GHP367" s="124"/>
      <c r="GHQ367" s="124"/>
      <c r="GHR367" s="124"/>
      <c r="GHS367" s="124"/>
      <c r="GHT367" s="124"/>
      <c r="GHU367" s="124"/>
      <c r="GHV367" s="124"/>
      <c r="GHW367" s="124"/>
      <c r="GHX367" s="124"/>
      <c r="GHY367" s="124"/>
      <c r="GHZ367" s="124"/>
      <c r="GIA367" s="124"/>
      <c r="GIB367" s="124"/>
      <c r="GIC367" s="124"/>
      <c r="GID367" s="124"/>
      <c r="GIE367" s="124"/>
      <c r="GIF367" s="124"/>
      <c r="GIG367" s="124"/>
      <c r="GIH367" s="124"/>
      <c r="GII367" s="124"/>
      <c r="GIJ367" s="124"/>
      <c r="GIK367" s="124"/>
      <c r="GIL367" s="124"/>
      <c r="GIM367" s="124"/>
      <c r="GIN367" s="124"/>
      <c r="GIO367" s="124"/>
      <c r="GIP367" s="124"/>
      <c r="GIQ367" s="124"/>
      <c r="GIR367" s="124"/>
      <c r="GIS367" s="124"/>
      <c r="GIT367" s="124"/>
      <c r="GIU367" s="124"/>
      <c r="GIV367" s="124"/>
      <c r="GIW367" s="124"/>
      <c r="GIX367" s="124"/>
      <c r="GIY367" s="124"/>
      <c r="GIZ367" s="124"/>
      <c r="GJA367" s="124"/>
      <c r="GJB367" s="124"/>
      <c r="GJC367" s="124"/>
      <c r="GJD367" s="124"/>
      <c r="GJE367" s="124"/>
      <c r="GJF367" s="124"/>
      <c r="GJG367" s="124"/>
      <c r="GJH367" s="124"/>
      <c r="GJI367" s="124"/>
      <c r="GJJ367" s="124"/>
      <c r="GJK367" s="124"/>
      <c r="GJL367" s="124"/>
      <c r="GJM367" s="124"/>
      <c r="GJN367" s="124"/>
      <c r="GJO367" s="124"/>
      <c r="GJP367" s="124"/>
      <c r="GJQ367" s="124"/>
      <c r="GJR367" s="124"/>
      <c r="GJS367" s="124"/>
      <c r="GJT367" s="124"/>
      <c r="GJU367" s="124"/>
      <c r="GJV367" s="124"/>
      <c r="GJW367" s="124"/>
      <c r="GJX367" s="124"/>
      <c r="GJY367" s="124"/>
      <c r="GJZ367" s="124"/>
      <c r="GKA367" s="124"/>
      <c r="GKB367" s="124"/>
      <c r="GKC367" s="124"/>
      <c r="GKD367" s="124"/>
      <c r="GKE367" s="124"/>
      <c r="GKF367" s="124"/>
      <c r="GKG367" s="124"/>
      <c r="GKH367" s="124"/>
      <c r="GKI367" s="124"/>
      <c r="GKJ367" s="124"/>
      <c r="GKK367" s="124"/>
      <c r="GKL367" s="124"/>
      <c r="GKM367" s="124"/>
      <c r="GKN367" s="124"/>
      <c r="GKO367" s="124"/>
      <c r="GKP367" s="124"/>
      <c r="GKQ367" s="124"/>
      <c r="GKR367" s="124"/>
      <c r="GKS367" s="124"/>
      <c r="GKT367" s="124"/>
      <c r="GKU367" s="124"/>
      <c r="GKV367" s="124"/>
      <c r="GKW367" s="124"/>
      <c r="GKX367" s="124"/>
      <c r="GKY367" s="124"/>
      <c r="GKZ367" s="124"/>
      <c r="GLA367" s="124"/>
      <c r="GLB367" s="124"/>
      <c r="GLC367" s="124"/>
      <c r="GLD367" s="124"/>
      <c r="GLE367" s="124"/>
      <c r="GLF367" s="124"/>
      <c r="GLG367" s="124"/>
      <c r="GLH367" s="124"/>
      <c r="GLI367" s="124"/>
      <c r="GLJ367" s="124"/>
      <c r="GLK367" s="124"/>
      <c r="GLL367" s="124"/>
      <c r="GLM367" s="124"/>
      <c r="GLN367" s="124"/>
      <c r="GLO367" s="124"/>
      <c r="GLP367" s="124"/>
      <c r="GLQ367" s="124"/>
      <c r="GLR367" s="124"/>
      <c r="GLS367" s="124"/>
      <c r="GLT367" s="124"/>
      <c r="GLU367" s="124"/>
      <c r="GLV367" s="124"/>
      <c r="GLW367" s="124"/>
      <c r="GLX367" s="124"/>
      <c r="GLY367" s="124"/>
      <c r="GLZ367" s="124"/>
      <c r="GMA367" s="124"/>
      <c r="GMB367" s="124"/>
      <c r="GMC367" s="124"/>
      <c r="GMD367" s="124"/>
      <c r="GME367" s="124"/>
      <c r="GMF367" s="124"/>
      <c r="GMG367" s="124"/>
      <c r="GMH367" s="124"/>
      <c r="GMI367" s="124"/>
      <c r="GMJ367" s="124"/>
      <c r="GMK367" s="124"/>
      <c r="GML367" s="124"/>
      <c r="GMM367" s="124"/>
      <c r="GMN367" s="124"/>
      <c r="GMO367" s="124"/>
      <c r="GMP367" s="124"/>
      <c r="GMQ367" s="124"/>
      <c r="GMR367" s="124"/>
      <c r="GMS367" s="124"/>
      <c r="GMT367" s="124"/>
      <c r="GMU367" s="124"/>
      <c r="GMV367" s="124"/>
      <c r="GMW367" s="124"/>
      <c r="GMX367" s="124"/>
      <c r="GMY367" s="124"/>
      <c r="GMZ367" s="124"/>
      <c r="GNA367" s="124"/>
      <c r="GNB367" s="124"/>
      <c r="GNC367" s="124"/>
      <c r="GND367" s="124"/>
      <c r="GNE367" s="124"/>
      <c r="GNF367" s="124"/>
      <c r="GNG367" s="124"/>
      <c r="GNH367" s="124"/>
      <c r="GNI367" s="124"/>
      <c r="GNJ367" s="124"/>
      <c r="GNK367" s="124"/>
      <c r="GNL367" s="124"/>
      <c r="GNM367" s="124"/>
      <c r="GNN367" s="124"/>
      <c r="GNO367" s="124"/>
      <c r="GNP367" s="124"/>
      <c r="GNQ367" s="124"/>
      <c r="GNR367" s="124"/>
      <c r="GNS367" s="124"/>
      <c r="GNT367" s="124"/>
      <c r="GNU367" s="124"/>
      <c r="GNV367" s="124"/>
      <c r="GNW367" s="124"/>
      <c r="GNX367" s="124"/>
      <c r="GNY367" s="124"/>
      <c r="GNZ367" s="124"/>
      <c r="GOA367" s="124"/>
      <c r="GOB367" s="124"/>
      <c r="GOC367" s="124"/>
      <c r="GOD367" s="124"/>
      <c r="GOE367" s="124"/>
      <c r="GOF367" s="124"/>
      <c r="GOG367" s="124"/>
      <c r="GOH367" s="124"/>
      <c r="GOI367" s="124"/>
      <c r="GOJ367" s="124"/>
      <c r="GOK367" s="124"/>
      <c r="GOL367" s="124"/>
      <c r="GOM367" s="124"/>
      <c r="GON367" s="124"/>
      <c r="GOO367" s="124"/>
      <c r="GOP367" s="124"/>
      <c r="GOQ367" s="124"/>
      <c r="GOR367" s="124"/>
      <c r="GOS367" s="124"/>
      <c r="GOT367" s="124"/>
      <c r="GOU367" s="124"/>
      <c r="GOV367" s="124"/>
      <c r="GOW367" s="124"/>
      <c r="GOX367" s="124"/>
      <c r="GOY367" s="124"/>
      <c r="GOZ367" s="124"/>
      <c r="GPA367" s="124"/>
      <c r="GPB367" s="124"/>
      <c r="GPC367" s="124"/>
      <c r="GPD367" s="124"/>
      <c r="GPE367" s="124"/>
      <c r="GPF367" s="124"/>
      <c r="GPG367" s="124"/>
      <c r="GPH367" s="124"/>
      <c r="GPI367" s="124"/>
      <c r="GPJ367" s="124"/>
      <c r="GPK367" s="124"/>
      <c r="GPL367" s="124"/>
      <c r="GPM367" s="124"/>
      <c r="GPN367" s="124"/>
      <c r="GPO367" s="124"/>
      <c r="GPP367" s="124"/>
      <c r="GPQ367" s="124"/>
      <c r="GPR367" s="124"/>
      <c r="GPS367" s="124"/>
      <c r="GPT367" s="124"/>
      <c r="GPU367" s="124"/>
      <c r="GPV367" s="124"/>
      <c r="GPW367" s="124"/>
      <c r="GPX367" s="124"/>
      <c r="GPY367" s="124"/>
      <c r="GPZ367" s="124"/>
      <c r="GQA367" s="124"/>
      <c r="GQB367" s="124"/>
      <c r="GQC367" s="124"/>
      <c r="GQD367" s="124"/>
      <c r="GQE367" s="124"/>
      <c r="GQF367" s="124"/>
      <c r="GQG367" s="124"/>
      <c r="GQH367" s="124"/>
      <c r="GQI367" s="124"/>
      <c r="GQJ367" s="124"/>
      <c r="GQK367" s="124"/>
      <c r="GQL367" s="124"/>
      <c r="GQM367" s="124"/>
      <c r="GQN367" s="124"/>
      <c r="GQO367" s="124"/>
      <c r="GQP367" s="124"/>
      <c r="GQQ367" s="124"/>
      <c r="GQR367" s="124"/>
      <c r="GQS367" s="124"/>
      <c r="GQT367" s="124"/>
      <c r="GQU367" s="124"/>
      <c r="GQV367" s="124"/>
      <c r="GQW367" s="124"/>
      <c r="GQX367" s="124"/>
      <c r="GQY367" s="124"/>
      <c r="GQZ367" s="124"/>
      <c r="GRA367" s="124"/>
      <c r="GRB367" s="124"/>
      <c r="GRC367" s="124"/>
      <c r="GRD367" s="124"/>
      <c r="GRE367" s="124"/>
      <c r="GRF367" s="124"/>
      <c r="GRG367" s="124"/>
      <c r="GRH367" s="124"/>
      <c r="GRI367" s="124"/>
      <c r="GRJ367" s="124"/>
      <c r="GRK367" s="124"/>
      <c r="GRL367" s="124"/>
      <c r="GRM367" s="124"/>
      <c r="GRN367" s="124"/>
      <c r="GRO367" s="124"/>
      <c r="GRP367" s="124"/>
      <c r="GRQ367" s="124"/>
      <c r="GRR367" s="124"/>
      <c r="GRS367" s="124"/>
      <c r="GRT367" s="124"/>
      <c r="GRU367" s="124"/>
      <c r="GRV367" s="124"/>
      <c r="GRW367" s="124"/>
      <c r="GRX367" s="124"/>
      <c r="GRY367" s="124"/>
      <c r="GRZ367" s="124"/>
      <c r="GSA367" s="124"/>
      <c r="GSB367" s="124"/>
      <c r="GSC367" s="124"/>
      <c r="GSD367" s="124"/>
      <c r="GSE367" s="124"/>
      <c r="GSF367" s="124"/>
      <c r="GSG367" s="124"/>
      <c r="GSH367" s="124"/>
      <c r="GSI367" s="124"/>
      <c r="GSJ367" s="124"/>
      <c r="GSK367" s="124"/>
      <c r="GSL367" s="124"/>
      <c r="GSM367" s="124"/>
      <c r="GSN367" s="124"/>
      <c r="GSO367" s="124"/>
      <c r="GSP367" s="124"/>
      <c r="GSQ367" s="124"/>
      <c r="GSR367" s="124"/>
      <c r="GSS367" s="124"/>
      <c r="GST367" s="124"/>
      <c r="GSU367" s="124"/>
      <c r="GSV367" s="124"/>
      <c r="GSW367" s="124"/>
      <c r="GSX367" s="124"/>
      <c r="GSY367" s="124"/>
      <c r="GSZ367" s="124"/>
      <c r="GTA367" s="124"/>
      <c r="GTB367" s="124"/>
      <c r="GTC367" s="124"/>
      <c r="GTD367" s="124"/>
      <c r="GTE367" s="124"/>
      <c r="GTF367" s="124"/>
      <c r="GTG367" s="124"/>
      <c r="GTH367" s="124"/>
      <c r="GTI367" s="124"/>
      <c r="GTJ367" s="124"/>
      <c r="GTK367" s="124"/>
      <c r="GTL367" s="124"/>
      <c r="GTM367" s="124"/>
      <c r="GTN367" s="124"/>
      <c r="GTO367" s="124"/>
      <c r="GTP367" s="124"/>
      <c r="GTQ367" s="124"/>
      <c r="GTR367" s="124"/>
      <c r="GTS367" s="124"/>
      <c r="GTT367" s="124"/>
      <c r="GTU367" s="124"/>
      <c r="GTV367" s="124"/>
      <c r="GTW367" s="124"/>
      <c r="GTX367" s="124"/>
      <c r="GTY367" s="124"/>
      <c r="GTZ367" s="124"/>
      <c r="GUA367" s="124"/>
      <c r="GUB367" s="124"/>
      <c r="GUC367" s="124"/>
      <c r="GUD367" s="124"/>
      <c r="GUE367" s="124"/>
      <c r="GUF367" s="124"/>
      <c r="GUG367" s="124"/>
      <c r="GUH367" s="124"/>
      <c r="GUI367" s="124"/>
      <c r="GUJ367" s="124"/>
      <c r="GUK367" s="124"/>
      <c r="GUL367" s="124"/>
      <c r="GUM367" s="124"/>
      <c r="GUN367" s="124"/>
      <c r="GUO367" s="124"/>
      <c r="GUP367" s="124"/>
      <c r="GUQ367" s="124"/>
      <c r="GUR367" s="124"/>
      <c r="GUS367" s="124"/>
      <c r="GUT367" s="124"/>
      <c r="GUU367" s="124"/>
      <c r="GUV367" s="124"/>
      <c r="GUW367" s="124"/>
      <c r="GUX367" s="124"/>
      <c r="GUY367" s="124"/>
      <c r="GUZ367" s="124"/>
      <c r="GVA367" s="124"/>
      <c r="GVB367" s="124"/>
      <c r="GVC367" s="124"/>
      <c r="GVD367" s="124"/>
      <c r="GVE367" s="124"/>
      <c r="GVF367" s="124"/>
      <c r="GVG367" s="124"/>
      <c r="GVH367" s="124"/>
      <c r="GVI367" s="124"/>
      <c r="GVJ367" s="124"/>
      <c r="GVK367" s="124"/>
      <c r="GVL367" s="124"/>
      <c r="GVM367" s="124"/>
      <c r="GVN367" s="124"/>
      <c r="GVO367" s="124"/>
      <c r="GVP367" s="124"/>
      <c r="GVQ367" s="124"/>
      <c r="GVR367" s="124"/>
      <c r="GVS367" s="124"/>
      <c r="GVT367" s="124"/>
      <c r="GVU367" s="124"/>
      <c r="GVV367" s="124"/>
      <c r="GVW367" s="124"/>
      <c r="GVX367" s="124"/>
      <c r="GVY367" s="124"/>
      <c r="GVZ367" s="124"/>
      <c r="GWA367" s="124"/>
      <c r="GWB367" s="124"/>
      <c r="GWC367" s="124"/>
      <c r="GWD367" s="124"/>
      <c r="GWE367" s="124"/>
      <c r="GWF367" s="124"/>
      <c r="GWG367" s="124"/>
      <c r="GWH367" s="124"/>
      <c r="GWI367" s="124"/>
      <c r="GWJ367" s="124"/>
      <c r="GWK367" s="124"/>
      <c r="GWL367" s="124"/>
      <c r="GWM367" s="124"/>
      <c r="GWN367" s="124"/>
      <c r="GWO367" s="124"/>
      <c r="GWP367" s="124"/>
      <c r="GWQ367" s="124"/>
      <c r="GWR367" s="124"/>
      <c r="GWS367" s="124"/>
      <c r="GWT367" s="124"/>
      <c r="GWU367" s="124"/>
      <c r="GWV367" s="124"/>
      <c r="GWW367" s="124"/>
      <c r="GWX367" s="124"/>
      <c r="GWY367" s="124"/>
      <c r="GWZ367" s="124"/>
      <c r="GXA367" s="124"/>
      <c r="GXB367" s="124"/>
      <c r="GXC367" s="124"/>
      <c r="GXD367" s="124"/>
      <c r="GXE367" s="124"/>
      <c r="GXF367" s="124"/>
      <c r="GXG367" s="124"/>
      <c r="GXH367" s="124"/>
      <c r="GXI367" s="124"/>
      <c r="GXJ367" s="124"/>
      <c r="GXK367" s="124"/>
      <c r="GXL367" s="124"/>
      <c r="GXM367" s="124"/>
      <c r="GXN367" s="124"/>
      <c r="GXO367" s="124"/>
      <c r="GXP367" s="124"/>
      <c r="GXQ367" s="124"/>
      <c r="GXR367" s="124"/>
      <c r="GXS367" s="124"/>
      <c r="GXT367" s="124"/>
      <c r="GXU367" s="124"/>
      <c r="GXV367" s="124"/>
      <c r="GXW367" s="124"/>
      <c r="GXX367" s="124"/>
      <c r="GXY367" s="124"/>
      <c r="GXZ367" s="124"/>
      <c r="GYA367" s="124"/>
      <c r="GYB367" s="124"/>
      <c r="GYC367" s="124"/>
      <c r="GYD367" s="124"/>
      <c r="GYE367" s="124"/>
      <c r="GYF367" s="124"/>
      <c r="GYG367" s="124"/>
      <c r="GYH367" s="124"/>
      <c r="GYI367" s="124"/>
      <c r="GYJ367" s="124"/>
      <c r="GYK367" s="124"/>
      <c r="GYL367" s="124"/>
      <c r="GYM367" s="124"/>
      <c r="GYN367" s="124"/>
      <c r="GYO367" s="124"/>
      <c r="GYP367" s="124"/>
      <c r="GYQ367" s="124"/>
      <c r="GYR367" s="124"/>
      <c r="GYS367" s="124"/>
      <c r="GYT367" s="124"/>
      <c r="GYU367" s="124"/>
      <c r="GYV367" s="124"/>
      <c r="GYW367" s="124"/>
      <c r="GYX367" s="124"/>
      <c r="GYY367" s="124"/>
      <c r="GYZ367" s="124"/>
      <c r="GZA367" s="124"/>
      <c r="GZB367" s="124"/>
      <c r="GZC367" s="124"/>
      <c r="GZD367" s="124"/>
      <c r="GZE367" s="124"/>
      <c r="GZF367" s="124"/>
      <c r="GZG367" s="124"/>
      <c r="GZH367" s="124"/>
      <c r="GZI367" s="124"/>
      <c r="GZJ367" s="124"/>
      <c r="GZK367" s="124"/>
      <c r="GZL367" s="124"/>
      <c r="GZM367" s="124"/>
      <c r="GZN367" s="124"/>
      <c r="GZO367" s="124"/>
      <c r="GZP367" s="124"/>
      <c r="GZQ367" s="124"/>
      <c r="GZR367" s="124"/>
      <c r="GZS367" s="124"/>
      <c r="GZT367" s="124"/>
      <c r="GZU367" s="124"/>
      <c r="GZV367" s="124"/>
      <c r="GZW367" s="124"/>
      <c r="GZX367" s="124"/>
      <c r="GZY367" s="124"/>
      <c r="GZZ367" s="124"/>
      <c r="HAA367" s="124"/>
      <c r="HAB367" s="124"/>
      <c r="HAC367" s="124"/>
      <c r="HAD367" s="124"/>
      <c r="HAE367" s="124"/>
      <c r="HAF367" s="124"/>
      <c r="HAG367" s="124"/>
      <c r="HAH367" s="124"/>
      <c r="HAI367" s="124"/>
      <c r="HAJ367" s="124"/>
      <c r="HAK367" s="124"/>
      <c r="HAL367" s="124"/>
      <c r="HAM367" s="124"/>
      <c r="HAN367" s="124"/>
      <c r="HAO367" s="124"/>
      <c r="HAP367" s="124"/>
      <c r="HAQ367" s="124"/>
      <c r="HAR367" s="124"/>
      <c r="HAS367" s="124"/>
      <c r="HAT367" s="124"/>
      <c r="HAU367" s="124"/>
      <c r="HAV367" s="124"/>
      <c r="HAW367" s="124"/>
      <c r="HAX367" s="124"/>
      <c r="HAY367" s="124"/>
      <c r="HAZ367" s="124"/>
      <c r="HBA367" s="124"/>
      <c r="HBB367" s="124"/>
      <c r="HBC367" s="124"/>
      <c r="HBD367" s="124"/>
      <c r="HBE367" s="124"/>
      <c r="HBF367" s="124"/>
      <c r="HBG367" s="124"/>
      <c r="HBH367" s="124"/>
      <c r="HBI367" s="124"/>
      <c r="HBJ367" s="124"/>
      <c r="HBK367" s="124"/>
      <c r="HBL367" s="124"/>
      <c r="HBM367" s="124"/>
      <c r="HBN367" s="124"/>
      <c r="HBO367" s="124"/>
      <c r="HBP367" s="124"/>
      <c r="HBQ367" s="124"/>
      <c r="HBR367" s="124"/>
      <c r="HBS367" s="124"/>
      <c r="HBT367" s="124"/>
      <c r="HBU367" s="124"/>
      <c r="HBV367" s="124"/>
      <c r="HBW367" s="124"/>
      <c r="HBX367" s="124"/>
      <c r="HBY367" s="124"/>
      <c r="HBZ367" s="124"/>
      <c r="HCA367" s="124"/>
      <c r="HCB367" s="124"/>
      <c r="HCC367" s="124"/>
      <c r="HCD367" s="124"/>
      <c r="HCE367" s="124"/>
      <c r="HCF367" s="124"/>
      <c r="HCG367" s="124"/>
      <c r="HCH367" s="124"/>
      <c r="HCI367" s="124"/>
      <c r="HCJ367" s="124"/>
      <c r="HCK367" s="124"/>
      <c r="HCL367" s="124"/>
      <c r="HCM367" s="124"/>
      <c r="HCN367" s="124"/>
      <c r="HCO367" s="124"/>
      <c r="HCP367" s="124"/>
      <c r="HCQ367" s="124"/>
      <c r="HCR367" s="124"/>
      <c r="HCS367" s="124"/>
      <c r="HCT367" s="124"/>
      <c r="HCU367" s="124"/>
      <c r="HCV367" s="124"/>
      <c r="HCW367" s="124"/>
      <c r="HCX367" s="124"/>
      <c r="HCY367" s="124"/>
      <c r="HCZ367" s="124"/>
      <c r="HDA367" s="124"/>
      <c r="HDB367" s="124"/>
      <c r="HDC367" s="124"/>
      <c r="HDD367" s="124"/>
      <c r="HDE367" s="124"/>
      <c r="HDF367" s="124"/>
      <c r="HDG367" s="124"/>
      <c r="HDH367" s="124"/>
      <c r="HDI367" s="124"/>
      <c r="HDJ367" s="124"/>
      <c r="HDK367" s="124"/>
      <c r="HDL367" s="124"/>
      <c r="HDM367" s="124"/>
      <c r="HDN367" s="124"/>
      <c r="HDO367" s="124"/>
      <c r="HDP367" s="124"/>
      <c r="HDQ367" s="124"/>
      <c r="HDR367" s="124"/>
      <c r="HDS367" s="124"/>
      <c r="HDT367" s="124"/>
      <c r="HDU367" s="124"/>
      <c r="HDV367" s="124"/>
      <c r="HDW367" s="124"/>
      <c r="HDX367" s="124"/>
      <c r="HDY367" s="124"/>
      <c r="HDZ367" s="124"/>
      <c r="HEA367" s="124"/>
      <c r="HEB367" s="124"/>
      <c r="HEC367" s="124"/>
      <c r="HED367" s="124"/>
      <c r="HEE367" s="124"/>
      <c r="HEF367" s="124"/>
      <c r="HEG367" s="124"/>
      <c r="HEH367" s="124"/>
      <c r="HEI367" s="124"/>
      <c r="HEJ367" s="124"/>
      <c r="HEK367" s="124"/>
      <c r="HEL367" s="124"/>
      <c r="HEM367" s="124"/>
      <c r="HEN367" s="124"/>
      <c r="HEO367" s="124"/>
      <c r="HEP367" s="124"/>
      <c r="HEQ367" s="124"/>
      <c r="HER367" s="124"/>
      <c r="HES367" s="124"/>
      <c r="HET367" s="124"/>
      <c r="HEU367" s="124"/>
      <c r="HEV367" s="124"/>
      <c r="HEW367" s="124"/>
      <c r="HEX367" s="124"/>
      <c r="HEY367" s="124"/>
      <c r="HEZ367" s="124"/>
      <c r="HFA367" s="124"/>
      <c r="HFB367" s="124"/>
      <c r="HFC367" s="124"/>
      <c r="HFD367" s="124"/>
      <c r="HFE367" s="124"/>
      <c r="HFF367" s="124"/>
      <c r="HFG367" s="124"/>
      <c r="HFH367" s="124"/>
      <c r="HFI367" s="124"/>
      <c r="HFJ367" s="124"/>
      <c r="HFK367" s="124"/>
      <c r="HFL367" s="124"/>
      <c r="HFM367" s="124"/>
      <c r="HFN367" s="124"/>
      <c r="HFO367" s="124"/>
      <c r="HFP367" s="124"/>
      <c r="HFQ367" s="124"/>
      <c r="HFR367" s="124"/>
      <c r="HFS367" s="124"/>
      <c r="HFT367" s="124"/>
      <c r="HFU367" s="124"/>
      <c r="HFV367" s="124"/>
      <c r="HFW367" s="124"/>
      <c r="HFX367" s="124"/>
      <c r="HFY367" s="124"/>
      <c r="HFZ367" s="124"/>
      <c r="HGA367" s="124"/>
      <c r="HGB367" s="124"/>
      <c r="HGC367" s="124"/>
      <c r="HGD367" s="124"/>
      <c r="HGE367" s="124"/>
      <c r="HGF367" s="124"/>
      <c r="HGG367" s="124"/>
      <c r="HGH367" s="124"/>
      <c r="HGI367" s="124"/>
      <c r="HGJ367" s="124"/>
      <c r="HGK367" s="124"/>
      <c r="HGL367" s="124"/>
      <c r="HGM367" s="124"/>
      <c r="HGN367" s="124"/>
      <c r="HGO367" s="124"/>
      <c r="HGP367" s="124"/>
      <c r="HGQ367" s="124"/>
      <c r="HGR367" s="124"/>
      <c r="HGS367" s="124"/>
      <c r="HGT367" s="124"/>
      <c r="HGU367" s="124"/>
      <c r="HGV367" s="124"/>
      <c r="HGW367" s="124"/>
      <c r="HGX367" s="124"/>
      <c r="HGY367" s="124"/>
      <c r="HGZ367" s="124"/>
      <c r="HHA367" s="124"/>
      <c r="HHB367" s="124"/>
      <c r="HHC367" s="124"/>
      <c r="HHD367" s="124"/>
      <c r="HHE367" s="124"/>
      <c r="HHF367" s="124"/>
      <c r="HHG367" s="124"/>
      <c r="HHH367" s="124"/>
      <c r="HHI367" s="124"/>
      <c r="HHJ367" s="124"/>
      <c r="HHK367" s="124"/>
      <c r="HHL367" s="124"/>
      <c r="HHM367" s="124"/>
      <c r="HHN367" s="124"/>
      <c r="HHO367" s="124"/>
      <c r="HHP367" s="124"/>
      <c r="HHQ367" s="124"/>
      <c r="HHR367" s="124"/>
      <c r="HHS367" s="124"/>
      <c r="HHT367" s="124"/>
      <c r="HHU367" s="124"/>
      <c r="HHV367" s="124"/>
      <c r="HHW367" s="124"/>
      <c r="HHX367" s="124"/>
      <c r="HHY367" s="124"/>
      <c r="HHZ367" s="124"/>
      <c r="HIA367" s="124"/>
      <c r="HIB367" s="124"/>
      <c r="HIC367" s="124"/>
      <c r="HID367" s="124"/>
      <c r="HIE367" s="124"/>
      <c r="HIF367" s="124"/>
      <c r="HIG367" s="124"/>
      <c r="HIH367" s="124"/>
      <c r="HII367" s="124"/>
      <c r="HIJ367" s="124"/>
      <c r="HIK367" s="124"/>
      <c r="HIL367" s="124"/>
      <c r="HIM367" s="124"/>
      <c r="HIN367" s="124"/>
      <c r="HIO367" s="124"/>
      <c r="HIP367" s="124"/>
      <c r="HIQ367" s="124"/>
      <c r="HIR367" s="124"/>
      <c r="HIS367" s="124"/>
      <c r="HIT367" s="124"/>
      <c r="HIU367" s="124"/>
      <c r="HIV367" s="124"/>
      <c r="HIW367" s="124"/>
      <c r="HIX367" s="124"/>
      <c r="HIY367" s="124"/>
      <c r="HIZ367" s="124"/>
      <c r="HJA367" s="124"/>
      <c r="HJB367" s="124"/>
      <c r="HJC367" s="124"/>
      <c r="HJD367" s="124"/>
      <c r="HJE367" s="124"/>
      <c r="HJF367" s="124"/>
      <c r="HJG367" s="124"/>
      <c r="HJH367" s="124"/>
      <c r="HJI367" s="124"/>
      <c r="HJJ367" s="124"/>
      <c r="HJK367" s="124"/>
      <c r="HJL367" s="124"/>
      <c r="HJM367" s="124"/>
      <c r="HJN367" s="124"/>
      <c r="HJO367" s="124"/>
      <c r="HJP367" s="124"/>
      <c r="HJQ367" s="124"/>
      <c r="HJR367" s="124"/>
      <c r="HJS367" s="124"/>
      <c r="HJT367" s="124"/>
      <c r="HJU367" s="124"/>
      <c r="HJV367" s="124"/>
      <c r="HJW367" s="124"/>
      <c r="HJX367" s="124"/>
      <c r="HJY367" s="124"/>
      <c r="HJZ367" s="124"/>
      <c r="HKA367" s="124"/>
      <c r="HKB367" s="124"/>
      <c r="HKC367" s="124"/>
      <c r="HKD367" s="124"/>
      <c r="HKE367" s="124"/>
      <c r="HKF367" s="124"/>
      <c r="HKG367" s="124"/>
      <c r="HKH367" s="124"/>
      <c r="HKI367" s="124"/>
      <c r="HKJ367" s="124"/>
      <c r="HKK367" s="124"/>
      <c r="HKL367" s="124"/>
      <c r="HKM367" s="124"/>
      <c r="HKN367" s="124"/>
      <c r="HKO367" s="124"/>
      <c r="HKP367" s="124"/>
      <c r="HKQ367" s="124"/>
      <c r="HKR367" s="124"/>
      <c r="HKS367" s="124"/>
      <c r="HKT367" s="124"/>
      <c r="HKU367" s="124"/>
      <c r="HKV367" s="124"/>
      <c r="HKW367" s="124"/>
      <c r="HKX367" s="124"/>
      <c r="HKY367" s="124"/>
      <c r="HKZ367" s="124"/>
      <c r="HLA367" s="124"/>
      <c r="HLB367" s="124"/>
      <c r="HLC367" s="124"/>
      <c r="HLD367" s="124"/>
      <c r="HLE367" s="124"/>
      <c r="HLF367" s="124"/>
      <c r="HLG367" s="124"/>
      <c r="HLH367" s="124"/>
      <c r="HLI367" s="124"/>
      <c r="HLJ367" s="124"/>
      <c r="HLK367" s="124"/>
      <c r="HLL367" s="124"/>
      <c r="HLM367" s="124"/>
      <c r="HLN367" s="124"/>
      <c r="HLO367" s="124"/>
      <c r="HLP367" s="124"/>
      <c r="HLQ367" s="124"/>
      <c r="HLR367" s="124"/>
      <c r="HLS367" s="124"/>
      <c r="HLT367" s="124"/>
      <c r="HLU367" s="124"/>
      <c r="HLV367" s="124"/>
      <c r="HLW367" s="124"/>
      <c r="HLX367" s="124"/>
      <c r="HLY367" s="124"/>
      <c r="HLZ367" s="124"/>
      <c r="HMA367" s="124"/>
      <c r="HMB367" s="124"/>
      <c r="HMC367" s="124"/>
      <c r="HMD367" s="124"/>
      <c r="HME367" s="124"/>
      <c r="HMF367" s="124"/>
      <c r="HMG367" s="124"/>
      <c r="HMH367" s="124"/>
      <c r="HMI367" s="124"/>
      <c r="HMJ367" s="124"/>
      <c r="HMK367" s="124"/>
      <c r="HML367" s="124"/>
      <c r="HMM367" s="124"/>
      <c r="HMN367" s="124"/>
      <c r="HMO367" s="124"/>
      <c r="HMP367" s="124"/>
      <c r="HMQ367" s="124"/>
      <c r="HMR367" s="124"/>
      <c r="HMS367" s="124"/>
      <c r="HMT367" s="124"/>
      <c r="HMU367" s="124"/>
      <c r="HMV367" s="124"/>
      <c r="HMW367" s="124"/>
      <c r="HMX367" s="124"/>
      <c r="HMY367" s="124"/>
      <c r="HMZ367" s="124"/>
      <c r="HNA367" s="124"/>
      <c r="HNB367" s="124"/>
      <c r="HNC367" s="124"/>
      <c r="HND367" s="124"/>
      <c r="HNE367" s="124"/>
      <c r="HNF367" s="124"/>
      <c r="HNG367" s="124"/>
      <c r="HNH367" s="124"/>
      <c r="HNI367" s="124"/>
      <c r="HNJ367" s="124"/>
      <c r="HNK367" s="124"/>
      <c r="HNL367" s="124"/>
      <c r="HNM367" s="124"/>
      <c r="HNN367" s="124"/>
      <c r="HNO367" s="124"/>
      <c r="HNP367" s="124"/>
      <c r="HNQ367" s="124"/>
      <c r="HNR367" s="124"/>
      <c r="HNS367" s="124"/>
      <c r="HNT367" s="124"/>
      <c r="HNU367" s="124"/>
      <c r="HNV367" s="124"/>
      <c r="HNW367" s="124"/>
      <c r="HNX367" s="124"/>
      <c r="HNY367" s="124"/>
      <c r="HNZ367" s="124"/>
      <c r="HOA367" s="124"/>
      <c r="HOB367" s="124"/>
      <c r="HOC367" s="124"/>
      <c r="HOD367" s="124"/>
      <c r="HOE367" s="124"/>
      <c r="HOF367" s="124"/>
      <c r="HOG367" s="124"/>
      <c r="HOH367" s="124"/>
      <c r="HOI367" s="124"/>
      <c r="HOJ367" s="124"/>
      <c r="HOK367" s="124"/>
      <c r="HOL367" s="124"/>
      <c r="HOM367" s="124"/>
      <c r="HON367" s="124"/>
      <c r="HOO367" s="124"/>
      <c r="HOP367" s="124"/>
      <c r="HOQ367" s="124"/>
      <c r="HOR367" s="124"/>
      <c r="HOS367" s="124"/>
      <c r="HOT367" s="124"/>
      <c r="HOU367" s="124"/>
      <c r="HOV367" s="124"/>
      <c r="HOW367" s="124"/>
      <c r="HOX367" s="124"/>
      <c r="HOY367" s="124"/>
      <c r="HOZ367" s="124"/>
      <c r="HPA367" s="124"/>
      <c r="HPB367" s="124"/>
      <c r="HPC367" s="124"/>
      <c r="HPD367" s="124"/>
      <c r="HPE367" s="124"/>
      <c r="HPF367" s="124"/>
      <c r="HPG367" s="124"/>
      <c r="HPH367" s="124"/>
      <c r="HPI367" s="124"/>
      <c r="HPJ367" s="124"/>
      <c r="HPK367" s="124"/>
      <c r="HPL367" s="124"/>
      <c r="HPM367" s="124"/>
      <c r="HPN367" s="124"/>
      <c r="HPO367" s="124"/>
      <c r="HPP367" s="124"/>
      <c r="HPQ367" s="124"/>
      <c r="HPR367" s="124"/>
      <c r="HPS367" s="124"/>
      <c r="HPT367" s="124"/>
      <c r="HPU367" s="124"/>
      <c r="HPV367" s="124"/>
      <c r="HPW367" s="124"/>
      <c r="HPX367" s="124"/>
      <c r="HPY367" s="124"/>
      <c r="HPZ367" s="124"/>
      <c r="HQA367" s="124"/>
      <c r="HQB367" s="124"/>
      <c r="HQC367" s="124"/>
      <c r="HQD367" s="124"/>
      <c r="HQE367" s="124"/>
      <c r="HQF367" s="124"/>
      <c r="HQG367" s="124"/>
      <c r="HQH367" s="124"/>
      <c r="HQI367" s="124"/>
      <c r="HQJ367" s="124"/>
      <c r="HQK367" s="124"/>
      <c r="HQL367" s="124"/>
      <c r="HQM367" s="124"/>
      <c r="HQN367" s="124"/>
      <c r="HQO367" s="124"/>
      <c r="HQP367" s="124"/>
      <c r="HQQ367" s="124"/>
      <c r="HQR367" s="124"/>
      <c r="HQS367" s="124"/>
      <c r="HQT367" s="124"/>
      <c r="HQU367" s="124"/>
      <c r="HQV367" s="124"/>
      <c r="HQW367" s="124"/>
      <c r="HQX367" s="124"/>
      <c r="HQY367" s="124"/>
      <c r="HQZ367" s="124"/>
      <c r="HRA367" s="124"/>
      <c r="HRB367" s="124"/>
      <c r="HRC367" s="124"/>
      <c r="HRD367" s="124"/>
      <c r="HRE367" s="124"/>
      <c r="HRF367" s="124"/>
      <c r="HRG367" s="124"/>
      <c r="HRH367" s="124"/>
      <c r="HRI367" s="124"/>
      <c r="HRJ367" s="124"/>
      <c r="HRK367" s="124"/>
      <c r="HRL367" s="124"/>
      <c r="HRM367" s="124"/>
      <c r="HRN367" s="124"/>
      <c r="HRO367" s="124"/>
      <c r="HRP367" s="124"/>
      <c r="HRQ367" s="124"/>
      <c r="HRR367" s="124"/>
      <c r="HRS367" s="124"/>
      <c r="HRT367" s="124"/>
      <c r="HRU367" s="124"/>
      <c r="HRV367" s="124"/>
      <c r="HRW367" s="124"/>
      <c r="HRX367" s="124"/>
      <c r="HRY367" s="124"/>
      <c r="HRZ367" s="124"/>
      <c r="HSA367" s="124"/>
      <c r="HSB367" s="124"/>
      <c r="HSC367" s="124"/>
      <c r="HSD367" s="124"/>
      <c r="HSE367" s="124"/>
      <c r="HSF367" s="124"/>
      <c r="HSG367" s="124"/>
      <c r="HSH367" s="124"/>
      <c r="HSI367" s="124"/>
      <c r="HSJ367" s="124"/>
      <c r="HSK367" s="124"/>
      <c r="HSL367" s="124"/>
      <c r="HSM367" s="124"/>
      <c r="HSN367" s="124"/>
      <c r="HSO367" s="124"/>
      <c r="HSP367" s="124"/>
      <c r="HSQ367" s="124"/>
      <c r="HSR367" s="124"/>
      <c r="HSS367" s="124"/>
      <c r="HST367" s="124"/>
      <c r="HSU367" s="124"/>
      <c r="HSV367" s="124"/>
      <c r="HSW367" s="124"/>
      <c r="HSX367" s="124"/>
      <c r="HSY367" s="124"/>
      <c r="HSZ367" s="124"/>
      <c r="HTA367" s="124"/>
      <c r="HTB367" s="124"/>
      <c r="HTC367" s="124"/>
      <c r="HTD367" s="124"/>
      <c r="HTE367" s="124"/>
      <c r="HTF367" s="124"/>
      <c r="HTG367" s="124"/>
      <c r="HTH367" s="124"/>
      <c r="HTI367" s="124"/>
      <c r="HTJ367" s="124"/>
      <c r="HTK367" s="124"/>
      <c r="HTL367" s="124"/>
      <c r="HTM367" s="124"/>
      <c r="HTN367" s="124"/>
      <c r="HTO367" s="124"/>
      <c r="HTP367" s="124"/>
      <c r="HTQ367" s="124"/>
      <c r="HTR367" s="124"/>
      <c r="HTS367" s="124"/>
      <c r="HTT367" s="124"/>
      <c r="HTU367" s="124"/>
      <c r="HTV367" s="124"/>
      <c r="HTW367" s="124"/>
      <c r="HTX367" s="124"/>
      <c r="HTY367" s="124"/>
      <c r="HTZ367" s="124"/>
      <c r="HUA367" s="124"/>
      <c r="HUB367" s="124"/>
      <c r="HUC367" s="124"/>
      <c r="HUD367" s="124"/>
      <c r="HUE367" s="124"/>
      <c r="HUF367" s="124"/>
      <c r="HUG367" s="124"/>
      <c r="HUH367" s="124"/>
      <c r="HUI367" s="124"/>
      <c r="HUJ367" s="124"/>
      <c r="HUK367" s="124"/>
      <c r="HUL367" s="124"/>
      <c r="HUM367" s="124"/>
      <c r="HUN367" s="124"/>
      <c r="HUO367" s="124"/>
      <c r="HUP367" s="124"/>
      <c r="HUQ367" s="124"/>
      <c r="HUR367" s="124"/>
      <c r="HUS367" s="124"/>
      <c r="HUT367" s="124"/>
      <c r="HUU367" s="124"/>
      <c r="HUV367" s="124"/>
      <c r="HUW367" s="124"/>
      <c r="HUX367" s="124"/>
      <c r="HUY367" s="124"/>
      <c r="HUZ367" s="124"/>
      <c r="HVA367" s="124"/>
      <c r="HVB367" s="124"/>
      <c r="HVC367" s="124"/>
      <c r="HVD367" s="124"/>
      <c r="HVE367" s="124"/>
      <c r="HVF367" s="124"/>
      <c r="HVG367" s="124"/>
      <c r="HVH367" s="124"/>
      <c r="HVI367" s="124"/>
      <c r="HVJ367" s="124"/>
      <c r="HVK367" s="124"/>
      <c r="HVL367" s="124"/>
      <c r="HVM367" s="124"/>
      <c r="HVN367" s="124"/>
      <c r="HVO367" s="124"/>
      <c r="HVP367" s="124"/>
      <c r="HVQ367" s="124"/>
      <c r="HVR367" s="124"/>
      <c r="HVS367" s="124"/>
      <c r="HVT367" s="124"/>
      <c r="HVU367" s="124"/>
      <c r="HVV367" s="124"/>
      <c r="HVW367" s="124"/>
      <c r="HVX367" s="124"/>
      <c r="HVY367" s="124"/>
      <c r="HVZ367" s="124"/>
      <c r="HWA367" s="124"/>
      <c r="HWB367" s="124"/>
      <c r="HWC367" s="124"/>
      <c r="HWD367" s="124"/>
      <c r="HWE367" s="124"/>
      <c r="HWF367" s="124"/>
      <c r="HWG367" s="124"/>
      <c r="HWH367" s="124"/>
      <c r="HWI367" s="124"/>
      <c r="HWJ367" s="124"/>
      <c r="HWK367" s="124"/>
      <c r="HWL367" s="124"/>
      <c r="HWM367" s="124"/>
      <c r="HWN367" s="124"/>
      <c r="HWO367" s="124"/>
      <c r="HWP367" s="124"/>
      <c r="HWQ367" s="124"/>
      <c r="HWR367" s="124"/>
      <c r="HWS367" s="124"/>
      <c r="HWT367" s="124"/>
      <c r="HWU367" s="124"/>
      <c r="HWV367" s="124"/>
      <c r="HWW367" s="124"/>
      <c r="HWX367" s="124"/>
      <c r="HWY367" s="124"/>
      <c r="HWZ367" s="124"/>
      <c r="HXA367" s="124"/>
      <c r="HXB367" s="124"/>
      <c r="HXC367" s="124"/>
      <c r="HXD367" s="124"/>
      <c r="HXE367" s="124"/>
      <c r="HXF367" s="124"/>
      <c r="HXG367" s="124"/>
      <c r="HXH367" s="124"/>
      <c r="HXI367" s="124"/>
      <c r="HXJ367" s="124"/>
      <c r="HXK367" s="124"/>
      <c r="HXL367" s="124"/>
      <c r="HXM367" s="124"/>
      <c r="HXN367" s="124"/>
      <c r="HXO367" s="124"/>
      <c r="HXP367" s="124"/>
      <c r="HXQ367" s="124"/>
      <c r="HXR367" s="124"/>
      <c r="HXS367" s="124"/>
      <c r="HXT367" s="124"/>
      <c r="HXU367" s="124"/>
      <c r="HXV367" s="124"/>
      <c r="HXW367" s="124"/>
      <c r="HXX367" s="124"/>
      <c r="HXY367" s="124"/>
      <c r="HXZ367" s="124"/>
      <c r="HYA367" s="124"/>
      <c r="HYB367" s="124"/>
      <c r="HYC367" s="124"/>
      <c r="HYD367" s="124"/>
      <c r="HYE367" s="124"/>
      <c r="HYF367" s="124"/>
      <c r="HYG367" s="124"/>
      <c r="HYH367" s="124"/>
      <c r="HYI367" s="124"/>
      <c r="HYJ367" s="124"/>
      <c r="HYK367" s="124"/>
      <c r="HYL367" s="124"/>
      <c r="HYM367" s="124"/>
      <c r="HYN367" s="124"/>
      <c r="HYO367" s="124"/>
      <c r="HYP367" s="124"/>
      <c r="HYQ367" s="124"/>
      <c r="HYR367" s="124"/>
      <c r="HYS367" s="124"/>
      <c r="HYT367" s="124"/>
      <c r="HYU367" s="124"/>
      <c r="HYV367" s="124"/>
      <c r="HYW367" s="124"/>
      <c r="HYX367" s="124"/>
      <c r="HYY367" s="124"/>
      <c r="HYZ367" s="124"/>
      <c r="HZA367" s="124"/>
      <c r="HZB367" s="124"/>
      <c r="HZC367" s="124"/>
      <c r="HZD367" s="124"/>
      <c r="HZE367" s="124"/>
      <c r="HZF367" s="124"/>
      <c r="HZG367" s="124"/>
      <c r="HZH367" s="124"/>
      <c r="HZI367" s="124"/>
      <c r="HZJ367" s="124"/>
      <c r="HZK367" s="124"/>
      <c r="HZL367" s="124"/>
      <c r="HZM367" s="124"/>
      <c r="HZN367" s="124"/>
      <c r="HZO367" s="124"/>
      <c r="HZP367" s="124"/>
      <c r="HZQ367" s="124"/>
      <c r="HZR367" s="124"/>
      <c r="HZS367" s="124"/>
      <c r="HZT367" s="124"/>
      <c r="HZU367" s="124"/>
      <c r="HZV367" s="124"/>
      <c r="HZW367" s="124"/>
      <c r="HZX367" s="124"/>
      <c r="HZY367" s="124"/>
      <c r="HZZ367" s="124"/>
      <c r="IAA367" s="124"/>
      <c r="IAB367" s="124"/>
      <c r="IAC367" s="124"/>
      <c r="IAD367" s="124"/>
      <c r="IAE367" s="124"/>
      <c r="IAF367" s="124"/>
      <c r="IAG367" s="124"/>
      <c r="IAH367" s="124"/>
      <c r="IAI367" s="124"/>
      <c r="IAJ367" s="124"/>
      <c r="IAK367" s="124"/>
      <c r="IAL367" s="124"/>
      <c r="IAM367" s="124"/>
      <c r="IAN367" s="124"/>
      <c r="IAO367" s="124"/>
      <c r="IAP367" s="124"/>
      <c r="IAQ367" s="124"/>
      <c r="IAR367" s="124"/>
      <c r="IAS367" s="124"/>
      <c r="IAT367" s="124"/>
      <c r="IAU367" s="124"/>
      <c r="IAV367" s="124"/>
      <c r="IAW367" s="124"/>
      <c r="IAX367" s="124"/>
      <c r="IAY367" s="124"/>
      <c r="IAZ367" s="124"/>
      <c r="IBA367" s="124"/>
      <c r="IBB367" s="124"/>
      <c r="IBC367" s="124"/>
      <c r="IBD367" s="124"/>
      <c r="IBE367" s="124"/>
      <c r="IBF367" s="124"/>
      <c r="IBG367" s="124"/>
      <c r="IBH367" s="124"/>
      <c r="IBI367" s="124"/>
      <c r="IBJ367" s="124"/>
      <c r="IBK367" s="124"/>
      <c r="IBL367" s="124"/>
      <c r="IBM367" s="124"/>
      <c r="IBN367" s="124"/>
      <c r="IBO367" s="124"/>
      <c r="IBP367" s="124"/>
      <c r="IBQ367" s="124"/>
      <c r="IBR367" s="124"/>
      <c r="IBS367" s="124"/>
      <c r="IBT367" s="124"/>
      <c r="IBU367" s="124"/>
      <c r="IBV367" s="124"/>
      <c r="IBW367" s="124"/>
      <c r="IBX367" s="124"/>
      <c r="IBY367" s="124"/>
      <c r="IBZ367" s="124"/>
      <c r="ICA367" s="124"/>
      <c r="ICB367" s="124"/>
      <c r="ICC367" s="124"/>
      <c r="ICD367" s="124"/>
      <c r="ICE367" s="124"/>
      <c r="ICF367" s="124"/>
      <c r="ICG367" s="124"/>
      <c r="ICH367" s="124"/>
      <c r="ICI367" s="124"/>
      <c r="ICJ367" s="124"/>
      <c r="ICK367" s="124"/>
      <c r="ICL367" s="124"/>
      <c r="ICM367" s="124"/>
      <c r="ICN367" s="124"/>
      <c r="ICO367" s="124"/>
      <c r="ICP367" s="124"/>
      <c r="ICQ367" s="124"/>
      <c r="ICR367" s="124"/>
      <c r="ICS367" s="124"/>
      <c r="ICT367" s="124"/>
      <c r="ICU367" s="124"/>
      <c r="ICV367" s="124"/>
      <c r="ICW367" s="124"/>
      <c r="ICX367" s="124"/>
      <c r="ICY367" s="124"/>
      <c r="ICZ367" s="124"/>
      <c r="IDA367" s="124"/>
      <c r="IDB367" s="124"/>
      <c r="IDC367" s="124"/>
      <c r="IDD367" s="124"/>
      <c r="IDE367" s="124"/>
      <c r="IDF367" s="124"/>
      <c r="IDG367" s="124"/>
      <c r="IDH367" s="124"/>
      <c r="IDI367" s="124"/>
      <c r="IDJ367" s="124"/>
      <c r="IDK367" s="124"/>
      <c r="IDL367" s="124"/>
      <c r="IDM367" s="124"/>
      <c r="IDN367" s="124"/>
      <c r="IDO367" s="124"/>
      <c r="IDP367" s="124"/>
      <c r="IDQ367" s="124"/>
      <c r="IDR367" s="124"/>
      <c r="IDS367" s="124"/>
      <c r="IDT367" s="124"/>
      <c r="IDU367" s="124"/>
      <c r="IDV367" s="124"/>
      <c r="IDW367" s="124"/>
      <c r="IDX367" s="124"/>
      <c r="IDY367" s="124"/>
      <c r="IDZ367" s="124"/>
      <c r="IEA367" s="124"/>
      <c r="IEB367" s="124"/>
      <c r="IEC367" s="124"/>
      <c r="IED367" s="124"/>
      <c r="IEE367" s="124"/>
      <c r="IEF367" s="124"/>
      <c r="IEG367" s="124"/>
      <c r="IEH367" s="124"/>
      <c r="IEI367" s="124"/>
      <c r="IEJ367" s="124"/>
      <c r="IEK367" s="124"/>
      <c r="IEL367" s="124"/>
      <c r="IEM367" s="124"/>
      <c r="IEN367" s="124"/>
      <c r="IEO367" s="124"/>
      <c r="IEP367" s="124"/>
      <c r="IEQ367" s="124"/>
      <c r="IER367" s="124"/>
      <c r="IES367" s="124"/>
      <c r="IET367" s="124"/>
      <c r="IEU367" s="124"/>
      <c r="IEV367" s="124"/>
      <c r="IEW367" s="124"/>
      <c r="IEX367" s="124"/>
      <c r="IEY367" s="124"/>
      <c r="IEZ367" s="124"/>
      <c r="IFA367" s="124"/>
      <c r="IFB367" s="124"/>
      <c r="IFC367" s="124"/>
      <c r="IFD367" s="124"/>
      <c r="IFE367" s="124"/>
      <c r="IFF367" s="124"/>
      <c r="IFG367" s="124"/>
      <c r="IFH367" s="124"/>
      <c r="IFI367" s="124"/>
      <c r="IFJ367" s="124"/>
      <c r="IFK367" s="124"/>
      <c r="IFL367" s="124"/>
      <c r="IFM367" s="124"/>
      <c r="IFN367" s="124"/>
      <c r="IFO367" s="124"/>
      <c r="IFP367" s="124"/>
      <c r="IFQ367" s="124"/>
      <c r="IFR367" s="124"/>
      <c r="IFS367" s="124"/>
      <c r="IFT367" s="124"/>
      <c r="IFU367" s="124"/>
      <c r="IFV367" s="124"/>
      <c r="IFW367" s="124"/>
      <c r="IFX367" s="124"/>
      <c r="IFY367" s="124"/>
      <c r="IFZ367" s="124"/>
      <c r="IGA367" s="124"/>
      <c r="IGB367" s="124"/>
      <c r="IGC367" s="124"/>
      <c r="IGD367" s="124"/>
      <c r="IGE367" s="124"/>
      <c r="IGF367" s="124"/>
      <c r="IGG367" s="124"/>
      <c r="IGH367" s="124"/>
      <c r="IGI367" s="124"/>
      <c r="IGJ367" s="124"/>
      <c r="IGK367" s="124"/>
      <c r="IGL367" s="124"/>
      <c r="IGM367" s="124"/>
      <c r="IGN367" s="124"/>
      <c r="IGO367" s="124"/>
      <c r="IGP367" s="124"/>
      <c r="IGQ367" s="124"/>
      <c r="IGR367" s="124"/>
      <c r="IGS367" s="124"/>
      <c r="IGT367" s="124"/>
      <c r="IGU367" s="124"/>
      <c r="IGV367" s="124"/>
      <c r="IGW367" s="124"/>
      <c r="IGX367" s="124"/>
      <c r="IGY367" s="124"/>
      <c r="IGZ367" s="124"/>
      <c r="IHA367" s="124"/>
      <c r="IHB367" s="124"/>
      <c r="IHC367" s="124"/>
      <c r="IHD367" s="124"/>
      <c r="IHE367" s="124"/>
      <c r="IHF367" s="124"/>
      <c r="IHG367" s="124"/>
      <c r="IHH367" s="124"/>
      <c r="IHI367" s="124"/>
      <c r="IHJ367" s="124"/>
      <c r="IHK367" s="124"/>
      <c r="IHL367" s="124"/>
      <c r="IHM367" s="124"/>
      <c r="IHN367" s="124"/>
      <c r="IHO367" s="124"/>
      <c r="IHP367" s="124"/>
      <c r="IHQ367" s="124"/>
      <c r="IHR367" s="124"/>
      <c r="IHS367" s="124"/>
      <c r="IHT367" s="124"/>
      <c r="IHU367" s="124"/>
      <c r="IHV367" s="124"/>
      <c r="IHW367" s="124"/>
      <c r="IHX367" s="124"/>
      <c r="IHY367" s="124"/>
      <c r="IHZ367" s="124"/>
      <c r="IIA367" s="124"/>
      <c r="IIB367" s="124"/>
      <c r="IIC367" s="124"/>
      <c r="IID367" s="124"/>
      <c r="IIE367" s="124"/>
      <c r="IIF367" s="124"/>
      <c r="IIG367" s="124"/>
      <c r="IIH367" s="124"/>
      <c r="III367" s="124"/>
      <c r="IIJ367" s="124"/>
      <c r="IIK367" s="124"/>
      <c r="IIL367" s="124"/>
      <c r="IIM367" s="124"/>
      <c r="IIN367" s="124"/>
      <c r="IIO367" s="124"/>
      <c r="IIP367" s="124"/>
      <c r="IIQ367" s="124"/>
      <c r="IIR367" s="124"/>
      <c r="IIS367" s="124"/>
      <c r="IIT367" s="124"/>
      <c r="IIU367" s="124"/>
      <c r="IIV367" s="124"/>
      <c r="IIW367" s="124"/>
      <c r="IIX367" s="124"/>
      <c r="IIY367" s="124"/>
      <c r="IIZ367" s="124"/>
      <c r="IJA367" s="124"/>
      <c r="IJB367" s="124"/>
      <c r="IJC367" s="124"/>
      <c r="IJD367" s="124"/>
      <c r="IJE367" s="124"/>
      <c r="IJF367" s="124"/>
      <c r="IJG367" s="124"/>
      <c r="IJH367" s="124"/>
      <c r="IJI367" s="124"/>
      <c r="IJJ367" s="124"/>
      <c r="IJK367" s="124"/>
      <c r="IJL367" s="124"/>
      <c r="IJM367" s="124"/>
      <c r="IJN367" s="124"/>
      <c r="IJO367" s="124"/>
      <c r="IJP367" s="124"/>
      <c r="IJQ367" s="124"/>
      <c r="IJR367" s="124"/>
      <c r="IJS367" s="124"/>
      <c r="IJT367" s="124"/>
      <c r="IJU367" s="124"/>
      <c r="IJV367" s="124"/>
      <c r="IJW367" s="124"/>
      <c r="IJX367" s="124"/>
      <c r="IJY367" s="124"/>
      <c r="IJZ367" s="124"/>
      <c r="IKA367" s="124"/>
      <c r="IKB367" s="124"/>
      <c r="IKC367" s="124"/>
      <c r="IKD367" s="124"/>
      <c r="IKE367" s="124"/>
      <c r="IKF367" s="124"/>
      <c r="IKG367" s="124"/>
      <c r="IKH367" s="124"/>
      <c r="IKI367" s="124"/>
      <c r="IKJ367" s="124"/>
      <c r="IKK367" s="124"/>
      <c r="IKL367" s="124"/>
      <c r="IKM367" s="124"/>
      <c r="IKN367" s="124"/>
      <c r="IKO367" s="124"/>
      <c r="IKP367" s="124"/>
      <c r="IKQ367" s="124"/>
      <c r="IKR367" s="124"/>
      <c r="IKS367" s="124"/>
      <c r="IKT367" s="124"/>
      <c r="IKU367" s="124"/>
      <c r="IKV367" s="124"/>
      <c r="IKW367" s="124"/>
      <c r="IKX367" s="124"/>
      <c r="IKY367" s="124"/>
      <c r="IKZ367" s="124"/>
      <c r="ILA367" s="124"/>
      <c r="ILB367" s="124"/>
      <c r="ILC367" s="124"/>
      <c r="ILD367" s="124"/>
      <c r="ILE367" s="124"/>
      <c r="ILF367" s="124"/>
      <c r="ILG367" s="124"/>
      <c r="ILH367" s="124"/>
      <c r="ILI367" s="124"/>
      <c r="ILJ367" s="124"/>
      <c r="ILK367" s="124"/>
      <c r="ILL367" s="124"/>
      <c r="ILM367" s="124"/>
      <c r="ILN367" s="124"/>
      <c r="ILO367" s="124"/>
      <c r="ILP367" s="124"/>
      <c r="ILQ367" s="124"/>
      <c r="ILR367" s="124"/>
      <c r="ILS367" s="124"/>
      <c r="ILT367" s="124"/>
      <c r="ILU367" s="124"/>
      <c r="ILV367" s="124"/>
      <c r="ILW367" s="124"/>
      <c r="ILX367" s="124"/>
      <c r="ILY367" s="124"/>
      <c r="ILZ367" s="124"/>
      <c r="IMA367" s="124"/>
      <c r="IMB367" s="124"/>
      <c r="IMC367" s="124"/>
      <c r="IMD367" s="124"/>
      <c r="IME367" s="124"/>
      <c r="IMF367" s="124"/>
      <c r="IMG367" s="124"/>
      <c r="IMH367" s="124"/>
      <c r="IMI367" s="124"/>
      <c r="IMJ367" s="124"/>
      <c r="IMK367" s="124"/>
      <c r="IML367" s="124"/>
      <c r="IMM367" s="124"/>
      <c r="IMN367" s="124"/>
      <c r="IMO367" s="124"/>
      <c r="IMP367" s="124"/>
      <c r="IMQ367" s="124"/>
      <c r="IMR367" s="124"/>
      <c r="IMS367" s="124"/>
      <c r="IMT367" s="124"/>
      <c r="IMU367" s="124"/>
      <c r="IMV367" s="124"/>
      <c r="IMW367" s="124"/>
      <c r="IMX367" s="124"/>
      <c r="IMY367" s="124"/>
      <c r="IMZ367" s="124"/>
      <c r="INA367" s="124"/>
      <c r="INB367" s="124"/>
      <c r="INC367" s="124"/>
      <c r="IND367" s="124"/>
      <c r="INE367" s="124"/>
      <c r="INF367" s="124"/>
      <c r="ING367" s="124"/>
      <c r="INH367" s="124"/>
      <c r="INI367" s="124"/>
      <c r="INJ367" s="124"/>
      <c r="INK367" s="124"/>
      <c r="INL367" s="124"/>
      <c r="INM367" s="124"/>
      <c r="INN367" s="124"/>
      <c r="INO367" s="124"/>
      <c r="INP367" s="124"/>
      <c r="INQ367" s="124"/>
      <c r="INR367" s="124"/>
      <c r="INS367" s="124"/>
      <c r="INT367" s="124"/>
      <c r="INU367" s="124"/>
      <c r="INV367" s="124"/>
      <c r="INW367" s="124"/>
      <c r="INX367" s="124"/>
      <c r="INY367" s="124"/>
      <c r="INZ367" s="124"/>
      <c r="IOA367" s="124"/>
      <c r="IOB367" s="124"/>
      <c r="IOC367" s="124"/>
      <c r="IOD367" s="124"/>
      <c r="IOE367" s="124"/>
      <c r="IOF367" s="124"/>
      <c r="IOG367" s="124"/>
      <c r="IOH367" s="124"/>
      <c r="IOI367" s="124"/>
      <c r="IOJ367" s="124"/>
      <c r="IOK367" s="124"/>
      <c r="IOL367" s="124"/>
      <c r="IOM367" s="124"/>
      <c r="ION367" s="124"/>
      <c r="IOO367" s="124"/>
      <c r="IOP367" s="124"/>
      <c r="IOQ367" s="124"/>
      <c r="IOR367" s="124"/>
      <c r="IOS367" s="124"/>
      <c r="IOT367" s="124"/>
      <c r="IOU367" s="124"/>
      <c r="IOV367" s="124"/>
      <c r="IOW367" s="124"/>
      <c r="IOX367" s="124"/>
      <c r="IOY367" s="124"/>
      <c r="IOZ367" s="124"/>
      <c r="IPA367" s="124"/>
      <c r="IPB367" s="124"/>
      <c r="IPC367" s="124"/>
      <c r="IPD367" s="124"/>
      <c r="IPE367" s="124"/>
      <c r="IPF367" s="124"/>
      <c r="IPG367" s="124"/>
      <c r="IPH367" s="124"/>
      <c r="IPI367" s="124"/>
      <c r="IPJ367" s="124"/>
      <c r="IPK367" s="124"/>
      <c r="IPL367" s="124"/>
      <c r="IPM367" s="124"/>
      <c r="IPN367" s="124"/>
      <c r="IPO367" s="124"/>
      <c r="IPP367" s="124"/>
      <c r="IPQ367" s="124"/>
      <c r="IPR367" s="124"/>
      <c r="IPS367" s="124"/>
      <c r="IPT367" s="124"/>
      <c r="IPU367" s="124"/>
      <c r="IPV367" s="124"/>
      <c r="IPW367" s="124"/>
      <c r="IPX367" s="124"/>
      <c r="IPY367" s="124"/>
      <c r="IPZ367" s="124"/>
      <c r="IQA367" s="124"/>
      <c r="IQB367" s="124"/>
      <c r="IQC367" s="124"/>
      <c r="IQD367" s="124"/>
      <c r="IQE367" s="124"/>
      <c r="IQF367" s="124"/>
      <c r="IQG367" s="124"/>
      <c r="IQH367" s="124"/>
      <c r="IQI367" s="124"/>
      <c r="IQJ367" s="124"/>
      <c r="IQK367" s="124"/>
      <c r="IQL367" s="124"/>
      <c r="IQM367" s="124"/>
      <c r="IQN367" s="124"/>
      <c r="IQO367" s="124"/>
      <c r="IQP367" s="124"/>
      <c r="IQQ367" s="124"/>
      <c r="IQR367" s="124"/>
      <c r="IQS367" s="124"/>
      <c r="IQT367" s="124"/>
      <c r="IQU367" s="124"/>
      <c r="IQV367" s="124"/>
      <c r="IQW367" s="124"/>
      <c r="IQX367" s="124"/>
      <c r="IQY367" s="124"/>
      <c r="IQZ367" s="124"/>
      <c r="IRA367" s="124"/>
      <c r="IRB367" s="124"/>
      <c r="IRC367" s="124"/>
      <c r="IRD367" s="124"/>
      <c r="IRE367" s="124"/>
      <c r="IRF367" s="124"/>
      <c r="IRG367" s="124"/>
      <c r="IRH367" s="124"/>
      <c r="IRI367" s="124"/>
      <c r="IRJ367" s="124"/>
      <c r="IRK367" s="124"/>
      <c r="IRL367" s="124"/>
      <c r="IRM367" s="124"/>
      <c r="IRN367" s="124"/>
      <c r="IRO367" s="124"/>
      <c r="IRP367" s="124"/>
      <c r="IRQ367" s="124"/>
      <c r="IRR367" s="124"/>
      <c r="IRS367" s="124"/>
      <c r="IRT367" s="124"/>
      <c r="IRU367" s="124"/>
      <c r="IRV367" s="124"/>
      <c r="IRW367" s="124"/>
      <c r="IRX367" s="124"/>
      <c r="IRY367" s="124"/>
      <c r="IRZ367" s="124"/>
      <c r="ISA367" s="124"/>
      <c r="ISB367" s="124"/>
      <c r="ISC367" s="124"/>
      <c r="ISD367" s="124"/>
      <c r="ISE367" s="124"/>
      <c r="ISF367" s="124"/>
      <c r="ISG367" s="124"/>
      <c r="ISH367" s="124"/>
      <c r="ISI367" s="124"/>
      <c r="ISJ367" s="124"/>
      <c r="ISK367" s="124"/>
      <c r="ISL367" s="124"/>
      <c r="ISM367" s="124"/>
      <c r="ISN367" s="124"/>
      <c r="ISO367" s="124"/>
      <c r="ISP367" s="124"/>
      <c r="ISQ367" s="124"/>
      <c r="ISR367" s="124"/>
      <c r="ISS367" s="124"/>
      <c r="IST367" s="124"/>
      <c r="ISU367" s="124"/>
      <c r="ISV367" s="124"/>
      <c r="ISW367" s="124"/>
      <c r="ISX367" s="124"/>
      <c r="ISY367" s="124"/>
      <c r="ISZ367" s="124"/>
      <c r="ITA367" s="124"/>
      <c r="ITB367" s="124"/>
      <c r="ITC367" s="124"/>
      <c r="ITD367" s="124"/>
      <c r="ITE367" s="124"/>
      <c r="ITF367" s="124"/>
      <c r="ITG367" s="124"/>
      <c r="ITH367" s="124"/>
      <c r="ITI367" s="124"/>
      <c r="ITJ367" s="124"/>
      <c r="ITK367" s="124"/>
      <c r="ITL367" s="124"/>
      <c r="ITM367" s="124"/>
      <c r="ITN367" s="124"/>
      <c r="ITO367" s="124"/>
      <c r="ITP367" s="124"/>
      <c r="ITQ367" s="124"/>
      <c r="ITR367" s="124"/>
      <c r="ITS367" s="124"/>
      <c r="ITT367" s="124"/>
      <c r="ITU367" s="124"/>
      <c r="ITV367" s="124"/>
      <c r="ITW367" s="124"/>
      <c r="ITX367" s="124"/>
      <c r="ITY367" s="124"/>
      <c r="ITZ367" s="124"/>
      <c r="IUA367" s="124"/>
      <c r="IUB367" s="124"/>
      <c r="IUC367" s="124"/>
      <c r="IUD367" s="124"/>
      <c r="IUE367" s="124"/>
      <c r="IUF367" s="124"/>
      <c r="IUG367" s="124"/>
      <c r="IUH367" s="124"/>
      <c r="IUI367" s="124"/>
      <c r="IUJ367" s="124"/>
      <c r="IUK367" s="124"/>
      <c r="IUL367" s="124"/>
      <c r="IUM367" s="124"/>
      <c r="IUN367" s="124"/>
      <c r="IUO367" s="124"/>
      <c r="IUP367" s="124"/>
      <c r="IUQ367" s="124"/>
      <c r="IUR367" s="124"/>
      <c r="IUS367" s="124"/>
      <c r="IUT367" s="124"/>
      <c r="IUU367" s="124"/>
      <c r="IUV367" s="124"/>
      <c r="IUW367" s="124"/>
      <c r="IUX367" s="124"/>
      <c r="IUY367" s="124"/>
      <c r="IUZ367" s="124"/>
      <c r="IVA367" s="124"/>
      <c r="IVB367" s="124"/>
      <c r="IVC367" s="124"/>
      <c r="IVD367" s="124"/>
      <c r="IVE367" s="124"/>
      <c r="IVF367" s="124"/>
      <c r="IVG367" s="124"/>
      <c r="IVH367" s="124"/>
      <c r="IVI367" s="124"/>
      <c r="IVJ367" s="124"/>
      <c r="IVK367" s="124"/>
      <c r="IVL367" s="124"/>
      <c r="IVM367" s="124"/>
      <c r="IVN367" s="124"/>
      <c r="IVO367" s="124"/>
      <c r="IVP367" s="124"/>
      <c r="IVQ367" s="124"/>
      <c r="IVR367" s="124"/>
      <c r="IVS367" s="124"/>
      <c r="IVT367" s="124"/>
      <c r="IVU367" s="124"/>
      <c r="IVV367" s="124"/>
      <c r="IVW367" s="124"/>
      <c r="IVX367" s="124"/>
      <c r="IVY367" s="124"/>
      <c r="IVZ367" s="124"/>
      <c r="IWA367" s="124"/>
      <c r="IWB367" s="124"/>
      <c r="IWC367" s="124"/>
      <c r="IWD367" s="124"/>
      <c r="IWE367" s="124"/>
      <c r="IWF367" s="124"/>
      <c r="IWG367" s="124"/>
      <c r="IWH367" s="124"/>
      <c r="IWI367" s="124"/>
      <c r="IWJ367" s="124"/>
      <c r="IWK367" s="124"/>
      <c r="IWL367" s="124"/>
      <c r="IWM367" s="124"/>
      <c r="IWN367" s="124"/>
      <c r="IWO367" s="124"/>
      <c r="IWP367" s="124"/>
      <c r="IWQ367" s="124"/>
      <c r="IWR367" s="124"/>
      <c r="IWS367" s="124"/>
      <c r="IWT367" s="124"/>
      <c r="IWU367" s="124"/>
      <c r="IWV367" s="124"/>
      <c r="IWW367" s="124"/>
      <c r="IWX367" s="124"/>
      <c r="IWY367" s="124"/>
      <c r="IWZ367" s="124"/>
      <c r="IXA367" s="124"/>
      <c r="IXB367" s="124"/>
      <c r="IXC367" s="124"/>
      <c r="IXD367" s="124"/>
      <c r="IXE367" s="124"/>
      <c r="IXF367" s="124"/>
      <c r="IXG367" s="124"/>
      <c r="IXH367" s="124"/>
      <c r="IXI367" s="124"/>
      <c r="IXJ367" s="124"/>
      <c r="IXK367" s="124"/>
      <c r="IXL367" s="124"/>
      <c r="IXM367" s="124"/>
      <c r="IXN367" s="124"/>
      <c r="IXO367" s="124"/>
      <c r="IXP367" s="124"/>
      <c r="IXQ367" s="124"/>
      <c r="IXR367" s="124"/>
      <c r="IXS367" s="124"/>
      <c r="IXT367" s="124"/>
      <c r="IXU367" s="124"/>
      <c r="IXV367" s="124"/>
      <c r="IXW367" s="124"/>
      <c r="IXX367" s="124"/>
      <c r="IXY367" s="124"/>
      <c r="IXZ367" s="124"/>
      <c r="IYA367" s="124"/>
      <c r="IYB367" s="124"/>
      <c r="IYC367" s="124"/>
      <c r="IYD367" s="124"/>
      <c r="IYE367" s="124"/>
      <c r="IYF367" s="124"/>
      <c r="IYG367" s="124"/>
      <c r="IYH367" s="124"/>
      <c r="IYI367" s="124"/>
      <c r="IYJ367" s="124"/>
      <c r="IYK367" s="124"/>
      <c r="IYL367" s="124"/>
      <c r="IYM367" s="124"/>
      <c r="IYN367" s="124"/>
      <c r="IYO367" s="124"/>
      <c r="IYP367" s="124"/>
      <c r="IYQ367" s="124"/>
      <c r="IYR367" s="124"/>
      <c r="IYS367" s="124"/>
      <c r="IYT367" s="124"/>
      <c r="IYU367" s="124"/>
      <c r="IYV367" s="124"/>
      <c r="IYW367" s="124"/>
      <c r="IYX367" s="124"/>
      <c r="IYY367" s="124"/>
      <c r="IYZ367" s="124"/>
      <c r="IZA367" s="124"/>
      <c r="IZB367" s="124"/>
      <c r="IZC367" s="124"/>
      <c r="IZD367" s="124"/>
      <c r="IZE367" s="124"/>
      <c r="IZF367" s="124"/>
      <c r="IZG367" s="124"/>
      <c r="IZH367" s="124"/>
      <c r="IZI367" s="124"/>
      <c r="IZJ367" s="124"/>
      <c r="IZK367" s="124"/>
      <c r="IZL367" s="124"/>
      <c r="IZM367" s="124"/>
      <c r="IZN367" s="124"/>
      <c r="IZO367" s="124"/>
      <c r="IZP367" s="124"/>
      <c r="IZQ367" s="124"/>
      <c r="IZR367" s="124"/>
      <c r="IZS367" s="124"/>
      <c r="IZT367" s="124"/>
      <c r="IZU367" s="124"/>
      <c r="IZV367" s="124"/>
      <c r="IZW367" s="124"/>
      <c r="IZX367" s="124"/>
      <c r="IZY367" s="124"/>
      <c r="IZZ367" s="124"/>
      <c r="JAA367" s="124"/>
      <c r="JAB367" s="124"/>
      <c r="JAC367" s="124"/>
      <c r="JAD367" s="124"/>
      <c r="JAE367" s="124"/>
      <c r="JAF367" s="124"/>
      <c r="JAG367" s="124"/>
      <c r="JAH367" s="124"/>
      <c r="JAI367" s="124"/>
      <c r="JAJ367" s="124"/>
      <c r="JAK367" s="124"/>
      <c r="JAL367" s="124"/>
      <c r="JAM367" s="124"/>
      <c r="JAN367" s="124"/>
      <c r="JAO367" s="124"/>
      <c r="JAP367" s="124"/>
      <c r="JAQ367" s="124"/>
      <c r="JAR367" s="124"/>
      <c r="JAS367" s="124"/>
      <c r="JAT367" s="124"/>
      <c r="JAU367" s="124"/>
      <c r="JAV367" s="124"/>
      <c r="JAW367" s="124"/>
      <c r="JAX367" s="124"/>
      <c r="JAY367" s="124"/>
      <c r="JAZ367" s="124"/>
      <c r="JBA367" s="124"/>
      <c r="JBB367" s="124"/>
      <c r="JBC367" s="124"/>
      <c r="JBD367" s="124"/>
      <c r="JBE367" s="124"/>
      <c r="JBF367" s="124"/>
      <c r="JBG367" s="124"/>
      <c r="JBH367" s="124"/>
      <c r="JBI367" s="124"/>
      <c r="JBJ367" s="124"/>
      <c r="JBK367" s="124"/>
      <c r="JBL367" s="124"/>
      <c r="JBM367" s="124"/>
      <c r="JBN367" s="124"/>
      <c r="JBO367" s="124"/>
      <c r="JBP367" s="124"/>
      <c r="JBQ367" s="124"/>
      <c r="JBR367" s="124"/>
      <c r="JBS367" s="124"/>
      <c r="JBT367" s="124"/>
      <c r="JBU367" s="124"/>
      <c r="JBV367" s="124"/>
      <c r="JBW367" s="124"/>
      <c r="JBX367" s="124"/>
      <c r="JBY367" s="124"/>
      <c r="JBZ367" s="124"/>
      <c r="JCA367" s="124"/>
      <c r="JCB367" s="124"/>
      <c r="JCC367" s="124"/>
      <c r="JCD367" s="124"/>
      <c r="JCE367" s="124"/>
      <c r="JCF367" s="124"/>
      <c r="JCG367" s="124"/>
      <c r="JCH367" s="124"/>
      <c r="JCI367" s="124"/>
      <c r="JCJ367" s="124"/>
      <c r="JCK367" s="124"/>
      <c r="JCL367" s="124"/>
      <c r="JCM367" s="124"/>
      <c r="JCN367" s="124"/>
      <c r="JCO367" s="124"/>
      <c r="JCP367" s="124"/>
      <c r="JCQ367" s="124"/>
      <c r="JCR367" s="124"/>
      <c r="JCS367" s="124"/>
      <c r="JCT367" s="124"/>
      <c r="JCU367" s="124"/>
      <c r="JCV367" s="124"/>
      <c r="JCW367" s="124"/>
      <c r="JCX367" s="124"/>
      <c r="JCY367" s="124"/>
      <c r="JCZ367" s="124"/>
      <c r="JDA367" s="124"/>
      <c r="JDB367" s="124"/>
      <c r="JDC367" s="124"/>
      <c r="JDD367" s="124"/>
      <c r="JDE367" s="124"/>
      <c r="JDF367" s="124"/>
      <c r="JDG367" s="124"/>
      <c r="JDH367" s="124"/>
      <c r="JDI367" s="124"/>
      <c r="JDJ367" s="124"/>
      <c r="JDK367" s="124"/>
      <c r="JDL367" s="124"/>
      <c r="JDM367" s="124"/>
      <c r="JDN367" s="124"/>
      <c r="JDO367" s="124"/>
      <c r="JDP367" s="124"/>
      <c r="JDQ367" s="124"/>
      <c r="JDR367" s="124"/>
      <c r="JDS367" s="124"/>
      <c r="JDT367" s="124"/>
      <c r="JDU367" s="124"/>
      <c r="JDV367" s="124"/>
      <c r="JDW367" s="124"/>
      <c r="JDX367" s="124"/>
      <c r="JDY367" s="124"/>
      <c r="JDZ367" s="124"/>
      <c r="JEA367" s="124"/>
      <c r="JEB367" s="124"/>
      <c r="JEC367" s="124"/>
      <c r="JED367" s="124"/>
      <c r="JEE367" s="124"/>
      <c r="JEF367" s="124"/>
      <c r="JEG367" s="124"/>
      <c r="JEH367" s="124"/>
      <c r="JEI367" s="124"/>
      <c r="JEJ367" s="124"/>
      <c r="JEK367" s="124"/>
      <c r="JEL367" s="124"/>
      <c r="JEM367" s="124"/>
      <c r="JEN367" s="124"/>
      <c r="JEO367" s="124"/>
      <c r="JEP367" s="124"/>
      <c r="JEQ367" s="124"/>
      <c r="JER367" s="124"/>
      <c r="JES367" s="124"/>
      <c r="JET367" s="124"/>
      <c r="JEU367" s="124"/>
      <c r="JEV367" s="124"/>
      <c r="JEW367" s="124"/>
      <c r="JEX367" s="124"/>
      <c r="JEY367" s="124"/>
      <c r="JEZ367" s="124"/>
      <c r="JFA367" s="124"/>
      <c r="JFB367" s="124"/>
      <c r="JFC367" s="124"/>
      <c r="JFD367" s="124"/>
      <c r="JFE367" s="124"/>
      <c r="JFF367" s="124"/>
      <c r="JFG367" s="124"/>
      <c r="JFH367" s="124"/>
      <c r="JFI367" s="124"/>
      <c r="JFJ367" s="124"/>
      <c r="JFK367" s="124"/>
      <c r="JFL367" s="124"/>
      <c r="JFM367" s="124"/>
      <c r="JFN367" s="124"/>
      <c r="JFO367" s="124"/>
      <c r="JFP367" s="124"/>
      <c r="JFQ367" s="124"/>
      <c r="JFR367" s="124"/>
      <c r="JFS367" s="124"/>
      <c r="JFT367" s="124"/>
      <c r="JFU367" s="124"/>
      <c r="JFV367" s="124"/>
      <c r="JFW367" s="124"/>
      <c r="JFX367" s="124"/>
      <c r="JFY367" s="124"/>
      <c r="JFZ367" s="124"/>
      <c r="JGA367" s="124"/>
      <c r="JGB367" s="124"/>
      <c r="JGC367" s="124"/>
      <c r="JGD367" s="124"/>
      <c r="JGE367" s="124"/>
      <c r="JGF367" s="124"/>
      <c r="JGG367" s="124"/>
      <c r="JGH367" s="124"/>
      <c r="JGI367" s="124"/>
      <c r="JGJ367" s="124"/>
      <c r="JGK367" s="124"/>
      <c r="JGL367" s="124"/>
      <c r="JGM367" s="124"/>
      <c r="JGN367" s="124"/>
      <c r="JGO367" s="124"/>
      <c r="JGP367" s="124"/>
      <c r="JGQ367" s="124"/>
      <c r="JGR367" s="124"/>
      <c r="JGS367" s="124"/>
      <c r="JGT367" s="124"/>
      <c r="JGU367" s="124"/>
      <c r="JGV367" s="124"/>
      <c r="JGW367" s="124"/>
      <c r="JGX367" s="124"/>
      <c r="JGY367" s="124"/>
      <c r="JGZ367" s="124"/>
      <c r="JHA367" s="124"/>
      <c r="JHB367" s="124"/>
      <c r="JHC367" s="124"/>
      <c r="JHD367" s="124"/>
      <c r="JHE367" s="124"/>
      <c r="JHF367" s="124"/>
      <c r="JHG367" s="124"/>
      <c r="JHH367" s="124"/>
      <c r="JHI367" s="124"/>
      <c r="JHJ367" s="124"/>
      <c r="JHK367" s="124"/>
      <c r="JHL367" s="124"/>
      <c r="JHM367" s="124"/>
      <c r="JHN367" s="124"/>
      <c r="JHO367" s="124"/>
      <c r="JHP367" s="124"/>
      <c r="JHQ367" s="124"/>
      <c r="JHR367" s="124"/>
      <c r="JHS367" s="124"/>
      <c r="JHT367" s="124"/>
      <c r="JHU367" s="124"/>
      <c r="JHV367" s="124"/>
      <c r="JHW367" s="124"/>
      <c r="JHX367" s="124"/>
      <c r="JHY367" s="124"/>
      <c r="JHZ367" s="124"/>
      <c r="JIA367" s="124"/>
      <c r="JIB367" s="124"/>
      <c r="JIC367" s="124"/>
      <c r="JID367" s="124"/>
      <c r="JIE367" s="124"/>
      <c r="JIF367" s="124"/>
      <c r="JIG367" s="124"/>
      <c r="JIH367" s="124"/>
      <c r="JII367" s="124"/>
      <c r="JIJ367" s="124"/>
      <c r="JIK367" s="124"/>
      <c r="JIL367" s="124"/>
      <c r="JIM367" s="124"/>
      <c r="JIN367" s="124"/>
      <c r="JIO367" s="124"/>
      <c r="JIP367" s="124"/>
      <c r="JIQ367" s="124"/>
      <c r="JIR367" s="124"/>
      <c r="JIS367" s="124"/>
      <c r="JIT367" s="124"/>
      <c r="JIU367" s="124"/>
      <c r="JIV367" s="124"/>
      <c r="JIW367" s="124"/>
      <c r="JIX367" s="124"/>
      <c r="JIY367" s="124"/>
      <c r="JIZ367" s="124"/>
      <c r="JJA367" s="124"/>
      <c r="JJB367" s="124"/>
      <c r="JJC367" s="124"/>
      <c r="JJD367" s="124"/>
      <c r="JJE367" s="124"/>
      <c r="JJF367" s="124"/>
      <c r="JJG367" s="124"/>
      <c r="JJH367" s="124"/>
      <c r="JJI367" s="124"/>
      <c r="JJJ367" s="124"/>
      <c r="JJK367" s="124"/>
      <c r="JJL367" s="124"/>
      <c r="JJM367" s="124"/>
      <c r="JJN367" s="124"/>
      <c r="JJO367" s="124"/>
      <c r="JJP367" s="124"/>
      <c r="JJQ367" s="124"/>
      <c r="JJR367" s="124"/>
      <c r="JJS367" s="124"/>
      <c r="JJT367" s="124"/>
      <c r="JJU367" s="124"/>
      <c r="JJV367" s="124"/>
      <c r="JJW367" s="124"/>
      <c r="JJX367" s="124"/>
      <c r="JJY367" s="124"/>
      <c r="JJZ367" s="124"/>
      <c r="JKA367" s="124"/>
      <c r="JKB367" s="124"/>
      <c r="JKC367" s="124"/>
      <c r="JKD367" s="124"/>
      <c r="JKE367" s="124"/>
      <c r="JKF367" s="124"/>
      <c r="JKG367" s="124"/>
      <c r="JKH367" s="124"/>
      <c r="JKI367" s="124"/>
      <c r="JKJ367" s="124"/>
      <c r="JKK367" s="124"/>
      <c r="JKL367" s="124"/>
      <c r="JKM367" s="124"/>
      <c r="JKN367" s="124"/>
      <c r="JKO367" s="124"/>
      <c r="JKP367" s="124"/>
      <c r="JKQ367" s="124"/>
      <c r="JKR367" s="124"/>
      <c r="JKS367" s="124"/>
      <c r="JKT367" s="124"/>
      <c r="JKU367" s="124"/>
      <c r="JKV367" s="124"/>
      <c r="JKW367" s="124"/>
      <c r="JKX367" s="124"/>
      <c r="JKY367" s="124"/>
      <c r="JKZ367" s="124"/>
      <c r="JLA367" s="124"/>
      <c r="JLB367" s="124"/>
      <c r="JLC367" s="124"/>
      <c r="JLD367" s="124"/>
      <c r="JLE367" s="124"/>
      <c r="JLF367" s="124"/>
      <c r="JLG367" s="124"/>
      <c r="JLH367" s="124"/>
      <c r="JLI367" s="124"/>
      <c r="JLJ367" s="124"/>
      <c r="JLK367" s="124"/>
      <c r="JLL367" s="124"/>
      <c r="JLM367" s="124"/>
      <c r="JLN367" s="124"/>
      <c r="JLO367" s="124"/>
      <c r="JLP367" s="124"/>
      <c r="JLQ367" s="124"/>
      <c r="JLR367" s="124"/>
      <c r="JLS367" s="124"/>
      <c r="JLT367" s="124"/>
      <c r="JLU367" s="124"/>
      <c r="JLV367" s="124"/>
      <c r="JLW367" s="124"/>
      <c r="JLX367" s="124"/>
      <c r="JLY367" s="124"/>
      <c r="JLZ367" s="124"/>
      <c r="JMA367" s="124"/>
      <c r="JMB367" s="124"/>
      <c r="JMC367" s="124"/>
      <c r="JMD367" s="124"/>
      <c r="JME367" s="124"/>
      <c r="JMF367" s="124"/>
      <c r="JMG367" s="124"/>
      <c r="JMH367" s="124"/>
      <c r="JMI367" s="124"/>
      <c r="JMJ367" s="124"/>
      <c r="JMK367" s="124"/>
      <c r="JML367" s="124"/>
      <c r="JMM367" s="124"/>
      <c r="JMN367" s="124"/>
      <c r="JMO367" s="124"/>
      <c r="JMP367" s="124"/>
      <c r="JMQ367" s="124"/>
      <c r="JMR367" s="124"/>
      <c r="JMS367" s="124"/>
      <c r="JMT367" s="124"/>
      <c r="JMU367" s="124"/>
      <c r="JMV367" s="124"/>
      <c r="JMW367" s="124"/>
      <c r="JMX367" s="124"/>
      <c r="JMY367" s="124"/>
      <c r="JMZ367" s="124"/>
      <c r="JNA367" s="124"/>
      <c r="JNB367" s="124"/>
      <c r="JNC367" s="124"/>
      <c r="JND367" s="124"/>
      <c r="JNE367" s="124"/>
      <c r="JNF367" s="124"/>
      <c r="JNG367" s="124"/>
      <c r="JNH367" s="124"/>
      <c r="JNI367" s="124"/>
      <c r="JNJ367" s="124"/>
      <c r="JNK367" s="124"/>
      <c r="JNL367" s="124"/>
      <c r="JNM367" s="124"/>
      <c r="JNN367" s="124"/>
      <c r="JNO367" s="124"/>
      <c r="JNP367" s="124"/>
      <c r="JNQ367" s="124"/>
      <c r="JNR367" s="124"/>
      <c r="JNS367" s="124"/>
      <c r="JNT367" s="124"/>
      <c r="JNU367" s="124"/>
      <c r="JNV367" s="124"/>
      <c r="JNW367" s="124"/>
      <c r="JNX367" s="124"/>
      <c r="JNY367" s="124"/>
      <c r="JNZ367" s="124"/>
      <c r="JOA367" s="124"/>
      <c r="JOB367" s="124"/>
      <c r="JOC367" s="124"/>
      <c r="JOD367" s="124"/>
      <c r="JOE367" s="124"/>
      <c r="JOF367" s="124"/>
      <c r="JOG367" s="124"/>
      <c r="JOH367" s="124"/>
      <c r="JOI367" s="124"/>
      <c r="JOJ367" s="124"/>
      <c r="JOK367" s="124"/>
      <c r="JOL367" s="124"/>
      <c r="JOM367" s="124"/>
      <c r="JON367" s="124"/>
      <c r="JOO367" s="124"/>
      <c r="JOP367" s="124"/>
      <c r="JOQ367" s="124"/>
      <c r="JOR367" s="124"/>
      <c r="JOS367" s="124"/>
      <c r="JOT367" s="124"/>
      <c r="JOU367" s="124"/>
      <c r="JOV367" s="124"/>
      <c r="JOW367" s="124"/>
      <c r="JOX367" s="124"/>
      <c r="JOY367" s="124"/>
      <c r="JOZ367" s="124"/>
      <c r="JPA367" s="124"/>
      <c r="JPB367" s="124"/>
      <c r="JPC367" s="124"/>
      <c r="JPD367" s="124"/>
      <c r="JPE367" s="124"/>
      <c r="JPF367" s="124"/>
      <c r="JPG367" s="124"/>
      <c r="JPH367" s="124"/>
      <c r="JPI367" s="124"/>
      <c r="JPJ367" s="124"/>
      <c r="JPK367" s="124"/>
      <c r="JPL367" s="124"/>
      <c r="JPM367" s="124"/>
      <c r="JPN367" s="124"/>
      <c r="JPO367" s="124"/>
      <c r="JPP367" s="124"/>
      <c r="JPQ367" s="124"/>
      <c r="JPR367" s="124"/>
      <c r="JPS367" s="124"/>
      <c r="JPT367" s="124"/>
      <c r="JPU367" s="124"/>
      <c r="JPV367" s="124"/>
      <c r="JPW367" s="124"/>
      <c r="JPX367" s="124"/>
      <c r="JPY367" s="124"/>
      <c r="JPZ367" s="124"/>
      <c r="JQA367" s="124"/>
      <c r="JQB367" s="124"/>
      <c r="JQC367" s="124"/>
      <c r="JQD367" s="124"/>
      <c r="JQE367" s="124"/>
      <c r="JQF367" s="124"/>
      <c r="JQG367" s="124"/>
      <c r="JQH367" s="124"/>
      <c r="JQI367" s="124"/>
      <c r="JQJ367" s="124"/>
      <c r="JQK367" s="124"/>
      <c r="JQL367" s="124"/>
      <c r="JQM367" s="124"/>
      <c r="JQN367" s="124"/>
      <c r="JQO367" s="124"/>
      <c r="JQP367" s="124"/>
      <c r="JQQ367" s="124"/>
      <c r="JQR367" s="124"/>
      <c r="JQS367" s="124"/>
      <c r="JQT367" s="124"/>
      <c r="JQU367" s="124"/>
      <c r="JQV367" s="124"/>
      <c r="JQW367" s="124"/>
      <c r="JQX367" s="124"/>
      <c r="JQY367" s="124"/>
      <c r="JQZ367" s="124"/>
      <c r="JRA367" s="124"/>
      <c r="JRB367" s="124"/>
      <c r="JRC367" s="124"/>
      <c r="JRD367" s="124"/>
      <c r="JRE367" s="124"/>
      <c r="JRF367" s="124"/>
      <c r="JRG367" s="124"/>
      <c r="JRH367" s="124"/>
      <c r="JRI367" s="124"/>
      <c r="JRJ367" s="124"/>
      <c r="JRK367" s="124"/>
      <c r="JRL367" s="124"/>
      <c r="JRM367" s="124"/>
      <c r="JRN367" s="124"/>
      <c r="JRO367" s="124"/>
      <c r="JRP367" s="124"/>
      <c r="JRQ367" s="124"/>
      <c r="JRR367" s="124"/>
      <c r="JRS367" s="124"/>
      <c r="JRT367" s="124"/>
      <c r="JRU367" s="124"/>
      <c r="JRV367" s="124"/>
      <c r="JRW367" s="124"/>
      <c r="JRX367" s="124"/>
      <c r="JRY367" s="124"/>
      <c r="JRZ367" s="124"/>
      <c r="JSA367" s="124"/>
      <c r="JSB367" s="124"/>
      <c r="JSC367" s="124"/>
      <c r="JSD367" s="124"/>
      <c r="JSE367" s="124"/>
      <c r="JSF367" s="124"/>
      <c r="JSG367" s="124"/>
      <c r="JSH367" s="124"/>
      <c r="JSI367" s="124"/>
      <c r="JSJ367" s="124"/>
      <c r="JSK367" s="124"/>
      <c r="JSL367" s="124"/>
      <c r="JSM367" s="124"/>
      <c r="JSN367" s="124"/>
      <c r="JSO367" s="124"/>
      <c r="JSP367" s="124"/>
      <c r="JSQ367" s="124"/>
      <c r="JSR367" s="124"/>
      <c r="JSS367" s="124"/>
      <c r="JST367" s="124"/>
      <c r="JSU367" s="124"/>
      <c r="JSV367" s="124"/>
      <c r="JSW367" s="124"/>
      <c r="JSX367" s="124"/>
      <c r="JSY367" s="124"/>
      <c r="JSZ367" s="124"/>
      <c r="JTA367" s="124"/>
      <c r="JTB367" s="124"/>
      <c r="JTC367" s="124"/>
      <c r="JTD367" s="124"/>
      <c r="JTE367" s="124"/>
      <c r="JTF367" s="124"/>
      <c r="JTG367" s="124"/>
      <c r="JTH367" s="124"/>
      <c r="JTI367" s="124"/>
      <c r="JTJ367" s="124"/>
      <c r="JTK367" s="124"/>
      <c r="JTL367" s="124"/>
      <c r="JTM367" s="124"/>
      <c r="JTN367" s="124"/>
      <c r="JTO367" s="124"/>
      <c r="JTP367" s="124"/>
      <c r="JTQ367" s="124"/>
      <c r="JTR367" s="124"/>
      <c r="JTS367" s="124"/>
      <c r="JTT367" s="124"/>
      <c r="JTU367" s="124"/>
      <c r="JTV367" s="124"/>
      <c r="JTW367" s="124"/>
      <c r="JTX367" s="124"/>
      <c r="JTY367" s="124"/>
      <c r="JTZ367" s="124"/>
      <c r="JUA367" s="124"/>
      <c r="JUB367" s="124"/>
      <c r="JUC367" s="124"/>
      <c r="JUD367" s="124"/>
      <c r="JUE367" s="124"/>
      <c r="JUF367" s="124"/>
      <c r="JUG367" s="124"/>
      <c r="JUH367" s="124"/>
      <c r="JUI367" s="124"/>
      <c r="JUJ367" s="124"/>
      <c r="JUK367" s="124"/>
      <c r="JUL367" s="124"/>
      <c r="JUM367" s="124"/>
      <c r="JUN367" s="124"/>
      <c r="JUO367" s="124"/>
      <c r="JUP367" s="124"/>
      <c r="JUQ367" s="124"/>
      <c r="JUR367" s="124"/>
      <c r="JUS367" s="124"/>
      <c r="JUT367" s="124"/>
      <c r="JUU367" s="124"/>
      <c r="JUV367" s="124"/>
      <c r="JUW367" s="124"/>
      <c r="JUX367" s="124"/>
      <c r="JUY367" s="124"/>
      <c r="JUZ367" s="124"/>
      <c r="JVA367" s="124"/>
      <c r="JVB367" s="124"/>
      <c r="JVC367" s="124"/>
      <c r="JVD367" s="124"/>
      <c r="JVE367" s="124"/>
      <c r="JVF367" s="124"/>
      <c r="JVG367" s="124"/>
      <c r="JVH367" s="124"/>
      <c r="JVI367" s="124"/>
      <c r="JVJ367" s="124"/>
      <c r="JVK367" s="124"/>
      <c r="JVL367" s="124"/>
      <c r="JVM367" s="124"/>
      <c r="JVN367" s="124"/>
      <c r="JVO367" s="124"/>
      <c r="JVP367" s="124"/>
      <c r="JVQ367" s="124"/>
      <c r="JVR367" s="124"/>
      <c r="JVS367" s="124"/>
      <c r="JVT367" s="124"/>
      <c r="JVU367" s="124"/>
      <c r="JVV367" s="124"/>
      <c r="JVW367" s="124"/>
      <c r="JVX367" s="124"/>
      <c r="JVY367" s="124"/>
      <c r="JVZ367" s="124"/>
      <c r="JWA367" s="124"/>
      <c r="JWB367" s="124"/>
      <c r="JWC367" s="124"/>
      <c r="JWD367" s="124"/>
      <c r="JWE367" s="124"/>
      <c r="JWF367" s="124"/>
      <c r="JWG367" s="124"/>
      <c r="JWH367" s="124"/>
      <c r="JWI367" s="124"/>
      <c r="JWJ367" s="124"/>
      <c r="JWK367" s="124"/>
      <c r="JWL367" s="124"/>
      <c r="JWM367" s="124"/>
      <c r="JWN367" s="124"/>
      <c r="JWO367" s="124"/>
      <c r="JWP367" s="124"/>
      <c r="JWQ367" s="124"/>
      <c r="JWR367" s="124"/>
      <c r="JWS367" s="124"/>
      <c r="JWT367" s="124"/>
      <c r="JWU367" s="124"/>
      <c r="JWV367" s="124"/>
      <c r="JWW367" s="124"/>
      <c r="JWX367" s="124"/>
      <c r="JWY367" s="124"/>
      <c r="JWZ367" s="124"/>
      <c r="JXA367" s="124"/>
      <c r="JXB367" s="124"/>
      <c r="JXC367" s="124"/>
      <c r="JXD367" s="124"/>
      <c r="JXE367" s="124"/>
      <c r="JXF367" s="124"/>
      <c r="JXG367" s="124"/>
      <c r="JXH367" s="124"/>
      <c r="JXI367" s="124"/>
      <c r="JXJ367" s="124"/>
      <c r="JXK367" s="124"/>
      <c r="JXL367" s="124"/>
      <c r="JXM367" s="124"/>
      <c r="JXN367" s="124"/>
      <c r="JXO367" s="124"/>
      <c r="JXP367" s="124"/>
      <c r="JXQ367" s="124"/>
      <c r="JXR367" s="124"/>
      <c r="JXS367" s="124"/>
      <c r="JXT367" s="124"/>
      <c r="JXU367" s="124"/>
      <c r="JXV367" s="124"/>
      <c r="JXW367" s="124"/>
      <c r="JXX367" s="124"/>
      <c r="JXY367" s="124"/>
      <c r="JXZ367" s="124"/>
      <c r="JYA367" s="124"/>
      <c r="JYB367" s="124"/>
      <c r="JYC367" s="124"/>
      <c r="JYD367" s="124"/>
      <c r="JYE367" s="124"/>
      <c r="JYF367" s="124"/>
      <c r="JYG367" s="124"/>
      <c r="JYH367" s="124"/>
      <c r="JYI367" s="124"/>
      <c r="JYJ367" s="124"/>
      <c r="JYK367" s="124"/>
      <c r="JYL367" s="124"/>
      <c r="JYM367" s="124"/>
      <c r="JYN367" s="124"/>
      <c r="JYO367" s="124"/>
      <c r="JYP367" s="124"/>
      <c r="JYQ367" s="124"/>
      <c r="JYR367" s="124"/>
      <c r="JYS367" s="124"/>
      <c r="JYT367" s="124"/>
      <c r="JYU367" s="124"/>
      <c r="JYV367" s="124"/>
      <c r="JYW367" s="124"/>
      <c r="JYX367" s="124"/>
      <c r="JYY367" s="124"/>
      <c r="JYZ367" s="124"/>
      <c r="JZA367" s="124"/>
      <c r="JZB367" s="124"/>
      <c r="JZC367" s="124"/>
      <c r="JZD367" s="124"/>
      <c r="JZE367" s="124"/>
      <c r="JZF367" s="124"/>
      <c r="JZG367" s="124"/>
      <c r="JZH367" s="124"/>
      <c r="JZI367" s="124"/>
      <c r="JZJ367" s="124"/>
      <c r="JZK367" s="124"/>
      <c r="JZL367" s="124"/>
      <c r="JZM367" s="124"/>
      <c r="JZN367" s="124"/>
      <c r="JZO367" s="124"/>
      <c r="JZP367" s="124"/>
      <c r="JZQ367" s="124"/>
      <c r="JZR367" s="124"/>
      <c r="JZS367" s="124"/>
      <c r="JZT367" s="124"/>
      <c r="JZU367" s="124"/>
      <c r="JZV367" s="124"/>
      <c r="JZW367" s="124"/>
      <c r="JZX367" s="124"/>
      <c r="JZY367" s="124"/>
      <c r="JZZ367" s="124"/>
      <c r="KAA367" s="124"/>
      <c r="KAB367" s="124"/>
      <c r="KAC367" s="124"/>
      <c r="KAD367" s="124"/>
      <c r="KAE367" s="124"/>
      <c r="KAF367" s="124"/>
      <c r="KAG367" s="124"/>
      <c r="KAH367" s="124"/>
      <c r="KAI367" s="124"/>
      <c r="KAJ367" s="124"/>
      <c r="KAK367" s="124"/>
      <c r="KAL367" s="124"/>
      <c r="KAM367" s="124"/>
      <c r="KAN367" s="124"/>
      <c r="KAO367" s="124"/>
      <c r="KAP367" s="124"/>
      <c r="KAQ367" s="124"/>
      <c r="KAR367" s="124"/>
      <c r="KAS367" s="124"/>
      <c r="KAT367" s="124"/>
      <c r="KAU367" s="124"/>
      <c r="KAV367" s="124"/>
      <c r="KAW367" s="124"/>
      <c r="KAX367" s="124"/>
      <c r="KAY367" s="124"/>
      <c r="KAZ367" s="124"/>
      <c r="KBA367" s="124"/>
      <c r="KBB367" s="124"/>
      <c r="KBC367" s="124"/>
      <c r="KBD367" s="124"/>
      <c r="KBE367" s="124"/>
      <c r="KBF367" s="124"/>
      <c r="KBG367" s="124"/>
      <c r="KBH367" s="124"/>
      <c r="KBI367" s="124"/>
      <c r="KBJ367" s="124"/>
      <c r="KBK367" s="124"/>
      <c r="KBL367" s="124"/>
      <c r="KBM367" s="124"/>
      <c r="KBN367" s="124"/>
      <c r="KBO367" s="124"/>
      <c r="KBP367" s="124"/>
      <c r="KBQ367" s="124"/>
      <c r="KBR367" s="124"/>
      <c r="KBS367" s="124"/>
      <c r="KBT367" s="124"/>
      <c r="KBU367" s="124"/>
      <c r="KBV367" s="124"/>
      <c r="KBW367" s="124"/>
      <c r="KBX367" s="124"/>
      <c r="KBY367" s="124"/>
      <c r="KBZ367" s="124"/>
      <c r="KCA367" s="124"/>
      <c r="KCB367" s="124"/>
      <c r="KCC367" s="124"/>
      <c r="KCD367" s="124"/>
      <c r="KCE367" s="124"/>
      <c r="KCF367" s="124"/>
      <c r="KCG367" s="124"/>
      <c r="KCH367" s="124"/>
      <c r="KCI367" s="124"/>
      <c r="KCJ367" s="124"/>
      <c r="KCK367" s="124"/>
      <c r="KCL367" s="124"/>
      <c r="KCM367" s="124"/>
      <c r="KCN367" s="124"/>
      <c r="KCO367" s="124"/>
      <c r="KCP367" s="124"/>
      <c r="KCQ367" s="124"/>
      <c r="KCR367" s="124"/>
      <c r="KCS367" s="124"/>
      <c r="KCT367" s="124"/>
      <c r="KCU367" s="124"/>
      <c r="KCV367" s="124"/>
      <c r="KCW367" s="124"/>
      <c r="KCX367" s="124"/>
      <c r="KCY367" s="124"/>
      <c r="KCZ367" s="124"/>
      <c r="KDA367" s="124"/>
      <c r="KDB367" s="124"/>
      <c r="KDC367" s="124"/>
      <c r="KDD367" s="124"/>
      <c r="KDE367" s="124"/>
      <c r="KDF367" s="124"/>
      <c r="KDG367" s="124"/>
      <c r="KDH367" s="124"/>
      <c r="KDI367" s="124"/>
      <c r="KDJ367" s="124"/>
      <c r="KDK367" s="124"/>
      <c r="KDL367" s="124"/>
      <c r="KDM367" s="124"/>
      <c r="KDN367" s="124"/>
      <c r="KDO367" s="124"/>
      <c r="KDP367" s="124"/>
      <c r="KDQ367" s="124"/>
      <c r="KDR367" s="124"/>
      <c r="KDS367" s="124"/>
      <c r="KDT367" s="124"/>
      <c r="KDU367" s="124"/>
      <c r="KDV367" s="124"/>
      <c r="KDW367" s="124"/>
      <c r="KDX367" s="124"/>
      <c r="KDY367" s="124"/>
      <c r="KDZ367" s="124"/>
      <c r="KEA367" s="124"/>
      <c r="KEB367" s="124"/>
      <c r="KEC367" s="124"/>
      <c r="KED367" s="124"/>
      <c r="KEE367" s="124"/>
      <c r="KEF367" s="124"/>
      <c r="KEG367" s="124"/>
      <c r="KEH367" s="124"/>
      <c r="KEI367" s="124"/>
      <c r="KEJ367" s="124"/>
      <c r="KEK367" s="124"/>
      <c r="KEL367" s="124"/>
      <c r="KEM367" s="124"/>
      <c r="KEN367" s="124"/>
      <c r="KEO367" s="124"/>
      <c r="KEP367" s="124"/>
      <c r="KEQ367" s="124"/>
      <c r="KER367" s="124"/>
      <c r="KES367" s="124"/>
      <c r="KET367" s="124"/>
      <c r="KEU367" s="124"/>
      <c r="KEV367" s="124"/>
      <c r="KEW367" s="124"/>
      <c r="KEX367" s="124"/>
      <c r="KEY367" s="124"/>
      <c r="KEZ367" s="124"/>
      <c r="KFA367" s="124"/>
      <c r="KFB367" s="124"/>
      <c r="KFC367" s="124"/>
      <c r="KFD367" s="124"/>
      <c r="KFE367" s="124"/>
      <c r="KFF367" s="124"/>
      <c r="KFG367" s="124"/>
      <c r="KFH367" s="124"/>
      <c r="KFI367" s="124"/>
      <c r="KFJ367" s="124"/>
      <c r="KFK367" s="124"/>
      <c r="KFL367" s="124"/>
      <c r="KFM367" s="124"/>
      <c r="KFN367" s="124"/>
      <c r="KFO367" s="124"/>
      <c r="KFP367" s="124"/>
      <c r="KFQ367" s="124"/>
      <c r="KFR367" s="124"/>
      <c r="KFS367" s="124"/>
      <c r="KFT367" s="124"/>
      <c r="KFU367" s="124"/>
      <c r="KFV367" s="124"/>
      <c r="KFW367" s="124"/>
      <c r="KFX367" s="124"/>
      <c r="KFY367" s="124"/>
      <c r="KFZ367" s="124"/>
      <c r="KGA367" s="124"/>
      <c r="KGB367" s="124"/>
      <c r="KGC367" s="124"/>
      <c r="KGD367" s="124"/>
      <c r="KGE367" s="124"/>
      <c r="KGF367" s="124"/>
      <c r="KGG367" s="124"/>
      <c r="KGH367" s="124"/>
      <c r="KGI367" s="124"/>
      <c r="KGJ367" s="124"/>
      <c r="KGK367" s="124"/>
      <c r="KGL367" s="124"/>
      <c r="KGM367" s="124"/>
      <c r="KGN367" s="124"/>
      <c r="KGO367" s="124"/>
      <c r="KGP367" s="124"/>
      <c r="KGQ367" s="124"/>
      <c r="KGR367" s="124"/>
      <c r="KGS367" s="124"/>
      <c r="KGT367" s="124"/>
      <c r="KGU367" s="124"/>
      <c r="KGV367" s="124"/>
      <c r="KGW367" s="124"/>
      <c r="KGX367" s="124"/>
      <c r="KGY367" s="124"/>
      <c r="KGZ367" s="124"/>
      <c r="KHA367" s="124"/>
      <c r="KHB367" s="124"/>
      <c r="KHC367" s="124"/>
      <c r="KHD367" s="124"/>
      <c r="KHE367" s="124"/>
      <c r="KHF367" s="124"/>
      <c r="KHG367" s="124"/>
      <c r="KHH367" s="124"/>
      <c r="KHI367" s="124"/>
      <c r="KHJ367" s="124"/>
      <c r="KHK367" s="124"/>
      <c r="KHL367" s="124"/>
      <c r="KHM367" s="124"/>
      <c r="KHN367" s="124"/>
      <c r="KHO367" s="124"/>
      <c r="KHP367" s="124"/>
      <c r="KHQ367" s="124"/>
      <c r="KHR367" s="124"/>
      <c r="KHS367" s="124"/>
      <c r="KHT367" s="124"/>
      <c r="KHU367" s="124"/>
      <c r="KHV367" s="124"/>
      <c r="KHW367" s="124"/>
      <c r="KHX367" s="124"/>
      <c r="KHY367" s="124"/>
      <c r="KHZ367" s="124"/>
      <c r="KIA367" s="124"/>
      <c r="KIB367" s="124"/>
      <c r="KIC367" s="124"/>
      <c r="KID367" s="124"/>
      <c r="KIE367" s="124"/>
      <c r="KIF367" s="124"/>
      <c r="KIG367" s="124"/>
      <c r="KIH367" s="124"/>
      <c r="KII367" s="124"/>
      <c r="KIJ367" s="124"/>
      <c r="KIK367" s="124"/>
      <c r="KIL367" s="124"/>
      <c r="KIM367" s="124"/>
      <c r="KIN367" s="124"/>
      <c r="KIO367" s="124"/>
      <c r="KIP367" s="124"/>
      <c r="KIQ367" s="124"/>
      <c r="KIR367" s="124"/>
      <c r="KIS367" s="124"/>
      <c r="KIT367" s="124"/>
      <c r="KIU367" s="124"/>
      <c r="KIV367" s="124"/>
      <c r="KIW367" s="124"/>
      <c r="KIX367" s="124"/>
      <c r="KIY367" s="124"/>
      <c r="KIZ367" s="124"/>
      <c r="KJA367" s="124"/>
      <c r="KJB367" s="124"/>
      <c r="KJC367" s="124"/>
      <c r="KJD367" s="124"/>
      <c r="KJE367" s="124"/>
      <c r="KJF367" s="124"/>
      <c r="KJG367" s="124"/>
      <c r="KJH367" s="124"/>
      <c r="KJI367" s="124"/>
      <c r="KJJ367" s="124"/>
      <c r="KJK367" s="124"/>
      <c r="KJL367" s="124"/>
      <c r="KJM367" s="124"/>
      <c r="KJN367" s="124"/>
      <c r="KJO367" s="124"/>
      <c r="KJP367" s="124"/>
      <c r="KJQ367" s="124"/>
      <c r="KJR367" s="124"/>
      <c r="KJS367" s="124"/>
      <c r="KJT367" s="124"/>
      <c r="KJU367" s="124"/>
      <c r="KJV367" s="124"/>
      <c r="KJW367" s="124"/>
      <c r="KJX367" s="124"/>
      <c r="KJY367" s="124"/>
      <c r="KJZ367" s="124"/>
      <c r="KKA367" s="124"/>
      <c r="KKB367" s="124"/>
      <c r="KKC367" s="124"/>
      <c r="KKD367" s="124"/>
      <c r="KKE367" s="124"/>
      <c r="KKF367" s="124"/>
      <c r="KKG367" s="124"/>
      <c r="KKH367" s="124"/>
      <c r="KKI367" s="124"/>
      <c r="KKJ367" s="124"/>
      <c r="KKK367" s="124"/>
      <c r="KKL367" s="124"/>
      <c r="KKM367" s="124"/>
      <c r="KKN367" s="124"/>
      <c r="KKO367" s="124"/>
      <c r="KKP367" s="124"/>
      <c r="KKQ367" s="124"/>
      <c r="KKR367" s="124"/>
      <c r="KKS367" s="124"/>
      <c r="KKT367" s="124"/>
      <c r="KKU367" s="124"/>
      <c r="KKV367" s="124"/>
      <c r="KKW367" s="124"/>
      <c r="KKX367" s="124"/>
      <c r="KKY367" s="124"/>
      <c r="KKZ367" s="124"/>
      <c r="KLA367" s="124"/>
      <c r="KLB367" s="124"/>
      <c r="KLC367" s="124"/>
      <c r="KLD367" s="124"/>
      <c r="KLE367" s="124"/>
      <c r="KLF367" s="124"/>
      <c r="KLG367" s="124"/>
      <c r="KLH367" s="124"/>
      <c r="KLI367" s="124"/>
      <c r="KLJ367" s="124"/>
      <c r="KLK367" s="124"/>
      <c r="KLL367" s="124"/>
      <c r="KLM367" s="124"/>
      <c r="KLN367" s="124"/>
      <c r="KLO367" s="124"/>
      <c r="KLP367" s="124"/>
      <c r="KLQ367" s="124"/>
      <c r="KLR367" s="124"/>
      <c r="KLS367" s="124"/>
      <c r="KLT367" s="124"/>
      <c r="KLU367" s="124"/>
      <c r="KLV367" s="124"/>
      <c r="KLW367" s="124"/>
      <c r="KLX367" s="124"/>
      <c r="KLY367" s="124"/>
      <c r="KLZ367" s="124"/>
      <c r="KMA367" s="124"/>
      <c r="KMB367" s="124"/>
      <c r="KMC367" s="124"/>
      <c r="KMD367" s="124"/>
      <c r="KME367" s="124"/>
      <c r="KMF367" s="124"/>
      <c r="KMG367" s="124"/>
      <c r="KMH367" s="124"/>
      <c r="KMI367" s="124"/>
      <c r="KMJ367" s="124"/>
      <c r="KMK367" s="124"/>
      <c r="KML367" s="124"/>
      <c r="KMM367" s="124"/>
      <c r="KMN367" s="124"/>
      <c r="KMO367" s="124"/>
      <c r="KMP367" s="124"/>
      <c r="KMQ367" s="124"/>
      <c r="KMR367" s="124"/>
      <c r="KMS367" s="124"/>
      <c r="KMT367" s="124"/>
      <c r="KMU367" s="124"/>
      <c r="KMV367" s="124"/>
      <c r="KMW367" s="124"/>
      <c r="KMX367" s="124"/>
      <c r="KMY367" s="124"/>
      <c r="KMZ367" s="124"/>
      <c r="KNA367" s="124"/>
      <c r="KNB367" s="124"/>
      <c r="KNC367" s="124"/>
      <c r="KND367" s="124"/>
      <c r="KNE367" s="124"/>
      <c r="KNF367" s="124"/>
      <c r="KNG367" s="124"/>
      <c r="KNH367" s="124"/>
      <c r="KNI367" s="124"/>
      <c r="KNJ367" s="124"/>
      <c r="KNK367" s="124"/>
      <c r="KNL367" s="124"/>
      <c r="KNM367" s="124"/>
      <c r="KNN367" s="124"/>
      <c r="KNO367" s="124"/>
      <c r="KNP367" s="124"/>
      <c r="KNQ367" s="124"/>
      <c r="KNR367" s="124"/>
      <c r="KNS367" s="124"/>
      <c r="KNT367" s="124"/>
      <c r="KNU367" s="124"/>
      <c r="KNV367" s="124"/>
      <c r="KNW367" s="124"/>
      <c r="KNX367" s="124"/>
      <c r="KNY367" s="124"/>
      <c r="KNZ367" s="124"/>
      <c r="KOA367" s="124"/>
      <c r="KOB367" s="124"/>
      <c r="KOC367" s="124"/>
      <c r="KOD367" s="124"/>
      <c r="KOE367" s="124"/>
      <c r="KOF367" s="124"/>
      <c r="KOG367" s="124"/>
      <c r="KOH367" s="124"/>
      <c r="KOI367" s="124"/>
      <c r="KOJ367" s="124"/>
      <c r="KOK367" s="124"/>
      <c r="KOL367" s="124"/>
      <c r="KOM367" s="124"/>
      <c r="KON367" s="124"/>
      <c r="KOO367" s="124"/>
      <c r="KOP367" s="124"/>
      <c r="KOQ367" s="124"/>
      <c r="KOR367" s="124"/>
      <c r="KOS367" s="124"/>
      <c r="KOT367" s="124"/>
      <c r="KOU367" s="124"/>
      <c r="KOV367" s="124"/>
      <c r="KOW367" s="124"/>
      <c r="KOX367" s="124"/>
      <c r="KOY367" s="124"/>
      <c r="KOZ367" s="124"/>
      <c r="KPA367" s="124"/>
      <c r="KPB367" s="124"/>
      <c r="KPC367" s="124"/>
      <c r="KPD367" s="124"/>
      <c r="KPE367" s="124"/>
      <c r="KPF367" s="124"/>
      <c r="KPG367" s="124"/>
      <c r="KPH367" s="124"/>
      <c r="KPI367" s="124"/>
      <c r="KPJ367" s="124"/>
      <c r="KPK367" s="124"/>
      <c r="KPL367" s="124"/>
      <c r="KPM367" s="124"/>
      <c r="KPN367" s="124"/>
      <c r="KPO367" s="124"/>
      <c r="KPP367" s="124"/>
      <c r="KPQ367" s="124"/>
      <c r="KPR367" s="124"/>
      <c r="KPS367" s="124"/>
      <c r="KPT367" s="124"/>
      <c r="KPU367" s="124"/>
      <c r="KPV367" s="124"/>
      <c r="KPW367" s="124"/>
      <c r="KPX367" s="124"/>
      <c r="KPY367" s="124"/>
      <c r="KPZ367" s="124"/>
      <c r="KQA367" s="124"/>
      <c r="KQB367" s="124"/>
      <c r="KQC367" s="124"/>
      <c r="KQD367" s="124"/>
      <c r="KQE367" s="124"/>
      <c r="KQF367" s="124"/>
      <c r="KQG367" s="124"/>
      <c r="KQH367" s="124"/>
      <c r="KQI367" s="124"/>
      <c r="KQJ367" s="124"/>
      <c r="KQK367" s="124"/>
      <c r="KQL367" s="124"/>
      <c r="KQM367" s="124"/>
      <c r="KQN367" s="124"/>
      <c r="KQO367" s="124"/>
      <c r="KQP367" s="124"/>
      <c r="KQQ367" s="124"/>
      <c r="KQR367" s="124"/>
      <c r="KQS367" s="124"/>
      <c r="KQT367" s="124"/>
      <c r="KQU367" s="124"/>
      <c r="KQV367" s="124"/>
      <c r="KQW367" s="124"/>
      <c r="KQX367" s="124"/>
      <c r="KQY367" s="124"/>
      <c r="KQZ367" s="124"/>
      <c r="KRA367" s="124"/>
      <c r="KRB367" s="124"/>
      <c r="KRC367" s="124"/>
      <c r="KRD367" s="124"/>
      <c r="KRE367" s="124"/>
      <c r="KRF367" s="124"/>
      <c r="KRG367" s="124"/>
      <c r="KRH367" s="124"/>
      <c r="KRI367" s="124"/>
      <c r="KRJ367" s="124"/>
      <c r="KRK367" s="124"/>
      <c r="KRL367" s="124"/>
      <c r="KRM367" s="124"/>
      <c r="KRN367" s="124"/>
      <c r="KRO367" s="124"/>
      <c r="KRP367" s="124"/>
      <c r="KRQ367" s="124"/>
      <c r="KRR367" s="124"/>
      <c r="KRS367" s="124"/>
      <c r="KRT367" s="124"/>
      <c r="KRU367" s="124"/>
      <c r="KRV367" s="124"/>
      <c r="KRW367" s="124"/>
      <c r="KRX367" s="124"/>
      <c r="KRY367" s="124"/>
      <c r="KRZ367" s="124"/>
      <c r="KSA367" s="124"/>
      <c r="KSB367" s="124"/>
      <c r="KSC367" s="124"/>
      <c r="KSD367" s="124"/>
      <c r="KSE367" s="124"/>
      <c r="KSF367" s="124"/>
      <c r="KSG367" s="124"/>
      <c r="KSH367" s="124"/>
      <c r="KSI367" s="124"/>
      <c r="KSJ367" s="124"/>
      <c r="KSK367" s="124"/>
      <c r="KSL367" s="124"/>
      <c r="KSM367" s="124"/>
      <c r="KSN367" s="124"/>
      <c r="KSO367" s="124"/>
      <c r="KSP367" s="124"/>
      <c r="KSQ367" s="124"/>
      <c r="KSR367" s="124"/>
      <c r="KSS367" s="124"/>
      <c r="KST367" s="124"/>
      <c r="KSU367" s="124"/>
      <c r="KSV367" s="124"/>
      <c r="KSW367" s="124"/>
      <c r="KSX367" s="124"/>
      <c r="KSY367" s="124"/>
      <c r="KSZ367" s="124"/>
      <c r="KTA367" s="124"/>
      <c r="KTB367" s="124"/>
      <c r="KTC367" s="124"/>
      <c r="KTD367" s="124"/>
      <c r="KTE367" s="124"/>
      <c r="KTF367" s="124"/>
      <c r="KTG367" s="124"/>
      <c r="KTH367" s="124"/>
      <c r="KTI367" s="124"/>
      <c r="KTJ367" s="124"/>
      <c r="KTK367" s="124"/>
      <c r="KTL367" s="124"/>
      <c r="KTM367" s="124"/>
      <c r="KTN367" s="124"/>
      <c r="KTO367" s="124"/>
      <c r="KTP367" s="124"/>
      <c r="KTQ367" s="124"/>
      <c r="KTR367" s="124"/>
      <c r="KTS367" s="124"/>
      <c r="KTT367" s="124"/>
      <c r="KTU367" s="124"/>
      <c r="KTV367" s="124"/>
      <c r="KTW367" s="124"/>
      <c r="KTX367" s="124"/>
      <c r="KTY367" s="124"/>
      <c r="KTZ367" s="124"/>
      <c r="KUA367" s="124"/>
      <c r="KUB367" s="124"/>
      <c r="KUC367" s="124"/>
      <c r="KUD367" s="124"/>
      <c r="KUE367" s="124"/>
      <c r="KUF367" s="124"/>
      <c r="KUG367" s="124"/>
      <c r="KUH367" s="124"/>
      <c r="KUI367" s="124"/>
      <c r="KUJ367" s="124"/>
      <c r="KUK367" s="124"/>
      <c r="KUL367" s="124"/>
      <c r="KUM367" s="124"/>
      <c r="KUN367" s="124"/>
      <c r="KUO367" s="124"/>
      <c r="KUP367" s="124"/>
      <c r="KUQ367" s="124"/>
      <c r="KUR367" s="124"/>
      <c r="KUS367" s="124"/>
      <c r="KUT367" s="124"/>
      <c r="KUU367" s="124"/>
      <c r="KUV367" s="124"/>
      <c r="KUW367" s="124"/>
      <c r="KUX367" s="124"/>
      <c r="KUY367" s="124"/>
      <c r="KUZ367" s="124"/>
      <c r="KVA367" s="124"/>
      <c r="KVB367" s="124"/>
      <c r="KVC367" s="124"/>
      <c r="KVD367" s="124"/>
      <c r="KVE367" s="124"/>
      <c r="KVF367" s="124"/>
      <c r="KVG367" s="124"/>
      <c r="KVH367" s="124"/>
      <c r="KVI367" s="124"/>
      <c r="KVJ367" s="124"/>
      <c r="KVK367" s="124"/>
      <c r="KVL367" s="124"/>
      <c r="KVM367" s="124"/>
      <c r="KVN367" s="124"/>
      <c r="KVO367" s="124"/>
      <c r="KVP367" s="124"/>
      <c r="KVQ367" s="124"/>
      <c r="KVR367" s="124"/>
      <c r="KVS367" s="124"/>
      <c r="KVT367" s="124"/>
      <c r="KVU367" s="124"/>
      <c r="KVV367" s="124"/>
      <c r="KVW367" s="124"/>
      <c r="KVX367" s="124"/>
      <c r="KVY367" s="124"/>
      <c r="KVZ367" s="124"/>
      <c r="KWA367" s="124"/>
      <c r="KWB367" s="124"/>
      <c r="KWC367" s="124"/>
      <c r="KWD367" s="124"/>
      <c r="KWE367" s="124"/>
      <c r="KWF367" s="124"/>
      <c r="KWG367" s="124"/>
      <c r="KWH367" s="124"/>
      <c r="KWI367" s="124"/>
      <c r="KWJ367" s="124"/>
      <c r="KWK367" s="124"/>
      <c r="KWL367" s="124"/>
      <c r="KWM367" s="124"/>
      <c r="KWN367" s="124"/>
      <c r="KWO367" s="124"/>
      <c r="KWP367" s="124"/>
      <c r="KWQ367" s="124"/>
      <c r="KWR367" s="124"/>
      <c r="KWS367" s="124"/>
      <c r="KWT367" s="124"/>
      <c r="KWU367" s="124"/>
      <c r="KWV367" s="124"/>
      <c r="KWW367" s="124"/>
      <c r="KWX367" s="124"/>
      <c r="KWY367" s="124"/>
      <c r="KWZ367" s="124"/>
      <c r="KXA367" s="124"/>
      <c r="KXB367" s="124"/>
      <c r="KXC367" s="124"/>
      <c r="KXD367" s="124"/>
      <c r="KXE367" s="124"/>
      <c r="KXF367" s="124"/>
      <c r="KXG367" s="124"/>
      <c r="KXH367" s="124"/>
      <c r="KXI367" s="124"/>
      <c r="KXJ367" s="124"/>
      <c r="KXK367" s="124"/>
      <c r="KXL367" s="124"/>
      <c r="KXM367" s="124"/>
      <c r="KXN367" s="124"/>
      <c r="KXO367" s="124"/>
      <c r="KXP367" s="124"/>
      <c r="KXQ367" s="124"/>
      <c r="KXR367" s="124"/>
      <c r="KXS367" s="124"/>
      <c r="KXT367" s="124"/>
      <c r="KXU367" s="124"/>
      <c r="KXV367" s="124"/>
      <c r="KXW367" s="124"/>
      <c r="KXX367" s="124"/>
      <c r="KXY367" s="124"/>
      <c r="KXZ367" s="124"/>
      <c r="KYA367" s="124"/>
      <c r="KYB367" s="124"/>
      <c r="KYC367" s="124"/>
      <c r="KYD367" s="124"/>
      <c r="KYE367" s="124"/>
      <c r="KYF367" s="124"/>
      <c r="KYG367" s="124"/>
      <c r="KYH367" s="124"/>
      <c r="KYI367" s="124"/>
      <c r="KYJ367" s="124"/>
      <c r="KYK367" s="124"/>
      <c r="KYL367" s="124"/>
      <c r="KYM367" s="124"/>
      <c r="KYN367" s="124"/>
      <c r="KYO367" s="124"/>
      <c r="KYP367" s="124"/>
      <c r="KYQ367" s="124"/>
      <c r="KYR367" s="124"/>
      <c r="KYS367" s="124"/>
      <c r="KYT367" s="124"/>
      <c r="KYU367" s="124"/>
      <c r="KYV367" s="124"/>
      <c r="KYW367" s="124"/>
      <c r="KYX367" s="124"/>
      <c r="KYY367" s="124"/>
      <c r="KYZ367" s="124"/>
      <c r="KZA367" s="124"/>
      <c r="KZB367" s="124"/>
      <c r="KZC367" s="124"/>
      <c r="KZD367" s="124"/>
      <c r="KZE367" s="124"/>
      <c r="KZF367" s="124"/>
      <c r="KZG367" s="124"/>
      <c r="KZH367" s="124"/>
      <c r="KZI367" s="124"/>
      <c r="KZJ367" s="124"/>
      <c r="KZK367" s="124"/>
      <c r="KZL367" s="124"/>
      <c r="KZM367" s="124"/>
      <c r="KZN367" s="124"/>
      <c r="KZO367" s="124"/>
      <c r="KZP367" s="124"/>
      <c r="KZQ367" s="124"/>
      <c r="KZR367" s="124"/>
      <c r="KZS367" s="124"/>
      <c r="KZT367" s="124"/>
      <c r="KZU367" s="124"/>
      <c r="KZV367" s="124"/>
      <c r="KZW367" s="124"/>
      <c r="KZX367" s="124"/>
      <c r="KZY367" s="124"/>
      <c r="KZZ367" s="124"/>
      <c r="LAA367" s="124"/>
      <c r="LAB367" s="124"/>
      <c r="LAC367" s="124"/>
      <c r="LAD367" s="124"/>
      <c r="LAE367" s="124"/>
      <c r="LAF367" s="124"/>
      <c r="LAG367" s="124"/>
      <c r="LAH367" s="124"/>
      <c r="LAI367" s="124"/>
      <c r="LAJ367" s="124"/>
      <c r="LAK367" s="124"/>
      <c r="LAL367" s="124"/>
      <c r="LAM367" s="124"/>
      <c r="LAN367" s="124"/>
      <c r="LAO367" s="124"/>
      <c r="LAP367" s="124"/>
      <c r="LAQ367" s="124"/>
      <c r="LAR367" s="124"/>
      <c r="LAS367" s="124"/>
      <c r="LAT367" s="124"/>
      <c r="LAU367" s="124"/>
      <c r="LAV367" s="124"/>
      <c r="LAW367" s="124"/>
      <c r="LAX367" s="124"/>
      <c r="LAY367" s="124"/>
      <c r="LAZ367" s="124"/>
      <c r="LBA367" s="124"/>
      <c r="LBB367" s="124"/>
      <c r="LBC367" s="124"/>
      <c r="LBD367" s="124"/>
      <c r="LBE367" s="124"/>
      <c r="LBF367" s="124"/>
      <c r="LBG367" s="124"/>
      <c r="LBH367" s="124"/>
      <c r="LBI367" s="124"/>
      <c r="LBJ367" s="124"/>
      <c r="LBK367" s="124"/>
      <c r="LBL367" s="124"/>
      <c r="LBM367" s="124"/>
      <c r="LBN367" s="124"/>
      <c r="LBO367" s="124"/>
      <c r="LBP367" s="124"/>
      <c r="LBQ367" s="124"/>
      <c r="LBR367" s="124"/>
      <c r="LBS367" s="124"/>
      <c r="LBT367" s="124"/>
      <c r="LBU367" s="124"/>
      <c r="LBV367" s="124"/>
      <c r="LBW367" s="124"/>
      <c r="LBX367" s="124"/>
      <c r="LBY367" s="124"/>
      <c r="LBZ367" s="124"/>
      <c r="LCA367" s="124"/>
      <c r="LCB367" s="124"/>
      <c r="LCC367" s="124"/>
      <c r="LCD367" s="124"/>
      <c r="LCE367" s="124"/>
      <c r="LCF367" s="124"/>
      <c r="LCG367" s="124"/>
      <c r="LCH367" s="124"/>
      <c r="LCI367" s="124"/>
      <c r="LCJ367" s="124"/>
      <c r="LCK367" s="124"/>
      <c r="LCL367" s="124"/>
      <c r="LCM367" s="124"/>
      <c r="LCN367" s="124"/>
      <c r="LCO367" s="124"/>
      <c r="LCP367" s="124"/>
      <c r="LCQ367" s="124"/>
      <c r="LCR367" s="124"/>
      <c r="LCS367" s="124"/>
      <c r="LCT367" s="124"/>
      <c r="LCU367" s="124"/>
      <c r="LCV367" s="124"/>
      <c r="LCW367" s="124"/>
      <c r="LCX367" s="124"/>
      <c r="LCY367" s="124"/>
      <c r="LCZ367" s="124"/>
      <c r="LDA367" s="124"/>
      <c r="LDB367" s="124"/>
      <c r="LDC367" s="124"/>
      <c r="LDD367" s="124"/>
      <c r="LDE367" s="124"/>
      <c r="LDF367" s="124"/>
      <c r="LDG367" s="124"/>
      <c r="LDH367" s="124"/>
      <c r="LDI367" s="124"/>
      <c r="LDJ367" s="124"/>
      <c r="LDK367" s="124"/>
      <c r="LDL367" s="124"/>
      <c r="LDM367" s="124"/>
      <c r="LDN367" s="124"/>
      <c r="LDO367" s="124"/>
      <c r="LDP367" s="124"/>
      <c r="LDQ367" s="124"/>
      <c r="LDR367" s="124"/>
      <c r="LDS367" s="124"/>
      <c r="LDT367" s="124"/>
      <c r="LDU367" s="124"/>
      <c r="LDV367" s="124"/>
      <c r="LDW367" s="124"/>
      <c r="LDX367" s="124"/>
      <c r="LDY367" s="124"/>
      <c r="LDZ367" s="124"/>
      <c r="LEA367" s="124"/>
      <c r="LEB367" s="124"/>
      <c r="LEC367" s="124"/>
      <c r="LED367" s="124"/>
      <c r="LEE367" s="124"/>
      <c r="LEF367" s="124"/>
      <c r="LEG367" s="124"/>
      <c r="LEH367" s="124"/>
      <c r="LEI367" s="124"/>
      <c r="LEJ367" s="124"/>
      <c r="LEK367" s="124"/>
      <c r="LEL367" s="124"/>
      <c r="LEM367" s="124"/>
      <c r="LEN367" s="124"/>
      <c r="LEO367" s="124"/>
      <c r="LEP367" s="124"/>
      <c r="LEQ367" s="124"/>
      <c r="LER367" s="124"/>
      <c r="LES367" s="124"/>
      <c r="LET367" s="124"/>
      <c r="LEU367" s="124"/>
      <c r="LEV367" s="124"/>
      <c r="LEW367" s="124"/>
      <c r="LEX367" s="124"/>
      <c r="LEY367" s="124"/>
      <c r="LEZ367" s="124"/>
      <c r="LFA367" s="124"/>
      <c r="LFB367" s="124"/>
      <c r="LFC367" s="124"/>
      <c r="LFD367" s="124"/>
      <c r="LFE367" s="124"/>
      <c r="LFF367" s="124"/>
      <c r="LFG367" s="124"/>
      <c r="LFH367" s="124"/>
      <c r="LFI367" s="124"/>
      <c r="LFJ367" s="124"/>
      <c r="LFK367" s="124"/>
      <c r="LFL367" s="124"/>
      <c r="LFM367" s="124"/>
      <c r="LFN367" s="124"/>
      <c r="LFO367" s="124"/>
      <c r="LFP367" s="124"/>
      <c r="LFQ367" s="124"/>
      <c r="LFR367" s="124"/>
      <c r="LFS367" s="124"/>
      <c r="LFT367" s="124"/>
      <c r="LFU367" s="124"/>
      <c r="LFV367" s="124"/>
      <c r="LFW367" s="124"/>
      <c r="LFX367" s="124"/>
      <c r="LFY367" s="124"/>
      <c r="LFZ367" s="124"/>
      <c r="LGA367" s="124"/>
      <c r="LGB367" s="124"/>
      <c r="LGC367" s="124"/>
      <c r="LGD367" s="124"/>
      <c r="LGE367" s="124"/>
      <c r="LGF367" s="124"/>
      <c r="LGG367" s="124"/>
      <c r="LGH367" s="124"/>
      <c r="LGI367" s="124"/>
      <c r="LGJ367" s="124"/>
      <c r="LGK367" s="124"/>
      <c r="LGL367" s="124"/>
      <c r="LGM367" s="124"/>
      <c r="LGN367" s="124"/>
      <c r="LGO367" s="124"/>
      <c r="LGP367" s="124"/>
      <c r="LGQ367" s="124"/>
      <c r="LGR367" s="124"/>
      <c r="LGS367" s="124"/>
      <c r="LGT367" s="124"/>
      <c r="LGU367" s="124"/>
      <c r="LGV367" s="124"/>
      <c r="LGW367" s="124"/>
      <c r="LGX367" s="124"/>
      <c r="LGY367" s="124"/>
      <c r="LGZ367" s="124"/>
      <c r="LHA367" s="124"/>
      <c r="LHB367" s="124"/>
      <c r="LHC367" s="124"/>
      <c r="LHD367" s="124"/>
      <c r="LHE367" s="124"/>
      <c r="LHF367" s="124"/>
      <c r="LHG367" s="124"/>
      <c r="LHH367" s="124"/>
      <c r="LHI367" s="124"/>
      <c r="LHJ367" s="124"/>
      <c r="LHK367" s="124"/>
      <c r="LHL367" s="124"/>
      <c r="LHM367" s="124"/>
      <c r="LHN367" s="124"/>
      <c r="LHO367" s="124"/>
      <c r="LHP367" s="124"/>
      <c r="LHQ367" s="124"/>
      <c r="LHR367" s="124"/>
      <c r="LHS367" s="124"/>
      <c r="LHT367" s="124"/>
      <c r="LHU367" s="124"/>
      <c r="LHV367" s="124"/>
      <c r="LHW367" s="124"/>
      <c r="LHX367" s="124"/>
      <c r="LHY367" s="124"/>
      <c r="LHZ367" s="124"/>
      <c r="LIA367" s="124"/>
      <c r="LIB367" s="124"/>
      <c r="LIC367" s="124"/>
      <c r="LID367" s="124"/>
      <c r="LIE367" s="124"/>
      <c r="LIF367" s="124"/>
      <c r="LIG367" s="124"/>
      <c r="LIH367" s="124"/>
      <c r="LII367" s="124"/>
      <c r="LIJ367" s="124"/>
      <c r="LIK367" s="124"/>
      <c r="LIL367" s="124"/>
      <c r="LIM367" s="124"/>
      <c r="LIN367" s="124"/>
      <c r="LIO367" s="124"/>
      <c r="LIP367" s="124"/>
      <c r="LIQ367" s="124"/>
      <c r="LIR367" s="124"/>
      <c r="LIS367" s="124"/>
      <c r="LIT367" s="124"/>
      <c r="LIU367" s="124"/>
      <c r="LIV367" s="124"/>
      <c r="LIW367" s="124"/>
      <c r="LIX367" s="124"/>
      <c r="LIY367" s="124"/>
      <c r="LIZ367" s="124"/>
      <c r="LJA367" s="124"/>
      <c r="LJB367" s="124"/>
      <c r="LJC367" s="124"/>
      <c r="LJD367" s="124"/>
      <c r="LJE367" s="124"/>
      <c r="LJF367" s="124"/>
      <c r="LJG367" s="124"/>
      <c r="LJH367" s="124"/>
      <c r="LJI367" s="124"/>
      <c r="LJJ367" s="124"/>
      <c r="LJK367" s="124"/>
      <c r="LJL367" s="124"/>
      <c r="LJM367" s="124"/>
      <c r="LJN367" s="124"/>
      <c r="LJO367" s="124"/>
      <c r="LJP367" s="124"/>
      <c r="LJQ367" s="124"/>
      <c r="LJR367" s="124"/>
      <c r="LJS367" s="124"/>
      <c r="LJT367" s="124"/>
      <c r="LJU367" s="124"/>
      <c r="LJV367" s="124"/>
      <c r="LJW367" s="124"/>
      <c r="LJX367" s="124"/>
      <c r="LJY367" s="124"/>
      <c r="LJZ367" s="124"/>
      <c r="LKA367" s="124"/>
      <c r="LKB367" s="124"/>
      <c r="LKC367" s="124"/>
      <c r="LKD367" s="124"/>
      <c r="LKE367" s="124"/>
      <c r="LKF367" s="124"/>
      <c r="LKG367" s="124"/>
      <c r="LKH367" s="124"/>
      <c r="LKI367" s="124"/>
      <c r="LKJ367" s="124"/>
      <c r="LKK367" s="124"/>
      <c r="LKL367" s="124"/>
      <c r="LKM367" s="124"/>
      <c r="LKN367" s="124"/>
      <c r="LKO367" s="124"/>
      <c r="LKP367" s="124"/>
      <c r="LKQ367" s="124"/>
      <c r="LKR367" s="124"/>
      <c r="LKS367" s="124"/>
      <c r="LKT367" s="124"/>
      <c r="LKU367" s="124"/>
      <c r="LKV367" s="124"/>
      <c r="LKW367" s="124"/>
      <c r="LKX367" s="124"/>
      <c r="LKY367" s="124"/>
      <c r="LKZ367" s="124"/>
      <c r="LLA367" s="124"/>
      <c r="LLB367" s="124"/>
      <c r="LLC367" s="124"/>
      <c r="LLD367" s="124"/>
      <c r="LLE367" s="124"/>
      <c r="LLF367" s="124"/>
      <c r="LLG367" s="124"/>
      <c r="LLH367" s="124"/>
      <c r="LLI367" s="124"/>
      <c r="LLJ367" s="124"/>
      <c r="LLK367" s="124"/>
      <c r="LLL367" s="124"/>
      <c r="LLM367" s="124"/>
      <c r="LLN367" s="124"/>
      <c r="LLO367" s="124"/>
      <c r="LLP367" s="124"/>
      <c r="LLQ367" s="124"/>
      <c r="LLR367" s="124"/>
      <c r="LLS367" s="124"/>
      <c r="LLT367" s="124"/>
      <c r="LLU367" s="124"/>
      <c r="LLV367" s="124"/>
      <c r="LLW367" s="124"/>
      <c r="LLX367" s="124"/>
      <c r="LLY367" s="124"/>
      <c r="LLZ367" s="124"/>
      <c r="LMA367" s="124"/>
      <c r="LMB367" s="124"/>
      <c r="LMC367" s="124"/>
      <c r="LMD367" s="124"/>
      <c r="LME367" s="124"/>
      <c r="LMF367" s="124"/>
      <c r="LMG367" s="124"/>
      <c r="LMH367" s="124"/>
      <c r="LMI367" s="124"/>
      <c r="LMJ367" s="124"/>
      <c r="LMK367" s="124"/>
      <c r="LML367" s="124"/>
      <c r="LMM367" s="124"/>
      <c r="LMN367" s="124"/>
      <c r="LMO367" s="124"/>
      <c r="LMP367" s="124"/>
      <c r="LMQ367" s="124"/>
      <c r="LMR367" s="124"/>
      <c r="LMS367" s="124"/>
      <c r="LMT367" s="124"/>
      <c r="LMU367" s="124"/>
      <c r="LMV367" s="124"/>
      <c r="LMW367" s="124"/>
      <c r="LMX367" s="124"/>
      <c r="LMY367" s="124"/>
      <c r="LMZ367" s="124"/>
      <c r="LNA367" s="124"/>
      <c r="LNB367" s="124"/>
      <c r="LNC367" s="124"/>
      <c r="LND367" s="124"/>
      <c r="LNE367" s="124"/>
      <c r="LNF367" s="124"/>
      <c r="LNG367" s="124"/>
      <c r="LNH367" s="124"/>
      <c r="LNI367" s="124"/>
      <c r="LNJ367" s="124"/>
      <c r="LNK367" s="124"/>
      <c r="LNL367" s="124"/>
      <c r="LNM367" s="124"/>
      <c r="LNN367" s="124"/>
      <c r="LNO367" s="124"/>
      <c r="LNP367" s="124"/>
      <c r="LNQ367" s="124"/>
      <c r="LNR367" s="124"/>
      <c r="LNS367" s="124"/>
      <c r="LNT367" s="124"/>
      <c r="LNU367" s="124"/>
      <c r="LNV367" s="124"/>
      <c r="LNW367" s="124"/>
      <c r="LNX367" s="124"/>
      <c r="LNY367" s="124"/>
      <c r="LNZ367" s="124"/>
      <c r="LOA367" s="124"/>
      <c r="LOB367" s="124"/>
      <c r="LOC367" s="124"/>
      <c r="LOD367" s="124"/>
      <c r="LOE367" s="124"/>
      <c r="LOF367" s="124"/>
      <c r="LOG367" s="124"/>
      <c r="LOH367" s="124"/>
      <c r="LOI367" s="124"/>
      <c r="LOJ367" s="124"/>
      <c r="LOK367" s="124"/>
      <c r="LOL367" s="124"/>
      <c r="LOM367" s="124"/>
      <c r="LON367" s="124"/>
      <c r="LOO367" s="124"/>
      <c r="LOP367" s="124"/>
      <c r="LOQ367" s="124"/>
      <c r="LOR367" s="124"/>
      <c r="LOS367" s="124"/>
      <c r="LOT367" s="124"/>
      <c r="LOU367" s="124"/>
      <c r="LOV367" s="124"/>
      <c r="LOW367" s="124"/>
      <c r="LOX367" s="124"/>
      <c r="LOY367" s="124"/>
      <c r="LOZ367" s="124"/>
      <c r="LPA367" s="124"/>
      <c r="LPB367" s="124"/>
      <c r="LPC367" s="124"/>
      <c r="LPD367" s="124"/>
      <c r="LPE367" s="124"/>
      <c r="LPF367" s="124"/>
      <c r="LPG367" s="124"/>
      <c r="LPH367" s="124"/>
      <c r="LPI367" s="124"/>
      <c r="LPJ367" s="124"/>
      <c r="LPK367" s="124"/>
      <c r="LPL367" s="124"/>
      <c r="LPM367" s="124"/>
      <c r="LPN367" s="124"/>
      <c r="LPO367" s="124"/>
      <c r="LPP367" s="124"/>
      <c r="LPQ367" s="124"/>
      <c r="LPR367" s="124"/>
      <c r="LPS367" s="124"/>
      <c r="LPT367" s="124"/>
      <c r="LPU367" s="124"/>
      <c r="LPV367" s="124"/>
      <c r="LPW367" s="124"/>
      <c r="LPX367" s="124"/>
      <c r="LPY367" s="124"/>
      <c r="LPZ367" s="124"/>
      <c r="LQA367" s="124"/>
      <c r="LQB367" s="124"/>
      <c r="LQC367" s="124"/>
      <c r="LQD367" s="124"/>
      <c r="LQE367" s="124"/>
      <c r="LQF367" s="124"/>
      <c r="LQG367" s="124"/>
      <c r="LQH367" s="124"/>
      <c r="LQI367" s="124"/>
      <c r="LQJ367" s="124"/>
      <c r="LQK367" s="124"/>
      <c r="LQL367" s="124"/>
      <c r="LQM367" s="124"/>
      <c r="LQN367" s="124"/>
      <c r="LQO367" s="124"/>
      <c r="LQP367" s="124"/>
      <c r="LQQ367" s="124"/>
      <c r="LQR367" s="124"/>
      <c r="LQS367" s="124"/>
      <c r="LQT367" s="124"/>
      <c r="LQU367" s="124"/>
      <c r="LQV367" s="124"/>
      <c r="LQW367" s="124"/>
      <c r="LQX367" s="124"/>
      <c r="LQY367" s="124"/>
      <c r="LQZ367" s="124"/>
      <c r="LRA367" s="124"/>
      <c r="LRB367" s="124"/>
      <c r="LRC367" s="124"/>
      <c r="LRD367" s="124"/>
      <c r="LRE367" s="124"/>
      <c r="LRF367" s="124"/>
      <c r="LRG367" s="124"/>
      <c r="LRH367" s="124"/>
      <c r="LRI367" s="124"/>
      <c r="LRJ367" s="124"/>
      <c r="LRK367" s="124"/>
      <c r="LRL367" s="124"/>
      <c r="LRM367" s="124"/>
      <c r="LRN367" s="124"/>
      <c r="LRO367" s="124"/>
      <c r="LRP367" s="124"/>
      <c r="LRQ367" s="124"/>
      <c r="LRR367" s="124"/>
      <c r="LRS367" s="124"/>
      <c r="LRT367" s="124"/>
      <c r="LRU367" s="124"/>
      <c r="LRV367" s="124"/>
      <c r="LRW367" s="124"/>
      <c r="LRX367" s="124"/>
      <c r="LRY367" s="124"/>
      <c r="LRZ367" s="124"/>
      <c r="LSA367" s="124"/>
      <c r="LSB367" s="124"/>
      <c r="LSC367" s="124"/>
      <c r="LSD367" s="124"/>
      <c r="LSE367" s="124"/>
      <c r="LSF367" s="124"/>
      <c r="LSG367" s="124"/>
      <c r="LSH367" s="124"/>
      <c r="LSI367" s="124"/>
      <c r="LSJ367" s="124"/>
      <c r="LSK367" s="124"/>
      <c r="LSL367" s="124"/>
      <c r="LSM367" s="124"/>
      <c r="LSN367" s="124"/>
      <c r="LSO367" s="124"/>
      <c r="LSP367" s="124"/>
      <c r="LSQ367" s="124"/>
      <c r="LSR367" s="124"/>
      <c r="LSS367" s="124"/>
      <c r="LST367" s="124"/>
      <c r="LSU367" s="124"/>
      <c r="LSV367" s="124"/>
      <c r="LSW367" s="124"/>
      <c r="LSX367" s="124"/>
      <c r="LSY367" s="124"/>
      <c r="LSZ367" s="124"/>
      <c r="LTA367" s="124"/>
      <c r="LTB367" s="124"/>
      <c r="LTC367" s="124"/>
      <c r="LTD367" s="124"/>
      <c r="LTE367" s="124"/>
      <c r="LTF367" s="124"/>
      <c r="LTG367" s="124"/>
      <c r="LTH367" s="124"/>
      <c r="LTI367" s="124"/>
      <c r="LTJ367" s="124"/>
      <c r="LTK367" s="124"/>
      <c r="LTL367" s="124"/>
      <c r="LTM367" s="124"/>
      <c r="LTN367" s="124"/>
      <c r="LTO367" s="124"/>
      <c r="LTP367" s="124"/>
      <c r="LTQ367" s="124"/>
      <c r="LTR367" s="124"/>
      <c r="LTS367" s="124"/>
      <c r="LTT367" s="124"/>
      <c r="LTU367" s="124"/>
      <c r="LTV367" s="124"/>
      <c r="LTW367" s="124"/>
      <c r="LTX367" s="124"/>
      <c r="LTY367" s="124"/>
      <c r="LTZ367" s="124"/>
      <c r="LUA367" s="124"/>
      <c r="LUB367" s="124"/>
      <c r="LUC367" s="124"/>
      <c r="LUD367" s="124"/>
      <c r="LUE367" s="124"/>
      <c r="LUF367" s="124"/>
      <c r="LUG367" s="124"/>
      <c r="LUH367" s="124"/>
      <c r="LUI367" s="124"/>
      <c r="LUJ367" s="124"/>
      <c r="LUK367" s="124"/>
      <c r="LUL367" s="124"/>
      <c r="LUM367" s="124"/>
      <c r="LUN367" s="124"/>
      <c r="LUO367" s="124"/>
      <c r="LUP367" s="124"/>
      <c r="LUQ367" s="124"/>
      <c r="LUR367" s="124"/>
      <c r="LUS367" s="124"/>
      <c r="LUT367" s="124"/>
      <c r="LUU367" s="124"/>
      <c r="LUV367" s="124"/>
      <c r="LUW367" s="124"/>
      <c r="LUX367" s="124"/>
      <c r="LUY367" s="124"/>
      <c r="LUZ367" s="124"/>
      <c r="LVA367" s="124"/>
      <c r="LVB367" s="124"/>
      <c r="LVC367" s="124"/>
      <c r="LVD367" s="124"/>
      <c r="LVE367" s="124"/>
      <c r="LVF367" s="124"/>
      <c r="LVG367" s="124"/>
      <c r="LVH367" s="124"/>
      <c r="LVI367" s="124"/>
      <c r="LVJ367" s="124"/>
      <c r="LVK367" s="124"/>
      <c r="LVL367" s="124"/>
      <c r="LVM367" s="124"/>
      <c r="LVN367" s="124"/>
      <c r="LVO367" s="124"/>
      <c r="LVP367" s="124"/>
      <c r="LVQ367" s="124"/>
      <c r="LVR367" s="124"/>
      <c r="LVS367" s="124"/>
      <c r="LVT367" s="124"/>
      <c r="LVU367" s="124"/>
      <c r="LVV367" s="124"/>
      <c r="LVW367" s="124"/>
      <c r="LVX367" s="124"/>
      <c r="LVY367" s="124"/>
      <c r="LVZ367" s="124"/>
      <c r="LWA367" s="124"/>
      <c r="LWB367" s="124"/>
      <c r="LWC367" s="124"/>
      <c r="LWD367" s="124"/>
      <c r="LWE367" s="124"/>
      <c r="LWF367" s="124"/>
      <c r="LWG367" s="124"/>
      <c r="LWH367" s="124"/>
      <c r="LWI367" s="124"/>
      <c r="LWJ367" s="124"/>
      <c r="LWK367" s="124"/>
      <c r="LWL367" s="124"/>
      <c r="LWM367" s="124"/>
      <c r="LWN367" s="124"/>
      <c r="LWO367" s="124"/>
      <c r="LWP367" s="124"/>
      <c r="LWQ367" s="124"/>
      <c r="LWR367" s="124"/>
      <c r="LWS367" s="124"/>
      <c r="LWT367" s="124"/>
      <c r="LWU367" s="124"/>
      <c r="LWV367" s="124"/>
      <c r="LWW367" s="124"/>
      <c r="LWX367" s="124"/>
      <c r="LWY367" s="124"/>
      <c r="LWZ367" s="124"/>
      <c r="LXA367" s="124"/>
      <c r="LXB367" s="124"/>
      <c r="LXC367" s="124"/>
      <c r="LXD367" s="124"/>
      <c r="LXE367" s="124"/>
      <c r="LXF367" s="124"/>
      <c r="LXG367" s="124"/>
      <c r="LXH367" s="124"/>
      <c r="LXI367" s="124"/>
      <c r="LXJ367" s="124"/>
      <c r="LXK367" s="124"/>
      <c r="LXL367" s="124"/>
      <c r="LXM367" s="124"/>
      <c r="LXN367" s="124"/>
      <c r="LXO367" s="124"/>
      <c r="LXP367" s="124"/>
      <c r="LXQ367" s="124"/>
      <c r="LXR367" s="124"/>
      <c r="LXS367" s="124"/>
      <c r="LXT367" s="124"/>
      <c r="LXU367" s="124"/>
      <c r="LXV367" s="124"/>
      <c r="LXW367" s="124"/>
      <c r="LXX367" s="124"/>
      <c r="LXY367" s="124"/>
      <c r="LXZ367" s="124"/>
      <c r="LYA367" s="124"/>
      <c r="LYB367" s="124"/>
      <c r="LYC367" s="124"/>
      <c r="LYD367" s="124"/>
      <c r="LYE367" s="124"/>
      <c r="LYF367" s="124"/>
      <c r="LYG367" s="124"/>
      <c r="LYH367" s="124"/>
      <c r="LYI367" s="124"/>
      <c r="LYJ367" s="124"/>
      <c r="LYK367" s="124"/>
      <c r="LYL367" s="124"/>
      <c r="LYM367" s="124"/>
      <c r="LYN367" s="124"/>
      <c r="LYO367" s="124"/>
      <c r="LYP367" s="124"/>
      <c r="LYQ367" s="124"/>
      <c r="LYR367" s="124"/>
      <c r="LYS367" s="124"/>
      <c r="LYT367" s="124"/>
      <c r="LYU367" s="124"/>
      <c r="LYV367" s="124"/>
      <c r="LYW367" s="124"/>
      <c r="LYX367" s="124"/>
      <c r="LYY367" s="124"/>
      <c r="LYZ367" s="124"/>
      <c r="LZA367" s="124"/>
      <c r="LZB367" s="124"/>
      <c r="LZC367" s="124"/>
      <c r="LZD367" s="124"/>
      <c r="LZE367" s="124"/>
      <c r="LZF367" s="124"/>
      <c r="LZG367" s="124"/>
      <c r="LZH367" s="124"/>
      <c r="LZI367" s="124"/>
      <c r="LZJ367" s="124"/>
      <c r="LZK367" s="124"/>
      <c r="LZL367" s="124"/>
      <c r="LZM367" s="124"/>
      <c r="LZN367" s="124"/>
      <c r="LZO367" s="124"/>
      <c r="LZP367" s="124"/>
      <c r="LZQ367" s="124"/>
      <c r="LZR367" s="124"/>
      <c r="LZS367" s="124"/>
      <c r="LZT367" s="124"/>
      <c r="LZU367" s="124"/>
      <c r="LZV367" s="124"/>
      <c r="LZW367" s="124"/>
      <c r="LZX367" s="124"/>
      <c r="LZY367" s="124"/>
      <c r="LZZ367" s="124"/>
      <c r="MAA367" s="124"/>
      <c r="MAB367" s="124"/>
      <c r="MAC367" s="124"/>
      <c r="MAD367" s="124"/>
      <c r="MAE367" s="124"/>
      <c r="MAF367" s="124"/>
      <c r="MAG367" s="124"/>
      <c r="MAH367" s="124"/>
      <c r="MAI367" s="124"/>
      <c r="MAJ367" s="124"/>
      <c r="MAK367" s="124"/>
      <c r="MAL367" s="124"/>
      <c r="MAM367" s="124"/>
      <c r="MAN367" s="124"/>
      <c r="MAO367" s="124"/>
      <c r="MAP367" s="124"/>
      <c r="MAQ367" s="124"/>
      <c r="MAR367" s="124"/>
      <c r="MAS367" s="124"/>
      <c r="MAT367" s="124"/>
      <c r="MAU367" s="124"/>
      <c r="MAV367" s="124"/>
      <c r="MAW367" s="124"/>
      <c r="MAX367" s="124"/>
      <c r="MAY367" s="124"/>
      <c r="MAZ367" s="124"/>
      <c r="MBA367" s="124"/>
      <c r="MBB367" s="124"/>
      <c r="MBC367" s="124"/>
      <c r="MBD367" s="124"/>
      <c r="MBE367" s="124"/>
      <c r="MBF367" s="124"/>
      <c r="MBG367" s="124"/>
      <c r="MBH367" s="124"/>
      <c r="MBI367" s="124"/>
      <c r="MBJ367" s="124"/>
      <c r="MBK367" s="124"/>
      <c r="MBL367" s="124"/>
      <c r="MBM367" s="124"/>
      <c r="MBN367" s="124"/>
      <c r="MBO367" s="124"/>
      <c r="MBP367" s="124"/>
      <c r="MBQ367" s="124"/>
      <c r="MBR367" s="124"/>
      <c r="MBS367" s="124"/>
      <c r="MBT367" s="124"/>
      <c r="MBU367" s="124"/>
      <c r="MBV367" s="124"/>
      <c r="MBW367" s="124"/>
      <c r="MBX367" s="124"/>
      <c r="MBY367" s="124"/>
      <c r="MBZ367" s="124"/>
      <c r="MCA367" s="124"/>
      <c r="MCB367" s="124"/>
      <c r="MCC367" s="124"/>
      <c r="MCD367" s="124"/>
      <c r="MCE367" s="124"/>
      <c r="MCF367" s="124"/>
      <c r="MCG367" s="124"/>
      <c r="MCH367" s="124"/>
      <c r="MCI367" s="124"/>
      <c r="MCJ367" s="124"/>
      <c r="MCK367" s="124"/>
      <c r="MCL367" s="124"/>
      <c r="MCM367" s="124"/>
      <c r="MCN367" s="124"/>
      <c r="MCO367" s="124"/>
      <c r="MCP367" s="124"/>
      <c r="MCQ367" s="124"/>
      <c r="MCR367" s="124"/>
      <c r="MCS367" s="124"/>
      <c r="MCT367" s="124"/>
      <c r="MCU367" s="124"/>
      <c r="MCV367" s="124"/>
      <c r="MCW367" s="124"/>
      <c r="MCX367" s="124"/>
      <c r="MCY367" s="124"/>
      <c r="MCZ367" s="124"/>
      <c r="MDA367" s="124"/>
      <c r="MDB367" s="124"/>
      <c r="MDC367" s="124"/>
      <c r="MDD367" s="124"/>
      <c r="MDE367" s="124"/>
      <c r="MDF367" s="124"/>
      <c r="MDG367" s="124"/>
      <c r="MDH367" s="124"/>
      <c r="MDI367" s="124"/>
      <c r="MDJ367" s="124"/>
      <c r="MDK367" s="124"/>
      <c r="MDL367" s="124"/>
      <c r="MDM367" s="124"/>
      <c r="MDN367" s="124"/>
      <c r="MDO367" s="124"/>
      <c r="MDP367" s="124"/>
      <c r="MDQ367" s="124"/>
      <c r="MDR367" s="124"/>
      <c r="MDS367" s="124"/>
      <c r="MDT367" s="124"/>
      <c r="MDU367" s="124"/>
      <c r="MDV367" s="124"/>
      <c r="MDW367" s="124"/>
      <c r="MDX367" s="124"/>
      <c r="MDY367" s="124"/>
      <c r="MDZ367" s="124"/>
      <c r="MEA367" s="124"/>
      <c r="MEB367" s="124"/>
      <c r="MEC367" s="124"/>
      <c r="MED367" s="124"/>
      <c r="MEE367" s="124"/>
      <c r="MEF367" s="124"/>
      <c r="MEG367" s="124"/>
      <c r="MEH367" s="124"/>
      <c r="MEI367" s="124"/>
      <c r="MEJ367" s="124"/>
      <c r="MEK367" s="124"/>
      <c r="MEL367" s="124"/>
      <c r="MEM367" s="124"/>
      <c r="MEN367" s="124"/>
      <c r="MEO367" s="124"/>
      <c r="MEP367" s="124"/>
      <c r="MEQ367" s="124"/>
      <c r="MER367" s="124"/>
      <c r="MES367" s="124"/>
      <c r="MET367" s="124"/>
      <c r="MEU367" s="124"/>
      <c r="MEV367" s="124"/>
      <c r="MEW367" s="124"/>
      <c r="MEX367" s="124"/>
      <c r="MEY367" s="124"/>
      <c r="MEZ367" s="124"/>
      <c r="MFA367" s="124"/>
      <c r="MFB367" s="124"/>
      <c r="MFC367" s="124"/>
      <c r="MFD367" s="124"/>
      <c r="MFE367" s="124"/>
      <c r="MFF367" s="124"/>
      <c r="MFG367" s="124"/>
      <c r="MFH367" s="124"/>
      <c r="MFI367" s="124"/>
      <c r="MFJ367" s="124"/>
      <c r="MFK367" s="124"/>
      <c r="MFL367" s="124"/>
      <c r="MFM367" s="124"/>
      <c r="MFN367" s="124"/>
      <c r="MFO367" s="124"/>
      <c r="MFP367" s="124"/>
      <c r="MFQ367" s="124"/>
      <c r="MFR367" s="124"/>
      <c r="MFS367" s="124"/>
      <c r="MFT367" s="124"/>
      <c r="MFU367" s="124"/>
      <c r="MFV367" s="124"/>
      <c r="MFW367" s="124"/>
      <c r="MFX367" s="124"/>
      <c r="MFY367" s="124"/>
      <c r="MFZ367" s="124"/>
      <c r="MGA367" s="124"/>
      <c r="MGB367" s="124"/>
      <c r="MGC367" s="124"/>
      <c r="MGD367" s="124"/>
      <c r="MGE367" s="124"/>
      <c r="MGF367" s="124"/>
      <c r="MGG367" s="124"/>
      <c r="MGH367" s="124"/>
      <c r="MGI367" s="124"/>
      <c r="MGJ367" s="124"/>
      <c r="MGK367" s="124"/>
      <c r="MGL367" s="124"/>
      <c r="MGM367" s="124"/>
      <c r="MGN367" s="124"/>
      <c r="MGO367" s="124"/>
      <c r="MGP367" s="124"/>
      <c r="MGQ367" s="124"/>
      <c r="MGR367" s="124"/>
      <c r="MGS367" s="124"/>
      <c r="MGT367" s="124"/>
      <c r="MGU367" s="124"/>
      <c r="MGV367" s="124"/>
      <c r="MGW367" s="124"/>
      <c r="MGX367" s="124"/>
      <c r="MGY367" s="124"/>
      <c r="MGZ367" s="124"/>
      <c r="MHA367" s="124"/>
      <c r="MHB367" s="124"/>
      <c r="MHC367" s="124"/>
      <c r="MHD367" s="124"/>
      <c r="MHE367" s="124"/>
      <c r="MHF367" s="124"/>
      <c r="MHG367" s="124"/>
      <c r="MHH367" s="124"/>
      <c r="MHI367" s="124"/>
      <c r="MHJ367" s="124"/>
      <c r="MHK367" s="124"/>
      <c r="MHL367" s="124"/>
      <c r="MHM367" s="124"/>
      <c r="MHN367" s="124"/>
      <c r="MHO367" s="124"/>
      <c r="MHP367" s="124"/>
      <c r="MHQ367" s="124"/>
      <c r="MHR367" s="124"/>
      <c r="MHS367" s="124"/>
      <c r="MHT367" s="124"/>
      <c r="MHU367" s="124"/>
      <c r="MHV367" s="124"/>
      <c r="MHW367" s="124"/>
      <c r="MHX367" s="124"/>
      <c r="MHY367" s="124"/>
      <c r="MHZ367" s="124"/>
      <c r="MIA367" s="124"/>
      <c r="MIB367" s="124"/>
      <c r="MIC367" s="124"/>
      <c r="MID367" s="124"/>
      <c r="MIE367" s="124"/>
      <c r="MIF367" s="124"/>
      <c r="MIG367" s="124"/>
      <c r="MIH367" s="124"/>
      <c r="MII367" s="124"/>
      <c r="MIJ367" s="124"/>
      <c r="MIK367" s="124"/>
      <c r="MIL367" s="124"/>
      <c r="MIM367" s="124"/>
      <c r="MIN367" s="124"/>
      <c r="MIO367" s="124"/>
      <c r="MIP367" s="124"/>
      <c r="MIQ367" s="124"/>
      <c r="MIR367" s="124"/>
      <c r="MIS367" s="124"/>
      <c r="MIT367" s="124"/>
      <c r="MIU367" s="124"/>
      <c r="MIV367" s="124"/>
      <c r="MIW367" s="124"/>
      <c r="MIX367" s="124"/>
      <c r="MIY367" s="124"/>
      <c r="MIZ367" s="124"/>
      <c r="MJA367" s="124"/>
      <c r="MJB367" s="124"/>
      <c r="MJC367" s="124"/>
      <c r="MJD367" s="124"/>
      <c r="MJE367" s="124"/>
      <c r="MJF367" s="124"/>
      <c r="MJG367" s="124"/>
      <c r="MJH367" s="124"/>
      <c r="MJI367" s="124"/>
      <c r="MJJ367" s="124"/>
      <c r="MJK367" s="124"/>
      <c r="MJL367" s="124"/>
      <c r="MJM367" s="124"/>
      <c r="MJN367" s="124"/>
      <c r="MJO367" s="124"/>
      <c r="MJP367" s="124"/>
      <c r="MJQ367" s="124"/>
      <c r="MJR367" s="124"/>
      <c r="MJS367" s="124"/>
      <c r="MJT367" s="124"/>
      <c r="MJU367" s="124"/>
      <c r="MJV367" s="124"/>
      <c r="MJW367" s="124"/>
      <c r="MJX367" s="124"/>
      <c r="MJY367" s="124"/>
      <c r="MJZ367" s="124"/>
      <c r="MKA367" s="124"/>
      <c r="MKB367" s="124"/>
      <c r="MKC367" s="124"/>
      <c r="MKD367" s="124"/>
      <c r="MKE367" s="124"/>
      <c r="MKF367" s="124"/>
      <c r="MKG367" s="124"/>
      <c r="MKH367" s="124"/>
      <c r="MKI367" s="124"/>
      <c r="MKJ367" s="124"/>
      <c r="MKK367" s="124"/>
      <c r="MKL367" s="124"/>
      <c r="MKM367" s="124"/>
      <c r="MKN367" s="124"/>
      <c r="MKO367" s="124"/>
      <c r="MKP367" s="124"/>
      <c r="MKQ367" s="124"/>
      <c r="MKR367" s="124"/>
      <c r="MKS367" s="124"/>
      <c r="MKT367" s="124"/>
      <c r="MKU367" s="124"/>
      <c r="MKV367" s="124"/>
      <c r="MKW367" s="124"/>
      <c r="MKX367" s="124"/>
      <c r="MKY367" s="124"/>
      <c r="MKZ367" s="124"/>
      <c r="MLA367" s="124"/>
      <c r="MLB367" s="124"/>
      <c r="MLC367" s="124"/>
      <c r="MLD367" s="124"/>
      <c r="MLE367" s="124"/>
      <c r="MLF367" s="124"/>
      <c r="MLG367" s="124"/>
      <c r="MLH367" s="124"/>
      <c r="MLI367" s="124"/>
      <c r="MLJ367" s="124"/>
      <c r="MLK367" s="124"/>
      <c r="MLL367" s="124"/>
      <c r="MLM367" s="124"/>
      <c r="MLN367" s="124"/>
      <c r="MLO367" s="124"/>
      <c r="MLP367" s="124"/>
      <c r="MLQ367" s="124"/>
      <c r="MLR367" s="124"/>
      <c r="MLS367" s="124"/>
      <c r="MLT367" s="124"/>
      <c r="MLU367" s="124"/>
      <c r="MLV367" s="124"/>
      <c r="MLW367" s="124"/>
      <c r="MLX367" s="124"/>
      <c r="MLY367" s="124"/>
      <c r="MLZ367" s="124"/>
      <c r="MMA367" s="124"/>
      <c r="MMB367" s="124"/>
      <c r="MMC367" s="124"/>
      <c r="MMD367" s="124"/>
      <c r="MME367" s="124"/>
      <c r="MMF367" s="124"/>
      <c r="MMG367" s="124"/>
      <c r="MMH367" s="124"/>
      <c r="MMI367" s="124"/>
      <c r="MMJ367" s="124"/>
      <c r="MMK367" s="124"/>
      <c r="MML367" s="124"/>
      <c r="MMM367" s="124"/>
      <c r="MMN367" s="124"/>
      <c r="MMO367" s="124"/>
      <c r="MMP367" s="124"/>
      <c r="MMQ367" s="124"/>
      <c r="MMR367" s="124"/>
      <c r="MMS367" s="124"/>
      <c r="MMT367" s="124"/>
      <c r="MMU367" s="124"/>
      <c r="MMV367" s="124"/>
      <c r="MMW367" s="124"/>
      <c r="MMX367" s="124"/>
      <c r="MMY367" s="124"/>
      <c r="MMZ367" s="124"/>
      <c r="MNA367" s="124"/>
      <c r="MNB367" s="124"/>
      <c r="MNC367" s="124"/>
      <c r="MND367" s="124"/>
      <c r="MNE367" s="124"/>
      <c r="MNF367" s="124"/>
      <c r="MNG367" s="124"/>
      <c r="MNH367" s="124"/>
      <c r="MNI367" s="124"/>
      <c r="MNJ367" s="124"/>
      <c r="MNK367" s="124"/>
      <c r="MNL367" s="124"/>
      <c r="MNM367" s="124"/>
      <c r="MNN367" s="124"/>
      <c r="MNO367" s="124"/>
      <c r="MNP367" s="124"/>
      <c r="MNQ367" s="124"/>
      <c r="MNR367" s="124"/>
      <c r="MNS367" s="124"/>
      <c r="MNT367" s="124"/>
      <c r="MNU367" s="124"/>
      <c r="MNV367" s="124"/>
      <c r="MNW367" s="124"/>
      <c r="MNX367" s="124"/>
      <c r="MNY367" s="124"/>
      <c r="MNZ367" s="124"/>
      <c r="MOA367" s="124"/>
      <c r="MOB367" s="124"/>
      <c r="MOC367" s="124"/>
      <c r="MOD367" s="124"/>
      <c r="MOE367" s="124"/>
      <c r="MOF367" s="124"/>
      <c r="MOG367" s="124"/>
      <c r="MOH367" s="124"/>
      <c r="MOI367" s="124"/>
      <c r="MOJ367" s="124"/>
      <c r="MOK367" s="124"/>
      <c r="MOL367" s="124"/>
      <c r="MOM367" s="124"/>
      <c r="MON367" s="124"/>
      <c r="MOO367" s="124"/>
      <c r="MOP367" s="124"/>
      <c r="MOQ367" s="124"/>
      <c r="MOR367" s="124"/>
      <c r="MOS367" s="124"/>
      <c r="MOT367" s="124"/>
      <c r="MOU367" s="124"/>
      <c r="MOV367" s="124"/>
      <c r="MOW367" s="124"/>
      <c r="MOX367" s="124"/>
      <c r="MOY367" s="124"/>
      <c r="MOZ367" s="124"/>
      <c r="MPA367" s="124"/>
      <c r="MPB367" s="124"/>
      <c r="MPC367" s="124"/>
      <c r="MPD367" s="124"/>
      <c r="MPE367" s="124"/>
      <c r="MPF367" s="124"/>
      <c r="MPG367" s="124"/>
      <c r="MPH367" s="124"/>
      <c r="MPI367" s="124"/>
      <c r="MPJ367" s="124"/>
      <c r="MPK367" s="124"/>
      <c r="MPL367" s="124"/>
      <c r="MPM367" s="124"/>
      <c r="MPN367" s="124"/>
      <c r="MPO367" s="124"/>
      <c r="MPP367" s="124"/>
      <c r="MPQ367" s="124"/>
      <c r="MPR367" s="124"/>
      <c r="MPS367" s="124"/>
      <c r="MPT367" s="124"/>
      <c r="MPU367" s="124"/>
      <c r="MPV367" s="124"/>
      <c r="MPW367" s="124"/>
      <c r="MPX367" s="124"/>
      <c r="MPY367" s="124"/>
      <c r="MPZ367" s="124"/>
      <c r="MQA367" s="124"/>
      <c r="MQB367" s="124"/>
      <c r="MQC367" s="124"/>
      <c r="MQD367" s="124"/>
      <c r="MQE367" s="124"/>
      <c r="MQF367" s="124"/>
      <c r="MQG367" s="124"/>
      <c r="MQH367" s="124"/>
      <c r="MQI367" s="124"/>
      <c r="MQJ367" s="124"/>
      <c r="MQK367" s="124"/>
      <c r="MQL367" s="124"/>
      <c r="MQM367" s="124"/>
      <c r="MQN367" s="124"/>
      <c r="MQO367" s="124"/>
      <c r="MQP367" s="124"/>
      <c r="MQQ367" s="124"/>
      <c r="MQR367" s="124"/>
      <c r="MQS367" s="124"/>
      <c r="MQT367" s="124"/>
      <c r="MQU367" s="124"/>
      <c r="MQV367" s="124"/>
      <c r="MQW367" s="124"/>
      <c r="MQX367" s="124"/>
      <c r="MQY367" s="124"/>
      <c r="MQZ367" s="124"/>
      <c r="MRA367" s="124"/>
      <c r="MRB367" s="124"/>
      <c r="MRC367" s="124"/>
      <c r="MRD367" s="124"/>
      <c r="MRE367" s="124"/>
      <c r="MRF367" s="124"/>
      <c r="MRG367" s="124"/>
      <c r="MRH367" s="124"/>
      <c r="MRI367" s="124"/>
      <c r="MRJ367" s="124"/>
      <c r="MRK367" s="124"/>
      <c r="MRL367" s="124"/>
      <c r="MRM367" s="124"/>
      <c r="MRN367" s="124"/>
      <c r="MRO367" s="124"/>
      <c r="MRP367" s="124"/>
      <c r="MRQ367" s="124"/>
      <c r="MRR367" s="124"/>
      <c r="MRS367" s="124"/>
      <c r="MRT367" s="124"/>
      <c r="MRU367" s="124"/>
      <c r="MRV367" s="124"/>
      <c r="MRW367" s="124"/>
      <c r="MRX367" s="124"/>
      <c r="MRY367" s="124"/>
      <c r="MRZ367" s="124"/>
      <c r="MSA367" s="124"/>
      <c r="MSB367" s="124"/>
      <c r="MSC367" s="124"/>
      <c r="MSD367" s="124"/>
      <c r="MSE367" s="124"/>
      <c r="MSF367" s="124"/>
      <c r="MSG367" s="124"/>
      <c r="MSH367" s="124"/>
      <c r="MSI367" s="124"/>
      <c r="MSJ367" s="124"/>
      <c r="MSK367" s="124"/>
      <c r="MSL367" s="124"/>
      <c r="MSM367" s="124"/>
      <c r="MSN367" s="124"/>
      <c r="MSO367" s="124"/>
      <c r="MSP367" s="124"/>
      <c r="MSQ367" s="124"/>
      <c r="MSR367" s="124"/>
      <c r="MSS367" s="124"/>
      <c r="MST367" s="124"/>
      <c r="MSU367" s="124"/>
      <c r="MSV367" s="124"/>
      <c r="MSW367" s="124"/>
      <c r="MSX367" s="124"/>
      <c r="MSY367" s="124"/>
      <c r="MSZ367" s="124"/>
      <c r="MTA367" s="124"/>
      <c r="MTB367" s="124"/>
      <c r="MTC367" s="124"/>
      <c r="MTD367" s="124"/>
      <c r="MTE367" s="124"/>
      <c r="MTF367" s="124"/>
      <c r="MTG367" s="124"/>
      <c r="MTH367" s="124"/>
      <c r="MTI367" s="124"/>
      <c r="MTJ367" s="124"/>
      <c r="MTK367" s="124"/>
      <c r="MTL367" s="124"/>
      <c r="MTM367" s="124"/>
      <c r="MTN367" s="124"/>
      <c r="MTO367" s="124"/>
      <c r="MTP367" s="124"/>
      <c r="MTQ367" s="124"/>
      <c r="MTR367" s="124"/>
      <c r="MTS367" s="124"/>
      <c r="MTT367" s="124"/>
      <c r="MTU367" s="124"/>
      <c r="MTV367" s="124"/>
      <c r="MTW367" s="124"/>
      <c r="MTX367" s="124"/>
      <c r="MTY367" s="124"/>
      <c r="MTZ367" s="124"/>
      <c r="MUA367" s="124"/>
      <c r="MUB367" s="124"/>
      <c r="MUC367" s="124"/>
      <c r="MUD367" s="124"/>
      <c r="MUE367" s="124"/>
      <c r="MUF367" s="124"/>
      <c r="MUG367" s="124"/>
      <c r="MUH367" s="124"/>
      <c r="MUI367" s="124"/>
      <c r="MUJ367" s="124"/>
      <c r="MUK367" s="124"/>
      <c r="MUL367" s="124"/>
      <c r="MUM367" s="124"/>
      <c r="MUN367" s="124"/>
      <c r="MUO367" s="124"/>
      <c r="MUP367" s="124"/>
      <c r="MUQ367" s="124"/>
      <c r="MUR367" s="124"/>
      <c r="MUS367" s="124"/>
      <c r="MUT367" s="124"/>
      <c r="MUU367" s="124"/>
      <c r="MUV367" s="124"/>
      <c r="MUW367" s="124"/>
      <c r="MUX367" s="124"/>
      <c r="MUY367" s="124"/>
      <c r="MUZ367" s="124"/>
      <c r="MVA367" s="124"/>
      <c r="MVB367" s="124"/>
      <c r="MVC367" s="124"/>
      <c r="MVD367" s="124"/>
      <c r="MVE367" s="124"/>
      <c r="MVF367" s="124"/>
      <c r="MVG367" s="124"/>
      <c r="MVH367" s="124"/>
      <c r="MVI367" s="124"/>
      <c r="MVJ367" s="124"/>
      <c r="MVK367" s="124"/>
      <c r="MVL367" s="124"/>
      <c r="MVM367" s="124"/>
      <c r="MVN367" s="124"/>
      <c r="MVO367" s="124"/>
      <c r="MVP367" s="124"/>
      <c r="MVQ367" s="124"/>
      <c r="MVR367" s="124"/>
      <c r="MVS367" s="124"/>
      <c r="MVT367" s="124"/>
      <c r="MVU367" s="124"/>
      <c r="MVV367" s="124"/>
      <c r="MVW367" s="124"/>
      <c r="MVX367" s="124"/>
      <c r="MVY367" s="124"/>
      <c r="MVZ367" s="124"/>
      <c r="MWA367" s="124"/>
      <c r="MWB367" s="124"/>
      <c r="MWC367" s="124"/>
      <c r="MWD367" s="124"/>
      <c r="MWE367" s="124"/>
      <c r="MWF367" s="124"/>
      <c r="MWG367" s="124"/>
      <c r="MWH367" s="124"/>
      <c r="MWI367" s="124"/>
      <c r="MWJ367" s="124"/>
      <c r="MWK367" s="124"/>
      <c r="MWL367" s="124"/>
      <c r="MWM367" s="124"/>
      <c r="MWN367" s="124"/>
      <c r="MWO367" s="124"/>
      <c r="MWP367" s="124"/>
      <c r="MWQ367" s="124"/>
      <c r="MWR367" s="124"/>
      <c r="MWS367" s="124"/>
      <c r="MWT367" s="124"/>
      <c r="MWU367" s="124"/>
      <c r="MWV367" s="124"/>
      <c r="MWW367" s="124"/>
      <c r="MWX367" s="124"/>
      <c r="MWY367" s="124"/>
      <c r="MWZ367" s="124"/>
      <c r="MXA367" s="124"/>
      <c r="MXB367" s="124"/>
      <c r="MXC367" s="124"/>
      <c r="MXD367" s="124"/>
      <c r="MXE367" s="124"/>
      <c r="MXF367" s="124"/>
      <c r="MXG367" s="124"/>
      <c r="MXH367" s="124"/>
      <c r="MXI367" s="124"/>
      <c r="MXJ367" s="124"/>
      <c r="MXK367" s="124"/>
      <c r="MXL367" s="124"/>
      <c r="MXM367" s="124"/>
      <c r="MXN367" s="124"/>
      <c r="MXO367" s="124"/>
      <c r="MXP367" s="124"/>
      <c r="MXQ367" s="124"/>
      <c r="MXR367" s="124"/>
      <c r="MXS367" s="124"/>
      <c r="MXT367" s="124"/>
      <c r="MXU367" s="124"/>
      <c r="MXV367" s="124"/>
      <c r="MXW367" s="124"/>
      <c r="MXX367" s="124"/>
      <c r="MXY367" s="124"/>
      <c r="MXZ367" s="124"/>
      <c r="MYA367" s="124"/>
      <c r="MYB367" s="124"/>
      <c r="MYC367" s="124"/>
      <c r="MYD367" s="124"/>
      <c r="MYE367" s="124"/>
      <c r="MYF367" s="124"/>
      <c r="MYG367" s="124"/>
      <c r="MYH367" s="124"/>
      <c r="MYI367" s="124"/>
      <c r="MYJ367" s="124"/>
      <c r="MYK367" s="124"/>
      <c r="MYL367" s="124"/>
      <c r="MYM367" s="124"/>
      <c r="MYN367" s="124"/>
      <c r="MYO367" s="124"/>
      <c r="MYP367" s="124"/>
      <c r="MYQ367" s="124"/>
      <c r="MYR367" s="124"/>
      <c r="MYS367" s="124"/>
      <c r="MYT367" s="124"/>
      <c r="MYU367" s="124"/>
      <c r="MYV367" s="124"/>
      <c r="MYW367" s="124"/>
      <c r="MYX367" s="124"/>
      <c r="MYY367" s="124"/>
      <c r="MYZ367" s="124"/>
      <c r="MZA367" s="124"/>
      <c r="MZB367" s="124"/>
      <c r="MZC367" s="124"/>
      <c r="MZD367" s="124"/>
      <c r="MZE367" s="124"/>
      <c r="MZF367" s="124"/>
      <c r="MZG367" s="124"/>
      <c r="MZH367" s="124"/>
      <c r="MZI367" s="124"/>
      <c r="MZJ367" s="124"/>
      <c r="MZK367" s="124"/>
      <c r="MZL367" s="124"/>
      <c r="MZM367" s="124"/>
      <c r="MZN367" s="124"/>
      <c r="MZO367" s="124"/>
      <c r="MZP367" s="124"/>
      <c r="MZQ367" s="124"/>
      <c r="MZR367" s="124"/>
      <c r="MZS367" s="124"/>
      <c r="MZT367" s="124"/>
      <c r="MZU367" s="124"/>
      <c r="MZV367" s="124"/>
      <c r="MZW367" s="124"/>
      <c r="MZX367" s="124"/>
      <c r="MZY367" s="124"/>
      <c r="MZZ367" s="124"/>
      <c r="NAA367" s="124"/>
      <c r="NAB367" s="124"/>
      <c r="NAC367" s="124"/>
      <c r="NAD367" s="124"/>
      <c r="NAE367" s="124"/>
      <c r="NAF367" s="124"/>
      <c r="NAG367" s="124"/>
      <c r="NAH367" s="124"/>
      <c r="NAI367" s="124"/>
      <c r="NAJ367" s="124"/>
      <c r="NAK367" s="124"/>
      <c r="NAL367" s="124"/>
      <c r="NAM367" s="124"/>
      <c r="NAN367" s="124"/>
      <c r="NAO367" s="124"/>
      <c r="NAP367" s="124"/>
      <c r="NAQ367" s="124"/>
      <c r="NAR367" s="124"/>
      <c r="NAS367" s="124"/>
      <c r="NAT367" s="124"/>
      <c r="NAU367" s="124"/>
      <c r="NAV367" s="124"/>
      <c r="NAW367" s="124"/>
      <c r="NAX367" s="124"/>
      <c r="NAY367" s="124"/>
      <c r="NAZ367" s="124"/>
      <c r="NBA367" s="124"/>
      <c r="NBB367" s="124"/>
      <c r="NBC367" s="124"/>
      <c r="NBD367" s="124"/>
      <c r="NBE367" s="124"/>
      <c r="NBF367" s="124"/>
      <c r="NBG367" s="124"/>
      <c r="NBH367" s="124"/>
      <c r="NBI367" s="124"/>
      <c r="NBJ367" s="124"/>
      <c r="NBK367" s="124"/>
      <c r="NBL367" s="124"/>
      <c r="NBM367" s="124"/>
      <c r="NBN367" s="124"/>
      <c r="NBO367" s="124"/>
      <c r="NBP367" s="124"/>
      <c r="NBQ367" s="124"/>
      <c r="NBR367" s="124"/>
      <c r="NBS367" s="124"/>
      <c r="NBT367" s="124"/>
      <c r="NBU367" s="124"/>
      <c r="NBV367" s="124"/>
      <c r="NBW367" s="124"/>
      <c r="NBX367" s="124"/>
      <c r="NBY367" s="124"/>
      <c r="NBZ367" s="124"/>
      <c r="NCA367" s="124"/>
      <c r="NCB367" s="124"/>
      <c r="NCC367" s="124"/>
      <c r="NCD367" s="124"/>
      <c r="NCE367" s="124"/>
      <c r="NCF367" s="124"/>
      <c r="NCG367" s="124"/>
      <c r="NCH367" s="124"/>
      <c r="NCI367" s="124"/>
      <c r="NCJ367" s="124"/>
      <c r="NCK367" s="124"/>
      <c r="NCL367" s="124"/>
      <c r="NCM367" s="124"/>
      <c r="NCN367" s="124"/>
      <c r="NCO367" s="124"/>
      <c r="NCP367" s="124"/>
      <c r="NCQ367" s="124"/>
      <c r="NCR367" s="124"/>
      <c r="NCS367" s="124"/>
      <c r="NCT367" s="124"/>
      <c r="NCU367" s="124"/>
      <c r="NCV367" s="124"/>
      <c r="NCW367" s="124"/>
      <c r="NCX367" s="124"/>
      <c r="NCY367" s="124"/>
      <c r="NCZ367" s="124"/>
      <c r="NDA367" s="124"/>
      <c r="NDB367" s="124"/>
      <c r="NDC367" s="124"/>
      <c r="NDD367" s="124"/>
      <c r="NDE367" s="124"/>
      <c r="NDF367" s="124"/>
      <c r="NDG367" s="124"/>
      <c r="NDH367" s="124"/>
      <c r="NDI367" s="124"/>
      <c r="NDJ367" s="124"/>
      <c r="NDK367" s="124"/>
      <c r="NDL367" s="124"/>
      <c r="NDM367" s="124"/>
      <c r="NDN367" s="124"/>
      <c r="NDO367" s="124"/>
      <c r="NDP367" s="124"/>
      <c r="NDQ367" s="124"/>
      <c r="NDR367" s="124"/>
      <c r="NDS367" s="124"/>
      <c r="NDT367" s="124"/>
      <c r="NDU367" s="124"/>
      <c r="NDV367" s="124"/>
      <c r="NDW367" s="124"/>
      <c r="NDX367" s="124"/>
      <c r="NDY367" s="124"/>
      <c r="NDZ367" s="124"/>
      <c r="NEA367" s="124"/>
      <c r="NEB367" s="124"/>
      <c r="NEC367" s="124"/>
      <c r="NED367" s="124"/>
      <c r="NEE367" s="124"/>
      <c r="NEF367" s="124"/>
      <c r="NEG367" s="124"/>
      <c r="NEH367" s="124"/>
      <c r="NEI367" s="124"/>
      <c r="NEJ367" s="124"/>
      <c r="NEK367" s="124"/>
      <c r="NEL367" s="124"/>
      <c r="NEM367" s="124"/>
      <c r="NEN367" s="124"/>
      <c r="NEO367" s="124"/>
      <c r="NEP367" s="124"/>
      <c r="NEQ367" s="124"/>
      <c r="NER367" s="124"/>
      <c r="NES367" s="124"/>
      <c r="NET367" s="124"/>
      <c r="NEU367" s="124"/>
      <c r="NEV367" s="124"/>
      <c r="NEW367" s="124"/>
      <c r="NEX367" s="124"/>
      <c r="NEY367" s="124"/>
      <c r="NEZ367" s="124"/>
      <c r="NFA367" s="124"/>
      <c r="NFB367" s="124"/>
      <c r="NFC367" s="124"/>
      <c r="NFD367" s="124"/>
      <c r="NFE367" s="124"/>
      <c r="NFF367" s="124"/>
      <c r="NFG367" s="124"/>
      <c r="NFH367" s="124"/>
      <c r="NFI367" s="124"/>
      <c r="NFJ367" s="124"/>
      <c r="NFK367" s="124"/>
      <c r="NFL367" s="124"/>
      <c r="NFM367" s="124"/>
      <c r="NFN367" s="124"/>
      <c r="NFO367" s="124"/>
      <c r="NFP367" s="124"/>
      <c r="NFQ367" s="124"/>
      <c r="NFR367" s="124"/>
      <c r="NFS367" s="124"/>
      <c r="NFT367" s="124"/>
      <c r="NFU367" s="124"/>
      <c r="NFV367" s="124"/>
      <c r="NFW367" s="124"/>
      <c r="NFX367" s="124"/>
      <c r="NFY367" s="124"/>
      <c r="NFZ367" s="124"/>
      <c r="NGA367" s="124"/>
      <c r="NGB367" s="124"/>
      <c r="NGC367" s="124"/>
      <c r="NGD367" s="124"/>
      <c r="NGE367" s="124"/>
      <c r="NGF367" s="124"/>
      <c r="NGG367" s="124"/>
      <c r="NGH367" s="124"/>
      <c r="NGI367" s="124"/>
      <c r="NGJ367" s="124"/>
      <c r="NGK367" s="124"/>
      <c r="NGL367" s="124"/>
      <c r="NGM367" s="124"/>
      <c r="NGN367" s="124"/>
      <c r="NGO367" s="124"/>
      <c r="NGP367" s="124"/>
      <c r="NGQ367" s="124"/>
      <c r="NGR367" s="124"/>
      <c r="NGS367" s="124"/>
      <c r="NGT367" s="124"/>
      <c r="NGU367" s="124"/>
      <c r="NGV367" s="124"/>
      <c r="NGW367" s="124"/>
      <c r="NGX367" s="124"/>
      <c r="NGY367" s="124"/>
      <c r="NGZ367" s="124"/>
      <c r="NHA367" s="124"/>
      <c r="NHB367" s="124"/>
      <c r="NHC367" s="124"/>
      <c r="NHD367" s="124"/>
      <c r="NHE367" s="124"/>
      <c r="NHF367" s="124"/>
      <c r="NHG367" s="124"/>
      <c r="NHH367" s="124"/>
      <c r="NHI367" s="124"/>
      <c r="NHJ367" s="124"/>
      <c r="NHK367" s="124"/>
      <c r="NHL367" s="124"/>
      <c r="NHM367" s="124"/>
      <c r="NHN367" s="124"/>
      <c r="NHO367" s="124"/>
      <c r="NHP367" s="124"/>
      <c r="NHQ367" s="124"/>
      <c r="NHR367" s="124"/>
      <c r="NHS367" s="124"/>
      <c r="NHT367" s="124"/>
      <c r="NHU367" s="124"/>
      <c r="NHV367" s="124"/>
      <c r="NHW367" s="124"/>
      <c r="NHX367" s="124"/>
      <c r="NHY367" s="124"/>
      <c r="NHZ367" s="124"/>
      <c r="NIA367" s="124"/>
      <c r="NIB367" s="124"/>
      <c r="NIC367" s="124"/>
      <c r="NID367" s="124"/>
      <c r="NIE367" s="124"/>
      <c r="NIF367" s="124"/>
      <c r="NIG367" s="124"/>
      <c r="NIH367" s="124"/>
      <c r="NII367" s="124"/>
      <c r="NIJ367" s="124"/>
      <c r="NIK367" s="124"/>
      <c r="NIL367" s="124"/>
      <c r="NIM367" s="124"/>
      <c r="NIN367" s="124"/>
      <c r="NIO367" s="124"/>
      <c r="NIP367" s="124"/>
      <c r="NIQ367" s="124"/>
      <c r="NIR367" s="124"/>
      <c r="NIS367" s="124"/>
      <c r="NIT367" s="124"/>
      <c r="NIU367" s="124"/>
      <c r="NIV367" s="124"/>
      <c r="NIW367" s="124"/>
      <c r="NIX367" s="124"/>
      <c r="NIY367" s="124"/>
      <c r="NIZ367" s="124"/>
      <c r="NJA367" s="124"/>
      <c r="NJB367" s="124"/>
      <c r="NJC367" s="124"/>
      <c r="NJD367" s="124"/>
      <c r="NJE367" s="124"/>
      <c r="NJF367" s="124"/>
      <c r="NJG367" s="124"/>
      <c r="NJH367" s="124"/>
      <c r="NJI367" s="124"/>
      <c r="NJJ367" s="124"/>
      <c r="NJK367" s="124"/>
      <c r="NJL367" s="124"/>
      <c r="NJM367" s="124"/>
      <c r="NJN367" s="124"/>
      <c r="NJO367" s="124"/>
      <c r="NJP367" s="124"/>
      <c r="NJQ367" s="124"/>
      <c r="NJR367" s="124"/>
      <c r="NJS367" s="124"/>
      <c r="NJT367" s="124"/>
      <c r="NJU367" s="124"/>
      <c r="NJV367" s="124"/>
      <c r="NJW367" s="124"/>
      <c r="NJX367" s="124"/>
      <c r="NJY367" s="124"/>
      <c r="NJZ367" s="124"/>
      <c r="NKA367" s="124"/>
      <c r="NKB367" s="124"/>
      <c r="NKC367" s="124"/>
      <c r="NKD367" s="124"/>
      <c r="NKE367" s="124"/>
      <c r="NKF367" s="124"/>
      <c r="NKG367" s="124"/>
      <c r="NKH367" s="124"/>
      <c r="NKI367" s="124"/>
      <c r="NKJ367" s="124"/>
      <c r="NKK367" s="124"/>
      <c r="NKL367" s="124"/>
      <c r="NKM367" s="124"/>
      <c r="NKN367" s="124"/>
      <c r="NKO367" s="124"/>
      <c r="NKP367" s="124"/>
      <c r="NKQ367" s="124"/>
      <c r="NKR367" s="124"/>
      <c r="NKS367" s="124"/>
      <c r="NKT367" s="124"/>
      <c r="NKU367" s="124"/>
      <c r="NKV367" s="124"/>
      <c r="NKW367" s="124"/>
      <c r="NKX367" s="124"/>
      <c r="NKY367" s="124"/>
      <c r="NKZ367" s="124"/>
      <c r="NLA367" s="124"/>
      <c r="NLB367" s="124"/>
      <c r="NLC367" s="124"/>
      <c r="NLD367" s="124"/>
      <c r="NLE367" s="124"/>
      <c r="NLF367" s="124"/>
      <c r="NLG367" s="124"/>
      <c r="NLH367" s="124"/>
      <c r="NLI367" s="124"/>
      <c r="NLJ367" s="124"/>
      <c r="NLK367" s="124"/>
      <c r="NLL367" s="124"/>
      <c r="NLM367" s="124"/>
      <c r="NLN367" s="124"/>
      <c r="NLO367" s="124"/>
      <c r="NLP367" s="124"/>
      <c r="NLQ367" s="124"/>
      <c r="NLR367" s="124"/>
      <c r="NLS367" s="124"/>
      <c r="NLT367" s="124"/>
      <c r="NLU367" s="124"/>
      <c r="NLV367" s="124"/>
      <c r="NLW367" s="124"/>
      <c r="NLX367" s="124"/>
      <c r="NLY367" s="124"/>
      <c r="NLZ367" s="124"/>
      <c r="NMA367" s="124"/>
      <c r="NMB367" s="124"/>
      <c r="NMC367" s="124"/>
      <c r="NMD367" s="124"/>
      <c r="NME367" s="124"/>
      <c r="NMF367" s="124"/>
      <c r="NMG367" s="124"/>
      <c r="NMH367" s="124"/>
      <c r="NMI367" s="124"/>
      <c r="NMJ367" s="124"/>
      <c r="NMK367" s="124"/>
      <c r="NML367" s="124"/>
      <c r="NMM367" s="124"/>
      <c r="NMN367" s="124"/>
      <c r="NMO367" s="124"/>
      <c r="NMP367" s="124"/>
      <c r="NMQ367" s="124"/>
      <c r="NMR367" s="124"/>
      <c r="NMS367" s="124"/>
      <c r="NMT367" s="124"/>
      <c r="NMU367" s="124"/>
      <c r="NMV367" s="124"/>
      <c r="NMW367" s="124"/>
      <c r="NMX367" s="124"/>
      <c r="NMY367" s="124"/>
      <c r="NMZ367" s="124"/>
      <c r="NNA367" s="124"/>
      <c r="NNB367" s="124"/>
      <c r="NNC367" s="124"/>
      <c r="NND367" s="124"/>
      <c r="NNE367" s="124"/>
      <c r="NNF367" s="124"/>
      <c r="NNG367" s="124"/>
      <c r="NNH367" s="124"/>
      <c r="NNI367" s="124"/>
      <c r="NNJ367" s="124"/>
      <c r="NNK367" s="124"/>
      <c r="NNL367" s="124"/>
      <c r="NNM367" s="124"/>
      <c r="NNN367" s="124"/>
      <c r="NNO367" s="124"/>
      <c r="NNP367" s="124"/>
      <c r="NNQ367" s="124"/>
      <c r="NNR367" s="124"/>
      <c r="NNS367" s="124"/>
      <c r="NNT367" s="124"/>
      <c r="NNU367" s="124"/>
      <c r="NNV367" s="124"/>
      <c r="NNW367" s="124"/>
      <c r="NNX367" s="124"/>
      <c r="NNY367" s="124"/>
      <c r="NNZ367" s="124"/>
      <c r="NOA367" s="124"/>
      <c r="NOB367" s="124"/>
      <c r="NOC367" s="124"/>
      <c r="NOD367" s="124"/>
      <c r="NOE367" s="124"/>
      <c r="NOF367" s="124"/>
      <c r="NOG367" s="124"/>
      <c r="NOH367" s="124"/>
      <c r="NOI367" s="124"/>
      <c r="NOJ367" s="124"/>
      <c r="NOK367" s="124"/>
      <c r="NOL367" s="124"/>
      <c r="NOM367" s="124"/>
      <c r="NON367" s="124"/>
      <c r="NOO367" s="124"/>
      <c r="NOP367" s="124"/>
      <c r="NOQ367" s="124"/>
      <c r="NOR367" s="124"/>
      <c r="NOS367" s="124"/>
      <c r="NOT367" s="124"/>
      <c r="NOU367" s="124"/>
      <c r="NOV367" s="124"/>
      <c r="NOW367" s="124"/>
      <c r="NOX367" s="124"/>
      <c r="NOY367" s="124"/>
      <c r="NOZ367" s="124"/>
      <c r="NPA367" s="124"/>
      <c r="NPB367" s="124"/>
      <c r="NPC367" s="124"/>
      <c r="NPD367" s="124"/>
      <c r="NPE367" s="124"/>
      <c r="NPF367" s="124"/>
      <c r="NPG367" s="124"/>
      <c r="NPH367" s="124"/>
      <c r="NPI367" s="124"/>
      <c r="NPJ367" s="124"/>
      <c r="NPK367" s="124"/>
      <c r="NPL367" s="124"/>
      <c r="NPM367" s="124"/>
      <c r="NPN367" s="124"/>
      <c r="NPO367" s="124"/>
      <c r="NPP367" s="124"/>
      <c r="NPQ367" s="124"/>
      <c r="NPR367" s="124"/>
      <c r="NPS367" s="124"/>
      <c r="NPT367" s="124"/>
      <c r="NPU367" s="124"/>
      <c r="NPV367" s="124"/>
      <c r="NPW367" s="124"/>
      <c r="NPX367" s="124"/>
      <c r="NPY367" s="124"/>
      <c r="NPZ367" s="124"/>
      <c r="NQA367" s="124"/>
      <c r="NQB367" s="124"/>
      <c r="NQC367" s="124"/>
      <c r="NQD367" s="124"/>
      <c r="NQE367" s="124"/>
      <c r="NQF367" s="124"/>
      <c r="NQG367" s="124"/>
      <c r="NQH367" s="124"/>
      <c r="NQI367" s="124"/>
      <c r="NQJ367" s="124"/>
      <c r="NQK367" s="124"/>
      <c r="NQL367" s="124"/>
      <c r="NQM367" s="124"/>
      <c r="NQN367" s="124"/>
      <c r="NQO367" s="124"/>
      <c r="NQP367" s="124"/>
      <c r="NQQ367" s="124"/>
      <c r="NQR367" s="124"/>
      <c r="NQS367" s="124"/>
      <c r="NQT367" s="124"/>
      <c r="NQU367" s="124"/>
      <c r="NQV367" s="124"/>
      <c r="NQW367" s="124"/>
      <c r="NQX367" s="124"/>
      <c r="NQY367" s="124"/>
      <c r="NQZ367" s="124"/>
      <c r="NRA367" s="124"/>
      <c r="NRB367" s="124"/>
      <c r="NRC367" s="124"/>
      <c r="NRD367" s="124"/>
      <c r="NRE367" s="124"/>
      <c r="NRF367" s="124"/>
      <c r="NRG367" s="124"/>
      <c r="NRH367" s="124"/>
      <c r="NRI367" s="124"/>
      <c r="NRJ367" s="124"/>
      <c r="NRK367" s="124"/>
      <c r="NRL367" s="124"/>
      <c r="NRM367" s="124"/>
      <c r="NRN367" s="124"/>
      <c r="NRO367" s="124"/>
      <c r="NRP367" s="124"/>
      <c r="NRQ367" s="124"/>
      <c r="NRR367" s="124"/>
      <c r="NRS367" s="124"/>
      <c r="NRT367" s="124"/>
      <c r="NRU367" s="124"/>
      <c r="NRV367" s="124"/>
      <c r="NRW367" s="124"/>
      <c r="NRX367" s="124"/>
      <c r="NRY367" s="124"/>
      <c r="NRZ367" s="124"/>
      <c r="NSA367" s="124"/>
      <c r="NSB367" s="124"/>
      <c r="NSC367" s="124"/>
      <c r="NSD367" s="124"/>
      <c r="NSE367" s="124"/>
      <c r="NSF367" s="124"/>
      <c r="NSG367" s="124"/>
      <c r="NSH367" s="124"/>
      <c r="NSI367" s="124"/>
      <c r="NSJ367" s="124"/>
      <c r="NSK367" s="124"/>
      <c r="NSL367" s="124"/>
      <c r="NSM367" s="124"/>
      <c r="NSN367" s="124"/>
      <c r="NSO367" s="124"/>
      <c r="NSP367" s="124"/>
      <c r="NSQ367" s="124"/>
      <c r="NSR367" s="124"/>
      <c r="NSS367" s="124"/>
      <c r="NST367" s="124"/>
      <c r="NSU367" s="124"/>
      <c r="NSV367" s="124"/>
      <c r="NSW367" s="124"/>
      <c r="NSX367" s="124"/>
      <c r="NSY367" s="124"/>
      <c r="NSZ367" s="124"/>
      <c r="NTA367" s="124"/>
      <c r="NTB367" s="124"/>
      <c r="NTC367" s="124"/>
      <c r="NTD367" s="124"/>
      <c r="NTE367" s="124"/>
      <c r="NTF367" s="124"/>
      <c r="NTG367" s="124"/>
      <c r="NTH367" s="124"/>
      <c r="NTI367" s="124"/>
      <c r="NTJ367" s="124"/>
      <c r="NTK367" s="124"/>
      <c r="NTL367" s="124"/>
      <c r="NTM367" s="124"/>
      <c r="NTN367" s="124"/>
      <c r="NTO367" s="124"/>
      <c r="NTP367" s="124"/>
      <c r="NTQ367" s="124"/>
      <c r="NTR367" s="124"/>
      <c r="NTS367" s="124"/>
      <c r="NTT367" s="124"/>
      <c r="NTU367" s="124"/>
      <c r="NTV367" s="124"/>
      <c r="NTW367" s="124"/>
      <c r="NTX367" s="124"/>
      <c r="NTY367" s="124"/>
      <c r="NTZ367" s="124"/>
      <c r="NUA367" s="124"/>
      <c r="NUB367" s="124"/>
      <c r="NUC367" s="124"/>
      <c r="NUD367" s="124"/>
      <c r="NUE367" s="124"/>
      <c r="NUF367" s="124"/>
      <c r="NUG367" s="124"/>
      <c r="NUH367" s="124"/>
      <c r="NUI367" s="124"/>
      <c r="NUJ367" s="124"/>
      <c r="NUK367" s="124"/>
      <c r="NUL367" s="124"/>
      <c r="NUM367" s="124"/>
      <c r="NUN367" s="124"/>
      <c r="NUO367" s="124"/>
      <c r="NUP367" s="124"/>
      <c r="NUQ367" s="124"/>
      <c r="NUR367" s="124"/>
      <c r="NUS367" s="124"/>
      <c r="NUT367" s="124"/>
      <c r="NUU367" s="124"/>
      <c r="NUV367" s="124"/>
      <c r="NUW367" s="124"/>
      <c r="NUX367" s="124"/>
      <c r="NUY367" s="124"/>
      <c r="NUZ367" s="124"/>
      <c r="NVA367" s="124"/>
      <c r="NVB367" s="124"/>
      <c r="NVC367" s="124"/>
      <c r="NVD367" s="124"/>
      <c r="NVE367" s="124"/>
      <c r="NVF367" s="124"/>
      <c r="NVG367" s="124"/>
      <c r="NVH367" s="124"/>
      <c r="NVI367" s="124"/>
      <c r="NVJ367" s="124"/>
      <c r="NVK367" s="124"/>
      <c r="NVL367" s="124"/>
      <c r="NVM367" s="124"/>
      <c r="NVN367" s="124"/>
      <c r="NVO367" s="124"/>
      <c r="NVP367" s="124"/>
      <c r="NVQ367" s="124"/>
      <c r="NVR367" s="124"/>
      <c r="NVS367" s="124"/>
      <c r="NVT367" s="124"/>
      <c r="NVU367" s="124"/>
      <c r="NVV367" s="124"/>
      <c r="NVW367" s="124"/>
      <c r="NVX367" s="124"/>
      <c r="NVY367" s="124"/>
      <c r="NVZ367" s="124"/>
      <c r="NWA367" s="124"/>
      <c r="NWB367" s="124"/>
      <c r="NWC367" s="124"/>
      <c r="NWD367" s="124"/>
      <c r="NWE367" s="124"/>
      <c r="NWF367" s="124"/>
      <c r="NWG367" s="124"/>
      <c r="NWH367" s="124"/>
      <c r="NWI367" s="124"/>
      <c r="NWJ367" s="124"/>
      <c r="NWK367" s="124"/>
      <c r="NWL367" s="124"/>
      <c r="NWM367" s="124"/>
      <c r="NWN367" s="124"/>
      <c r="NWO367" s="124"/>
      <c r="NWP367" s="124"/>
      <c r="NWQ367" s="124"/>
      <c r="NWR367" s="124"/>
      <c r="NWS367" s="124"/>
      <c r="NWT367" s="124"/>
      <c r="NWU367" s="124"/>
      <c r="NWV367" s="124"/>
      <c r="NWW367" s="124"/>
      <c r="NWX367" s="124"/>
      <c r="NWY367" s="124"/>
      <c r="NWZ367" s="124"/>
      <c r="NXA367" s="124"/>
      <c r="NXB367" s="124"/>
      <c r="NXC367" s="124"/>
      <c r="NXD367" s="124"/>
      <c r="NXE367" s="124"/>
      <c r="NXF367" s="124"/>
      <c r="NXG367" s="124"/>
      <c r="NXH367" s="124"/>
      <c r="NXI367" s="124"/>
      <c r="NXJ367" s="124"/>
      <c r="NXK367" s="124"/>
      <c r="NXL367" s="124"/>
      <c r="NXM367" s="124"/>
      <c r="NXN367" s="124"/>
      <c r="NXO367" s="124"/>
      <c r="NXP367" s="124"/>
      <c r="NXQ367" s="124"/>
      <c r="NXR367" s="124"/>
      <c r="NXS367" s="124"/>
      <c r="NXT367" s="124"/>
      <c r="NXU367" s="124"/>
      <c r="NXV367" s="124"/>
      <c r="NXW367" s="124"/>
      <c r="NXX367" s="124"/>
      <c r="NXY367" s="124"/>
      <c r="NXZ367" s="124"/>
      <c r="NYA367" s="124"/>
      <c r="NYB367" s="124"/>
      <c r="NYC367" s="124"/>
      <c r="NYD367" s="124"/>
      <c r="NYE367" s="124"/>
      <c r="NYF367" s="124"/>
      <c r="NYG367" s="124"/>
      <c r="NYH367" s="124"/>
      <c r="NYI367" s="124"/>
      <c r="NYJ367" s="124"/>
      <c r="NYK367" s="124"/>
      <c r="NYL367" s="124"/>
      <c r="NYM367" s="124"/>
      <c r="NYN367" s="124"/>
      <c r="NYO367" s="124"/>
      <c r="NYP367" s="124"/>
      <c r="NYQ367" s="124"/>
      <c r="NYR367" s="124"/>
      <c r="NYS367" s="124"/>
      <c r="NYT367" s="124"/>
      <c r="NYU367" s="124"/>
      <c r="NYV367" s="124"/>
      <c r="NYW367" s="124"/>
      <c r="NYX367" s="124"/>
      <c r="NYY367" s="124"/>
      <c r="NYZ367" s="124"/>
      <c r="NZA367" s="124"/>
      <c r="NZB367" s="124"/>
      <c r="NZC367" s="124"/>
      <c r="NZD367" s="124"/>
      <c r="NZE367" s="124"/>
      <c r="NZF367" s="124"/>
      <c r="NZG367" s="124"/>
      <c r="NZH367" s="124"/>
      <c r="NZI367" s="124"/>
      <c r="NZJ367" s="124"/>
      <c r="NZK367" s="124"/>
      <c r="NZL367" s="124"/>
      <c r="NZM367" s="124"/>
      <c r="NZN367" s="124"/>
      <c r="NZO367" s="124"/>
      <c r="NZP367" s="124"/>
      <c r="NZQ367" s="124"/>
      <c r="NZR367" s="124"/>
      <c r="NZS367" s="124"/>
      <c r="NZT367" s="124"/>
      <c r="NZU367" s="124"/>
      <c r="NZV367" s="124"/>
      <c r="NZW367" s="124"/>
      <c r="NZX367" s="124"/>
      <c r="NZY367" s="124"/>
      <c r="NZZ367" s="124"/>
      <c r="OAA367" s="124"/>
      <c r="OAB367" s="124"/>
      <c r="OAC367" s="124"/>
      <c r="OAD367" s="124"/>
      <c r="OAE367" s="124"/>
      <c r="OAF367" s="124"/>
      <c r="OAG367" s="124"/>
      <c r="OAH367" s="124"/>
      <c r="OAI367" s="124"/>
      <c r="OAJ367" s="124"/>
      <c r="OAK367" s="124"/>
      <c r="OAL367" s="124"/>
      <c r="OAM367" s="124"/>
      <c r="OAN367" s="124"/>
      <c r="OAO367" s="124"/>
      <c r="OAP367" s="124"/>
      <c r="OAQ367" s="124"/>
      <c r="OAR367" s="124"/>
      <c r="OAS367" s="124"/>
      <c r="OAT367" s="124"/>
      <c r="OAU367" s="124"/>
      <c r="OAV367" s="124"/>
      <c r="OAW367" s="124"/>
      <c r="OAX367" s="124"/>
      <c r="OAY367" s="124"/>
      <c r="OAZ367" s="124"/>
      <c r="OBA367" s="124"/>
      <c r="OBB367" s="124"/>
      <c r="OBC367" s="124"/>
      <c r="OBD367" s="124"/>
      <c r="OBE367" s="124"/>
      <c r="OBF367" s="124"/>
      <c r="OBG367" s="124"/>
      <c r="OBH367" s="124"/>
      <c r="OBI367" s="124"/>
      <c r="OBJ367" s="124"/>
      <c r="OBK367" s="124"/>
      <c r="OBL367" s="124"/>
      <c r="OBM367" s="124"/>
      <c r="OBN367" s="124"/>
      <c r="OBO367" s="124"/>
      <c r="OBP367" s="124"/>
      <c r="OBQ367" s="124"/>
      <c r="OBR367" s="124"/>
      <c r="OBS367" s="124"/>
      <c r="OBT367" s="124"/>
      <c r="OBU367" s="124"/>
      <c r="OBV367" s="124"/>
      <c r="OBW367" s="124"/>
      <c r="OBX367" s="124"/>
      <c r="OBY367" s="124"/>
      <c r="OBZ367" s="124"/>
      <c r="OCA367" s="124"/>
      <c r="OCB367" s="124"/>
      <c r="OCC367" s="124"/>
      <c r="OCD367" s="124"/>
      <c r="OCE367" s="124"/>
      <c r="OCF367" s="124"/>
      <c r="OCG367" s="124"/>
      <c r="OCH367" s="124"/>
      <c r="OCI367" s="124"/>
      <c r="OCJ367" s="124"/>
      <c r="OCK367" s="124"/>
      <c r="OCL367" s="124"/>
      <c r="OCM367" s="124"/>
      <c r="OCN367" s="124"/>
      <c r="OCO367" s="124"/>
      <c r="OCP367" s="124"/>
      <c r="OCQ367" s="124"/>
      <c r="OCR367" s="124"/>
      <c r="OCS367" s="124"/>
      <c r="OCT367" s="124"/>
      <c r="OCU367" s="124"/>
      <c r="OCV367" s="124"/>
      <c r="OCW367" s="124"/>
      <c r="OCX367" s="124"/>
      <c r="OCY367" s="124"/>
      <c r="OCZ367" s="124"/>
      <c r="ODA367" s="124"/>
      <c r="ODB367" s="124"/>
      <c r="ODC367" s="124"/>
      <c r="ODD367" s="124"/>
      <c r="ODE367" s="124"/>
      <c r="ODF367" s="124"/>
      <c r="ODG367" s="124"/>
      <c r="ODH367" s="124"/>
      <c r="ODI367" s="124"/>
      <c r="ODJ367" s="124"/>
      <c r="ODK367" s="124"/>
      <c r="ODL367" s="124"/>
      <c r="ODM367" s="124"/>
      <c r="ODN367" s="124"/>
      <c r="ODO367" s="124"/>
      <c r="ODP367" s="124"/>
      <c r="ODQ367" s="124"/>
      <c r="ODR367" s="124"/>
      <c r="ODS367" s="124"/>
      <c r="ODT367" s="124"/>
      <c r="ODU367" s="124"/>
      <c r="ODV367" s="124"/>
      <c r="ODW367" s="124"/>
      <c r="ODX367" s="124"/>
      <c r="ODY367" s="124"/>
      <c r="ODZ367" s="124"/>
      <c r="OEA367" s="124"/>
      <c r="OEB367" s="124"/>
      <c r="OEC367" s="124"/>
      <c r="OED367" s="124"/>
      <c r="OEE367" s="124"/>
      <c r="OEF367" s="124"/>
      <c r="OEG367" s="124"/>
      <c r="OEH367" s="124"/>
      <c r="OEI367" s="124"/>
      <c r="OEJ367" s="124"/>
      <c r="OEK367" s="124"/>
      <c r="OEL367" s="124"/>
      <c r="OEM367" s="124"/>
      <c r="OEN367" s="124"/>
      <c r="OEO367" s="124"/>
      <c r="OEP367" s="124"/>
      <c r="OEQ367" s="124"/>
      <c r="OER367" s="124"/>
      <c r="OES367" s="124"/>
      <c r="OET367" s="124"/>
      <c r="OEU367" s="124"/>
      <c r="OEV367" s="124"/>
      <c r="OEW367" s="124"/>
      <c r="OEX367" s="124"/>
      <c r="OEY367" s="124"/>
      <c r="OEZ367" s="124"/>
      <c r="OFA367" s="124"/>
      <c r="OFB367" s="124"/>
      <c r="OFC367" s="124"/>
      <c r="OFD367" s="124"/>
      <c r="OFE367" s="124"/>
      <c r="OFF367" s="124"/>
      <c r="OFG367" s="124"/>
      <c r="OFH367" s="124"/>
      <c r="OFI367" s="124"/>
      <c r="OFJ367" s="124"/>
      <c r="OFK367" s="124"/>
      <c r="OFL367" s="124"/>
      <c r="OFM367" s="124"/>
      <c r="OFN367" s="124"/>
      <c r="OFO367" s="124"/>
      <c r="OFP367" s="124"/>
      <c r="OFQ367" s="124"/>
      <c r="OFR367" s="124"/>
      <c r="OFS367" s="124"/>
      <c r="OFT367" s="124"/>
      <c r="OFU367" s="124"/>
      <c r="OFV367" s="124"/>
      <c r="OFW367" s="124"/>
      <c r="OFX367" s="124"/>
      <c r="OFY367" s="124"/>
      <c r="OFZ367" s="124"/>
      <c r="OGA367" s="124"/>
      <c r="OGB367" s="124"/>
      <c r="OGC367" s="124"/>
      <c r="OGD367" s="124"/>
      <c r="OGE367" s="124"/>
      <c r="OGF367" s="124"/>
      <c r="OGG367" s="124"/>
      <c r="OGH367" s="124"/>
      <c r="OGI367" s="124"/>
      <c r="OGJ367" s="124"/>
      <c r="OGK367" s="124"/>
      <c r="OGL367" s="124"/>
      <c r="OGM367" s="124"/>
      <c r="OGN367" s="124"/>
      <c r="OGO367" s="124"/>
      <c r="OGP367" s="124"/>
      <c r="OGQ367" s="124"/>
      <c r="OGR367" s="124"/>
      <c r="OGS367" s="124"/>
      <c r="OGT367" s="124"/>
      <c r="OGU367" s="124"/>
      <c r="OGV367" s="124"/>
      <c r="OGW367" s="124"/>
      <c r="OGX367" s="124"/>
      <c r="OGY367" s="124"/>
      <c r="OGZ367" s="124"/>
      <c r="OHA367" s="124"/>
      <c r="OHB367" s="124"/>
      <c r="OHC367" s="124"/>
      <c r="OHD367" s="124"/>
      <c r="OHE367" s="124"/>
      <c r="OHF367" s="124"/>
      <c r="OHG367" s="124"/>
      <c r="OHH367" s="124"/>
      <c r="OHI367" s="124"/>
      <c r="OHJ367" s="124"/>
      <c r="OHK367" s="124"/>
      <c r="OHL367" s="124"/>
      <c r="OHM367" s="124"/>
      <c r="OHN367" s="124"/>
      <c r="OHO367" s="124"/>
      <c r="OHP367" s="124"/>
      <c r="OHQ367" s="124"/>
      <c r="OHR367" s="124"/>
      <c r="OHS367" s="124"/>
      <c r="OHT367" s="124"/>
      <c r="OHU367" s="124"/>
      <c r="OHV367" s="124"/>
      <c r="OHW367" s="124"/>
      <c r="OHX367" s="124"/>
      <c r="OHY367" s="124"/>
      <c r="OHZ367" s="124"/>
      <c r="OIA367" s="124"/>
      <c r="OIB367" s="124"/>
      <c r="OIC367" s="124"/>
      <c r="OID367" s="124"/>
      <c r="OIE367" s="124"/>
      <c r="OIF367" s="124"/>
      <c r="OIG367" s="124"/>
      <c r="OIH367" s="124"/>
      <c r="OII367" s="124"/>
      <c r="OIJ367" s="124"/>
      <c r="OIK367" s="124"/>
      <c r="OIL367" s="124"/>
      <c r="OIM367" s="124"/>
      <c r="OIN367" s="124"/>
      <c r="OIO367" s="124"/>
      <c r="OIP367" s="124"/>
      <c r="OIQ367" s="124"/>
      <c r="OIR367" s="124"/>
      <c r="OIS367" s="124"/>
      <c r="OIT367" s="124"/>
      <c r="OIU367" s="124"/>
      <c r="OIV367" s="124"/>
      <c r="OIW367" s="124"/>
      <c r="OIX367" s="124"/>
      <c r="OIY367" s="124"/>
      <c r="OIZ367" s="124"/>
      <c r="OJA367" s="124"/>
      <c r="OJB367" s="124"/>
      <c r="OJC367" s="124"/>
      <c r="OJD367" s="124"/>
      <c r="OJE367" s="124"/>
      <c r="OJF367" s="124"/>
      <c r="OJG367" s="124"/>
      <c r="OJH367" s="124"/>
      <c r="OJI367" s="124"/>
      <c r="OJJ367" s="124"/>
      <c r="OJK367" s="124"/>
      <c r="OJL367" s="124"/>
      <c r="OJM367" s="124"/>
      <c r="OJN367" s="124"/>
      <c r="OJO367" s="124"/>
      <c r="OJP367" s="124"/>
      <c r="OJQ367" s="124"/>
      <c r="OJR367" s="124"/>
      <c r="OJS367" s="124"/>
      <c r="OJT367" s="124"/>
      <c r="OJU367" s="124"/>
      <c r="OJV367" s="124"/>
      <c r="OJW367" s="124"/>
      <c r="OJX367" s="124"/>
      <c r="OJY367" s="124"/>
      <c r="OJZ367" s="124"/>
      <c r="OKA367" s="124"/>
      <c r="OKB367" s="124"/>
      <c r="OKC367" s="124"/>
      <c r="OKD367" s="124"/>
      <c r="OKE367" s="124"/>
      <c r="OKF367" s="124"/>
      <c r="OKG367" s="124"/>
      <c r="OKH367" s="124"/>
      <c r="OKI367" s="124"/>
      <c r="OKJ367" s="124"/>
      <c r="OKK367" s="124"/>
      <c r="OKL367" s="124"/>
      <c r="OKM367" s="124"/>
      <c r="OKN367" s="124"/>
      <c r="OKO367" s="124"/>
      <c r="OKP367" s="124"/>
      <c r="OKQ367" s="124"/>
      <c r="OKR367" s="124"/>
      <c r="OKS367" s="124"/>
      <c r="OKT367" s="124"/>
      <c r="OKU367" s="124"/>
      <c r="OKV367" s="124"/>
      <c r="OKW367" s="124"/>
      <c r="OKX367" s="124"/>
      <c r="OKY367" s="124"/>
      <c r="OKZ367" s="124"/>
      <c r="OLA367" s="124"/>
      <c r="OLB367" s="124"/>
      <c r="OLC367" s="124"/>
      <c r="OLD367" s="124"/>
      <c r="OLE367" s="124"/>
      <c r="OLF367" s="124"/>
      <c r="OLG367" s="124"/>
      <c r="OLH367" s="124"/>
      <c r="OLI367" s="124"/>
      <c r="OLJ367" s="124"/>
      <c r="OLK367" s="124"/>
      <c r="OLL367" s="124"/>
      <c r="OLM367" s="124"/>
      <c r="OLN367" s="124"/>
      <c r="OLO367" s="124"/>
      <c r="OLP367" s="124"/>
      <c r="OLQ367" s="124"/>
      <c r="OLR367" s="124"/>
      <c r="OLS367" s="124"/>
      <c r="OLT367" s="124"/>
      <c r="OLU367" s="124"/>
      <c r="OLV367" s="124"/>
      <c r="OLW367" s="124"/>
      <c r="OLX367" s="124"/>
      <c r="OLY367" s="124"/>
      <c r="OLZ367" s="124"/>
      <c r="OMA367" s="124"/>
      <c r="OMB367" s="124"/>
      <c r="OMC367" s="124"/>
      <c r="OMD367" s="124"/>
      <c r="OME367" s="124"/>
      <c r="OMF367" s="124"/>
      <c r="OMG367" s="124"/>
      <c r="OMH367" s="124"/>
      <c r="OMI367" s="124"/>
      <c r="OMJ367" s="124"/>
      <c r="OMK367" s="124"/>
      <c r="OML367" s="124"/>
      <c r="OMM367" s="124"/>
      <c r="OMN367" s="124"/>
      <c r="OMO367" s="124"/>
      <c r="OMP367" s="124"/>
      <c r="OMQ367" s="124"/>
      <c r="OMR367" s="124"/>
      <c r="OMS367" s="124"/>
      <c r="OMT367" s="124"/>
      <c r="OMU367" s="124"/>
      <c r="OMV367" s="124"/>
      <c r="OMW367" s="124"/>
      <c r="OMX367" s="124"/>
      <c r="OMY367" s="124"/>
      <c r="OMZ367" s="124"/>
      <c r="ONA367" s="124"/>
      <c r="ONB367" s="124"/>
      <c r="ONC367" s="124"/>
      <c r="OND367" s="124"/>
      <c r="ONE367" s="124"/>
      <c r="ONF367" s="124"/>
      <c r="ONG367" s="124"/>
      <c r="ONH367" s="124"/>
      <c r="ONI367" s="124"/>
      <c r="ONJ367" s="124"/>
      <c r="ONK367" s="124"/>
      <c r="ONL367" s="124"/>
      <c r="ONM367" s="124"/>
      <c r="ONN367" s="124"/>
      <c r="ONO367" s="124"/>
      <c r="ONP367" s="124"/>
      <c r="ONQ367" s="124"/>
      <c r="ONR367" s="124"/>
      <c r="ONS367" s="124"/>
      <c r="ONT367" s="124"/>
      <c r="ONU367" s="124"/>
      <c r="ONV367" s="124"/>
      <c r="ONW367" s="124"/>
      <c r="ONX367" s="124"/>
      <c r="ONY367" s="124"/>
      <c r="ONZ367" s="124"/>
      <c r="OOA367" s="124"/>
      <c r="OOB367" s="124"/>
      <c r="OOC367" s="124"/>
      <c r="OOD367" s="124"/>
      <c r="OOE367" s="124"/>
      <c r="OOF367" s="124"/>
      <c r="OOG367" s="124"/>
      <c r="OOH367" s="124"/>
      <c r="OOI367" s="124"/>
      <c r="OOJ367" s="124"/>
      <c r="OOK367" s="124"/>
      <c r="OOL367" s="124"/>
      <c r="OOM367" s="124"/>
      <c r="OON367" s="124"/>
      <c r="OOO367" s="124"/>
      <c r="OOP367" s="124"/>
      <c r="OOQ367" s="124"/>
      <c r="OOR367" s="124"/>
      <c r="OOS367" s="124"/>
      <c r="OOT367" s="124"/>
      <c r="OOU367" s="124"/>
      <c r="OOV367" s="124"/>
      <c r="OOW367" s="124"/>
      <c r="OOX367" s="124"/>
      <c r="OOY367" s="124"/>
      <c r="OOZ367" s="124"/>
      <c r="OPA367" s="124"/>
      <c r="OPB367" s="124"/>
      <c r="OPC367" s="124"/>
      <c r="OPD367" s="124"/>
      <c r="OPE367" s="124"/>
      <c r="OPF367" s="124"/>
      <c r="OPG367" s="124"/>
      <c r="OPH367" s="124"/>
      <c r="OPI367" s="124"/>
      <c r="OPJ367" s="124"/>
      <c r="OPK367" s="124"/>
      <c r="OPL367" s="124"/>
      <c r="OPM367" s="124"/>
      <c r="OPN367" s="124"/>
      <c r="OPO367" s="124"/>
      <c r="OPP367" s="124"/>
      <c r="OPQ367" s="124"/>
      <c r="OPR367" s="124"/>
      <c r="OPS367" s="124"/>
      <c r="OPT367" s="124"/>
      <c r="OPU367" s="124"/>
      <c r="OPV367" s="124"/>
      <c r="OPW367" s="124"/>
      <c r="OPX367" s="124"/>
      <c r="OPY367" s="124"/>
      <c r="OPZ367" s="124"/>
      <c r="OQA367" s="124"/>
      <c r="OQB367" s="124"/>
      <c r="OQC367" s="124"/>
      <c r="OQD367" s="124"/>
      <c r="OQE367" s="124"/>
      <c r="OQF367" s="124"/>
      <c r="OQG367" s="124"/>
      <c r="OQH367" s="124"/>
      <c r="OQI367" s="124"/>
      <c r="OQJ367" s="124"/>
      <c r="OQK367" s="124"/>
      <c r="OQL367" s="124"/>
      <c r="OQM367" s="124"/>
      <c r="OQN367" s="124"/>
      <c r="OQO367" s="124"/>
      <c r="OQP367" s="124"/>
      <c r="OQQ367" s="124"/>
      <c r="OQR367" s="124"/>
      <c r="OQS367" s="124"/>
      <c r="OQT367" s="124"/>
      <c r="OQU367" s="124"/>
      <c r="OQV367" s="124"/>
      <c r="OQW367" s="124"/>
      <c r="OQX367" s="124"/>
      <c r="OQY367" s="124"/>
      <c r="OQZ367" s="124"/>
      <c r="ORA367" s="124"/>
      <c r="ORB367" s="124"/>
      <c r="ORC367" s="124"/>
      <c r="ORD367" s="124"/>
      <c r="ORE367" s="124"/>
      <c r="ORF367" s="124"/>
      <c r="ORG367" s="124"/>
      <c r="ORH367" s="124"/>
      <c r="ORI367" s="124"/>
      <c r="ORJ367" s="124"/>
      <c r="ORK367" s="124"/>
      <c r="ORL367" s="124"/>
      <c r="ORM367" s="124"/>
      <c r="ORN367" s="124"/>
      <c r="ORO367" s="124"/>
      <c r="ORP367" s="124"/>
      <c r="ORQ367" s="124"/>
      <c r="ORR367" s="124"/>
      <c r="ORS367" s="124"/>
      <c r="ORT367" s="124"/>
      <c r="ORU367" s="124"/>
      <c r="ORV367" s="124"/>
      <c r="ORW367" s="124"/>
      <c r="ORX367" s="124"/>
      <c r="ORY367" s="124"/>
      <c r="ORZ367" s="124"/>
      <c r="OSA367" s="124"/>
      <c r="OSB367" s="124"/>
      <c r="OSC367" s="124"/>
      <c r="OSD367" s="124"/>
      <c r="OSE367" s="124"/>
      <c r="OSF367" s="124"/>
      <c r="OSG367" s="124"/>
      <c r="OSH367" s="124"/>
      <c r="OSI367" s="124"/>
      <c r="OSJ367" s="124"/>
      <c r="OSK367" s="124"/>
      <c r="OSL367" s="124"/>
      <c r="OSM367" s="124"/>
      <c r="OSN367" s="124"/>
      <c r="OSO367" s="124"/>
      <c r="OSP367" s="124"/>
      <c r="OSQ367" s="124"/>
      <c r="OSR367" s="124"/>
      <c r="OSS367" s="124"/>
      <c r="OST367" s="124"/>
      <c r="OSU367" s="124"/>
      <c r="OSV367" s="124"/>
      <c r="OSW367" s="124"/>
      <c r="OSX367" s="124"/>
      <c r="OSY367" s="124"/>
      <c r="OSZ367" s="124"/>
      <c r="OTA367" s="124"/>
      <c r="OTB367" s="124"/>
      <c r="OTC367" s="124"/>
      <c r="OTD367" s="124"/>
      <c r="OTE367" s="124"/>
      <c r="OTF367" s="124"/>
      <c r="OTG367" s="124"/>
      <c r="OTH367" s="124"/>
      <c r="OTI367" s="124"/>
      <c r="OTJ367" s="124"/>
      <c r="OTK367" s="124"/>
      <c r="OTL367" s="124"/>
      <c r="OTM367" s="124"/>
      <c r="OTN367" s="124"/>
      <c r="OTO367" s="124"/>
      <c r="OTP367" s="124"/>
      <c r="OTQ367" s="124"/>
      <c r="OTR367" s="124"/>
      <c r="OTS367" s="124"/>
      <c r="OTT367" s="124"/>
      <c r="OTU367" s="124"/>
      <c r="OTV367" s="124"/>
      <c r="OTW367" s="124"/>
      <c r="OTX367" s="124"/>
      <c r="OTY367" s="124"/>
      <c r="OTZ367" s="124"/>
      <c r="OUA367" s="124"/>
      <c r="OUB367" s="124"/>
      <c r="OUC367" s="124"/>
      <c r="OUD367" s="124"/>
      <c r="OUE367" s="124"/>
      <c r="OUF367" s="124"/>
      <c r="OUG367" s="124"/>
      <c r="OUH367" s="124"/>
      <c r="OUI367" s="124"/>
      <c r="OUJ367" s="124"/>
      <c r="OUK367" s="124"/>
      <c r="OUL367" s="124"/>
      <c r="OUM367" s="124"/>
      <c r="OUN367" s="124"/>
      <c r="OUO367" s="124"/>
      <c r="OUP367" s="124"/>
      <c r="OUQ367" s="124"/>
      <c r="OUR367" s="124"/>
      <c r="OUS367" s="124"/>
      <c r="OUT367" s="124"/>
      <c r="OUU367" s="124"/>
      <c r="OUV367" s="124"/>
      <c r="OUW367" s="124"/>
      <c r="OUX367" s="124"/>
      <c r="OUY367" s="124"/>
      <c r="OUZ367" s="124"/>
      <c r="OVA367" s="124"/>
      <c r="OVB367" s="124"/>
      <c r="OVC367" s="124"/>
      <c r="OVD367" s="124"/>
      <c r="OVE367" s="124"/>
      <c r="OVF367" s="124"/>
      <c r="OVG367" s="124"/>
      <c r="OVH367" s="124"/>
      <c r="OVI367" s="124"/>
      <c r="OVJ367" s="124"/>
      <c r="OVK367" s="124"/>
      <c r="OVL367" s="124"/>
      <c r="OVM367" s="124"/>
      <c r="OVN367" s="124"/>
      <c r="OVO367" s="124"/>
      <c r="OVP367" s="124"/>
      <c r="OVQ367" s="124"/>
      <c r="OVR367" s="124"/>
      <c r="OVS367" s="124"/>
      <c r="OVT367" s="124"/>
      <c r="OVU367" s="124"/>
      <c r="OVV367" s="124"/>
      <c r="OVW367" s="124"/>
      <c r="OVX367" s="124"/>
      <c r="OVY367" s="124"/>
      <c r="OVZ367" s="124"/>
      <c r="OWA367" s="124"/>
      <c r="OWB367" s="124"/>
      <c r="OWC367" s="124"/>
      <c r="OWD367" s="124"/>
      <c r="OWE367" s="124"/>
      <c r="OWF367" s="124"/>
      <c r="OWG367" s="124"/>
      <c r="OWH367" s="124"/>
      <c r="OWI367" s="124"/>
      <c r="OWJ367" s="124"/>
      <c r="OWK367" s="124"/>
      <c r="OWL367" s="124"/>
      <c r="OWM367" s="124"/>
      <c r="OWN367" s="124"/>
      <c r="OWO367" s="124"/>
      <c r="OWP367" s="124"/>
      <c r="OWQ367" s="124"/>
      <c r="OWR367" s="124"/>
      <c r="OWS367" s="124"/>
      <c r="OWT367" s="124"/>
      <c r="OWU367" s="124"/>
      <c r="OWV367" s="124"/>
      <c r="OWW367" s="124"/>
      <c r="OWX367" s="124"/>
      <c r="OWY367" s="124"/>
      <c r="OWZ367" s="124"/>
      <c r="OXA367" s="124"/>
      <c r="OXB367" s="124"/>
      <c r="OXC367" s="124"/>
      <c r="OXD367" s="124"/>
      <c r="OXE367" s="124"/>
      <c r="OXF367" s="124"/>
      <c r="OXG367" s="124"/>
      <c r="OXH367" s="124"/>
      <c r="OXI367" s="124"/>
      <c r="OXJ367" s="124"/>
      <c r="OXK367" s="124"/>
      <c r="OXL367" s="124"/>
      <c r="OXM367" s="124"/>
      <c r="OXN367" s="124"/>
      <c r="OXO367" s="124"/>
      <c r="OXP367" s="124"/>
      <c r="OXQ367" s="124"/>
      <c r="OXR367" s="124"/>
      <c r="OXS367" s="124"/>
      <c r="OXT367" s="124"/>
      <c r="OXU367" s="124"/>
      <c r="OXV367" s="124"/>
      <c r="OXW367" s="124"/>
      <c r="OXX367" s="124"/>
      <c r="OXY367" s="124"/>
      <c r="OXZ367" s="124"/>
      <c r="OYA367" s="124"/>
      <c r="OYB367" s="124"/>
      <c r="OYC367" s="124"/>
      <c r="OYD367" s="124"/>
      <c r="OYE367" s="124"/>
      <c r="OYF367" s="124"/>
      <c r="OYG367" s="124"/>
      <c r="OYH367" s="124"/>
      <c r="OYI367" s="124"/>
      <c r="OYJ367" s="124"/>
      <c r="OYK367" s="124"/>
      <c r="OYL367" s="124"/>
      <c r="OYM367" s="124"/>
      <c r="OYN367" s="124"/>
      <c r="OYO367" s="124"/>
      <c r="OYP367" s="124"/>
      <c r="OYQ367" s="124"/>
      <c r="OYR367" s="124"/>
      <c r="OYS367" s="124"/>
      <c r="OYT367" s="124"/>
      <c r="OYU367" s="124"/>
      <c r="OYV367" s="124"/>
      <c r="OYW367" s="124"/>
      <c r="OYX367" s="124"/>
      <c r="OYY367" s="124"/>
      <c r="OYZ367" s="124"/>
      <c r="OZA367" s="124"/>
      <c r="OZB367" s="124"/>
      <c r="OZC367" s="124"/>
      <c r="OZD367" s="124"/>
      <c r="OZE367" s="124"/>
      <c r="OZF367" s="124"/>
      <c r="OZG367" s="124"/>
      <c r="OZH367" s="124"/>
      <c r="OZI367" s="124"/>
      <c r="OZJ367" s="124"/>
      <c r="OZK367" s="124"/>
      <c r="OZL367" s="124"/>
      <c r="OZM367" s="124"/>
      <c r="OZN367" s="124"/>
      <c r="OZO367" s="124"/>
      <c r="OZP367" s="124"/>
      <c r="OZQ367" s="124"/>
      <c r="OZR367" s="124"/>
      <c r="OZS367" s="124"/>
      <c r="OZT367" s="124"/>
      <c r="OZU367" s="124"/>
      <c r="OZV367" s="124"/>
      <c r="OZW367" s="124"/>
      <c r="OZX367" s="124"/>
      <c r="OZY367" s="124"/>
      <c r="OZZ367" s="124"/>
      <c r="PAA367" s="124"/>
      <c r="PAB367" s="124"/>
      <c r="PAC367" s="124"/>
      <c r="PAD367" s="124"/>
      <c r="PAE367" s="124"/>
      <c r="PAF367" s="124"/>
      <c r="PAG367" s="124"/>
      <c r="PAH367" s="124"/>
      <c r="PAI367" s="124"/>
      <c r="PAJ367" s="124"/>
      <c r="PAK367" s="124"/>
      <c r="PAL367" s="124"/>
      <c r="PAM367" s="124"/>
      <c r="PAN367" s="124"/>
      <c r="PAO367" s="124"/>
      <c r="PAP367" s="124"/>
      <c r="PAQ367" s="124"/>
      <c r="PAR367" s="124"/>
      <c r="PAS367" s="124"/>
      <c r="PAT367" s="124"/>
      <c r="PAU367" s="124"/>
      <c r="PAV367" s="124"/>
      <c r="PAW367" s="124"/>
      <c r="PAX367" s="124"/>
      <c r="PAY367" s="124"/>
      <c r="PAZ367" s="124"/>
      <c r="PBA367" s="124"/>
      <c r="PBB367" s="124"/>
      <c r="PBC367" s="124"/>
      <c r="PBD367" s="124"/>
      <c r="PBE367" s="124"/>
      <c r="PBF367" s="124"/>
      <c r="PBG367" s="124"/>
      <c r="PBH367" s="124"/>
      <c r="PBI367" s="124"/>
      <c r="PBJ367" s="124"/>
      <c r="PBK367" s="124"/>
      <c r="PBL367" s="124"/>
      <c r="PBM367" s="124"/>
      <c r="PBN367" s="124"/>
      <c r="PBO367" s="124"/>
      <c r="PBP367" s="124"/>
      <c r="PBQ367" s="124"/>
      <c r="PBR367" s="124"/>
      <c r="PBS367" s="124"/>
      <c r="PBT367" s="124"/>
      <c r="PBU367" s="124"/>
      <c r="PBV367" s="124"/>
      <c r="PBW367" s="124"/>
      <c r="PBX367" s="124"/>
      <c r="PBY367" s="124"/>
      <c r="PBZ367" s="124"/>
      <c r="PCA367" s="124"/>
      <c r="PCB367" s="124"/>
      <c r="PCC367" s="124"/>
      <c r="PCD367" s="124"/>
      <c r="PCE367" s="124"/>
      <c r="PCF367" s="124"/>
      <c r="PCG367" s="124"/>
      <c r="PCH367" s="124"/>
      <c r="PCI367" s="124"/>
      <c r="PCJ367" s="124"/>
      <c r="PCK367" s="124"/>
      <c r="PCL367" s="124"/>
      <c r="PCM367" s="124"/>
      <c r="PCN367" s="124"/>
      <c r="PCO367" s="124"/>
      <c r="PCP367" s="124"/>
      <c r="PCQ367" s="124"/>
      <c r="PCR367" s="124"/>
      <c r="PCS367" s="124"/>
      <c r="PCT367" s="124"/>
      <c r="PCU367" s="124"/>
      <c r="PCV367" s="124"/>
      <c r="PCW367" s="124"/>
      <c r="PCX367" s="124"/>
      <c r="PCY367" s="124"/>
      <c r="PCZ367" s="124"/>
      <c r="PDA367" s="124"/>
      <c r="PDB367" s="124"/>
      <c r="PDC367" s="124"/>
      <c r="PDD367" s="124"/>
      <c r="PDE367" s="124"/>
      <c r="PDF367" s="124"/>
      <c r="PDG367" s="124"/>
      <c r="PDH367" s="124"/>
      <c r="PDI367" s="124"/>
      <c r="PDJ367" s="124"/>
      <c r="PDK367" s="124"/>
      <c r="PDL367" s="124"/>
      <c r="PDM367" s="124"/>
      <c r="PDN367" s="124"/>
      <c r="PDO367" s="124"/>
      <c r="PDP367" s="124"/>
      <c r="PDQ367" s="124"/>
      <c r="PDR367" s="124"/>
      <c r="PDS367" s="124"/>
      <c r="PDT367" s="124"/>
      <c r="PDU367" s="124"/>
      <c r="PDV367" s="124"/>
      <c r="PDW367" s="124"/>
      <c r="PDX367" s="124"/>
      <c r="PDY367" s="124"/>
      <c r="PDZ367" s="124"/>
      <c r="PEA367" s="124"/>
      <c r="PEB367" s="124"/>
      <c r="PEC367" s="124"/>
      <c r="PED367" s="124"/>
      <c r="PEE367" s="124"/>
      <c r="PEF367" s="124"/>
      <c r="PEG367" s="124"/>
      <c r="PEH367" s="124"/>
      <c r="PEI367" s="124"/>
      <c r="PEJ367" s="124"/>
      <c r="PEK367" s="124"/>
      <c r="PEL367" s="124"/>
      <c r="PEM367" s="124"/>
      <c r="PEN367" s="124"/>
      <c r="PEO367" s="124"/>
      <c r="PEP367" s="124"/>
      <c r="PEQ367" s="124"/>
      <c r="PER367" s="124"/>
      <c r="PES367" s="124"/>
      <c r="PET367" s="124"/>
      <c r="PEU367" s="124"/>
      <c r="PEV367" s="124"/>
      <c r="PEW367" s="124"/>
      <c r="PEX367" s="124"/>
      <c r="PEY367" s="124"/>
      <c r="PEZ367" s="124"/>
      <c r="PFA367" s="124"/>
      <c r="PFB367" s="124"/>
      <c r="PFC367" s="124"/>
      <c r="PFD367" s="124"/>
      <c r="PFE367" s="124"/>
      <c r="PFF367" s="124"/>
      <c r="PFG367" s="124"/>
      <c r="PFH367" s="124"/>
      <c r="PFI367" s="124"/>
      <c r="PFJ367" s="124"/>
      <c r="PFK367" s="124"/>
      <c r="PFL367" s="124"/>
      <c r="PFM367" s="124"/>
      <c r="PFN367" s="124"/>
      <c r="PFO367" s="124"/>
      <c r="PFP367" s="124"/>
      <c r="PFQ367" s="124"/>
      <c r="PFR367" s="124"/>
      <c r="PFS367" s="124"/>
      <c r="PFT367" s="124"/>
      <c r="PFU367" s="124"/>
      <c r="PFV367" s="124"/>
      <c r="PFW367" s="124"/>
      <c r="PFX367" s="124"/>
      <c r="PFY367" s="124"/>
      <c r="PFZ367" s="124"/>
      <c r="PGA367" s="124"/>
      <c r="PGB367" s="124"/>
      <c r="PGC367" s="124"/>
      <c r="PGD367" s="124"/>
      <c r="PGE367" s="124"/>
      <c r="PGF367" s="124"/>
      <c r="PGG367" s="124"/>
      <c r="PGH367" s="124"/>
      <c r="PGI367" s="124"/>
      <c r="PGJ367" s="124"/>
      <c r="PGK367" s="124"/>
      <c r="PGL367" s="124"/>
      <c r="PGM367" s="124"/>
      <c r="PGN367" s="124"/>
      <c r="PGO367" s="124"/>
      <c r="PGP367" s="124"/>
      <c r="PGQ367" s="124"/>
      <c r="PGR367" s="124"/>
      <c r="PGS367" s="124"/>
      <c r="PGT367" s="124"/>
      <c r="PGU367" s="124"/>
      <c r="PGV367" s="124"/>
      <c r="PGW367" s="124"/>
      <c r="PGX367" s="124"/>
      <c r="PGY367" s="124"/>
      <c r="PGZ367" s="124"/>
      <c r="PHA367" s="124"/>
      <c r="PHB367" s="124"/>
      <c r="PHC367" s="124"/>
      <c r="PHD367" s="124"/>
      <c r="PHE367" s="124"/>
      <c r="PHF367" s="124"/>
      <c r="PHG367" s="124"/>
      <c r="PHH367" s="124"/>
      <c r="PHI367" s="124"/>
      <c r="PHJ367" s="124"/>
      <c r="PHK367" s="124"/>
      <c r="PHL367" s="124"/>
      <c r="PHM367" s="124"/>
      <c r="PHN367" s="124"/>
      <c r="PHO367" s="124"/>
      <c r="PHP367" s="124"/>
      <c r="PHQ367" s="124"/>
      <c r="PHR367" s="124"/>
      <c r="PHS367" s="124"/>
      <c r="PHT367" s="124"/>
      <c r="PHU367" s="124"/>
      <c r="PHV367" s="124"/>
      <c r="PHW367" s="124"/>
      <c r="PHX367" s="124"/>
      <c r="PHY367" s="124"/>
      <c r="PHZ367" s="124"/>
      <c r="PIA367" s="124"/>
      <c r="PIB367" s="124"/>
      <c r="PIC367" s="124"/>
      <c r="PID367" s="124"/>
      <c r="PIE367" s="124"/>
      <c r="PIF367" s="124"/>
      <c r="PIG367" s="124"/>
      <c r="PIH367" s="124"/>
      <c r="PII367" s="124"/>
      <c r="PIJ367" s="124"/>
      <c r="PIK367" s="124"/>
      <c r="PIL367" s="124"/>
      <c r="PIM367" s="124"/>
      <c r="PIN367" s="124"/>
      <c r="PIO367" s="124"/>
      <c r="PIP367" s="124"/>
      <c r="PIQ367" s="124"/>
      <c r="PIR367" s="124"/>
      <c r="PIS367" s="124"/>
      <c r="PIT367" s="124"/>
      <c r="PIU367" s="124"/>
      <c r="PIV367" s="124"/>
      <c r="PIW367" s="124"/>
      <c r="PIX367" s="124"/>
      <c r="PIY367" s="124"/>
      <c r="PIZ367" s="124"/>
      <c r="PJA367" s="124"/>
      <c r="PJB367" s="124"/>
      <c r="PJC367" s="124"/>
      <c r="PJD367" s="124"/>
      <c r="PJE367" s="124"/>
      <c r="PJF367" s="124"/>
      <c r="PJG367" s="124"/>
      <c r="PJH367" s="124"/>
      <c r="PJI367" s="124"/>
      <c r="PJJ367" s="124"/>
      <c r="PJK367" s="124"/>
      <c r="PJL367" s="124"/>
      <c r="PJM367" s="124"/>
      <c r="PJN367" s="124"/>
      <c r="PJO367" s="124"/>
      <c r="PJP367" s="124"/>
      <c r="PJQ367" s="124"/>
      <c r="PJR367" s="124"/>
      <c r="PJS367" s="124"/>
      <c r="PJT367" s="124"/>
      <c r="PJU367" s="124"/>
      <c r="PJV367" s="124"/>
      <c r="PJW367" s="124"/>
      <c r="PJX367" s="124"/>
      <c r="PJY367" s="124"/>
      <c r="PJZ367" s="124"/>
      <c r="PKA367" s="124"/>
      <c r="PKB367" s="124"/>
      <c r="PKC367" s="124"/>
      <c r="PKD367" s="124"/>
      <c r="PKE367" s="124"/>
      <c r="PKF367" s="124"/>
      <c r="PKG367" s="124"/>
      <c r="PKH367" s="124"/>
      <c r="PKI367" s="124"/>
      <c r="PKJ367" s="124"/>
      <c r="PKK367" s="124"/>
      <c r="PKL367" s="124"/>
      <c r="PKM367" s="124"/>
      <c r="PKN367" s="124"/>
      <c r="PKO367" s="124"/>
      <c r="PKP367" s="124"/>
      <c r="PKQ367" s="124"/>
      <c r="PKR367" s="124"/>
      <c r="PKS367" s="124"/>
      <c r="PKT367" s="124"/>
      <c r="PKU367" s="124"/>
      <c r="PKV367" s="124"/>
      <c r="PKW367" s="124"/>
      <c r="PKX367" s="124"/>
      <c r="PKY367" s="124"/>
      <c r="PKZ367" s="124"/>
      <c r="PLA367" s="124"/>
      <c r="PLB367" s="124"/>
      <c r="PLC367" s="124"/>
      <c r="PLD367" s="124"/>
      <c r="PLE367" s="124"/>
      <c r="PLF367" s="124"/>
      <c r="PLG367" s="124"/>
      <c r="PLH367" s="124"/>
      <c r="PLI367" s="124"/>
      <c r="PLJ367" s="124"/>
      <c r="PLK367" s="124"/>
      <c r="PLL367" s="124"/>
      <c r="PLM367" s="124"/>
      <c r="PLN367" s="124"/>
      <c r="PLO367" s="124"/>
      <c r="PLP367" s="124"/>
      <c r="PLQ367" s="124"/>
      <c r="PLR367" s="124"/>
      <c r="PLS367" s="124"/>
      <c r="PLT367" s="124"/>
      <c r="PLU367" s="124"/>
      <c r="PLV367" s="124"/>
      <c r="PLW367" s="124"/>
      <c r="PLX367" s="124"/>
      <c r="PLY367" s="124"/>
      <c r="PLZ367" s="124"/>
      <c r="PMA367" s="124"/>
      <c r="PMB367" s="124"/>
      <c r="PMC367" s="124"/>
      <c r="PMD367" s="124"/>
      <c r="PME367" s="124"/>
      <c r="PMF367" s="124"/>
      <c r="PMG367" s="124"/>
      <c r="PMH367" s="124"/>
      <c r="PMI367" s="124"/>
      <c r="PMJ367" s="124"/>
      <c r="PMK367" s="124"/>
      <c r="PML367" s="124"/>
      <c r="PMM367" s="124"/>
      <c r="PMN367" s="124"/>
      <c r="PMO367" s="124"/>
      <c r="PMP367" s="124"/>
      <c r="PMQ367" s="124"/>
      <c r="PMR367" s="124"/>
      <c r="PMS367" s="124"/>
      <c r="PMT367" s="124"/>
      <c r="PMU367" s="124"/>
      <c r="PMV367" s="124"/>
      <c r="PMW367" s="124"/>
      <c r="PMX367" s="124"/>
      <c r="PMY367" s="124"/>
      <c r="PMZ367" s="124"/>
      <c r="PNA367" s="124"/>
      <c r="PNB367" s="124"/>
      <c r="PNC367" s="124"/>
      <c r="PND367" s="124"/>
      <c r="PNE367" s="124"/>
      <c r="PNF367" s="124"/>
      <c r="PNG367" s="124"/>
      <c r="PNH367" s="124"/>
      <c r="PNI367" s="124"/>
      <c r="PNJ367" s="124"/>
      <c r="PNK367" s="124"/>
      <c r="PNL367" s="124"/>
      <c r="PNM367" s="124"/>
      <c r="PNN367" s="124"/>
      <c r="PNO367" s="124"/>
      <c r="PNP367" s="124"/>
      <c r="PNQ367" s="124"/>
      <c r="PNR367" s="124"/>
      <c r="PNS367" s="124"/>
      <c r="PNT367" s="124"/>
      <c r="PNU367" s="124"/>
      <c r="PNV367" s="124"/>
      <c r="PNW367" s="124"/>
      <c r="PNX367" s="124"/>
      <c r="PNY367" s="124"/>
      <c r="PNZ367" s="124"/>
      <c r="POA367" s="124"/>
      <c r="POB367" s="124"/>
      <c r="POC367" s="124"/>
      <c r="POD367" s="124"/>
      <c r="POE367" s="124"/>
      <c r="POF367" s="124"/>
      <c r="POG367" s="124"/>
      <c r="POH367" s="124"/>
      <c r="POI367" s="124"/>
      <c r="POJ367" s="124"/>
      <c r="POK367" s="124"/>
      <c r="POL367" s="124"/>
      <c r="POM367" s="124"/>
      <c r="PON367" s="124"/>
      <c r="POO367" s="124"/>
      <c r="POP367" s="124"/>
      <c r="POQ367" s="124"/>
      <c r="POR367" s="124"/>
      <c r="POS367" s="124"/>
      <c r="POT367" s="124"/>
      <c r="POU367" s="124"/>
      <c r="POV367" s="124"/>
      <c r="POW367" s="124"/>
      <c r="POX367" s="124"/>
      <c r="POY367" s="124"/>
      <c r="POZ367" s="124"/>
      <c r="PPA367" s="124"/>
      <c r="PPB367" s="124"/>
      <c r="PPC367" s="124"/>
      <c r="PPD367" s="124"/>
      <c r="PPE367" s="124"/>
      <c r="PPF367" s="124"/>
      <c r="PPG367" s="124"/>
      <c r="PPH367" s="124"/>
      <c r="PPI367" s="124"/>
      <c r="PPJ367" s="124"/>
      <c r="PPK367" s="124"/>
      <c r="PPL367" s="124"/>
      <c r="PPM367" s="124"/>
      <c r="PPN367" s="124"/>
      <c r="PPO367" s="124"/>
      <c r="PPP367" s="124"/>
      <c r="PPQ367" s="124"/>
      <c r="PPR367" s="124"/>
      <c r="PPS367" s="124"/>
      <c r="PPT367" s="124"/>
      <c r="PPU367" s="124"/>
      <c r="PPV367" s="124"/>
      <c r="PPW367" s="124"/>
      <c r="PPX367" s="124"/>
      <c r="PPY367" s="124"/>
      <c r="PPZ367" s="124"/>
      <c r="PQA367" s="124"/>
      <c r="PQB367" s="124"/>
      <c r="PQC367" s="124"/>
      <c r="PQD367" s="124"/>
      <c r="PQE367" s="124"/>
      <c r="PQF367" s="124"/>
      <c r="PQG367" s="124"/>
      <c r="PQH367" s="124"/>
      <c r="PQI367" s="124"/>
      <c r="PQJ367" s="124"/>
      <c r="PQK367" s="124"/>
      <c r="PQL367" s="124"/>
      <c r="PQM367" s="124"/>
      <c r="PQN367" s="124"/>
      <c r="PQO367" s="124"/>
      <c r="PQP367" s="124"/>
      <c r="PQQ367" s="124"/>
      <c r="PQR367" s="124"/>
      <c r="PQS367" s="124"/>
      <c r="PQT367" s="124"/>
      <c r="PQU367" s="124"/>
      <c r="PQV367" s="124"/>
      <c r="PQW367" s="124"/>
      <c r="PQX367" s="124"/>
      <c r="PQY367" s="124"/>
      <c r="PQZ367" s="124"/>
      <c r="PRA367" s="124"/>
      <c r="PRB367" s="124"/>
      <c r="PRC367" s="124"/>
      <c r="PRD367" s="124"/>
      <c r="PRE367" s="124"/>
      <c r="PRF367" s="124"/>
      <c r="PRG367" s="124"/>
      <c r="PRH367" s="124"/>
      <c r="PRI367" s="124"/>
      <c r="PRJ367" s="124"/>
      <c r="PRK367" s="124"/>
      <c r="PRL367" s="124"/>
      <c r="PRM367" s="124"/>
      <c r="PRN367" s="124"/>
      <c r="PRO367" s="124"/>
      <c r="PRP367" s="124"/>
      <c r="PRQ367" s="124"/>
      <c r="PRR367" s="124"/>
      <c r="PRS367" s="124"/>
      <c r="PRT367" s="124"/>
      <c r="PRU367" s="124"/>
      <c r="PRV367" s="124"/>
      <c r="PRW367" s="124"/>
      <c r="PRX367" s="124"/>
      <c r="PRY367" s="124"/>
      <c r="PRZ367" s="124"/>
      <c r="PSA367" s="124"/>
      <c r="PSB367" s="124"/>
      <c r="PSC367" s="124"/>
      <c r="PSD367" s="124"/>
      <c r="PSE367" s="124"/>
      <c r="PSF367" s="124"/>
      <c r="PSG367" s="124"/>
      <c r="PSH367" s="124"/>
      <c r="PSI367" s="124"/>
      <c r="PSJ367" s="124"/>
      <c r="PSK367" s="124"/>
      <c r="PSL367" s="124"/>
      <c r="PSM367" s="124"/>
      <c r="PSN367" s="124"/>
      <c r="PSO367" s="124"/>
      <c r="PSP367" s="124"/>
      <c r="PSQ367" s="124"/>
      <c r="PSR367" s="124"/>
      <c r="PSS367" s="124"/>
      <c r="PST367" s="124"/>
      <c r="PSU367" s="124"/>
      <c r="PSV367" s="124"/>
      <c r="PSW367" s="124"/>
      <c r="PSX367" s="124"/>
      <c r="PSY367" s="124"/>
      <c r="PSZ367" s="124"/>
      <c r="PTA367" s="124"/>
      <c r="PTB367" s="124"/>
      <c r="PTC367" s="124"/>
      <c r="PTD367" s="124"/>
      <c r="PTE367" s="124"/>
      <c r="PTF367" s="124"/>
      <c r="PTG367" s="124"/>
      <c r="PTH367" s="124"/>
      <c r="PTI367" s="124"/>
      <c r="PTJ367" s="124"/>
      <c r="PTK367" s="124"/>
      <c r="PTL367" s="124"/>
      <c r="PTM367" s="124"/>
      <c r="PTN367" s="124"/>
      <c r="PTO367" s="124"/>
      <c r="PTP367" s="124"/>
      <c r="PTQ367" s="124"/>
      <c r="PTR367" s="124"/>
      <c r="PTS367" s="124"/>
      <c r="PTT367" s="124"/>
      <c r="PTU367" s="124"/>
      <c r="PTV367" s="124"/>
      <c r="PTW367" s="124"/>
      <c r="PTX367" s="124"/>
      <c r="PTY367" s="124"/>
      <c r="PTZ367" s="124"/>
      <c r="PUA367" s="124"/>
      <c r="PUB367" s="124"/>
      <c r="PUC367" s="124"/>
      <c r="PUD367" s="124"/>
      <c r="PUE367" s="124"/>
      <c r="PUF367" s="124"/>
      <c r="PUG367" s="124"/>
      <c r="PUH367" s="124"/>
      <c r="PUI367" s="124"/>
      <c r="PUJ367" s="124"/>
      <c r="PUK367" s="124"/>
      <c r="PUL367" s="124"/>
      <c r="PUM367" s="124"/>
      <c r="PUN367" s="124"/>
      <c r="PUO367" s="124"/>
      <c r="PUP367" s="124"/>
      <c r="PUQ367" s="124"/>
      <c r="PUR367" s="124"/>
      <c r="PUS367" s="124"/>
      <c r="PUT367" s="124"/>
      <c r="PUU367" s="124"/>
      <c r="PUV367" s="124"/>
      <c r="PUW367" s="124"/>
      <c r="PUX367" s="124"/>
      <c r="PUY367" s="124"/>
      <c r="PUZ367" s="124"/>
      <c r="PVA367" s="124"/>
      <c r="PVB367" s="124"/>
      <c r="PVC367" s="124"/>
      <c r="PVD367" s="124"/>
      <c r="PVE367" s="124"/>
      <c r="PVF367" s="124"/>
      <c r="PVG367" s="124"/>
      <c r="PVH367" s="124"/>
      <c r="PVI367" s="124"/>
      <c r="PVJ367" s="124"/>
      <c r="PVK367" s="124"/>
      <c r="PVL367" s="124"/>
      <c r="PVM367" s="124"/>
      <c r="PVN367" s="124"/>
      <c r="PVO367" s="124"/>
      <c r="PVP367" s="124"/>
      <c r="PVQ367" s="124"/>
      <c r="PVR367" s="124"/>
      <c r="PVS367" s="124"/>
      <c r="PVT367" s="124"/>
      <c r="PVU367" s="124"/>
      <c r="PVV367" s="124"/>
      <c r="PVW367" s="124"/>
      <c r="PVX367" s="124"/>
      <c r="PVY367" s="124"/>
      <c r="PVZ367" s="124"/>
      <c r="PWA367" s="124"/>
      <c r="PWB367" s="124"/>
      <c r="PWC367" s="124"/>
      <c r="PWD367" s="124"/>
      <c r="PWE367" s="124"/>
      <c r="PWF367" s="124"/>
      <c r="PWG367" s="124"/>
      <c r="PWH367" s="124"/>
      <c r="PWI367" s="124"/>
      <c r="PWJ367" s="124"/>
      <c r="PWK367" s="124"/>
      <c r="PWL367" s="124"/>
      <c r="PWM367" s="124"/>
      <c r="PWN367" s="124"/>
      <c r="PWO367" s="124"/>
      <c r="PWP367" s="124"/>
      <c r="PWQ367" s="124"/>
      <c r="PWR367" s="124"/>
      <c r="PWS367" s="124"/>
      <c r="PWT367" s="124"/>
      <c r="PWU367" s="124"/>
      <c r="PWV367" s="124"/>
      <c r="PWW367" s="124"/>
      <c r="PWX367" s="124"/>
      <c r="PWY367" s="124"/>
      <c r="PWZ367" s="124"/>
      <c r="PXA367" s="124"/>
      <c r="PXB367" s="124"/>
      <c r="PXC367" s="124"/>
      <c r="PXD367" s="124"/>
      <c r="PXE367" s="124"/>
      <c r="PXF367" s="124"/>
      <c r="PXG367" s="124"/>
      <c r="PXH367" s="124"/>
      <c r="PXI367" s="124"/>
      <c r="PXJ367" s="124"/>
      <c r="PXK367" s="124"/>
      <c r="PXL367" s="124"/>
      <c r="PXM367" s="124"/>
      <c r="PXN367" s="124"/>
      <c r="PXO367" s="124"/>
      <c r="PXP367" s="124"/>
      <c r="PXQ367" s="124"/>
      <c r="PXR367" s="124"/>
      <c r="PXS367" s="124"/>
      <c r="PXT367" s="124"/>
      <c r="PXU367" s="124"/>
      <c r="PXV367" s="124"/>
      <c r="PXW367" s="124"/>
      <c r="PXX367" s="124"/>
      <c r="PXY367" s="124"/>
      <c r="PXZ367" s="124"/>
      <c r="PYA367" s="124"/>
      <c r="PYB367" s="124"/>
      <c r="PYC367" s="124"/>
      <c r="PYD367" s="124"/>
      <c r="PYE367" s="124"/>
      <c r="PYF367" s="124"/>
      <c r="PYG367" s="124"/>
      <c r="PYH367" s="124"/>
      <c r="PYI367" s="124"/>
      <c r="PYJ367" s="124"/>
      <c r="PYK367" s="124"/>
      <c r="PYL367" s="124"/>
      <c r="PYM367" s="124"/>
      <c r="PYN367" s="124"/>
      <c r="PYO367" s="124"/>
      <c r="PYP367" s="124"/>
      <c r="PYQ367" s="124"/>
      <c r="PYR367" s="124"/>
      <c r="PYS367" s="124"/>
      <c r="PYT367" s="124"/>
      <c r="PYU367" s="124"/>
      <c r="PYV367" s="124"/>
      <c r="PYW367" s="124"/>
      <c r="PYX367" s="124"/>
      <c r="PYY367" s="124"/>
      <c r="PYZ367" s="124"/>
      <c r="PZA367" s="124"/>
      <c r="PZB367" s="124"/>
      <c r="PZC367" s="124"/>
      <c r="PZD367" s="124"/>
      <c r="PZE367" s="124"/>
      <c r="PZF367" s="124"/>
      <c r="PZG367" s="124"/>
      <c r="PZH367" s="124"/>
      <c r="PZI367" s="124"/>
      <c r="PZJ367" s="124"/>
      <c r="PZK367" s="124"/>
      <c r="PZL367" s="124"/>
      <c r="PZM367" s="124"/>
      <c r="PZN367" s="124"/>
      <c r="PZO367" s="124"/>
      <c r="PZP367" s="124"/>
      <c r="PZQ367" s="124"/>
      <c r="PZR367" s="124"/>
      <c r="PZS367" s="124"/>
      <c r="PZT367" s="124"/>
      <c r="PZU367" s="124"/>
      <c r="PZV367" s="124"/>
      <c r="PZW367" s="124"/>
      <c r="PZX367" s="124"/>
      <c r="PZY367" s="124"/>
      <c r="PZZ367" s="124"/>
      <c r="QAA367" s="124"/>
      <c r="QAB367" s="124"/>
      <c r="QAC367" s="124"/>
      <c r="QAD367" s="124"/>
      <c r="QAE367" s="124"/>
      <c r="QAF367" s="124"/>
      <c r="QAG367" s="124"/>
      <c r="QAH367" s="124"/>
      <c r="QAI367" s="124"/>
      <c r="QAJ367" s="124"/>
      <c r="QAK367" s="124"/>
      <c r="QAL367" s="124"/>
      <c r="QAM367" s="124"/>
      <c r="QAN367" s="124"/>
      <c r="QAO367" s="124"/>
      <c r="QAP367" s="124"/>
      <c r="QAQ367" s="124"/>
      <c r="QAR367" s="124"/>
      <c r="QAS367" s="124"/>
      <c r="QAT367" s="124"/>
      <c r="QAU367" s="124"/>
      <c r="QAV367" s="124"/>
      <c r="QAW367" s="124"/>
      <c r="QAX367" s="124"/>
      <c r="QAY367" s="124"/>
      <c r="QAZ367" s="124"/>
      <c r="QBA367" s="124"/>
      <c r="QBB367" s="124"/>
      <c r="QBC367" s="124"/>
      <c r="QBD367" s="124"/>
      <c r="QBE367" s="124"/>
      <c r="QBF367" s="124"/>
      <c r="QBG367" s="124"/>
      <c r="QBH367" s="124"/>
      <c r="QBI367" s="124"/>
      <c r="QBJ367" s="124"/>
      <c r="QBK367" s="124"/>
      <c r="QBL367" s="124"/>
      <c r="QBM367" s="124"/>
      <c r="QBN367" s="124"/>
      <c r="QBO367" s="124"/>
      <c r="QBP367" s="124"/>
      <c r="QBQ367" s="124"/>
      <c r="QBR367" s="124"/>
      <c r="QBS367" s="124"/>
      <c r="QBT367" s="124"/>
      <c r="QBU367" s="124"/>
      <c r="QBV367" s="124"/>
      <c r="QBW367" s="124"/>
      <c r="QBX367" s="124"/>
      <c r="QBY367" s="124"/>
      <c r="QBZ367" s="124"/>
      <c r="QCA367" s="124"/>
      <c r="QCB367" s="124"/>
      <c r="QCC367" s="124"/>
      <c r="QCD367" s="124"/>
      <c r="QCE367" s="124"/>
      <c r="QCF367" s="124"/>
      <c r="QCG367" s="124"/>
      <c r="QCH367" s="124"/>
      <c r="QCI367" s="124"/>
      <c r="QCJ367" s="124"/>
      <c r="QCK367" s="124"/>
      <c r="QCL367" s="124"/>
      <c r="QCM367" s="124"/>
      <c r="QCN367" s="124"/>
      <c r="QCO367" s="124"/>
      <c r="QCP367" s="124"/>
      <c r="QCQ367" s="124"/>
      <c r="QCR367" s="124"/>
      <c r="QCS367" s="124"/>
      <c r="QCT367" s="124"/>
      <c r="QCU367" s="124"/>
      <c r="QCV367" s="124"/>
      <c r="QCW367" s="124"/>
      <c r="QCX367" s="124"/>
      <c r="QCY367" s="124"/>
      <c r="QCZ367" s="124"/>
      <c r="QDA367" s="124"/>
      <c r="QDB367" s="124"/>
      <c r="QDC367" s="124"/>
      <c r="QDD367" s="124"/>
      <c r="QDE367" s="124"/>
      <c r="QDF367" s="124"/>
      <c r="QDG367" s="124"/>
      <c r="QDH367" s="124"/>
      <c r="QDI367" s="124"/>
      <c r="QDJ367" s="124"/>
      <c r="QDK367" s="124"/>
      <c r="QDL367" s="124"/>
      <c r="QDM367" s="124"/>
      <c r="QDN367" s="124"/>
      <c r="QDO367" s="124"/>
      <c r="QDP367" s="124"/>
      <c r="QDQ367" s="124"/>
      <c r="QDR367" s="124"/>
      <c r="QDS367" s="124"/>
      <c r="QDT367" s="124"/>
      <c r="QDU367" s="124"/>
      <c r="QDV367" s="124"/>
      <c r="QDW367" s="124"/>
      <c r="QDX367" s="124"/>
      <c r="QDY367" s="124"/>
      <c r="QDZ367" s="124"/>
      <c r="QEA367" s="124"/>
      <c r="QEB367" s="124"/>
      <c r="QEC367" s="124"/>
      <c r="QED367" s="124"/>
      <c r="QEE367" s="124"/>
      <c r="QEF367" s="124"/>
      <c r="QEG367" s="124"/>
      <c r="QEH367" s="124"/>
      <c r="QEI367" s="124"/>
      <c r="QEJ367" s="124"/>
      <c r="QEK367" s="124"/>
      <c r="QEL367" s="124"/>
      <c r="QEM367" s="124"/>
      <c r="QEN367" s="124"/>
      <c r="QEO367" s="124"/>
      <c r="QEP367" s="124"/>
      <c r="QEQ367" s="124"/>
      <c r="QER367" s="124"/>
      <c r="QES367" s="124"/>
      <c r="QET367" s="124"/>
      <c r="QEU367" s="124"/>
      <c r="QEV367" s="124"/>
      <c r="QEW367" s="124"/>
      <c r="QEX367" s="124"/>
      <c r="QEY367" s="124"/>
      <c r="QEZ367" s="124"/>
      <c r="QFA367" s="124"/>
      <c r="QFB367" s="124"/>
      <c r="QFC367" s="124"/>
      <c r="QFD367" s="124"/>
      <c r="QFE367" s="124"/>
      <c r="QFF367" s="124"/>
      <c r="QFG367" s="124"/>
      <c r="QFH367" s="124"/>
      <c r="QFI367" s="124"/>
      <c r="QFJ367" s="124"/>
      <c r="QFK367" s="124"/>
      <c r="QFL367" s="124"/>
      <c r="QFM367" s="124"/>
      <c r="QFN367" s="124"/>
      <c r="QFO367" s="124"/>
      <c r="QFP367" s="124"/>
      <c r="QFQ367" s="124"/>
      <c r="QFR367" s="124"/>
      <c r="QFS367" s="124"/>
      <c r="QFT367" s="124"/>
      <c r="QFU367" s="124"/>
      <c r="QFV367" s="124"/>
      <c r="QFW367" s="124"/>
      <c r="QFX367" s="124"/>
      <c r="QFY367" s="124"/>
      <c r="QFZ367" s="124"/>
      <c r="QGA367" s="124"/>
      <c r="QGB367" s="124"/>
      <c r="QGC367" s="124"/>
      <c r="QGD367" s="124"/>
      <c r="QGE367" s="124"/>
      <c r="QGF367" s="124"/>
      <c r="QGG367" s="124"/>
      <c r="QGH367" s="124"/>
      <c r="QGI367" s="124"/>
      <c r="QGJ367" s="124"/>
      <c r="QGK367" s="124"/>
      <c r="QGL367" s="124"/>
      <c r="QGM367" s="124"/>
      <c r="QGN367" s="124"/>
      <c r="QGO367" s="124"/>
      <c r="QGP367" s="124"/>
      <c r="QGQ367" s="124"/>
      <c r="QGR367" s="124"/>
      <c r="QGS367" s="124"/>
      <c r="QGT367" s="124"/>
      <c r="QGU367" s="124"/>
      <c r="QGV367" s="124"/>
      <c r="QGW367" s="124"/>
      <c r="QGX367" s="124"/>
      <c r="QGY367" s="124"/>
      <c r="QGZ367" s="124"/>
      <c r="QHA367" s="124"/>
      <c r="QHB367" s="124"/>
      <c r="QHC367" s="124"/>
      <c r="QHD367" s="124"/>
      <c r="QHE367" s="124"/>
      <c r="QHF367" s="124"/>
      <c r="QHG367" s="124"/>
      <c r="QHH367" s="124"/>
      <c r="QHI367" s="124"/>
      <c r="QHJ367" s="124"/>
      <c r="QHK367" s="124"/>
      <c r="QHL367" s="124"/>
      <c r="QHM367" s="124"/>
      <c r="QHN367" s="124"/>
      <c r="QHO367" s="124"/>
      <c r="QHP367" s="124"/>
      <c r="QHQ367" s="124"/>
      <c r="QHR367" s="124"/>
      <c r="QHS367" s="124"/>
      <c r="QHT367" s="124"/>
      <c r="QHU367" s="124"/>
      <c r="QHV367" s="124"/>
      <c r="QHW367" s="124"/>
      <c r="QHX367" s="124"/>
      <c r="QHY367" s="124"/>
      <c r="QHZ367" s="124"/>
      <c r="QIA367" s="124"/>
      <c r="QIB367" s="124"/>
      <c r="QIC367" s="124"/>
      <c r="QID367" s="124"/>
      <c r="QIE367" s="124"/>
      <c r="QIF367" s="124"/>
      <c r="QIG367" s="124"/>
      <c r="QIH367" s="124"/>
      <c r="QII367" s="124"/>
      <c r="QIJ367" s="124"/>
      <c r="QIK367" s="124"/>
      <c r="QIL367" s="124"/>
      <c r="QIM367" s="124"/>
      <c r="QIN367" s="124"/>
      <c r="QIO367" s="124"/>
      <c r="QIP367" s="124"/>
      <c r="QIQ367" s="124"/>
      <c r="QIR367" s="124"/>
      <c r="QIS367" s="124"/>
      <c r="QIT367" s="124"/>
      <c r="QIU367" s="124"/>
      <c r="QIV367" s="124"/>
      <c r="QIW367" s="124"/>
      <c r="QIX367" s="124"/>
      <c r="QIY367" s="124"/>
      <c r="QIZ367" s="124"/>
      <c r="QJA367" s="124"/>
      <c r="QJB367" s="124"/>
      <c r="QJC367" s="124"/>
      <c r="QJD367" s="124"/>
      <c r="QJE367" s="124"/>
      <c r="QJF367" s="124"/>
      <c r="QJG367" s="124"/>
      <c r="QJH367" s="124"/>
      <c r="QJI367" s="124"/>
      <c r="QJJ367" s="124"/>
      <c r="QJK367" s="124"/>
      <c r="QJL367" s="124"/>
      <c r="QJM367" s="124"/>
      <c r="QJN367" s="124"/>
      <c r="QJO367" s="124"/>
      <c r="QJP367" s="124"/>
      <c r="QJQ367" s="124"/>
      <c r="QJR367" s="124"/>
      <c r="QJS367" s="124"/>
      <c r="QJT367" s="124"/>
      <c r="QJU367" s="124"/>
      <c r="QJV367" s="124"/>
      <c r="QJW367" s="124"/>
      <c r="QJX367" s="124"/>
      <c r="QJY367" s="124"/>
      <c r="QJZ367" s="124"/>
      <c r="QKA367" s="124"/>
      <c r="QKB367" s="124"/>
      <c r="QKC367" s="124"/>
      <c r="QKD367" s="124"/>
      <c r="QKE367" s="124"/>
      <c r="QKF367" s="124"/>
      <c r="QKG367" s="124"/>
      <c r="QKH367" s="124"/>
      <c r="QKI367" s="124"/>
      <c r="QKJ367" s="124"/>
      <c r="QKK367" s="124"/>
      <c r="QKL367" s="124"/>
      <c r="QKM367" s="124"/>
      <c r="QKN367" s="124"/>
      <c r="QKO367" s="124"/>
      <c r="QKP367" s="124"/>
      <c r="QKQ367" s="124"/>
      <c r="QKR367" s="124"/>
      <c r="QKS367" s="124"/>
      <c r="QKT367" s="124"/>
      <c r="QKU367" s="124"/>
      <c r="QKV367" s="124"/>
      <c r="QKW367" s="124"/>
      <c r="QKX367" s="124"/>
      <c r="QKY367" s="124"/>
      <c r="QKZ367" s="124"/>
      <c r="QLA367" s="124"/>
      <c r="QLB367" s="124"/>
      <c r="QLC367" s="124"/>
      <c r="QLD367" s="124"/>
      <c r="QLE367" s="124"/>
      <c r="QLF367" s="124"/>
      <c r="QLG367" s="124"/>
      <c r="QLH367" s="124"/>
      <c r="QLI367" s="124"/>
      <c r="QLJ367" s="124"/>
      <c r="QLK367" s="124"/>
      <c r="QLL367" s="124"/>
      <c r="QLM367" s="124"/>
      <c r="QLN367" s="124"/>
      <c r="QLO367" s="124"/>
      <c r="QLP367" s="124"/>
      <c r="QLQ367" s="124"/>
      <c r="QLR367" s="124"/>
      <c r="QLS367" s="124"/>
      <c r="QLT367" s="124"/>
      <c r="QLU367" s="124"/>
      <c r="QLV367" s="124"/>
      <c r="QLW367" s="124"/>
      <c r="QLX367" s="124"/>
      <c r="QLY367" s="124"/>
      <c r="QLZ367" s="124"/>
      <c r="QMA367" s="124"/>
      <c r="QMB367" s="124"/>
      <c r="QMC367" s="124"/>
      <c r="QMD367" s="124"/>
      <c r="QME367" s="124"/>
      <c r="QMF367" s="124"/>
      <c r="QMG367" s="124"/>
      <c r="QMH367" s="124"/>
      <c r="QMI367" s="124"/>
      <c r="QMJ367" s="124"/>
      <c r="QMK367" s="124"/>
      <c r="QML367" s="124"/>
      <c r="QMM367" s="124"/>
      <c r="QMN367" s="124"/>
      <c r="QMO367" s="124"/>
      <c r="QMP367" s="124"/>
      <c r="QMQ367" s="124"/>
      <c r="QMR367" s="124"/>
      <c r="QMS367" s="124"/>
      <c r="QMT367" s="124"/>
      <c r="QMU367" s="124"/>
      <c r="QMV367" s="124"/>
      <c r="QMW367" s="124"/>
      <c r="QMX367" s="124"/>
      <c r="QMY367" s="124"/>
      <c r="QMZ367" s="124"/>
      <c r="QNA367" s="124"/>
      <c r="QNB367" s="124"/>
      <c r="QNC367" s="124"/>
      <c r="QND367" s="124"/>
      <c r="QNE367" s="124"/>
      <c r="QNF367" s="124"/>
      <c r="QNG367" s="124"/>
      <c r="QNH367" s="124"/>
      <c r="QNI367" s="124"/>
      <c r="QNJ367" s="124"/>
      <c r="QNK367" s="124"/>
      <c r="QNL367" s="124"/>
      <c r="QNM367" s="124"/>
      <c r="QNN367" s="124"/>
      <c r="QNO367" s="124"/>
      <c r="QNP367" s="124"/>
      <c r="QNQ367" s="124"/>
      <c r="QNR367" s="124"/>
      <c r="QNS367" s="124"/>
      <c r="QNT367" s="124"/>
      <c r="QNU367" s="124"/>
      <c r="QNV367" s="124"/>
      <c r="QNW367" s="124"/>
      <c r="QNX367" s="124"/>
      <c r="QNY367" s="124"/>
      <c r="QNZ367" s="124"/>
      <c r="QOA367" s="124"/>
      <c r="QOB367" s="124"/>
      <c r="QOC367" s="124"/>
      <c r="QOD367" s="124"/>
      <c r="QOE367" s="124"/>
      <c r="QOF367" s="124"/>
      <c r="QOG367" s="124"/>
      <c r="QOH367" s="124"/>
      <c r="QOI367" s="124"/>
      <c r="QOJ367" s="124"/>
      <c r="QOK367" s="124"/>
      <c r="QOL367" s="124"/>
      <c r="QOM367" s="124"/>
      <c r="QON367" s="124"/>
      <c r="QOO367" s="124"/>
      <c r="QOP367" s="124"/>
      <c r="QOQ367" s="124"/>
      <c r="QOR367" s="124"/>
      <c r="QOS367" s="124"/>
      <c r="QOT367" s="124"/>
      <c r="QOU367" s="124"/>
      <c r="QOV367" s="124"/>
      <c r="QOW367" s="124"/>
      <c r="QOX367" s="124"/>
      <c r="QOY367" s="124"/>
      <c r="QOZ367" s="124"/>
      <c r="QPA367" s="124"/>
      <c r="QPB367" s="124"/>
      <c r="QPC367" s="124"/>
      <c r="QPD367" s="124"/>
      <c r="QPE367" s="124"/>
      <c r="QPF367" s="124"/>
      <c r="QPG367" s="124"/>
      <c r="QPH367" s="124"/>
      <c r="QPI367" s="124"/>
      <c r="QPJ367" s="124"/>
      <c r="QPK367" s="124"/>
      <c r="QPL367" s="124"/>
      <c r="QPM367" s="124"/>
      <c r="QPN367" s="124"/>
      <c r="QPO367" s="124"/>
      <c r="QPP367" s="124"/>
      <c r="QPQ367" s="124"/>
      <c r="QPR367" s="124"/>
      <c r="QPS367" s="124"/>
      <c r="QPT367" s="124"/>
      <c r="QPU367" s="124"/>
      <c r="QPV367" s="124"/>
      <c r="QPW367" s="124"/>
      <c r="QPX367" s="124"/>
      <c r="QPY367" s="124"/>
      <c r="QPZ367" s="124"/>
      <c r="QQA367" s="124"/>
      <c r="QQB367" s="124"/>
      <c r="QQC367" s="124"/>
      <c r="QQD367" s="124"/>
      <c r="QQE367" s="124"/>
      <c r="QQF367" s="124"/>
      <c r="QQG367" s="124"/>
      <c r="QQH367" s="124"/>
      <c r="QQI367" s="124"/>
      <c r="QQJ367" s="124"/>
      <c r="QQK367" s="124"/>
      <c r="QQL367" s="124"/>
      <c r="QQM367" s="124"/>
      <c r="QQN367" s="124"/>
      <c r="QQO367" s="124"/>
      <c r="QQP367" s="124"/>
      <c r="QQQ367" s="124"/>
      <c r="QQR367" s="124"/>
      <c r="QQS367" s="124"/>
      <c r="QQT367" s="124"/>
      <c r="QQU367" s="124"/>
      <c r="QQV367" s="124"/>
      <c r="QQW367" s="124"/>
      <c r="QQX367" s="124"/>
      <c r="QQY367" s="124"/>
      <c r="QQZ367" s="124"/>
      <c r="QRA367" s="124"/>
      <c r="QRB367" s="124"/>
      <c r="QRC367" s="124"/>
      <c r="QRD367" s="124"/>
      <c r="QRE367" s="124"/>
      <c r="QRF367" s="124"/>
      <c r="QRG367" s="124"/>
      <c r="QRH367" s="124"/>
      <c r="QRI367" s="124"/>
      <c r="QRJ367" s="124"/>
      <c r="QRK367" s="124"/>
      <c r="QRL367" s="124"/>
      <c r="QRM367" s="124"/>
      <c r="QRN367" s="124"/>
      <c r="QRO367" s="124"/>
      <c r="QRP367" s="124"/>
      <c r="QRQ367" s="124"/>
      <c r="QRR367" s="124"/>
      <c r="QRS367" s="124"/>
      <c r="QRT367" s="124"/>
      <c r="QRU367" s="124"/>
      <c r="QRV367" s="124"/>
      <c r="QRW367" s="124"/>
      <c r="QRX367" s="124"/>
      <c r="QRY367" s="124"/>
      <c r="QRZ367" s="124"/>
      <c r="QSA367" s="124"/>
      <c r="QSB367" s="124"/>
      <c r="QSC367" s="124"/>
      <c r="QSD367" s="124"/>
      <c r="QSE367" s="124"/>
      <c r="QSF367" s="124"/>
      <c r="QSG367" s="124"/>
      <c r="QSH367" s="124"/>
      <c r="QSI367" s="124"/>
      <c r="QSJ367" s="124"/>
      <c r="QSK367" s="124"/>
      <c r="QSL367" s="124"/>
      <c r="QSM367" s="124"/>
      <c r="QSN367" s="124"/>
      <c r="QSO367" s="124"/>
      <c r="QSP367" s="124"/>
      <c r="QSQ367" s="124"/>
      <c r="QSR367" s="124"/>
      <c r="QSS367" s="124"/>
      <c r="QST367" s="124"/>
      <c r="QSU367" s="124"/>
      <c r="QSV367" s="124"/>
      <c r="QSW367" s="124"/>
      <c r="QSX367" s="124"/>
      <c r="QSY367" s="124"/>
      <c r="QSZ367" s="124"/>
      <c r="QTA367" s="124"/>
      <c r="QTB367" s="124"/>
      <c r="QTC367" s="124"/>
      <c r="QTD367" s="124"/>
      <c r="QTE367" s="124"/>
      <c r="QTF367" s="124"/>
      <c r="QTG367" s="124"/>
      <c r="QTH367" s="124"/>
      <c r="QTI367" s="124"/>
      <c r="QTJ367" s="124"/>
      <c r="QTK367" s="124"/>
      <c r="QTL367" s="124"/>
      <c r="QTM367" s="124"/>
      <c r="QTN367" s="124"/>
      <c r="QTO367" s="124"/>
      <c r="QTP367" s="124"/>
      <c r="QTQ367" s="124"/>
      <c r="QTR367" s="124"/>
      <c r="QTS367" s="124"/>
      <c r="QTT367" s="124"/>
      <c r="QTU367" s="124"/>
      <c r="QTV367" s="124"/>
      <c r="QTW367" s="124"/>
      <c r="QTX367" s="124"/>
      <c r="QTY367" s="124"/>
      <c r="QTZ367" s="124"/>
      <c r="QUA367" s="124"/>
      <c r="QUB367" s="124"/>
      <c r="QUC367" s="124"/>
      <c r="QUD367" s="124"/>
      <c r="QUE367" s="124"/>
      <c r="QUF367" s="124"/>
      <c r="QUG367" s="124"/>
      <c r="QUH367" s="124"/>
      <c r="QUI367" s="124"/>
      <c r="QUJ367" s="124"/>
      <c r="QUK367" s="124"/>
      <c r="QUL367" s="124"/>
      <c r="QUM367" s="124"/>
      <c r="QUN367" s="124"/>
      <c r="QUO367" s="124"/>
      <c r="QUP367" s="124"/>
      <c r="QUQ367" s="124"/>
      <c r="QUR367" s="124"/>
      <c r="QUS367" s="124"/>
      <c r="QUT367" s="124"/>
      <c r="QUU367" s="124"/>
      <c r="QUV367" s="124"/>
      <c r="QUW367" s="124"/>
      <c r="QUX367" s="124"/>
      <c r="QUY367" s="124"/>
      <c r="QUZ367" s="124"/>
      <c r="QVA367" s="124"/>
      <c r="QVB367" s="124"/>
      <c r="QVC367" s="124"/>
      <c r="QVD367" s="124"/>
      <c r="QVE367" s="124"/>
      <c r="QVF367" s="124"/>
      <c r="QVG367" s="124"/>
      <c r="QVH367" s="124"/>
      <c r="QVI367" s="124"/>
      <c r="QVJ367" s="124"/>
      <c r="QVK367" s="124"/>
      <c r="QVL367" s="124"/>
      <c r="QVM367" s="124"/>
      <c r="QVN367" s="124"/>
      <c r="QVO367" s="124"/>
      <c r="QVP367" s="124"/>
      <c r="QVQ367" s="124"/>
      <c r="QVR367" s="124"/>
      <c r="QVS367" s="124"/>
      <c r="QVT367" s="124"/>
      <c r="QVU367" s="124"/>
      <c r="QVV367" s="124"/>
      <c r="QVW367" s="124"/>
      <c r="QVX367" s="124"/>
      <c r="QVY367" s="124"/>
      <c r="QVZ367" s="124"/>
      <c r="QWA367" s="124"/>
      <c r="QWB367" s="124"/>
      <c r="QWC367" s="124"/>
      <c r="QWD367" s="124"/>
      <c r="QWE367" s="124"/>
      <c r="QWF367" s="124"/>
      <c r="QWG367" s="124"/>
      <c r="QWH367" s="124"/>
      <c r="QWI367" s="124"/>
      <c r="QWJ367" s="124"/>
      <c r="QWK367" s="124"/>
      <c r="QWL367" s="124"/>
      <c r="QWM367" s="124"/>
      <c r="QWN367" s="124"/>
      <c r="QWO367" s="124"/>
      <c r="QWP367" s="124"/>
      <c r="QWQ367" s="124"/>
      <c r="QWR367" s="124"/>
      <c r="QWS367" s="124"/>
      <c r="QWT367" s="124"/>
      <c r="QWU367" s="124"/>
      <c r="QWV367" s="124"/>
      <c r="QWW367" s="124"/>
      <c r="QWX367" s="124"/>
      <c r="QWY367" s="124"/>
      <c r="QWZ367" s="124"/>
      <c r="QXA367" s="124"/>
      <c r="QXB367" s="124"/>
      <c r="QXC367" s="124"/>
      <c r="QXD367" s="124"/>
      <c r="QXE367" s="124"/>
      <c r="QXF367" s="124"/>
      <c r="QXG367" s="124"/>
      <c r="QXH367" s="124"/>
      <c r="QXI367" s="124"/>
      <c r="QXJ367" s="124"/>
      <c r="QXK367" s="124"/>
      <c r="QXL367" s="124"/>
      <c r="QXM367" s="124"/>
      <c r="QXN367" s="124"/>
      <c r="QXO367" s="124"/>
      <c r="QXP367" s="124"/>
      <c r="QXQ367" s="124"/>
      <c r="QXR367" s="124"/>
      <c r="QXS367" s="124"/>
      <c r="QXT367" s="124"/>
      <c r="QXU367" s="124"/>
      <c r="QXV367" s="124"/>
      <c r="QXW367" s="124"/>
      <c r="QXX367" s="124"/>
      <c r="QXY367" s="124"/>
      <c r="QXZ367" s="124"/>
      <c r="QYA367" s="124"/>
      <c r="QYB367" s="124"/>
      <c r="QYC367" s="124"/>
      <c r="QYD367" s="124"/>
      <c r="QYE367" s="124"/>
      <c r="QYF367" s="124"/>
      <c r="QYG367" s="124"/>
      <c r="QYH367" s="124"/>
      <c r="QYI367" s="124"/>
      <c r="QYJ367" s="124"/>
      <c r="QYK367" s="124"/>
      <c r="QYL367" s="124"/>
      <c r="QYM367" s="124"/>
      <c r="QYN367" s="124"/>
      <c r="QYO367" s="124"/>
      <c r="QYP367" s="124"/>
      <c r="QYQ367" s="124"/>
      <c r="QYR367" s="124"/>
      <c r="QYS367" s="124"/>
      <c r="QYT367" s="124"/>
      <c r="QYU367" s="124"/>
      <c r="QYV367" s="124"/>
      <c r="QYW367" s="124"/>
      <c r="QYX367" s="124"/>
      <c r="QYY367" s="124"/>
      <c r="QYZ367" s="124"/>
      <c r="QZA367" s="124"/>
      <c r="QZB367" s="124"/>
      <c r="QZC367" s="124"/>
      <c r="QZD367" s="124"/>
      <c r="QZE367" s="124"/>
      <c r="QZF367" s="124"/>
      <c r="QZG367" s="124"/>
      <c r="QZH367" s="124"/>
      <c r="QZI367" s="124"/>
      <c r="QZJ367" s="124"/>
      <c r="QZK367" s="124"/>
      <c r="QZL367" s="124"/>
      <c r="QZM367" s="124"/>
      <c r="QZN367" s="124"/>
      <c r="QZO367" s="124"/>
      <c r="QZP367" s="124"/>
      <c r="QZQ367" s="124"/>
      <c r="QZR367" s="124"/>
      <c r="QZS367" s="124"/>
      <c r="QZT367" s="124"/>
      <c r="QZU367" s="124"/>
      <c r="QZV367" s="124"/>
      <c r="QZW367" s="124"/>
      <c r="QZX367" s="124"/>
      <c r="QZY367" s="124"/>
      <c r="QZZ367" s="124"/>
      <c r="RAA367" s="124"/>
      <c r="RAB367" s="124"/>
      <c r="RAC367" s="124"/>
      <c r="RAD367" s="124"/>
      <c r="RAE367" s="124"/>
      <c r="RAF367" s="124"/>
      <c r="RAG367" s="124"/>
      <c r="RAH367" s="124"/>
      <c r="RAI367" s="124"/>
      <c r="RAJ367" s="124"/>
      <c r="RAK367" s="124"/>
      <c r="RAL367" s="124"/>
      <c r="RAM367" s="124"/>
      <c r="RAN367" s="124"/>
      <c r="RAO367" s="124"/>
      <c r="RAP367" s="124"/>
      <c r="RAQ367" s="124"/>
      <c r="RAR367" s="124"/>
      <c r="RAS367" s="124"/>
      <c r="RAT367" s="124"/>
      <c r="RAU367" s="124"/>
      <c r="RAV367" s="124"/>
      <c r="RAW367" s="124"/>
      <c r="RAX367" s="124"/>
      <c r="RAY367" s="124"/>
      <c r="RAZ367" s="124"/>
      <c r="RBA367" s="124"/>
      <c r="RBB367" s="124"/>
      <c r="RBC367" s="124"/>
      <c r="RBD367" s="124"/>
      <c r="RBE367" s="124"/>
      <c r="RBF367" s="124"/>
      <c r="RBG367" s="124"/>
      <c r="RBH367" s="124"/>
      <c r="RBI367" s="124"/>
      <c r="RBJ367" s="124"/>
      <c r="RBK367" s="124"/>
      <c r="RBL367" s="124"/>
      <c r="RBM367" s="124"/>
      <c r="RBN367" s="124"/>
      <c r="RBO367" s="124"/>
      <c r="RBP367" s="124"/>
      <c r="RBQ367" s="124"/>
      <c r="RBR367" s="124"/>
      <c r="RBS367" s="124"/>
      <c r="RBT367" s="124"/>
      <c r="RBU367" s="124"/>
      <c r="RBV367" s="124"/>
      <c r="RBW367" s="124"/>
      <c r="RBX367" s="124"/>
      <c r="RBY367" s="124"/>
      <c r="RBZ367" s="124"/>
      <c r="RCA367" s="124"/>
      <c r="RCB367" s="124"/>
      <c r="RCC367" s="124"/>
      <c r="RCD367" s="124"/>
      <c r="RCE367" s="124"/>
      <c r="RCF367" s="124"/>
      <c r="RCG367" s="124"/>
      <c r="RCH367" s="124"/>
      <c r="RCI367" s="124"/>
      <c r="RCJ367" s="124"/>
      <c r="RCK367" s="124"/>
      <c r="RCL367" s="124"/>
      <c r="RCM367" s="124"/>
      <c r="RCN367" s="124"/>
      <c r="RCO367" s="124"/>
      <c r="RCP367" s="124"/>
      <c r="RCQ367" s="124"/>
      <c r="RCR367" s="124"/>
      <c r="RCS367" s="124"/>
      <c r="RCT367" s="124"/>
      <c r="RCU367" s="124"/>
      <c r="RCV367" s="124"/>
      <c r="RCW367" s="124"/>
      <c r="RCX367" s="124"/>
      <c r="RCY367" s="124"/>
      <c r="RCZ367" s="124"/>
      <c r="RDA367" s="124"/>
      <c r="RDB367" s="124"/>
      <c r="RDC367" s="124"/>
      <c r="RDD367" s="124"/>
      <c r="RDE367" s="124"/>
      <c r="RDF367" s="124"/>
      <c r="RDG367" s="124"/>
      <c r="RDH367" s="124"/>
      <c r="RDI367" s="124"/>
      <c r="RDJ367" s="124"/>
      <c r="RDK367" s="124"/>
      <c r="RDL367" s="124"/>
      <c r="RDM367" s="124"/>
      <c r="RDN367" s="124"/>
      <c r="RDO367" s="124"/>
      <c r="RDP367" s="124"/>
      <c r="RDQ367" s="124"/>
      <c r="RDR367" s="124"/>
      <c r="RDS367" s="124"/>
      <c r="RDT367" s="124"/>
      <c r="RDU367" s="124"/>
      <c r="RDV367" s="124"/>
      <c r="RDW367" s="124"/>
      <c r="RDX367" s="124"/>
      <c r="RDY367" s="124"/>
      <c r="RDZ367" s="124"/>
      <c r="REA367" s="124"/>
      <c r="REB367" s="124"/>
      <c r="REC367" s="124"/>
      <c r="RED367" s="124"/>
      <c r="REE367" s="124"/>
      <c r="REF367" s="124"/>
      <c r="REG367" s="124"/>
      <c r="REH367" s="124"/>
      <c r="REI367" s="124"/>
      <c r="REJ367" s="124"/>
      <c r="REK367" s="124"/>
      <c r="REL367" s="124"/>
      <c r="REM367" s="124"/>
      <c r="REN367" s="124"/>
      <c r="REO367" s="124"/>
      <c r="REP367" s="124"/>
      <c r="REQ367" s="124"/>
      <c r="RER367" s="124"/>
      <c r="RES367" s="124"/>
      <c r="RET367" s="124"/>
      <c r="REU367" s="124"/>
      <c r="REV367" s="124"/>
      <c r="REW367" s="124"/>
      <c r="REX367" s="124"/>
      <c r="REY367" s="124"/>
      <c r="REZ367" s="124"/>
      <c r="RFA367" s="124"/>
      <c r="RFB367" s="124"/>
      <c r="RFC367" s="124"/>
      <c r="RFD367" s="124"/>
      <c r="RFE367" s="124"/>
      <c r="RFF367" s="124"/>
      <c r="RFG367" s="124"/>
      <c r="RFH367" s="124"/>
      <c r="RFI367" s="124"/>
      <c r="RFJ367" s="124"/>
      <c r="RFK367" s="124"/>
      <c r="RFL367" s="124"/>
      <c r="RFM367" s="124"/>
      <c r="RFN367" s="124"/>
      <c r="RFO367" s="124"/>
      <c r="RFP367" s="124"/>
      <c r="RFQ367" s="124"/>
      <c r="RFR367" s="124"/>
      <c r="RFS367" s="124"/>
      <c r="RFT367" s="124"/>
      <c r="RFU367" s="124"/>
      <c r="RFV367" s="124"/>
      <c r="RFW367" s="124"/>
      <c r="RFX367" s="124"/>
      <c r="RFY367" s="124"/>
      <c r="RFZ367" s="124"/>
      <c r="RGA367" s="124"/>
      <c r="RGB367" s="124"/>
      <c r="RGC367" s="124"/>
      <c r="RGD367" s="124"/>
      <c r="RGE367" s="124"/>
      <c r="RGF367" s="124"/>
      <c r="RGG367" s="124"/>
      <c r="RGH367" s="124"/>
      <c r="RGI367" s="124"/>
      <c r="RGJ367" s="124"/>
      <c r="RGK367" s="124"/>
      <c r="RGL367" s="124"/>
      <c r="RGM367" s="124"/>
      <c r="RGN367" s="124"/>
      <c r="RGO367" s="124"/>
      <c r="RGP367" s="124"/>
      <c r="RGQ367" s="124"/>
      <c r="RGR367" s="124"/>
      <c r="RGS367" s="124"/>
      <c r="RGT367" s="124"/>
      <c r="RGU367" s="124"/>
      <c r="RGV367" s="124"/>
      <c r="RGW367" s="124"/>
      <c r="RGX367" s="124"/>
      <c r="RGY367" s="124"/>
      <c r="RGZ367" s="124"/>
      <c r="RHA367" s="124"/>
      <c r="RHB367" s="124"/>
      <c r="RHC367" s="124"/>
      <c r="RHD367" s="124"/>
      <c r="RHE367" s="124"/>
      <c r="RHF367" s="124"/>
      <c r="RHG367" s="124"/>
      <c r="RHH367" s="124"/>
      <c r="RHI367" s="124"/>
      <c r="RHJ367" s="124"/>
      <c r="RHK367" s="124"/>
      <c r="RHL367" s="124"/>
      <c r="RHM367" s="124"/>
      <c r="RHN367" s="124"/>
      <c r="RHO367" s="124"/>
      <c r="RHP367" s="124"/>
      <c r="RHQ367" s="124"/>
      <c r="RHR367" s="124"/>
      <c r="RHS367" s="124"/>
      <c r="RHT367" s="124"/>
      <c r="RHU367" s="124"/>
      <c r="RHV367" s="124"/>
      <c r="RHW367" s="124"/>
      <c r="RHX367" s="124"/>
      <c r="RHY367" s="124"/>
      <c r="RHZ367" s="124"/>
      <c r="RIA367" s="124"/>
      <c r="RIB367" s="124"/>
      <c r="RIC367" s="124"/>
      <c r="RID367" s="124"/>
      <c r="RIE367" s="124"/>
      <c r="RIF367" s="124"/>
      <c r="RIG367" s="124"/>
      <c r="RIH367" s="124"/>
      <c r="RII367" s="124"/>
      <c r="RIJ367" s="124"/>
      <c r="RIK367" s="124"/>
      <c r="RIL367" s="124"/>
      <c r="RIM367" s="124"/>
      <c r="RIN367" s="124"/>
      <c r="RIO367" s="124"/>
      <c r="RIP367" s="124"/>
      <c r="RIQ367" s="124"/>
      <c r="RIR367" s="124"/>
      <c r="RIS367" s="124"/>
      <c r="RIT367" s="124"/>
      <c r="RIU367" s="124"/>
      <c r="RIV367" s="124"/>
      <c r="RIW367" s="124"/>
      <c r="RIX367" s="124"/>
      <c r="RIY367" s="124"/>
      <c r="RIZ367" s="124"/>
      <c r="RJA367" s="124"/>
      <c r="RJB367" s="124"/>
      <c r="RJC367" s="124"/>
      <c r="RJD367" s="124"/>
      <c r="RJE367" s="124"/>
      <c r="RJF367" s="124"/>
      <c r="RJG367" s="124"/>
      <c r="RJH367" s="124"/>
      <c r="RJI367" s="124"/>
      <c r="RJJ367" s="124"/>
      <c r="RJK367" s="124"/>
      <c r="RJL367" s="124"/>
      <c r="RJM367" s="124"/>
      <c r="RJN367" s="124"/>
      <c r="RJO367" s="124"/>
      <c r="RJP367" s="124"/>
      <c r="RJQ367" s="124"/>
      <c r="RJR367" s="124"/>
      <c r="RJS367" s="124"/>
      <c r="RJT367" s="124"/>
      <c r="RJU367" s="124"/>
      <c r="RJV367" s="124"/>
      <c r="RJW367" s="124"/>
      <c r="RJX367" s="124"/>
      <c r="RJY367" s="124"/>
      <c r="RJZ367" s="124"/>
      <c r="RKA367" s="124"/>
      <c r="RKB367" s="124"/>
      <c r="RKC367" s="124"/>
      <c r="RKD367" s="124"/>
      <c r="RKE367" s="124"/>
      <c r="RKF367" s="124"/>
      <c r="RKG367" s="124"/>
      <c r="RKH367" s="124"/>
      <c r="RKI367" s="124"/>
      <c r="RKJ367" s="124"/>
      <c r="RKK367" s="124"/>
      <c r="RKL367" s="124"/>
      <c r="RKM367" s="124"/>
      <c r="RKN367" s="124"/>
      <c r="RKO367" s="124"/>
      <c r="RKP367" s="124"/>
      <c r="RKQ367" s="124"/>
      <c r="RKR367" s="124"/>
      <c r="RKS367" s="124"/>
      <c r="RKT367" s="124"/>
      <c r="RKU367" s="124"/>
      <c r="RKV367" s="124"/>
      <c r="RKW367" s="124"/>
      <c r="RKX367" s="124"/>
      <c r="RKY367" s="124"/>
      <c r="RKZ367" s="124"/>
      <c r="RLA367" s="124"/>
      <c r="RLB367" s="124"/>
      <c r="RLC367" s="124"/>
      <c r="RLD367" s="124"/>
      <c r="RLE367" s="124"/>
      <c r="RLF367" s="124"/>
      <c r="RLG367" s="124"/>
      <c r="RLH367" s="124"/>
      <c r="RLI367" s="124"/>
      <c r="RLJ367" s="124"/>
      <c r="RLK367" s="124"/>
      <c r="RLL367" s="124"/>
      <c r="RLM367" s="124"/>
      <c r="RLN367" s="124"/>
      <c r="RLO367" s="124"/>
      <c r="RLP367" s="124"/>
      <c r="RLQ367" s="124"/>
      <c r="RLR367" s="124"/>
      <c r="RLS367" s="124"/>
      <c r="RLT367" s="124"/>
      <c r="RLU367" s="124"/>
      <c r="RLV367" s="124"/>
      <c r="RLW367" s="124"/>
      <c r="RLX367" s="124"/>
      <c r="RLY367" s="124"/>
      <c r="RLZ367" s="124"/>
      <c r="RMA367" s="124"/>
      <c r="RMB367" s="124"/>
      <c r="RMC367" s="124"/>
      <c r="RMD367" s="124"/>
      <c r="RME367" s="124"/>
      <c r="RMF367" s="124"/>
      <c r="RMG367" s="124"/>
      <c r="RMH367" s="124"/>
      <c r="RMI367" s="124"/>
      <c r="RMJ367" s="124"/>
      <c r="RMK367" s="124"/>
      <c r="RML367" s="124"/>
      <c r="RMM367" s="124"/>
      <c r="RMN367" s="124"/>
      <c r="RMO367" s="124"/>
      <c r="RMP367" s="124"/>
      <c r="RMQ367" s="124"/>
      <c r="RMR367" s="124"/>
      <c r="RMS367" s="124"/>
      <c r="RMT367" s="124"/>
      <c r="RMU367" s="124"/>
      <c r="RMV367" s="124"/>
      <c r="RMW367" s="124"/>
      <c r="RMX367" s="124"/>
      <c r="RMY367" s="124"/>
      <c r="RMZ367" s="124"/>
      <c r="RNA367" s="124"/>
      <c r="RNB367" s="124"/>
      <c r="RNC367" s="124"/>
      <c r="RND367" s="124"/>
      <c r="RNE367" s="124"/>
      <c r="RNF367" s="124"/>
      <c r="RNG367" s="124"/>
      <c r="RNH367" s="124"/>
      <c r="RNI367" s="124"/>
      <c r="RNJ367" s="124"/>
      <c r="RNK367" s="124"/>
      <c r="RNL367" s="124"/>
      <c r="RNM367" s="124"/>
      <c r="RNN367" s="124"/>
      <c r="RNO367" s="124"/>
      <c r="RNP367" s="124"/>
      <c r="RNQ367" s="124"/>
      <c r="RNR367" s="124"/>
      <c r="RNS367" s="124"/>
      <c r="RNT367" s="124"/>
      <c r="RNU367" s="124"/>
      <c r="RNV367" s="124"/>
      <c r="RNW367" s="124"/>
      <c r="RNX367" s="124"/>
      <c r="RNY367" s="124"/>
      <c r="RNZ367" s="124"/>
      <c r="ROA367" s="124"/>
      <c r="ROB367" s="124"/>
      <c r="ROC367" s="124"/>
      <c r="ROD367" s="124"/>
      <c r="ROE367" s="124"/>
      <c r="ROF367" s="124"/>
      <c r="ROG367" s="124"/>
      <c r="ROH367" s="124"/>
      <c r="ROI367" s="124"/>
      <c r="ROJ367" s="124"/>
      <c r="ROK367" s="124"/>
      <c r="ROL367" s="124"/>
      <c r="ROM367" s="124"/>
      <c r="RON367" s="124"/>
      <c r="ROO367" s="124"/>
      <c r="ROP367" s="124"/>
      <c r="ROQ367" s="124"/>
      <c r="ROR367" s="124"/>
      <c r="ROS367" s="124"/>
      <c r="ROT367" s="124"/>
      <c r="ROU367" s="124"/>
      <c r="ROV367" s="124"/>
      <c r="ROW367" s="124"/>
      <c r="ROX367" s="124"/>
      <c r="ROY367" s="124"/>
      <c r="ROZ367" s="124"/>
      <c r="RPA367" s="124"/>
      <c r="RPB367" s="124"/>
      <c r="RPC367" s="124"/>
      <c r="RPD367" s="124"/>
      <c r="RPE367" s="124"/>
      <c r="RPF367" s="124"/>
      <c r="RPG367" s="124"/>
      <c r="RPH367" s="124"/>
      <c r="RPI367" s="124"/>
      <c r="RPJ367" s="124"/>
      <c r="RPK367" s="124"/>
      <c r="RPL367" s="124"/>
      <c r="RPM367" s="124"/>
      <c r="RPN367" s="124"/>
      <c r="RPO367" s="124"/>
      <c r="RPP367" s="124"/>
      <c r="RPQ367" s="124"/>
      <c r="RPR367" s="124"/>
      <c r="RPS367" s="124"/>
      <c r="RPT367" s="124"/>
      <c r="RPU367" s="124"/>
      <c r="RPV367" s="124"/>
      <c r="RPW367" s="124"/>
      <c r="RPX367" s="124"/>
      <c r="RPY367" s="124"/>
      <c r="RPZ367" s="124"/>
      <c r="RQA367" s="124"/>
      <c r="RQB367" s="124"/>
      <c r="RQC367" s="124"/>
      <c r="RQD367" s="124"/>
      <c r="RQE367" s="124"/>
      <c r="RQF367" s="124"/>
      <c r="RQG367" s="124"/>
      <c r="RQH367" s="124"/>
      <c r="RQI367" s="124"/>
      <c r="RQJ367" s="124"/>
      <c r="RQK367" s="124"/>
      <c r="RQL367" s="124"/>
      <c r="RQM367" s="124"/>
      <c r="RQN367" s="124"/>
      <c r="RQO367" s="124"/>
      <c r="RQP367" s="124"/>
      <c r="RQQ367" s="124"/>
      <c r="RQR367" s="124"/>
      <c r="RQS367" s="124"/>
      <c r="RQT367" s="124"/>
      <c r="RQU367" s="124"/>
      <c r="RQV367" s="124"/>
      <c r="RQW367" s="124"/>
      <c r="RQX367" s="124"/>
      <c r="RQY367" s="124"/>
      <c r="RQZ367" s="124"/>
      <c r="RRA367" s="124"/>
      <c r="RRB367" s="124"/>
      <c r="RRC367" s="124"/>
      <c r="RRD367" s="124"/>
      <c r="RRE367" s="124"/>
      <c r="RRF367" s="124"/>
      <c r="RRG367" s="124"/>
      <c r="RRH367" s="124"/>
      <c r="RRI367" s="124"/>
      <c r="RRJ367" s="124"/>
      <c r="RRK367" s="124"/>
      <c r="RRL367" s="124"/>
      <c r="RRM367" s="124"/>
      <c r="RRN367" s="124"/>
      <c r="RRO367" s="124"/>
      <c r="RRP367" s="124"/>
      <c r="RRQ367" s="124"/>
      <c r="RRR367" s="124"/>
      <c r="RRS367" s="124"/>
      <c r="RRT367" s="124"/>
      <c r="RRU367" s="124"/>
      <c r="RRV367" s="124"/>
      <c r="RRW367" s="124"/>
      <c r="RRX367" s="124"/>
      <c r="RRY367" s="124"/>
      <c r="RRZ367" s="124"/>
      <c r="RSA367" s="124"/>
      <c r="RSB367" s="124"/>
      <c r="RSC367" s="124"/>
      <c r="RSD367" s="124"/>
      <c r="RSE367" s="124"/>
      <c r="RSF367" s="124"/>
      <c r="RSG367" s="124"/>
      <c r="RSH367" s="124"/>
      <c r="RSI367" s="124"/>
      <c r="RSJ367" s="124"/>
      <c r="RSK367" s="124"/>
      <c r="RSL367" s="124"/>
      <c r="RSM367" s="124"/>
      <c r="RSN367" s="124"/>
      <c r="RSO367" s="124"/>
      <c r="RSP367" s="124"/>
      <c r="RSQ367" s="124"/>
      <c r="RSR367" s="124"/>
      <c r="RSS367" s="124"/>
      <c r="RST367" s="124"/>
      <c r="RSU367" s="124"/>
      <c r="RSV367" s="124"/>
      <c r="RSW367" s="124"/>
      <c r="RSX367" s="124"/>
      <c r="RSY367" s="124"/>
      <c r="RSZ367" s="124"/>
      <c r="RTA367" s="124"/>
      <c r="RTB367" s="124"/>
      <c r="RTC367" s="124"/>
      <c r="RTD367" s="124"/>
      <c r="RTE367" s="124"/>
      <c r="RTF367" s="124"/>
      <c r="RTG367" s="124"/>
      <c r="RTH367" s="124"/>
      <c r="RTI367" s="124"/>
      <c r="RTJ367" s="124"/>
      <c r="RTK367" s="124"/>
      <c r="RTL367" s="124"/>
      <c r="RTM367" s="124"/>
      <c r="RTN367" s="124"/>
      <c r="RTO367" s="124"/>
      <c r="RTP367" s="124"/>
      <c r="RTQ367" s="124"/>
      <c r="RTR367" s="124"/>
      <c r="RTS367" s="124"/>
      <c r="RTT367" s="124"/>
      <c r="RTU367" s="124"/>
      <c r="RTV367" s="124"/>
      <c r="RTW367" s="124"/>
      <c r="RTX367" s="124"/>
      <c r="RTY367" s="124"/>
      <c r="RTZ367" s="124"/>
      <c r="RUA367" s="124"/>
      <c r="RUB367" s="124"/>
      <c r="RUC367" s="124"/>
      <c r="RUD367" s="124"/>
      <c r="RUE367" s="124"/>
      <c r="RUF367" s="124"/>
      <c r="RUG367" s="124"/>
      <c r="RUH367" s="124"/>
      <c r="RUI367" s="124"/>
      <c r="RUJ367" s="124"/>
      <c r="RUK367" s="124"/>
      <c r="RUL367" s="124"/>
      <c r="RUM367" s="124"/>
      <c r="RUN367" s="124"/>
      <c r="RUO367" s="124"/>
      <c r="RUP367" s="124"/>
      <c r="RUQ367" s="124"/>
      <c r="RUR367" s="124"/>
      <c r="RUS367" s="124"/>
      <c r="RUT367" s="124"/>
      <c r="RUU367" s="124"/>
      <c r="RUV367" s="124"/>
      <c r="RUW367" s="124"/>
      <c r="RUX367" s="124"/>
      <c r="RUY367" s="124"/>
      <c r="RUZ367" s="124"/>
      <c r="RVA367" s="124"/>
      <c r="RVB367" s="124"/>
      <c r="RVC367" s="124"/>
      <c r="RVD367" s="124"/>
      <c r="RVE367" s="124"/>
      <c r="RVF367" s="124"/>
      <c r="RVG367" s="124"/>
      <c r="RVH367" s="124"/>
      <c r="RVI367" s="124"/>
      <c r="RVJ367" s="124"/>
      <c r="RVK367" s="124"/>
      <c r="RVL367" s="124"/>
      <c r="RVM367" s="124"/>
      <c r="RVN367" s="124"/>
      <c r="RVO367" s="124"/>
      <c r="RVP367" s="124"/>
      <c r="RVQ367" s="124"/>
      <c r="RVR367" s="124"/>
      <c r="RVS367" s="124"/>
      <c r="RVT367" s="124"/>
      <c r="RVU367" s="124"/>
      <c r="RVV367" s="124"/>
      <c r="RVW367" s="124"/>
      <c r="RVX367" s="124"/>
      <c r="RVY367" s="124"/>
      <c r="RVZ367" s="124"/>
      <c r="RWA367" s="124"/>
      <c r="RWB367" s="124"/>
      <c r="RWC367" s="124"/>
      <c r="RWD367" s="124"/>
      <c r="RWE367" s="124"/>
      <c r="RWF367" s="124"/>
      <c r="RWG367" s="124"/>
      <c r="RWH367" s="124"/>
      <c r="RWI367" s="124"/>
      <c r="RWJ367" s="124"/>
      <c r="RWK367" s="124"/>
      <c r="RWL367" s="124"/>
      <c r="RWM367" s="124"/>
      <c r="RWN367" s="124"/>
      <c r="RWO367" s="124"/>
      <c r="RWP367" s="124"/>
      <c r="RWQ367" s="124"/>
      <c r="RWR367" s="124"/>
      <c r="RWS367" s="124"/>
      <c r="RWT367" s="124"/>
      <c r="RWU367" s="124"/>
      <c r="RWV367" s="124"/>
      <c r="RWW367" s="124"/>
      <c r="RWX367" s="124"/>
      <c r="RWY367" s="124"/>
      <c r="RWZ367" s="124"/>
      <c r="RXA367" s="124"/>
      <c r="RXB367" s="124"/>
      <c r="RXC367" s="124"/>
      <c r="RXD367" s="124"/>
      <c r="RXE367" s="124"/>
      <c r="RXF367" s="124"/>
      <c r="RXG367" s="124"/>
      <c r="RXH367" s="124"/>
      <c r="RXI367" s="124"/>
      <c r="RXJ367" s="124"/>
      <c r="RXK367" s="124"/>
      <c r="RXL367" s="124"/>
      <c r="RXM367" s="124"/>
      <c r="RXN367" s="124"/>
      <c r="RXO367" s="124"/>
      <c r="RXP367" s="124"/>
      <c r="RXQ367" s="124"/>
      <c r="RXR367" s="124"/>
      <c r="RXS367" s="124"/>
      <c r="RXT367" s="124"/>
      <c r="RXU367" s="124"/>
      <c r="RXV367" s="124"/>
      <c r="RXW367" s="124"/>
      <c r="RXX367" s="124"/>
      <c r="RXY367" s="124"/>
      <c r="RXZ367" s="124"/>
      <c r="RYA367" s="124"/>
      <c r="RYB367" s="124"/>
      <c r="RYC367" s="124"/>
      <c r="RYD367" s="124"/>
      <c r="RYE367" s="124"/>
      <c r="RYF367" s="124"/>
      <c r="RYG367" s="124"/>
      <c r="RYH367" s="124"/>
      <c r="RYI367" s="124"/>
      <c r="RYJ367" s="124"/>
      <c r="RYK367" s="124"/>
      <c r="RYL367" s="124"/>
      <c r="RYM367" s="124"/>
      <c r="RYN367" s="124"/>
      <c r="RYO367" s="124"/>
      <c r="RYP367" s="124"/>
      <c r="RYQ367" s="124"/>
      <c r="RYR367" s="124"/>
      <c r="RYS367" s="124"/>
      <c r="RYT367" s="124"/>
      <c r="RYU367" s="124"/>
      <c r="RYV367" s="124"/>
      <c r="RYW367" s="124"/>
      <c r="RYX367" s="124"/>
      <c r="RYY367" s="124"/>
      <c r="RYZ367" s="124"/>
      <c r="RZA367" s="124"/>
      <c r="RZB367" s="124"/>
      <c r="RZC367" s="124"/>
      <c r="RZD367" s="124"/>
      <c r="RZE367" s="124"/>
      <c r="RZF367" s="124"/>
      <c r="RZG367" s="124"/>
      <c r="RZH367" s="124"/>
      <c r="RZI367" s="124"/>
      <c r="RZJ367" s="124"/>
      <c r="RZK367" s="124"/>
      <c r="RZL367" s="124"/>
      <c r="RZM367" s="124"/>
      <c r="RZN367" s="124"/>
      <c r="RZO367" s="124"/>
      <c r="RZP367" s="124"/>
      <c r="RZQ367" s="124"/>
      <c r="RZR367" s="124"/>
      <c r="RZS367" s="124"/>
      <c r="RZT367" s="124"/>
      <c r="RZU367" s="124"/>
      <c r="RZV367" s="124"/>
      <c r="RZW367" s="124"/>
      <c r="RZX367" s="124"/>
      <c r="RZY367" s="124"/>
      <c r="RZZ367" s="124"/>
      <c r="SAA367" s="124"/>
      <c r="SAB367" s="124"/>
      <c r="SAC367" s="124"/>
      <c r="SAD367" s="124"/>
      <c r="SAE367" s="124"/>
      <c r="SAF367" s="124"/>
      <c r="SAG367" s="124"/>
      <c r="SAH367" s="124"/>
      <c r="SAI367" s="124"/>
      <c r="SAJ367" s="124"/>
      <c r="SAK367" s="124"/>
      <c r="SAL367" s="124"/>
      <c r="SAM367" s="124"/>
      <c r="SAN367" s="124"/>
      <c r="SAO367" s="124"/>
      <c r="SAP367" s="124"/>
      <c r="SAQ367" s="124"/>
      <c r="SAR367" s="124"/>
      <c r="SAS367" s="124"/>
      <c r="SAT367" s="124"/>
      <c r="SAU367" s="124"/>
      <c r="SAV367" s="124"/>
      <c r="SAW367" s="124"/>
      <c r="SAX367" s="124"/>
      <c r="SAY367" s="124"/>
      <c r="SAZ367" s="124"/>
      <c r="SBA367" s="124"/>
      <c r="SBB367" s="124"/>
      <c r="SBC367" s="124"/>
      <c r="SBD367" s="124"/>
      <c r="SBE367" s="124"/>
      <c r="SBF367" s="124"/>
      <c r="SBG367" s="124"/>
      <c r="SBH367" s="124"/>
      <c r="SBI367" s="124"/>
      <c r="SBJ367" s="124"/>
      <c r="SBK367" s="124"/>
      <c r="SBL367" s="124"/>
      <c r="SBM367" s="124"/>
      <c r="SBN367" s="124"/>
      <c r="SBO367" s="124"/>
      <c r="SBP367" s="124"/>
      <c r="SBQ367" s="124"/>
      <c r="SBR367" s="124"/>
      <c r="SBS367" s="124"/>
      <c r="SBT367" s="124"/>
      <c r="SBU367" s="124"/>
      <c r="SBV367" s="124"/>
      <c r="SBW367" s="124"/>
      <c r="SBX367" s="124"/>
      <c r="SBY367" s="124"/>
      <c r="SBZ367" s="124"/>
      <c r="SCA367" s="124"/>
      <c r="SCB367" s="124"/>
      <c r="SCC367" s="124"/>
      <c r="SCD367" s="124"/>
      <c r="SCE367" s="124"/>
      <c r="SCF367" s="124"/>
      <c r="SCG367" s="124"/>
      <c r="SCH367" s="124"/>
      <c r="SCI367" s="124"/>
      <c r="SCJ367" s="124"/>
      <c r="SCK367" s="124"/>
      <c r="SCL367" s="124"/>
      <c r="SCM367" s="124"/>
      <c r="SCN367" s="124"/>
      <c r="SCO367" s="124"/>
      <c r="SCP367" s="124"/>
      <c r="SCQ367" s="124"/>
      <c r="SCR367" s="124"/>
      <c r="SCS367" s="124"/>
      <c r="SCT367" s="124"/>
      <c r="SCU367" s="124"/>
      <c r="SCV367" s="124"/>
      <c r="SCW367" s="124"/>
      <c r="SCX367" s="124"/>
      <c r="SCY367" s="124"/>
      <c r="SCZ367" s="124"/>
      <c r="SDA367" s="124"/>
      <c r="SDB367" s="124"/>
      <c r="SDC367" s="124"/>
      <c r="SDD367" s="124"/>
      <c r="SDE367" s="124"/>
      <c r="SDF367" s="124"/>
      <c r="SDG367" s="124"/>
      <c r="SDH367" s="124"/>
      <c r="SDI367" s="124"/>
      <c r="SDJ367" s="124"/>
      <c r="SDK367" s="124"/>
      <c r="SDL367" s="124"/>
      <c r="SDM367" s="124"/>
      <c r="SDN367" s="124"/>
      <c r="SDO367" s="124"/>
      <c r="SDP367" s="124"/>
      <c r="SDQ367" s="124"/>
      <c r="SDR367" s="124"/>
      <c r="SDS367" s="124"/>
      <c r="SDT367" s="124"/>
      <c r="SDU367" s="124"/>
      <c r="SDV367" s="124"/>
      <c r="SDW367" s="124"/>
      <c r="SDX367" s="124"/>
      <c r="SDY367" s="124"/>
      <c r="SDZ367" s="124"/>
      <c r="SEA367" s="124"/>
      <c r="SEB367" s="124"/>
      <c r="SEC367" s="124"/>
      <c r="SED367" s="124"/>
      <c r="SEE367" s="124"/>
      <c r="SEF367" s="124"/>
      <c r="SEG367" s="124"/>
      <c r="SEH367" s="124"/>
      <c r="SEI367" s="124"/>
      <c r="SEJ367" s="124"/>
      <c r="SEK367" s="124"/>
      <c r="SEL367" s="124"/>
      <c r="SEM367" s="124"/>
      <c r="SEN367" s="124"/>
      <c r="SEO367" s="124"/>
      <c r="SEP367" s="124"/>
      <c r="SEQ367" s="124"/>
      <c r="SER367" s="124"/>
      <c r="SES367" s="124"/>
      <c r="SET367" s="124"/>
      <c r="SEU367" s="124"/>
      <c r="SEV367" s="124"/>
      <c r="SEW367" s="124"/>
      <c r="SEX367" s="124"/>
      <c r="SEY367" s="124"/>
      <c r="SEZ367" s="124"/>
      <c r="SFA367" s="124"/>
      <c r="SFB367" s="124"/>
      <c r="SFC367" s="124"/>
      <c r="SFD367" s="124"/>
      <c r="SFE367" s="124"/>
      <c r="SFF367" s="124"/>
      <c r="SFG367" s="124"/>
      <c r="SFH367" s="124"/>
      <c r="SFI367" s="124"/>
      <c r="SFJ367" s="124"/>
      <c r="SFK367" s="124"/>
      <c r="SFL367" s="124"/>
      <c r="SFM367" s="124"/>
      <c r="SFN367" s="124"/>
      <c r="SFO367" s="124"/>
      <c r="SFP367" s="124"/>
      <c r="SFQ367" s="124"/>
      <c r="SFR367" s="124"/>
      <c r="SFS367" s="124"/>
      <c r="SFT367" s="124"/>
      <c r="SFU367" s="124"/>
      <c r="SFV367" s="124"/>
      <c r="SFW367" s="124"/>
      <c r="SFX367" s="124"/>
      <c r="SFY367" s="124"/>
      <c r="SFZ367" s="124"/>
      <c r="SGA367" s="124"/>
      <c r="SGB367" s="124"/>
      <c r="SGC367" s="124"/>
      <c r="SGD367" s="124"/>
      <c r="SGE367" s="124"/>
      <c r="SGF367" s="124"/>
      <c r="SGG367" s="124"/>
      <c r="SGH367" s="124"/>
      <c r="SGI367" s="124"/>
      <c r="SGJ367" s="124"/>
      <c r="SGK367" s="124"/>
      <c r="SGL367" s="124"/>
      <c r="SGM367" s="124"/>
      <c r="SGN367" s="124"/>
      <c r="SGO367" s="124"/>
      <c r="SGP367" s="124"/>
      <c r="SGQ367" s="124"/>
      <c r="SGR367" s="124"/>
      <c r="SGS367" s="124"/>
      <c r="SGT367" s="124"/>
      <c r="SGU367" s="124"/>
      <c r="SGV367" s="124"/>
      <c r="SGW367" s="124"/>
      <c r="SGX367" s="124"/>
      <c r="SGY367" s="124"/>
      <c r="SGZ367" s="124"/>
      <c r="SHA367" s="124"/>
      <c r="SHB367" s="124"/>
      <c r="SHC367" s="124"/>
      <c r="SHD367" s="124"/>
      <c r="SHE367" s="124"/>
      <c r="SHF367" s="124"/>
      <c r="SHG367" s="124"/>
      <c r="SHH367" s="124"/>
      <c r="SHI367" s="124"/>
      <c r="SHJ367" s="124"/>
      <c r="SHK367" s="124"/>
      <c r="SHL367" s="124"/>
      <c r="SHM367" s="124"/>
      <c r="SHN367" s="124"/>
      <c r="SHO367" s="124"/>
      <c r="SHP367" s="124"/>
      <c r="SHQ367" s="124"/>
      <c r="SHR367" s="124"/>
      <c r="SHS367" s="124"/>
      <c r="SHT367" s="124"/>
      <c r="SHU367" s="124"/>
      <c r="SHV367" s="124"/>
      <c r="SHW367" s="124"/>
      <c r="SHX367" s="124"/>
      <c r="SHY367" s="124"/>
      <c r="SHZ367" s="124"/>
      <c r="SIA367" s="124"/>
      <c r="SIB367" s="124"/>
      <c r="SIC367" s="124"/>
      <c r="SID367" s="124"/>
      <c r="SIE367" s="124"/>
      <c r="SIF367" s="124"/>
      <c r="SIG367" s="124"/>
      <c r="SIH367" s="124"/>
      <c r="SII367" s="124"/>
      <c r="SIJ367" s="124"/>
      <c r="SIK367" s="124"/>
      <c r="SIL367" s="124"/>
      <c r="SIM367" s="124"/>
      <c r="SIN367" s="124"/>
      <c r="SIO367" s="124"/>
      <c r="SIP367" s="124"/>
      <c r="SIQ367" s="124"/>
      <c r="SIR367" s="124"/>
      <c r="SIS367" s="124"/>
      <c r="SIT367" s="124"/>
      <c r="SIU367" s="124"/>
      <c r="SIV367" s="124"/>
      <c r="SIW367" s="124"/>
      <c r="SIX367" s="124"/>
      <c r="SIY367" s="124"/>
      <c r="SIZ367" s="124"/>
      <c r="SJA367" s="124"/>
      <c r="SJB367" s="124"/>
      <c r="SJC367" s="124"/>
      <c r="SJD367" s="124"/>
      <c r="SJE367" s="124"/>
      <c r="SJF367" s="124"/>
      <c r="SJG367" s="124"/>
      <c r="SJH367" s="124"/>
      <c r="SJI367" s="124"/>
      <c r="SJJ367" s="124"/>
      <c r="SJK367" s="124"/>
      <c r="SJL367" s="124"/>
      <c r="SJM367" s="124"/>
      <c r="SJN367" s="124"/>
      <c r="SJO367" s="124"/>
      <c r="SJP367" s="124"/>
      <c r="SJQ367" s="124"/>
      <c r="SJR367" s="124"/>
      <c r="SJS367" s="124"/>
      <c r="SJT367" s="124"/>
      <c r="SJU367" s="124"/>
      <c r="SJV367" s="124"/>
      <c r="SJW367" s="124"/>
      <c r="SJX367" s="124"/>
      <c r="SJY367" s="124"/>
      <c r="SJZ367" s="124"/>
      <c r="SKA367" s="124"/>
      <c r="SKB367" s="124"/>
      <c r="SKC367" s="124"/>
      <c r="SKD367" s="124"/>
      <c r="SKE367" s="124"/>
      <c r="SKF367" s="124"/>
      <c r="SKG367" s="124"/>
      <c r="SKH367" s="124"/>
      <c r="SKI367" s="124"/>
      <c r="SKJ367" s="124"/>
      <c r="SKK367" s="124"/>
      <c r="SKL367" s="124"/>
      <c r="SKM367" s="124"/>
      <c r="SKN367" s="124"/>
      <c r="SKO367" s="124"/>
      <c r="SKP367" s="124"/>
      <c r="SKQ367" s="124"/>
      <c r="SKR367" s="124"/>
      <c r="SKS367" s="124"/>
      <c r="SKT367" s="124"/>
      <c r="SKU367" s="124"/>
      <c r="SKV367" s="124"/>
      <c r="SKW367" s="124"/>
      <c r="SKX367" s="124"/>
      <c r="SKY367" s="124"/>
      <c r="SKZ367" s="124"/>
      <c r="SLA367" s="124"/>
      <c r="SLB367" s="124"/>
      <c r="SLC367" s="124"/>
      <c r="SLD367" s="124"/>
      <c r="SLE367" s="124"/>
      <c r="SLF367" s="124"/>
      <c r="SLG367" s="124"/>
      <c r="SLH367" s="124"/>
      <c r="SLI367" s="124"/>
      <c r="SLJ367" s="124"/>
      <c r="SLK367" s="124"/>
      <c r="SLL367" s="124"/>
      <c r="SLM367" s="124"/>
      <c r="SLN367" s="124"/>
      <c r="SLO367" s="124"/>
      <c r="SLP367" s="124"/>
      <c r="SLQ367" s="124"/>
      <c r="SLR367" s="124"/>
      <c r="SLS367" s="124"/>
      <c r="SLT367" s="124"/>
      <c r="SLU367" s="124"/>
      <c r="SLV367" s="124"/>
      <c r="SLW367" s="124"/>
      <c r="SLX367" s="124"/>
      <c r="SLY367" s="124"/>
      <c r="SLZ367" s="124"/>
      <c r="SMA367" s="124"/>
      <c r="SMB367" s="124"/>
      <c r="SMC367" s="124"/>
      <c r="SMD367" s="124"/>
      <c r="SME367" s="124"/>
      <c r="SMF367" s="124"/>
      <c r="SMG367" s="124"/>
      <c r="SMH367" s="124"/>
      <c r="SMI367" s="124"/>
      <c r="SMJ367" s="124"/>
      <c r="SMK367" s="124"/>
      <c r="SML367" s="124"/>
      <c r="SMM367" s="124"/>
      <c r="SMN367" s="124"/>
      <c r="SMO367" s="124"/>
      <c r="SMP367" s="124"/>
      <c r="SMQ367" s="124"/>
      <c r="SMR367" s="124"/>
      <c r="SMS367" s="124"/>
      <c r="SMT367" s="124"/>
      <c r="SMU367" s="124"/>
      <c r="SMV367" s="124"/>
      <c r="SMW367" s="124"/>
      <c r="SMX367" s="124"/>
      <c r="SMY367" s="124"/>
      <c r="SMZ367" s="124"/>
      <c r="SNA367" s="124"/>
      <c r="SNB367" s="124"/>
      <c r="SNC367" s="124"/>
      <c r="SND367" s="124"/>
      <c r="SNE367" s="124"/>
      <c r="SNF367" s="124"/>
      <c r="SNG367" s="124"/>
      <c r="SNH367" s="124"/>
      <c r="SNI367" s="124"/>
      <c r="SNJ367" s="124"/>
      <c r="SNK367" s="124"/>
      <c r="SNL367" s="124"/>
      <c r="SNM367" s="124"/>
      <c r="SNN367" s="124"/>
      <c r="SNO367" s="124"/>
      <c r="SNP367" s="124"/>
      <c r="SNQ367" s="124"/>
      <c r="SNR367" s="124"/>
      <c r="SNS367" s="124"/>
      <c r="SNT367" s="124"/>
      <c r="SNU367" s="124"/>
      <c r="SNV367" s="124"/>
      <c r="SNW367" s="124"/>
      <c r="SNX367" s="124"/>
      <c r="SNY367" s="124"/>
      <c r="SNZ367" s="124"/>
      <c r="SOA367" s="124"/>
      <c r="SOB367" s="124"/>
      <c r="SOC367" s="124"/>
      <c r="SOD367" s="124"/>
      <c r="SOE367" s="124"/>
      <c r="SOF367" s="124"/>
      <c r="SOG367" s="124"/>
      <c r="SOH367" s="124"/>
      <c r="SOI367" s="124"/>
      <c r="SOJ367" s="124"/>
      <c r="SOK367" s="124"/>
      <c r="SOL367" s="124"/>
      <c r="SOM367" s="124"/>
      <c r="SON367" s="124"/>
      <c r="SOO367" s="124"/>
      <c r="SOP367" s="124"/>
      <c r="SOQ367" s="124"/>
      <c r="SOR367" s="124"/>
      <c r="SOS367" s="124"/>
      <c r="SOT367" s="124"/>
      <c r="SOU367" s="124"/>
      <c r="SOV367" s="124"/>
      <c r="SOW367" s="124"/>
      <c r="SOX367" s="124"/>
      <c r="SOY367" s="124"/>
      <c r="SOZ367" s="124"/>
      <c r="SPA367" s="124"/>
      <c r="SPB367" s="124"/>
      <c r="SPC367" s="124"/>
      <c r="SPD367" s="124"/>
      <c r="SPE367" s="124"/>
      <c r="SPF367" s="124"/>
      <c r="SPG367" s="124"/>
      <c r="SPH367" s="124"/>
      <c r="SPI367" s="124"/>
      <c r="SPJ367" s="124"/>
      <c r="SPK367" s="124"/>
      <c r="SPL367" s="124"/>
      <c r="SPM367" s="124"/>
      <c r="SPN367" s="124"/>
      <c r="SPO367" s="124"/>
      <c r="SPP367" s="124"/>
      <c r="SPQ367" s="124"/>
      <c r="SPR367" s="124"/>
      <c r="SPS367" s="124"/>
      <c r="SPT367" s="124"/>
      <c r="SPU367" s="124"/>
      <c r="SPV367" s="124"/>
      <c r="SPW367" s="124"/>
      <c r="SPX367" s="124"/>
      <c r="SPY367" s="124"/>
      <c r="SPZ367" s="124"/>
      <c r="SQA367" s="124"/>
      <c r="SQB367" s="124"/>
      <c r="SQC367" s="124"/>
      <c r="SQD367" s="124"/>
      <c r="SQE367" s="124"/>
      <c r="SQF367" s="124"/>
      <c r="SQG367" s="124"/>
      <c r="SQH367" s="124"/>
      <c r="SQI367" s="124"/>
      <c r="SQJ367" s="124"/>
      <c r="SQK367" s="124"/>
      <c r="SQL367" s="124"/>
      <c r="SQM367" s="124"/>
      <c r="SQN367" s="124"/>
      <c r="SQO367" s="124"/>
      <c r="SQP367" s="124"/>
      <c r="SQQ367" s="124"/>
      <c r="SQR367" s="124"/>
      <c r="SQS367" s="124"/>
      <c r="SQT367" s="124"/>
      <c r="SQU367" s="124"/>
      <c r="SQV367" s="124"/>
      <c r="SQW367" s="124"/>
      <c r="SQX367" s="124"/>
      <c r="SQY367" s="124"/>
      <c r="SQZ367" s="124"/>
      <c r="SRA367" s="124"/>
      <c r="SRB367" s="124"/>
      <c r="SRC367" s="124"/>
      <c r="SRD367" s="124"/>
      <c r="SRE367" s="124"/>
      <c r="SRF367" s="124"/>
      <c r="SRG367" s="124"/>
      <c r="SRH367" s="124"/>
      <c r="SRI367" s="124"/>
      <c r="SRJ367" s="124"/>
      <c r="SRK367" s="124"/>
      <c r="SRL367" s="124"/>
      <c r="SRM367" s="124"/>
      <c r="SRN367" s="124"/>
      <c r="SRO367" s="124"/>
      <c r="SRP367" s="124"/>
      <c r="SRQ367" s="124"/>
      <c r="SRR367" s="124"/>
      <c r="SRS367" s="124"/>
      <c r="SRT367" s="124"/>
      <c r="SRU367" s="124"/>
      <c r="SRV367" s="124"/>
      <c r="SRW367" s="124"/>
      <c r="SRX367" s="124"/>
      <c r="SRY367" s="124"/>
      <c r="SRZ367" s="124"/>
      <c r="SSA367" s="124"/>
      <c r="SSB367" s="124"/>
      <c r="SSC367" s="124"/>
      <c r="SSD367" s="124"/>
      <c r="SSE367" s="124"/>
      <c r="SSF367" s="124"/>
      <c r="SSG367" s="124"/>
      <c r="SSH367" s="124"/>
      <c r="SSI367" s="124"/>
      <c r="SSJ367" s="124"/>
      <c r="SSK367" s="124"/>
      <c r="SSL367" s="124"/>
      <c r="SSM367" s="124"/>
      <c r="SSN367" s="124"/>
      <c r="SSO367" s="124"/>
      <c r="SSP367" s="124"/>
      <c r="SSQ367" s="124"/>
      <c r="SSR367" s="124"/>
      <c r="SSS367" s="124"/>
      <c r="SST367" s="124"/>
      <c r="SSU367" s="124"/>
      <c r="SSV367" s="124"/>
      <c r="SSW367" s="124"/>
      <c r="SSX367" s="124"/>
      <c r="SSY367" s="124"/>
      <c r="SSZ367" s="124"/>
      <c r="STA367" s="124"/>
      <c r="STB367" s="124"/>
      <c r="STC367" s="124"/>
      <c r="STD367" s="124"/>
      <c r="STE367" s="124"/>
      <c r="STF367" s="124"/>
      <c r="STG367" s="124"/>
      <c r="STH367" s="124"/>
      <c r="STI367" s="124"/>
      <c r="STJ367" s="124"/>
      <c r="STK367" s="124"/>
      <c r="STL367" s="124"/>
      <c r="STM367" s="124"/>
      <c r="STN367" s="124"/>
      <c r="STO367" s="124"/>
      <c r="STP367" s="124"/>
      <c r="STQ367" s="124"/>
      <c r="STR367" s="124"/>
      <c r="STS367" s="124"/>
      <c r="STT367" s="124"/>
      <c r="STU367" s="124"/>
      <c r="STV367" s="124"/>
      <c r="STW367" s="124"/>
      <c r="STX367" s="124"/>
      <c r="STY367" s="124"/>
      <c r="STZ367" s="124"/>
      <c r="SUA367" s="124"/>
      <c r="SUB367" s="124"/>
      <c r="SUC367" s="124"/>
      <c r="SUD367" s="124"/>
      <c r="SUE367" s="124"/>
      <c r="SUF367" s="124"/>
      <c r="SUG367" s="124"/>
      <c r="SUH367" s="124"/>
      <c r="SUI367" s="124"/>
      <c r="SUJ367" s="124"/>
      <c r="SUK367" s="124"/>
      <c r="SUL367" s="124"/>
      <c r="SUM367" s="124"/>
      <c r="SUN367" s="124"/>
      <c r="SUO367" s="124"/>
      <c r="SUP367" s="124"/>
      <c r="SUQ367" s="124"/>
      <c r="SUR367" s="124"/>
      <c r="SUS367" s="124"/>
      <c r="SUT367" s="124"/>
      <c r="SUU367" s="124"/>
      <c r="SUV367" s="124"/>
      <c r="SUW367" s="124"/>
      <c r="SUX367" s="124"/>
      <c r="SUY367" s="124"/>
      <c r="SUZ367" s="124"/>
      <c r="SVA367" s="124"/>
      <c r="SVB367" s="124"/>
      <c r="SVC367" s="124"/>
      <c r="SVD367" s="124"/>
      <c r="SVE367" s="124"/>
      <c r="SVF367" s="124"/>
      <c r="SVG367" s="124"/>
      <c r="SVH367" s="124"/>
      <c r="SVI367" s="124"/>
      <c r="SVJ367" s="124"/>
      <c r="SVK367" s="124"/>
      <c r="SVL367" s="124"/>
      <c r="SVM367" s="124"/>
      <c r="SVN367" s="124"/>
      <c r="SVO367" s="124"/>
      <c r="SVP367" s="124"/>
      <c r="SVQ367" s="124"/>
      <c r="SVR367" s="124"/>
      <c r="SVS367" s="124"/>
      <c r="SVT367" s="124"/>
      <c r="SVU367" s="124"/>
      <c r="SVV367" s="124"/>
      <c r="SVW367" s="124"/>
      <c r="SVX367" s="124"/>
      <c r="SVY367" s="124"/>
      <c r="SVZ367" s="124"/>
      <c r="SWA367" s="124"/>
      <c r="SWB367" s="124"/>
      <c r="SWC367" s="124"/>
      <c r="SWD367" s="124"/>
      <c r="SWE367" s="124"/>
      <c r="SWF367" s="124"/>
      <c r="SWG367" s="124"/>
      <c r="SWH367" s="124"/>
      <c r="SWI367" s="124"/>
      <c r="SWJ367" s="124"/>
      <c r="SWK367" s="124"/>
      <c r="SWL367" s="124"/>
      <c r="SWM367" s="124"/>
      <c r="SWN367" s="124"/>
      <c r="SWO367" s="124"/>
      <c r="SWP367" s="124"/>
      <c r="SWQ367" s="124"/>
      <c r="SWR367" s="124"/>
      <c r="SWS367" s="124"/>
      <c r="SWT367" s="124"/>
      <c r="SWU367" s="124"/>
      <c r="SWV367" s="124"/>
      <c r="SWW367" s="124"/>
      <c r="SWX367" s="124"/>
      <c r="SWY367" s="124"/>
      <c r="SWZ367" s="124"/>
      <c r="SXA367" s="124"/>
      <c r="SXB367" s="124"/>
      <c r="SXC367" s="124"/>
      <c r="SXD367" s="124"/>
      <c r="SXE367" s="124"/>
      <c r="SXF367" s="124"/>
      <c r="SXG367" s="124"/>
      <c r="SXH367" s="124"/>
      <c r="SXI367" s="124"/>
      <c r="SXJ367" s="124"/>
      <c r="SXK367" s="124"/>
      <c r="SXL367" s="124"/>
      <c r="SXM367" s="124"/>
      <c r="SXN367" s="124"/>
      <c r="SXO367" s="124"/>
      <c r="SXP367" s="124"/>
      <c r="SXQ367" s="124"/>
      <c r="SXR367" s="124"/>
      <c r="SXS367" s="124"/>
      <c r="SXT367" s="124"/>
      <c r="SXU367" s="124"/>
      <c r="SXV367" s="124"/>
      <c r="SXW367" s="124"/>
      <c r="SXX367" s="124"/>
      <c r="SXY367" s="124"/>
      <c r="SXZ367" s="124"/>
      <c r="SYA367" s="124"/>
      <c r="SYB367" s="124"/>
      <c r="SYC367" s="124"/>
      <c r="SYD367" s="124"/>
      <c r="SYE367" s="124"/>
      <c r="SYF367" s="124"/>
      <c r="SYG367" s="124"/>
      <c r="SYH367" s="124"/>
      <c r="SYI367" s="124"/>
      <c r="SYJ367" s="124"/>
      <c r="SYK367" s="124"/>
      <c r="SYL367" s="124"/>
      <c r="SYM367" s="124"/>
      <c r="SYN367" s="124"/>
      <c r="SYO367" s="124"/>
      <c r="SYP367" s="124"/>
      <c r="SYQ367" s="124"/>
      <c r="SYR367" s="124"/>
      <c r="SYS367" s="124"/>
      <c r="SYT367" s="124"/>
      <c r="SYU367" s="124"/>
      <c r="SYV367" s="124"/>
      <c r="SYW367" s="124"/>
      <c r="SYX367" s="124"/>
      <c r="SYY367" s="124"/>
      <c r="SYZ367" s="124"/>
      <c r="SZA367" s="124"/>
      <c r="SZB367" s="124"/>
      <c r="SZC367" s="124"/>
      <c r="SZD367" s="124"/>
      <c r="SZE367" s="124"/>
      <c r="SZF367" s="124"/>
      <c r="SZG367" s="124"/>
      <c r="SZH367" s="124"/>
      <c r="SZI367" s="124"/>
      <c r="SZJ367" s="124"/>
      <c r="SZK367" s="124"/>
      <c r="SZL367" s="124"/>
      <c r="SZM367" s="124"/>
      <c r="SZN367" s="124"/>
      <c r="SZO367" s="124"/>
      <c r="SZP367" s="124"/>
      <c r="SZQ367" s="124"/>
      <c r="SZR367" s="124"/>
      <c r="SZS367" s="124"/>
      <c r="SZT367" s="124"/>
      <c r="SZU367" s="124"/>
      <c r="SZV367" s="124"/>
      <c r="SZW367" s="124"/>
      <c r="SZX367" s="124"/>
      <c r="SZY367" s="124"/>
      <c r="SZZ367" s="124"/>
      <c r="TAA367" s="124"/>
      <c r="TAB367" s="124"/>
      <c r="TAC367" s="124"/>
      <c r="TAD367" s="124"/>
      <c r="TAE367" s="124"/>
      <c r="TAF367" s="124"/>
      <c r="TAG367" s="124"/>
      <c r="TAH367" s="124"/>
      <c r="TAI367" s="124"/>
      <c r="TAJ367" s="124"/>
      <c r="TAK367" s="124"/>
      <c r="TAL367" s="124"/>
      <c r="TAM367" s="124"/>
      <c r="TAN367" s="124"/>
      <c r="TAO367" s="124"/>
      <c r="TAP367" s="124"/>
      <c r="TAQ367" s="124"/>
      <c r="TAR367" s="124"/>
      <c r="TAS367" s="124"/>
      <c r="TAT367" s="124"/>
      <c r="TAU367" s="124"/>
      <c r="TAV367" s="124"/>
      <c r="TAW367" s="124"/>
      <c r="TAX367" s="124"/>
      <c r="TAY367" s="124"/>
      <c r="TAZ367" s="124"/>
      <c r="TBA367" s="124"/>
      <c r="TBB367" s="124"/>
      <c r="TBC367" s="124"/>
      <c r="TBD367" s="124"/>
      <c r="TBE367" s="124"/>
      <c r="TBF367" s="124"/>
      <c r="TBG367" s="124"/>
      <c r="TBH367" s="124"/>
      <c r="TBI367" s="124"/>
      <c r="TBJ367" s="124"/>
      <c r="TBK367" s="124"/>
      <c r="TBL367" s="124"/>
      <c r="TBM367" s="124"/>
      <c r="TBN367" s="124"/>
      <c r="TBO367" s="124"/>
      <c r="TBP367" s="124"/>
      <c r="TBQ367" s="124"/>
      <c r="TBR367" s="124"/>
      <c r="TBS367" s="124"/>
      <c r="TBT367" s="124"/>
      <c r="TBU367" s="124"/>
      <c r="TBV367" s="124"/>
      <c r="TBW367" s="124"/>
      <c r="TBX367" s="124"/>
      <c r="TBY367" s="124"/>
      <c r="TBZ367" s="124"/>
      <c r="TCA367" s="124"/>
      <c r="TCB367" s="124"/>
      <c r="TCC367" s="124"/>
      <c r="TCD367" s="124"/>
      <c r="TCE367" s="124"/>
      <c r="TCF367" s="124"/>
      <c r="TCG367" s="124"/>
      <c r="TCH367" s="124"/>
      <c r="TCI367" s="124"/>
      <c r="TCJ367" s="124"/>
      <c r="TCK367" s="124"/>
      <c r="TCL367" s="124"/>
      <c r="TCM367" s="124"/>
      <c r="TCN367" s="124"/>
      <c r="TCO367" s="124"/>
      <c r="TCP367" s="124"/>
      <c r="TCQ367" s="124"/>
      <c r="TCR367" s="124"/>
      <c r="TCS367" s="124"/>
      <c r="TCT367" s="124"/>
      <c r="TCU367" s="124"/>
      <c r="TCV367" s="124"/>
      <c r="TCW367" s="124"/>
      <c r="TCX367" s="124"/>
      <c r="TCY367" s="124"/>
      <c r="TCZ367" s="124"/>
      <c r="TDA367" s="124"/>
      <c r="TDB367" s="124"/>
      <c r="TDC367" s="124"/>
      <c r="TDD367" s="124"/>
      <c r="TDE367" s="124"/>
      <c r="TDF367" s="124"/>
      <c r="TDG367" s="124"/>
      <c r="TDH367" s="124"/>
      <c r="TDI367" s="124"/>
      <c r="TDJ367" s="124"/>
      <c r="TDK367" s="124"/>
      <c r="TDL367" s="124"/>
      <c r="TDM367" s="124"/>
      <c r="TDN367" s="124"/>
      <c r="TDO367" s="124"/>
      <c r="TDP367" s="124"/>
      <c r="TDQ367" s="124"/>
      <c r="TDR367" s="124"/>
      <c r="TDS367" s="124"/>
      <c r="TDT367" s="124"/>
      <c r="TDU367" s="124"/>
      <c r="TDV367" s="124"/>
      <c r="TDW367" s="124"/>
      <c r="TDX367" s="124"/>
      <c r="TDY367" s="124"/>
      <c r="TDZ367" s="124"/>
      <c r="TEA367" s="124"/>
      <c r="TEB367" s="124"/>
      <c r="TEC367" s="124"/>
      <c r="TED367" s="124"/>
      <c r="TEE367" s="124"/>
      <c r="TEF367" s="124"/>
      <c r="TEG367" s="124"/>
      <c r="TEH367" s="124"/>
      <c r="TEI367" s="124"/>
      <c r="TEJ367" s="124"/>
      <c r="TEK367" s="124"/>
      <c r="TEL367" s="124"/>
      <c r="TEM367" s="124"/>
      <c r="TEN367" s="124"/>
      <c r="TEO367" s="124"/>
      <c r="TEP367" s="124"/>
      <c r="TEQ367" s="124"/>
      <c r="TER367" s="124"/>
      <c r="TES367" s="124"/>
      <c r="TET367" s="124"/>
      <c r="TEU367" s="124"/>
      <c r="TEV367" s="124"/>
      <c r="TEW367" s="124"/>
      <c r="TEX367" s="124"/>
      <c r="TEY367" s="124"/>
      <c r="TEZ367" s="124"/>
      <c r="TFA367" s="124"/>
      <c r="TFB367" s="124"/>
      <c r="TFC367" s="124"/>
      <c r="TFD367" s="124"/>
      <c r="TFE367" s="124"/>
      <c r="TFF367" s="124"/>
      <c r="TFG367" s="124"/>
      <c r="TFH367" s="124"/>
      <c r="TFI367" s="124"/>
      <c r="TFJ367" s="124"/>
      <c r="TFK367" s="124"/>
      <c r="TFL367" s="124"/>
      <c r="TFM367" s="124"/>
      <c r="TFN367" s="124"/>
      <c r="TFO367" s="124"/>
      <c r="TFP367" s="124"/>
      <c r="TFQ367" s="124"/>
      <c r="TFR367" s="124"/>
      <c r="TFS367" s="124"/>
      <c r="TFT367" s="124"/>
      <c r="TFU367" s="124"/>
      <c r="TFV367" s="124"/>
      <c r="TFW367" s="124"/>
      <c r="TFX367" s="124"/>
      <c r="TFY367" s="124"/>
      <c r="TFZ367" s="124"/>
      <c r="TGA367" s="124"/>
      <c r="TGB367" s="124"/>
      <c r="TGC367" s="124"/>
      <c r="TGD367" s="124"/>
      <c r="TGE367" s="124"/>
      <c r="TGF367" s="124"/>
      <c r="TGG367" s="124"/>
      <c r="TGH367" s="124"/>
      <c r="TGI367" s="124"/>
      <c r="TGJ367" s="124"/>
      <c r="TGK367" s="124"/>
      <c r="TGL367" s="124"/>
      <c r="TGM367" s="124"/>
      <c r="TGN367" s="124"/>
      <c r="TGO367" s="124"/>
      <c r="TGP367" s="124"/>
      <c r="TGQ367" s="124"/>
      <c r="TGR367" s="124"/>
      <c r="TGS367" s="124"/>
      <c r="TGT367" s="124"/>
      <c r="TGU367" s="124"/>
      <c r="TGV367" s="124"/>
      <c r="TGW367" s="124"/>
      <c r="TGX367" s="124"/>
      <c r="TGY367" s="124"/>
      <c r="TGZ367" s="124"/>
      <c r="THA367" s="124"/>
      <c r="THB367" s="124"/>
      <c r="THC367" s="124"/>
      <c r="THD367" s="124"/>
      <c r="THE367" s="124"/>
      <c r="THF367" s="124"/>
      <c r="THG367" s="124"/>
      <c r="THH367" s="124"/>
      <c r="THI367" s="124"/>
      <c r="THJ367" s="124"/>
      <c r="THK367" s="124"/>
      <c r="THL367" s="124"/>
      <c r="THM367" s="124"/>
      <c r="THN367" s="124"/>
      <c r="THO367" s="124"/>
      <c r="THP367" s="124"/>
      <c r="THQ367" s="124"/>
      <c r="THR367" s="124"/>
      <c r="THS367" s="124"/>
      <c r="THT367" s="124"/>
      <c r="THU367" s="124"/>
      <c r="THV367" s="124"/>
      <c r="THW367" s="124"/>
      <c r="THX367" s="124"/>
      <c r="THY367" s="124"/>
      <c r="THZ367" s="124"/>
      <c r="TIA367" s="124"/>
      <c r="TIB367" s="124"/>
      <c r="TIC367" s="124"/>
      <c r="TID367" s="124"/>
      <c r="TIE367" s="124"/>
      <c r="TIF367" s="124"/>
      <c r="TIG367" s="124"/>
      <c r="TIH367" s="124"/>
      <c r="TII367" s="124"/>
      <c r="TIJ367" s="124"/>
      <c r="TIK367" s="124"/>
      <c r="TIL367" s="124"/>
      <c r="TIM367" s="124"/>
      <c r="TIN367" s="124"/>
      <c r="TIO367" s="124"/>
      <c r="TIP367" s="124"/>
      <c r="TIQ367" s="124"/>
      <c r="TIR367" s="124"/>
      <c r="TIS367" s="124"/>
      <c r="TIT367" s="124"/>
      <c r="TIU367" s="124"/>
      <c r="TIV367" s="124"/>
      <c r="TIW367" s="124"/>
      <c r="TIX367" s="124"/>
      <c r="TIY367" s="124"/>
      <c r="TIZ367" s="124"/>
      <c r="TJA367" s="124"/>
      <c r="TJB367" s="124"/>
      <c r="TJC367" s="124"/>
      <c r="TJD367" s="124"/>
      <c r="TJE367" s="124"/>
      <c r="TJF367" s="124"/>
      <c r="TJG367" s="124"/>
      <c r="TJH367" s="124"/>
      <c r="TJI367" s="124"/>
      <c r="TJJ367" s="124"/>
      <c r="TJK367" s="124"/>
      <c r="TJL367" s="124"/>
      <c r="TJM367" s="124"/>
      <c r="TJN367" s="124"/>
      <c r="TJO367" s="124"/>
      <c r="TJP367" s="124"/>
      <c r="TJQ367" s="124"/>
      <c r="TJR367" s="124"/>
      <c r="TJS367" s="124"/>
      <c r="TJT367" s="124"/>
      <c r="TJU367" s="124"/>
      <c r="TJV367" s="124"/>
      <c r="TJW367" s="124"/>
      <c r="TJX367" s="124"/>
      <c r="TJY367" s="124"/>
      <c r="TJZ367" s="124"/>
      <c r="TKA367" s="124"/>
      <c r="TKB367" s="124"/>
      <c r="TKC367" s="124"/>
      <c r="TKD367" s="124"/>
      <c r="TKE367" s="124"/>
      <c r="TKF367" s="124"/>
      <c r="TKG367" s="124"/>
      <c r="TKH367" s="124"/>
      <c r="TKI367" s="124"/>
      <c r="TKJ367" s="124"/>
      <c r="TKK367" s="124"/>
      <c r="TKL367" s="124"/>
      <c r="TKM367" s="124"/>
      <c r="TKN367" s="124"/>
      <c r="TKO367" s="124"/>
      <c r="TKP367" s="124"/>
      <c r="TKQ367" s="124"/>
      <c r="TKR367" s="124"/>
      <c r="TKS367" s="124"/>
      <c r="TKT367" s="124"/>
      <c r="TKU367" s="124"/>
      <c r="TKV367" s="124"/>
      <c r="TKW367" s="124"/>
      <c r="TKX367" s="124"/>
      <c r="TKY367" s="124"/>
      <c r="TKZ367" s="124"/>
      <c r="TLA367" s="124"/>
      <c r="TLB367" s="124"/>
      <c r="TLC367" s="124"/>
      <c r="TLD367" s="124"/>
      <c r="TLE367" s="124"/>
      <c r="TLF367" s="124"/>
      <c r="TLG367" s="124"/>
      <c r="TLH367" s="124"/>
      <c r="TLI367" s="124"/>
      <c r="TLJ367" s="124"/>
      <c r="TLK367" s="124"/>
      <c r="TLL367" s="124"/>
      <c r="TLM367" s="124"/>
      <c r="TLN367" s="124"/>
      <c r="TLO367" s="124"/>
      <c r="TLP367" s="124"/>
      <c r="TLQ367" s="124"/>
      <c r="TLR367" s="124"/>
      <c r="TLS367" s="124"/>
      <c r="TLT367" s="124"/>
      <c r="TLU367" s="124"/>
      <c r="TLV367" s="124"/>
      <c r="TLW367" s="124"/>
      <c r="TLX367" s="124"/>
      <c r="TLY367" s="124"/>
      <c r="TLZ367" s="124"/>
      <c r="TMA367" s="124"/>
      <c r="TMB367" s="124"/>
      <c r="TMC367" s="124"/>
      <c r="TMD367" s="124"/>
      <c r="TME367" s="124"/>
      <c r="TMF367" s="124"/>
      <c r="TMG367" s="124"/>
      <c r="TMH367" s="124"/>
      <c r="TMI367" s="124"/>
      <c r="TMJ367" s="124"/>
      <c r="TMK367" s="124"/>
      <c r="TML367" s="124"/>
      <c r="TMM367" s="124"/>
      <c r="TMN367" s="124"/>
      <c r="TMO367" s="124"/>
      <c r="TMP367" s="124"/>
      <c r="TMQ367" s="124"/>
      <c r="TMR367" s="124"/>
      <c r="TMS367" s="124"/>
      <c r="TMT367" s="124"/>
      <c r="TMU367" s="124"/>
      <c r="TMV367" s="124"/>
      <c r="TMW367" s="124"/>
      <c r="TMX367" s="124"/>
      <c r="TMY367" s="124"/>
      <c r="TMZ367" s="124"/>
      <c r="TNA367" s="124"/>
      <c r="TNB367" s="124"/>
      <c r="TNC367" s="124"/>
      <c r="TND367" s="124"/>
      <c r="TNE367" s="124"/>
      <c r="TNF367" s="124"/>
      <c r="TNG367" s="124"/>
      <c r="TNH367" s="124"/>
      <c r="TNI367" s="124"/>
      <c r="TNJ367" s="124"/>
      <c r="TNK367" s="124"/>
      <c r="TNL367" s="124"/>
      <c r="TNM367" s="124"/>
      <c r="TNN367" s="124"/>
      <c r="TNO367" s="124"/>
      <c r="TNP367" s="124"/>
      <c r="TNQ367" s="124"/>
      <c r="TNR367" s="124"/>
      <c r="TNS367" s="124"/>
      <c r="TNT367" s="124"/>
      <c r="TNU367" s="124"/>
      <c r="TNV367" s="124"/>
      <c r="TNW367" s="124"/>
      <c r="TNX367" s="124"/>
      <c r="TNY367" s="124"/>
      <c r="TNZ367" s="124"/>
      <c r="TOA367" s="124"/>
      <c r="TOB367" s="124"/>
      <c r="TOC367" s="124"/>
      <c r="TOD367" s="124"/>
      <c r="TOE367" s="124"/>
      <c r="TOF367" s="124"/>
      <c r="TOG367" s="124"/>
      <c r="TOH367" s="124"/>
      <c r="TOI367" s="124"/>
      <c r="TOJ367" s="124"/>
      <c r="TOK367" s="124"/>
      <c r="TOL367" s="124"/>
      <c r="TOM367" s="124"/>
      <c r="TON367" s="124"/>
      <c r="TOO367" s="124"/>
      <c r="TOP367" s="124"/>
      <c r="TOQ367" s="124"/>
      <c r="TOR367" s="124"/>
      <c r="TOS367" s="124"/>
      <c r="TOT367" s="124"/>
      <c r="TOU367" s="124"/>
      <c r="TOV367" s="124"/>
      <c r="TOW367" s="124"/>
      <c r="TOX367" s="124"/>
      <c r="TOY367" s="124"/>
      <c r="TOZ367" s="124"/>
      <c r="TPA367" s="124"/>
      <c r="TPB367" s="124"/>
      <c r="TPC367" s="124"/>
      <c r="TPD367" s="124"/>
      <c r="TPE367" s="124"/>
      <c r="TPF367" s="124"/>
      <c r="TPG367" s="124"/>
      <c r="TPH367" s="124"/>
      <c r="TPI367" s="124"/>
      <c r="TPJ367" s="124"/>
      <c r="TPK367" s="124"/>
      <c r="TPL367" s="124"/>
      <c r="TPM367" s="124"/>
      <c r="TPN367" s="124"/>
      <c r="TPO367" s="124"/>
      <c r="TPP367" s="124"/>
      <c r="TPQ367" s="124"/>
      <c r="TPR367" s="124"/>
      <c r="TPS367" s="124"/>
      <c r="TPT367" s="124"/>
      <c r="TPU367" s="124"/>
      <c r="TPV367" s="124"/>
      <c r="TPW367" s="124"/>
      <c r="TPX367" s="124"/>
      <c r="TPY367" s="124"/>
      <c r="TPZ367" s="124"/>
      <c r="TQA367" s="124"/>
      <c r="TQB367" s="124"/>
      <c r="TQC367" s="124"/>
      <c r="TQD367" s="124"/>
      <c r="TQE367" s="124"/>
      <c r="TQF367" s="124"/>
      <c r="TQG367" s="124"/>
      <c r="TQH367" s="124"/>
      <c r="TQI367" s="124"/>
      <c r="TQJ367" s="124"/>
      <c r="TQK367" s="124"/>
      <c r="TQL367" s="124"/>
      <c r="TQM367" s="124"/>
      <c r="TQN367" s="124"/>
      <c r="TQO367" s="124"/>
      <c r="TQP367" s="124"/>
      <c r="TQQ367" s="124"/>
      <c r="TQR367" s="124"/>
      <c r="TQS367" s="124"/>
      <c r="TQT367" s="124"/>
      <c r="TQU367" s="124"/>
      <c r="TQV367" s="124"/>
      <c r="TQW367" s="124"/>
      <c r="TQX367" s="124"/>
      <c r="TQY367" s="124"/>
      <c r="TQZ367" s="124"/>
      <c r="TRA367" s="124"/>
      <c r="TRB367" s="124"/>
      <c r="TRC367" s="124"/>
      <c r="TRD367" s="124"/>
      <c r="TRE367" s="124"/>
      <c r="TRF367" s="124"/>
      <c r="TRG367" s="124"/>
      <c r="TRH367" s="124"/>
      <c r="TRI367" s="124"/>
      <c r="TRJ367" s="124"/>
      <c r="TRK367" s="124"/>
      <c r="TRL367" s="124"/>
      <c r="TRM367" s="124"/>
      <c r="TRN367" s="124"/>
      <c r="TRO367" s="124"/>
      <c r="TRP367" s="124"/>
      <c r="TRQ367" s="124"/>
      <c r="TRR367" s="124"/>
      <c r="TRS367" s="124"/>
      <c r="TRT367" s="124"/>
      <c r="TRU367" s="124"/>
      <c r="TRV367" s="124"/>
      <c r="TRW367" s="124"/>
      <c r="TRX367" s="124"/>
      <c r="TRY367" s="124"/>
      <c r="TRZ367" s="124"/>
      <c r="TSA367" s="124"/>
      <c r="TSB367" s="124"/>
      <c r="TSC367" s="124"/>
      <c r="TSD367" s="124"/>
      <c r="TSE367" s="124"/>
      <c r="TSF367" s="124"/>
      <c r="TSG367" s="124"/>
      <c r="TSH367" s="124"/>
      <c r="TSI367" s="124"/>
      <c r="TSJ367" s="124"/>
      <c r="TSK367" s="124"/>
      <c r="TSL367" s="124"/>
      <c r="TSM367" s="124"/>
      <c r="TSN367" s="124"/>
      <c r="TSO367" s="124"/>
      <c r="TSP367" s="124"/>
      <c r="TSQ367" s="124"/>
      <c r="TSR367" s="124"/>
      <c r="TSS367" s="124"/>
      <c r="TST367" s="124"/>
      <c r="TSU367" s="124"/>
      <c r="TSV367" s="124"/>
      <c r="TSW367" s="124"/>
      <c r="TSX367" s="124"/>
      <c r="TSY367" s="124"/>
      <c r="TSZ367" s="124"/>
      <c r="TTA367" s="124"/>
      <c r="TTB367" s="124"/>
      <c r="TTC367" s="124"/>
      <c r="TTD367" s="124"/>
      <c r="TTE367" s="124"/>
      <c r="TTF367" s="124"/>
      <c r="TTG367" s="124"/>
      <c r="TTH367" s="124"/>
      <c r="TTI367" s="124"/>
      <c r="TTJ367" s="124"/>
      <c r="TTK367" s="124"/>
      <c r="TTL367" s="124"/>
      <c r="TTM367" s="124"/>
      <c r="TTN367" s="124"/>
      <c r="TTO367" s="124"/>
      <c r="TTP367" s="124"/>
      <c r="TTQ367" s="124"/>
      <c r="TTR367" s="124"/>
      <c r="TTS367" s="124"/>
      <c r="TTT367" s="124"/>
      <c r="TTU367" s="124"/>
      <c r="TTV367" s="124"/>
      <c r="TTW367" s="124"/>
      <c r="TTX367" s="124"/>
      <c r="TTY367" s="124"/>
      <c r="TTZ367" s="124"/>
      <c r="TUA367" s="124"/>
      <c r="TUB367" s="124"/>
      <c r="TUC367" s="124"/>
      <c r="TUD367" s="124"/>
      <c r="TUE367" s="124"/>
      <c r="TUF367" s="124"/>
      <c r="TUG367" s="124"/>
      <c r="TUH367" s="124"/>
      <c r="TUI367" s="124"/>
      <c r="TUJ367" s="124"/>
      <c r="TUK367" s="124"/>
      <c r="TUL367" s="124"/>
      <c r="TUM367" s="124"/>
      <c r="TUN367" s="124"/>
      <c r="TUO367" s="124"/>
      <c r="TUP367" s="124"/>
      <c r="TUQ367" s="124"/>
      <c r="TUR367" s="124"/>
      <c r="TUS367" s="124"/>
      <c r="TUT367" s="124"/>
      <c r="TUU367" s="124"/>
      <c r="TUV367" s="124"/>
      <c r="TUW367" s="124"/>
      <c r="TUX367" s="124"/>
      <c r="TUY367" s="124"/>
      <c r="TUZ367" s="124"/>
      <c r="TVA367" s="124"/>
      <c r="TVB367" s="124"/>
      <c r="TVC367" s="124"/>
      <c r="TVD367" s="124"/>
      <c r="TVE367" s="124"/>
      <c r="TVF367" s="124"/>
      <c r="TVG367" s="124"/>
      <c r="TVH367" s="124"/>
      <c r="TVI367" s="124"/>
      <c r="TVJ367" s="124"/>
      <c r="TVK367" s="124"/>
      <c r="TVL367" s="124"/>
      <c r="TVM367" s="124"/>
      <c r="TVN367" s="124"/>
      <c r="TVO367" s="124"/>
      <c r="TVP367" s="124"/>
      <c r="TVQ367" s="124"/>
      <c r="TVR367" s="124"/>
      <c r="TVS367" s="124"/>
      <c r="TVT367" s="124"/>
      <c r="TVU367" s="124"/>
      <c r="TVV367" s="124"/>
      <c r="TVW367" s="124"/>
      <c r="TVX367" s="124"/>
      <c r="TVY367" s="124"/>
      <c r="TVZ367" s="124"/>
      <c r="TWA367" s="124"/>
      <c r="TWB367" s="124"/>
      <c r="TWC367" s="124"/>
      <c r="TWD367" s="124"/>
      <c r="TWE367" s="124"/>
      <c r="TWF367" s="124"/>
      <c r="TWG367" s="124"/>
      <c r="TWH367" s="124"/>
      <c r="TWI367" s="124"/>
      <c r="TWJ367" s="124"/>
      <c r="TWK367" s="124"/>
      <c r="TWL367" s="124"/>
      <c r="TWM367" s="124"/>
      <c r="TWN367" s="124"/>
      <c r="TWO367" s="124"/>
      <c r="TWP367" s="124"/>
      <c r="TWQ367" s="124"/>
      <c r="TWR367" s="124"/>
      <c r="TWS367" s="124"/>
      <c r="TWT367" s="124"/>
      <c r="TWU367" s="124"/>
      <c r="TWV367" s="124"/>
      <c r="TWW367" s="124"/>
      <c r="TWX367" s="124"/>
      <c r="TWY367" s="124"/>
      <c r="TWZ367" s="124"/>
      <c r="TXA367" s="124"/>
      <c r="TXB367" s="124"/>
      <c r="TXC367" s="124"/>
      <c r="TXD367" s="124"/>
      <c r="TXE367" s="124"/>
      <c r="TXF367" s="124"/>
      <c r="TXG367" s="124"/>
      <c r="TXH367" s="124"/>
      <c r="TXI367" s="124"/>
      <c r="TXJ367" s="124"/>
      <c r="TXK367" s="124"/>
      <c r="TXL367" s="124"/>
      <c r="TXM367" s="124"/>
      <c r="TXN367" s="124"/>
      <c r="TXO367" s="124"/>
      <c r="TXP367" s="124"/>
      <c r="TXQ367" s="124"/>
      <c r="TXR367" s="124"/>
      <c r="TXS367" s="124"/>
      <c r="TXT367" s="124"/>
      <c r="TXU367" s="124"/>
      <c r="TXV367" s="124"/>
      <c r="TXW367" s="124"/>
      <c r="TXX367" s="124"/>
      <c r="TXY367" s="124"/>
      <c r="TXZ367" s="124"/>
      <c r="TYA367" s="124"/>
      <c r="TYB367" s="124"/>
      <c r="TYC367" s="124"/>
      <c r="TYD367" s="124"/>
      <c r="TYE367" s="124"/>
      <c r="TYF367" s="124"/>
      <c r="TYG367" s="124"/>
      <c r="TYH367" s="124"/>
      <c r="TYI367" s="124"/>
      <c r="TYJ367" s="124"/>
      <c r="TYK367" s="124"/>
      <c r="TYL367" s="124"/>
      <c r="TYM367" s="124"/>
      <c r="TYN367" s="124"/>
      <c r="TYO367" s="124"/>
      <c r="TYP367" s="124"/>
      <c r="TYQ367" s="124"/>
      <c r="TYR367" s="124"/>
      <c r="TYS367" s="124"/>
      <c r="TYT367" s="124"/>
      <c r="TYU367" s="124"/>
      <c r="TYV367" s="124"/>
      <c r="TYW367" s="124"/>
      <c r="TYX367" s="124"/>
      <c r="TYY367" s="124"/>
      <c r="TYZ367" s="124"/>
      <c r="TZA367" s="124"/>
      <c r="TZB367" s="124"/>
      <c r="TZC367" s="124"/>
      <c r="TZD367" s="124"/>
      <c r="TZE367" s="124"/>
      <c r="TZF367" s="124"/>
      <c r="TZG367" s="124"/>
      <c r="TZH367" s="124"/>
      <c r="TZI367" s="124"/>
      <c r="TZJ367" s="124"/>
      <c r="TZK367" s="124"/>
      <c r="TZL367" s="124"/>
      <c r="TZM367" s="124"/>
      <c r="TZN367" s="124"/>
      <c r="TZO367" s="124"/>
      <c r="TZP367" s="124"/>
      <c r="TZQ367" s="124"/>
      <c r="TZR367" s="124"/>
      <c r="TZS367" s="124"/>
      <c r="TZT367" s="124"/>
      <c r="TZU367" s="124"/>
      <c r="TZV367" s="124"/>
      <c r="TZW367" s="124"/>
      <c r="TZX367" s="124"/>
      <c r="TZY367" s="124"/>
      <c r="TZZ367" s="124"/>
      <c r="UAA367" s="124"/>
      <c r="UAB367" s="124"/>
      <c r="UAC367" s="124"/>
      <c r="UAD367" s="124"/>
      <c r="UAE367" s="124"/>
      <c r="UAF367" s="124"/>
      <c r="UAG367" s="124"/>
      <c r="UAH367" s="124"/>
      <c r="UAI367" s="124"/>
      <c r="UAJ367" s="124"/>
      <c r="UAK367" s="124"/>
      <c r="UAL367" s="124"/>
      <c r="UAM367" s="124"/>
      <c r="UAN367" s="124"/>
      <c r="UAO367" s="124"/>
      <c r="UAP367" s="124"/>
      <c r="UAQ367" s="124"/>
      <c r="UAR367" s="124"/>
      <c r="UAS367" s="124"/>
      <c r="UAT367" s="124"/>
      <c r="UAU367" s="124"/>
      <c r="UAV367" s="124"/>
      <c r="UAW367" s="124"/>
      <c r="UAX367" s="124"/>
      <c r="UAY367" s="124"/>
      <c r="UAZ367" s="124"/>
      <c r="UBA367" s="124"/>
      <c r="UBB367" s="124"/>
      <c r="UBC367" s="124"/>
      <c r="UBD367" s="124"/>
      <c r="UBE367" s="124"/>
      <c r="UBF367" s="124"/>
      <c r="UBG367" s="124"/>
      <c r="UBH367" s="124"/>
      <c r="UBI367" s="124"/>
      <c r="UBJ367" s="124"/>
      <c r="UBK367" s="124"/>
      <c r="UBL367" s="124"/>
      <c r="UBM367" s="124"/>
      <c r="UBN367" s="124"/>
      <c r="UBO367" s="124"/>
      <c r="UBP367" s="124"/>
      <c r="UBQ367" s="124"/>
      <c r="UBR367" s="124"/>
      <c r="UBS367" s="124"/>
      <c r="UBT367" s="124"/>
      <c r="UBU367" s="124"/>
      <c r="UBV367" s="124"/>
      <c r="UBW367" s="124"/>
      <c r="UBX367" s="124"/>
      <c r="UBY367" s="124"/>
      <c r="UBZ367" s="124"/>
      <c r="UCA367" s="124"/>
      <c r="UCB367" s="124"/>
      <c r="UCC367" s="124"/>
      <c r="UCD367" s="124"/>
      <c r="UCE367" s="124"/>
      <c r="UCF367" s="124"/>
      <c r="UCG367" s="124"/>
      <c r="UCH367" s="124"/>
      <c r="UCI367" s="124"/>
      <c r="UCJ367" s="124"/>
      <c r="UCK367" s="124"/>
      <c r="UCL367" s="124"/>
      <c r="UCM367" s="124"/>
      <c r="UCN367" s="124"/>
      <c r="UCO367" s="124"/>
      <c r="UCP367" s="124"/>
      <c r="UCQ367" s="124"/>
      <c r="UCR367" s="124"/>
      <c r="UCS367" s="124"/>
      <c r="UCT367" s="124"/>
      <c r="UCU367" s="124"/>
      <c r="UCV367" s="124"/>
      <c r="UCW367" s="124"/>
      <c r="UCX367" s="124"/>
      <c r="UCY367" s="124"/>
      <c r="UCZ367" s="124"/>
      <c r="UDA367" s="124"/>
      <c r="UDB367" s="124"/>
      <c r="UDC367" s="124"/>
      <c r="UDD367" s="124"/>
      <c r="UDE367" s="124"/>
      <c r="UDF367" s="124"/>
      <c r="UDG367" s="124"/>
      <c r="UDH367" s="124"/>
      <c r="UDI367" s="124"/>
      <c r="UDJ367" s="124"/>
      <c r="UDK367" s="124"/>
      <c r="UDL367" s="124"/>
      <c r="UDM367" s="124"/>
      <c r="UDN367" s="124"/>
      <c r="UDO367" s="124"/>
      <c r="UDP367" s="124"/>
      <c r="UDQ367" s="124"/>
      <c r="UDR367" s="124"/>
      <c r="UDS367" s="124"/>
      <c r="UDT367" s="124"/>
      <c r="UDU367" s="124"/>
      <c r="UDV367" s="124"/>
      <c r="UDW367" s="124"/>
      <c r="UDX367" s="124"/>
      <c r="UDY367" s="124"/>
      <c r="UDZ367" s="124"/>
      <c r="UEA367" s="124"/>
      <c r="UEB367" s="124"/>
      <c r="UEC367" s="124"/>
      <c r="UED367" s="124"/>
      <c r="UEE367" s="124"/>
      <c r="UEF367" s="124"/>
      <c r="UEG367" s="124"/>
      <c r="UEH367" s="124"/>
      <c r="UEI367" s="124"/>
      <c r="UEJ367" s="124"/>
      <c r="UEK367" s="124"/>
      <c r="UEL367" s="124"/>
      <c r="UEM367" s="124"/>
      <c r="UEN367" s="124"/>
      <c r="UEO367" s="124"/>
      <c r="UEP367" s="124"/>
      <c r="UEQ367" s="124"/>
      <c r="UER367" s="124"/>
      <c r="UES367" s="124"/>
      <c r="UET367" s="124"/>
      <c r="UEU367" s="124"/>
      <c r="UEV367" s="124"/>
      <c r="UEW367" s="124"/>
      <c r="UEX367" s="124"/>
      <c r="UEY367" s="124"/>
      <c r="UEZ367" s="124"/>
      <c r="UFA367" s="124"/>
      <c r="UFB367" s="124"/>
      <c r="UFC367" s="124"/>
      <c r="UFD367" s="124"/>
      <c r="UFE367" s="124"/>
      <c r="UFF367" s="124"/>
      <c r="UFG367" s="124"/>
      <c r="UFH367" s="124"/>
      <c r="UFI367" s="124"/>
      <c r="UFJ367" s="124"/>
      <c r="UFK367" s="124"/>
      <c r="UFL367" s="124"/>
      <c r="UFM367" s="124"/>
      <c r="UFN367" s="124"/>
      <c r="UFO367" s="124"/>
      <c r="UFP367" s="124"/>
      <c r="UFQ367" s="124"/>
      <c r="UFR367" s="124"/>
      <c r="UFS367" s="124"/>
      <c r="UFT367" s="124"/>
      <c r="UFU367" s="124"/>
      <c r="UFV367" s="124"/>
      <c r="UFW367" s="124"/>
      <c r="UFX367" s="124"/>
      <c r="UFY367" s="124"/>
      <c r="UFZ367" s="124"/>
      <c r="UGA367" s="124"/>
      <c r="UGB367" s="124"/>
      <c r="UGC367" s="124"/>
      <c r="UGD367" s="124"/>
      <c r="UGE367" s="124"/>
      <c r="UGF367" s="124"/>
      <c r="UGG367" s="124"/>
      <c r="UGH367" s="124"/>
      <c r="UGI367" s="124"/>
      <c r="UGJ367" s="124"/>
      <c r="UGK367" s="124"/>
      <c r="UGL367" s="124"/>
      <c r="UGM367" s="124"/>
      <c r="UGN367" s="124"/>
      <c r="UGO367" s="124"/>
      <c r="UGP367" s="124"/>
      <c r="UGQ367" s="124"/>
      <c r="UGR367" s="124"/>
      <c r="UGS367" s="124"/>
      <c r="UGT367" s="124"/>
      <c r="UGU367" s="124"/>
      <c r="UGV367" s="124"/>
      <c r="UGW367" s="124"/>
      <c r="UGX367" s="124"/>
      <c r="UGY367" s="124"/>
      <c r="UGZ367" s="124"/>
      <c r="UHA367" s="124"/>
      <c r="UHB367" s="124"/>
      <c r="UHC367" s="124"/>
      <c r="UHD367" s="124"/>
      <c r="UHE367" s="124"/>
      <c r="UHF367" s="124"/>
      <c r="UHG367" s="124"/>
      <c r="UHH367" s="124"/>
      <c r="UHI367" s="124"/>
      <c r="UHJ367" s="124"/>
      <c r="UHK367" s="124"/>
      <c r="UHL367" s="124"/>
      <c r="UHM367" s="124"/>
      <c r="UHN367" s="124"/>
      <c r="UHO367" s="124"/>
      <c r="UHP367" s="124"/>
      <c r="UHQ367" s="124"/>
      <c r="UHR367" s="124"/>
      <c r="UHS367" s="124"/>
      <c r="UHT367" s="124"/>
      <c r="UHU367" s="124"/>
      <c r="UHV367" s="124"/>
      <c r="UHW367" s="124"/>
      <c r="UHX367" s="124"/>
      <c r="UHY367" s="124"/>
      <c r="UHZ367" s="124"/>
      <c r="UIA367" s="124"/>
      <c r="UIB367" s="124"/>
      <c r="UIC367" s="124"/>
      <c r="UID367" s="124"/>
      <c r="UIE367" s="124"/>
      <c r="UIF367" s="124"/>
      <c r="UIG367" s="124"/>
      <c r="UIH367" s="124"/>
      <c r="UII367" s="124"/>
      <c r="UIJ367" s="124"/>
      <c r="UIK367" s="124"/>
      <c r="UIL367" s="124"/>
      <c r="UIM367" s="124"/>
      <c r="UIN367" s="124"/>
      <c r="UIO367" s="124"/>
      <c r="UIP367" s="124"/>
      <c r="UIQ367" s="124"/>
      <c r="UIR367" s="124"/>
      <c r="UIS367" s="124"/>
      <c r="UIT367" s="124"/>
      <c r="UIU367" s="124"/>
      <c r="UIV367" s="124"/>
      <c r="UIW367" s="124"/>
      <c r="UIX367" s="124"/>
      <c r="UIY367" s="124"/>
      <c r="UIZ367" s="124"/>
      <c r="UJA367" s="124"/>
      <c r="UJB367" s="124"/>
      <c r="UJC367" s="124"/>
      <c r="UJD367" s="124"/>
      <c r="UJE367" s="124"/>
      <c r="UJF367" s="124"/>
      <c r="UJG367" s="124"/>
      <c r="UJH367" s="124"/>
      <c r="UJI367" s="124"/>
      <c r="UJJ367" s="124"/>
      <c r="UJK367" s="124"/>
      <c r="UJL367" s="124"/>
      <c r="UJM367" s="124"/>
      <c r="UJN367" s="124"/>
      <c r="UJO367" s="124"/>
      <c r="UJP367" s="124"/>
      <c r="UJQ367" s="124"/>
      <c r="UJR367" s="124"/>
      <c r="UJS367" s="124"/>
      <c r="UJT367" s="124"/>
      <c r="UJU367" s="124"/>
      <c r="UJV367" s="124"/>
      <c r="UJW367" s="124"/>
      <c r="UJX367" s="124"/>
      <c r="UJY367" s="124"/>
      <c r="UJZ367" s="124"/>
      <c r="UKA367" s="124"/>
      <c r="UKB367" s="124"/>
      <c r="UKC367" s="124"/>
      <c r="UKD367" s="124"/>
      <c r="UKE367" s="124"/>
      <c r="UKF367" s="124"/>
      <c r="UKG367" s="124"/>
      <c r="UKH367" s="124"/>
      <c r="UKI367" s="124"/>
      <c r="UKJ367" s="124"/>
      <c r="UKK367" s="124"/>
      <c r="UKL367" s="124"/>
      <c r="UKM367" s="124"/>
      <c r="UKN367" s="124"/>
      <c r="UKO367" s="124"/>
      <c r="UKP367" s="124"/>
      <c r="UKQ367" s="124"/>
      <c r="UKR367" s="124"/>
      <c r="UKS367" s="124"/>
      <c r="UKT367" s="124"/>
      <c r="UKU367" s="124"/>
      <c r="UKV367" s="124"/>
      <c r="UKW367" s="124"/>
      <c r="UKX367" s="124"/>
      <c r="UKY367" s="124"/>
      <c r="UKZ367" s="124"/>
      <c r="ULA367" s="124"/>
      <c r="ULB367" s="124"/>
      <c r="ULC367" s="124"/>
      <c r="ULD367" s="124"/>
      <c r="ULE367" s="124"/>
      <c r="ULF367" s="124"/>
      <c r="ULG367" s="124"/>
      <c r="ULH367" s="124"/>
      <c r="ULI367" s="124"/>
      <c r="ULJ367" s="124"/>
      <c r="ULK367" s="124"/>
      <c r="ULL367" s="124"/>
      <c r="ULM367" s="124"/>
      <c r="ULN367" s="124"/>
      <c r="ULO367" s="124"/>
      <c r="ULP367" s="124"/>
      <c r="ULQ367" s="124"/>
      <c r="ULR367" s="124"/>
      <c r="ULS367" s="124"/>
      <c r="ULT367" s="124"/>
      <c r="ULU367" s="124"/>
      <c r="ULV367" s="124"/>
      <c r="ULW367" s="124"/>
      <c r="ULX367" s="124"/>
      <c r="ULY367" s="124"/>
      <c r="ULZ367" s="124"/>
      <c r="UMA367" s="124"/>
      <c r="UMB367" s="124"/>
      <c r="UMC367" s="124"/>
      <c r="UMD367" s="124"/>
      <c r="UME367" s="124"/>
      <c r="UMF367" s="124"/>
      <c r="UMG367" s="124"/>
      <c r="UMH367" s="124"/>
      <c r="UMI367" s="124"/>
      <c r="UMJ367" s="124"/>
      <c r="UMK367" s="124"/>
      <c r="UML367" s="124"/>
      <c r="UMM367" s="124"/>
      <c r="UMN367" s="124"/>
      <c r="UMO367" s="124"/>
      <c r="UMP367" s="124"/>
      <c r="UMQ367" s="124"/>
      <c r="UMR367" s="124"/>
      <c r="UMS367" s="124"/>
      <c r="UMT367" s="124"/>
      <c r="UMU367" s="124"/>
      <c r="UMV367" s="124"/>
      <c r="UMW367" s="124"/>
      <c r="UMX367" s="124"/>
      <c r="UMY367" s="124"/>
      <c r="UMZ367" s="124"/>
      <c r="UNA367" s="124"/>
      <c r="UNB367" s="124"/>
      <c r="UNC367" s="124"/>
      <c r="UND367" s="124"/>
      <c r="UNE367" s="124"/>
      <c r="UNF367" s="124"/>
      <c r="UNG367" s="124"/>
      <c r="UNH367" s="124"/>
      <c r="UNI367" s="124"/>
      <c r="UNJ367" s="124"/>
      <c r="UNK367" s="124"/>
      <c r="UNL367" s="124"/>
      <c r="UNM367" s="124"/>
      <c r="UNN367" s="124"/>
      <c r="UNO367" s="124"/>
      <c r="UNP367" s="124"/>
      <c r="UNQ367" s="124"/>
      <c r="UNR367" s="124"/>
      <c r="UNS367" s="124"/>
      <c r="UNT367" s="124"/>
      <c r="UNU367" s="124"/>
      <c r="UNV367" s="124"/>
      <c r="UNW367" s="124"/>
      <c r="UNX367" s="124"/>
      <c r="UNY367" s="124"/>
      <c r="UNZ367" s="124"/>
      <c r="UOA367" s="124"/>
      <c r="UOB367" s="124"/>
      <c r="UOC367" s="124"/>
      <c r="UOD367" s="124"/>
      <c r="UOE367" s="124"/>
      <c r="UOF367" s="124"/>
      <c r="UOG367" s="124"/>
      <c r="UOH367" s="124"/>
      <c r="UOI367" s="124"/>
      <c r="UOJ367" s="124"/>
      <c r="UOK367" s="124"/>
      <c r="UOL367" s="124"/>
      <c r="UOM367" s="124"/>
      <c r="UON367" s="124"/>
      <c r="UOO367" s="124"/>
      <c r="UOP367" s="124"/>
      <c r="UOQ367" s="124"/>
      <c r="UOR367" s="124"/>
      <c r="UOS367" s="124"/>
      <c r="UOT367" s="124"/>
      <c r="UOU367" s="124"/>
      <c r="UOV367" s="124"/>
      <c r="UOW367" s="124"/>
      <c r="UOX367" s="124"/>
      <c r="UOY367" s="124"/>
      <c r="UOZ367" s="124"/>
      <c r="UPA367" s="124"/>
      <c r="UPB367" s="124"/>
      <c r="UPC367" s="124"/>
      <c r="UPD367" s="124"/>
      <c r="UPE367" s="124"/>
      <c r="UPF367" s="124"/>
      <c r="UPG367" s="124"/>
      <c r="UPH367" s="124"/>
      <c r="UPI367" s="124"/>
      <c r="UPJ367" s="124"/>
      <c r="UPK367" s="124"/>
      <c r="UPL367" s="124"/>
      <c r="UPM367" s="124"/>
      <c r="UPN367" s="124"/>
      <c r="UPO367" s="124"/>
      <c r="UPP367" s="124"/>
      <c r="UPQ367" s="124"/>
      <c r="UPR367" s="124"/>
      <c r="UPS367" s="124"/>
      <c r="UPT367" s="124"/>
      <c r="UPU367" s="124"/>
      <c r="UPV367" s="124"/>
      <c r="UPW367" s="124"/>
      <c r="UPX367" s="124"/>
      <c r="UPY367" s="124"/>
      <c r="UPZ367" s="124"/>
      <c r="UQA367" s="124"/>
      <c r="UQB367" s="124"/>
      <c r="UQC367" s="124"/>
      <c r="UQD367" s="124"/>
      <c r="UQE367" s="124"/>
      <c r="UQF367" s="124"/>
      <c r="UQG367" s="124"/>
      <c r="UQH367" s="124"/>
      <c r="UQI367" s="124"/>
      <c r="UQJ367" s="124"/>
      <c r="UQK367" s="124"/>
      <c r="UQL367" s="124"/>
      <c r="UQM367" s="124"/>
      <c r="UQN367" s="124"/>
      <c r="UQO367" s="124"/>
      <c r="UQP367" s="124"/>
      <c r="UQQ367" s="124"/>
      <c r="UQR367" s="124"/>
      <c r="UQS367" s="124"/>
      <c r="UQT367" s="124"/>
      <c r="UQU367" s="124"/>
      <c r="UQV367" s="124"/>
      <c r="UQW367" s="124"/>
      <c r="UQX367" s="124"/>
      <c r="UQY367" s="124"/>
      <c r="UQZ367" s="124"/>
      <c r="URA367" s="124"/>
      <c r="URB367" s="124"/>
      <c r="URC367" s="124"/>
      <c r="URD367" s="124"/>
      <c r="URE367" s="124"/>
      <c r="URF367" s="124"/>
      <c r="URG367" s="124"/>
      <c r="URH367" s="124"/>
      <c r="URI367" s="124"/>
      <c r="URJ367" s="124"/>
      <c r="URK367" s="124"/>
      <c r="URL367" s="124"/>
      <c r="URM367" s="124"/>
      <c r="URN367" s="124"/>
      <c r="URO367" s="124"/>
      <c r="URP367" s="124"/>
      <c r="URQ367" s="124"/>
      <c r="URR367" s="124"/>
      <c r="URS367" s="124"/>
      <c r="URT367" s="124"/>
      <c r="URU367" s="124"/>
      <c r="URV367" s="124"/>
      <c r="URW367" s="124"/>
      <c r="URX367" s="124"/>
      <c r="URY367" s="124"/>
      <c r="URZ367" s="124"/>
      <c r="USA367" s="124"/>
      <c r="USB367" s="124"/>
      <c r="USC367" s="124"/>
      <c r="USD367" s="124"/>
      <c r="USE367" s="124"/>
      <c r="USF367" s="124"/>
      <c r="USG367" s="124"/>
      <c r="USH367" s="124"/>
      <c r="USI367" s="124"/>
      <c r="USJ367" s="124"/>
      <c r="USK367" s="124"/>
      <c r="USL367" s="124"/>
      <c r="USM367" s="124"/>
      <c r="USN367" s="124"/>
      <c r="USO367" s="124"/>
      <c r="USP367" s="124"/>
      <c r="USQ367" s="124"/>
      <c r="USR367" s="124"/>
      <c r="USS367" s="124"/>
      <c r="UST367" s="124"/>
      <c r="USU367" s="124"/>
      <c r="USV367" s="124"/>
      <c r="USW367" s="124"/>
      <c r="USX367" s="124"/>
      <c r="USY367" s="124"/>
      <c r="USZ367" s="124"/>
      <c r="UTA367" s="124"/>
      <c r="UTB367" s="124"/>
      <c r="UTC367" s="124"/>
      <c r="UTD367" s="124"/>
      <c r="UTE367" s="124"/>
      <c r="UTF367" s="124"/>
      <c r="UTG367" s="124"/>
      <c r="UTH367" s="124"/>
      <c r="UTI367" s="124"/>
      <c r="UTJ367" s="124"/>
      <c r="UTK367" s="124"/>
      <c r="UTL367" s="124"/>
      <c r="UTM367" s="124"/>
      <c r="UTN367" s="124"/>
      <c r="UTO367" s="124"/>
      <c r="UTP367" s="124"/>
      <c r="UTQ367" s="124"/>
      <c r="UTR367" s="124"/>
      <c r="UTS367" s="124"/>
      <c r="UTT367" s="124"/>
      <c r="UTU367" s="124"/>
      <c r="UTV367" s="124"/>
      <c r="UTW367" s="124"/>
      <c r="UTX367" s="124"/>
      <c r="UTY367" s="124"/>
      <c r="UTZ367" s="124"/>
      <c r="UUA367" s="124"/>
      <c r="UUB367" s="124"/>
      <c r="UUC367" s="124"/>
      <c r="UUD367" s="124"/>
      <c r="UUE367" s="124"/>
      <c r="UUF367" s="124"/>
      <c r="UUG367" s="124"/>
      <c r="UUH367" s="124"/>
      <c r="UUI367" s="124"/>
      <c r="UUJ367" s="124"/>
      <c r="UUK367" s="124"/>
      <c r="UUL367" s="124"/>
      <c r="UUM367" s="124"/>
      <c r="UUN367" s="124"/>
      <c r="UUO367" s="124"/>
      <c r="UUP367" s="124"/>
      <c r="UUQ367" s="124"/>
      <c r="UUR367" s="124"/>
      <c r="UUS367" s="124"/>
      <c r="UUT367" s="124"/>
      <c r="UUU367" s="124"/>
      <c r="UUV367" s="124"/>
      <c r="UUW367" s="124"/>
      <c r="UUX367" s="124"/>
      <c r="UUY367" s="124"/>
      <c r="UUZ367" s="124"/>
      <c r="UVA367" s="124"/>
      <c r="UVB367" s="124"/>
      <c r="UVC367" s="124"/>
      <c r="UVD367" s="124"/>
      <c r="UVE367" s="124"/>
      <c r="UVF367" s="124"/>
      <c r="UVG367" s="124"/>
      <c r="UVH367" s="124"/>
      <c r="UVI367" s="124"/>
      <c r="UVJ367" s="124"/>
      <c r="UVK367" s="124"/>
      <c r="UVL367" s="124"/>
      <c r="UVM367" s="124"/>
      <c r="UVN367" s="124"/>
      <c r="UVO367" s="124"/>
      <c r="UVP367" s="124"/>
      <c r="UVQ367" s="124"/>
      <c r="UVR367" s="124"/>
      <c r="UVS367" s="124"/>
      <c r="UVT367" s="124"/>
      <c r="UVU367" s="124"/>
      <c r="UVV367" s="124"/>
      <c r="UVW367" s="124"/>
      <c r="UVX367" s="124"/>
      <c r="UVY367" s="124"/>
      <c r="UVZ367" s="124"/>
      <c r="UWA367" s="124"/>
      <c r="UWB367" s="124"/>
      <c r="UWC367" s="124"/>
      <c r="UWD367" s="124"/>
      <c r="UWE367" s="124"/>
      <c r="UWF367" s="124"/>
      <c r="UWG367" s="124"/>
      <c r="UWH367" s="124"/>
      <c r="UWI367" s="124"/>
      <c r="UWJ367" s="124"/>
      <c r="UWK367" s="124"/>
      <c r="UWL367" s="124"/>
      <c r="UWM367" s="124"/>
      <c r="UWN367" s="124"/>
      <c r="UWO367" s="124"/>
      <c r="UWP367" s="124"/>
      <c r="UWQ367" s="124"/>
      <c r="UWR367" s="124"/>
      <c r="UWS367" s="124"/>
      <c r="UWT367" s="124"/>
      <c r="UWU367" s="124"/>
      <c r="UWV367" s="124"/>
      <c r="UWW367" s="124"/>
      <c r="UWX367" s="124"/>
      <c r="UWY367" s="124"/>
      <c r="UWZ367" s="124"/>
      <c r="UXA367" s="124"/>
      <c r="UXB367" s="124"/>
      <c r="UXC367" s="124"/>
      <c r="UXD367" s="124"/>
      <c r="UXE367" s="124"/>
      <c r="UXF367" s="124"/>
      <c r="UXG367" s="124"/>
      <c r="UXH367" s="124"/>
      <c r="UXI367" s="124"/>
      <c r="UXJ367" s="124"/>
      <c r="UXK367" s="124"/>
      <c r="UXL367" s="124"/>
      <c r="UXM367" s="124"/>
      <c r="UXN367" s="124"/>
      <c r="UXO367" s="124"/>
      <c r="UXP367" s="124"/>
      <c r="UXQ367" s="124"/>
      <c r="UXR367" s="124"/>
      <c r="UXS367" s="124"/>
      <c r="UXT367" s="124"/>
      <c r="UXU367" s="124"/>
      <c r="UXV367" s="124"/>
      <c r="UXW367" s="124"/>
      <c r="UXX367" s="124"/>
      <c r="UXY367" s="124"/>
      <c r="UXZ367" s="124"/>
      <c r="UYA367" s="124"/>
      <c r="UYB367" s="124"/>
      <c r="UYC367" s="124"/>
      <c r="UYD367" s="124"/>
      <c r="UYE367" s="124"/>
      <c r="UYF367" s="124"/>
      <c r="UYG367" s="124"/>
      <c r="UYH367" s="124"/>
      <c r="UYI367" s="124"/>
      <c r="UYJ367" s="124"/>
      <c r="UYK367" s="124"/>
      <c r="UYL367" s="124"/>
      <c r="UYM367" s="124"/>
      <c r="UYN367" s="124"/>
      <c r="UYO367" s="124"/>
      <c r="UYP367" s="124"/>
      <c r="UYQ367" s="124"/>
      <c r="UYR367" s="124"/>
      <c r="UYS367" s="124"/>
      <c r="UYT367" s="124"/>
      <c r="UYU367" s="124"/>
      <c r="UYV367" s="124"/>
      <c r="UYW367" s="124"/>
      <c r="UYX367" s="124"/>
      <c r="UYY367" s="124"/>
      <c r="UYZ367" s="124"/>
      <c r="UZA367" s="124"/>
      <c r="UZB367" s="124"/>
      <c r="UZC367" s="124"/>
      <c r="UZD367" s="124"/>
      <c r="UZE367" s="124"/>
      <c r="UZF367" s="124"/>
      <c r="UZG367" s="124"/>
      <c r="UZH367" s="124"/>
      <c r="UZI367" s="124"/>
      <c r="UZJ367" s="124"/>
      <c r="UZK367" s="124"/>
      <c r="UZL367" s="124"/>
      <c r="UZM367" s="124"/>
      <c r="UZN367" s="124"/>
      <c r="UZO367" s="124"/>
      <c r="UZP367" s="124"/>
      <c r="UZQ367" s="124"/>
      <c r="UZR367" s="124"/>
      <c r="UZS367" s="124"/>
      <c r="UZT367" s="124"/>
      <c r="UZU367" s="124"/>
      <c r="UZV367" s="124"/>
      <c r="UZW367" s="124"/>
      <c r="UZX367" s="124"/>
      <c r="UZY367" s="124"/>
      <c r="UZZ367" s="124"/>
      <c r="VAA367" s="124"/>
      <c r="VAB367" s="124"/>
      <c r="VAC367" s="124"/>
      <c r="VAD367" s="124"/>
      <c r="VAE367" s="124"/>
      <c r="VAF367" s="124"/>
      <c r="VAG367" s="124"/>
      <c r="VAH367" s="124"/>
      <c r="VAI367" s="124"/>
      <c r="VAJ367" s="124"/>
      <c r="VAK367" s="124"/>
      <c r="VAL367" s="124"/>
      <c r="VAM367" s="124"/>
      <c r="VAN367" s="124"/>
      <c r="VAO367" s="124"/>
      <c r="VAP367" s="124"/>
      <c r="VAQ367" s="124"/>
      <c r="VAR367" s="124"/>
      <c r="VAS367" s="124"/>
      <c r="VAT367" s="124"/>
      <c r="VAU367" s="124"/>
      <c r="VAV367" s="124"/>
      <c r="VAW367" s="124"/>
      <c r="VAX367" s="124"/>
      <c r="VAY367" s="124"/>
      <c r="VAZ367" s="124"/>
      <c r="VBA367" s="124"/>
      <c r="VBB367" s="124"/>
      <c r="VBC367" s="124"/>
      <c r="VBD367" s="124"/>
      <c r="VBE367" s="124"/>
      <c r="VBF367" s="124"/>
      <c r="VBG367" s="124"/>
      <c r="VBH367" s="124"/>
      <c r="VBI367" s="124"/>
      <c r="VBJ367" s="124"/>
      <c r="VBK367" s="124"/>
      <c r="VBL367" s="124"/>
      <c r="VBM367" s="124"/>
      <c r="VBN367" s="124"/>
      <c r="VBO367" s="124"/>
      <c r="VBP367" s="124"/>
      <c r="VBQ367" s="124"/>
      <c r="VBR367" s="124"/>
      <c r="VBS367" s="124"/>
      <c r="VBT367" s="124"/>
      <c r="VBU367" s="124"/>
      <c r="VBV367" s="124"/>
      <c r="VBW367" s="124"/>
      <c r="VBX367" s="124"/>
      <c r="VBY367" s="124"/>
      <c r="VBZ367" s="124"/>
      <c r="VCA367" s="124"/>
      <c r="VCB367" s="124"/>
      <c r="VCC367" s="124"/>
      <c r="VCD367" s="124"/>
      <c r="VCE367" s="124"/>
      <c r="VCF367" s="124"/>
      <c r="VCG367" s="124"/>
      <c r="VCH367" s="124"/>
      <c r="VCI367" s="124"/>
      <c r="VCJ367" s="124"/>
      <c r="VCK367" s="124"/>
      <c r="VCL367" s="124"/>
      <c r="VCM367" s="124"/>
      <c r="VCN367" s="124"/>
      <c r="VCO367" s="124"/>
      <c r="VCP367" s="124"/>
      <c r="VCQ367" s="124"/>
      <c r="VCR367" s="124"/>
      <c r="VCS367" s="124"/>
      <c r="VCT367" s="124"/>
      <c r="VCU367" s="124"/>
      <c r="VCV367" s="124"/>
      <c r="VCW367" s="124"/>
      <c r="VCX367" s="124"/>
      <c r="VCY367" s="124"/>
      <c r="VCZ367" s="124"/>
      <c r="VDA367" s="124"/>
      <c r="VDB367" s="124"/>
      <c r="VDC367" s="124"/>
      <c r="VDD367" s="124"/>
      <c r="VDE367" s="124"/>
      <c r="VDF367" s="124"/>
      <c r="VDG367" s="124"/>
      <c r="VDH367" s="124"/>
      <c r="VDI367" s="124"/>
      <c r="VDJ367" s="124"/>
      <c r="VDK367" s="124"/>
      <c r="VDL367" s="124"/>
      <c r="VDM367" s="124"/>
      <c r="VDN367" s="124"/>
      <c r="VDO367" s="124"/>
      <c r="VDP367" s="124"/>
      <c r="VDQ367" s="124"/>
      <c r="VDR367" s="124"/>
      <c r="VDS367" s="124"/>
      <c r="VDT367" s="124"/>
      <c r="VDU367" s="124"/>
      <c r="VDV367" s="124"/>
      <c r="VDW367" s="124"/>
      <c r="VDX367" s="124"/>
      <c r="VDY367" s="124"/>
      <c r="VDZ367" s="124"/>
      <c r="VEA367" s="124"/>
      <c r="VEB367" s="124"/>
      <c r="VEC367" s="124"/>
      <c r="VED367" s="124"/>
      <c r="VEE367" s="124"/>
      <c r="VEF367" s="124"/>
      <c r="VEG367" s="124"/>
      <c r="VEH367" s="124"/>
      <c r="VEI367" s="124"/>
      <c r="VEJ367" s="124"/>
      <c r="VEK367" s="124"/>
      <c r="VEL367" s="124"/>
      <c r="VEM367" s="124"/>
      <c r="VEN367" s="124"/>
      <c r="VEO367" s="124"/>
      <c r="VEP367" s="124"/>
      <c r="VEQ367" s="124"/>
      <c r="VER367" s="124"/>
      <c r="VES367" s="124"/>
      <c r="VET367" s="124"/>
      <c r="VEU367" s="124"/>
      <c r="VEV367" s="124"/>
      <c r="VEW367" s="124"/>
      <c r="VEX367" s="124"/>
      <c r="VEY367" s="124"/>
      <c r="VEZ367" s="124"/>
      <c r="VFA367" s="124"/>
      <c r="VFB367" s="124"/>
      <c r="VFC367" s="124"/>
      <c r="VFD367" s="124"/>
      <c r="VFE367" s="124"/>
      <c r="VFF367" s="124"/>
      <c r="VFG367" s="124"/>
      <c r="VFH367" s="124"/>
      <c r="VFI367" s="124"/>
      <c r="VFJ367" s="124"/>
      <c r="VFK367" s="124"/>
      <c r="VFL367" s="124"/>
      <c r="VFM367" s="124"/>
      <c r="VFN367" s="124"/>
      <c r="VFO367" s="124"/>
      <c r="VFP367" s="124"/>
      <c r="VFQ367" s="124"/>
      <c r="VFR367" s="124"/>
      <c r="VFS367" s="124"/>
      <c r="VFT367" s="124"/>
      <c r="VFU367" s="124"/>
      <c r="VFV367" s="124"/>
      <c r="VFW367" s="124"/>
      <c r="VFX367" s="124"/>
      <c r="VFY367" s="124"/>
      <c r="VFZ367" s="124"/>
      <c r="VGA367" s="124"/>
      <c r="VGB367" s="124"/>
      <c r="VGC367" s="124"/>
      <c r="VGD367" s="124"/>
      <c r="VGE367" s="124"/>
      <c r="VGF367" s="124"/>
      <c r="VGG367" s="124"/>
      <c r="VGH367" s="124"/>
      <c r="VGI367" s="124"/>
      <c r="VGJ367" s="124"/>
      <c r="VGK367" s="124"/>
      <c r="VGL367" s="124"/>
      <c r="VGM367" s="124"/>
      <c r="VGN367" s="124"/>
      <c r="VGO367" s="124"/>
      <c r="VGP367" s="124"/>
      <c r="VGQ367" s="124"/>
      <c r="VGR367" s="124"/>
      <c r="VGS367" s="124"/>
      <c r="VGT367" s="124"/>
      <c r="VGU367" s="124"/>
      <c r="VGV367" s="124"/>
      <c r="VGW367" s="124"/>
      <c r="VGX367" s="124"/>
      <c r="VGY367" s="124"/>
      <c r="VGZ367" s="124"/>
      <c r="VHA367" s="124"/>
      <c r="VHB367" s="124"/>
      <c r="VHC367" s="124"/>
      <c r="VHD367" s="124"/>
      <c r="VHE367" s="124"/>
      <c r="VHF367" s="124"/>
      <c r="VHG367" s="124"/>
      <c r="VHH367" s="124"/>
      <c r="VHI367" s="124"/>
      <c r="VHJ367" s="124"/>
      <c r="VHK367" s="124"/>
      <c r="VHL367" s="124"/>
      <c r="VHM367" s="124"/>
      <c r="VHN367" s="124"/>
      <c r="VHO367" s="124"/>
      <c r="VHP367" s="124"/>
      <c r="VHQ367" s="124"/>
      <c r="VHR367" s="124"/>
      <c r="VHS367" s="124"/>
      <c r="VHT367" s="124"/>
      <c r="VHU367" s="124"/>
      <c r="VHV367" s="124"/>
      <c r="VHW367" s="124"/>
      <c r="VHX367" s="124"/>
      <c r="VHY367" s="124"/>
      <c r="VHZ367" s="124"/>
      <c r="VIA367" s="124"/>
      <c r="VIB367" s="124"/>
      <c r="VIC367" s="124"/>
      <c r="VID367" s="124"/>
      <c r="VIE367" s="124"/>
      <c r="VIF367" s="124"/>
      <c r="VIG367" s="124"/>
      <c r="VIH367" s="124"/>
      <c r="VII367" s="124"/>
      <c r="VIJ367" s="124"/>
      <c r="VIK367" s="124"/>
      <c r="VIL367" s="124"/>
      <c r="VIM367" s="124"/>
      <c r="VIN367" s="124"/>
      <c r="VIO367" s="124"/>
      <c r="VIP367" s="124"/>
      <c r="VIQ367" s="124"/>
      <c r="VIR367" s="124"/>
      <c r="VIS367" s="124"/>
      <c r="VIT367" s="124"/>
      <c r="VIU367" s="124"/>
      <c r="VIV367" s="124"/>
      <c r="VIW367" s="124"/>
      <c r="VIX367" s="124"/>
      <c r="VIY367" s="124"/>
      <c r="VIZ367" s="124"/>
      <c r="VJA367" s="124"/>
      <c r="VJB367" s="124"/>
      <c r="VJC367" s="124"/>
      <c r="VJD367" s="124"/>
      <c r="VJE367" s="124"/>
      <c r="VJF367" s="124"/>
      <c r="VJG367" s="124"/>
      <c r="VJH367" s="124"/>
      <c r="VJI367" s="124"/>
      <c r="VJJ367" s="124"/>
      <c r="VJK367" s="124"/>
      <c r="VJL367" s="124"/>
      <c r="VJM367" s="124"/>
      <c r="VJN367" s="124"/>
      <c r="VJO367" s="124"/>
      <c r="VJP367" s="124"/>
      <c r="VJQ367" s="124"/>
      <c r="VJR367" s="124"/>
      <c r="VJS367" s="124"/>
      <c r="VJT367" s="124"/>
      <c r="VJU367" s="124"/>
      <c r="VJV367" s="124"/>
      <c r="VJW367" s="124"/>
      <c r="VJX367" s="124"/>
      <c r="VJY367" s="124"/>
      <c r="VJZ367" s="124"/>
      <c r="VKA367" s="124"/>
      <c r="VKB367" s="124"/>
      <c r="VKC367" s="124"/>
      <c r="VKD367" s="124"/>
      <c r="VKE367" s="124"/>
      <c r="VKF367" s="124"/>
      <c r="VKG367" s="124"/>
      <c r="VKH367" s="124"/>
      <c r="VKI367" s="124"/>
      <c r="VKJ367" s="124"/>
      <c r="VKK367" s="124"/>
      <c r="VKL367" s="124"/>
      <c r="VKM367" s="124"/>
      <c r="VKN367" s="124"/>
      <c r="VKO367" s="124"/>
      <c r="VKP367" s="124"/>
      <c r="VKQ367" s="124"/>
      <c r="VKR367" s="124"/>
      <c r="VKS367" s="124"/>
      <c r="VKT367" s="124"/>
      <c r="VKU367" s="124"/>
      <c r="VKV367" s="124"/>
      <c r="VKW367" s="124"/>
      <c r="VKX367" s="124"/>
      <c r="VKY367" s="124"/>
      <c r="VKZ367" s="124"/>
      <c r="VLA367" s="124"/>
      <c r="VLB367" s="124"/>
      <c r="VLC367" s="124"/>
      <c r="VLD367" s="124"/>
      <c r="VLE367" s="124"/>
      <c r="VLF367" s="124"/>
      <c r="VLG367" s="124"/>
      <c r="VLH367" s="124"/>
      <c r="VLI367" s="124"/>
      <c r="VLJ367" s="124"/>
      <c r="VLK367" s="124"/>
      <c r="VLL367" s="124"/>
      <c r="VLM367" s="124"/>
      <c r="VLN367" s="124"/>
      <c r="VLO367" s="124"/>
      <c r="VLP367" s="124"/>
      <c r="VLQ367" s="124"/>
      <c r="VLR367" s="124"/>
      <c r="VLS367" s="124"/>
      <c r="VLT367" s="124"/>
      <c r="VLU367" s="124"/>
      <c r="VLV367" s="124"/>
      <c r="VLW367" s="124"/>
      <c r="VLX367" s="124"/>
      <c r="VLY367" s="124"/>
      <c r="VLZ367" s="124"/>
      <c r="VMA367" s="124"/>
      <c r="VMB367" s="124"/>
      <c r="VMC367" s="124"/>
      <c r="VMD367" s="124"/>
      <c r="VME367" s="124"/>
      <c r="VMF367" s="124"/>
      <c r="VMG367" s="124"/>
      <c r="VMH367" s="124"/>
      <c r="VMI367" s="124"/>
      <c r="VMJ367" s="124"/>
      <c r="VMK367" s="124"/>
      <c r="VML367" s="124"/>
      <c r="VMM367" s="124"/>
      <c r="VMN367" s="124"/>
      <c r="VMO367" s="124"/>
      <c r="VMP367" s="124"/>
      <c r="VMQ367" s="124"/>
      <c r="VMR367" s="124"/>
      <c r="VMS367" s="124"/>
      <c r="VMT367" s="124"/>
      <c r="VMU367" s="124"/>
      <c r="VMV367" s="124"/>
      <c r="VMW367" s="124"/>
      <c r="VMX367" s="124"/>
      <c r="VMY367" s="124"/>
      <c r="VMZ367" s="124"/>
      <c r="VNA367" s="124"/>
      <c r="VNB367" s="124"/>
      <c r="VNC367" s="124"/>
      <c r="VND367" s="124"/>
      <c r="VNE367" s="124"/>
      <c r="VNF367" s="124"/>
      <c r="VNG367" s="124"/>
      <c r="VNH367" s="124"/>
      <c r="VNI367" s="124"/>
      <c r="VNJ367" s="124"/>
      <c r="VNK367" s="124"/>
      <c r="VNL367" s="124"/>
      <c r="VNM367" s="124"/>
      <c r="VNN367" s="124"/>
      <c r="VNO367" s="124"/>
      <c r="VNP367" s="124"/>
      <c r="VNQ367" s="124"/>
      <c r="VNR367" s="124"/>
      <c r="VNS367" s="124"/>
      <c r="VNT367" s="124"/>
      <c r="VNU367" s="124"/>
      <c r="VNV367" s="124"/>
      <c r="VNW367" s="124"/>
      <c r="VNX367" s="124"/>
      <c r="VNY367" s="124"/>
      <c r="VNZ367" s="124"/>
      <c r="VOA367" s="124"/>
      <c r="VOB367" s="124"/>
      <c r="VOC367" s="124"/>
      <c r="VOD367" s="124"/>
      <c r="VOE367" s="124"/>
      <c r="VOF367" s="124"/>
      <c r="VOG367" s="124"/>
      <c r="VOH367" s="124"/>
      <c r="VOI367" s="124"/>
      <c r="VOJ367" s="124"/>
      <c r="VOK367" s="124"/>
      <c r="VOL367" s="124"/>
      <c r="VOM367" s="124"/>
      <c r="VON367" s="124"/>
      <c r="VOO367" s="124"/>
      <c r="VOP367" s="124"/>
      <c r="VOQ367" s="124"/>
      <c r="VOR367" s="124"/>
      <c r="VOS367" s="124"/>
      <c r="VOT367" s="124"/>
      <c r="VOU367" s="124"/>
      <c r="VOV367" s="124"/>
      <c r="VOW367" s="124"/>
      <c r="VOX367" s="124"/>
      <c r="VOY367" s="124"/>
      <c r="VOZ367" s="124"/>
      <c r="VPA367" s="124"/>
      <c r="VPB367" s="124"/>
      <c r="VPC367" s="124"/>
      <c r="VPD367" s="124"/>
      <c r="VPE367" s="124"/>
      <c r="VPF367" s="124"/>
      <c r="VPG367" s="124"/>
      <c r="VPH367" s="124"/>
      <c r="VPI367" s="124"/>
      <c r="VPJ367" s="124"/>
      <c r="VPK367" s="124"/>
      <c r="VPL367" s="124"/>
      <c r="VPM367" s="124"/>
      <c r="VPN367" s="124"/>
      <c r="VPO367" s="124"/>
      <c r="VPP367" s="124"/>
      <c r="VPQ367" s="124"/>
      <c r="VPR367" s="124"/>
      <c r="VPS367" s="124"/>
      <c r="VPT367" s="124"/>
      <c r="VPU367" s="124"/>
      <c r="VPV367" s="124"/>
      <c r="VPW367" s="124"/>
      <c r="VPX367" s="124"/>
      <c r="VPY367" s="124"/>
      <c r="VPZ367" s="124"/>
      <c r="VQA367" s="124"/>
      <c r="VQB367" s="124"/>
      <c r="VQC367" s="124"/>
      <c r="VQD367" s="124"/>
      <c r="VQE367" s="124"/>
      <c r="VQF367" s="124"/>
      <c r="VQG367" s="124"/>
      <c r="VQH367" s="124"/>
      <c r="VQI367" s="124"/>
      <c r="VQJ367" s="124"/>
      <c r="VQK367" s="124"/>
      <c r="VQL367" s="124"/>
      <c r="VQM367" s="124"/>
      <c r="VQN367" s="124"/>
      <c r="VQO367" s="124"/>
      <c r="VQP367" s="124"/>
      <c r="VQQ367" s="124"/>
      <c r="VQR367" s="124"/>
      <c r="VQS367" s="124"/>
      <c r="VQT367" s="124"/>
      <c r="VQU367" s="124"/>
      <c r="VQV367" s="124"/>
      <c r="VQW367" s="124"/>
      <c r="VQX367" s="124"/>
      <c r="VQY367" s="124"/>
      <c r="VQZ367" s="124"/>
      <c r="VRA367" s="124"/>
      <c r="VRB367" s="124"/>
      <c r="VRC367" s="124"/>
      <c r="VRD367" s="124"/>
      <c r="VRE367" s="124"/>
      <c r="VRF367" s="124"/>
      <c r="VRG367" s="124"/>
      <c r="VRH367" s="124"/>
      <c r="VRI367" s="124"/>
      <c r="VRJ367" s="124"/>
      <c r="VRK367" s="124"/>
      <c r="VRL367" s="124"/>
      <c r="VRM367" s="124"/>
      <c r="VRN367" s="124"/>
      <c r="VRO367" s="124"/>
      <c r="VRP367" s="124"/>
      <c r="VRQ367" s="124"/>
      <c r="VRR367" s="124"/>
      <c r="VRS367" s="124"/>
      <c r="VRT367" s="124"/>
      <c r="VRU367" s="124"/>
      <c r="VRV367" s="124"/>
      <c r="VRW367" s="124"/>
      <c r="VRX367" s="124"/>
      <c r="VRY367" s="124"/>
      <c r="VRZ367" s="124"/>
      <c r="VSA367" s="124"/>
      <c r="VSB367" s="124"/>
      <c r="VSC367" s="124"/>
      <c r="VSD367" s="124"/>
      <c r="VSE367" s="124"/>
      <c r="VSF367" s="124"/>
      <c r="VSG367" s="124"/>
      <c r="VSH367" s="124"/>
      <c r="VSI367" s="124"/>
      <c r="VSJ367" s="124"/>
      <c r="VSK367" s="124"/>
      <c r="VSL367" s="124"/>
      <c r="VSM367" s="124"/>
      <c r="VSN367" s="124"/>
      <c r="VSO367" s="124"/>
      <c r="VSP367" s="124"/>
      <c r="VSQ367" s="124"/>
      <c r="VSR367" s="124"/>
      <c r="VSS367" s="124"/>
      <c r="VST367" s="124"/>
      <c r="VSU367" s="124"/>
      <c r="VSV367" s="124"/>
      <c r="VSW367" s="124"/>
      <c r="VSX367" s="124"/>
      <c r="VSY367" s="124"/>
      <c r="VSZ367" s="124"/>
      <c r="VTA367" s="124"/>
      <c r="VTB367" s="124"/>
      <c r="VTC367" s="124"/>
      <c r="VTD367" s="124"/>
      <c r="VTE367" s="124"/>
      <c r="VTF367" s="124"/>
      <c r="VTG367" s="124"/>
      <c r="VTH367" s="124"/>
      <c r="VTI367" s="124"/>
      <c r="VTJ367" s="124"/>
      <c r="VTK367" s="124"/>
      <c r="VTL367" s="124"/>
      <c r="VTM367" s="124"/>
      <c r="VTN367" s="124"/>
      <c r="VTO367" s="124"/>
      <c r="VTP367" s="124"/>
      <c r="VTQ367" s="124"/>
      <c r="VTR367" s="124"/>
      <c r="VTS367" s="124"/>
      <c r="VTT367" s="124"/>
      <c r="VTU367" s="124"/>
      <c r="VTV367" s="124"/>
      <c r="VTW367" s="124"/>
      <c r="VTX367" s="124"/>
      <c r="VTY367" s="124"/>
      <c r="VTZ367" s="124"/>
      <c r="VUA367" s="124"/>
      <c r="VUB367" s="124"/>
      <c r="VUC367" s="124"/>
      <c r="VUD367" s="124"/>
      <c r="VUE367" s="124"/>
      <c r="VUF367" s="124"/>
      <c r="VUG367" s="124"/>
      <c r="VUH367" s="124"/>
      <c r="VUI367" s="124"/>
      <c r="VUJ367" s="124"/>
      <c r="VUK367" s="124"/>
      <c r="VUL367" s="124"/>
      <c r="VUM367" s="124"/>
      <c r="VUN367" s="124"/>
      <c r="VUO367" s="124"/>
      <c r="VUP367" s="124"/>
      <c r="VUQ367" s="124"/>
      <c r="VUR367" s="124"/>
      <c r="VUS367" s="124"/>
      <c r="VUT367" s="124"/>
      <c r="VUU367" s="124"/>
      <c r="VUV367" s="124"/>
      <c r="VUW367" s="124"/>
      <c r="VUX367" s="124"/>
      <c r="VUY367" s="124"/>
      <c r="VUZ367" s="124"/>
      <c r="VVA367" s="124"/>
      <c r="VVB367" s="124"/>
      <c r="VVC367" s="124"/>
      <c r="VVD367" s="124"/>
      <c r="VVE367" s="124"/>
      <c r="VVF367" s="124"/>
      <c r="VVG367" s="124"/>
      <c r="VVH367" s="124"/>
      <c r="VVI367" s="124"/>
      <c r="VVJ367" s="124"/>
      <c r="VVK367" s="124"/>
      <c r="VVL367" s="124"/>
      <c r="VVM367" s="124"/>
      <c r="VVN367" s="124"/>
      <c r="VVO367" s="124"/>
      <c r="VVP367" s="124"/>
      <c r="VVQ367" s="124"/>
      <c r="VVR367" s="124"/>
      <c r="VVS367" s="124"/>
      <c r="VVT367" s="124"/>
      <c r="VVU367" s="124"/>
      <c r="VVV367" s="124"/>
      <c r="VVW367" s="124"/>
      <c r="VVX367" s="124"/>
      <c r="VVY367" s="124"/>
      <c r="VVZ367" s="124"/>
      <c r="VWA367" s="124"/>
      <c r="VWB367" s="124"/>
      <c r="VWC367" s="124"/>
      <c r="VWD367" s="124"/>
      <c r="VWE367" s="124"/>
      <c r="VWF367" s="124"/>
      <c r="VWG367" s="124"/>
      <c r="VWH367" s="124"/>
      <c r="VWI367" s="124"/>
      <c r="VWJ367" s="124"/>
      <c r="VWK367" s="124"/>
      <c r="VWL367" s="124"/>
      <c r="VWM367" s="124"/>
      <c r="VWN367" s="124"/>
      <c r="VWO367" s="124"/>
      <c r="VWP367" s="124"/>
      <c r="VWQ367" s="124"/>
      <c r="VWR367" s="124"/>
      <c r="VWS367" s="124"/>
      <c r="VWT367" s="124"/>
      <c r="VWU367" s="124"/>
      <c r="VWV367" s="124"/>
      <c r="VWW367" s="124"/>
      <c r="VWX367" s="124"/>
      <c r="VWY367" s="124"/>
      <c r="VWZ367" s="124"/>
      <c r="VXA367" s="124"/>
      <c r="VXB367" s="124"/>
      <c r="VXC367" s="124"/>
      <c r="VXD367" s="124"/>
      <c r="VXE367" s="124"/>
      <c r="VXF367" s="124"/>
      <c r="VXG367" s="124"/>
      <c r="VXH367" s="124"/>
      <c r="VXI367" s="124"/>
      <c r="VXJ367" s="124"/>
      <c r="VXK367" s="124"/>
      <c r="VXL367" s="124"/>
      <c r="VXM367" s="124"/>
      <c r="VXN367" s="124"/>
      <c r="VXO367" s="124"/>
      <c r="VXP367" s="124"/>
      <c r="VXQ367" s="124"/>
      <c r="VXR367" s="124"/>
      <c r="VXS367" s="124"/>
      <c r="VXT367" s="124"/>
      <c r="VXU367" s="124"/>
      <c r="VXV367" s="124"/>
      <c r="VXW367" s="124"/>
      <c r="VXX367" s="124"/>
      <c r="VXY367" s="124"/>
      <c r="VXZ367" s="124"/>
      <c r="VYA367" s="124"/>
      <c r="VYB367" s="124"/>
      <c r="VYC367" s="124"/>
      <c r="VYD367" s="124"/>
      <c r="VYE367" s="124"/>
      <c r="VYF367" s="124"/>
      <c r="VYG367" s="124"/>
      <c r="VYH367" s="124"/>
      <c r="VYI367" s="124"/>
      <c r="VYJ367" s="124"/>
      <c r="VYK367" s="124"/>
      <c r="VYL367" s="124"/>
      <c r="VYM367" s="124"/>
      <c r="VYN367" s="124"/>
      <c r="VYO367" s="124"/>
      <c r="VYP367" s="124"/>
      <c r="VYQ367" s="124"/>
      <c r="VYR367" s="124"/>
      <c r="VYS367" s="124"/>
      <c r="VYT367" s="124"/>
      <c r="VYU367" s="124"/>
      <c r="VYV367" s="124"/>
      <c r="VYW367" s="124"/>
      <c r="VYX367" s="124"/>
      <c r="VYY367" s="124"/>
      <c r="VYZ367" s="124"/>
      <c r="VZA367" s="124"/>
      <c r="VZB367" s="124"/>
      <c r="VZC367" s="124"/>
      <c r="VZD367" s="124"/>
      <c r="VZE367" s="124"/>
      <c r="VZF367" s="124"/>
      <c r="VZG367" s="124"/>
      <c r="VZH367" s="124"/>
      <c r="VZI367" s="124"/>
      <c r="VZJ367" s="124"/>
      <c r="VZK367" s="124"/>
      <c r="VZL367" s="124"/>
      <c r="VZM367" s="124"/>
      <c r="VZN367" s="124"/>
      <c r="VZO367" s="124"/>
      <c r="VZP367" s="124"/>
      <c r="VZQ367" s="124"/>
      <c r="VZR367" s="124"/>
      <c r="VZS367" s="124"/>
      <c r="VZT367" s="124"/>
      <c r="VZU367" s="124"/>
      <c r="VZV367" s="124"/>
      <c r="VZW367" s="124"/>
      <c r="VZX367" s="124"/>
      <c r="VZY367" s="124"/>
      <c r="VZZ367" s="124"/>
      <c r="WAA367" s="124"/>
      <c r="WAB367" s="124"/>
      <c r="WAC367" s="124"/>
      <c r="WAD367" s="124"/>
      <c r="WAE367" s="124"/>
      <c r="WAF367" s="124"/>
      <c r="WAG367" s="124"/>
      <c r="WAH367" s="124"/>
      <c r="WAI367" s="124"/>
      <c r="WAJ367" s="124"/>
      <c r="WAK367" s="124"/>
      <c r="WAL367" s="124"/>
      <c r="WAM367" s="124"/>
      <c r="WAN367" s="124"/>
      <c r="WAO367" s="124"/>
      <c r="WAP367" s="124"/>
      <c r="WAQ367" s="124"/>
      <c r="WAR367" s="124"/>
      <c r="WAS367" s="124"/>
      <c r="WAT367" s="124"/>
      <c r="WAU367" s="124"/>
      <c r="WAV367" s="124"/>
      <c r="WAW367" s="124"/>
      <c r="WAX367" s="124"/>
      <c r="WAY367" s="124"/>
      <c r="WAZ367" s="124"/>
      <c r="WBA367" s="124"/>
      <c r="WBB367" s="124"/>
      <c r="WBC367" s="124"/>
      <c r="WBD367" s="124"/>
      <c r="WBE367" s="124"/>
      <c r="WBF367" s="124"/>
      <c r="WBG367" s="124"/>
      <c r="WBH367" s="124"/>
      <c r="WBI367" s="124"/>
      <c r="WBJ367" s="124"/>
      <c r="WBK367" s="124"/>
      <c r="WBL367" s="124"/>
      <c r="WBM367" s="124"/>
      <c r="WBN367" s="124"/>
      <c r="WBO367" s="124"/>
      <c r="WBP367" s="124"/>
      <c r="WBQ367" s="124"/>
      <c r="WBR367" s="124"/>
      <c r="WBS367" s="124"/>
      <c r="WBT367" s="124"/>
      <c r="WBU367" s="124"/>
      <c r="WBV367" s="124"/>
      <c r="WBW367" s="124"/>
      <c r="WBX367" s="124"/>
      <c r="WBY367" s="124"/>
      <c r="WBZ367" s="124"/>
      <c r="WCA367" s="124"/>
      <c r="WCB367" s="124"/>
      <c r="WCC367" s="124"/>
      <c r="WCD367" s="124"/>
      <c r="WCE367" s="124"/>
      <c r="WCF367" s="124"/>
      <c r="WCG367" s="124"/>
      <c r="WCH367" s="124"/>
      <c r="WCI367" s="124"/>
      <c r="WCJ367" s="124"/>
      <c r="WCK367" s="124"/>
      <c r="WCL367" s="124"/>
      <c r="WCM367" s="124"/>
      <c r="WCN367" s="124"/>
      <c r="WCO367" s="124"/>
      <c r="WCP367" s="124"/>
      <c r="WCQ367" s="124"/>
      <c r="WCR367" s="124"/>
      <c r="WCS367" s="124"/>
      <c r="WCT367" s="124"/>
      <c r="WCU367" s="124"/>
      <c r="WCV367" s="124"/>
      <c r="WCW367" s="124"/>
      <c r="WCX367" s="124"/>
      <c r="WCY367" s="124"/>
      <c r="WCZ367" s="124"/>
      <c r="WDA367" s="124"/>
      <c r="WDB367" s="124"/>
      <c r="WDC367" s="124"/>
      <c r="WDD367" s="124"/>
      <c r="WDE367" s="124"/>
      <c r="WDF367" s="124"/>
      <c r="WDG367" s="124"/>
      <c r="WDH367" s="124"/>
      <c r="WDI367" s="124"/>
      <c r="WDJ367" s="124"/>
      <c r="WDK367" s="124"/>
      <c r="WDL367" s="124"/>
      <c r="WDM367" s="124"/>
      <c r="WDN367" s="124"/>
      <c r="WDO367" s="124"/>
      <c r="WDP367" s="124"/>
      <c r="WDQ367" s="124"/>
      <c r="WDR367" s="124"/>
      <c r="WDS367" s="124"/>
      <c r="WDT367" s="124"/>
      <c r="WDU367" s="124"/>
      <c r="WDV367" s="124"/>
      <c r="WDW367" s="124"/>
      <c r="WDX367" s="124"/>
      <c r="WDY367" s="124"/>
      <c r="WDZ367" s="124"/>
      <c r="WEA367" s="124"/>
      <c r="WEB367" s="124"/>
      <c r="WEC367" s="124"/>
      <c r="WED367" s="124"/>
      <c r="WEE367" s="124"/>
      <c r="WEF367" s="124"/>
      <c r="WEG367" s="124"/>
      <c r="WEH367" s="124"/>
      <c r="WEI367" s="124"/>
      <c r="WEJ367" s="124"/>
      <c r="WEK367" s="124"/>
      <c r="WEL367" s="124"/>
      <c r="WEM367" s="124"/>
      <c r="WEN367" s="124"/>
      <c r="WEO367" s="124"/>
      <c r="WEP367" s="124"/>
      <c r="WEQ367" s="124"/>
      <c r="WER367" s="124"/>
      <c r="WES367" s="124"/>
      <c r="WET367" s="124"/>
      <c r="WEU367" s="124"/>
      <c r="WEV367" s="124"/>
      <c r="WEW367" s="124"/>
      <c r="WEX367" s="124"/>
      <c r="WEY367" s="124"/>
      <c r="WEZ367" s="124"/>
      <c r="WFA367" s="124"/>
      <c r="WFB367" s="124"/>
      <c r="WFC367" s="124"/>
      <c r="WFD367" s="124"/>
      <c r="WFE367" s="124"/>
      <c r="WFF367" s="124"/>
      <c r="WFG367" s="124"/>
      <c r="WFH367" s="124"/>
      <c r="WFI367" s="124"/>
      <c r="WFJ367" s="124"/>
      <c r="WFK367" s="124"/>
      <c r="WFL367" s="124"/>
      <c r="WFM367" s="124"/>
      <c r="WFN367" s="124"/>
      <c r="WFO367" s="124"/>
      <c r="WFP367" s="124"/>
      <c r="WFQ367" s="124"/>
      <c r="WFR367" s="124"/>
      <c r="WFS367" s="124"/>
      <c r="WFT367" s="124"/>
      <c r="WFU367" s="124"/>
      <c r="WFV367" s="124"/>
      <c r="WFW367" s="124"/>
      <c r="WFX367" s="124"/>
      <c r="WFY367" s="124"/>
      <c r="WFZ367" s="124"/>
      <c r="WGA367" s="124"/>
      <c r="WGB367" s="124"/>
      <c r="WGC367" s="124"/>
      <c r="WGD367" s="124"/>
      <c r="WGE367" s="124"/>
      <c r="WGF367" s="124"/>
      <c r="WGG367" s="124"/>
      <c r="WGH367" s="124"/>
      <c r="WGI367" s="124"/>
      <c r="WGJ367" s="124"/>
      <c r="WGK367" s="124"/>
      <c r="WGL367" s="124"/>
      <c r="WGM367" s="124"/>
      <c r="WGN367" s="124"/>
      <c r="WGO367" s="124"/>
      <c r="WGP367" s="124"/>
      <c r="WGQ367" s="124"/>
      <c r="WGR367" s="124"/>
      <c r="WGS367" s="124"/>
      <c r="WGT367" s="124"/>
      <c r="WGU367" s="124"/>
      <c r="WGV367" s="124"/>
      <c r="WGW367" s="124"/>
      <c r="WGX367" s="124"/>
      <c r="WGY367" s="124"/>
      <c r="WGZ367" s="124"/>
      <c r="WHA367" s="124"/>
      <c r="WHB367" s="124"/>
      <c r="WHC367" s="124"/>
      <c r="WHD367" s="124"/>
      <c r="WHE367" s="124"/>
      <c r="WHF367" s="124"/>
      <c r="WHG367" s="124"/>
      <c r="WHH367" s="124"/>
      <c r="WHI367" s="124"/>
      <c r="WHJ367" s="124"/>
      <c r="WHK367" s="124"/>
      <c r="WHL367" s="124"/>
      <c r="WHM367" s="124"/>
      <c r="WHN367" s="124"/>
      <c r="WHO367" s="124"/>
      <c r="WHP367" s="124"/>
      <c r="WHQ367" s="124"/>
      <c r="WHR367" s="124"/>
      <c r="WHS367" s="124"/>
      <c r="WHT367" s="124"/>
      <c r="WHU367" s="124"/>
      <c r="WHV367" s="124"/>
      <c r="WHW367" s="124"/>
      <c r="WHX367" s="124"/>
      <c r="WHY367" s="124"/>
      <c r="WHZ367" s="124"/>
      <c r="WIA367" s="124"/>
      <c r="WIB367" s="124"/>
      <c r="WIC367" s="124"/>
      <c r="WID367" s="124"/>
      <c r="WIE367" s="124"/>
      <c r="WIF367" s="124"/>
      <c r="WIG367" s="124"/>
      <c r="WIH367" s="124"/>
      <c r="WII367" s="124"/>
      <c r="WIJ367" s="124"/>
      <c r="WIK367" s="124"/>
      <c r="WIL367" s="124"/>
      <c r="WIM367" s="124"/>
      <c r="WIN367" s="124"/>
      <c r="WIO367" s="124"/>
      <c r="WIP367" s="124"/>
      <c r="WIQ367" s="124"/>
      <c r="WIR367" s="124"/>
      <c r="WIS367" s="124"/>
      <c r="WIT367" s="124"/>
      <c r="WIU367" s="124"/>
      <c r="WIV367" s="124"/>
      <c r="WIW367" s="124"/>
      <c r="WIX367" s="124"/>
      <c r="WIY367" s="124"/>
      <c r="WIZ367" s="124"/>
      <c r="WJA367" s="124"/>
      <c r="WJB367" s="124"/>
      <c r="WJC367" s="124"/>
      <c r="WJD367" s="124"/>
      <c r="WJE367" s="124"/>
      <c r="WJF367" s="124"/>
      <c r="WJG367" s="124"/>
      <c r="WJH367" s="124"/>
      <c r="WJI367" s="124"/>
      <c r="WJJ367" s="124"/>
      <c r="WJK367" s="124"/>
      <c r="WJL367" s="124"/>
      <c r="WJM367" s="124"/>
      <c r="WJN367" s="124"/>
      <c r="WJO367" s="124"/>
      <c r="WJP367" s="124"/>
      <c r="WJQ367" s="124"/>
      <c r="WJR367" s="124"/>
      <c r="WJS367" s="124"/>
      <c r="WJT367" s="124"/>
      <c r="WJU367" s="124"/>
      <c r="WJV367" s="124"/>
      <c r="WJW367" s="124"/>
      <c r="WJX367" s="124"/>
      <c r="WJY367" s="124"/>
      <c r="WJZ367" s="124"/>
      <c r="WKA367" s="124"/>
      <c r="WKB367" s="124"/>
      <c r="WKC367" s="124"/>
      <c r="WKD367" s="124"/>
      <c r="WKE367" s="124"/>
      <c r="WKF367" s="124"/>
      <c r="WKG367" s="124"/>
      <c r="WKH367" s="124"/>
      <c r="WKI367" s="124"/>
      <c r="WKJ367" s="124"/>
      <c r="WKK367" s="124"/>
      <c r="WKL367" s="124"/>
      <c r="WKM367" s="124"/>
      <c r="WKN367" s="124"/>
      <c r="WKO367" s="124"/>
      <c r="WKP367" s="124"/>
      <c r="WKQ367" s="124"/>
      <c r="WKR367" s="124"/>
      <c r="WKS367" s="124"/>
      <c r="WKT367" s="124"/>
      <c r="WKU367" s="124"/>
      <c r="WKV367" s="124"/>
      <c r="WKW367" s="124"/>
      <c r="WKX367" s="124"/>
      <c r="WKY367" s="124"/>
      <c r="WKZ367" s="124"/>
      <c r="WLA367" s="124"/>
      <c r="WLB367" s="124"/>
      <c r="WLC367" s="124"/>
      <c r="WLD367" s="124"/>
      <c r="WLE367" s="124"/>
      <c r="WLF367" s="124"/>
      <c r="WLG367" s="124"/>
      <c r="WLH367" s="124"/>
      <c r="WLI367" s="124"/>
      <c r="WLJ367" s="124"/>
      <c r="WLK367" s="124"/>
      <c r="WLL367" s="124"/>
      <c r="WLM367" s="124"/>
      <c r="WLN367" s="124"/>
      <c r="WLO367" s="124"/>
      <c r="WLP367" s="124"/>
      <c r="WLQ367" s="124"/>
      <c r="WLR367" s="124"/>
      <c r="WLS367" s="124"/>
      <c r="WLT367" s="124"/>
      <c r="WLU367" s="124"/>
      <c r="WLV367" s="124"/>
      <c r="WLW367" s="124"/>
      <c r="WLX367" s="124"/>
      <c r="WLY367" s="124"/>
      <c r="WLZ367" s="124"/>
      <c r="WMA367" s="124"/>
      <c r="WMB367" s="124"/>
      <c r="WMC367" s="124"/>
      <c r="WMD367" s="124"/>
      <c r="WME367" s="124"/>
      <c r="WMF367" s="124"/>
      <c r="WMG367" s="124"/>
      <c r="WMH367" s="124"/>
      <c r="WMI367" s="124"/>
      <c r="WMJ367" s="124"/>
      <c r="WMK367" s="124"/>
      <c r="WML367" s="124"/>
      <c r="WMM367" s="124"/>
      <c r="WMN367" s="124"/>
      <c r="WMO367" s="124"/>
      <c r="WMP367" s="124"/>
      <c r="WMQ367" s="124"/>
      <c r="WMR367" s="124"/>
      <c r="WMS367" s="124"/>
      <c r="WMT367" s="124"/>
      <c r="WMU367" s="124"/>
      <c r="WMV367" s="124"/>
      <c r="WMW367" s="124"/>
      <c r="WMX367" s="124"/>
      <c r="WMY367" s="124"/>
      <c r="WMZ367" s="124"/>
      <c r="WNA367" s="124"/>
      <c r="WNB367" s="124"/>
      <c r="WNC367" s="124"/>
      <c r="WND367" s="124"/>
      <c r="WNE367" s="124"/>
      <c r="WNF367" s="124"/>
      <c r="WNG367" s="124"/>
      <c r="WNH367" s="124"/>
      <c r="WNI367" s="124"/>
      <c r="WNJ367" s="124"/>
      <c r="WNK367" s="124"/>
      <c r="WNL367" s="124"/>
      <c r="WNM367" s="124"/>
      <c r="WNN367" s="124"/>
      <c r="WNO367" s="124"/>
      <c r="WNP367" s="124"/>
      <c r="WNQ367" s="124"/>
      <c r="WNR367" s="124"/>
      <c r="WNS367" s="124"/>
      <c r="WNT367" s="124"/>
      <c r="WNU367" s="124"/>
      <c r="WNV367" s="124"/>
      <c r="WNW367" s="124"/>
      <c r="WNX367" s="124"/>
      <c r="WNY367" s="124"/>
      <c r="WNZ367" s="124"/>
      <c r="WOA367" s="124"/>
      <c r="WOB367" s="124"/>
      <c r="WOC367" s="124"/>
      <c r="WOD367" s="124"/>
      <c r="WOE367" s="124"/>
      <c r="WOF367" s="124"/>
      <c r="WOG367" s="124"/>
      <c r="WOH367" s="124"/>
      <c r="WOI367" s="124"/>
      <c r="WOJ367" s="124"/>
      <c r="WOK367" s="124"/>
      <c r="WOL367" s="124"/>
      <c r="WOM367" s="124"/>
      <c r="WON367" s="124"/>
      <c r="WOO367" s="124"/>
      <c r="WOP367" s="124"/>
      <c r="WOQ367" s="124"/>
      <c r="WOR367" s="124"/>
      <c r="WOS367" s="124"/>
      <c r="WOT367" s="124"/>
      <c r="WOU367" s="124"/>
      <c r="WOV367" s="124"/>
      <c r="WOW367" s="124"/>
      <c r="WOX367" s="124"/>
      <c r="WOY367" s="124"/>
      <c r="WOZ367" s="124"/>
      <c r="WPA367" s="124"/>
      <c r="WPB367" s="124"/>
      <c r="WPC367" s="124"/>
      <c r="WPD367" s="124"/>
      <c r="WPE367" s="124"/>
      <c r="WPF367" s="124"/>
      <c r="WPG367" s="124"/>
      <c r="WPH367" s="124"/>
      <c r="WPI367" s="124"/>
      <c r="WPJ367" s="124"/>
      <c r="WPK367" s="124"/>
      <c r="WPL367" s="124"/>
      <c r="WPM367" s="124"/>
      <c r="WPN367" s="124"/>
      <c r="WPO367" s="124"/>
      <c r="WPP367" s="124"/>
      <c r="WPQ367" s="124"/>
      <c r="WPR367" s="124"/>
      <c r="WPS367" s="124"/>
      <c r="WPT367" s="124"/>
      <c r="WPU367" s="124"/>
      <c r="WPV367" s="124"/>
      <c r="WPW367" s="124"/>
      <c r="WPX367" s="124"/>
      <c r="WPY367" s="124"/>
      <c r="WPZ367" s="124"/>
      <c r="WQA367" s="124"/>
      <c r="WQB367" s="124"/>
      <c r="WQC367" s="124"/>
      <c r="WQD367" s="124"/>
      <c r="WQE367" s="124"/>
      <c r="WQF367" s="124"/>
      <c r="WQG367" s="124"/>
      <c r="WQH367" s="124"/>
      <c r="WQI367" s="124"/>
      <c r="WQJ367" s="124"/>
      <c r="WQK367" s="124"/>
      <c r="WQL367" s="124"/>
      <c r="WQM367" s="124"/>
      <c r="WQN367" s="124"/>
      <c r="WQO367" s="124"/>
      <c r="WQP367" s="124"/>
      <c r="WQQ367" s="124"/>
      <c r="WQR367" s="124"/>
      <c r="WQS367" s="124"/>
      <c r="WQT367" s="124"/>
      <c r="WQU367" s="124"/>
      <c r="WQV367" s="124"/>
      <c r="WQW367" s="124"/>
      <c r="WQX367" s="124"/>
      <c r="WQY367" s="124"/>
      <c r="WQZ367" s="124"/>
      <c r="WRA367" s="124"/>
      <c r="WRB367" s="124"/>
      <c r="WRC367" s="124"/>
      <c r="WRD367" s="124"/>
      <c r="WRE367" s="124"/>
      <c r="WRF367" s="124"/>
      <c r="WRG367" s="124"/>
      <c r="WRH367" s="124"/>
      <c r="WRI367" s="124"/>
      <c r="WRJ367" s="124"/>
      <c r="WRK367" s="124"/>
      <c r="WRL367" s="124"/>
      <c r="WRM367" s="124"/>
      <c r="WRN367" s="124"/>
      <c r="WRO367" s="124"/>
      <c r="WRP367" s="124"/>
      <c r="WRQ367" s="124"/>
      <c r="WRR367" s="124"/>
      <c r="WRS367" s="124"/>
      <c r="WRT367" s="124"/>
      <c r="WRU367" s="124"/>
      <c r="WRV367" s="124"/>
      <c r="WRW367" s="124"/>
      <c r="WRX367" s="124"/>
      <c r="WRY367" s="124"/>
      <c r="WRZ367" s="124"/>
      <c r="WSA367" s="124"/>
      <c r="WSB367" s="124"/>
      <c r="WSC367" s="124"/>
      <c r="WSD367" s="124"/>
      <c r="WSE367" s="124"/>
      <c r="WSF367" s="124"/>
      <c r="WSG367" s="124"/>
      <c r="WSH367" s="124"/>
      <c r="WSI367" s="124"/>
      <c r="WSJ367" s="124"/>
      <c r="WSK367" s="124"/>
      <c r="WSL367" s="124"/>
      <c r="WSM367" s="124"/>
      <c r="WSN367" s="124"/>
      <c r="WSO367" s="124"/>
      <c r="WSP367" s="124"/>
      <c r="WSQ367" s="124"/>
      <c r="WSR367" s="124"/>
      <c r="WSS367" s="124"/>
      <c r="WST367" s="124"/>
      <c r="WSU367" s="124"/>
      <c r="WSV367" s="124"/>
      <c r="WSW367" s="124"/>
      <c r="WSX367" s="124"/>
      <c r="WSY367" s="124"/>
      <c r="WSZ367" s="124"/>
      <c r="WTA367" s="124"/>
      <c r="WTB367" s="124"/>
      <c r="WTC367" s="124"/>
      <c r="WTD367" s="124"/>
      <c r="WTE367" s="124"/>
      <c r="WTF367" s="124"/>
      <c r="WTG367" s="124"/>
      <c r="WTH367" s="124"/>
      <c r="WTI367" s="124"/>
      <c r="WTJ367" s="124"/>
      <c r="WTK367" s="124"/>
      <c r="WTL367" s="124"/>
      <c r="WTM367" s="124"/>
      <c r="WTN367" s="124"/>
      <c r="WTO367" s="124"/>
      <c r="WTP367" s="124"/>
      <c r="WTQ367" s="124"/>
      <c r="WTR367" s="124"/>
      <c r="WTS367" s="124"/>
      <c r="WTT367" s="124"/>
      <c r="WTU367" s="124"/>
      <c r="WTV367" s="124"/>
      <c r="WTW367" s="124"/>
      <c r="WTX367" s="124"/>
      <c r="WTY367" s="124"/>
      <c r="WTZ367" s="124"/>
      <c r="WUA367" s="124"/>
      <c r="WUB367" s="124"/>
      <c r="WUC367" s="124"/>
      <c r="WUD367" s="124"/>
      <c r="WUE367" s="124"/>
      <c r="WUF367" s="124"/>
      <c r="WUG367" s="124"/>
      <c r="WUH367" s="124"/>
      <c r="WUI367" s="124"/>
      <c r="WUJ367" s="124"/>
      <c r="WUK367" s="124"/>
      <c r="WUL367" s="124"/>
      <c r="WUM367" s="124"/>
      <c r="WUN367" s="124"/>
      <c r="WUO367" s="124"/>
      <c r="WUP367" s="124"/>
      <c r="WUQ367" s="124"/>
      <c r="WUR367" s="124"/>
      <c r="WUS367" s="124"/>
      <c r="WUT367" s="124"/>
      <c r="WUU367" s="124"/>
      <c r="WUV367" s="124"/>
      <c r="WUW367" s="124"/>
      <c r="WUX367" s="124"/>
      <c r="WUY367" s="124"/>
      <c r="WUZ367" s="124"/>
      <c r="WVA367" s="124"/>
      <c r="WVB367" s="124"/>
      <c r="WVC367" s="124"/>
      <c r="WVD367" s="124"/>
      <c r="WVE367" s="124"/>
      <c r="WVF367" s="124"/>
      <c r="WVG367" s="124"/>
      <c r="WVH367" s="124"/>
      <c r="WVI367" s="124"/>
      <c r="WVJ367" s="124"/>
      <c r="WVK367" s="124"/>
      <c r="WVL367" s="124"/>
      <c r="WVM367" s="124"/>
      <c r="WVN367" s="124"/>
      <c r="WVO367" s="124"/>
      <c r="WVP367" s="124"/>
      <c r="WVQ367" s="124"/>
      <c r="WVR367" s="124"/>
      <c r="WVS367" s="124"/>
      <c r="WVT367" s="124"/>
      <c r="WVU367" s="124"/>
      <c r="WVV367" s="124"/>
      <c r="WVW367" s="124"/>
      <c r="WVX367" s="124"/>
      <c r="WVY367" s="124"/>
      <c r="WVZ367" s="124"/>
      <c r="WWA367" s="124"/>
      <c r="WWB367" s="124"/>
      <c r="WWC367" s="124"/>
      <c r="WWD367" s="124"/>
      <c r="WWE367" s="124"/>
      <c r="WWF367" s="124"/>
      <c r="WWG367" s="124"/>
      <c r="WWH367" s="124"/>
      <c r="WWI367" s="124"/>
      <c r="WWJ367" s="124"/>
      <c r="WWK367" s="124"/>
      <c r="WWL367" s="124"/>
      <c r="WWM367" s="124"/>
      <c r="WWN367" s="124"/>
      <c r="WWO367" s="124"/>
      <c r="WWP367" s="124"/>
      <c r="WWQ367" s="124"/>
      <c r="WWR367" s="124"/>
      <c r="WWS367" s="124"/>
      <c r="WWT367" s="124"/>
      <c r="WWU367" s="124"/>
      <c r="WWV367" s="124"/>
      <c r="WWW367" s="124"/>
      <c r="WWX367" s="124"/>
      <c r="WWY367" s="124"/>
      <c r="WWZ367" s="124"/>
      <c r="WXA367" s="124"/>
      <c r="WXB367" s="124"/>
      <c r="WXC367" s="124"/>
      <c r="WXD367" s="124"/>
      <c r="WXE367" s="124"/>
      <c r="WXF367" s="124"/>
      <c r="WXG367" s="124"/>
      <c r="WXH367" s="124"/>
      <c r="WXI367" s="124"/>
      <c r="WXJ367" s="124"/>
      <c r="WXK367" s="124"/>
      <c r="WXL367" s="124"/>
      <c r="WXM367" s="124"/>
      <c r="WXN367" s="124"/>
      <c r="WXO367" s="124"/>
      <c r="WXP367" s="124"/>
      <c r="WXQ367" s="124"/>
      <c r="WXR367" s="124"/>
      <c r="WXS367" s="124"/>
      <c r="WXT367" s="124"/>
      <c r="WXU367" s="124"/>
      <c r="WXV367" s="124"/>
      <c r="WXW367" s="124"/>
      <c r="WXX367" s="124"/>
      <c r="WXY367" s="124"/>
      <c r="WXZ367" s="124"/>
      <c r="WYA367" s="124"/>
      <c r="WYB367" s="124"/>
      <c r="WYC367" s="124"/>
      <c r="WYD367" s="124"/>
      <c r="WYE367" s="124"/>
      <c r="WYF367" s="124"/>
      <c r="WYG367" s="124"/>
      <c r="WYH367" s="124"/>
      <c r="WYI367" s="124"/>
      <c r="WYJ367" s="124"/>
      <c r="WYK367" s="124"/>
      <c r="WYL367" s="124"/>
      <c r="WYM367" s="124"/>
      <c r="WYN367" s="124"/>
      <c r="WYO367" s="124"/>
      <c r="WYP367" s="124"/>
      <c r="WYQ367" s="124"/>
      <c r="WYR367" s="124"/>
      <c r="WYS367" s="124"/>
      <c r="WYT367" s="124"/>
      <c r="WYU367" s="124"/>
      <c r="WYV367" s="124"/>
      <c r="WYW367" s="124"/>
      <c r="WYX367" s="124"/>
      <c r="WYY367" s="124"/>
      <c r="WYZ367" s="124"/>
      <c r="WZA367" s="124"/>
      <c r="WZB367" s="124"/>
      <c r="WZC367" s="124"/>
      <c r="WZD367" s="124"/>
      <c r="WZE367" s="124"/>
      <c r="WZF367" s="124"/>
      <c r="WZG367" s="124"/>
      <c r="WZH367" s="124"/>
      <c r="WZI367" s="124"/>
      <c r="WZJ367" s="124"/>
      <c r="WZK367" s="124"/>
      <c r="WZL367" s="124"/>
      <c r="WZM367" s="124"/>
      <c r="WZN367" s="124"/>
      <c r="WZO367" s="124"/>
      <c r="WZP367" s="124"/>
      <c r="WZQ367" s="124"/>
      <c r="WZR367" s="124"/>
      <c r="WZS367" s="124"/>
      <c r="WZT367" s="124"/>
      <c r="WZU367" s="124"/>
      <c r="WZV367" s="124"/>
      <c r="WZW367" s="124"/>
      <c r="WZX367" s="124"/>
      <c r="WZY367" s="124"/>
      <c r="WZZ367" s="124"/>
      <c r="XAA367" s="124"/>
      <c r="XAB367" s="124"/>
      <c r="XAC367" s="124"/>
      <c r="XAD367" s="124"/>
      <c r="XAE367" s="124"/>
      <c r="XAF367" s="124"/>
      <c r="XAG367" s="124"/>
      <c r="XAH367" s="124"/>
      <c r="XAI367" s="124"/>
      <c r="XAJ367" s="124"/>
      <c r="XAK367" s="124"/>
      <c r="XAL367" s="124"/>
      <c r="XAM367" s="124"/>
      <c r="XAN367" s="124"/>
      <c r="XAO367" s="124"/>
      <c r="XAP367" s="124"/>
      <c r="XAQ367" s="124"/>
      <c r="XAR367" s="124"/>
      <c r="XAS367" s="124"/>
      <c r="XAT367" s="124"/>
      <c r="XAU367" s="124"/>
      <c r="XAV367" s="124"/>
      <c r="XAW367" s="124"/>
      <c r="XAX367" s="124"/>
      <c r="XAY367" s="124"/>
      <c r="XAZ367" s="124"/>
      <c r="XBA367" s="124"/>
      <c r="XBB367" s="124"/>
      <c r="XBC367" s="124"/>
      <c r="XBD367" s="124"/>
      <c r="XBE367" s="124"/>
      <c r="XBF367" s="124"/>
      <c r="XBG367" s="124"/>
      <c r="XBH367" s="124"/>
      <c r="XBI367" s="124"/>
      <c r="XBJ367" s="124"/>
      <c r="XBK367" s="124"/>
      <c r="XBL367" s="124"/>
      <c r="XBM367" s="124"/>
      <c r="XBN367" s="124"/>
      <c r="XBO367" s="124"/>
      <c r="XBP367" s="124"/>
      <c r="XBQ367" s="124"/>
      <c r="XBR367" s="124"/>
      <c r="XBS367" s="124"/>
      <c r="XBT367" s="124"/>
      <c r="XBU367" s="124"/>
      <c r="XBV367" s="124"/>
      <c r="XBW367" s="124"/>
      <c r="XBX367" s="124"/>
      <c r="XBY367" s="124"/>
      <c r="XBZ367" s="124"/>
      <c r="XCA367" s="124"/>
      <c r="XCB367" s="124"/>
      <c r="XCC367" s="124"/>
      <c r="XCD367" s="124"/>
      <c r="XCE367" s="124"/>
      <c r="XCF367" s="124"/>
      <c r="XCG367" s="124"/>
      <c r="XCH367" s="124"/>
      <c r="XCI367" s="124"/>
      <c r="XCJ367" s="124"/>
      <c r="XCK367" s="124"/>
      <c r="XCL367" s="124"/>
      <c r="XCM367" s="124"/>
      <c r="XCN367" s="124"/>
      <c r="XCO367" s="124"/>
      <c r="XCP367" s="124"/>
      <c r="XCQ367" s="124"/>
      <c r="XCR367" s="124"/>
      <c r="XCS367" s="124"/>
      <c r="XCT367" s="124"/>
      <c r="XCU367" s="124"/>
      <c r="XCV367" s="124"/>
      <c r="XCW367" s="124"/>
      <c r="XCX367" s="124"/>
      <c r="XCY367" s="124"/>
      <c r="XCZ367" s="124"/>
      <c r="XDA367" s="124"/>
      <c r="XDB367" s="124"/>
      <c r="XDC367" s="124"/>
      <c r="XDD367" s="124"/>
      <c r="XDE367" s="124"/>
      <c r="XDF367" s="124"/>
      <c r="XDG367" s="124"/>
      <c r="XDH367" s="124"/>
      <c r="XDI367" s="124"/>
      <c r="XDJ367" s="124"/>
      <c r="XDK367" s="124"/>
      <c r="XDL367" s="124"/>
      <c r="XDM367" s="124"/>
      <c r="XDN367" s="124"/>
      <c r="XDO367" s="124"/>
      <c r="XDP367" s="124"/>
      <c r="XDQ367" s="124"/>
      <c r="XDR367" s="124"/>
      <c r="XDS367" s="124"/>
      <c r="XDT367" s="124"/>
      <c r="XDU367" s="124"/>
      <c r="XDV367" s="124"/>
      <c r="XDW367" s="124"/>
      <c r="XDX367" s="124"/>
      <c r="XDY367" s="124"/>
      <c r="XDZ367" s="124"/>
      <c r="XEA367" s="124"/>
      <c r="XEB367" s="124"/>
      <c r="XEC367" s="124"/>
      <c r="XED367" s="124"/>
      <c r="XEE367" s="124"/>
      <c r="XEF367" s="124"/>
      <c r="XEG367" s="124"/>
      <c r="XEH367" s="124"/>
      <c r="XEI367" s="124"/>
      <c r="XEJ367" s="124"/>
      <c r="XEK367" s="124"/>
      <c r="XEL367" s="124"/>
      <c r="XEM367" s="124"/>
      <c r="XEN367" s="124"/>
      <c r="XEO367" s="124"/>
      <c r="XEP367" s="124"/>
      <c r="XEQ367" s="124"/>
      <c r="XER367" s="124"/>
      <c r="XES367" s="124"/>
      <c r="XET367" s="124"/>
      <c r="XEU367" s="124"/>
      <c r="XEV367" s="124"/>
      <c r="XEW367" s="124"/>
      <c r="XEX367" s="124"/>
      <c r="XEY367" s="124"/>
      <c r="XEZ367" s="124"/>
      <c r="XFA367" s="124"/>
      <c r="XFB367" s="124"/>
      <c r="XFC367" s="124"/>
    </row>
    <row r="368" spans="1:16383" x14ac:dyDescent="0.2">
      <c r="A368" s="119">
        <v>1.0002305409999999E+19</v>
      </c>
      <c r="B368" s="120" t="s">
        <v>265</v>
      </c>
      <c r="C368" s="129">
        <v>1089170</v>
      </c>
      <c r="D368" s="129">
        <v>73987.509999999995</v>
      </c>
      <c r="E368" s="129">
        <v>0</v>
      </c>
      <c r="F368" s="129">
        <v>385379.56</v>
      </c>
      <c r="G368" s="129">
        <v>703790.44</v>
      </c>
      <c r="H368" s="129">
        <v>35.380000000000003</v>
      </c>
      <c r="I368" s="129">
        <f t="shared" ref="I368:O368" si="175">I580+I720+I800+I870+I956+I1063+I1139+I1269+I1351+I1402+I1470+I1543+I1643+I1731+I1781+I1831+I1876+I2024+I2107+I2221+I2222+I2307+I2308+I2376+I2477+I2548+I2663+I2765+I2850+I2929+I2942+I2991+I3063+I3170+I3291+I3404+I3490</f>
        <v>-135251.33000000002</v>
      </c>
      <c r="J368" s="129">
        <f t="shared" si="175"/>
        <v>953918.67</v>
      </c>
      <c r="K368" s="129">
        <f t="shared" si="175"/>
        <v>997107.5101500001</v>
      </c>
      <c r="L368" s="129">
        <f t="shared" si="175"/>
        <v>1043261.2336169002</v>
      </c>
      <c r="M368" s="129">
        <f t="shared" si="175"/>
        <v>161171.36137608002</v>
      </c>
      <c r="N368" s="129">
        <f t="shared" si="175"/>
        <v>0</v>
      </c>
      <c r="O368" s="129">
        <f t="shared" si="175"/>
        <v>1091560.4958732775</v>
      </c>
    </row>
    <row r="369" spans="1:15" x14ac:dyDescent="0.2">
      <c r="A369" s="119">
        <v>1.0002305430000001E+19</v>
      </c>
      <c r="B369" s="120" t="s">
        <v>266</v>
      </c>
      <c r="C369" s="129">
        <v>500000</v>
      </c>
      <c r="D369" s="129">
        <v>0</v>
      </c>
      <c r="E369" s="129">
        <v>0</v>
      </c>
      <c r="F369" s="129">
        <v>0</v>
      </c>
      <c r="G369" s="129">
        <v>500000</v>
      </c>
      <c r="H369" s="129">
        <v>0</v>
      </c>
      <c r="I369" s="129">
        <f t="shared" ref="I369:O369" si="176">I1064</f>
        <v>-80000</v>
      </c>
      <c r="J369" s="129">
        <f t="shared" si="176"/>
        <v>420000</v>
      </c>
      <c r="K369" s="129">
        <f t="shared" si="176"/>
        <v>700000</v>
      </c>
      <c r="L369" s="129">
        <f t="shared" si="176"/>
        <v>700000</v>
      </c>
      <c r="M369" s="129">
        <f t="shared" si="176"/>
        <v>0</v>
      </c>
      <c r="N369" s="129">
        <f t="shared" si="176"/>
        <v>0</v>
      </c>
      <c r="O369" s="129">
        <f t="shared" si="176"/>
        <v>700000</v>
      </c>
    </row>
    <row r="370" spans="1:15" x14ac:dyDescent="0.2">
      <c r="A370" s="119"/>
      <c r="B370" s="120" t="s">
        <v>3017</v>
      </c>
      <c r="C370" s="129"/>
      <c r="D370" s="129"/>
      <c r="E370" s="129"/>
      <c r="F370" s="129"/>
      <c r="G370" s="129"/>
      <c r="H370" s="129"/>
      <c r="I370" s="129"/>
      <c r="J370" s="129"/>
      <c r="K370" s="129"/>
      <c r="L370" s="129"/>
      <c r="O370" s="129"/>
    </row>
    <row r="371" spans="1:15" x14ac:dyDescent="0.2">
      <c r="A371" s="119">
        <v>1.0002305729999999E+19</v>
      </c>
      <c r="B371" s="120" t="s">
        <v>267</v>
      </c>
      <c r="C371" s="129">
        <v>700000</v>
      </c>
      <c r="D371" s="129">
        <v>0</v>
      </c>
      <c r="E371" s="129">
        <v>0</v>
      </c>
      <c r="F371" s="129">
        <v>220620</v>
      </c>
      <c r="G371" s="129">
        <v>479380</v>
      </c>
      <c r="H371" s="129">
        <v>31.51</v>
      </c>
      <c r="I371" s="129">
        <f t="shared" ref="I371:O371" si="177">I871</f>
        <v>0</v>
      </c>
      <c r="J371" s="129">
        <f t="shared" si="177"/>
        <v>700000</v>
      </c>
      <c r="K371" s="129">
        <f t="shared" si="177"/>
        <v>731500</v>
      </c>
      <c r="L371" s="129">
        <f t="shared" si="177"/>
        <v>765149</v>
      </c>
      <c r="M371" s="129">
        <f t="shared" si="177"/>
        <v>800345.85400000005</v>
      </c>
      <c r="N371" s="129">
        <f t="shared" si="177"/>
        <v>0</v>
      </c>
      <c r="O371" s="129">
        <f t="shared" si="177"/>
        <v>800345.85400000005</v>
      </c>
    </row>
    <row r="372" spans="1:15" x14ac:dyDescent="0.2">
      <c r="A372" s="119">
        <v>1.000230576E+19</v>
      </c>
      <c r="B372" s="120" t="s">
        <v>268</v>
      </c>
      <c r="C372" s="129">
        <v>4398464</v>
      </c>
      <c r="D372" s="129">
        <v>425153.82</v>
      </c>
      <c r="E372" s="129">
        <v>113437.3</v>
      </c>
      <c r="F372" s="129">
        <v>2157793.23</v>
      </c>
      <c r="G372" s="129">
        <v>2240670.77</v>
      </c>
      <c r="H372" s="129">
        <v>49.05</v>
      </c>
      <c r="I372" s="129">
        <f>I582+I583+I721+I722+I801+I872+I957+I1065+I1140+I1270+I1271+I1352+I1403+I1471+I1544+I1644+I1645+I1670+I1732+I1782+I1832+I1877+I2025+I2026+I2108+I2223+I2309+I2377+I2478+I2479+I2664+I2766+I2930+I2992+I2993+I3064+I3171+I3292+I3405+I3491</f>
        <v>176417.7</v>
      </c>
      <c r="J372" s="129">
        <f>J582+J583+J721+J722+J801+J872+J957+J1065+J1140+J1270+J1271+J1352+J1403+J1471+J1544+J1644+J1645+J1670+J1732+J1782+J1832+J1877+J2025+J2026+J2108+J2223+J2309+J2377+J2478+J2479+J2664+J2766+J2930+J2992+J2993+J3064+J3171+J3292+J3405+J3491</f>
        <v>4574881.7</v>
      </c>
      <c r="K372" s="129">
        <f>K582+K583+K721+K722+K801+K872+K957+K1065+K1140+K1270+K1271+K1352+K1403+K1471+K1544+K1644+K1645+K1670+K1732+K1782+K1832+K1877+K2025+K2026+K2108+K2223+K2309+K2377+K2478+K2479+K2664+K2766+K2930+K2992+K2993+K3064+K3171+K3292+K3405+K3491</f>
        <v>4780821.3765000002</v>
      </c>
      <c r="L372" s="129">
        <f t="shared" ref="L372:O372" si="178">L582+L583+L721+L722+L801+L872+L957+L1065+L1140+L1270+L1271+L1352+L1403+L1471+L1544+L1644+L1645+L1670+L1732+L1782+L1832+L1877+L2025+L2026+L2108+L2223+L2309+L2377+L2478+L2479+L2664+L2766+L2930+L2992+L2993+L3064+L3171+L3292+L3405+L3491</f>
        <v>5000747.1098190006</v>
      </c>
      <c r="M372" s="129">
        <f t="shared" si="178"/>
        <v>826516.02007457998</v>
      </c>
      <c r="N372" s="129">
        <f t="shared" si="178"/>
        <v>0</v>
      </c>
      <c r="O372" s="129">
        <f t="shared" si="178"/>
        <v>5230792.3346206741</v>
      </c>
    </row>
    <row r="373" spans="1:15" x14ac:dyDescent="0.2">
      <c r="A373" s="119"/>
      <c r="B373" s="120" t="s">
        <v>3019</v>
      </c>
      <c r="C373" s="129"/>
      <c r="D373" s="129"/>
      <c r="E373" s="129"/>
      <c r="F373" s="129"/>
      <c r="G373" s="129"/>
      <c r="H373" s="129"/>
      <c r="I373" s="129"/>
      <c r="J373" s="129"/>
      <c r="K373" s="129"/>
      <c r="L373" s="129"/>
      <c r="O373" s="129"/>
    </row>
    <row r="374" spans="1:15" x14ac:dyDescent="0.2">
      <c r="A374" s="119"/>
      <c r="B374" s="120" t="s">
        <v>3021</v>
      </c>
      <c r="C374" s="129"/>
      <c r="D374" s="129"/>
      <c r="E374" s="129"/>
      <c r="F374" s="129"/>
      <c r="G374" s="129"/>
      <c r="H374" s="129"/>
      <c r="I374" s="129"/>
      <c r="J374" s="129"/>
      <c r="K374" s="129"/>
      <c r="L374" s="129"/>
      <c r="O374" s="129"/>
    </row>
    <row r="375" spans="1:15" x14ac:dyDescent="0.2">
      <c r="A375" s="119"/>
      <c r="B375" s="120" t="s">
        <v>3028</v>
      </c>
      <c r="C375" s="129"/>
      <c r="D375" s="129"/>
      <c r="E375" s="129"/>
      <c r="F375" s="129"/>
      <c r="G375" s="129"/>
      <c r="H375" s="129"/>
      <c r="I375" s="129"/>
      <c r="J375" s="129"/>
      <c r="K375" s="129"/>
      <c r="L375" s="129"/>
      <c r="O375" s="129"/>
    </row>
    <row r="376" spans="1:15" x14ac:dyDescent="0.2">
      <c r="A376" s="119"/>
      <c r="B376" s="120" t="s">
        <v>269</v>
      </c>
      <c r="C376" s="129"/>
      <c r="D376" s="129"/>
      <c r="E376" s="129"/>
      <c r="F376" s="129"/>
      <c r="G376" s="129"/>
      <c r="H376" s="129"/>
      <c r="I376" s="129"/>
      <c r="J376" s="129"/>
      <c r="K376" s="129"/>
      <c r="L376" s="129"/>
      <c r="O376" s="129"/>
    </row>
    <row r="377" spans="1:15" x14ac:dyDescent="0.2">
      <c r="A377" s="119"/>
      <c r="B377" s="120" t="s">
        <v>3029</v>
      </c>
      <c r="C377" s="129"/>
      <c r="D377" s="129"/>
      <c r="E377" s="129"/>
      <c r="F377" s="129"/>
      <c r="G377" s="129"/>
      <c r="H377" s="129"/>
      <c r="I377" s="129"/>
      <c r="J377" s="129"/>
      <c r="K377" s="129"/>
      <c r="L377" s="129"/>
      <c r="O377" s="129"/>
    </row>
    <row r="378" spans="1:15" x14ac:dyDescent="0.2">
      <c r="A378" s="119"/>
      <c r="B378" s="120" t="s">
        <v>3030</v>
      </c>
      <c r="C378" s="129"/>
      <c r="D378" s="129"/>
      <c r="E378" s="129"/>
      <c r="F378" s="129"/>
      <c r="G378" s="129"/>
      <c r="H378" s="129"/>
      <c r="I378" s="129"/>
      <c r="J378" s="129"/>
      <c r="K378" s="129"/>
      <c r="L378" s="129"/>
      <c r="O378" s="129"/>
    </row>
    <row r="379" spans="1:15" x14ac:dyDescent="0.2">
      <c r="A379" s="119"/>
      <c r="B379" s="120" t="s">
        <v>3031</v>
      </c>
      <c r="C379" s="129"/>
      <c r="D379" s="129"/>
      <c r="E379" s="129"/>
      <c r="F379" s="129"/>
      <c r="G379" s="129"/>
      <c r="H379" s="129"/>
      <c r="I379" s="129"/>
      <c r="J379" s="129"/>
      <c r="K379" s="129"/>
      <c r="L379" s="129"/>
      <c r="O379" s="129"/>
    </row>
    <row r="380" spans="1:15" x14ac:dyDescent="0.2">
      <c r="A380" s="119"/>
      <c r="B380" s="120" t="s">
        <v>3032</v>
      </c>
      <c r="C380" s="129"/>
      <c r="D380" s="129"/>
      <c r="E380" s="129"/>
      <c r="F380" s="129"/>
      <c r="G380" s="129"/>
      <c r="H380" s="129"/>
      <c r="I380" s="129"/>
      <c r="J380" s="129"/>
      <c r="K380" s="129"/>
      <c r="L380" s="129"/>
      <c r="O380" s="129"/>
    </row>
    <row r="381" spans="1:15" x14ac:dyDescent="0.2">
      <c r="A381" s="119">
        <v>1.00023058E+19</v>
      </c>
      <c r="B381" s="120" t="s">
        <v>269</v>
      </c>
      <c r="C381" s="129">
        <v>977960</v>
      </c>
      <c r="D381" s="129">
        <v>26890.400000000001</v>
      </c>
      <c r="E381" s="129">
        <v>20245.419999999998</v>
      </c>
      <c r="F381" s="129">
        <v>162874.28</v>
      </c>
      <c r="G381" s="129">
        <v>815085.72</v>
      </c>
      <c r="H381" s="129">
        <v>16.649999999999999</v>
      </c>
      <c r="I381" s="129">
        <f t="shared" ref="I381:O381" si="179">I723+I724+I958+I1272+I1646+I1733+I1783+I1833+I1878+I2027+I2480+I2994</f>
        <v>-490000</v>
      </c>
      <c r="J381" s="129">
        <f t="shared" si="179"/>
        <v>487960</v>
      </c>
      <c r="K381" s="129">
        <f t="shared" si="179"/>
        <v>509918.2</v>
      </c>
      <c r="L381" s="129">
        <f t="shared" si="179"/>
        <v>533374.43719999993</v>
      </c>
      <c r="M381" s="129">
        <f t="shared" si="179"/>
        <v>22867.024400000002</v>
      </c>
      <c r="N381" s="129">
        <f t="shared" si="179"/>
        <v>0</v>
      </c>
      <c r="O381" s="129">
        <f t="shared" si="179"/>
        <v>557909.66131120001</v>
      </c>
    </row>
    <row r="382" spans="1:15" x14ac:dyDescent="0.2">
      <c r="A382" s="119">
        <v>1.00023061E+19</v>
      </c>
      <c r="B382" s="120" t="s">
        <v>270</v>
      </c>
      <c r="C382" s="129">
        <v>636000</v>
      </c>
      <c r="D382" s="129">
        <v>136630</v>
      </c>
      <c r="E382" s="129">
        <v>0</v>
      </c>
      <c r="F382" s="129">
        <v>609748</v>
      </c>
      <c r="G382" s="129">
        <v>26252</v>
      </c>
      <c r="H382" s="129">
        <v>95.87</v>
      </c>
      <c r="I382" s="129">
        <f t="shared" ref="I382:O383" si="180">I592</f>
        <v>650000</v>
      </c>
      <c r="J382" s="129">
        <f t="shared" si="180"/>
        <v>1286000</v>
      </c>
      <c r="K382" s="129">
        <f t="shared" si="180"/>
        <v>650000</v>
      </c>
      <c r="L382" s="129">
        <f t="shared" si="180"/>
        <v>679900</v>
      </c>
      <c r="M382" s="129">
        <f t="shared" si="180"/>
        <v>0</v>
      </c>
      <c r="N382" s="129">
        <f t="shared" si="180"/>
        <v>0</v>
      </c>
      <c r="O382" s="129">
        <f t="shared" si="180"/>
        <v>711175.4</v>
      </c>
    </row>
    <row r="383" spans="1:15" x14ac:dyDescent="0.2">
      <c r="A383" s="119">
        <v>1.00023063E+19</v>
      </c>
      <c r="B383" s="120" t="s">
        <v>271</v>
      </c>
      <c r="C383" s="129">
        <v>129035</v>
      </c>
      <c r="D383" s="129">
        <v>0</v>
      </c>
      <c r="E383" s="129">
        <v>0</v>
      </c>
      <c r="F383" s="129">
        <v>44880.94</v>
      </c>
      <c r="G383" s="129">
        <v>84154.06</v>
      </c>
      <c r="H383" s="129">
        <v>34.78</v>
      </c>
      <c r="I383" s="129">
        <f t="shared" si="180"/>
        <v>0</v>
      </c>
      <c r="J383" s="129">
        <f t="shared" si="180"/>
        <v>129035</v>
      </c>
      <c r="K383" s="129">
        <f t="shared" si="180"/>
        <v>134841.57500000001</v>
      </c>
      <c r="L383" s="129">
        <f t="shared" si="180"/>
        <v>141044.28745</v>
      </c>
      <c r="M383" s="129">
        <f t="shared" si="180"/>
        <v>0</v>
      </c>
      <c r="N383" s="129">
        <f t="shared" si="180"/>
        <v>0</v>
      </c>
      <c r="O383" s="129">
        <f t="shared" si="180"/>
        <v>147532.32467269999</v>
      </c>
    </row>
    <row r="384" spans="1:15" x14ac:dyDescent="0.2">
      <c r="A384" s="119">
        <v>1.0002306609999999E+19</v>
      </c>
      <c r="B384" s="120" t="s">
        <v>272</v>
      </c>
      <c r="C384" s="129">
        <v>55220</v>
      </c>
      <c r="D384" s="129">
        <v>0</v>
      </c>
      <c r="E384" s="129">
        <v>0</v>
      </c>
      <c r="F384" s="129">
        <v>281.32</v>
      </c>
      <c r="G384" s="129">
        <v>54938.68</v>
      </c>
      <c r="H384" s="129">
        <v>0.5</v>
      </c>
      <c r="I384" s="129">
        <f t="shared" ref="I384:O384" si="181">I2481+I2995</f>
        <v>-30000</v>
      </c>
      <c r="J384" s="129">
        <f t="shared" si="181"/>
        <v>25220</v>
      </c>
      <c r="K384" s="129">
        <f t="shared" si="181"/>
        <v>26354.9</v>
      </c>
      <c r="L384" s="129">
        <f t="shared" si="181"/>
        <v>27567.225400000003</v>
      </c>
      <c r="M384" s="129">
        <f t="shared" si="181"/>
        <v>0</v>
      </c>
      <c r="N384" s="129">
        <f t="shared" si="181"/>
        <v>0</v>
      </c>
      <c r="O384" s="129">
        <f t="shared" si="181"/>
        <v>28835.3177684</v>
      </c>
    </row>
    <row r="385" spans="1:15" x14ac:dyDescent="0.2">
      <c r="A385" s="119">
        <v>1.000230702E+19</v>
      </c>
      <c r="B385" s="120" t="s">
        <v>273</v>
      </c>
      <c r="C385" s="129">
        <v>4355626</v>
      </c>
      <c r="D385" s="129">
        <v>336016.48</v>
      </c>
      <c r="E385" s="129">
        <v>0</v>
      </c>
      <c r="F385" s="129">
        <v>2163663.64</v>
      </c>
      <c r="G385" s="129">
        <v>2191962.36</v>
      </c>
      <c r="H385" s="129">
        <v>49.67</v>
      </c>
      <c r="I385" s="129">
        <f t="shared" ref="I385:O385" si="182">I3293</f>
        <v>344539</v>
      </c>
      <c r="J385" s="129">
        <f t="shared" si="182"/>
        <v>4700165</v>
      </c>
      <c r="K385" s="129">
        <f t="shared" si="182"/>
        <v>5080878.3650000002</v>
      </c>
      <c r="L385" s="129">
        <f t="shared" si="182"/>
        <v>5345084.0399799999</v>
      </c>
      <c r="M385" s="129">
        <f t="shared" si="182"/>
        <v>0</v>
      </c>
      <c r="N385" s="129">
        <f t="shared" si="182"/>
        <v>0</v>
      </c>
      <c r="O385" s="129">
        <f t="shared" si="182"/>
        <v>5820796.51953822</v>
      </c>
    </row>
    <row r="386" spans="1:15" x14ac:dyDescent="0.2">
      <c r="A386" s="119"/>
      <c r="B386" s="120"/>
      <c r="C386" s="129"/>
      <c r="D386" s="129"/>
      <c r="E386" s="129"/>
      <c r="F386" s="129"/>
      <c r="G386" s="129"/>
      <c r="H386" s="129"/>
      <c r="I386" s="129"/>
      <c r="J386" s="129"/>
      <c r="K386" s="129"/>
      <c r="L386" s="129"/>
      <c r="O386" s="129"/>
    </row>
    <row r="387" spans="1:15" s="114" customFormat="1" ht="15" x14ac:dyDescent="0.25">
      <c r="A387" s="118"/>
      <c r="B387" s="117" t="s">
        <v>274</v>
      </c>
      <c r="C387" s="128">
        <f>SUM(C341:C386)</f>
        <v>33342859</v>
      </c>
      <c r="D387" s="128">
        <f>SUM(D341:D386)</f>
        <v>2894756.5100000002</v>
      </c>
      <c r="E387" s="128">
        <f>SUM(E341:E386)</f>
        <v>579805.41</v>
      </c>
      <c r="F387" s="128">
        <f>SUM(F341:F386)</f>
        <v>16171341.200000001</v>
      </c>
      <c r="G387" s="128">
        <f>SUM(G341:G386)</f>
        <v>16004517.799999999</v>
      </c>
      <c r="H387" s="128">
        <v>50.07</v>
      </c>
      <c r="I387" s="128">
        <f t="shared" ref="I387:O387" si="183">SUM(I341:I386)</f>
        <v>1229184.3699999999</v>
      </c>
      <c r="J387" s="128">
        <f t="shared" si="183"/>
        <v>34572043.370000005</v>
      </c>
      <c r="K387" s="128">
        <f t="shared" si="183"/>
        <v>36421729.941649996</v>
      </c>
      <c r="L387" s="128">
        <f t="shared" si="183"/>
        <v>36743252.173945904</v>
      </c>
      <c r="M387" s="128">
        <f t="shared" si="183"/>
        <v>8443970.1438165214</v>
      </c>
      <c r="N387" s="128">
        <f t="shared" si="183"/>
        <v>0</v>
      </c>
      <c r="O387" s="128">
        <f t="shared" si="183"/>
        <v>38664738.253952101</v>
      </c>
    </row>
    <row r="388" spans="1:15" s="114" customFormat="1" ht="15" x14ac:dyDescent="0.25">
      <c r="A388" s="118"/>
      <c r="B388" s="117"/>
      <c r="C388" s="128"/>
      <c r="D388" s="128"/>
      <c r="E388" s="128"/>
      <c r="F388" s="128"/>
      <c r="G388" s="128"/>
      <c r="H388" s="128"/>
      <c r="I388" s="128"/>
      <c r="J388" s="128"/>
      <c r="K388" s="128"/>
      <c r="L388" s="128"/>
      <c r="M388" s="186"/>
      <c r="N388" s="186"/>
      <c r="O388" s="128"/>
    </row>
    <row r="389" spans="1:15" s="114" customFormat="1" ht="15" x14ac:dyDescent="0.25">
      <c r="A389" s="118"/>
      <c r="B389" s="117" t="s">
        <v>275</v>
      </c>
      <c r="C389" s="128"/>
      <c r="D389" s="128"/>
      <c r="E389" s="128"/>
      <c r="F389" s="128"/>
      <c r="G389" s="128"/>
      <c r="H389" s="128"/>
      <c r="I389" s="128"/>
      <c r="J389" s="128"/>
      <c r="K389" s="128"/>
      <c r="L389" s="128"/>
      <c r="M389" s="186"/>
      <c r="N389" s="186"/>
      <c r="O389" s="128"/>
    </row>
    <row r="390" spans="1:15" x14ac:dyDescent="0.2">
      <c r="A390" s="119"/>
      <c r="B390" s="120"/>
      <c r="C390" s="129"/>
      <c r="D390" s="129"/>
      <c r="E390" s="129"/>
      <c r="F390" s="129"/>
      <c r="G390" s="129"/>
      <c r="H390" s="129"/>
      <c r="I390" s="129"/>
      <c r="J390" s="129"/>
      <c r="K390" s="129"/>
      <c r="L390" s="129"/>
      <c r="O390" s="129"/>
    </row>
    <row r="391" spans="1:15" x14ac:dyDescent="0.2">
      <c r="A391" s="119">
        <v>1.00023206E+19</v>
      </c>
      <c r="B391" s="120" t="s">
        <v>276</v>
      </c>
      <c r="C391" s="129">
        <v>1929305</v>
      </c>
      <c r="D391" s="129">
        <v>206521.08</v>
      </c>
      <c r="E391" s="129">
        <v>178400</v>
      </c>
      <c r="F391" s="129">
        <v>864505.76</v>
      </c>
      <c r="G391" s="129">
        <v>1064799.24</v>
      </c>
      <c r="H391" s="129">
        <v>44.8</v>
      </c>
      <c r="I391" s="129">
        <f t="shared" ref="I391:O391" si="184">I599+I2315+I3070</f>
        <v>395109</v>
      </c>
      <c r="J391" s="129">
        <f t="shared" si="184"/>
        <v>2324414</v>
      </c>
      <c r="K391" s="129">
        <f t="shared" si="184"/>
        <v>2429012.63</v>
      </c>
      <c r="L391" s="129">
        <f t="shared" si="184"/>
        <v>2539106.4836499998</v>
      </c>
      <c r="M391" s="129">
        <f t="shared" si="184"/>
        <v>753732.56811181991</v>
      </c>
      <c r="N391" s="129">
        <f t="shared" si="184"/>
        <v>0</v>
      </c>
      <c r="O391" s="129">
        <f t="shared" si="184"/>
        <v>2654190.8218380501</v>
      </c>
    </row>
    <row r="392" spans="1:15" x14ac:dyDescent="0.2">
      <c r="A392" s="119">
        <v>1.0002320609999999E+19</v>
      </c>
      <c r="B392" s="120" t="s">
        <v>277</v>
      </c>
      <c r="C392" s="129">
        <v>2781631</v>
      </c>
      <c r="D392" s="129">
        <v>217932.66</v>
      </c>
      <c r="E392" s="129">
        <v>0</v>
      </c>
      <c r="F392" s="129">
        <v>1395304.43</v>
      </c>
      <c r="G392" s="129">
        <v>1386326.57</v>
      </c>
      <c r="H392" s="129">
        <v>50.16</v>
      </c>
      <c r="I392" s="129">
        <f t="shared" ref="I392:O392" si="185">I600+I2487+I3001</f>
        <v>0</v>
      </c>
      <c r="J392" s="129">
        <f t="shared" si="185"/>
        <v>2781631</v>
      </c>
      <c r="K392" s="129">
        <f t="shared" si="185"/>
        <v>2906804.395</v>
      </c>
      <c r="L392" s="129">
        <f t="shared" si="185"/>
        <v>3040517.3971699998</v>
      </c>
      <c r="M392" s="129">
        <f t="shared" si="185"/>
        <v>605976.14659999998</v>
      </c>
      <c r="N392" s="129">
        <f t="shared" si="185"/>
        <v>0</v>
      </c>
      <c r="O392" s="129">
        <f t="shared" si="185"/>
        <v>3180381.19743982</v>
      </c>
    </row>
    <row r="393" spans="1:15" x14ac:dyDescent="0.2">
      <c r="A393" s="119">
        <v>1.00023236E+19</v>
      </c>
      <c r="B393" s="120" t="s">
        <v>278</v>
      </c>
      <c r="C393" s="129">
        <v>147743</v>
      </c>
      <c r="D393" s="129">
        <v>0</v>
      </c>
      <c r="E393" s="129">
        <v>29995</v>
      </c>
      <c r="F393" s="129">
        <v>6264.26</v>
      </c>
      <c r="G393" s="129">
        <v>141478.74</v>
      </c>
      <c r="H393" s="129">
        <v>4.2300000000000004</v>
      </c>
      <c r="I393" s="129">
        <f t="shared" ref="I393:O393" si="186">I601+I2488</f>
        <v>-14743</v>
      </c>
      <c r="J393" s="129">
        <f t="shared" si="186"/>
        <v>133000</v>
      </c>
      <c r="K393" s="129">
        <f t="shared" si="186"/>
        <v>178400</v>
      </c>
      <c r="L393" s="129">
        <f t="shared" si="186"/>
        <v>186606.4</v>
      </c>
      <c r="M393" s="129">
        <f t="shared" si="186"/>
        <v>57988.148000000001</v>
      </c>
      <c r="N393" s="129">
        <f t="shared" si="186"/>
        <v>0</v>
      </c>
      <c r="O393" s="129">
        <f t="shared" si="186"/>
        <v>195190.29440000001</v>
      </c>
    </row>
    <row r="394" spans="1:15" x14ac:dyDescent="0.2">
      <c r="A394" s="119"/>
      <c r="B394" s="120"/>
      <c r="C394" s="129"/>
      <c r="D394" s="129"/>
      <c r="E394" s="129"/>
      <c r="F394" s="129"/>
      <c r="G394" s="129"/>
      <c r="H394" s="129"/>
      <c r="I394" s="129"/>
      <c r="J394" s="129"/>
      <c r="K394" s="129"/>
      <c r="L394" s="129"/>
      <c r="O394" s="129"/>
    </row>
    <row r="395" spans="1:15" s="114" customFormat="1" ht="15" x14ac:dyDescent="0.25">
      <c r="A395" s="118"/>
      <c r="B395" s="117" t="s">
        <v>279</v>
      </c>
      <c r="C395" s="128">
        <f>SUM(C391:C394)</f>
        <v>4858679</v>
      </c>
      <c r="D395" s="128">
        <f>SUM(D391:D394)</f>
        <v>424453.74</v>
      </c>
      <c r="E395" s="128">
        <f>SUM(E391:E394)</f>
        <v>208395</v>
      </c>
      <c r="F395" s="128">
        <f>SUM(F391:F394)</f>
        <v>2266074.4499999997</v>
      </c>
      <c r="G395" s="128">
        <f>SUM(G391:G394)</f>
        <v>2592604.5499999998</v>
      </c>
      <c r="H395" s="128">
        <v>46.63</v>
      </c>
      <c r="I395" s="128">
        <f t="shared" ref="I395:O395" si="187">SUM(I391:I394)</f>
        <v>380366</v>
      </c>
      <c r="J395" s="128">
        <f t="shared" si="187"/>
        <v>5239045</v>
      </c>
      <c r="K395" s="128">
        <f t="shared" si="187"/>
        <v>5514217.0250000004</v>
      </c>
      <c r="L395" s="128">
        <f t="shared" si="187"/>
        <v>5766230.28082</v>
      </c>
      <c r="M395" s="128">
        <f t="shared" si="187"/>
        <v>1417696.8627118198</v>
      </c>
      <c r="N395" s="128">
        <f t="shared" si="187"/>
        <v>0</v>
      </c>
      <c r="O395" s="128">
        <f t="shared" si="187"/>
        <v>6029762.3136778707</v>
      </c>
    </row>
    <row r="396" spans="1:15" s="114" customFormat="1" ht="15" x14ac:dyDescent="0.25">
      <c r="A396" s="118"/>
      <c r="B396" s="117"/>
      <c r="C396" s="128"/>
      <c r="D396" s="128"/>
      <c r="E396" s="128"/>
      <c r="F396" s="128"/>
      <c r="G396" s="128"/>
      <c r="H396" s="128"/>
      <c r="I396" s="128"/>
      <c r="J396" s="128"/>
      <c r="K396" s="128"/>
      <c r="L396" s="128"/>
      <c r="M396" s="186"/>
      <c r="N396" s="186"/>
      <c r="O396" s="128"/>
    </row>
    <row r="397" spans="1:15" s="114" customFormat="1" ht="15" x14ac:dyDescent="0.25">
      <c r="A397" s="118"/>
      <c r="B397" s="117" t="s">
        <v>280</v>
      </c>
      <c r="C397" s="128"/>
      <c r="D397" s="128"/>
      <c r="E397" s="128"/>
      <c r="F397" s="128"/>
      <c r="G397" s="128"/>
      <c r="H397" s="128"/>
      <c r="I397" s="128"/>
      <c r="J397" s="128"/>
      <c r="K397" s="128"/>
      <c r="L397" s="128"/>
      <c r="M397" s="186"/>
      <c r="N397" s="186"/>
      <c r="O397" s="128"/>
    </row>
    <row r="398" spans="1:15" x14ac:dyDescent="0.2">
      <c r="A398" s="119"/>
      <c r="B398" s="120"/>
      <c r="C398" s="129"/>
      <c r="D398" s="129"/>
      <c r="E398" s="129"/>
      <c r="F398" s="129"/>
      <c r="G398" s="129"/>
      <c r="H398" s="129"/>
      <c r="I398" s="129"/>
      <c r="J398" s="129"/>
      <c r="K398" s="129"/>
      <c r="L398" s="129"/>
      <c r="O398" s="129"/>
    </row>
    <row r="399" spans="1:15" x14ac:dyDescent="0.2">
      <c r="A399" s="119">
        <v>1.0002340009999999E+19</v>
      </c>
      <c r="B399" s="120" t="s">
        <v>281</v>
      </c>
      <c r="C399" s="129">
        <v>8268000</v>
      </c>
      <c r="D399" s="129">
        <v>920436.45</v>
      </c>
      <c r="E399" s="129">
        <v>0</v>
      </c>
      <c r="F399" s="129">
        <v>7154561.2199999997</v>
      </c>
      <c r="G399" s="129">
        <v>1113438.78</v>
      </c>
      <c r="H399" s="129">
        <v>86.53</v>
      </c>
      <c r="I399" s="129">
        <f t="shared" ref="I399:O399" si="188">I3299</f>
        <v>0</v>
      </c>
      <c r="J399" s="129">
        <f t="shared" si="188"/>
        <v>8268000</v>
      </c>
      <c r="K399" s="129">
        <f t="shared" si="188"/>
        <v>8937708</v>
      </c>
      <c r="L399" s="129">
        <f t="shared" si="188"/>
        <v>9402468.8159999996</v>
      </c>
      <c r="M399" s="129">
        <f t="shared" si="188"/>
        <v>10239288.540624</v>
      </c>
      <c r="N399" s="129">
        <f t="shared" si="188"/>
        <v>0</v>
      </c>
      <c r="O399" s="129">
        <f t="shared" si="188"/>
        <v>10239288.540624</v>
      </c>
    </row>
    <row r="400" spans="1:15" x14ac:dyDescent="0.2">
      <c r="A400" s="119"/>
      <c r="B400" s="120"/>
      <c r="C400" s="129"/>
      <c r="D400" s="129"/>
      <c r="E400" s="129"/>
      <c r="F400" s="129"/>
      <c r="G400" s="129"/>
      <c r="H400" s="129"/>
      <c r="I400" s="129"/>
      <c r="J400" s="129"/>
      <c r="K400" s="129"/>
      <c r="L400" s="129"/>
      <c r="O400" s="129"/>
    </row>
    <row r="401" spans="1:15" s="114" customFormat="1" ht="15" x14ac:dyDescent="0.25">
      <c r="A401" s="118"/>
      <c r="B401" s="117" t="s">
        <v>282</v>
      </c>
      <c r="C401" s="128">
        <f>SUM(C399:C400)</f>
        <v>8268000</v>
      </c>
      <c r="D401" s="128">
        <f>SUM(D399:D400)</f>
        <v>920436.45</v>
      </c>
      <c r="E401" s="128">
        <f>SUM(E399:E400)</f>
        <v>0</v>
      </c>
      <c r="F401" s="128">
        <f>SUM(F399:F400)</f>
        <v>7154561.2199999997</v>
      </c>
      <c r="G401" s="128">
        <f>SUM(G399:G400)</f>
        <v>1113438.78</v>
      </c>
      <c r="H401" s="128">
        <v>86.53</v>
      </c>
      <c r="I401" s="128">
        <f t="shared" ref="I401:O401" si="189">SUM(I399:I400)</f>
        <v>0</v>
      </c>
      <c r="J401" s="128">
        <f t="shared" si="189"/>
        <v>8268000</v>
      </c>
      <c r="K401" s="128">
        <f t="shared" si="189"/>
        <v>8937708</v>
      </c>
      <c r="L401" s="128">
        <f t="shared" si="189"/>
        <v>9402468.8159999996</v>
      </c>
      <c r="M401" s="128">
        <f t="shared" si="189"/>
        <v>10239288.540624</v>
      </c>
      <c r="N401" s="128">
        <f t="shared" si="189"/>
        <v>0</v>
      </c>
      <c r="O401" s="128">
        <f t="shared" si="189"/>
        <v>10239288.540624</v>
      </c>
    </row>
    <row r="402" spans="1:15" s="114" customFormat="1" ht="15" x14ac:dyDescent="0.25">
      <c r="A402" s="118"/>
      <c r="B402" s="117"/>
      <c r="C402" s="128"/>
      <c r="D402" s="128"/>
      <c r="E402" s="128"/>
      <c r="F402" s="128"/>
      <c r="G402" s="128"/>
      <c r="H402" s="128"/>
      <c r="I402" s="128"/>
      <c r="J402" s="128"/>
      <c r="K402" s="128"/>
      <c r="L402" s="128"/>
      <c r="M402" s="186"/>
      <c r="N402" s="186"/>
      <c r="O402" s="128"/>
    </row>
    <row r="403" spans="1:15" s="114" customFormat="1" ht="15" x14ac:dyDescent="0.25">
      <c r="A403" s="118"/>
      <c r="B403" s="117" t="s">
        <v>56</v>
      </c>
      <c r="C403" s="128"/>
      <c r="D403" s="128"/>
      <c r="E403" s="128"/>
      <c r="F403" s="128"/>
      <c r="G403" s="128"/>
      <c r="H403" s="128"/>
      <c r="I403" s="128"/>
      <c r="J403" s="128"/>
      <c r="K403" s="128"/>
      <c r="L403" s="128"/>
      <c r="M403" s="186"/>
      <c r="N403" s="186"/>
      <c r="O403" s="128"/>
    </row>
    <row r="404" spans="1:15" x14ac:dyDescent="0.2">
      <c r="A404" s="119"/>
      <c r="B404" s="120"/>
      <c r="C404" s="129"/>
      <c r="D404" s="129"/>
      <c r="E404" s="129"/>
      <c r="F404" s="129"/>
      <c r="G404" s="129"/>
      <c r="H404" s="129"/>
      <c r="I404" s="129"/>
      <c r="J404" s="129"/>
      <c r="K404" s="129"/>
      <c r="L404" s="129"/>
      <c r="O404" s="129"/>
    </row>
    <row r="405" spans="1:15" x14ac:dyDescent="0.2">
      <c r="A405" s="119">
        <v>1.000236242E+19</v>
      </c>
      <c r="B405" s="120" t="s">
        <v>283</v>
      </c>
      <c r="C405" s="129">
        <v>1255286</v>
      </c>
      <c r="D405" s="129">
        <v>1251.27</v>
      </c>
      <c r="E405" s="129">
        <v>0</v>
      </c>
      <c r="F405" s="129">
        <v>7833.96</v>
      </c>
      <c r="G405" s="129">
        <v>1247452.04</v>
      </c>
      <c r="H405" s="129">
        <v>0.62</v>
      </c>
      <c r="I405" s="129">
        <f t="shared" ref="I405:O405" si="190">I2114+I2383</f>
        <v>0</v>
      </c>
      <c r="J405" s="129">
        <f t="shared" si="190"/>
        <v>1255286</v>
      </c>
      <c r="K405" s="129">
        <f t="shared" si="190"/>
        <v>1311773.8700000001</v>
      </c>
      <c r="L405" s="129">
        <f t="shared" si="190"/>
        <v>1370803.6941500001</v>
      </c>
      <c r="M405" s="129">
        <f t="shared" si="190"/>
        <v>0</v>
      </c>
      <c r="N405" s="129">
        <f t="shared" si="190"/>
        <v>0</v>
      </c>
      <c r="O405" s="129">
        <f t="shared" si="190"/>
        <v>1432489.8603867502</v>
      </c>
    </row>
    <row r="406" spans="1:15" x14ac:dyDescent="0.2">
      <c r="A406" s="119"/>
      <c r="B406" s="120"/>
      <c r="C406" s="129"/>
      <c r="D406" s="129"/>
      <c r="E406" s="129"/>
      <c r="F406" s="129"/>
      <c r="G406" s="129"/>
      <c r="H406" s="129"/>
      <c r="I406" s="129"/>
      <c r="J406" s="129"/>
      <c r="K406" s="129"/>
      <c r="L406" s="129"/>
      <c r="O406" s="129"/>
    </row>
    <row r="407" spans="1:15" s="114" customFormat="1" ht="15" x14ac:dyDescent="0.25">
      <c r="A407" s="118"/>
      <c r="B407" s="117" t="s">
        <v>284</v>
      </c>
      <c r="C407" s="128">
        <f>SUM(C405:C406)</f>
        <v>1255286</v>
      </c>
      <c r="D407" s="128">
        <v>1251.27</v>
      </c>
      <c r="E407" s="128">
        <v>0</v>
      </c>
      <c r="F407" s="128">
        <v>7833.96</v>
      </c>
      <c r="G407" s="128">
        <v>1247452.04</v>
      </c>
      <c r="H407" s="128">
        <v>0.62</v>
      </c>
      <c r="I407" s="128">
        <f t="shared" ref="I407:O407" si="191">SUM(I405:I406)</f>
        <v>0</v>
      </c>
      <c r="J407" s="128">
        <f t="shared" si="191"/>
        <v>1255286</v>
      </c>
      <c r="K407" s="128">
        <f t="shared" si="191"/>
        <v>1311773.8700000001</v>
      </c>
      <c r="L407" s="128">
        <f t="shared" si="191"/>
        <v>1370803.6941500001</v>
      </c>
      <c r="M407" s="128">
        <f t="shared" si="191"/>
        <v>0</v>
      </c>
      <c r="N407" s="128">
        <f t="shared" si="191"/>
        <v>0</v>
      </c>
      <c r="O407" s="128">
        <f t="shared" si="191"/>
        <v>1432489.8603867502</v>
      </c>
    </row>
    <row r="408" spans="1:15" s="114" customFormat="1" ht="15" x14ac:dyDescent="0.25">
      <c r="A408" s="118"/>
      <c r="B408" s="117"/>
      <c r="C408" s="128"/>
      <c r="D408" s="128"/>
      <c r="E408" s="128"/>
      <c r="F408" s="128"/>
      <c r="G408" s="128"/>
      <c r="H408" s="128"/>
      <c r="I408" s="128"/>
      <c r="J408" s="128"/>
      <c r="K408" s="128"/>
      <c r="L408" s="128"/>
      <c r="M408" s="186"/>
      <c r="N408" s="186"/>
      <c r="O408" s="128"/>
    </row>
    <row r="409" spans="1:15" s="114" customFormat="1" ht="15" x14ac:dyDescent="0.25">
      <c r="A409" s="118"/>
      <c r="B409" s="117" t="s">
        <v>285</v>
      </c>
      <c r="C409" s="128"/>
      <c r="D409" s="128"/>
      <c r="E409" s="128"/>
      <c r="F409" s="128"/>
      <c r="G409" s="128"/>
      <c r="H409" s="128"/>
      <c r="I409" s="128"/>
      <c r="J409" s="128"/>
      <c r="K409" s="128"/>
      <c r="L409" s="128"/>
      <c r="M409" s="186"/>
      <c r="N409" s="186"/>
      <c r="O409" s="128"/>
    </row>
    <row r="410" spans="1:15" s="114" customFormat="1" ht="15" x14ac:dyDescent="0.25">
      <c r="A410" s="118"/>
      <c r="B410" s="117"/>
      <c r="C410" s="128"/>
      <c r="D410" s="128"/>
      <c r="E410" s="128"/>
      <c r="F410" s="128"/>
      <c r="G410" s="128"/>
      <c r="H410" s="128"/>
      <c r="I410" s="128"/>
      <c r="J410" s="128"/>
      <c r="K410" s="128"/>
      <c r="L410" s="128"/>
      <c r="M410" s="186"/>
      <c r="N410" s="186"/>
      <c r="O410" s="128"/>
    </row>
    <row r="411" spans="1:15" x14ac:dyDescent="0.2">
      <c r="A411" s="119">
        <v>1.00023815E+19</v>
      </c>
      <c r="B411" s="120" t="s">
        <v>286</v>
      </c>
      <c r="C411" s="129">
        <f>C607+C608+C609</f>
        <v>549705</v>
      </c>
      <c r="D411" s="129">
        <f t="shared" ref="D411:O411" si="192">D607+D608+D609</f>
        <v>44113.22</v>
      </c>
      <c r="E411" s="129">
        <f t="shared" si="192"/>
        <v>0</v>
      </c>
      <c r="F411" s="129">
        <f t="shared" si="192"/>
        <v>246703.31</v>
      </c>
      <c r="G411" s="129">
        <f t="shared" si="192"/>
        <v>303001.69</v>
      </c>
      <c r="H411" s="129">
        <f t="shared" si="192"/>
        <v>61.67</v>
      </c>
      <c r="I411" s="129">
        <f t="shared" si="192"/>
        <v>0</v>
      </c>
      <c r="J411" s="129">
        <f t="shared" si="192"/>
        <v>549705</v>
      </c>
      <c r="K411" s="129">
        <f t="shared" si="192"/>
        <v>2974441.7250000001</v>
      </c>
      <c r="L411" s="129">
        <f t="shared" si="192"/>
        <v>3111266.0443500001</v>
      </c>
      <c r="M411" s="129">
        <f t="shared" si="192"/>
        <v>3254384.2823901</v>
      </c>
      <c r="N411" s="129">
        <f t="shared" si="192"/>
        <v>0</v>
      </c>
      <c r="O411" s="129">
        <f t="shared" si="192"/>
        <v>628505.88239010004</v>
      </c>
    </row>
    <row r="412" spans="1:15" x14ac:dyDescent="0.2">
      <c r="A412" s="119"/>
      <c r="B412" s="120"/>
      <c r="C412" s="129"/>
      <c r="D412" s="129"/>
      <c r="E412" s="129"/>
      <c r="F412" s="129"/>
      <c r="G412" s="129"/>
      <c r="H412" s="129"/>
      <c r="I412" s="129"/>
      <c r="J412" s="129"/>
      <c r="K412" s="129"/>
      <c r="L412" s="129"/>
      <c r="O412" s="129"/>
    </row>
    <row r="413" spans="1:15" s="114" customFormat="1" ht="15" x14ac:dyDescent="0.25">
      <c r="A413" s="118"/>
      <c r="B413" s="117" t="s">
        <v>287</v>
      </c>
      <c r="C413" s="128">
        <f>SUM(C411:C412)</f>
        <v>549705</v>
      </c>
      <c r="D413" s="128">
        <v>44113.22</v>
      </c>
      <c r="E413" s="128">
        <v>0</v>
      </c>
      <c r="F413" s="128">
        <v>246703.31</v>
      </c>
      <c r="G413" s="128">
        <v>303001.69</v>
      </c>
      <c r="H413" s="128">
        <v>44.87</v>
      </c>
      <c r="I413" s="128">
        <f t="shared" ref="I413:O413" si="193">SUM(I411:I412)</f>
        <v>0</v>
      </c>
      <c r="J413" s="128">
        <f t="shared" si="193"/>
        <v>549705</v>
      </c>
      <c r="K413" s="128">
        <f t="shared" si="193"/>
        <v>2974441.7250000001</v>
      </c>
      <c r="L413" s="128">
        <f t="shared" si="193"/>
        <v>3111266.0443500001</v>
      </c>
      <c r="M413" s="128">
        <f t="shared" si="193"/>
        <v>3254384.2823901</v>
      </c>
      <c r="N413" s="128">
        <f t="shared" si="193"/>
        <v>0</v>
      </c>
      <c r="O413" s="128">
        <f t="shared" si="193"/>
        <v>628505.88239010004</v>
      </c>
    </row>
    <row r="414" spans="1:15" s="114" customFormat="1" ht="15" x14ac:dyDescent="0.25">
      <c r="A414" s="118"/>
      <c r="B414" s="117"/>
      <c r="C414" s="128"/>
      <c r="D414" s="128"/>
      <c r="E414" s="128"/>
      <c r="F414" s="128"/>
      <c r="G414" s="128"/>
      <c r="H414" s="128"/>
      <c r="I414" s="128"/>
      <c r="J414" s="128"/>
      <c r="K414" s="128"/>
      <c r="L414" s="128"/>
      <c r="M414" s="186"/>
      <c r="N414" s="186"/>
      <c r="O414" s="128"/>
    </row>
    <row r="415" spans="1:15" s="114" customFormat="1" ht="15" x14ac:dyDescent="0.25">
      <c r="A415" s="118"/>
      <c r="B415" s="117" t="s">
        <v>288</v>
      </c>
      <c r="C415" s="128"/>
      <c r="D415" s="128"/>
      <c r="E415" s="128"/>
      <c r="F415" s="128"/>
      <c r="G415" s="128"/>
      <c r="H415" s="128"/>
      <c r="I415" s="128"/>
      <c r="J415" s="128"/>
      <c r="K415" s="128"/>
      <c r="L415" s="128"/>
      <c r="M415" s="186"/>
      <c r="N415" s="186"/>
      <c r="O415" s="128"/>
    </row>
    <row r="416" spans="1:15" x14ac:dyDescent="0.2">
      <c r="A416" s="119"/>
      <c r="B416" s="120"/>
      <c r="C416" s="129"/>
      <c r="D416" s="129"/>
      <c r="E416" s="129"/>
      <c r="F416" s="129"/>
      <c r="G416" s="129"/>
      <c r="H416" s="129"/>
      <c r="I416" s="129"/>
      <c r="J416" s="129"/>
      <c r="K416" s="129"/>
      <c r="L416" s="129"/>
      <c r="O416" s="129"/>
    </row>
    <row r="417" spans="1:15" x14ac:dyDescent="0.2">
      <c r="A417" s="119">
        <v>1.0002400009999999E+19</v>
      </c>
      <c r="B417" s="120" t="s">
        <v>288</v>
      </c>
      <c r="C417" s="129">
        <v>5837102</v>
      </c>
      <c r="D417" s="129">
        <v>3123784.63</v>
      </c>
      <c r="E417" s="129">
        <v>0</v>
      </c>
      <c r="F417" s="129">
        <v>3309146.79</v>
      </c>
      <c r="G417" s="129">
        <v>2527955.21</v>
      </c>
      <c r="H417" s="129">
        <v>56.69</v>
      </c>
      <c r="I417" s="129">
        <f>I2229+I3411</f>
        <v>0</v>
      </c>
      <c r="J417" s="129">
        <f>J2229+J3411</f>
        <v>5837102</v>
      </c>
      <c r="K417" s="129">
        <f>K2229</f>
        <v>6099771.5899999999</v>
      </c>
      <c r="L417" s="129">
        <f>L2229</f>
        <v>6374261.3115499998</v>
      </c>
      <c r="M417" s="129">
        <f>M2229+M3417</f>
        <v>0</v>
      </c>
      <c r="N417" s="129">
        <f>N2229+N3417</f>
        <v>0</v>
      </c>
      <c r="O417" s="129">
        <f>O2229</f>
        <v>6661103.0705697499</v>
      </c>
    </row>
    <row r="418" spans="1:15" x14ac:dyDescent="0.2">
      <c r="A418" s="119"/>
      <c r="B418" s="120"/>
      <c r="C418" s="129"/>
      <c r="D418" s="129"/>
      <c r="E418" s="129"/>
      <c r="F418" s="129"/>
      <c r="G418" s="129"/>
      <c r="H418" s="129"/>
      <c r="I418" s="129"/>
      <c r="J418" s="129"/>
      <c r="K418" s="129"/>
      <c r="L418" s="129"/>
      <c r="O418" s="129"/>
    </row>
    <row r="419" spans="1:15" s="114" customFormat="1" ht="15" x14ac:dyDescent="0.25">
      <c r="A419" s="118"/>
      <c r="B419" s="117" t="s">
        <v>289</v>
      </c>
      <c r="C419" s="128">
        <f>SUM(C417:C418)</f>
        <v>5837102</v>
      </c>
      <c r="D419" s="128">
        <v>3123784.63</v>
      </c>
      <c r="E419" s="128">
        <v>0</v>
      </c>
      <c r="F419" s="128">
        <v>3309146.79</v>
      </c>
      <c r="G419" s="128">
        <v>2527955.21</v>
      </c>
      <c r="H419" s="128">
        <v>56.69</v>
      </c>
      <c r="I419" s="128">
        <f t="shared" ref="I419:O419" si="194">SUM(I417:I418)</f>
        <v>0</v>
      </c>
      <c r="J419" s="128">
        <f t="shared" si="194"/>
        <v>5837102</v>
      </c>
      <c r="K419" s="128">
        <f t="shared" si="194"/>
        <v>6099771.5899999999</v>
      </c>
      <c r="L419" s="128">
        <f t="shared" si="194"/>
        <v>6374261.3115499998</v>
      </c>
      <c r="M419" s="128">
        <f t="shared" si="194"/>
        <v>0</v>
      </c>
      <c r="N419" s="128">
        <f t="shared" si="194"/>
        <v>0</v>
      </c>
      <c r="O419" s="128">
        <f t="shared" si="194"/>
        <v>6661103.0705697499</v>
      </c>
    </row>
    <row r="420" spans="1:15" s="114" customFormat="1" ht="15" x14ac:dyDescent="0.25">
      <c r="A420" s="118"/>
      <c r="B420" s="117"/>
      <c r="C420" s="128"/>
      <c r="D420" s="128"/>
      <c r="E420" s="128"/>
      <c r="F420" s="128"/>
      <c r="G420" s="128"/>
      <c r="H420" s="128"/>
      <c r="I420" s="128"/>
      <c r="J420" s="128"/>
      <c r="K420" s="128"/>
      <c r="L420" s="128"/>
      <c r="M420" s="186"/>
      <c r="N420" s="186"/>
      <c r="O420" s="128"/>
    </row>
    <row r="421" spans="1:15" s="114" customFormat="1" ht="15" x14ac:dyDescent="0.25">
      <c r="A421" s="118"/>
      <c r="B421" s="117" t="s">
        <v>290</v>
      </c>
      <c r="C421" s="128"/>
      <c r="D421" s="128"/>
      <c r="E421" s="128"/>
      <c r="F421" s="128"/>
      <c r="G421" s="128"/>
      <c r="H421" s="128"/>
      <c r="I421" s="128"/>
      <c r="J421" s="128"/>
      <c r="K421" s="128"/>
      <c r="L421" s="128"/>
      <c r="M421" s="186"/>
      <c r="N421" s="186"/>
      <c r="O421" s="128"/>
    </row>
    <row r="422" spans="1:15" x14ac:dyDescent="0.2">
      <c r="A422" s="119"/>
      <c r="B422" s="120"/>
      <c r="C422" s="129"/>
      <c r="D422" s="129"/>
      <c r="E422" s="129"/>
      <c r="F422" s="129"/>
      <c r="G422" s="129"/>
      <c r="H422" s="129"/>
      <c r="I422" s="129"/>
      <c r="J422" s="129"/>
      <c r="K422" s="129"/>
      <c r="L422" s="129"/>
      <c r="O422" s="129"/>
    </row>
    <row r="423" spans="1:15" x14ac:dyDescent="0.2">
      <c r="A423" s="119">
        <v>1.000272004E+19</v>
      </c>
      <c r="B423" s="120" t="s">
        <v>291</v>
      </c>
      <c r="C423" s="129">
        <v>37447</v>
      </c>
      <c r="D423" s="129">
        <v>322669.31</v>
      </c>
      <c r="E423" s="129">
        <v>0</v>
      </c>
      <c r="F423" s="129">
        <v>743523.02</v>
      </c>
      <c r="G423" s="129">
        <v>-706076.02</v>
      </c>
      <c r="H423" s="129">
        <v>999.99</v>
      </c>
      <c r="I423" s="129">
        <f t="shared" ref="I423:O423" si="195">I615+I807+I1146+I2040+I2120+I2235+I2772+I3076+I3177</f>
        <v>781859</v>
      </c>
      <c r="J423" s="129">
        <f t="shared" si="195"/>
        <v>819306</v>
      </c>
      <c r="K423" s="129">
        <f t="shared" si="195"/>
        <v>856174.7699999999</v>
      </c>
      <c r="L423" s="129">
        <f t="shared" si="195"/>
        <v>895558.80941999995</v>
      </c>
      <c r="M423" s="129">
        <f t="shared" si="195"/>
        <v>925191.80376546015</v>
      </c>
      <c r="N423" s="129">
        <f t="shared" si="195"/>
        <v>0</v>
      </c>
      <c r="O423" s="129">
        <f t="shared" si="195"/>
        <v>936754.51465332031</v>
      </c>
    </row>
    <row r="424" spans="1:15" x14ac:dyDescent="0.2">
      <c r="A424" s="119">
        <v>1.00027206E+19</v>
      </c>
      <c r="B424" s="120" t="s">
        <v>292</v>
      </c>
      <c r="C424" s="129">
        <v>228469</v>
      </c>
      <c r="D424" s="129">
        <v>98424.72</v>
      </c>
      <c r="E424" s="129">
        <v>0</v>
      </c>
      <c r="F424" s="129">
        <v>273732.53999999998</v>
      </c>
      <c r="G424" s="129">
        <v>-45263.54</v>
      </c>
      <c r="H424" s="129">
        <v>119.81</v>
      </c>
      <c r="I424" s="129">
        <f t="shared" ref="I424:O424" si="196">I616+I730+I808+I878+I964+I1147+I1278+I1550+I2041+I2121+I2236+I2321+I2389+I2494+I2554+I2773+I3077+I3178+I3305+I3417</f>
        <v>0</v>
      </c>
      <c r="J424" s="129">
        <f t="shared" si="196"/>
        <v>228469</v>
      </c>
      <c r="K424" s="129">
        <f t="shared" si="196"/>
        <v>238750.10500000001</v>
      </c>
      <c r="L424" s="129">
        <f t="shared" si="196"/>
        <v>249689.22143000003</v>
      </c>
      <c r="M424" s="129">
        <f t="shared" si="196"/>
        <v>10016.900038419999</v>
      </c>
      <c r="N424" s="129">
        <f t="shared" si="196"/>
        <v>0</v>
      </c>
      <c r="O424" s="129">
        <f t="shared" si="196"/>
        <v>261129.58473777998</v>
      </c>
    </row>
    <row r="425" spans="1:15" x14ac:dyDescent="0.2">
      <c r="A425" s="119">
        <v>1.00027215E+19</v>
      </c>
      <c r="B425" s="120" t="s">
        <v>293</v>
      </c>
      <c r="C425" s="129">
        <v>803090</v>
      </c>
      <c r="D425" s="129">
        <v>306679.86</v>
      </c>
      <c r="E425" s="129">
        <v>0</v>
      </c>
      <c r="F425" s="129">
        <v>692622.92</v>
      </c>
      <c r="G425" s="129">
        <v>110467.08</v>
      </c>
      <c r="H425" s="129">
        <v>86.24</v>
      </c>
      <c r="I425" s="129">
        <f t="shared" ref="I425:O425" si="197">I617+I731+I809+I879+I965+I1071+I1148+I1279+I1551+I2042+I2122+I2237+I2322+I2390+I2495+I2555+I2670+I2774+I2948+I3078+I3179+I3306+I3418</f>
        <v>0</v>
      </c>
      <c r="J425" s="129">
        <f t="shared" si="197"/>
        <v>803090</v>
      </c>
      <c r="K425" s="129">
        <f t="shared" si="197"/>
        <v>839229.04999999993</v>
      </c>
      <c r="L425" s="129">
        <f t="shared" si="197"/>
        <v>877697.45206000016</v>
      </c>
      <c r="M425" s="129">
        <f t="shared" si="197"/>
        <v>71691.551547659998</v>
      </c>
      <c r="N425" s="129">
        <f t="shared" si="197"/>
        <v>0</v>
      </c>
      <c r="O425" s="129">
        <f t="shared" si="197"/>
        <v>917929.27457395988</v>
      </c>
    </row>
    <row r="426" spans="1:15" x14ac:dyDescent="0.2">
      <c r="A426" s="119">
        <v>1.0002722489999999E+19</v>
      </c>
      <c r="B426" s="120" t="s">
        <v>294</v>
      </c>
      <c r="C426" s="129">
        <v>526309</v>
      </c>
      <c r="D426" s="129">
        <v>94757.06</v>
      </c>
      <c r="E426" s="129">
        <v>0</v>
      </c>
      <c r="F426" s="129">
        <v>239550.41</v>
      </c>
      <c r="G426" s="129">
        <v>286758.59000000003</v>
      </c>
      <c r="H426" s="129">
        <v>45.51</v>
      </c>
      <c r="I426" s="129">
        <f t="shared" ref="I426:O426" si="198">I3079+I3307</f>
        <v>3513156.6700000199</v>
      </c>
      <c r="J426" s="129">
        <f t="shared" si="198"/>
        <v>4039465.6700000199</v>
      </c>
      <c r="K426" s="129">
        <f t="shared" si="198"/>
        <v>4221241.6251500212</v>
      </c>
      <c r="L426" s="129">
        <f t="shared" si="198"/>
        <v>4415418.739906922</v>
      </c>
      <c r="M426" s="129">
        <f t="shared" si="198"/>
        <v>0</v>
      </c>
      <c r="N426" s="129">
        <f t="shared" si="198"/>
        <v>0</v>
      </c>
      <c r="O426" s="129">
        <f t="shared" si="198"/>
        <v>4618528.0019426402</v>
      </c>
    </row>
    <row r="427" spans="1:15" x14ac:dyDescent="0.2">
      <c r="A427" s="119">
        <v>1.0002722910000001E+19</v>
      </c>
      <c r="B427" s="120" t="s">
        <v>295</v>
      </c>
      <c r="C427" s="129">
        <v>48688</v>
      </c>
      <c r="D427" s="129">
        <v>1846058</v>
      </c>
      <c r="E427" s="129">
        <v>0</v>
      </c>
      <c r="F427" s="129">
        <v>3692116</v>
      </c>
      <c r="G427" s="129">
        <v>-3643428</v>
      </c>
      <c r="H427" s="129">
        <v>999.99</v>
      </c>
      <c r="I427" s="129">
        <f t="shared" ref="I427:O427" si="199">I1280</f>
        <v>0</v>
      </c>
      <c r="J427" s="129">
        <f t="shared" si="199"/>
        <v>48688</v>
      </c>
      <c r="K427" s="129">
        <f t="shared" si="199"/>
        <v>50878.96</v>
      </c>
      <c r="L427" s="129">
        <f t="shared" si="199"/>
        <v>53219.392159999996</v>
      </c>
      <c r="M427" s="129">
        <f t="shared" si="199"/>
        <v>0</v>
      </c>
      <c r="N427" s="129">
        <f t="shared" si="199"/>
        <v>0</v>
      </c>
      <c r="O427" s="129">
        <f t="shared" si="199"/>
        <v>55667.484199359998</v>
      </c>
    </row>
    <row r="428" spans="1:15" x14ac:dyDescent="0.2">
      <c r="A428" s="119">
        <v>1.00027236E+19</v>
      </c>
      <c r="B428" s="120" t="s">
        <v>296</v>
      </c>
      <c r="C428" s="129">
        <v>816130</v>
      </c>
      <c r="D428" s="129">
        <v>133492</v>
      </c>
      <c r="E428" s="129">
        <v>0</v>
      </c>
      <c r="F428" s="129">
        <v>295663.34999999998</v>
      </c>
      <c r="G428" s="129">
        <v>520466.65</v>
      </c>
      <c r="H428" s="129">
        <v>36.22</v>
      </c>
      <c r="I428" s="129">
        <f>I618+I1281+I2238+I2496+I2671+I2775+I3080+I2856+I3308</f>
        <v>0</v>
      </c>
      <c r="J428" s="129">
        <f>J618+J1281+J2238+J2496+J2671+J2775+J3080+J2856+J3308</f>
        <v>816130</v>
      </c>
      <c r="K428" s="129">
        <f>K618+K1281+K2238+K2496+K2671+K2775+K2856+K3080+K3308</f>
        <v>852855.85</v>
      </c>
      <c r="L428" s="129">
        <f t="shared" ref="L428:O428" si="200">L618+L1281+L2238+L2496+L2671+L2775+L2856+L3080+L3308</f>
        <v>892087.21909999999</v>
      </c>
      <c r="M428" s="129">
        <f t="shared" si="200"/>
        <v>6423.3471539599996</v>
      </c>
      <c r="N428" s="129">
        <f t="shared" si="200"/>
        <v>0</v>
      </c>
      <c r="O428" s="129">
        <f t="shared" si="200"/>
        <v>933123.23117859999</v>
      </c>
    </row>
    <row r="429" spans="1:15" x14ac:dyDescent="0.2">
      <c r="A429" s="119">
        <v>1.00027257E+19</v>
      </c>
      <c r="B429" s="120" t="s">
        <v>297</v>
      </c>
      <c r="C429" s="129">
        <v>1396916</v>
      </c>
      <c r="D429" s="129">
        <v>212164.84</v>
      </c>
      <c r="E429" s="129">
        <v>0</v>
      </c>
      <c r="F429" s="129">
        <v>504307.58</v>
      </c>
      <c r="G429" s="129">
        <v>892608.42</v>
      </c>
      <c r="H429" s="129">
        <v>36.1</v>
      </c>
      <c r="I429" s="129">
        <f>I619+I880+I1149+I2497+I3081+I3309+I3419+I1282</f>
        <v>0</v>
      </c>
      <c r="J429" s="129">
        <f t="shared" ref="J429:O429" si="201">J619+J880+J1149+J2497+J3081+J3309+J3419</f>
        <v>1396916</v>
      </c>
      <c r="K429" s="129">
        <f t="shared" si="201"/>
        <v>1459777.22</v>
      </c>
      <c r="L429" s="129">
        <f t="shared" si="201"/>
        <v>1526926.97212</v>
      </c>
      <c r="M429" s="129">
        <f t="shared" si="201"/>
        <v>271234.92321815999</v>
      </c>
      <c r="N429" s="129">
        <f t="shared" si="201"/>
        <v>0</v>
      </c>
      <c r="O429" s="129">
        <f t="shared" si="201"/>
        <v>1597165.61283752</v>
      </c>
    </row>
    <row r="430" spans="1:15" x14ac:dyDescent="0.2">
      <c r="A430" s="119">
        <v>1.0002728E+19</v>
      </c>
      <c r="B430" s="120" t="s">
        <v>298</v>
      </c>
      <c r="C430" s="129">
        <v>2276857</v>
      </c>
      <c r="D430" s="129">
        <v>338696.34</v>
      </c>
      <c r="E430" s="129">
        <v>0</v>
      </c>
      <c r="F430" s="129">
        <v>680962.43</v>
      </c>
      <c r="G430" s="129">
        <v>1595894.57</v>
      </c>
      <c r="H430" s="129">
        <v>29.9</v>
      </c>
      <c r="I430" s="129">
        <f>I620+I881+I1283+I2498+I3082</f>
        <v>2182253</v>
      </c>
      <c r="J430" s="129">
        <f>J620+J881+J1150+J2498+J3082+J3310+J3420</f>
        <v>4459110</v>
      </c>
      <c r="K430" s="129">
        <f>K620+K881+K1283+K2498+K3082</f>
        <v>4659769.95</v>
      </c>
      <c r="L430" s="129">
        <f t="shared" ref="L430:O430" si="202">L620+L881+L1283+L2498+L3082</f>
        <v>4874119.3677000003</v>
      </c>
      <c r="M430" s="129">
        <f t="shared" si="202"/>
        <v>0</v>
      </c>
      <c r="N430" s="129">
        <f t="shared" si="202"/>
        <v>0</v>
      </c>
      <c r="O430" s="129">
        <f t="shared" si="202"/>
        <v>5098328.8586142007</v>
      </c>
    </row>
    <row r="431" spans="1:15" x14ac:dyDescent="0.2">
      <c r="A431" s="119">
        <v>1.000272802E+19</v>
      </c>
      <c r="B431" s="120" t="s">
        <v>299</v>
      </c>
      <c r="C431" s="129">
        <v>48858</v>
      </c>
      <c r="D431" s="129">
        <v>0</v>
      </c>
      <c r="E431" s="129">
        <v>0</v>
      </c>
      <c r="F431" s="129">
        <v>0</v>
      </c>
      <c r="G431" s="129">
        <v>48858</v>
      </c>
      <c r="H431" s="129">
        <v>0</v>
      </c>
      <c r="I431" s="129">
        <f>I621+I1284+I2499</f>
        <v>0</v>
      </c>
      <c r="J431" s="129">
        <f>J621+J1284+J2499</f>
        <v>48858</v>
      </c>
      <c r="K431" s="129">
        <f>K621+K1284+K2499</f>
        <v>51056.61</v>
      </c>
      <c r="L431" s="129">
        <f t="shared" ref="L431:O431" si="203">L621+L1284+L2499</f>
        <v>53405.214060000006</v>
      </c>
      <c r="M431" s="129">
        <f t="shared" si="203"/>
        <v>47413.631742180005</v>
      </c>
      <c r="N431" s="129">
        <f t="shared" si="203"/>
        <v>0</v>
      </c>
      <c r="O431" s="129">
        <f t="shared" si="203"/>
        <v>55861.853906760007</v>
      </c>
    </row>
    <row r="432" spans="1:15" x14ac:dyDescent="0.2">
      <c r="A432" s="119">
        <v>1.00027288E+19</v>
      </c>
      <c r="B432" s="120" t="s">
        <v>300</v>
      </c>
      <c r="C432" s="129">
        <v>682781</v>
      </c>
      <c r="D432" s="129">
        <v>217114.52</v>
      </c>
      <c r="E432" s="129">
        <v>0</v>
      </c>
      <c r="F432" s="129">
        <v>494394.08</v>
      </c>
      <c r="G432" s="129">
        <v>188386.92</v>
      </c>
      <c r="H432" s="129">
        <v>72.400000000000006</v>
      </c>
      <c r="I432" s="129">
        <f>I622+I966+I1285+I2500+I2672+I2776</f>
        <v>0</v>
      </c>
      <c r="J432" s="129">
        <f>J622+J966+J1285+J2500+J2672+J2776</f>
        <v>682781</v>
      </c>
      <c r="K432" s="129">
        <f>K622+K966+K1285+K2500+K2672+K2776</f>
        <v>713506.14500000002</v>
      </c>
      <c r="L432" s="129">
        <f t="shared" ref="L432:O432" si="204">L622+L966+L1285+L2500+L2672+L2776</f>
        <v>746327.42767</v>
      </c>
      <c r="M432" s="129">
        <f t="shared" si="204"/>
        <v>129398.77432349999</v>
      </c>
      <c r="N432" s="129">
        <f t="shared" si="204"/>
        <v>0</v>
      </c>
      <c r="O432" s="129">
        <f t="shared" si="204"/>
        <v>780658.48934282002</v>
      </c>
    </row>
    <row r="433" spans="1:15" x14ac:dyDescent="0.2">
      <c r="A433" s="119">
        <v>1.0002728849999999E+19</v>
      </c>
      <c r="B433" s="120" t="s">
        <v>301</v>
      </c>
      <c r="C433" s="129">
        <v>11236</v>
      </c>
      <c r="D433" s="129">
        <v>0</v>
      </c>
      <c r="E433" s="129">
        <v>0</v>
      </c>
      <c r="F433" s="129">
        <v>0</v>
      </c>
      <c r="G433" s="129">
        <v>11236</v>
      </c>
      <c r="H433" s="129">
        <v>0</v>
      </c>
      <c r="I433" s="129">
        <f t="shared" ref="I433:O433" si="205">I2777</f>
        <v>0</v>
      </c>
      <c r="J433" s="129">
        <f t="shared" si="205"/>
        <v>11236</v>
      </c>
      <c r="K433" s="129">
        <f t="shared" si="205"/>
        <v>11741.62</v>
      </c>
      <c r="L433" s="129">
        <f t="shared" si="205"/>
        <v>12281.73452</v>
      </c>
      <c r="M433" s="129">
        <f t="shared" si="205"/>
        <v>0</v>
      </c>
      <c r="N433" s="129">
        <f t="shared" si="205"/>
        <v>0</v>
      </c>
      <c r="O433" s="129">
        <f t="shared" si="205"/>
        <v>12846.694307919999</v>
      </c>
    </row>
    <row r="434" spans="1:15" x14ac:dyDescent="0.2">
      <c r="A434" s="119">
        <v>1.0002728929999999E+19</v>
      </c>
      <c r="B434" s="120" t="s">
        <v>302</v>
      </c>
      <c r="C434" s="129">
        <v>623329</v>
      </c>
      <c r="D434" s="129">
        <v>0</v>
      </c>
      <c r="E434" s="129">
        <v>0</v>
      </c>
      <c r="F434" s="129">
        <v>0</v>
      </c>
      <c r="G434" s="129">
        <v>623329</v>
      </c>
      <c r="H434" s="129">
        <v>0</v>
      </c>
      <c r="I434" s="129">
        <f>I2673</f>
        <v>0</v>
      </c>
      <c r="J434" s="129">
        <f>J2673</f>
        <v>623329</v>
      </c>
      <c r="K434" s="129">
        <f>K2673</f>
        <v>651378.80500000005</v>
      </c>
      <c r="L434" s="129">
        <f t="shared" ref="L434:O434" si="206">L2673</f>
        <v>681342.23003000009</v>
      </c>
      <c r="M434" s="129">
        <f t="shared" si="206"/>
        <v>0</v>
      </c>
      <c r="N434" s="129">
        <f t="shared" si="206"/>
        <v>0</v>
      </c>
      <c r="O434" s="129">
        <f t="shared" si="206"/>
        <v>712683.97261138004</v>
      </c>
    </row>
    <row r="435" spans="1:15" x14ac:dyDescent="0.2">
      <c r="A435" s="119">
        <v>1.00027292E+19</v>
      </c>
      <c r="B435" s="120" t="s">
        <v>303</v>
      </c>
      <c r="C435" s="129">
        <v>1159832</v>
      </c>
      <c r="D435" s="129">
        <v>183818.48</v>
      </c>
      <c r="E435" s="129">
        <v>0</v>
      </c>
      <c r="F435" s="129">
        <v>416098.53</v>
      </c>
      <c r="G435" s="129">
        <v>743733.47</v>
      </c>
      <c r="H435" s="129">
        <v>35.869999999999997</v>
      </c>
      <c r="I435" s="129">
        <f t="shared" ref="I435:O435" si="207">I623+I1286+I2501+I2674+I2949+I3083</f>
        <v>0</v>
      </c>
      <c r="J435" s="129">
        <f t="shared" si="207"/>
        <v>1159832</v>
      </c>
      <c r="K435" s="129">
        <f t="shared" si="207"/>
        <v>1212024.44</v>
      </c>
      <c r="L435" s="129">
        <f t="shared" si="207"/>
        <v>1267777.5642400002</v>
      </c>
      <c r="M435" s="129">
        <f t="shared" si="207"/>
        <v>84854.954143520008</v>
      </c>
      <c r="N435" s="129">
        <f t="shared" si="207"/>
        <v>0</v>
      </c>
      <c r="O435" s="129">
        <f t="shared" si="207"/>
        <v>1326095.3321950401</v>
      </c>
    </row>
    <row r="436" spans="1:15" x14ac:dyDescent="0.2">
      <c r="A436" s="119"/>
      <c r="B436" s="120"/>
      <c r="C436" s="129"/>
      <c r="D436" s="129"/>
      <c r="E436" s="129"/>
      <c r="F436" s="129"/>
      <c r="G436" s="129"/>
      <c r="H436" s="129"/>
      <c r="I436" s="129"/>
      <c r="J436" s="129"/>
      <c r="K436" s="129"/>
      <c r="L436" s="129"/>
      <c r="O436" s="129"/>
    </row>
    <row r="437" spans="1:15" s="114" customFormat="1" ht="15" x14ac:dyDescent="0.25">
      <c r="A437" s="118"/>
      <c r="B437" s="117" t="s">
        <v>304</v>
      </c>
      <c r="C437" s="128">
        <f>SUM(C423:C436)</f>
        <v>8659942</v>
      </c>
      <c r="D437" s="128">
        <v>3753875.13</v>
      </c>
      <c r="E437" s="128">
        <v>0</v>
      </c>
      <c r="F437" s="128">
        <v>8032970.8600000003</v>
      </c>
      <c r="G437" s="128">
        <v>626971.14</v>
      </c>
      <c r="H437" s="128">
        <v>92.76</v>
      </c>
      <c r="I437" s="128">
        <f t="shared" ref="I437:O437" si="208">SUM(I423:I436)</f>
        <v>6477268.6700000204</v>
      </c>
      <c r="J437" s="128">
        <f t="shared" si="208"/>
        <v>15137210.67000002</v>
      </c>
      <c r="K437" s="128">
        <f t="shared" si="208"/>
        <v>15818385.15015002</v>
      </c>
      <c r="L437" s="128">
        <f t="shared" si="208"/>
        <v>16545851.344416924</v>
      </c>
      <c r="M437" s="128">
        <f t="shared" si="208"/>
        <v>1546225.8859328602</v>
      </c>
      <c r="N437" s="128">
        <f t="shared" si="208"/>
        <v>0</v>
      </c>
      <c r="O437" s="128">
        <f t="shared" si="208"/>
        <v>17306772.905101303</v>
      </c>
    </row>
    <row r="438" spans="1:15" s="114" customFormat="1" ht="15" x14ac:dyDescent="0.25">
      <c r="A438" s="118"/>
      <c r="B438" s="117"/>
      <c r="C438" s="128"/>
      <c r="D438" s="128"/>
      <c r="E438" s="128"/>
      <c r="F438" s="128"/>
      <c r="G438" s="128"/>
      <c r="H438" s="128"/>
      <c r="I438" s="128"/>
      <c r="J438" s="128"/>
      <c r="K438" s="128"/>
      <c r="L438" s="128"/>
      <c r="M438" s="214"/>
      <c r="N438" s="214"/>
      <c r="O438" s="128"/>
    </row>
    <row r="439" spans="1:15" s="114" customFormat="1" ht="15" x14ac:dyDescent="0.25">
      <c r="A439" s="118"/>
      <c r="B439" s="21" t="s">
        <v>3004</v>
      </c>
      <c r="C439" s="128"/>
      <c r="D439" s="128"/>
      <c r="E439" s="128"/>
      <c r="F439" s="128"/>
      <c r="G439" s="128"/>
      <c r="H439" s="128"/>
      <c r="I439" s="128"/>
      <c r="J439" s="128"/>
      <c r="K439" s="128"/>
      <c r="L439" s="128"/>
      <c r="M439" s="214"/>
      <c r="N439" s="214"/>
      <c r="O439" s="128"/>
    </row>
    <row r="440" spans="1:15" s="114" customFormat="1" ht="15" x14ac:dyDescent="0.25">
      <c r="A440" s="118"/>
      <c r="B440" s="117"/>
      <c r="C440" s="128"/>
      <c r="D440" s="128"/>
      <c r="E440" s="128"/>
      <c r="F440" s="128"/>
      <c r="G440" s="128"/>
      <c r="H440" s="128"/>
      <c r="I440" s="128"/>
      <c r="J440" s="128"/>
      <c r="K440" s="128"/>
      <c r="L440" s="128"/>
      <c r="M440" s="214"/>
      <c r="N440" s="214"/>
      <c r="O440" s="128"/>
    </row>
    <row r="441" spans="1:15" x14ac:dyDescent="0.2">
      <c r="A441" s="119" t="s">
        <v>2335</v>
      </c>
      <c r="B441" s="120"/>
      <c r="C441" s="129">
        <f t="shared" ref="C441:N441" si="209">C887</f>
        <v>0</v>
      </c>
      <c r="D441" s="129">
        <f t="shared" si="209"/>
        <v>0</v>
      </c>
      <c r="E441" s="129">
        <f t="shared" si="209"/>
        <v>0</v>
      </c>
      <c r="F441" s="129">
        <f t="shared" si="209"/>
        <v>0</v>
      </c>
      <c r="G441" s="129">
        <f t="shared" si="209"/>
        <v>0</v>
      </c>
      <c r="H441" s="129">
        <f t="shared" si="209"/>
        <v>0</v>
      </c>
      <c r="I441" s="129">
        <f t="shared" si="209"/>
        <v>0</v>
      </c>
      <c r="J441" s="129">
        <f t="shared" si="209"/>
        <v>0</v>
      </c>
      <c r="K441" s="129">
        <f t="shared" si="209"/>
        <v>250000</v>
      </c>
      <c r="L441" s="129">
        <f t="shared" si="209"/>
        <v>261500</v>
      </c>
      <c r="M441" s="129">
        <f t="shared" si="209"/>
        <v>273529</v>
      </c>
      <c r="N441" s="129">
        <f t="shared" si="209"/>
        <v>0</v>
      </c>
      <c r="O441" s="129">
        <f>'Corporate Services'!N403</f>
        <v>273529</v>
      </c>
    </row>
    <row r="442" spans="1:15" s="114" customFormat="1" ht="15" x14ac:dyDescent="0.25">
      <c r="A442" s="118"/>
      <c r="B442" s="117"/>
      <c r="C442" s="128"/>
      <c r="D442" s="128"/>
      <c r="E442" s="128"/>
      <c r="F442" s="128"/>
      <c r="G442" s="128"/>
      <c r="H442" s="128"/>
      <c r="I442" s="128"/>
      <c r="J442" s="128"/>
      <c r="K442" s="128"/>
      <c r="L442" s="128"/>
      <c r="M442" s="186"/>
      <c r="N442" s="186"/>
      <c r="O442" s="128"/>
    </row>
    <row r="443" spans="1:15" s="114" customFormat="1" ht="15" x14ac:dyDescent="0.25">
      <c r="A443" s="118"/>
      <c r="B443" s="21" t="s">
        <v>3005</v>
      </c>
      <c r="C443" s="128">
        <f>SUM(C441:C442)</f>
        <v>0</v>
      </c>
      <c r="D443" s="128">
        <f t="shared" ref="D443:O443" si="210">SUM(D441:D442)</f>
        <v>0</v>
      </c>
      <c r="E443" s="128">
        <f t="shared" si="210"/>
        <v>0</v>
      </c>
      <c r="F443" s="128">
        <f t="shared" si="210"/>
        <v>0</v>
      </c>
      <c r="G443" s="128">
        <f t="shared" si="210"/>
        <v>0</v>
      </c>
      <c r="H443" s="128">
        <f t="shared" si="210"/>
        <v>0</v>
      </c>
      <c r="I443" s="128">
        <f t="shared" si="210"/>
        <v>0</v>
      </c>
      <c r="J443" s="128">
        <f t="shared" si="210"/>
        <v>0</v>
      </c>
      <c r="K443" s="128">
        <f t="shared" si="210"/>
        <v>250000</v>
      </c>
      <c r="L443" s="128">
        <f t="shared" si="210"/>
        <v>261500</v>
      </c>
      <c r="M443" s="128">
        <f t="shared" si="210"/>
        <v>273529</v>
      </c>
      <c r="N443" s="128">
        <f t="shared" si="210"/>
        <v>0</v>
      </c>
      <c r="O443" s="128">
        <f t="shared" si="210"/>
        <v>273529</v>
      </c>
    </row>
    <row r="444" spans="1:15" s="114" customFormat="1" ht="15" x14ac:dyDescent="0.25">
      <c r="A444" s="118"/>
      <c r="B444" s="21"/>
      <c r="C444" s="128"/>
      <c r="D444" s="128"/>
      <c r="E444" s="128"/>
      <c r="F444" s="128"/>
      <c r="G444" s="128"/>
      <c r="H444" s="128"/>
      <c r="I444" s="128"/>
      <c r="J444" s="128"/>
      <c r="K444" s="128"/>
      <c r="L444" s="128"/>
      <c r="M444" s="186"/>
      <c r="N444" s="186"/>
      <c r="O444" s="128"/>
    </row>
    <row r="445" spans="1:15" s="114" customFormat="1" ht="15" x14ac:dyDescent="0.25">
      <c r="A445" s="118"/>
      <c r="B445" s="117" t="s">
        <v>305</v>
      </c>
      <c r="C445" s="128">
        <f t="shared" ref="C445:O445" si="211">+C248+C292+C337+C387+C395+C401+C407+C413+C419+C437+C443</f>
        <v>205548562</v>
      </c>
      <c r="D445" s="128">
        <f t="shared" si="211"/>
        <v>22984480.719999999</v>
      </c>
      <c r="E445" s="128">
        <f t="shared" si="211"/>
        <v>1961277.94</v>
      </c>
      <c r="F445" s="128">
        <f t="shared" si="211"/>
        <v>98145937.050000012</v>
      </c>
      <c r="G445" s="128">
        <f t="shared" si="211"/>
        <v>106235624.94999999</v>
      </c>
      <c r="H445" s="128">
        <f t="shared" si="211"/>
        <v>503.32</v>
      </c>
      <c r="I445" s="128">
        <f t="shared" si="211"/>
        <v>7704289.3300000206</v>
      </c>
      <c r="J445" s="128">
        <f t="shared" si="211"/>
        <v>212252851.33000001</v>
      </c>
      <c r="K445" s="128">
        <f t="shared" si="211"/>
        <v>220894153.83742505</v>
      </c>
      <c r="L445" s="128">
        <f t="shared" si="211"/>
        <v>231434225.95339152</v>
      </c>
      <c r="M445" s="128">
        <f t="shared" si="211"/>
        <v>64894252.17289044</v>
      </c>
      <c r="N445" s="128">
        <f t="shared" si="211"/>
        <v>0</v>
      </c>
      <c r="O445" s="128">
        <f t="shared" si="211"/>
        <v>241178795.78024358</v>
      </c>
    </row>
    <row r="446" spans="1:15" s="114" customFormat="1" ht="15" x14ac:dyDescent="0.25">
      <c r="A446" s="118"/>
      <c r="B446" s="117"/>
      <c r="C446" s="128"/>
      <c r="D446" s="128"/>
      <c r="E446" s="128"/>
      <c r="F446" s="128"/>
      <c r="G446" s="128"/>
      <c r="H446" s="128"/>
      <c r="I446" s="128"/>
      <c r="J446" s="128"/>
      <c r="K446" s="128"/>
      <c r="L446" s="128"/>
      <c r="M446" s="186"/>
      <c r="N446" s="186"/>
      <c r="O446" s="128"/>
    </row>
    <row r="447" spans="1:15" s="114" customFormat="1" ht="15" x14ac:dyDescent="0.25">
      <c r="A447" s="118"/>
      <c r="B447" s="117" t="s">
        <v>306</v>
      </c>
      <c r="C447" s="128">
        <f t="shared" ref="C447:O447" si="212">C132+C445</f>
        <v>-55441271</v>
      </c>
      <c r="D447" s="128">
        <f t="shared" si="212"/>
        <v>-45291800.460000008</v>
      </c>
      <c r="E447" s="128">
        <f t="shared" si="212"/>
        <v>1961277.94</v>
      </c>
      <c r="F447" s="128">
        <f t="shared" si="212"/>
        <v>-64312558.379999995</v>
      </c>
      <c r="G447" s="128">
        <f t="shared" si="212"/>
        <v>7704287.3799999952</v>
      </c>
      <c r="H447" s="128">
        <f t="shared" si="212"/>
        <v>565.55999999999995</v>
      </c>
      <c r="I447" s="128">
        <f t="shared" ca="1" si="212"/>
        <v>6635774.9300000202</v>
      </c>
      <c r="J447" s="128">
        <f t="shared" si="212"/>
        <v>-54304784.669999987</v>
      </c>
      <c r="K447" s="128">
        <f t="shared" si="212"/>
        <v>-61599349.960574985</v>
      </c>
      <c r="L447" s="128">
        <f t="shared" si="212"/>
        <v>-55851049.61035648</v>
      </c>
      <c r="M447" s="128">
        <f t="shared" si="212"/>
        <v>-184494362.89801747</v>
      </c>
      <c r="N447" s="128">
        <f t="shared" si="212"/>
        <v>0</v>
      </c>
      <c r="O447" s="128">
        <f t="shared" si="212"/>
        <v>-63417438.657519162</v>
      </c>
    </row>
    <row r="448" spans="1:15" s="114" customFormat="1" ht="15" x14ac:dyDescent="0.25">
      <c r="A448" s="118"/>
      <c r="B448" s="117"/>
      <c r="C448" s="128"/>
      <c r="D448" s="128"/>
      <c r="E448" s="128"/>
      <c r="F448" s="128"/>
      <c r="G448" s="128"/>
      <c r="H448" s="128"/>
      <c r="I448" s="128"/>
      <c r="J448" s="128"/>
      <c r="K448" s="128"/>
      <c r="L448" s="128"/>
      <c r="M448" s="186"/>
      <c r="N448" s="186"/>
      <c r="O448" s="128"/>
    </row>
    <row r="449" spans="1:15" s="114" customFormat="1" ht="15" x14ac:dyDescent="0.25">
      <c r="A449" s="118"/>
      <c r="B449" s="117" t="s">
        <v>307</v>
      </c>
      <c r="C449" s="128"/>
      <c r="D449" s="128"/>
      <c r="E449" s="128"/>
      <c r="F449" s="128"/>
      <c r="G449" s="128"/>
      <c r="H449" s="128"/>
      <c r="I449" s="128"/>
      <c r="J449" s="128"/>
      <c r="K449" s="128"/>
      <c r="L449" s="128"/>
      <c r="M449" s="186"/>
      <c r="N449" s="186"/>
      <c r="O449" s="128"/>
    </row>
    <row r="450" spans="1:15" s="114" customFormat="1" ht="15" x14ac:dyDescent="0.25">
      <c r="A450" s="118"/>
      <c r="B450" s="117" t="s">
        <v>308</v>
      </c>
      <c r="C450" s="128"/>
      <c r="D450" s="128"/>
      <c r="E450" s="128"/>
      <c r="F450" s="128"/>
      <c r="G450" s="128"/>
      <c r="H450" s="128"/>
      <c r="I450" s="128"/>
      <c r="J450" s="128"/>
      <c r="K450" s="128"/>
      <c r="L450" s="128"/>
      <c r="M450" s="186"/>
      <c r="N450" s="186"/>
      <c r="O450" s="128"/>
    </row>
    <row r="451" spans="1:15" x14ac:dyDescent="0.2">
      <c r="A451" s="119"/>
      <c r="B451" s="120"/>
      <c r="C451" s="129"/>
      <c r="D451" s="129"/>
      <c r="E451" s="129"/>
      <c r="F451" s="129"/>
      <c r="G451" s="129"/>
      <c r="H451" s="129"/>
      <c r="I451" s="129"/>
      <c r="J451" s="129"/>
      <c r="K451" s="129"/>
      <c r="L451" s="129"/>
      <c r="O451" s="129"/>
    </row>
    <row r="452" spans="1:15" x14ac:dyDescent="0.2">
      <c r="A452" s="119">
        <v>1.000615142E+19</v>
      </c>
      <c r="B452" s="120" t="s">
        <v>309</v>
      </c>
      <c r="C452" s="129">
        <f>'All Dept'!C819+'All Dept'!C2132+C820+C1481</f>
        <v>950000</v>
      </c>
      <c r="D452" s="129">
        <f>'All Dept'!D819+'All Dept'!D2132+D820+D1481</f>
        <v>91950.73</v>
      </c>
      <c r="E452" s="129">
        <f>'All Dept'!E819+'All Dept'!E2132+E820+E1481</f>
        <v>0</v>
      </c>
      <c r="F452" s="129">
        <f>'All Dept'!F819+'All Dept'!F2132+F820+F1481</f>
        <v>631656.06000000006</v>
      </c>
      <c r="G452" s="129">
        <f>'All Dept'!G819+'All Dept'!G2132+G820+G1481</f>
        <v>1209451.94</v>
      </c>
      <c r="H452" s="129">
        <f>'All Dept'!H819+'All Dept'!H2132+H820+H1481</f>
        <v>75.22999999999999</v>
      </c>
      <c r="I452" s="129">
        <f>'All Dept'!I819+'All Dept'!I2132+I820+I1481</f>
        <v>-350000</v>
      </c>
      <c r="J452" s="129">
        <f>'All Dept'!J819+'All Dept'!J2132+J820+J1481</f>
        <v>600000</v>
      </c>
      <c r="K452" s="129">
        <f>'All Dept'!K819+'All Dept'!K2132+K820+K1481</f>
        <v>3150000</v>
      </c>
      <c r="L452" s="129">
        <f>'All Dept'!L819+'All Dept'!L2132+L820+L1481</f>
        <v>1400000</v>
      </c>
      <c r="M452" s="129">
        <f>'All Dept'!M819+'All Dept'!M2132+M820+M1481</f>
        <v>500000</v>
      </c>
      <c r="N452" s="129">
        <f>'All Dept'!N819+'All Dept'!N2132+N820+N1481</f>
        <v>0</v>
      </c>
      <c r="O452" s="129">
        <f>'All Dept'!O819+'All Dept'!O2132+O820+O1481</f>
        <v>500000</v>
      </c>
    </row>
    <row r="453" spans="1:15" x14ac:dyDescent="0.2">
      <c r="A453" s="119">
        <v>1.000619142E+19</v>
      </c>
      <c r="B453" s="120" t="s">
        <v>309</v>
      </c>
      <c r="C453" s="129">
        <f>C2248</f>
        <v>200000</v>
      </c>
      <c r="D453" s="129">
        <f t="shared" ref="D453:O453" si="213">D2248</f>
        <v>0</v>
      </c>
      <c r="E453" s="129">
        <f t="shared" si="213"/>
        <v>0</v>
      </c>
      <c r="F453" s="129">
        <f t="shared" si="213"/>
        <v>0</v>
      </c>
      <c r="G453" s="129">
        <f t="shared" si="213"/>
        <v>200000</v>
      </c>
      <c r="H453" s="129">
        <f t="shared" si="213"/>
        <v>0</v>
      </c>
      <c r="I453" s="129">
        <f t="shared" si="213"/>
        <v>40000</v>
      </c>
      <c r="J453" s="129">
        <f t="shared" si="213"/>
        <v>240000</v>
      </c>
      <c r="K453" s="129">
        <f t="shared" si="213"/>
        <v>200000</v>
      </c>
      <c r="L453" s="129">
        <f t="shared" si="213"/>
        <v>0</v>
      </c>
      <c r="M453" s="129">
        <f t="shared" si="213"/>
        <v>0</v>
      </c>
      <c r="N453" s="129">
        <f t="shared" si="213"/>
        <v>0</v>
      </c>
      <c r="O453" s="129">
        <f t="shared" si="213"/>
        <v>0</v>
      </c>
    </row>
    <row r="454" spans="1:15" x14ac:dyDescent="0.2">
      <c r="A454" s="119">
        <v>1.000642042E+19</v>
      </c>
      <c r="B454" s="120" t="s">
        <v>310</v>
      </c>
      <c r="C454" s="129">
        <f>'Corporate Services'!D149+'All Dept'!C2684+'All Dept'!C2687+'All Dept'!C3093</f>
        <v>3100000</v>
      </c>
      <c r="D454" s="129">
        <f>'Corporate Services'!E149+'All Dept'!D2684+'All Dept'!D2687+'All Dept'!D3093</f>
        <v>-290187</v>
      </c>
      <c r="E454" s="129">
        <f>'Corporate Services'!F149+'All Dept'!E2684+'All Dept'!E2687+'All Dept'!E3093</f>
        <v>0</v>
      </c>
      <c r="F454" s="129">
        <f>'Corporate Services'!G149+'All Dept'!F2684+'All Dept'!F2687+'All Dept'!F3093</f>
        <v>-522836.29</v>
      </c>
      <c r="G454" s="129">
        <f>'Corporate Services'!H149+'All Dept'!G2684+'All Dept'!G2687+'All Dept'!G3093</f>
        <v>555836.29</v>
      </c>
      <c r="H454" s="129">
        <f>'Corporate Services'!I149+'All Dept'!H2684+'All Dept'!H2687+'All Dept'!H3093</f>
        <v>44.9</v>
      </c>
      <c r="I454" s="129">
        <f>'Corporate Services'!J149+'All Dept'!I2684+'All Dept'!I2687+'All Dept'!I3093</f>
        <v>-1423544</v>
      </c>
      <c r="J454" s="129">
        <f>'Corporate Services'!K149+'All Dept'!J2684+'All Dept'!J2687+'All Dept'!J3093</f>
        <v>1676456</v>
      </c>
      <c r="K454" s="129">
        <f>'Corporate Services'!L149+'All Dept'!K2684+'All Dept'!K2687+'All Dept'!K3093</f>
        <v>0</v>
      </c>
      <c r="L454" s="129">
        <f>'Corporate Services'!M149+'All Dept'!L2684+'All Dept'!L2687+'All Dept'!L3093</f>
        <v>2000000</v>
      </c>
      <c r="M454" s="129">
        <f>'Corporate Services'!N149+'All Dept'!M2684+'All Dept'!M2687+'All Dept'!M3093</f>
        <v>700000</v>
      </c>
      <c r="N454" s="129">
        <f>'Corporate Services'!O149+'All Dept'!N2684+'All Dept'!N2687+'All Dept'!N3093</f>
        <v>0</v>
      </c>
      <c r="O454" s="129">
        <f>O633</f>
        <v>700000</v>
      </c>
    </row>
    <row r="455" spans="1:15" x14ac:dyDescent="0.2">
      <c r="A455" s="119">
        <v>1.000643242E+19</v>
      </c>
      <c r="B455" s="120" t="s">
        <v>311</v>
      </c>
      <c r="C455" s="129">
        <f>C3319</f>
        <v>2000000</v>
      </c>
      <c r="D455" s="129">
        <f t="shared" ref="D455:O455" si="214">D3319</f>
        <v>0</v>
      </c>
      <c r="E455" s="129">
        <f t="shared" si="214"/>
        <v>0</v>
      </c>
      <c r="F455" s="129">
        <f t="shared" si="214"/>
        <v>1217.71</v>
      </c>
      <c r="G455" s="129">
        <f t="shared" si="214"/>
        <v>-1217.71</v>
      </c>
      <c r="H455" s="129">
        <f t="shared" si="214"/>
        <v>0</v>
      </c>
      <c r="I455" s="129">
        <f t="shared" si="214"/>
        <v>-787662.5</v>
      </c>
      <c r="J455" s="129">
        <f t="shared" si="214"/>
        <v>1212337.5</v>
      </c>
      <c r="K455" s="129">
        <f t="shared" si="214"/>
        <v>1200000</v>
      </c>
      <c r="L455" s="129">
        <f t="shared" si="214"/>
        <v>1000000</v>
      </c>
      <c r="M455" s="129">
        <f t="shared" si="214"/>
        <v>0</v>
      </c>
      <c r="N455" s="129">
        <f t="shared" si="214"/>
        <v>0</v>
      </c>
      <c r="O455" s="129">
        <f t="shared" si="214"/>
        <v>0</v>
      </c>
    </row>
    <row r="456" spans="1:15" x14ac:dyDescent="0.2">
      <c r="A456" s="119">
        <v>1.000643302E+19</v>
      </c>
      <c r="B456" s="120" t="s">
        <v>312</v>
      </c>
      <c r="C456" s="129">
        <f>C3320</f>
        <v>3000000</v>
      </c>
      <c r="D456" s="129">
        <f t="shared" ref="D456:O456" si="215">D3320</f>
        <v>0</v>
      </c>
      <c r="E456" s="129">
        <f t="shared" si="215"/>
        <v>0</v>
      </c>
      <c r="F456" s="129">
        <f t="shared" si="215"/>
        <v>1217.71</v>
      </c>
      <c r="G456" s="129">
        <f t="shared" si="215"/>
        <v>-1217.71</v>
      </c>
      <c r="H456" s="129">
        <f t="shared" si="215"/>
        <v>0</v>
      </c>
      <c r="I456" s="129">
        <f t="shared" si="215"/>
        <v>0</v>
      </c>
      <c r="J456" s="129">
        <f t="shared" si="215"/>
        <v>3000000</v>
      </c>
      <c r="K456" s="129">
        <f t="shared" si="215"/>
        <v>1700000</v>
      </c>
      <c r="L456" s="129">
        <f t="shared" si="215"/>
        <v>1200000</v>
      </c>
      <c r="M456" s="129">
        <f t="shared" si="215"/>
        <v>3500000</v>
      </c>
      <c r="N456" s="129">
        <f t="shared" si="215"/>
        <v>0</v>
      </c>
      <c r="O456" s="129">
        <f t="shared" si="215"/>
        <v>3500000</v>
      </c>
    </row>
    <row r="457" spans="1:15" x14ac:dyDescent="0.2">
      <c r="A457" s="119"/>
      <c r="B457" s="120" t="s">
        <v>3048</v>
      </c>
      <c r="C457" s="129">
        <f>C3323</f>
        <v>0</v>
      </c>
      <c r="D457" s="129">
        <f t="shared" ref="D457:O457" si="216">D3323</f>
        <v>0</v>
      </c>
      <c r="E457" s="129">
        <f t="shared" si="216"/>
        <v>0</v>
      </c>
      <c r="F457" s="129">
        <f t="shared" si="216"/>
        <v>0</v>
      </c>
      <c r="G457" s="129">
        <f t="shared" si="216"/>
        <v>0</v>
      </c>
      <c r="H457" s="129">
        <f t="shared" si="216"/>
        <v>0</v>
      </c>
      <c r="I457" s="129">
        <f t="shared" si="216"/>
        <v>0</v>
      </c>
      <c r="J457" s="129">
        <f t="shared" si="216"/>
        <v>0</v>
      </c>
      <c r="K457" s="129">
        <f t="shared" si="216"/>
        <v>500000</v>
      </c>
      <c r="L457" s="129">
        <f t="shared" si="216"/>
        <v>600000</v>
      </c>
      <c r="M457" s="129">
        <f t="shared" si="216"/>
        <v>0</v>
      </c>
      <c r="N457" s="129">
        <f t="shared" si="216"/>
        <v>0</v>
      </c>
      <c r="O457" s="129">
        <f t="shared" si="216"/>
        <v>0</v>
      </c>
    </row>
    <row r="458" spans="1:15" x14ac:dyDescent="0.2">
      <c r="A458" s="119"/>
      <c r="B458" s="120" t="s">
        <v>3049</v>
      </c>
      <c r="C458" s="129">
        <f>C3324</f>
        <v>0</v>
      </c>
      <c r="D458" s="129">
        <f t="shared" ref="D458:O458" si="217">D3324</f>
        <v>0</v>
      </c>
      <c r="E458" s="129">
        <f t="shared" si="217"/>
        <v>0</v>
      </c>
      <c r="F458" s="129">
        <f t="shared" si="217"/>
        <v>0</v>
      </c>
      <c r="G458" s="129">
        <f t="shared" si="217"/>
        <v>0</v>
      </c>
      <c r="H458" s="129">
        <f t="shared" si="217"/>
        <v>0</v>
      </c>
      <c r="I458" s="129">
        <f t="shared" si="217"/>
        <v>0</v>
      </c>
      <c r="J458" s="129">
        <f t="shared" si="217"/>
        <v>0</v>
      </c>
      <c r="K458" s="129">
        <f t="shared" si="217"/>
        <v>0</v>
      </c>
      <c r="L458" s="129">
        <f t="shared" si="217"/>
        <v>0</v>
      </c>
      <c r="M458" s="129">
        <f t="shared" si="217"/>
        <v>1500000</v>
      </c>
      <c r="N458" s="129">
        <f t="shared" si="217"/>
        <v>0</v>
      </c>
      <c r="O458" s="129">
        <f t="shared" si="217"/>
        <v>1500000</v>
      </c>
    </row>
    <row r="459" spans="1:15" x14ac:dyDescent="0.2">
      <c r="A459" s="119"/>
      <c r="B459" s="120" t="s">
        <v>3071</v>
      </c>
      <c r="C459" s="129">
        <f>C3325</f>
        <v>0</v>
      </c>
      <c r="D459" s="129">
        <f t="shared" ref="D459:O459" si="218">D3325</f>
        <v>0</v>
      </c>
      <c r="E459" s="129">
        <f t="shared" si="218"/>
        <v>0</v>
      </c>
      <c r="F459" s="129">
        <f t="shared" si="218"/>
        <v>0</v>
      </c>
      <c r="G459" s="129">
        <f t="shared" si="218"/>
        <v>0</v>
      </c>
      <c r="H459" s="129">
        <f t="shared" si="218"/>
        <v>0</v>
      </c>
      <c r="I459" s="129">
        <f t="shared" si="218"/>
        <v>0</v>
      </c>
      <c r="J459" s="129">
        <f t="shared" si="218"/>
        <v>0</v>
      </c>
      <c r="K459" s="129">
        <f t="shared" si="218"/>
        <v>13000000</v>
      </c>
      <c r="L459" s="129">
        <f t="shared" si="218"/>
        <v>6000000</v>
      </c>
      <c r="M459" s="129">
        <f t="shared" si="218"/>
        <v>7000000</v>
      </c>
      <c r="N459" s="129">
        <f t="shared" si="218"/>
        <v>0</v>
      </c>
      <c r="O459" s="129">
        <f t="shared" si="218"/>
        <v>7000000</v>
      </c>
    </row>
    <row r="460" spans="1:15" x14ac:dyDescent="0.2">
      <c r="A460" s="119"/>
      <c r="B460" s="120" t="s">
        <v>3072</v>
      </c>
      <c r="C460" s="129">
        <f>C3326</f>
        <v>0</v>
      </c>
      <c r="D460" s="129">
        <f t="shared" ref="D460:O460" si="219">D3326</f>
        <v>0</v>
      </c>
      <c r="E460" s="129">
        <f t="shared" si="219"/>
        <v>0</v>
      </c>
      <c r="F460" s="129">
        <f t="shared" si="219"/>
        <v>0</v>
      </c>
      <c r="G460" s="129">
        <f t="shared" si="219"/>
        <v>0</v>
      </c>
      <c r="H460" s="129">
        <f t="shared" si="219"/>
        <v>0</v>
      </c>
      <c r="I460" s="129">
        <f t="shared" si="219"/>
        <v>0</v>
      </c>
      <c r="J460" s="129">
        <f t="shared" si="219"/>
        <v>0</v>
      </c>
      <c r="K460" s="129">
        <f t="shared" si="219"/>
        <v>3000000</v>
      </c>
      <c r="L460" s="129">
        <f t="shared" si="219"/>
        <v>0</v>
      </c>
      <c r="M460" s="129">
        <f t="shared" si="219"/>
        <v>0</v>
      </c>
      <c r="N460" s="129">
        <f t="shared" si="219"/>
        <v>0</v>
      </c>
      <c r="O460" s="129">
        <f t="shared" si="219"/>
        <v>0</v>
      </c>
    </row>
    <row r="461" spans="1:15" x14ac:dyDescent="0.2">
      <c r="A461" s="119"/>
      <c r="B461" s="120" t="s">
        <v>1354</v>
      </c>
      <c r="C461" s="129">
        <f>C3327</f>
        <v>0</v>
      </c>
      <c r="D461" s="129">
        <f t="shared" ref="D461:O461" si="220">D3327</f>
        <v>0</v>
      </c>
      <c r="E461" s="129">
        <f t="shared" si="220"/>
        <v>0</v>
      </c>
      <c r="F461" s="129">
        <f t="shared" si="220"/>
        <v>0</v>
      </c>
      <c r="G461" s="129">
        <f t="shared" si="220"/>
        <v>0</v>
      </c>
      <c r="H461" s="129">
        <f t="shared" si="220"/>
        <v>0</v>
      </c>
      <c r="I461" s="129">
        <f t="shared" si="220"/>
        <v>0</v>
      </c>
      <c r="J461" s="129">
        <f t="shared" si="220"/>
        <v>0</v>
      </c>
      <c r="K461" s="129">
        <f t="shared" si="220"/>
        <v>0</v>
      </c>
      <c r="L461" s="129">
        <f t="shared" si="220"/>
        <v>0</v>
      </c>
      <c r="M461" s="129">
        <f t="shared" si="220"/>
        <v>0</v>
      </c>
      <c r="N461" s="129">
        <f t="shared" si="220"/>
        <v>0</v>
      </c>
      <c r="O461" s="129">
        <f t="shared" si="220"/>
        <v>0</v>
      </c>
    </row>
    <row r="462" spans="1:15" x14ac:dyDescent="0.2">
      <c r="A462" s="119">
        <v>1.000645602E+19</v>
      </c>
      <c r="B462" s="120" t="s">
        <v>313</v>
      </c>
      <c r="C462" s="129">
        <f>C1413+C3094</f>
        <v>3150000</v>
      </c>
      <c r="D462" s="129">
        <f t="shared" ref="D462:O462" si="221">D1413+D3094</f>
        <v>91950.73</v>
      </c>
      <c r="E462" s="129">
        <f t="shared" si="221"/>
        <v>0</v>
      </c>
      <c r="F462" s="129">
        <f t="shared" si="221"/>
        <v>552922.09</v>
      </c>
      <c r="G462" s="129">
        <f t="shared" si="221"/>
        <v>338185.91</v>
      </c>
      <c r="H462" s="129">
        <f t="shared" si="221"/>
        <v>61.91</v>
      </c>
      <c r="I462" s="129">
        <f t="shared" si="221"/>
        <v>-3000000</v>
      </c>
      <c r="J462" s="129">
        <f t="shared" si="221"/>
        <v>150000</v>
      </c>
      <c r="K462" s="129">
        <f t="shared" si="221"/>
        <v>150000</v>
      </c>
      <c r="L462" s="129">
        <f t="shared" si="221"/>
        <v>150000</v>
      </c>
      <c r="M462" s="129">
        <f t="shared" si="221"/>
        <v>0</v>
      </c>
      <c r="N462" s="129">
        <f t="shared" si="221"/>
        <v>0</v>
      </c>
      <c r="O462" s="129">
        <f t="shared" si="221"/>
        <v>0</v>
      </c>
    </row>
    <row r="463" spans="1:15" x14ac:dyDescent="0.2">
      <c r="A463" s="119">
        <v>1.000645642E+19</v>
      </c>
      <c r="B463" s="120" t="s">
        <v>314</v>
      </c>
      <c r="C463" s="129">
        <f>C2787</f>
        <v>100000</v>
      </c>
      <c r="D463" s="129">
        <f t="shared" ref="D463:O463" si="222">D2787</f>
        <v>0</v>
      </c>
      <c r="E463" s="129">
        <f t="shared" si="222"/>
        <v>0</v>
      </c>
      <c r="F463" s="129">
        <f t="shared" si="222"/>
        <v>0</v>
      </c>
      <c r="G463" s="129">
        <f t="shared" si="222"/>
        <v>100000</v>
      </c>
      <c r="H463" s="129">
        <f t="shared" si="222"/>
        <v>0</v>
      </c>
      <c r="I463" s="129">
        <f t="shared" si="222"/>
        <v>-100000</v>
      </c>
      <c r="J463" s="129">
        <f t="shared" si="222"/>
        <v>0</v>
      </c>
      <c r="K463" s="129">
        <f t="shared" si="222"/>
        <v>300000</v>
      </c>
      <c r="L463" s="129">
        <f t="shared" si="222"/>
        <v>0</v>
      </c>
      <c r="M463" s="129">
        <f t="shared" si="222"/>
        <v>0</v>
      </c>
      <c r="N463" s="129">
        <f t="shared" si="222"/>
        <v>0</v>
      </c>
      <c r="O463" s="129">
        <f t="shared" si="222"/>
        <v>0</v>
      </c>
    </row>
    <row r="464" spans="1:15" x14ac:dyDescent="0.2">
      <c r="A464" s="119">
        <v>1.000647042E+19</v>
      </c>
      <c r="B464" s="120" t="s">
        <v>315</v>
      </c>
      <c r="C464" s="129">
        <f>C821</f>
        <v>1100000</v>
      </c>
      <c r="D464" s="129">
        <f t="shared" ref="D464:O464" si="223">D821</f>
        <v>196880</v>
      </c>
      <c r="E464" s="129">
        <f t="shared" si="223"/>
        <v>0</v>
      </c>
      <c r="F464" s="129">
        <f t="shared" si="223"/>
        <v>567480</v>
      </c>
      <c r="G464" s="129">
        <f t="shared" si="223"/>
        <v>532520</v>
      </c>
      <c r="H464" s="129">
        <f t="shared" si="223"/>
        <v>51.58</v>
      </c>
      <c r="I464" s="129">
        <f t="shared" si="223"/>
        <v>0</v>
      </c>
      <c r="J464" s="129">
        <f t="shared" si="223"/>
        <v>1100000</v>
      </c>
      <c r="K464" s="129">
        <f t="shared" si="223"/>
        <v>600000</v>
      </c>
      <c r="L464" s="129">
        <f t="shared" si="223"/>
        <v>636000</v>
      </c>
      <c r="M464" s="129">
        <f t="shared" si="223"/>
        <v>0</v>
      </c>
      <c r="N464" s="129">
        <f t="shared" si="223"/>
        <v>0</v>
      </c>
      <c r="O464" s="129">
        <f t="shared" si="223"/>
        <v>674160</v>
      </c>
    </row>
    <row r="465" spans="1:15" x14ac:dyDescent="0.2">
      <c r="A465" s="119">
        <v>1.000647242E+19</v>
      </c>
      <c r="B465" s="120" t="s">
        <v>316</v>
      </c>
      <c r="C465" s="129">
        <v>35613450</v>
      </c>
      <c r="D465" s="129">
        <v>3292582.24</v>
      </c>
      <c r="E465" s="129">
        <v>3830150.4</v>
      </c>
      <c r="F465" s="129">
        <v>27273509.199999999</v>
      </c>
      <c r="G465" s="129">
        <v>8339940.7999999998</v>
      </c>
      <c r="H465" s="129">
        <v>76.58</v>
      </c>
      <c r="I465" s="129">
        <f t="shared" ref="I465:O465" si="224">I3096+I3097+I3095</f>
        <v>5890000</v>
      </c>
      <c r="J465" s="129">
        <f t="shared" si="224"/>
        <v>41503450</v>
      </c>
      <c r="K465" s="129">
        <f t="shared" si="224"/>
        <v>19584369.759999998</v>
      </c>
      <c r="L465" s="129">
        <f t="shared" si="224"/>
        <v>1260000</v>
      </c>
      <c r="M465" s="129">
        <f t="shared" si="224"/>
        <v>0</v>
      </c>
      <c r="N465" s="129">
        <f t="shared" si="224"/>
        <v>0</v>
      </c>
      <c r="O465" s="129">
        <f t="shared" si="224"/>
        <v>0</v>
      </c>
    </row>
    <row r="466" spans="1:15" x14ac:dyDescent="0.2">
      <c r="A466" s="119">
        <v>1.000647352E+19</v>
      </c>
      <c r="B466" s="120" t="s">
        <v>317</v>
      </c>
      <c r="C466" s="129">
        <v>3800000</v>
      </c>
      <c r="D466" s="129">
        <v>0</v>
      </c>
      <c r="E466" s="129">
        <v>65070.25</v>
      </c>
      <c r="F466" s="129">
        <v>433801.68</v>
      </c>
      <c r="G466" s="129">
        <v>3366198.32</v>
      </c>
      <c r="H466" s="129">
        <v>11.41</v>
      </c>
      <c r="I466" s="129">
        <f>I3098+I3099</f>
        <v>-1384000</v>
      </c>
      <c r="J466" s="129">
        <f>J3098+J3099</f>
        <v>2416000</v>
      </c>
      <c r="K466" s="129">
        <f>Technical!L164</f>
        <v>3000000</v>
      </c>
      <c r="L466" s="129">
        <f>Technical!M164</f>
        <v>0</v>
      </c>
      <c r="M466" s="129">
        <f>Technical!N164</f>
        <v>0</v>
      </c>
      <c r="N466" s="129">
        <f>Technical!O164</f>
        <v>0</v>
      </c>
      <c r="O466" s="129">
        <f>Technical!P164</f>
        <v>0</v>
      </c>
    </row>
    <row r="467" spans="1:15" x14ac:dyDescent="0.2">
      <c r="A467" s="119"/>
      <c r="B467" s="120" t="s">
        <v>3064</v>
      </c>
      <c r="C467" s="129">
        <f>C2685</f>
        <v>0</v>
      </c>
      <c r="D467" s="129">
        <f t="shared" ref="D467:O467" si="225">D2685</f>
        <v>0</v>
      </c>
      <c r="E467" s="129">
        <f t="shared" si="225"/>
        <v>0</v>
      </c>
      <c r="F467" s="129">
        <f t="shared" si="225"/>
        <v>0</v>
      </c>
      <c r="G467" s="129">
        <f t="shared" si="225"/>
        <v>0</v>
      </c>
      <c r="H467" s="129">
        <f t="shared" si="225"/>
        <v>0</v>
      </c>
      <c r="I467" s="129">
        <f t="shared" si="225"/>
        <v>0</v>
      </c>
      <c r="J467" s="129">
        <f t="shared" si="225"/>
        <v>0</v>
      </c>
      <c r="K467" s="129">
        <f t="shared" si="225"/>
        <v>0</v>
      </c>
      <c r="L467" s="129">
        <f t="shared" si="225"/>
        <v>400000</v>
      </c>
      <c r="M467" s="129">
        <f t="shared" si="225"/>
        <v>0</v>
      </c>
      <c r="N467" s="129">
        <f t="shared" si="225"/>
        <v>0</v>
      </c>
      <c r="O467" s="129">
        <f t="shared" si="225"/>
        <v>0</v>
      </c>
    </row>
    <row r="468" spans="1:15" x14ac:dyDescent="0.2">
      <c r="A468" s="119"/>
      <c r="B468" s="120" t="s">
        <v>3065</v>
      </c>
      <c r="C468" s="129">
        <f>C2686</f>
        <v>0</v>
      </c>
      <c r="D468" s="129">
        <f t="shared" ref="D468:O468" si="226">D2686</f>
        <v>0</v>
      </c>
      <c r="E468" s="129">
        <f t="shared" si="226"/>
        <v>0</v>
      </c>
      <c r="F468" s="129">
        <f t="shared" si="226"/>
        <v>0</v>
      </c>
      <c r="G468" s="129">
        <f t="shared" si="226"/>
        <v>0</v>
      </c>
      <c r="H468" s="129">
        <f t="shared" si="226"/>
        <v>0</v>
      </c>
      <c r="I468" s="129">
        <f t="shared" si="226"/>
        <v>0</v>
      </c>
      <c r="J468" s="129">
        <f t="shared" si="226"/>
        <v>0</v>
      </c>
      <c r="K468" s="129">
        <f t="shared" si="226"/>
        <v>0</v>
      </c>
      <c r="L468" s="129">
        <f t="shared" si="226"/>
        <v>500000</v>
      </c>
      <c r="M468" s="129">
        <f t="shared" si="226"/>
        <v>600000</v>
      </c>
      <c r="N468" s="129">
        <f t="shared" si="226"/>
        <v>0</v>
      </c>
      <c r="O468" s="129">
        <f t="shared" si="226"/>
        <v>600000</v>
      </c>
    </row>
    <row r="469" spans="1:15" x14ac:dyDescent="0.2">
      <c r="A469" s="119">
        <v>1.000647402E+19</v>
      </c>
      <c r="B469" s="120" t="s">
        <v>318</v>
      </c>
      <c r="C469" s="129">
        <v>2127821</v>
      </c>
      <c r="D469" s="129">
        <v>532815.49</v>
      </c>
      <c r="E469" s="129">
        <v>524921.12</v>
      </c>
      <c r="F469" s="129">
        <v>917726.23</v>
      </c>
      <c r="G469" s="129">
        <v>1210094.77</v>
      </c>
      <c r="H469" s="129">
        <v>43.12</v>
      </c>
      <c r="I469" s="129">
        <f>I3100</f>
        <v>0</v>
      </c>
      <c r="J469" s="129">
        <f>J3100</f>
        <v>2127821</v>
      </c>
      <c r="K469" s="129">
        <f>K3100</f>
        <v>0</v>
      </c>
      <c r="L469" s="129">
        <f>L3100</f>
        <v>0</v>
      </c>
      <c r="O469" s="129"/>
    </row>
    <row r="470" spans="1:15" x14ac:dyDescent="0.2">
      <c r="A470" s="119">
        <v>1.000655042E+19</v>
      </c>
      <c r="B470" s="120" t="s">
        <v>319</v>
      </c>
      <c r="C470" s="129">
        <v>300000</v>
      </c>
      <c r="D470" s="129">
        <v>0</v>
      </c>
      <c r="E470" s="129">
        <v>0</v>
      </c>
      <c r="F470" s="129">
        <v>28720</v>
      </c>
      <c r="G470" s="129">
        <v>271280</v>
      </c>
      <c r="H470" s="129">
        <v>9.57</v>
      </c>
      <c r="I470" s="129">
        <f t="shared" ref="I470:O470" si="227">I634+I741</f>
        <v>-21280</v>
      </c>
      <c r="J470" s="129">
        <f t="shared" si="227"/>
        <v>278720</v>
      </c>
      <c r="K470" s="129">
        <f t="shared" si="227"/>
        <v>353000</v>
      </c>
      <c r="L470" s="129">
        <f t="shared" si="227"/>
        <v>53000</v>
      </c>
      <c r="M470" s="129">
        <f t="shared" si="227"/>
        <v>0</v>
      </c>
      <c r="N470" s="129">
        <f t="shared" si="227"/>
        <v>0</v>
      </c>
      <c r="O470" s="129">
        <f t="shared" si="227"/>
        <v>315000</v>
      </c>
    </row>
    <row r="471" spans="1:15" x14ac:dyDescent="0.2">
      <c r="A471" s="119" t="s">
        <v>1215</v>
      </c>
      <c r="B471" s="120" t="s">
        <v>1216</v>
      </c>
      <c r="C471" s="129">
        <v>0</v>
      </c>
      <c r="D471" s="129">
        <v>532815.49</v>
      </c>
      <c r="E471" s="129">
        <v>524921.12</v>
      </c>
      <c r="F471" s="129">
        <v>917726.23</v>
      </c>
      <c r="G471" s="129">
        <v>1210094.77</v>
      </c>
      <c r="H471" s="129">
        <v>43.12</v>
      </c>
      <c r="I471" s="129">
        <v>0</v>
      </c>
      <c r="J471" s="129">
        <v>0</v>
      </c>
      <c r="K471" s="129">
        <f>K3100</f>
        <v>0</v>
      </c>
      <c r="L471" s="129">
        <f>L3100</f>
        <v>0</v>
      </c>
      <c r="O471" s="129"/>
    </row>
    <row r="472" spans="1:15" x14ac:dyDescent="0.2">
      <c r="A472" s="119" t="s">
        <v>1345</v>
      </c>
      <c r="B472" s="120" t="s">
        <v>1346</v>
      </c>
      <c r="C472" s="129">
        <f t="shared" ref="C472:C477" si="228">C3101</f>
        <v>0</v>
      </c>
      <c r="D472" s="129">
        <f t="shared" ref="D472:O472" si="229">D3101</f>
        <v>0</v>
      </c>
      <c r="E472" s="129">
        <f t="shared" si="229"/>
        <v>0</v>
      </c>
      <c r="F472" s="129">
        <f t="shared" si="229"/>
        <v>1217.71</v>
      </c>
      <c r="G472" s="129">
        <f t="shared" si="229"/>
        <v>-1217.71</v>
      </c>
      <c r="H472" s="129">
        <f t="shared" si="229"/>
        <v>0</v>
      </c>
      <c r="I472" s="129">
        <f t="shared" si="229"/>
        <v>0</v>
      </c>
      <c r="J472" s="129">
        <f t="shared" si="229"/>
        <v>0</v>
      </c>
      <c r="K472" s="129">
        <f t="shared" si="229"/>
        <v>0</v>
      </c>
      <c r="L472" s="129">
        <f t="shared" si="229"/>
        <v>0</v>
      </c>
      <c r="M472" s="129">
        <f t="shared" si="229"/>
        <v>0</v>
      </c>
      <c r="N472" s="129">
        <f t="shared" si="229"/>
        <v>0</v>
      </c>
      <c r="O472" s="129">
        <f t="shared" si="229"/>
        <v>0</v>
      </c>
    </row>
    <row r="473" spans="1:15" x14ac:dyDescent="0.2">
      <c r="A473" s="119"/>
      <c r="B473" s="120" t="s">
        <v>1347</v>
      </c>
      <c r="C473" s="129">
        <f t="shared" si="228"/>
        <v>0</v>
      </c>
      <c r="D473" s="129">
        <f t="shared" ref="D473:O473" si="230">D3102</f>
        <v>0</v>
      </c>
      <c r="E473" s="129">
        <f t="shared" si="230"/>
        <v>0</v>
      </c>
      <c r="F473" s="129">
        <f t="shared" si="230"/>
        <v>0</v>
      </c>
      <c r="G473" s="129">
        <f t="shared" si="230"/>
        <v>0</v>
      </c>
      <c r="H473" s="129">
        <f t="shared" si="230"/>
        <v>0</v>
      </c>
      <c r="I473" s="129">
        <f t="shared" si="230"/>
        <v>0</v>
      </c>
      <c r="J473" s="129">
        <f t="shared" si="230"/>
        <v>0</v>
      </c>
      <c r="K473" s="129">
        <f t="shared" si="230"/>
        <v>0</v>
      </c>
      <c r="L473" s="129">
        <f t="shared" si="230"/>
        <v>4800000</v>
      </c>
      <c r="M473" s="129">
        <f t="shared" si="230"/>
        <v>8000000</v>
      </c>
      <c r="N473" s="129">
        <f t="shared" si="230"/>
        <v>0</v>
      </c>
      <c r="O473" s="129">
        <f t="shared" si="230"/>
        <v>8000000</v>
      </c>
    </row>
    <row r="474" spans="1:15" x14ac:dyDescent="0.2">
      <c r="A474" s="119"/>
      <c r="B474" s="120" t="s">
        <v>1348</v>
      </c>
      <c r="C474" s="129">
        <f t="shared" si="228"/>
        <v>0</v>
      </c>
      <c r="D474" s="129">
        <f t="shared" ref="D474:O474" si="231">D3103</f>
        <v>0</v>
      </c>
      <c r="E474" s="129">
        <f t="shared" si="231"/>
        <v>0</v>
      </c>
      <c r="F474" s="129">
        <f t="shared" si="231"/>
        <v>0</v>
      </c>
      <c r="G474" s="129">
        <f t="shared" si="231"/>
        <v>0</v>
      </c>
      <c r="H474" s="129">
        <f t="shared" si="231"/>
        <v>0</v>
      </c>
      <c r="I474" s="129">
        <f t="shared" si="231"/>
        <v>0</v>
      </c>
      <c r="J474" s="129">
        <f t="shared" si="231"/>
        <v>0</v>
      </c>
      <c r="K474" s="129">
        <f t="shared" si="231"/>
        <v>0</v>
      </c>
      <c r="L474" s="129">
        <f t="shared" si="231"/>
        <v>0</v>
      </c>
      <c r="M474" s="129">
        <f t="shared" si="231"/>
        <v>0</v>
      </c>
      <c r="N474" s="129">
        <f t="shared" si="231"/>
        <v>0</v>
      </c>
      <c r="O474" s="129">
        <f t="shared" si="231"/>
        <v>0</v>
      </c>
    </row>
    <row r="475" spans="1:15" x14ac:dyDescent="0.2">
      <c r="A475" s="119"/>
      <c r="B475" s="120" t="s">
        <v>1349</v>
      </c>
      <c r="C475" s="129">
        <f t="shared" si="228"/>
        <v>0</v>
      </c>
      <c r="D475" s="129">
        <f t="shared" ref="D475:O475" si="232">D3104</f>
        <v>0</v>
      </c>
      <c r="E475" s="129">
        <f t="shared" si="232"/>
        <v>0</v>
      </c>
      <c r="F475" s="129">
        <f t="shared" si="232"/>
        <v>0</v>
      </c>
      <c r="G475" s="129">
        <f t="shared" si="232"/>
        <v>0</v>
      </c>
      <c r="H475" s="129">
        <f t="shared" si="232"/>
        <v>0</v>
      </c>
      <c r="I475" s="129">
        <f t="shared" si="232"/>
        <v>0</v>
      </c>
      <c r="J475" s="129">
        <f t="shared" si="232"/>
        <v>0</v>
      </c>
      <c r="K475" s="129">
        <f t="shared" si="232"/>
        <v>0</v>
      </c>
      <c r="L475" s="129">
        <f t="shared" si="232"/>
        <v>0</v>
      </c>
      <c r="M475" s="129">
        <f t="shared" si="232"/>
        <v>0</v>
      </c>
      <c r="N475" s="129">
        <f t="shared" si="232"/>
        <v>0</v>
      </c>
      <c r="O475" s="129">
        <f t="shared" si="232"/>
        <v>0</v>
      </c>
    </row>
    <row r="476" spans="1:15" x14ac:dyDescent="0.2">
      <c r="A476" s="119" t="s">
        <v>1350</v>
      </c>
      <c r="B476" s="120" t="s">
        <v>1351</v>
      </c>
      <c r="C476" s="129">
        <f t="shared" si="228"/>
        <v>0</v>
      </c>
      <c r="D476" s="129">
        <f t="shared" ref="D476:O476" si="233">D3105</f>
        <v>0</v>
      </c>
      <c r="E476" s="129">
        <f t="shared" si="233"/>
        <v>0</v>
      </c>
      <c r="F476" s="129">
        <f t="shared" si="233"/>
        <v>1217.71</v>
      </c>
      <c r="G476" s="129">
        <f t="shared" si="233"/>
        <v>-1217.71</v>
      </c>
      <c r="H476" s="129">
        <f t="shared" si="233"/>
        <v>0</v>
      </c>
      <c r="I476" s="129">
        <f t="shared" si="233"/>
        <v>0</v>
      </c>
      <c r="J476" s="129">
        <f t="shared" si="233"/>
        <v>0</v>
      </c>
      <c r="K476" s="129">
        <f t="shared" si="233"/>
        <v>14861980.24</v>
      </c>
      <c r="L476" s="129">
        <f t="shared" si="233"/>
        <v>2988019.78</v>
      </c>
      <c r="M476" s="129">
        <f t="shared" si="233"/>
        <v>0</v>
      </c>
      <c r="N476" s="129">
        <f t="shared" si="233"/>
        <v>0</v>
      </c>
      <c r="O476" s="129">
        <f t="shared" si="233"/>
        <v>0</v>
      </c>
    </row>
    <row r="477" spans="1:15" x14ac:dyDescent="0.2">
      <c r="A477" s="119" t="s">
        <v>1352</v>
      </c>
      <c r="B477" s="120" t="s">
        <v>1353</v>
      </c>
      <c r="C477" s="129">
        <f t="shared" si="228"/>
        <v>0</v>
      </c>
      <c r="D477" s="129">
        <f t="shared" ref="D477:O477" si="234">D3106</f>
        <v>0</v>
      </c>
      <c r="E477" s="129">
        <f t="shared" si="234"/>
        <v>0</v>
      </c>
      <c r="F477" s="129">
        <f t="shared" si="234"/>
        <v>1217.71</v>
      </c>
      <c r="G477" s="129">
        <f t="shared" si="234"/>
        <v>-1217.71</v>
      </c>
      <c r="H477" s="129">
        <f t="shared" si="234"/>
        <v>0</v>
      </c>
      <c r="I477" s="129">
        <f t="shared" si="234"/>
        <v>0</v>
      </c>
      <c r="J477" s="129">
        <f t="shared" si="234"/>
        <v>0</v>
      </c>
      <c r="K477" s="129">
        <f t="shared" si="234"/>
        <v>0</v>
      </c>
      <c r="L477" s="129">
        <f t="shared" si="234"/>
        <v>12105000</v>
      </c>
      <c r="M477" s="129">
        <f t="shared" si="234"/>
        <v>7000000</v>
      </c>
      <c r="N477" s="129">
        <f t="shared" si="234"/>
        <v>0</v>
      </c>
      <c r="O477" s="129">
        <f t="shared" si="234"/>
        <v>7000000</v>
      </c>
    </row>
    <row r="478" spans="1:15" x14ac:dyDescent="0.2">
      <c r="A478" s="119"/>
      <c r="B478" s="120" t="s">
        <v>3067</v>
      </c>
      <c r="C478" s="129">
        <f>C3107</f>
        <v>0</v>
      </c>
      <c r="D478" s="129">
        <f t="shared" ref="D478:O478" si="235">D3107</f>
        <v>0</v>
      </c>
      <c r="E478" s="129">
        <f t="shared" si="235"/>
        <v>0</v>
      </c>
      <c r="F478" s="129">
        <f t="shared" si="235"/>
        <v>0</v>
      </c>
      <c r="G478" s="129">
        <f t="shared" si="235"/>
        <v>0</v>
      </c>
      <c r="H478" s="129">
        <f t="shared" si="235"/>
        <v>0</v>
      </c>
      <c r="I478" s="129">
        <f t="shared" si="235"/>
        <v>0</v>
      </c>
      <c r="J478" s="129">
        <f t="shared" si="235"/>
        <v>0</v>
      </c>
      <c r="K478" s="129">
        <f t="shared" si="235"/>
        <v>0</v>
      </c>
      <c r="L478" s="129">
        <f t="shared" si="235"/>
        <v>2000000</v>
      </c>
      <c r="M478" s="129">
        <f t="shared" si="235"/>
        <v>6000000</v>
      </c>
      <c r="N478" s="129">
        <f t="shared" si="235"/>
        <v>0</v>
      </c>
      <c r="O478" s="129">
        <f t="shared" si="235"/>
        <v>6000000</v>
      </c>
    </row>
    <row r="479" spans="1:15" x14ac:dyDescent="0.2">
      <c r="A479" s="119"/>
      <c r="B479" s="120" t="s">
        <v>3068</v>
      </c>
      <c r="C479" s="129">
        <f>C3108</f>
        <v>0</v>
      </c>
      <c r="D479" s="129">
        <f t="shared" ref="D479:O479" si="236">D3108</f>
        <v>0</v>
      </c>
      <c r="E479" s="129">
        <f t="shared" si="236"/>
        <v>0</v>
      </c>
      <c r="F479" s="129">
        <f t="shared" si="236"/>
        <v>0</v>
      </c>
      <c r="G479" s="129">
        <f t="shared" si="236"/>
        <v>0</v>
      </c>
      <c r="H479" s="129">
        <f t="shared" si="236"/>
        <v>0</v>
      </c>
      <c r="I479" s="129">
        <f t="shared" si="236"/>
        <v>0</v>
      </c>
      <c r="J479" s="129">
        <f t="shared" si="236"/>
        <v>0</v>
      </c>
      <c r="K479" s="129">
        <f t="shared" si="236"/>
        <v>0</v>
      </c>
      <c r="L479" s="129">
        <f t="shared" si="236"/>
        <v>2000000</v>
      </c>
      <c r="M479" s="129">
        <f t="shared" si="236"/>
        <v>6000000</v>
      </c>
      <c r="N479" s="129">
        <f t="shared" si="236"/>
        <v>0</v>
      </c>
      <c r="O479" s="129">
        <f t="shared" si="236"/>
        <v>6000000</v>
      </c>
    </row>
    <row r="480" spans="1:15" x14ac:dyDescent="0.2">
      <c r="A480" s="119"/>
      <c r="B480" s="120" t="s">
        <v>3069</v>
      </c>
      <c r="C480" s="129">
        <f>C3109</f>
        <v>0</v>
      </c>
      <c r="D480" s="129">
        <f t="shared" ref="D480:O480" si="237">D3109</f>
        <v>0</v>
      </c>
      <c r="E480" s="129">
        <f t="shared" si="237"/>
        <v>0</v>
      </c>
      <c r="F480" s="129">
        <f t="shared" si="237"/>
        <v>0</v>
      </c>
      <c r="G480" s="129">
        <f t="shared" si="237"/>
        <v>0</v>
      </c>
      <c r="H480" s="129">
        <f t="shared" si="237"/>
        <v>0</v>
      </c>
      <c r="I480" s="129">
        <f t="shared" si="237"/>
        <v>0</v>
      </c>
      <c r="J480" s="129">
        <f t="shared" si="237"/>
        <v>0</v>
      </c>
      <c r="K480" s="129">
        <f t="shared" si="237"/>
        <v>0</v>
      </c>
      <c r="L480" s="129">
        <f t="shared" si="237"/>
        <v>2000000</v>
      </c>
      <c r="M480" s="129">
        <f t="shared" si="237"/>
        <v>5905050</v>
      </c>
      <c r="N480" s="129">
        <f t="shared" si="237"/>
        <v>0</v>
      </c>
      <c r="O480" s="129">
        <f t="shared" si="237"/>
        <v>5905050</v>
      </c>
    </row>
    <row r="481" spans="1:15" x14ac:dyDescent="0.2">
      <c r="A481" s="119"/>
      <c r="B481" s="120" t="s">
        <v>3070</v>
      </c>
      <c r="C481" s="129">
        <f>Technical!D176</f>
        <v>0</v>
      </c>
      <c r="D481" s="129">
        <f>Technical!E176</f>
        <v>0</v>
      </c>
      <c r="E481" s="129">
        <f>Technical!F176</f>
        <v>0</v>
      </c>
      <c r="F481" s="129">
        <f>Technical!G176</f>
        <v>0</v>
      </c>
      <c r="G481" s="129">
        <f>Technical!H176</f>
        <v>0</v>
      </c>
      <c r="H481" s="129">
        <f>Technical!I176</f>
        <v>0</v>
      </c>
      <c r="I481" s="129">
        <f>Technical!J176</f>
        <v>0</v>
      </c>
      <c r="J481" s="129">
        <f>Technical!K176</f>
        <v>0</v>
      </c>
      <c r="K481" s="129">
        <f>Technical!L176</f>
        <v>0</v>
      </c>
      <c r="L481" s="129">
        <f>Technical!M176</f>
        <v>2500000</v>
      </c>
      <c r="M481" s="129">
        <f>Technical!N176</f>
        <v>6897350</v>
      </c>
      <c r="N481" s="129">
        <f>Technical!O176</f>
        <v>0</v>
      </c>
      <c r="O481" s="129">
        <f>Technical!N176</f>
        <v>6897350</v>
      </c>
    </row>
    <row r="482" spans="1:15" x14ac:dyDescent="0.2">
      <c r="A482" s="119"/>
      <c r="B482" s="120" t="s">
        <v>3043</v>
      </c>
      <c r="C482" s="129">
        <f t="shared" ref="C482:O483" si="238">C3110</f>
        <v>0</v>
      </c>
      <c r="D482" s="129">
        <f t="shared" si="238"/>
        <v>0</v>
      </c>
      <c r="E482" s="129">
        <f t="shared" si="238"/>
        <v>0</v>
      </c>
      <c r="F482" s="129">
        <f t="shared" si="238"/>
        <v>0</v>
      </c>
      <c r="G482" s="129">
        <f t="shared" si="238"/>
        <v>0</v>
      </c>
      <c r="H482" s="129">
        <f t="shared" si="238"/>
        <v>0</v>
      </c>
      <c r="I482" s="129">
        <f t="shared" si="238"/>
        <v>0</v>
      </c>
      <c r="J482" s="129">
        <f t="shared" si="238"/>
        <v>0</v>
      </c>
      <c r="K482" s="129">
        <f t="shared" si="238"/>
        <v>0</v>
      </c>
      <c r="L482" s="129">
        <f t="shared" si="238"/>
        <v>12259030</v>
      </c>
      <c r="M482" s="129">
        <f t="shared" si="238"/>
        <v>6000000</v>
      </c>
      <c r="N482" s="129">
        <f t="shared" si="238"/>
        <v>0</v>
      </c>
      <c r="O482" s="129">
        <f t="shared" si="238"/>
        <v>6000000</v>
      </c>
    </row>
    <row r="483" spans="1:15" x14ac:dyDescent="0.2">
      <c r="A483" s="119"/>
      <c r="B483" s="120" t="s">
        <v>3042</v>
      </c>
      <c r="C483" s="129">
        <f t="shared" si="238"/>
        <v>0</v>
      </c>
      <c r="D483" s="129">
        <f t="shared" ref="D483:O483" si="239">D3111</f>
        <v>0</v>
      </c>
      <c r="E483" s="129">
        <f t="shared" si="239"/>
        <v>0</v>
      </c>
      <c r="F483" s="129">
        <f t="shared" si="239"/>
        <v>0</v>
      </c>
      <c r="G483" s="129">
        <f t="shared" si="239"/>
        <v>0</v>
      </c>
      <c r="H483" s="129">
        <f t="shared" si="239"/>
        <v>0</v>
      </c>
      <c r="I483" s="129">
        <f t="shared" si="239"/>
        <v>0</v>
      </c>
      <c r="J483" s="129">
        <f t="shared" si="239"/>
        <v>0</v>
      </c>
      <c r="K483" s="129">
        <f t="shared" si="239"/>
        <v>0</v>
      </c>
      <c r="L483" s="129">
        <f t="shared" si="239"/>
        <v>0</v>
      </c>
      <c r="M483" s="129">
        <f t="shared" si="239"/>
        <v>0</v>
      </c>
      <c r="N483" s="129">
        <f t="shared" si="239"/>
        <v>0</v>
      </c>
      <c r="O483" s="129">
        <f t="shared" si="239"/>
        <v>0</v>
      </c>
    </row>
    <row r="484" spans="1:15" x14ac:dyDescent="0.2">
      <c r="A484" s="119"/>
      <c r="B484" s="120"/>
      <c r="C484" s="129"/>
      <c r="D484" s="129"/>
      <c r="E484" s="129"/>
      <c r="F484" s="129"/>
      <c r="G484" s="129"/>
      <c r="H484" s="129"/>
      <c r="I484" s="129"/>
      <c r="J484" s="129"/>
      <c r="K484" s="129">
        <f>C484-J484</f>
        <v>0</v>
      </c>
      <c r="L484" s="129"/>
      <c r="O484" s="129"/>
    </row>
    <row r="485" spans="1:15" s="114" customFormat="1" ht="15" x14ac:dyDescent="0.25">
      <c r="A485" s="118"/>
      <c r="B485" s="117" t="s">
        <v>320</v>
      </c>
      <c r="C485" s="128">
        <f>SUM(C452:C484)</f>
        <v>55441271</v>
      </c>
      <c r="D485" s="128">
        <v>4052075.73</v>
      </c>
      <c r="E485" s="128">
        <v>4445741.7699999996</v>
      </c>
      <c r="F485" s="128">
        <v>31497290.100000001</v>
      </c>
      <c r="G485" s="128">
        <v>23943980.899999999</v>
      </c>
      <c r="H485" s="128">
        <v>56.81</v>
      </c>
      <c r="I485" s="128">
        <f t="shared" ref="I485:O485" si="240">SUM(I452:I484)</f>
        <v>-1136486.5</v>
      </c>
      <c r="J485" s="128">
        <f t="shared" si="240"/>
        <v>54304784.5</v>
      </c>
      <c r="K485" s="128">
        <f t="shared" si="240"/>
        <v>61599350</v>
      </c>
      <c r="L485" s="128">
        <f t="shared" si="240"/>
        <v>55851049.780000001</v>
      </c>
      <c r="M485" s="128">
        <f t="shared" si="240"/>
        <v>59602400</v>
      </c>
      <c r="N485" s="128">
        <f t="shared" si="240"/>
        <v>0</v>
      </c>
      <c r="O485" s="128">
        <f t="shared" si="240"/>
        <v>60591560</v>
      </c>
    </row>
    <row r="486" spans="1:15" s="114" customFormat="1" ht="15" x14ac:dyDescent="0.25">
      <c r="A486" s="118"/>
      <c r="B486" s="117"/>
      <c r="C486" s="128"/>
      <c r="D486" s="128"/>
      <c r="E486" s="128"/>
      <c r="F486" s="128"/>
      <c r="G486" s="128"/>
      <c r="H486" s="128"/>
      <c r="I486" s="128"/>
      <c r="J486" s="128"/>
      <c r="K486" s="128"/>
      <c r="L486" s="128"/>
      <c r="M486" s="186"/>
      <c r="N486" s="186"/>
      <c r="O486" s="128"/>
    </row>
    <row r="487" spans="1:15" s="114" customFormat="1" ht="15" x14ac:dyDescent="0.25">
      <c r="A487" s="118"/>
      <c r="B487" s="117"/>
      <c r="C487" s="128"/>
      <c r="D487" s="127"/>
      <c r="E487" s="128"/>
      <c r="F487" s="127"/>
      <c r="G487" s="127"/>
      <c r="H487" s="128"/>
      <c r="I487" s="128"/>
      <c r="J487" s="127"/>
      <c r="K487" s="127"/>
      <c r="L487" s="127"/>
      <c r="M487" s="186"/>
      <c r="N487" s="186"/>
      <c r="O487" s="128"/>
    </row>
    <row r="488" spans="1:15" s="114" customFormat="1" ht="15" x14ac:dyDescent="0.25">
      <c r="A488" s="118"/>
      <c r="B488" s="117" t="s">
        <v>321</v>
      </c>
      <c r="C488" s="128"/>
      <c r="D488" s="128"/>
      <c r="E488" s="128"/>
      <c r="F488" s="128"/>
      <c r="G488" s="128"/>
      <c r="H488" s="128"/>
      <c r="I488" s="128"/>
      <c r="J488" s="128"/>
      <c r="K488" s="128"/>
      <c r="L488" s="128"/>
      <c r="M488" s="186"/>
      <c r="N488" s="186"/>
      <c r="O488" s="128"/>
    </row>
    <row r="489" spans="1:15" s="114" customFormat="1" ht="15" x14ac:dyDescent="0.25">
      <c r="A489" s="118"/>
      <c r="B489" s="117" t="s">
        <v>9</v>
      </c>
      <c r="C489" s="128"/>
      <c r="D489" s="128"/>
      <c r="E489" s="128"/>
      <c r="F489" s="128"/>
      <c r="G489" s="128"/>
      <c r="H489" s="128"/>
      <c r="I489" s="128"/>
      <c r="J489" s="128"/>
      <c r="K489" s="128"/>
      <c r="L489" s="128"/>
      <c r="M489" s="186"/>
      <c r="N489" s="186"/>
      <c r="O489" s="128"/>
    </row>
    <row r="490" spans="1:15" s="114" customFormat="1" ht="15" x14ac:dyDescent="0.25">
      <c r="A490" s="118"/>
      <c r="B490" s="117" t="s">
        <v>81</v>
      </c>
      <c r="C490" s="128"/>
      <c r="D490" s="128"/>
      <c r="E490" s="128"/>
      <c r="F490" s="128"/>
      <c r="G490" s="128"/>
      <c r="H490" s="128"/>
      <c r="I490" s="128"/>
      <c r="J490" s="128"/>
      <c r="K490" s="128"/>
      <c r="L490" s="128"/>
      <c r="M490" s="186"/>
      <c r="N490" s="186"/>
      <c r="O490" s="128"/>
    </row>
    <row r="491" spans="1:15" x14ac:dyDescent="0.2">
      <c r="A491" s="119"/>
      <c r="B491" s="120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O491" s="129"/>
    </row>
    <row r="492" spans="1:15" x14ac:dyDescent="0.2">
      <c r="A492" s="119" t="s">
        <v>322</v>
      </c>
      <c r="B492" s="120" t="s">
        <v>89</v>
      </c>
      <c r="C492" s="129">
        <v>-276424</v>
      </c>
      <c r="D492" s="129">
        <v>0</v>
      </c>
      <c r="E492" s="129">
        <v>0</v>
      </c>
      <c r="F492" s="129">
        <v>-712288.67</v>
      </c>
      <c r="G492" s="129">
        <v>435864.67</v>
      </c>
      <c r="H492" s="129">
        <v>257.67</v>
      </c>
      <c r="I492" s="129">
        <f>'Corporate Services'!J7</f>
        <v>276424</v>
      </c>
      <c r="J492" s="129">
        <f>'Corporate Services'!K7</f>
        <v>0</v>
      </c>
      <c r="K492" s="129">
        <f>'Corporate Services'!L7</f>
        <v>-1000000</v>
      </c>
      <c r="L492" s="129">
        <f>'Corporate Services'!M7</f>
        <v>-1046000</v>
      </c>
      <c r="M492" s="129">
        <f>'Corporate Services'!N7</f>
        <v>-1094116</v>
      </c>
      <c r="N492" s="129">
        <f>'Corporate Services'!O7</f>
        <v>0</v>
      </c>
      <c r="O492" s="129">
        <f>'Corporate Services'!N7</f>
        <v>-1094116</v>
      </c>
    </row>
    <row r="493" spans="1:15" x14ac:dyDescent="0.2">
      <c r="A493" s="119"/>
      <c r="B493" s="120"/>
      <c r="C493" s="129"/>
      <c r="D493" s="129"/>
      <c r="E493" s="129"/>
      <c r="F493" s="129"/>
      <c r="G493" s="129"/>
      <c r="H493" s="129"/>
      <c r="I493" s="129">
        <f>'Corporate Services'!J8</f>
        <v>0</v>
      </c>
      <c r="J493" s="129"/>
      <c r="K493" s="129"/>
      <c r="L493" s="129"/>
      <c r="O493" s="129"/>
    </row>
    <row r="494" spans="1:15" s="114" customFormat="1" ht="15" x14ac:dyDescent="0.25">
      <c r="A494" s="118"/>
      <c r="B494" s="117" t="s">
        <v>90</v>
      </c>
      <c r="C494" s="128">
        <f>SUM(C492:C493)</f>
        <v>-276424</v>
      </c>
      <c r="D494" s="128">
        <v>0</v>
      </c>
      <c r="E494" s="128">
        <v>0</v>
      </c>
      <c r="F494" s="128">
        <v>-712288.67</v>
      </c>
      <c r="G494" s="128">
        <v>435864.67</v>
      </c>
      <c r="H494" s="128">
        <v>257.67</v>
      </c>
      <c r="I494" s="128">
        <f t="shared" ref="I494:O494" si="241">SUM(I492:I493)</f>
        <v>276424</v>
      </c>
      <c r="J494" s="128">
        <f t="shared" si="241"/>
        <v>0</v>
      </c>
      <c r="K494" s="128">
        <f t="shared" si="241"/>
        <v>-1000000</v>
      </c>
      <c r="L494" s="128">
        <f t="shared" si="241"/>
        <v>-1046000</v>
      </c>
      <c r="M494" s="128">
        <f t="shared" si="241"/>
        <v>-1094116</v>
      </c>
      <c r="N494" s="128">
        <f t="shared" si="241"/>
        <v>0</v>
      </c>
      <c r="O494" s="128">
        <f t="shared" si="241"/>
        <v>-1094116</v>
      </c>
    </row>
    <row r="495" spans="1:15" s="114" customFormat="1" ht="15" x14ac:dyDescent="0.25">
      <c r="A495" s="118"/>
      <c r="B495" s="117"/>
      <c r="C495" s="128"/>
      <c r="D495" s="128"/>
      <c r="E495" s="128"/>
      <c r="F495" s="128"/>
      <c r="G495" s="128"/>
      <c r="H495" s="128"/>
      <c r="I495" s="129">
        <f>'Corporate Services'!J10</f>
        <v>0</v>
      </c>
      <c r="J495" s="129"/>
      <c r="K495" s="129"/>
      <c r="L495" s="129"/>
      <c r="M495" s="186"/>
      <c r="N495" s="186"/>
      <c r="O495" s="128"/>
    </row>
    <row r="496" spans="1:15" s="114" customFormat="1" ht="15" x14ac:dyDescent="0.25">
      <c r="A496" s="118"/>
      <c r="B496" s="117" t="s">
        <v>94</v>
      </c>
      <c r="C496" s="128">
        <f>C494</f>
        <v>-276424</v>
      </c>
      <c r="D496" s="128">
        <v>0</v>
      </c>
      <c r="E496" s="128">
        <v>0</v>
      </c>
      <c r="F496" s="128">
        <v>-712288.67</v>
      </c>
      <c r="G496" s="128">
        <v>435864.67</v>
      </c>
      <c r="H496" s="128">
        <v>257.67</v>
      </c>
      <c r="I496" s="128">
        <f t="shared" ref="I496:O496" si="242">I494</f>
        <v>276424</v>
      </c>
      <c r="J496" s="128">
        <f t="shared" si="242"/>
        <v>0</v>
      </c>
      <c r="K496" s="128">
        <f t="shared" si="242"/>
        <v>-1000000</v>
      </c>
      <c r="L496" s="128">
        <f t="shared" si="242"/>
        <v>-1046000</v>
      </c>
      <c r="M496" s="128">
        <f t="shared" si="242"/>
        <v>-1094116</v>
      </c>
      <c r="N496" s="128">
        <f t="shared" si="242"/>
        <v>0</v>
      </c>
      <c r="O496" s="128">
        <f t="shared" si="242"/>
        <v>-1094116</v>
      </c>
    </row>
    <row r="497" spans="1:15" s="114" customFormat="1" ht="15" x14ac:dyDescent="0.25">
      <c r="A497" s="118"/>
      <c r="B497" s="117"/>
      <c r="C497" s="128"/>
      <c r="D497" s="128"/>
      <c r="E497" s="128"/>
      <c r="F497" s="128"/>
      <c r="G497" s="128"/>
      <c r="H497" s="128"/>
      <c r="I497" s="129">
        <f>'Corporate Services'!J12</f>
        <v>0</v>
      </c>
      <c r="J497" s="129"/>
      <c r="K497" s="129"/>
      <c r="L497" s="129"/>
      <c r="M497" s="186"/>
      <c r="N497" s="186"/>
      <c r="O497" s="128"/>
    </row>
    <row r="498" spans="1:15" s="114" customFormat="1" ht="15" x14ac:dyDescent="0.25">
      <c r="A498" s="118"/>
      <c r="B498" s="117" t="s">
        <v>95</v>
      </c>
      <c r="C498" s="128">
        <f>C496</f>
        <v>-276424</v>
      </c>
      <c r="D498" s="128">
        <v>0</v>
      </c>
      <c r="E498" s="128">
        <v>0</v>
      </c>
      <c r="F498" s="128">
        <v>-712288.67</v>
      </c>
      <c r="G498" s="128">
        <v>435864.67</v>
      </c>
      <c r="H498" s="128">
        <v>257.67</v>
      </c>
      <c r="I498" s="128">
        <f t="shared" ref="I498:O498" si="243">I496</f>
        <v>276424</v>
      </c>
      <c r="J498" s="128">
        <f t="shared" si="243"/>
        <v>0</v>
      </c>
      <c r="K498" s="128">
        <f t="shared" si="243"/>
        <v>-1000000</v>
      </c>
      <c r="L498" s="128">
        <f t="shared" si="243"/>
        <v>-1046000</v>
      </c>
      <c r="M498" s="128">
        <f t="shared" si="243"/>
        <v>-1094116</v>
      </c>
      <c r="N498" s="128">
        <f t="shared" si="243"/>
        <v>0</v>
      </c>
      <c r="O498" s="128">
        <f t="shared" si="243"/>
        <v>-1094116</v>
      </c>
    </row>
    <row r="499" spans="1:15" s="114" customFormat="1" ht="15" x14ac:dyDescent="0.25">
      <c r="A499" s="118"/>
      <c r="B499" s="117" t="s">
        <v>96</v>
      </c>
      <c r="C499" s="128"/>
      <c r="D499" s="128"/>
      <c r="E499" s="128"/>
      <c r="F499" s="128"/>
      <c r="G499" s="128"/>
      <c r="H499" s="128"/>
      <c r="I499" s="129">
        <f>'Corporate Services'!J15</f>
        <v>0</v>
      </c>
      <c r="J499" s="129"/>
      <c r="K499" s="129"/>
      <c r="L499" s="129"/>
      <c r="M499" s="186"/>
      <c r="N499" s="186"/>
      <c r="O499" s="128"/>
    </row>
    <row r="500" spans="1:15" s="114" customFormat="1" ht="15" x14ac:dyDescent="0.25">
      <c r="A500" s="118"/>
      <c r="B500" s="117" t="s">
        <v>97</v>
      </c>
      <c r="C500" s="128"/>
      <c r="D500" s="128"/>
      <c r="E500" s="128"/>
      <c r="F500" s="128"/>
      <c r="G500" s="128"/>
      <c r="H500" s="128"/>
      <c r="I500" s="129">
        <f>'Corporate Services'!J16</f>
        <v>0</v>
      </c>
      <c r="J500" s="129"/>
      <c r="K500" s="129"/>
      <c r="L500" s="129"/>
      <c r="M500" s="186"/>
      <c r="N500" s="186"/>
      <c r="O500" s="128"/>
    </row>
    <row r="501" spans="1:15" s="114" customFormat="1" ht="15" x14ac:dyDescent="0.25">
      <c r="A501" s="118"/>
      <c r="B501" s="117" t="s">
        <v>98</v>
      </c>
      <c r="C501" s="128"/>
      <c r="D501" s="128"/>
      <c r="E501" s="128"/>
      <c r="F501" s="128"/>
      <c r="G501" s="128"/>
      <c r="H501" s="128"/>
      <c r="I501" s="129">
        <f>'Corporate Services'!J17</f>
        <v>0</v>
      </c>
      <c r="J501" s="129"/>
      <c r="K501" s="129"/>
      <c r="L501" s="129"/>
      <c r="M501" s="186"/>
      <c r="N501" s="186"/>
      <c r="O501" s="128"/>
    </row>
    <row r="502" spans="1:15" x14ac:dyDescent="0.2">
      <c r="A502" s="119"/>
      <c r="B502" s="120"/>
      <c r="C502" s="129"/>
      <c r="D502" s="129"/>
      <c r="E502" s="129"/>
      <c r="F502" s="129"/>
      <c r="G502" s="129"/>
      <c r="H502" s="129"/>
      <c r="I502" s="129">
        <f>'Corporate Services'!J18</f>
        <v>0</v>
      </c>
      <c r="J502" s="129"/>
      <c r="K502" s="129"/>
      <c r="L502" s="129"/>
      <c r="O502" s="129"/>
    </row>
    <row r="503" spans="1:15" x14ac:dyDescent="0.2">
      <c r="A503" s="119" t="s">
        <v>323</v>
      </c>
      <c r="B503" s="120" t="s">
        <v>116</v>
      </c>
      <c r="C503" s="129">
        <f>'Corporate Services'!D19</f>
        <v>745888</v>
      </c>
      <c r="D503" s="129">
        <f>'Corporate Services'!E19</f>
        <v>71806.25</v>
      </c>
      <c r="E503" s="129">
        <f>'Corporate Services'!F19</f>
        <v>0</v>
      </c>
      <c r="F503" s="129">
        <f>'Corporate Services'!G19</f>
        <v>430837.5</v>
      </c>
      <c r="G503" s="129">
        <f>'Corporate Services'!H19</f>
        <v>315050.5</v>
      </c>
      <c r="H503" s="129">
        <f>'Corporate Services'!I19</f>
        <v>57.761688081856796</v>
      </c>
      <c r="I503" s="129">
        <f>'Corporate Services'!J19</f>
        <v>0</v>
      </c>
      <c r="J503" s="129">
        <f>'Corporate Services'!K19</f>
        <v>745888</v>
      </c>
      <c r="K503" s="129">
        <f>'Corporate Services'!L19</f>
        <v>792506</v>
      </c>
      <c r="L503" s="129">
        <f>'Corporate Services'!M19</f>
        <v>847981.42</v>
      </c>
      <c r="M503" s="129">
        <f>'Corporate Services'!N19</f>
        <v>907340.11940000008</v>
      </c>
      <c r="N503" s="129">
        <f>'Corporate Services'!O19</f>
        <v>0</v>
      </c>
      <c r="O503" s="129">
        <f>'Corporate Services'!N19</f>
        <v>907340.11940000008</v>
      </c>
    </row>
    <row r="504" spans="1:15" x14ac:dyDescent="0.2">
      <c r="A504" s="119" t="s">
        <v>324</v>
      </c>
      <c r="B504" s="120" t="s">
        <v>117</v>
      </c>
      <c r="C504" s="129">
        <f>'Corporate Services'!D20</f>
        <v>37294</v>
      </c>
      <c r="D504" s="129">
        <v>0</v>
      </c>
      <c r="E504" s="129">
        <v>0</v>
      </c>
      <c r="F504" s="129">
        <v>0</v>
      </c>
      <c r="G504" s="129">
        <v>37294</v>
      </c>
      <c r="H504" s="129">
        <v>0</v>
      </c>
      <c r="I504" s="129">
        <f>'Corporate Services'!J20</f>
        <v>0</v>
      </c>
      <c r="J504" s="129">
        <f>'Corporate Services'!K20</f>
        <v>37294</v>
      </c>
      <c r="K504" s="129">
        <f>'Corporate Services'!L20</f>
        <v>39624.875</v>
      </c>
      <c r="L504" s="129">
        <f>'Corporate Services'!M20</f>
        <v>42398.616249999999</v>
      </c>
      <c r="M504" s="129">
        <f>'Corporate Services'!N20</f>
        <v>45366.519387499997</v>
      </c>
      <c r="N504" s="129">
        <f>'Corporate Services'!O20</f>
        <v>0</v>
      </c>
      <c r="O504" s="129">
        <f>'Corporate Services'!N20</f>
        <v>45366.519387499997</v>
      </c>
    </row>
    <row r="505" spans="1:15" x14ac:dyDescent="0.2">
      <c r="A505" s="119" t="s">
        <v>325</v>
      </c>
      <c r="B505" s="120" t="s">
        <v>118</v>
      </c>
      <c r="C505" s="129">
        <f>'Corporate Services'!D21</f>
        <v>40000</v>
      </c>
      <c r="D505" s="129">
        <v>3333.33</v>
      </c>
      <c r="E505" s="129">
        <v>0</v>
      </c>
      <c r="F505" s="129">
        <v>19999.98</v>
      </c>
      <c r="G505" s="129">
        <v>20000.02</v>
      </c>
      <c r="H505" s="129">
        <v>49.99</v>
      </c>
      <c r="I505" s="129">
        <f>'Corporate Services'!J21</f>
        <v>0</v>
      </c>
      <c r="J505" s="129">
        <f>'Corporate Services'!K21</f>
        <v>40000</v>
      </c>
      <c r="K505" s="129">
        <f>'Corporate Services'!L21</f>
        <v>42500</v>
      </c>
      <c r="L505" s="129">
        <f>'Corporate Services'!M21</f>
        <v>45475</v>
      </c>
      <c r="M505" s="129">
        <f>'Corporate Services'!N21</f>
        <v>48658.25</v>
      </c>
      <c r="N505" s="129">
        <f>'Corporate Services'!O21</f>
        <v>0</v>
      </c>
      <c r="O505" s="129">
        <f>'Corporate Services'!N21</f>
        <v>48658.25</v>
      </c>
    </row>
    <row r="506" spans="1:15" x14ac:dyDescent="0.2">
      <c r="A506" s="119" t="s">
        <v>326</v>
      </c>
      <c r="B506" s="120" t="s">
        <v>119</v>
      </c>
      <c r="C506" s="129">
        <f>'Corporate Services'!D22</f>
        <v>147584</v>
      </c>
      <c r="D506" s="129">
        <v>0</v>
      </c>
      <c r="E506" s="129">
        <v>0</v>
      </c>
      <c r="F506" s="129">
        <v>0</v>
      </c>
      <c r="G506" s="129">
        <v>147584</v>
      </c>
      <c r="H506" s="129">
        <v>0</v>
      </c>
      <c r="I506" s="129">
        <f>'Corporate Services'!J22</f>
        <v>0</v>
      </c>
      <c r="J506" s="129">
        <f>'Corporate Services'!K22</f>
        <v>147584</v>
      </c>
      <c r="K506" s="129">
        <f>'Corporate Services'!L22</f>
        <v>156808</v>
      </c>
      <c r="L506" s="129">
        <f>'Corporate Services'!M22</f>
        <v>167784.56</v>
      </c>
      <c r="M506" s="129">
        <f>'Corporate Services'!N22</f>
        <v>179529.4792</v>
      </c>
      <c r="N506" s="129">
        <f>'Corporate Services'!O22</f>
        <v>0</v>
      </c>
      <c r="O506" s="129">
        <f>'Corporate Services'!N22</f>
        <v>179529.4792</v>
      </c>
    </row>
    <row r="507" spans="1:15" x14ac:dyDescent="0.2">
      <c r="A507" s="119" t="s">
        <v>327</v>
      </c>
      <c r="B507" s="120" t="s">
        <v>120</v>
      </c>
      <c r="C507" s="129">
        <f>'Corporate Services'!D23</f>
        <v>15692</v>
      </c>
      <c r="D507" s="129">
        <v>0</v>
      </c>
      <c r="E507" s="129">
        <v>0</v>
      </c>
      <c r="F507" s="129">
        <v>0</v>
      </c>
      <c r="G507" s="129">
        <v>15692</v>
      </c>
      <c r="H507" s="129">
        <v>0</v>
      </c>
      <c r="I507" s="129">
        <f>'Corporate Services'!J23</f>
        <v>0</v>
      </c>
      <c r="J507" s="129">
        <f>'Corporate Services'!K23</f>
        <v>15692</v>
      </c>
      <c r="K507" s="129">
        <f>'Corporate Services'!L23</f>
        <v>16672.75</v>
      </c>
      <c r="L507" s="129">
        <f>'Corporate Services'!M23</f>
        <v>17839.842499999999</v>
      </c>
      <c r="M507" s="129">
        <f>'Corporate Services'!N23</f>
        <v>19088.631474999998</v>
      </c>
      <c r="N507" s="129">
        <f>'Corporate Services'!O23</f>
        <v>0</v>
      </c>
      <c r="O507" s="129">
        <f>'Corporate Services'!N23</f>
        <v>19088.631474999998</v>
      </c>
    </row>
    <row r="508" spans="1:15" x14ac:dyDescent="0.2">
      <c r="A508" s="119" t="s">
        <v>328</v>
      </c>
      <c r="B508" s="120" t="s">
        <v>121</v>
      </c>
      <c r="C508" s="129">
        <f>'Corporate Services'!D24</f>
        <v>20876</v>
      </c>
      <c r="D508" s="129">
        <v>0</v>
      </c>
      <c r="E508" s="129">
        <v>0</v>
      </c>
      <c r="F508" s="129">
        <v>0</v>
      </c>
      <c r="G508" s="129">
        <v>20876</v>
      </c>
      <c r="H508" s="129">
        <v>0</v>
      </c>
      <c r="I508" s="129">
        <f>'Corporate Services'!J24</f>
        <v>-20876</v>
      </c>
      <c r="J508" s="129">
        <f>'Corporate Services'!K24</f>
        <v>0</v>
      </c>
      <c r="K508" s="129">
        <f>'Corporate Services'!L24</f>
        <v>0</v>
      </c>
      <c r="L508" s="129">
        <f>'Corporate Services'!M24</f>
        <v>0</v>
      </c>
      <c r="O508" s="129">
        <f>'Corporate Services'!N24</f>
        <v>0</v>
      </c>
    </row>
    <row r="509" spans="1:15" x14ac:dyDescent="0.2">
      <c r="A509" s="119"/>
      <c r="B509" s="120"/>
      <c r="C509" s="129"/>
      <c r="D509" s="129"/>
      <c r="E509" s="129"/>
      <c r="F509" s="129"/>
      <c r="G509" s="129"/>
      <c r="H509" s="129"/>
      <c r="I509" s="129">
        <f>'Corporate Services'!J25</f>
        <v>0</v>
      </c>
      <c r="J509" s="129"/>
      <c r="K509" s="129"/>
      <c r="L509" s="129"/>
      <c r="O509" s="129"/>
    </row>
    <row r="510" spans="1:15" s="114" customFormat="1" ht="15" x14ac:dyDescent="0.25">
      <c r="A510" s="118"/>
      <c r="B510" s="117" t="s">
        <v>122</v>
      </c>
      <c r="C510" s="128">
        <f>SUM(C503:C509)</f>
        <v>1007334</v>
      </c>
      <c r="D510" s="128">
        <v>75139.58</v>
      </c>
      <c r="E510" s="128">
        <v>0</v>
      </c>
      <c r="F510" s="128">
        <v>450837.48</v>
      </c>
      <c r="G510" s="128">
        <v>556496.52</v>
      </c>
      <c r="H510" s="128">
        <v>44.75</v>
      </c>
      <c r="I510" s="128">
        <f t="shared" ref="I510:O510" si="244">SUM(I503:I509)</f>
        <v>-20876</v>
      </c>
      <c r="J510" s="128">
        <f t="shared" si="244"/>
        <v>986458</v>
      </c>
      <c r="K510" s="128">
        <f t="shared" si="244"/>
        <v>1048111.625</v>
      </c>
      <c r="L510" s="128">
        <f t="shared" si="244"/>
        <v>1121479.43875</v>
      </c>
      <c r="M510" s="128">
        <f t="shared" si="244"/>
        <v>1199982.9994625</v>
      </c>
      <c r="N510" s="128">
        <f t="shared" si="244"/>
        <v>0</v>
      </c>
      <c r="O510" s="128">
        <f t="shared" si="244"/>
        <v>1199982.9994625</v>
      </c>
    </row>
    <row r="511" spans="1:15" s="114" customFormat="1" ht="15" x14ac:dyDescent="0.25">
      <c r="A511" s="118"/>
      <c r="B511" s="117"/>
      <c r="C511" s="128"/>
      <c r="D511" s="128"/>
      <c r="E511" s="128"/>
      <c r="F511" s="128"/>
      <c r="G511" s="128"/>
      <c r="H511" s="128"/>
      <c r="I511" s="129">
        <f>'Corporate Services'!J27</f>
        <v>0</v>
      </c>
      <c r="J511" s="129"/>
      <c r="K511" s="129"/>
      <c r="L511" s="129"/>
      <c r="M511" s="186"/>
      <c r="N511" s="186"/>
      <c r="O511" s="128"/>
    </row>
    <row r="512" spans="1:15" s="114" customFormat="1" ht="15" x14ac:dyDescent="0.25">
      <c r="A512" s="118"/>
      <c r="B512" s="117" t="s">
        <v>146</v>
      </c>
      <c r="C512" s="128">
        <f>C510</f>
        <v>1007334</v>
      </c>
      <c r="D512" s="128">
        <v>75139.58</v>
      </c>
      <c r="E512" s="128">
        <v>0</v>
      </c>
      <c r="F512" s="128">
        <v>450837.48</v>
      </c>
      <c r="G512" s="128">
        <v>556496.52</v>
      </c>
      <c r="H512" s="128">
        <v>44.75</v>
      </c>
      <c r="I512" s="128">
        <f t="shared" ref="I512:O512" si="245">I510</f>
        <v>-20876</v>
      </c>
      <c r="J512" s="128">
        <f t="shared" si="245"/>
        <v>986458</v>
      </c>
      <c r="K512" s="128">
        <f t="shared" si="245"/>
        <v>1048111.625</v>
      </c>
      <c r="L512" s="128">
        <f t="shared" si="245"/>
        <v>1121479.43875</v>
      </c>
      <c r="M512" s="128">
        <f t="shared" si="245"/>
        <v>1199982.9994625</v>
      </c>
      <c r="N512" s="128">
        <f t="shared" si="245"/>
        <v>0</v>
      </c>
      <c r="O512" s="128">
        <f t="shared" si="245"/>
        <v>1199982.9994625</v>
      </c>
    </row>
    <row r="513" spans="1:16" s="114" customFormat="1" ht="15" x14ac:dyDescent="0.25">
      <c r="A513" s="118"/>
      <c r="B513" s="117"/>
      <c r="C513" s="128"/>
      <c r="D513" s="128"/>
      <c r="E513" s="128"/>
      <c r="F513" s="128"/>
      <c r="G513" s="128"/>
      <c r="H513" s="128"/>
      <c r="I513" s="129">
        <f>'Corporate Services'!J29</f>
        <v>0</v>
      </c>
      <c r="J513" s="129"/>
      <c r="K513" s="129"/>
      <c r="L513" s="129"/>
      <c r="M513" s="186"/>
      <c r="N513" s="186"/>
      <c r="O513" s="128"/>
    </row>
    <row r="514" spans="1:16" s="114" customFormat="1" ht="15" x14ac:dyDescent="0.25">
      <c r="A514" s="118"/>
      <c r="B514" s="117" t="s">
        <v>147</v>
      </c>
      <c r="C514" s="128">
        <f>C512</f>
        <v>1007334</v>
      </c>
      <c r="D514" s="128">
        <v>75139.58</v>
      </c>
      <c r="E514" s="128">
        <v>0</v>
      </c>
      <c r="F514" s="128">
        <v>450837.48</v>
      </c>
      <c r="G514" s="128">
        <v>556496.52</v>
      </c>
      <c r="H514" s="128">
        <v>44.75</v>
      </c>
      <c r="I514" s="128">
        <f t="shared" ref="I514:O514" si="246">I512</f>
        <v>-20876</v>
      </c>
      <c r="J514" s="128">
        <f t="shared" si="246"/>
        <v>986458</v>
      </c>
      <c r="K514" s="128">
        <f t="shared" si="246"/>
        <v>1048111.625</v>
      </c>
      <c r="L514" s="128">
        <f t="shared" si="246"/>
        <v>1121479.43875</v>
      </c>
      <c r="M514" s="128">
        <f t="shared" si="246"/>
        <v>1199982.9994625</v>
      </c>
      <c r="N514" s="128">
        <f t="shared" si="246"/>
        <v>0</v>
      </c>
      <c r="O514" s="128">
        <f t="shared" si="246"/>
        <v>1199982.9994625</v>
      </c>
    </row>
    <row r="515" spans="1:16" s="114" customFormat="1" ht="15" x14ac:dyDescent="0.25">
      <c r="A515" s="118"/>
      <c r="B515" s="117"/>
      <c r="C515" s="128"/>
      <c r="D515" s="128"/>
      <c r="E515" s="128"/>
      <c r="F515" s="128"/>
      <c r="G515" s="128"/>
      <c r="H515" s="128"/>
      <c r="I515" s="129">
        <f>'Corporate Services'!J31</f>
        <v>0</v>
      </c>
      <c r="J515" s="129"/>
      <c r="K515" s="129"/>
      <c r="L515" s="129"/>
      <c r="M515" s="186"/>
      <c r="N515" s="186"/>
      <c r="O515" s="128"/>
    </row>
    <row r="516" spans="1:16" s="114" customFormat="1" ht="15" x14ac:dyDescent="0.25">
      <c r="A516" s="118"/>
      <c r="B516" s="117" t="s">
        <v>148</v>
      </c>
      <c r="C516" s="128"/>
      <c r="D516" s="128"/>
      <c r="E516" s="128"/>
      <c r="F516" s="128"/>
      <c r="G516" s="128"/>
      <c r="H516" s="128"/>
      <c r="I516" s="129">
        <f>'Corporate Services'!J32</f>
        <v>0</v>
      </c>
      <c r="J516" s="129"/>
      <c r="K516" s="129"/>
      <c r="L516" s="129"/>
      <c r="M516" s="186"/>
      <c r="N516" s="186"/>
      <c r="O516" s="128"/>
    </row>
    <row r="517" spans="1:16" x14ac:dyDescent="0.2">
      <c r="A517" s="119"/>
      <c r="B517" s="120"/>
      <c r="C517" s="129"/>
      <c r="D517" s="129"/>
      <c r="E517" s="129"/>
      <c r="F517" s="129"/>
      <c r="G517" s="129"/>
      <c r="H517" s="129"/>
      <c r="I517" s="129">
        <f>'Corporate Services'!J33</f>
        <v>0</v>
      </c>
      <c r="J517" s="129"/>
      <c r="K517" s="129"/>
      <c r="L517" s="129"/>
      <c r="O517" s="129"/>
    </row>
    <row r="518" spans="1:16" x14ac:dyDescent="0.2">
      <c r="A518" s="119" t="s">
        <v>329</v>
      </c>
      <c r="B518" s="120" t="s">
        <v>150</v>
      </c>
      <c r="C518" s="129">
        <v>5188430</v>
      </c>
      <c r="D518" s="129">
        <v>498043.44</v>
      </c>
      <c r="E518" s="129">
        <v>0</v>
      </c>
      <c r="F518" s="129">
        <v>2905499.61</v>
      </c>
      <c r="G518" s="129">
        <v>2282930.39</v>
      </c>
      <c r="H518" s="129">
        <v>55.99</v>
      </c>
      <c r="I518" s="129">
        <f>'Corporate Services'!J34</f>
        <v>0</v>
      </c>
      <c r="J518" s="129">
        <f>'Corporate Services'!K34</f>
        <v>5188430</v>
      </c>
      <c r="K518" s="129">
        <f>'Corporate Services'!L34</f>
        <v>5512706.875</v>
      </c>
      <c r="L518" s="129">
        <f>'Corporate Services'!M34</f>
        <v>5898596.3562500002</v>
      </c>
      <c r="M518" s="129">
        <f>'Corporate Services'!N34</f>
        <v>6311498.1011875002</v>
      </c>
      <c r="N518" s="129">
        <f>'Corporate Services'!O34</f>
        <v>0</v>
      </c>
      <c r="O518" s="129">
        <f>'Corporate Services'!N34</f>
        <v>6311498.1011875002</v>
      </c>
      <c r="P518" s="123" t="str">
        <f>MID(A518,6,3)</f>
        <v>110</v>
      </c>
    </row>
    <row r="519" spans="1:16" x14ac:dyDescent="0.2">
      <c r="A519" s="119" t="s">
        <v>330</v>
      </c>
      <c r="B519" s="120" t="s">
        <v>151</v>
      </c>
      <c r="C519" s="129">
        <v>258705</v>
      </c>
      <c r="D519" s="129">
        <v>252230.43</v>
      </c>
      <c r="E519" s="129">
        <v>0</v>
      </c>
      <c r="F519" s="129">
        <v>426408.16</v>
      </c>
      <c r="G519" s="129">
        <v>-167703.16</v>
      </c>
      <c r="H519" s="129">
        <v>164.82</v>
      </c>
      <c r="I519" s="129">
        <f>'Corporate Services'!J35</f>
        <v>-39791.380000000005</v>
      </c>
      <c r="J519" s="129">
        <f>'Corporate Services'!K35</f>
        <v>218913.62</v>
      </c>
      <c r="K519" s="129">
        <f>'Corporate Services'!L35</f>
        <v>232595.72125</v>
      </c>
      <c r="L519" s="129">
        <f>'Corporate Services'!M35</f>
        <v>248877.4217375</v>
      </c>
      <c r="M519" s="129">
        <f>'Corporate Services'!N35</f>
        <v>266298.84125912498</v>
      </c>
      <c r="N519" s="129">
        <f>'Corporate Services'!O35</f>
        <v>0</v>
      </c>
      <c r="O519" s="129">
        <f>'Corporate Services'!N35</f>
        <v>266298.84125912498</v>
      </c>
      <c r="P519" s="123" t="str">
        <f t="shared" ref="P519:P582" si="247">MID(A519,6,3)</f>
        <v>110</v>
      </c>
    </row>
    <row r="520" spans="1:16" x14ac:dyDescent="0.2">
      <c r="A520" s="119" t="s">
        <v>331</v>
      </c>
      <c r="B520" s="120" t="s">
        <v>152</v>
      </c>
      <c r="C520" s="129">
        <v>38100</v>
      </c>
      <c r="D520" s="129">
        <v>3172.75</v>
      </c>
      <c r="E520" s="129">
        <v>0</v>
      </c>
      <c r="F520" s="129">
        <v>19036.5</v>
      </c>
      <c r="G520" s="129">
        <v>19063.5</v>
      </c>
      <c r="H520" s="129">
        <v>49.96</v>
      </c>
      <c r="I520" s="129">
        <f>'Corporate Services'!J36</f>
        <v>0</v>
      </c>
      <c r="J520" s="129">
        <f>'Corporate Services'!K36</f>
        <v>38100</v>
      </c>
      <c r="K520" s="129">
        <f>'Corporate Services'!L36</f>
        <v>40481.25</v>
      </c>
      <c r="L520" s="129">
        <f>'Corporate Services'!M36</f>
        <v>43314.9375</v>
      </c>
      <c r="M520" s="129">
        <f>'Corporate Services'!N36</f>
        <v>46346.983124999999</v>
      </c>
      <c r="N520" s="129">
        <f>'Corporate Services'!O36</f>
        <v>0</v>
      </c>
      <c r="O520" s="129">
        <f>'Corporate Services'!N36</f>
        <v>46346.983124999999</v>
      </c>
      <c r="P520" s="123" t="str">
        <f t="shared" si="247"/>
        <v>110</v>
      </c>
    </row>
    <row r="521" spans="1:16" x14ac:dyDescent="0.2">
      <c r="A521" s="119" t="s">
        <v>332</v>
      </c>
      <c r="B521" s="120" t="s">
        <v>153</v>
      </c>
      <c r="C521" s="129">
        <v>10893</v>
      </c>
      <c r="D521" s="129">
        <v>0</v>
      </c>
      <c r="E521" s="129">
        <v>0</v>
      </c>
      <c r="F521" s="129">
        <v>0</v>
      </c>
      <c r="G521" s="129">
        <v>10893</v>
      </c>
      <c r="H521" s="129">
        <v>0</v>
      </c>
      <c r="I521" s="129">
        <f>'Corporate Services'!J37</f>
        <v>0</v>
      </c>
      <c r="J521" s="129">
        <f>'Corporate Services'!K37</f>
        <v>10893</v>
      </c>
      <c r="K521" s="129">
        <f>'Corporate Services'!L37</f>
        <v>11573.8125</v>
      </c>
      <c r="L521" s="129">
        <f>'Corporate Services'!M37</f>
        <v>12383.979375000001</v>
      </c>
      <c r="M521" s="129">
        <f>'Corporate Services'!N37</f>
        <v>13250.857931250001</v>
      </c>
      <c r="N521" s="129">
        <f>'Corporate Services'!O37</f>
        <v>0</v>
      </c>
      <c r="O521" s="129">
        <f>'Corporate Services'!N37</f>
        <v>13250.857931250001</v>
      </c>
      <c r="P521" s="123" t="str">
        <f t="shared" si="247"/>
        <v>110</v>
      </c>
    </row>
    <row r="522" spans="1:16" x14ac:dyDescent="0.2">
      <c r="A522" s="119" t="s">
        <v>333</v>
      </c>
      <c r="B522" s="120" t="s">
        <v>155</v>
      </c>
      <c r="C522" s="129">
        <v>183716</v>
      </c>
      <c r="D522" s="129">
        <v>0</v>
      </c>
      <c r="E522" s="129">
        <v>0</v>
      </c>
      <c r="F522" s="129">
        <v>0</v>
      </c>
      <c r="G522" s="129">
        <v>183716</v>
      </c>
      <c r="H522" s="129">
        <v>0</v>
      </c>
      <c r="I522" s="129">
        <f>'Corporate Services'!J38</f>
        <v>0</v>
      </c>
      <c r="J522" s="129">
        <f>'Corporate Services'!K38</f>
        <v>183716</v>
      </c>
      <c r="K522" s="129">
        <f>'Corporate Services'!L38</f>
        <v>195198.25</v>
      </c>
      <c r="L522" s="129">
        <f>'Corporate Services'!M38</f>
        <v>208862.1275</v>
      </c>
      <c r="M522" s="129">
        <f>'Corporate Services'!N38</f>
        <v>223482.476425</v>
      </c>
      <c r="N522" s="129">
        <f>'Corporate Services'!O38</f>
        <v>0</v>
      </c>
      <c r="O522" s="129">
        <f>'Corporate Services'!N38</f>
        <v>223482.476425</v>
      </c>
      <c r="P522" s="123" t="str">
        <f t="shared" si="247"/>
        <v>110</v>
      </c>
    </row>
    <row r="523" spans="1:16" x14ac:dyDescent="0.2">
      <c r="A523" s="119" t="s">
        <v>334</v>
      </c>
      <c r="B523" s="120" t="s">
        <v>156</v>
      </c>
      <c r="C523" s="129">
        <v>138573</v>
      </c>
      <c r="D523" s="129">
        <v>13313.45</v>
      </c>
      <c r="E523" s="129">
        <v>0</v>
      </c>
      <c r="F523" s="129">
        <v>79880.7</v>
      </c>
      <c r="G523" s="129">
        <v>58692.3</v>
      </c>
      <c r="H523" s="129">
        <v>57.64</v>
      </c>
      <c r="I523" s="129">
        <f>'Corporate Services'!J39</f>
        <v>0</v>
      </c>
      <c r="J523" s="129">
        <f>'Corporate Services'!K39</f>
        <v>138573</v>
      </c>
      <c r="K523" s="129">
        <f>'Corporate Services'!L39</f>
        <v>147233.8125</v>
      </c>
      <c r="L523" s="129">
        <f>'Corporate Services'!M39</f>
        <v>157540.17937500001</v>
      </c>
      <c r="M523" s="129">
        <f>'Corporate Services'!N39</f>
        <v>168567.99193125</v>
      </c>
      <c r="N523" s="129">
        <f>'Corporate Services'!O39</f>
        <v>0</v>
      </c>
      <c r="O523" s="129">
        <f>'Corporate Services'!N39</f>
        <v>168567.99193125</v>
      </c>
      <c r="P523" s="123" t="str">
        <f t="shared" si="247"/>
        <v>110</v>
      </c>
    </row>
    <row r="524" spans="1:16" x14ac:dyDescent="0.2">
      <c r="A524" s="119" t="s">
        <v>335</v>
      </c>
      <c r="B524" s="120" t="s">
        <v>157</v>
      </c>
      <c r="C524" s="129">
        <v>97631</v>
      </c>
      <c r="D524" s="129">
        <v>43288.32</v>
      </c>
      <c r="E524" s="129">
        <v>0</v>
      </c>
      <c r="F524" s="129">
        <v>120401.67</v>
      </c>
      <c r="G524" s="129">
        <v>-22770.67</v>
      </c>
      <c r="H524" s="129">
        <v>123.32</v>
      </c>
      <c r="I524" s="129">
        <f>'Corporate Services'!J40</f>
        <v>150000</v>
      </c>
      <c r="J524" s="129">
        <f>'Corporate Services'!K40</f>
        <v>247631</v>
      </c>
      <c r="K524" s="129">
        <f>'Corporate Services'!L40</f>
        <v>263107.9375</v>
      </c>
      <c r="L524" s="129">
        <f>'Corporate Services'!M40</f>
        <v>281525.49312499998</v>
      </c>
      <c r="M524" s="129">
        <f>'Corporate Services'!N40</f>
        <v>301232.27764374996</v>
      </c>
      <c r="N524" s="129">
        <f>'Corporate Services'!O40</f>
        <v>0</v>
      </c>
      <c r="O524" s="129">
        <f>'Corporate Services'!N40</f>
        <v>301232.27764374996</v>
      </c>
      <c r="P524" s="123" t="str">
        <f t="shared" si="247"/>
        <v>110</v>
      </c>
    </row>
    <row r="525" spans="1:16" x14ac:dyDescent="0.2">
      <c r="A525" s="119" t="s">
        <v>336</v>
      </c>
      <c r="B525" s="120" t="s">
        <v>158</v>
      </c>
      <c r="C525" s="129">
        <v>11138</v>
      </c>
      <c r="D525" s="129">
        <v>0</v>
      </c>
      <c r="E525" s="129">
        <v>0</v>
      </c>
      <c r="F525" s="129">
        <v>56328.93</v>
      </c>
      <c r="G525" s="129">
        <v>-45190.93</v>
      </c>
      <c r="H525" s="129">
        <v>505.73</v>
      </c>
      <c r="I525" s="129">
        <f>'Corporate Services'!J41</f>
        <v>60000</v>
      </c>
      <c r="J525" s="129">
        <f>'Corporate Services'!K41</f>
        <v>71138</v>
      </c>
      <c r="K525" s="129">
        <f>'Corporate Services'!L41</f>
        <v>75584.125</v>
      </c>
      <c r="L525" s="129">
        <f>'Corporate Services'!M41</f>
        <v>80875.013749999998</v>
      </c>
      <c r="M525" s="129">
        <f>'Corporate Services'!N41</f>
        <v>86536.264712499993</v>
      </c>
      <c r="N525" s="129">
        <f>'Corporate Services'!O41</f>
        <v>0</v>
      </c>
      <c r="O525" s="129">
        <f>'Corporate Services'!N41</f>
        <v>86536.264712499993</v>
      </c>
      <c r="P525" s="123" t="str">
        <f t="shared" si="247"/>
        <v>110</v>
      </c>
    </row>
    <row r="526" spans="1:16" x14ac:dyDescent="0.2">
      <c r="A526" s="119" t="s">
        <v>337</v>
      </c>
      <c r="B526" s="120" t="s">
        <v>159</v>
      </c>
      <c r="C526" s="129">
        <v>425436</v>
      </c>
      <c r="D526" s="129">
        <v>0</v>
      </c>
      <c r="E526" s="129">
        <v>0</v>
      </c>
      <c r="F526" s="129">
        <v>0</v>
      </c>
      <c r="G526" s="129">
        <v>425436</v>
      </c>
      <c r="H526" s="129">
        <v>0</v>
      </c>
      <c r="I526" s="129">
        <f>'Corporate Services'!J42</f>
        <v>0</v>
      </c>
      <c r="J526" s="129">
        <f>'Corporate Services'!K42</f>
        <v>425436</v>
      </c>
      <c r="K526" s="129">
        <f>'Corporate Services'!L42</f>
        <v>452025.75</v>
      </c>
      <c r="L526" s="129">
        <f>'Corporate Services'!M42</f>
        <v>483667.55249999999</v>
      </c>
      <c r="M526" s="129">
        <f>'Corporate Services'!N42</f>
        <v>517524.28117500001</v>
      </c>
      <c r="N526" s="129">
        <f>'Corporate Services'!O42</f>
        <v>0</v>
      </c>
      <c r="O526" s="129">
        <f>'Corporate Services'!N42</f>
        <v>517524.28117500001</v>
      </c>
      <c r="P526" s="123" t="str">
        <f t="shared" si="247"/>
        <v>110</v>
      </c>
    </row>
    <row r="527" spans="1:16" x14ac:dyDescent="0.2">
      <c r="A527" s="119" t="s">
        <v>338</v>
      </c>
      <c r="B527" s="120" t="s">
        <v>161</v>
      </c>
      <c r="C527" s="129">
        <v>71952</v>
      </c>
      <c r="D527" s="129">
        <v>0</v>
      </c>
      <c r="E527" s="129">
        <v>0</v>
      </c>
      <c r="F527" s="129">
        <v>64501.53</v>
      </c>
      <c r="G527" s="129">
        <v>7450.47</v>
      </c>
      <c r="H527" s="129">
        <v>89.64</v>
      </c>
      <c r="I527" s="129">
        <f>'Corporate Services'!J43</f>
        <v>0</v>
      </c>
      <c r="J527" s="129">
        <f>'Corporate Services'!K43</f>
        <v>71952</v>
      </c>
      <c r="K527" s="129">
        <f>'Corporate Services'!L43</f>
        <v>76449</v>
      </c>
      <c r="L527" s="129">
        <f>'Corporate Services'!M43</f>
        <v>81800.429999999993</v>
      </c>
      <c r="M527" s="129">
        <f>'Corporate Services'!N43</f>
        <v>87526.460099999997</v>
      </c>
      <c r="N527" s="129">
        <f>'Corporate Services'!O43</f>
        <v>0</v>
      </c>
      <c r="O527" s="129">
        <f>'Corporate Services'!N43</f>
        <v>87526.460099999997</v>
      </c>
      <c r="P527" s="123" t="str">
        <f t="shared" si="247"/>
        <v>110</v>
      </c>
    </row>
    <row r="528" spans="1:16" x14ac:dyDescent="0.2">
      <c r="A528" s="119" t="s">
        <v>339</v>
      </c>
      <c r="B528" s="120" t="s">
        <v>162</v>
      </c>
      <c r="C528" s="129">
        <v>0</v>
      </c>
      <c r="D528" s="129">
        <v>956.72</v>
      </c>
      <c r="E528" s="129">
        <v>0</v>
      </c>
      <c r="F528" s="129">
        <v>1733.61</v>
      </c>
      <c r="G528" s="129">
        <v>-1733.61</v>
      </c>
      <c r="H528" s="129">
        <v>0</v>
      </c>
      <c r="I528" s="129">
        <f>'Corporate Services'!J44</f>
        <v>4000</v>
      </c>
      <c r="J528" s="129">
        <f>'Corporate Services'!K44</f>
        <v>4000</v>
      </c>
      <c r="K528" s="129">
        <f>'Corporate Services'!L44</f>
        <v>4250</v>
      </c>
      <c r="L528" s="129">
        <f>'Corporate Services'!M44</f>
        <v>4547.5</v>
      </c>
      <c r="M528" s="129">
        <f>'Corporate Services'!N44</f>
        <v>4865.8249999999998</v>
      </c>
      <c r="N528" s="129">
        <f>'Corporate Services'!O44</f>
        <v>0</v>
      </c>
      <c r="O528" s="129">
        <f>'Corporate Services'!N44</f>
        <v>4865.8249999999998</v>
      </c>
      <c r="P528" s="123" t="str">
        <f t="shared" si="247"/>
        <v>110</v>
      </c>
    </row>
    <row r="529" spans="1:16" x14ac:dyDescent="0.2">
      <c r="A529" s="119" t="s">
        <v>340</v>
      </c>
      <c r="B529" s="120" t="s">
        <v>163</v>
      </c>
      <c r="C529" s="129">
        <v>17000</v>
      </c>
      <c r="D529" s="129">
        <v>0</v>
      </c>
      <c r="E529" s="129">
        <v>0</v>
      </c>
      <c r="F529" s="129">
        <v>0</v>
      </c>
      <c r="G529" s="129">
        <v>17000</v>
      </c>
      <c r="H529" s="129">
        <v>0</v>
      </c>
      <c r="I529" s="129">
        <f>'Corporate Services'!J45</f>
        <v>-10000</v>
      </c>
      <c r="J529" s="129">
        <f>'Corporate Services'!K45</f>
        <v>7000</v>
      </c>
      <c r="K529" s="129">
        <f>'Corporate Services'!L45</f>
        <v>7437.5</v>
      </c>
      <c r="L529" s="129">
        <f>'Corporate Services'!M45</f>
        <v>7958.125</v>
      </c>
      <c r="M529" s="129">
        <f>'Corporate Services'!N45</f>
        <v>8515.1937500000004</v>
      </c>
      <c r="N529" s="129">
        <f>'Corporate Services'!O45</f>
        <v>0</v>
      </c>
      <c r="O529" s="129">
        <f>'Corporate Services'!N45</f>
        <v>8515.1937500000004</v>
      </c>
      <c r="P529" s="123" t="str">
        <f t="shared" si="247"/>
        <v>110</v>
      </c>
    </row>
    <row r="530" spans="1:16" x14ac:dyDescent="0.2">
      <c r="A530" s="119" t="s">
        <v>341</v>
      </c>
      <c r="B530" s="120" t="s">
        <v>164</v>
      </c>
      <c r="C530" s="129">
        <v>36468</v>
      </c>
      <c r="D530" s="129">
        <v>1307.7</v>
      </c>
      <c r="E530" s="129">
        <v>0</v>
      </c>
      <c r="F530" s="129">
        <v>7846.2</v>
      </c>
      <c r="G530" s="129">
        <v>28621.8</v>
      </c>
      <c r="H530" s="129">
        <v>21.51</v>
      </c>
      <c r="I530" s="129">
        <f>'Corporate Services'!J46</f>
        <v>0</v>
      </c>
      <c r="J530" s="129">
        <f>'Corporate Services'!K46</f>
        <v>36468</v>
      </c>
      <c r="K530" s="129">
        <f>'Corporate Services'!L46</f>
        <v>38747.25</v>
      </c>
      <c r="L530" s="129">
        <f>'Corporate Services'!M46</f>
        <v>41459.557500000003</v>
      </c>
      <c r="M530" s="129">
        <f>'Corporate Services'!N46</f>
        <v>44361.726525000005</v>
      </c>
      <c r="N530" s="129">
        <f>'Corporate Services'!O46</f>
        <v>0</v>
      </c>
      <c r="O530" s="129">
        <f>'Corporate Services'!N46</f>
        <v>44361.726525000005</v>
      </c>
      <c r="P530" s="123" t="str">
        <f t="shared" si="247"/>
        <v>110</v>
      </c>
    </row>
    <row r="531" spans="1:16" x14ac:dyDescent="0.2">
      <c r="A531" s="119"/>
      <c r="B531" s="120"/>
      <c r="C531" s="129"/>
      <c r="D531" s="129"/>
      <c r="E531" s="129"/>
      <c r="F531" s="129"/>
      <c r="G531" s="129"/>
      <c r="H531" s="129"/>
      <c r="I531" s="129">
        <f>'Corporate Services'!J47</f>
        <v>0</v>
      </c>
      <c r="J531" s="129"/>
      <c r="K531" s="129"/>
      <c r="L531" s="129"/>
      <c r="O531" s="129"/>
      <c r="P531" s="123" t="str">
        <f t="shared" si="247"/>
        <v/>
      </c>
    </row>
    <row r="532" spans="1:16" s="114" customFormat="1" ht="15" x14ac:dyDescent="0.25">
      <c r="A532" s="118"/>
      <c r="B532" s="117" t="s">
        <v>165</v>
      </c>
      <c r="C532" s="128">
        <f>SUM(C518:C531)</f>
        <v>6478042</v>
      </c>
      <c r="D532" s="128">
        <v>812312.81</v>
      </c>
      <c r="E532" s="128">
        <v>0</v>
      </c>
      <c r="F532" s="128">
        <v>3681636.91</v>
      </c>
      <c r="G532" s="128">
        <v>2796405.09</v>
      </c>
      <c r="H532" s="128">
        <v>56.83</v>
      </c>
      <c r="I532" s="128">
        <f t="shared" ref="I532:O532" si="248">SUM(I518:I531)</f>
        <v>164208.62</v>
      </c>
      <c r="J532" s="128">
        <f t="shared" si="248"/>
        <v>6642250.6200000001</v>
      </c>
      <c r="K532" s="128">
        <f t="shared" si="248"/>
        <v>7057391.2837500004</v>
      </c>
      <c r="L532" s="128">
        <f t="shared" si="248"/>
        <v>7551408.6736125015</v>
      </c>
      <c r="M532" s="128">
        <f t="shared" si="248"/>
        <v>8080007.2807653742</v>
      </c>
      <c r="N532" s="128">
        <f t="shared" si="248"/>
        <v>0</v>
      </c>
      <c r="O532" s="128">
        <f t="shared" si="248"/>
        <v>8080007.2807653742</v>
      </c>
      <c r="P532" s="123" t="str">
        <f t="shared" si="247"/>
        <v/>
      </c>
    </row>
    <row r="533" spans="1:16" s="114" customFormat="1" ht="15" x14ac:dyDescent="0.25">
      <c r="A533" s="118"/>
      <c r="B533" s="117"/>
      <c r="C533" s="128"/>
      <c r="D533" s="128"/>
      <c r="E533" s="128"/>
      <c r="F533" s="128"/>
      <c r="G533" s="128"/>
      <c r="H533" s="128"/>
      <c r="I533" s="129">
        <f>'Corporate Services'!J49</f>
        <v>0</v>
      </c>
      <c r="J533" s="129"/>
      <c r="K533" s="129"/>
      <c r="L533" s="129"/>
      <c r="M533" s="186"/>
      <c r="N533" s="186"/>
      <c r="O533" s="128"/>
      <c r="P533" s="123" t="str">
        <f t="shared" si="247"/>
        <v/>
      </c>
    </row>
    <row r="534" spans="1:16" s="114" customFormat="1" ht="15" x14ac:dyDescent="0.25">
      <c r="A534" s="118"/>
      <c r="B534" s="117" t="s">
        <v>166</v>
      </c>
      <c r="C534" s="128"/>
      <c r="D534" s="128"/>
      <c r="E534" s="128"/>
      <c r="F534" s="128"/>
      <c r="G534" s="128"/>
      <c r="H534" s="128"/>
      <c r="I534" s="129">
        <f>'Corporate Services'!J50</f>
        <v>0</v>
      </c>
      <c r="J534" s="129"/>
      <c r="K534" s="129"/>
      <c r="L534" s="129"/>
      <c r="M534" s="186"/>
      <c r="N534" s="186"/>
      <c r="O534" s="128"/>
      <c r="P534" s="123" t="str">
        <f t="shared" si="247"/>
        <v/>
      </c>
    </row>
    <row r="535" spans="1:16" x14ac:dyDescent="0.2">
      <c r="A535" s="119"/>
      <c r="B535" s="120"/>
      <c r="C535" s="129"/>
      <c r="D535" s="129"/>
      <c r="E535" s="129"/>
      <c r="F535" s="129"/>
      <c r="G535" s="129"/>
      <c r="H535" s="129"/>
      <c r="I535" s="129">
        <f>'Corporate Services'!J51</f>
        <v>0</v>
      </c>
      <c r="J535" s="129"/>
      <c r="K535" s="129"/>
      <c r="L535" s="129"/>
      <c r="O535" s="129"/>
      <c r="P535" s="123" t="str">
        <f t="shared" si="247"/>
        <v/>
      </c>
    </row>
    <row r="536" spans="1:16" x14ac:dyDescent="0.2">
      <c r="A536" s="119" t="s">
        <v>342</v>
      </c>
      <c r="B536" s="120" t="s">
        <v>167</v>
      </c>
      <c r="C536" s="129">
        <v>3371</v>
      </c>
      <c r="D536" s="129">
        <v>274.94</v>
      </c>
      <c r="E536" s="129">
        <v>0</v>
      </c>
      <c r="F536" s="129">
        <v>1603.04</v>
      </c>
      <c r="G536" s="129">
        <v>1767.96</v>
      </c>
      <c r="H536" s="129">
        <v>47.55</v>
      </c>
      <c r="I536" s="129">
        <f>'Corporate Services'!J52</f>
        <v>0</v>
      </c>
      <c r="J536" s="129">
        <f>'Corporate Services'!K52</f>
        <v>3371</v>
      </c>
      <c r="K536" s="129">
        <f>'Corporate Services'!L52</f>
        <v>3581.6875</v>
      </c>
      <c r="L536" s="129">
        <f>'Corporate Services'!M52</f>
        <v>3832.4056249999999</v>
      </c>
      <c r="M536" s="129">
        <f>'Corporate Services'!N52</f>
        <v>4100.67401875</v>
      </c>
      <c r="N536" s="129">
        <f>'Corporate Services'!O52</f>
        <v>0</v>
      </c>
      <c r="O536" s="129">
        <f>'Corporate Services'!N52</f>
        <v>4100.67401875</v>
      </c>
      <c r="P536" s="123" t="str">
        <f t="shared" si="247"/>
        <v>130</v>
      </c>
    </row>
    <row r="537" spans="1:16" x14ac:dyDescent="0.2">
      <c r="A537" s="119" t="s">
        <v>343</v>
      </c>
      <c r="B537" s="120" t="s">
        <v>168</v>
      </c>
      <c r="C537" s="129">
        <v>1293797</v>
      </c>
      <c r="D537" s="129">
        <v>50940.15</v>
      </c>
      <c r="E537" s="129">
        <v>0</v>
      </c>
      <c r="F537" s="129">
        <v>309241.5</v>
      </c>
      <c r="G537" s="129">
        <v>984555.5</v>
      </c>
      <c r="H537" s="129">
        <v>23.9</v>
      </c>
      <c r="I537" s="129">
        <f>'Corporate Services'!J53</f>
        <v>-500000</v>
      </c>
      <c r="J537" s="129">
        <f>'Corporate Services'!K53</f>
        <v>793797</v>
      </c>
      <c r="K537" s="129">
        <f>'Corporate Services'!L53</f>
        <v>843409.3125</v>
      </c>
      <c r="L537" s="129">
        <f>'Corporate Services'!M53</f>
        <v>902447.96437499998</v>
      </c>
      <c r="M537" s="129">
        <f>'Corporate Services'!N53</f>
        <v>965619.32188125001</v>
      </c>
      <c r="N537" s="129">
        <f>'Corporate Services'!O53</f>
        <v>0</v>
      </c>
      <c r="O537" s="129">
        <f>'Corporate Services'!N53</f>
        <v>965619.32188125001</v>
      </c>
      <c r="P537" s="123" t="str">
        <f t="shared" si="247"/>
        <v>130</v>
      </c>
    </row>
    <row r="538" spans="1:16" x14ac:dyDescent="0.2">
      <c r="A538" s="119" t="s">
        <v>344</v>
      </c>
      <c r="B538" s="120" t="s">
        <v>169</v>
      </c>
      <c r="C538" s="129">
        <v>1123150</v>
      </c>
      <c r="D538" s="129">
        <v>105476.44</v>
      </c>
      <c r="E538" s="129">
        <v>0</v>
      </c>
      <c r="F538" s="129">
        <v>617398.25</v>
      </c>
      <c r="G538" s="129">
        <v>505751.75</v>
      </c>
      <c r="H538" s="129">
        <v>54.97</v>
      </c>
      <c r="I538" s="129">
        <f>'Corporate Services'!J54</f>
        <v>0</v>
      </c>
      <c r="J538" s="129">
        <f>'Corporate Services'!K54</f>
        <v>1123150</v>
      </c>
      <c r="K538" s="129">
        <f>'Corporate Services'!L54</f>
        <v>1193346.875</v>
      </c>
      <c r="L538" s="129">
        <f>'Corporate Services'!M54</f>
        <v>1276881.15625</v>
      </c>
      <c r="M538" s="129">
        <f>'Corporate Services'!N54</f>
        <v>1366262.8371875</v>
      </c>
      <c r="N538" s="129">
        <f>'Corporate Services'!O54</f>
        <v>0</v>
      </c>
      <c r="O538" s="129">
        <f>'Corporate Services'!N54</f>
        <v>1366262.8371875</v>
      </c>
      <c r="P538" s="123" t="str">
        <f t="shared" si="247"/>
        <v>130</v>
      </c>
    </row>
    <row r="539" spans="1:16" x14ac:dyDescent="0.2">
      <c r="A539" s="119" t="s">
        <v>345</v>
      </c>
      <c r="B539" s="120" t="s">
        <v>170</v>
      </c>
      <c r="C539" s="129">
        <v>49980</v>
      </c>
      <c r="D539" s="129">
        <v>4377.84</v>
      </c>
      <c r="E539" s="129">
        <v>0</v>
      </c>
      <c r="F539" s="129">
        <v>25698.48</v>
      </c>
      <c r="G539" s="129">
        <v>24281.52</v>
      </c>
      <c r="H539" s="129">
        <v>51.41</v>
      </c>
      <c r="I539" s="129">
        <f>'Corporate Services'!J55</f>
        <v>0</v>
      </c>
      <c r="J539" s="129">
        <f>'Corporate Services'!K55</f>
        <v>49980</v>
      </c>
      <c r="K539" s="129">
        <f>'Corporate Services'!L55</f>
        <v>53103.75</v>
      </c>
      <c r="L539" s="129">
        <f>'Corporate Services'!M55</f>
        <v>56821.012499999997</v>
      </c>
      <c r="M539" s="129">
        <f>'Corporate Services'!N55</f>
        <v>60798.483374999996</v>
      </c>
      <c r="N539" s="129">
        <f>'Corporate Services'!O55</f>
        <v>0</v>
      </c>
      <c r="O539" s="129">
        <f>'Corporate Services'!N55</f>
        <v>60798.483374999996</v>
      </c>
      <c r="P539" s="123" t="str">
        <f t="shared" si="247"/>
        <v>130</v>
      </c>
    </row>
    <row r="540" spans="1:16" x14ac:dyDescent="0.2">
      <c r="A540" s="119"/>
      <c r="B540" s="120"/>
      <c r="C540" s="129"/>
      <c r="D540" s="129"/>
      <c r="E540" s="129"/>
      <c r="F540" s="129"/>
      <c r="G540" s="129"/>
      <c r="H540" s="129"/>
      <c r="I540" s="129">
        <f>'Corporate Services'!J56</f>
        <v>0</v>
      </c>
      <c r="J540" s="129"/>
      <c r="K540" s="129"/>
      <c r="L540" s="129"/>
      <c r="O540" s="129"/>
      <c r="P540" s="123" t="str">
        <f t="shared" si="247"/>
        <v/>
      </c>
    </row>
    <row r="541" spans="1:16" s="114" customFormat="1" ht="15" x14ac:dyDescent="0.25">
      <c r="A541" s="118"/>
      <c r="B541" s="117" t="s">
        <v>171</v>
      </c>
      <c r="C541" s="128">
        <f>SUM(C536:C540)</f>
        <v>2470298</v>
      </c>
      <c r="D541" s="128">
        <v>161069.37</v>
      </c>
      <c r="E541" s="128">
        <v>0</v>
      </c>
      <c r="F541" s="128">
        <v>953941.27</v>
      </c>
      <c r="G541" s="128">
        <v>1516356.73</v>
      </c>
      <c r="H541" s="128">
        <v>38.61</v>
      </c>
      <c r="I541" s="128">
        <f t="shared" ref="I541:O541" si="249">SUM(I536:I540)</f>
        <v>-500000</v>
      </c>
      <c r="J541" s="128">
        <f t="shared" si="249"/>
        <v>1970298</v>
      </c>
      <c r="K541" s="128">
        <f t="shared" si="249"/>
        <v>2093441.625</v>
      </c>
      <c r="L541" s="128">
        <f t="shared" si="249"/>
        <v>2239982.5387500003</v>
      </c>
      <c r="M541" s="128">
        <f t="shared" si="249"/>
        <v>2396781.3164625</v>
      </c>
      <c r="N541" s="128">
        <f t="shared" si="249"/>
        <v>0</v>
      </c>
      <c r="O541" s="128">
        <f t="shared" si="249"/>
        <v>2396781.3164625</v>
      </c>
      <c r="P541" s="123" t="str">
        <f t="shared" si="247"/>
        <v/>
      </c>
    </row>
    <row r="542" spans="1:16" s="114" customFormat="1" ht="15" x14ac:dyDescent="0.25">
      <c r="A542" s="118"/>
      <c r="B542" s="117"/>
      <c r="C542" s="128"/>
      <c r="D542" s="128"/>
      <c r="E542" s="128"/>
      <c r="F542" s="128"/>
      <c r="G542" s="128"/>
      <c r="H542" s="128"/>
      <c r="I542" s="129">
        <f>'Corporate Services'!J58</f>
        <v>0</v>
      </c>
      <c r="J542" s="129"/>
      <c r="K542" s="129"/>
      <c r="L542" s="129"/>
      <c r="M542" s="186"/>
      <c r="N542" s="186"/>
      <c r="O542" s="128"/>
      <c r="P542" s="123" t="str">
        <f t="shared" si="247"/>
        <v/>
      </c>
    </row>
    <row r="543" spans="1:16" s="114" customFormat="1" ht="15" x14ac:dyDescent="0.25">
      <c r="A543" s="118"/>
      <c r="B543" s="117" t="s">
        <v>172</v>
      </c>
      <c r="C543" s="128"/>
      <c r="D543" s="128"/>
      <c r="E543" s="128"/>
      <c r="F543" s="128"/>
      <c r="G543" s="128"/>
      <c r="H543" s="128"/>
      <c r="I543" s="129">
        <f>'Corporate Services'!J59</f>
        <v>0</v>
      </c>
      <c r="J543" s="129"/>
      <c r="K543" s="129"/>
      <c r="L543" s="129"/>
      <c r="M543" s="186"/>
      <c r="N543" s="186"/>
      <c r="O543" s="128"/>
      <c r="P543" s="123" t="str">
        <f t="shared" si="247"/>
        <v/>
      </c>
    </row>
    <row r="544" spans="1:16" x14ac:dyDescent="0.2">
      <c r="A544" s="119"/>
      <c r="B544" s="120"/>
      <c r="C544" s="129"/>
      <c r="D544" s="129"/>
      <c r="E544" s="129"/>
      <c r="F544" s="129"/>
      <c r="G544" s="129"/>
      <c r="H544" s="129"/>
      <c r="I544" s="129">
        <f>'Corporate Services'!J60</f>
        <v>0</v>
      </c>
      <c r="J544" s="129"/>
      <c r="K544" s="129"/>
      <c r="L544" s="129"/>
      <c r="O544" s="129"/>
      <c r="P544" s="123" t="str">
        <f t="shared" si="247"/>
        <v/>
      </c>
    </row>
    <row r="545" spans="1:16" x14ac:dyDescent="0.2">
      <c r="A545" s="119" t="s">
        <v>346</v>
      </c>
      <c r="B545" s="120" t="s">
        <v>173</v>
      </c>
      <c r="C545" s="129">
        <v>112883</v>
      </c>
      <c r="D545" s="129">
        <v>0</v>
      </c>
      <c r="E545" s="129">
        <v>0</v>
      </c>
      <c r="F545" s="129">
        <v>0</v>
      </c>
      <c r="G545" s="129">
        <v>112883</v>
      </c>
      <c r="H545" s="129">
        <v>0</v>
      </c>
      <c r="I545" s="129">
        <f>'Corporate Services'!J61</f>
        <v>0</v>
      </c>
      <c r="J545" s="129">
        <f>'Corporate Services'!K61</f>
        <v>112883</v>
      </c>
      <c r="K545" s="129">
        <f>'Corporate Services'!L61</f>
        <v>119938.1875</v>
      </c>
      <c r="L545" s="129">
        <f>'Corporate Services'!M61</f>
        <v>128333.860625</v>
      </c>
      <c r="M545" s="129">
        <f>'Corporate Services'!N61</f>
        <v>137317.23086874999</v>
      </c>
      <c r="N545" s="129">
        <f>'Corporate Services'!O61</f>
        <v>0</v>
      </c>
      <c r="O545" s="129">
        <f>'Corporate Services'!N61</f>
        <v>137317.23086874999</v>
      </c>
      <c r="P545" s="123" t="str">
        <f t="shared" si="247"/>
        <v>140</v>
      </c>
    </row>
    <row r="546" spans="1:16" x14ac:dyDescent="0.2">
      <c r="A546" s="119" t="s">
        <v>347</v>
      </c>
      <c r="B546" s="120" t="s">
        <v>174</v>
      </c>
      <c r="C546" s="129">
        <v>142433</v>
      </c>
      <c r="D546" s="129">
        <v>0</v>
      </c>
      <c r="E546" s="129">
        <v>0</v>
      </c>
      <c r="F546" s="129">
        <v>0</v>
      </c>
      <c r="G546" s="129">
        <v>142433</v>
      </c>
      <c r="H546" s="129">
        <v>0</v>
      </c>
      <c r="I546" s="129">
        <f>'Corporate Services'!J62</f>
        <v>0</v>
      </c>
      <c r="J546" s="129">
        <f>'Corporate Services'!K62</f>
        <v>142433</v>
      </c>
      <c r="K546" s="129">
        <f>'Corporate Services'!L62</f>
        <v>151335.0625</v>
      </c>
      <c r="L546" s="129">
        <f>'Corporate Services'!M62</f>
        <v>161928.516875</v>
      </c>
      <c r="M546" s="129">
        <f>'Corporate Services'!N62</f>
        <v>173263.51305625</v>
      </c>
      <c r="N546" s="129">
        <f>'Corporate Services'!O62</f>
        <v>0</v>
      </c>
      <c r="O546" s="129">
        <f>'Corporate Services'!N62</f>
        <v>173263.51305625</v>
      </c>
      <c r="P546" s="123" t="str">
        <f t="shared" si="247"/>
        <v>140</v>
      </c>
    </row>
    <row r="547" spans="1:16" x14ac:dyDescent="0.2">
      <c r="A547" s="119" t="s">
        <v>1391</v>
      </c>
      <c r="B547" s="120" t="s">
        <v>1392</v>
      </c>
      <c r="C547" s="129">
        <f>'Corporate Services'!D63</f>
        <v>0</v>
      </c>
      <c r="D547" s="129">
        <f>'Corporate Services'!E63</f>
        <v>0</v>
      </c>
      <c r="E547" s="129">
        <f>'Corporate Services'!F63</f>
        <v>0</v>
      </c>
      <c r="F547" s="129">
        <f>'Corporate Services'!G63</f>
        <v>0</v>
      </c>
      <c r="G547" s="129">
        <f>'Corporate Services'!H63</f>
        <v>0</v>
      </c>
      <c r="H547" s="129"/>
      <c r="I547" s="129">
        <f>'Corporate Services'!J63</f>
        <v>350000</v>
      </c>
      <c r="J547" s="129">
        <f>'Corporate Services'!K63</f>
        <v>350000</v>
      </c>
      <c r="K547" s="129">
        <f>'Corporate Services'!L63</f>
        <v>371875</v>
      </c>
      <c r="L547" s="129">
        <f>'Corporate Services'!M63</f>
        <v>397906.25</v>
      </c>
      <c r="M547" s="129">
        <f>'Corporate Services'!N63</f>
        <v>425759.6875</v>
      </c>
      <c r="N547" s="129">
        <f>'Corporate Services'!O63</f>
        <v>0</v>
      </c>
      <c r="O547" s="129">
        <f>'Corporate Services'!N63</f>
        <v>425759.6875</v>
      </c>
      <c r="P547" s="123" t="str">
        <f t="shared" si="247"/>
        <v>140</v>
      </c>
    </row>
    <row r="548" spans="1:16" x14ac:dyDescent="0.2">
      <c r="A548" s="119" t="s">
        <v>348</v>
      </c>
      <c r="B548" s="120" t="s">
        <v>175</v>
      </c>
      <c r="C548" s="129">
        <v>79236</v>
      </c>
      <c r="D548" s="129">
        <v>0</v>
      </c>
      <c r="E548" s="129">
        <v>0</v>
      </c>
      <c r="F548" s="129">
        <v>0</v>
      </c>
      <c r="G548" s="129">
        <v>79236</v>
      </c>
      <c r="H548" s="129">
        <v>0</v>
      </c>
      <c r="I548" s="129">
        <f>'Corporate Services'!J64</f>
        <v>0</v>
      </c>
      <c r="J548" s="129">
        <f>'Corporate Services'!K64</f>
        <v>79236</v>
      </c>
      <c r="K548" s="129">
        <f>'Corporate Services'!L64</f>
        <v>84188.25</v>
      </c>
      <c r="L548" s="129">
        <f>'Corporate Services'!M64</f>
        <v>90081.427500000005</v>
      </c>
      <c r="M548" s="129">
        <f>'Corporate Services'!N64</f>
        <v>96387.127425000013</v>
      </c>
      <c r="N548" s="129">
        <f>'Corporate Services'!O64</f>
        <v>0</v>
      </c>
      <c r="O548" s="129">
        <f>'Corporate Services'!N64</f>
        <v>96387.127425000013</v>
      </c>
      <c r="P548" s="123" t="str">
        <f t="shared" si="247"/>
        <v>142</v>
      </c>
    </row>
    <row r="549" spans="1:16" x14ac:dyDescent="0.2">
      <c r="A549" s="119"/>
      <c r="B549" s="120"/>
      <c r="C549" s="129"/>
      <c r="D549" s="129"/>
      <c r="E549" s="129"/>
      <c r="F549" s="129"/>
      <c r="G549" s="129"/>
      <c r="H549" s="129"/>
      <c r="I549" s="129">
        <f>'Corporate Services'!J65</f>
        <v>0</v>
      </c>
      <c r="J549" s="129"/>
      <c r="K549" s="129"/>
      <c r="L549" s="129"/>
      <c r="O549" s="129"/>
      <c r="P549" s="123" t="str">
        <f t="shared" si="247"/>
        <v/>
      </c>
    </row>
    <row r="550" spans="1:16" s="114" customFormat="1" ht="15" x14ac:dyDescent="0.25">
      <c r="A550" s="118"/>
      <c r="B550" s="117" t="s">
        <v>176</v>
      </c>
      <c r="C550" s="128">
        <f>SUM(C545:C549)</f>
        <v>334552</v>
      </c>
      <c r="D550" s="128">
        <v>0</v>
      </c>
      <c r="E550" s="128">
        <v>0</v>
      </c>
      <c r="F550" s="128">
        <v>0</v>
      </c>
      <c r="G550" s="128">
        <v>334552</v>
      </c>
      <c r="H550" s="128">
        <v>0</v>
      </c>
      <c r="I550" s="128">
        <f t="shared" ref="I550:O550" si="250">SUM(I545:I549)</f>
        <v>350000</v>
      </c>
      <c r="J550" s="128">
        <f t="shared" si="250"/>
        <v>684552</v>
      </c>
      <c r="K550" s="128">
        <f t="shared" si="250"/>
        <v>727336.5</v>
      </c>
      <c r="L550" s="128">
        <f t="shared" si="250"/>
        <v>778250.05499999993</v>
      </c>
      <c r="M550" s="128">
        <f t="shared" si="250"/>
        <v>832727.55884999991</v>
      </c>
      <c r="N550" s="128">
        <f t="shared" si="250"/>
        <v>0</v>
      </c>
      <c r="O550" s="128">
        <f t="shared" si="250"/>
        <v>832727.55884999991</v>
      </c>
      <c r="P550" s="123" t="str">
        <f t="shared" si="247"/>
        <v/>
      </c>
    </row>
    <row r="551" spans="1:16" s="114" customFormat="1" ht="15" x14ac:dyDescent="0.25">
      <c r="A551" s="118"/>
      <c r="B551" s="117"/>
      <c r="C551" s="128"/>
      <c r="D551" s="128"/>
      <c r="E551" s="128"/>
      <c r="F551" s="128"/>
      <c r="G551" s="128"/>
      <c r="H551" s="128"/>
      <c r="I551" s="129">
        <f>'Corporate Services'!J67</f>
        <v>0</v>
      </c>
      <c r="J551" s="129"/>
      <c r="K551" s="129"/>
      <c r="L551" s="129"/>
      <c r="M551" s="186"/>
      <c r="N551" s="186"/>
      <c r="O551" s="128"/>
      <c r="P551" s="123" t="str">
        <f t="shared" si="247"/>
        <v/>
      </c>
    </row>
    <row r="552" spans="1:16" s="114" customFormat="1" ht="15" x14ac:dyDescent="0.25">
      <c r="A552" s="118"/>
      <c r="B552" s="117" t="s">
        <v>177</v>
      </c>
      <c r="C552" s="128">
        <f>+C532+C541+C550</f>
        <v>9282892</v>
      </c>
      <c r="D552" s="128">
        <v>973382.18</v>
      </c>
      <c r="E552" s="128">
        <v>0</v>
      </c>
      <c r="F552" s="128">
        <v>4635578.18</v>
      </c>
      <c r="G552" s="128">
        <v>4647313.82</v>
      </c>
      <c r="H552" s="128">
        <v>49.93</v>
      </c>
      <c r="I552" s="128">
        <f t="shared" ref="I552:O552" si="251">+I532+I541+I550</f>
        <v>14208.619999999995</v>
      </c>
      <c r="J552" s="128">
        <f t="shared" si="251"/>
        <v>9297100.620000001</v>
      </c>
      <c r="K552" s="128">
        <f t="shared" si="251"/>
        <v>9878169.4087500013</v>
      </c>
      <c r="L552" s="128">
        <f t="shared" si="251"/>
        <v>10569641.267362501</v>
      </c>
      <c r="M552" s="128">
        <f t="shared" si="251"/>
        <v>11309516.156077875</v>
      </c>
      <c r="N552" s="128">
        <f t="shared" si="251"/>
        <v>0</v>
      </c>
      <c r="O552" s="128">
        <f t="shared" si="251"/>
        <v>11309516.156077875</v>
      </c>
      <c r="P552" s="123" t="str">
        <f t="shared" si="247"/>
        <v/>
      </c>
    </row>
    <row r="553" spans="1:16" s="114" customFormat="1" ht="15" x14ac:dyDescent="0.25">
      <c r="A553" s="118"/>
      <c r="B553" s="117"/>
      <c r="C553" s="128"/>
      <c r="D553" s="128"/>
      <c r="E553" s="128"/>
      <c r="F553" s="128"/>
      <c r="G553" s="128"/>
      <c r="H553" s="128"/>
      <c r="I553" s="129">
        <f>'Corporate Services'!J69</f>
        <v>0</v>
      </c>
      <c r="J553" s="129"/>
      <c r="K553" s="129"/>
      <c r="L553" s="129"/>
      <c r="M553" s="186"/>
      <c r="N553" s="186"/>
      <c r="O553" s="128"/>
      <c r="P553" s="123" t="str">
        <f t="shared" si="247"/>
        <v/>
      </c>
    </row>
    <row r="554" spans="1:16" s="114" customFormat="1" ht="15" x14ac:dyDescent="0.25">
      <c r="A554" s="118"/>
      <c r="B554" s="117" t="s">
        <v>178</v>
      </c>
      <c r="C554" s="128">
        <f>+C552+C514</f>
        <v>10290226</v>
      </c>
      <c r="D554" s="128">
        <v>1048521.76</v>
      </c>
      <c r="E554" s="128">
        <v>0</v>
      </c>
      <c r="F554" s="128">
        <v>5086415.66</v>
      </c>
      <c r="G554" s="128">
        <v>5203810.34</v>
      </c>
      <c r="H554" s="128">
        <v>49.42</v>
      </c>
      <c r="I554" s="128">
        <f t="shared" ref="I554:O554" si="252">+I552+I514</f>
        <v>-6667.3800000000047</v>
      </c>
      <c r="J554" s="128">
        <f t="shared" si="252"/>
        <v>10283558.620000001</v>
      </c>
      <c r="K554" s="128">
        <f t="shared" si="252"/>
        <v>10926281.033750001</v>
      </c>
      <c r="L554" s="128">
        <f t="shared" si="252"/>
        <v>11691120.706112502</v>
      </c>
      <c r="M554" s="128">
        <f t="shared" si="252"/>
        <v>12509499.155540375</v>
      </c>
      <c r="N554" s="128">
        <f t="shared" si="252"/>
        <v>0</v>
      </c>
      <c r="O554" s="128">
        <f t="shared" si="252"/>
        <v>12509499.155540375</v>
      </c>
      <c r="P554" s="123" t="str">
        <f t="shared" si="247"/>
        <v/>
      </c>
    </row>
    <row r="555" spans="1:16" s="114" customFormat="1" ht="15" x14ac:dyDescent="0.25">
      <c r="A555" s="118"/>
      <c r="B555" s="117"/>
      <c r="C555" s="128"/>
      <c r="D555" s="128"/>
      <c r="E555" s="128"/>
      <c r="F555" s="128"/>
      <c r="G555" s="128"/>
      <c r="H555" s="128"/>
      <c r="I555" s="129">
        <f>'Corporate Services'!J71</f>
        <v>0</v>
      </c>
      <c r="J555" s="129"/>
      <c r="K555" s="129"/>
      <c r="L555" s="129"/>
      <c r="M555" s="186"/>
      <c r="N555" s="186"/>
      <c r="O555" s="128"/>
      <c r="P555" s="123" t="str">
        <f t="shared" si="247"/>
        <v/>
      </c>
    </row>
    <row r="556" spans="1:16" s="114" customFormat="1" ht="15" x14ac:dyDescent="0.25">
      <c r="A556" s="118"/>
      <c r="B556" s="117" t="s">
        <v>208</v>
      </c>
      <c r="C556" s="128"/>
      <c r="D556" s="128"/>
      <c r="E556" s="128"/>
      <c r="F556" s="128"/>
      <c r="G556" s="128"/>
      <c r="H556" s="128"/>
      <c r="I556" s="129">
        <f>'Corporate Services'!J72</f>
        <v>0</v>
      </c>
      <c r="J556" s="129"/>
      <c r="K556" s="129"/>
      <c r="L556" s="129"/>
      <c r="M556" s="186"/>
      <c r="N556" s="186"/>
      <c r="O556" s="128"/>
      <c r="P556" s="123" t="str">
        <f t="shared" si="247"/>
        <v/>
      </c>
    </row>
    <row r="557" spans="1:16" s="114" customFormat="1" ht="15" x14ac:dyDescent="0.25">
      <c r="A557" s="118"/>
      <c r="B557" s="117"/>
      <c r="C557" s="128"/>
      <c r="D557" s="128"/>
      <c r="E557" s="128"/>
      <c r="F557" s="128"/>
      <c r="G557" s="128"/>
      <c r="H557" s="128"/>
      <c r="I557" s="129">
        <f>'Corporate Services'!J73</f>
        <v>0</v>
      </c>
      <c r="J557" s="129"/>
      <c r="K557" s="129"/>
      <c r="L557" s="129"/>
      <c r="M557" s="186"/>
      <c r="N557" s="186"/>
      <c r="O557" s="128"/>
      <c r="P557" s="123" t="str">
        <f t="shared" si="247"/>
        <v/>
      </c>
    </row>
    <row r="558" spans="1:16" s="114" customFormat="1" ht="15" x14ac:dyDescent="0.25">
      <c r="A558" s="118"/>
      <c r="B558" s="117" t="s">
        <v>209</v>
      </c>
      <c r="C558" s="128"/>
      <c r="D558" s="128"/>
      <c r="E558" s="128"/>
      <c r="F558" s="128"/>
      <c r="G558" s="128"/>
      <c r="H558" s="128"/>
      <c r="I558" s="129">
        <f>'Corporate Services'!J74</f>
        <v>0</v>
      </c>
      <c r="J558" s="129"/>
      <c r="K558" s="129"/>
      <c r="L558" s="129"/>
      <c r="M558" s="186"/>
      <c r="N558" s="186"/>
      <c r="O558" s="128"/>
      <c r="P558" s="123" t="str">
        <f t="shared" si="247"/>
        <v/>
      </c>
    </row>
    <row r="559" spans="1:16" s="114" customFormat="1" ht="15" x14ac:dyDescent="0.25">
      <c r="A559" s="118"/>
      <c r="B559" s="117"/>
      <c r="C559" s="128"/>
      <c r="D559" s="128"/>
      <c r="E559" s="128"/>
      <c r="F559" s="128"/>
      <c r="G559" s="128"/>
      <c r="H559" s="128"/>
      <c r="I559" s="129">
        <f>'Corporate Services'!J75</f>
        <v>0</v>
      </c>
      <c r="J559" s="129"/>
      <c r="K559" s="129"/>
      <c r="L559" s="129"/>
      <c r="M559" s="186"/>
      <c r="N559" s="186"/>
      <c r="O559" s="128"/>
      <c r="P559" s="123" t="str">
        <f t="shared" si="247"/>
        <v/>
      </c>
    </row>
    <row r="560" spans="1:16" x14ac:dyDescent="0.2">
      <c r="A560" s="119" t="s">
        <v>349</v>
      </c>
      <c r="B560" s="120" t="s">
        <v>216</v>
      </c>
      <c r="C560" s="129">
        <v>8639351</v>
      </c>
      <c r="D560" s="129">
        <v>650483.55000000005</v>
      </c>
      <c r="E560" s="129">
        <v>0</v>
      </c>
      <c r="F560" s="129">
        <v>2902291.47</v>
      </c>
      <c r="G560" s="129">
        <v>5737059.5300000003</v>
      </c>
      <c r="H560" s="129">
        <v>33.590000000000003</v>
      </c>
      <c r="I560" s="129">
        <f>'Corporate Services'!J76</f>
        <v>0</v>
      </c>
      <c r="J560" s="129">
        <f>'Corporate Services'!K76</f>
        <v>8639351</v>
      </c>
      <c r="K560" s="129">
        <f>'Corporate Services'!L76</f>
        <v>9028121.7949999999</v>
      </c>
      <c r="L560" s="129">
        <f>'Corporate Services'!M76</f>
        <v>9443415.3975699991</v>
      </c>
      <c r="M560" s="129">
        <f>'Corporate Services'!N76</f>
        <v>9877812.5058582183</v>
      </c>
      <c r="N560" s="129">
        <f>'Corporate Services'!O76</f>
        <v>0</v>
      </c>
      <c r="O560" s="129">
        <f>'Corporate Services'!N76</f>
        <v>9877812.5058582183</v>
      </c>
      <c r="P560" s="123" t="str">
        <f t="shared" si="247"/>
        <v>265</v>
      </c>
    </row>
    <row r="561" spans="1:16" x14ac:dyDescent="0.2">
      <c r="A561" s="119"/>
      <c r="B561" s="120"/>
      <c r="C561" s="129"/>
      <c r="D561" s="129"/>
      <c r="E561" s="129"/>
      <c r="F561" s="129"/>
      <c r="G561" s="129"/>
      <c r="H561" s="129"/>
      <c r="I561" s="129">
        <f>'Corporate Services'!J77</f>
        <v>0</v>
      </c>
      <c r="J561" s="129"/>
      <c r="K561" s="129"/>
      <c r="L561" s="129"/>
      <c r="O561" s="129"/>
      <c r="P561" s="123" t="str">
        <f t="shared" si="247"/>
        <v/>
      </c>
    </row>
    <row r="562" spans="1:16" s="114" customFormat="1" ht="15" x14ac:dyDescent="0.25">
      <c r="A562" s="118"/>
      <c r="B562" s="117" t="s">
        <v>217</v>
      </c>
      <c r="C562" s="128">
        <f>SUM(C560:C561)</f>
        <v>8639351</v>
      </c>
      <c r="D562" s="128">
        <v>650483.55000000005</v>
      </c>
      <c r="E562" s="128">
        <v>0</v>
      </c>
      <c r="F562" s="128">
        <v>2902291.47</v>
      </c>
      <c r="G562" s="128">
        <v>5737059.5300000003</v>
      </c>
      <c r="H562" s="128">
        <v>33.590000000000003</v>
      </c>
      <c r="I562" s="128">
        <f t="shared" ref="I562:O562" si="253">SUM(I560:I561)</f>
        <v>0</v>
      </c>
      <c r="J562" s="128">
        <f t="shared" si="253"/>
        <v>8639351</v>
      </c>
      <c r="K562" s="128">
        <f t="shared" si="253"/>
        <v>9028121.7949999999</v>
      </c>
      <c r="L562" s="128">
        <f t="shared" si="253"/>
        <v>9443415.3975699991</v>
      </c>
      <c r="M562" s="128">
        <f t="shared" si="253"/>
        <v>9877812.5058582183</v>
      </c>
      <c r="N562" s="128">
        <f t="shared" si="253"/>
        <v>0</v>
      </c>
      <c r="O562" s="128">
        <f t="shared" si="253"/>
        <v>9877812.5058582183</v>
      </c>
      <c r="P562" s="123" t="str">
        <f t="shared" si="247"/>
        <v/>
      </c>
    </row>
    <row r="563" spans="1:16" s="114" customFormat="1" ht="15" x14ac:dyDescent="0.25">
      <c r="A563" s="118"/>
      <c r="B563" s="117"/>
      <c r="C563" s="128"/>
      <c r="D563" s="128"/>
      <c r="E563" s="128"/>
      <c r="F563" s="128"/>
      <c r="G563" s="128"/>
      <c r="H563" s="128"/>
      <c r="I563" s="129">
        <f>'Corporate Services'!J79</f>
        <v>0</v>
      </c>
      <c r="J563" s="129"/>
      <c r="K563" s="129"/>
      <c r="L563" s="129"/>
      <c r="M563" s="186"/>
      <c r="N563" s="186"/>
      <c r="O563" s="128"/>
      <c r="P563" s="123" t="str">
        <f t="shared" si="247"/>
        <v/>
      </c>
    </row>
    <row r="564" spans="1:16" s="114" customFormat="1" ht="15" x14ac:dyDescent="0.25">
      <c r="A564" s="118"/>
      <c r="B564" s="117" t="s">
        <v>228</v>
      </c>
      <c r="C564" s="128"/>
      <c r="D564" s="128"/>
      <c r="E564" s="128"/>
      <c r="F564" s="128"/>
      <c r="G564" s="128"/>
      <c r="H564" s="128"/>
      <c r="I564" s="129">
        <f>'Corporate Services'!J80</f>
        <v>0</v>
      </c>
      <c r="J564" s="129"/>
      <c r="K564" s="129"/>
      <c r="L564" s="129"/>
      <c r="M564" s="186"/>
      <c r="N564" s="186"/>
      <c r="O564" s="128"/>
      <c r="P564" s="123" t="str">
        <f t="shared" si="247"/>
        <v/>
      </c>
    </row>
    <row r="565" spans="1:16" s="114" customFormat="1" ht="15" x14ac:dyDescent="0.25">
      <c r="A565" s="118"/>
      <c r="B565" s="117"/>
      <c r="C565" s="128"/>
      <c r="D565" s="128"/>
      <c r="E565" s="128"/>
      <c r="F565" s="128"/>
      <c r="G565" s="128"/>
      <c r="H565" s="128"/>
      <c r="I565" s="129">
        <f>'Corporate Services'!J81</f>
        <v>0</v>
      </c>
      <c r="J565" s="129"/>
      <c r="K565" s="129"/>
      <c r="L565" s="129"/>
      <c r="M565" s="186"/>
      <c r="N565" s="186"/>
      <c r="O565" s="128"/>
      <c r="P565" s="123" t="str">
        <f t="shared" si="247"/>
        <v/>
      </c>
    </row>
    <row r="566" spans="1:16" x14ac:dyDescent="0.2">
      <c r="A566" s="119" t="s">
        <v>350</v>
      </c>
      <c r="B566" s="120" t="s">
        <v>234</v>
      </c>
      <c r="C566" s="129">
        <v>400000</v>
      </c>
      <c r="D566" s="129">
        <v>42566.65</v>
      </c>
      <c r="E566" s="129">
        <v>27772</v>
      </c>
      <c r="F566" s="129">
        <v>300133.27</v>
      </c>
      <c r="G566" s="129">
        <v>99866.73</v>
      </c>
      <c r="H566" s="129">
        <v>75.03</v>
      </c>
      <c r="I566" s="129">
        <f>'Corporate Services'!J82</f>
        <v>0</v>
      </c>
      <c r="J566" s="129">
        <f>'Corporate Services'!K82</f>
        <v>400000</v>
      </c>
      <c r="K566" s="129">
        <f>'Corporate Services'!L82</f>
        <v>400000</v>
      </c>
      <c r="L566" s="129">
        <f>'Corporate Services'!M82</f>
        <v>418400</v>
      </c>
      <c r="O566" s="129">
        <f>'Corporate Services'!N82</f>
        <v>437646.4</v>
      </c>
      <c r="P566" s="123" t="str">
        <f t="shared" si="247"/>
        <v>283</v>
      </c>
    </row>
    <row r="567" spans="1:16" x14ac:dyDescent="0.2">
      <c r="A567" s="119" t="s">
        <v>351</v>
      </c>
      <c r="B567" s="120" t="s">
        <v>234</v>
      </c>
      <c r="C567" s="129">
        <v>150000</v>
      </c>
      <c r="D567" s="129">
        <v>0</v>
      </c>
      <c r="E567" s="129">
        <v>66000</v>
      </c>
      <c r="F567" s="129">
        <v>49410</v>
      </c>
      <c r="G567" s="129">
        <v>100590</v>
      </c>
      <c r="H567" s="129">
        <v>32.94</v>
      </c>
      <c r="I567" s="129">
        <f>'Corporate Services'!J83</f>
        <v>0</v>
      </c>
      <c r="J567" s="129">
        <f>'Corporate Services'!K83</f>
        <v>150000</v>
      </c>
      <c r="K567" s="129">
        <f>'Corporate Services'!L83</f>
        <v>156750</v>
      </c>
      <c r="L567" s="129">
        <f>'Corporate Services'!M83</f>
        <v>163960.5</v>
      </c>
      <c r="O567" s="129">
        <f>'Corporate Services'!N83</f>
        <v>171502.68299999999</v>
      </c>
      <c r="P567" s="123" t="str">
        <f t="shared" si="247"/>
        <v>283</v>
      </c>
    </row>
    <row r="568" spans="1:16" x14ac:dyDescent="0.2">
      <c r="A568" s="119" t="s">
        <v>352</v>
      </c>
      <c r="B568" s="120" t="s">
        <v>235</v>
      </c>
      <c r="C568" s="129">
        <v>200000</v>
      </c>
      <c r="D568" s="129">
        <v>0</v>
      </c>
      <c r="E568" s="129">
        <v>0</v>
      </c>
      <c r="F568" s="129">
        <v>70483.69</v>
      </c>
      <c r="G568" s="129">
        <v>129516.31</v>
      </c>
      <c r="H568" s="129">
        <v>35.24</v>
      </c>
      <c r="I568" s="129">
        <f>'Corporate Services'!J84</f>
        <v>0</v>
      </c>
      <c r="J568" s="129">
        <f>'Corporate Services'!K84</f>
        <v>200000</v>
      </c>
      <c r="K568" s="129">
        <f>'Corporate Services'!L84</f>
        <v>209000</v>
      </c>
      <c r="L568" s="129">
        <f>'Corporate Services'!M84</f>
        <v>218614</v>
      </c>
      <c r="O568" s="129">
        <f>'Corporate Services'!N84</f>
        <v>228670.24400000001</v>
      </c>
      <c r="P568" s="123" t="str">
        <f t="shared" si="247"/>
        <v>283</v>
      </c>
    </row>
    <row r="569" spans="1:16" x14ac:dyDescent="0.2">
      <c r="A569" s="119"/>
      <c r="B569" s="120"/>
      <c r="C569" s="129"/>
      <c r="D569" s="129"/>
      <c r="E569" s="129"/>
      <c r="F569" s="129"/>
      <c r="G569" s="129"/>
      <c r="H569" s="129"/>
      <c r="I569" s="129">
        <f>'Corporate Services'!J85</f>
        <v>0</v>
      </c>
      <c r="J569" s="129"/>
      <c r="K569" s="129"/>
      <c r="L569" s="129"/>
      <c r="O569" s="129"/>
      <c r="P569" s="123" t="str">
        <f t="shared" si="247"/>
        <v/>
      </c>
    </row>
    <row r="570" spans="1:16" s="114" customFormat="1" ht="15" x14ac:dyDescent="0.25">
      <c r="A570" s="118"/>
      <c r="B570" s="117" t="s">
        <v>239</v>
      </c>
      <c r="C570" s="128">
        <f>SUM(C566:C569)</f>
        <v>750000</v>
      </c>
      <c r="D570" s="128">
        <v>42566.65</v>
      </c>
      <c r="E570" s="128">
        <v>93772</v>
      </c>
      <c r="F570" s="128">
        <v>420026.96</v>
      </c>
      <c r="G570" s="128">
        <v>329973.03999999998</v>
      </c>
      <c r="H570" s="128">
        <v>56</v>
      </c>
      <c r="I570" s="128">
        <f t="shared" ref="I570:O570" si="254">SUM(I566:I569)</f>
        <v>0</v>
      </c>
      <c r="J570" s="128">
        <f t="shared" si="254"/>
        <v>750000</v>
      </c>
      <c r="K570" s="128">
        <f t="shared" si="254"/>
        <v>765750</v>
      </c>
      <c r="L570" s="128">
        <f t="shared" si="254"/>
        <v>800974.5</v>
      </c>
      <c r="M570" s="128">
        <f t="shared" si="254"/>
        <v>0</v>
      </c>
      <c r="N570" s="128">
        <f t="shared" si="254"/>
        <v>0</v>
      </c>
      <c r="O570" s="128">
        <f t="shared" si="254"/>
        <v>837819.32700000005</v>
      </c>
      <c r="P570" s="123" t="str">
        <f t="shared" si="247"/>
        <v/>
      </c>
    </row>
    <row r="571" spans="1:16" s="114" customFormat="1" ht="15" x14ac:dyDescent="0.25">
      <c r="A571" s="118"/>
      <c r="B571" s="117"/>
      <c r="C571" s="128"/>
      <c r="D571" s="128"/>
      <c r="E571" s="128"/>
      <c r="F571" s="128"/>
      <c r="G571" s="128"/>
      <c r="H571" s="128"/>
      <c r="I571" s="129">
        <f>'Corporate Services'!J87</f>
        <v>0</v>
      </c>
      <c r="J571" s="129"/>
      <c r="K571" s="129"/>
      <c r="L571" s="129"/>
      <c r="M571" s="186"/>
      <c r="N571" s="186"/>
      <c r="O571" s="128"/>
      <c r="P571" s="123" t="str">
        <f t="shared" si="247"/>
        <v/>
      </c>
    </row>
    <row r="572" spans="1:16" s="114" customFormat="1" ht="15" x14ac:dyDescent="0.25">
      <c r="A572" s="118"/>
      <c r="B572" s="117" t="s">
        <v>240</v>
      </c>
      <c r="C572" s="128">
        <f>+C562+C570</f>
        <v>9389351</v>
      </c>
      <c r="D572" s="128">
        <v>693050.2</v>
      </c>
      <c r="E572" s="128">
        <v>93772</v>
      </c>
      <c r="F572" s="128">
        <v>3322318.43</v>
      </c>
      <c r="G572" s="128">
        <v>6067032.5700000003</v>
      </c>
      <c r="H572" s="128">
        <v>35.380000000000003</v>
      </c>
      <c r="I572" s="128">
        <f t="shared" ref="I572:O572" si="255">+I562+I570</f>
        <v>0</v>
      </c>
      <c r="J572" s="128">
        <f t="shared" si="255"/>
        <v>9389351</v>
      </c>
      <c r="K572" s="128">
        <f t="shared" si="255"/>
        <v>9793871.7949999999</v>
      </c>
      <c r="L572" s="128">
        <f t="shared" si="255"/>
        <v>10244389.897569999</v>
      </c>
      <c r="M572" s="128">
        <f t="shared" si="255"/>
        <v>9877812.5058582183</v>
      </c>
      <c r="N572" s="128">
        <f t="shared" si="255"/>
        <v>0</v>
      </c>
      <c r="O572" s="128">
        <f t="shared" si="255"/>
        <v>10715631.832858218</v>
      </c>
      <c r="P572" s="123" t="str">
        <f t="shared" si="247"/>
        <v/>
      </c>
    </row>
    <row r="573" spans="1:16" s="114" customFormat="1" ht="15" x14ac:dyDescent="0.25">
      <c r="A573" s="118"/>
      <c r="B573" s="117"/>
      <c r="C573" s="128"/>
      <c r="D573" s="128"/>
      <c r="E573" s="128"/>
      <c r="F573" s="128"/>
      <c r="G573" s="128"/>
      <c r="H573" s="128"/>
      <c r="I573" s="129">
        <f>'Corporate Services'!J89</f>
        <v>0</v>
      </c>
      <c r="J573" s="129"/>
      <c r="K573" s="129"/>
      <c r="L573" s="129"/>
      <c r="M573" s="186"/>
      <c r="N573" s="186"/>
      <c r="O573" s="128"/>
      <c r="P573" s="123" t="str">
        <f t="shared" si="247"/>
        <v/>
      </c>
    </row>
    <row r="574" spans="1:16" s="114" customFormat="1" ht="15" x14ac:dyDescent="0.25">
      <c r="A574" s="118"/>
      <c r="B574" s="117" t="s">
        <v>241</v>
      </c>
      <c r="C574" s="128"/>
      <c r="D574" s="128"/>
      <c r="E574" s="128"/>
      <c r="F574" s="128"/>
      <c r="G574" s="128"/>
      <c r="H574" s="128"/>
      <c r="I574" s="129">
        <f>'Corporate Services'!J90</f>
        <v>0</v>
      </c>
      <c r="J574" s="129"/>
      <c r="K574" s="129"/>
      <c r="L574" s="129"/>
      <c r="M574" s="186"/>
      <c r="N574" s="186"/>
      <c r="O574" s="128"/>
      <c r="P574" s="123" t="str">
        <f t="shared" si="247"/>
        <v/>
      </c>
    </row>
    <row r="575" spans="1:16" x14ac:dyDescent="0.2">
      <c r="A575" s="119"/>
      <c r="B575" s="120"/>
      <c r="C575" s="129"/>
      <c r="D575" s="129"/>
      <c r="E575" s="129"/>
      <c r="F575" s="129"/>
      <c r="G575" s="129"/>
      <c r="H575" s="129"/>
      <c r="I575" s="129">
        <f>'Corporate Services'!J91</f>
        <v>0</v>
      </c>
      <c r="J575" s="129"/>
      <c r="K575" s="129"/>
      <c r="L575" s="129"/>
      <c r="O575" s="129"/>
      <c r="P575" s="123" t="str">
        <f t="shared" si="247"/>
        <v/>
      </c>
    </row>
    <row r="576" spans="1:16" x14ac:dyDescent="0.2">
      <c r="A576" s="119" t="s">
        <v>353</v>
      </c>
      <c r="B576" s="120" t="s">
        <v>250</v>
      </c>
      <c r="C576" s="129">
        <v>689000</v>
      </c>
      <c r="D576" s="129">
        <v>0</v>
      </c>
      <c r="E576" s="129">
        <v>0</v>
      </c>
      <c r="F576" s="129">
        <v>132072.35999999999</v>
      </c>
      <c r="G576" s="129">
        <v>556927.64</v>
      </c>
      <c r="H576" s="129">
        <v>19.16</v>
      </c>
      <c r="I576" s="129">
        <f>'Corporate Services'!J92</f>
        <v>0</v>
      </c>
      <c r="J576" s="129">
        <f>'Corporate Services'!K92</f>
        <v>689000</v>
      </c>
      <c r="K576" s="129">
        <f>'Corporate Services'!L92</f>
        <v>720005</v>
      </c>
      <c r="L576" s="129">
        <f>'Corporate Services'!M92</f>
        <v>753125.23</v>
      </c>
      <c r="O576" s="129">
        <f>'Corporate Services'!N92</f>
        <v>787768.99057999998</v>
      </c>
      <c r="P576" s="123" t="str">
        <f t="shared" si="247"/>
        <v>301</v>
      </c>
    </row>
    <row r="577" spans="1:16" x14ac:dyDescent="0.2">
      <c r="A577" s="119" t="s">
        <v>354</v>
      </c>
      <c r="B577" s="120" t="s">
        <v>251</v>
      </c>
      <c r="C577" s="129">
        <v>707862</v>
      </c>
      <c r="D577" s="129">
        <v>142631.6</v>
      </c>
      <c r="E577" s="129">
        <v>0</v>
      </c>
      <c r="F577" s="129">
        <v>479164.38</v>
      </c>
      <c r="G577" s="129">
        <v>228697.62</v>
      </c>
      <c r="H577" s="129">
        <v>67.69</v>
      </c>
      <c r="I577" s="129">
        <f>'Corporate Services'!J93</f>
        <v>0</v>
      </c>
      <c r="J577" s="129">
        <f>'Corporate Services'!K93</f>
        <v>707862</v>
      </c>
      <c r="K577" s="129">
        <f>'Corporate Services'!L93</f>
        <v>739715.79</v>
      </c>
      <c r="L577" s="129">
        <f>'Corporate Services'!M93</f>
        <v>773742.71634000004</v>
      </c>
      <c r="O577" s="129">
        <f>'Corporate Services'!N93</f>
        <v>809334.88129163999</v>
      </c>
      <c r="P577" s="123" t="str">
        <f t="shared" si="247"/>
        <v>301</v>
      </c>
    </row>
    <row r="578" spans="1:16" x14ac:dyDescent="0.2">
      <c r="A578" s="119" t="s">
        <v>355</v>
      </c>
      <c r="B578" s="120" t="s">
        <v>253</v>
      </c>
      <c r="C578" s="129">
        <v>2000</v>
      </c>
      <c r="D578" s="129">
        <v>0</v>
      </c>
      <c r="E578" s="129">
        <v>0</v>
      </c>
      <c r="F578" s="129">
        <v>426.95</v>
      </c>
      <c r="G578" s="129">
        <v>1573.05</v>
      </c>
      <c r="H578" s="129">
        <v>21.34</v>
      </c>
      <c r="I578" s="129">
        <f>'Corporate Services'!J94</f>
        <v>0</v>
      </c>
      <c r="J578" s="129">
        <f>'Corporate Services'!K94</f>
        <v>2000</v>
      </c>
      <c r="K578" s="129">
        <f>'Corporate Services'!L94</f>
        <v>2090</v>
      </c>
      <c r="L578" s="129">
        <f>'Corporate Services'!M94</f>
        <v>2186.14</v>
      </c>
      <c r="O578" s="129">
        <f>'Corporate Services'!N94</f>
        <v>2286.70244</v>
      </c>
      <c r="P578" s="123" t="str">
        <f t="shared" si="247"/>
        <v>301</v>
      </c>
    </row>
    <row r="579" spans="1:16" x14ac:dyDescent="0.2">
      <c r="A579" s="119" t="s">
        <v>356</v>
      </c>
      <c r="B579" s="120" t="s">
        <v>259</v>
      </c>
      <c r="C579" s="129">
        <v>234398</v>
      </c>
      <c r="D579" s="129">
        <v>0</v>
      </c>
      <c r="E579" s="129">
        <v>0</v>
      </c>
      <c r="F579" s="129">
        <v>124894.9</v>
      </c>
      <c r="G579" s="129">
        <v>109503.1</v>
      </c>
      <c r="H579" s="129">
        <v>53.28</v>
      </c>
      <c r="I579" s="129">
        <f>'Corporate Services'!J95</f>
        <v>-50000</v>
      </c>
      <c r="J579" s="129">
        <f>'Corporate Services'!K95</f>
        <v>184398</v>
      </c>
      <c r="K579" s="129">
        <f>'Corporate Services'!L95</f>
        <v>192695.91</v>
      </c>
      <c r="L579" s="129">
        <f>'Corporate Services'!M95</f>
        <v>201559.92186</v>
      </c>
      <c r="O579" s="129">
        <f>'Corporate Services'!N95</f>
        <v>210831.67826556001</v>
      </c>
      <c r="P579" s="123" t="str">
        <f t="shared" si="247"/>
        <v>303</v>
      </c>
    </row>
    <row r="580" spans="1:16" x14ac:dyDescent="0.2">
      <c r="A580" s="119" t="s">
        <v>357</v>
      </c>
      <c r="B580" s="120" t="s">
        <v>265</v>
      </c>
      <c r="C580" s="129">
        <v>0</v>
      </c>
      <c r="D580" s="129">
        <v>8906.7099999999991</v>
      </c>
      <c r="E580" s="129">
        <v>0</v>
      </c>
      <c r="F580" s="129">
        <v>41524.839999999997</v>
      </c>
      <c r="G580" s="129">
        <v>-41524.839999999997</v>
      </c>
      <c r="H580" s="129">
        <v>0</v>
      </c>
      <c r="I580" s="129">
        <f>'Corporate Services'!J96</f>
        <v>0</v>
      </c>
      <c r="J580" s="129">
        <f>'Corporate Services'!K96</f>
        <v>0</v>
      </c>
      <c r="K580" s="129">
        <f>'Corporate Services'!L96</f>
        <v>0</v>
      </c>
      <c r="L580" s="129">
        <f>'Corporate Services'!M96</f>
        <v>0</v>
      </c>
      <c r="O580" s="129">
        <f>'Corporate Services'!N96</f>
        <v>0</v>
      </c>
      <c r="P580" s="123" t="str">
        <f t="shared" si="247"/>
        <v>305</v>
      </c>
    </row>
    <row r="581" spans="1:16" x14ac:dyDescent="0.2">
      <c r="A581" s="119" t="s">
        <v>3016</v>
      </c>
      <c r="B581" s="121" t="s">
        <v>3017</v>
      </c>
      <c r="D581" s="129"/>
      <c r="E581" s="129"/>
      <c r="F581" s="129"/>
      <c r="G581" s="129"/>
      <c r="H581" s="129"/>
      <c r="I581" s="129"/>
      <c r="J581" s="129"/>
      <c r="K581" s="129"/>
      <c r="L581" s="129"/>
      <c r="O581" s="129">
        <f>'Corporate Services'!N97</f>
        <v>0</v>
      </c>
      <c r="P581" s="123" t="str">
        <f t="shared" si="247"/>
        <v>305</v>
      </c>
    </row>
    <row r="582" spans="1:16" x14ac:dyDescent="0.2">
      <c r="A582" s="119" t="s">
        <v>358</v>
      </c>
      <c r="B582" s="120" t="s">
        <v>268</v>
      </c>
      <c r="C582" s="129">
        <v>175000</v>
      </c>
      <c r="D582" s="129">
        <v>8953.15</v>
      </c>
      <c r="E582" s="129">
        <v>0</v>
      </c>
      <c r="F582" s="129">
        <v>25501.31</v>
      </c>
      <c r="G582" s="129">
        <v>149498.69</v>
      </c>
      <c r="H582" s="129">
        <v>14.57</v>
      </c>
      <c r="I582" s="129">
        <f>'Corporate Services'!J98</f>
        <v>-49499</v>
      </c>
      <c r="J582" s="129">
        <f>'Corporate Services'!K98</f>
        <v>125501</v>
      </c>
      <c r="K582" s="129">
        <f>'Corporate Services'!L98</f>
        <v>131148.54500000001</v>
      </c>
      <c r="L582" s="129">
        <f>'Corporate Services'!M98</f>
        <v>137181.37807000001</v>
      </c>
      <c r="O582" s="129">
        <f>'Corporate Services'!N98</f>
        <v>143491.72146122</v>
      </c>
      <c r="P582" s="123" t="str">
        <f t="shared" si="247"/>
        <v>305</v>
      </c>
    </row>
    <row r="583" spans="1:16" x14ac:dyDescent="0.2">
      <c r="A583" s="119" t="s">
        <v>359</v>
      </c>
      <c r="B583" s="120" t="s">
        <v>268</v>
      </c>
      <c r="C583" s="129">
        <v>254263</v>
      </c>
      <c r="D583" s="129">
        <v>0</v>
      </c>
      <c r="E583" s="129">
        <v>33225.660000000003</v>
      </c>
      <c r="F583" s="129">
        <v>20040.79</v>
      </c>
      <c r="G583" s="129">
        <v>234222.21</v>
      </c>
      <c r="H583" s="129">
        <v>7.88</v>
      </c>
      <c r="I583" s="129">
        <f>'Corporate Services'!J107</f>
        <v>0</v>
      </c>
      <c r="J583" s="129">
        <f>'Corporate Services'!K107</f>
        <v>254263</v>
      </c>
      <c r="K583" s="129">
        <f>'Corporate Services'!L107</f>
        <v>265704.83500000002</v>
      </c>
      <c r="L583" s="129">
        <f>'Corporate Services'!M107</f>
        <v>277927.25741000002</v>
      </c>
      <c r="M583" s="129">
        <f>'Corporate Services'!N107</f>
        <v>290711.91125086002</v>
      </c>
      <c r="N583" s="129">
        <f>'Corporate Services'!O107</f>
        <v>0</v>
      </c>
      <c r="O583" s="129">
        <f>'Corporate Services'!N107</f>
        <v>290711.91125086002</v>
      </c>
      <c r="P583" s="123" t="str">
        <f t="shared" ref="P583:P646" si="256">MID(A583,6,3)</f>
        <v>305</v>
      </c>
    </row>
    <row r="584" spans="1:16" x14ac:dyDescent="0.2">
      <c r="A584" s="119" t="s">
        <v>3018</v>
      </c>
      <c r="B584" s="120" t="s">
        <v>3019</v>
      </c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O584" s="129">
        <f>'Corporate Services'!N100</f>
        <v>0</v>
      </c>
      <c r="P584" s="123" t="str">
        <f t="shared" si="256"/>
        <v>305</v>
      </c>
    </row>
    <row r="585" spans="1:16" x14ac:dyDescent="0.2">
      <c r="A585" s="119" t="s">
        <v>3020</v>
      </c>
      <c r="B585" s="120" t="s">
        <v>3021</v>
      </c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O585" s="129">
        <f>'Corporate Services'!N101</f>
        <v>0</v>
      </c>
      <c r="P585" s="123" t="str">
        <f t="shared" si="256"/>
        <v>305</v>
      </c>
    </row>
    <row r="586" spans="1:16" x14ac:dyDescent="0.2">
      <c r="A586" s="119" t="s">
        <v>3022</v>
      </c>
      <c r="B586" s="120" t="s">
        <v>3028</v>
      </c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O586" s="129">
        <f>'Corporate Services'!N102</f>
        <v>0</v>
      </c>
      <c r="P586" s="123" t="str">
        <f t="shared" si="256"/>
        <v>305</v>
      </c>
    </row>
    <row r="587" spans="1:16" x14ac:dyDescent="0.2">
      <c r="A587" s="119" t="s">
        <v>3023</v>
      </c>
      <c r="B587" s="120" t="s">
        <v>269</v>
      </c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O587" s="129">
        <f>'Corporate Services'!N103</f>
        <v>0</v>
      </c>
      <c r="P587" s="123" t="str">
        <f t="shared" si="256"/>
        <v>305</v>
      </c>
    </row>
    <row r="588" spans="1:16" x14ac:dyDescent="0.2">
      <c r="A588" s="119" t="s">
        <v>3024</v>
      </c>
      <c r="B588" s="120" t="s">
        <v>3029</v>
      </c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O588" s="129">
        <f>'Corporate Services'!N104</f>
        <v>0</v>
      </c>
      <c r="P588" s="123" t="str">
        <f t="shared" si="256"/>
        <v>305</v>
      </c>
    </row>
    <row r="589" spans="1:16" x14ac:dyDescent="0.2">
      <c r="A589" s="119" t="s">
        <v>3025</v>
      </c>
      <c r="B589" s="120" t="s">
        <v>3030</v>
      </c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O589" s="129">
        <f>'Corporate Services'!N105</f>
        <v>0</v>
      </c>
      <c r="P589" s="123" t="str">
        <f t="shared" si="256"/>
        <v>305</v>
      </c>
    </row>
    <row r="590" spans="1:16" x14ac:dyDescent="0.2">
      <c r="A590" s="119" t="s">
        <v>3026</v>
      </c>
      <c r="B590" s="120" t="s">
        <v>3031</v>
      </c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O590" s="129">
        <f>'Corporate Services'!N106</f>
        <v>0</v>
      </c>
      <c r="P590" s="123" t="str">
        <f t="shared" si="256"/>
        <v>305</v>
      </c>
    </row>
    <row r="591" spans="1:16" x14ac:dyDescent="0.2">
      <c r="A591" s="119" t="s">
        <v>3027</v>
      </c>
      <c r="B591" s="120" t="s">
        <v>3032</v>
      </c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O591" s="129"/>
      <c r="P591" s="123" t="str">
        <f t="shared" si="256"/>
        <v>305</v>
      </c>
    </row>
    <row r="592" spans="1:16" x14ac:dyDescent="0.2">
      <c r="A592" s="119" t="s">
        <v>360</v>
      </c>
      <c r="B592" s="120" t="s">
        <v>270</v>
      </c>
      <c r="C592" s="129">
        <v>636000</v>
      </c>
      <c r="D592" s="129">
        <v>136630</v>
      </c>
      <c r="E592" s="129">
        <v>0</v>
      </c>
      <c r="F592" s="129">
        <v>609748</v>
      </c>
      <c r="G592" s="129">
        <v>26252</v>
      </c>
      <c r="H592" s="129">
        <v>95.87</v>
      </c>
      <c r="I592" s="129">
        <f>'Corporate Services'!J108</f>
        <v>650000</v>
      </c>
      <c r="J592" s="129">
        <f>'Corporate Services'!K108</f>
        <v>1286000</v>
      </c>
      <c r="K592" s="129">
        <f>'Corporate Services'!L108</f>
        <v>650000</v>
      </c>
      <c r="L592" s="129">
        <f>'Corporate Services'!M108</f>
        <v>679900</v>
      </c>
      <c r="O592" s="129">
        <f>'Corporate Services'!N108</f>
        <v>711175.4</v>
      </c>
      <c r="P592" s="123" t="str">
        <f t="shared" si="256"/>
        <v>306</v>
      </c>
    </row>
    <row r="593" spans="1:16" x14ac:dyDescent="0.2">
      <c r="A593" s="119" t="s">
        <v>361</v>
      </c>
      <c r="B593" s="120" t="s">
        <v>271</v>
      </c>
      <c r="C593" s="129">
        <v>129035</v>
      </c>
      <c r="D593" s="129">
        <v>0</v>
      </c>
      <c r="E593" s="129">
        <v>0</v>
      </c>
      <c r="F593" s="129">
        <v>44880.94</v>
      </c>
      <c r="G593" s="129">
        <v>84154.06</v>
      </c>
      <c r="H593" s="129">
        <v>34.78</v>
      </c>
      <c r="I593" s="129">
        <f>'Corporate Services'!J109</f>
        <v>0</v>
      </c>
      <c r="J593" s="129">
        <f>'Corporate Services'!K109</f>
        <v>129035</v>
      </c>
      <c r="K593" s="129">
        <f>'Corporate Services'!L109</f>
        <v>134841.57500000001</v>
      </c>
      <c r="L593" s="129">
        <f>'Corporate Services'!M109</f>
        <v>141044.28745</v>
      </c>
      <c r="O593" s="129">
        <f>'Corporate Services'!N109</f>
        <v>147532.32467269999</v>
      </c>
      <c r="P593" s="123" t="str">
        <f t="shared" si="256"/>
        <v>306</v>
      </c>
    </row>
    <row r="594" spans="1:16" x14ac:dyDescent="0.2">
      <c r="A594" s="119"/>
      <c r="B594" s="120"/>
      <c r="C594" s="129"/>
      <c r="D594" s="129"/>
      <c r="E594" s="129"/>
      <c r="F594" s="129"/>
      <c r="G594" s="129"/>
      <c r="H594" s="129"/>
      <c r="I594" s="129">
        <f>'Corporate Services'!J110</f>
        <v>0</v>
      </c>
      <c r="J594" s="129"/>
      <c r="K594" s="129"/>
      <c r="L594" s="129"/>
      <c r="O594" s="129"/>
      <c r="P594" s="123" t="str">
        <f t="shared" si="256"/>
        <v/>
      </c>
    </row>
    <row r="595" spans="1:16" s="114" customFormat="1" ht="15" x14ac:dyDescent="0.25">
      <c r="A595" s="118"/>
      <c r="B595" s="117" t="s">
        <v>274</v>
      </c>
      <c r="C595" s="128">
        <f>SUM(C576:C594)</f>
        <v>2827558</v>
      </c>
      <c r="D595" s="128">
        <v>297121.46000000002</v>
      </c>
      <c r="E595" s="128">
        <v>33225.660000000003</v>
      </c>
      <c r="F595" s="128">
        <v>1478254.47</v>
      </c>
      <c r="G595" s="128">
        <v>1349303.53</v>
      </c>
      <c r="H595" s="128">
        <v>52.28</v>
      </c>
      <c r="I595" s="128">
        <f t="shared" ref="I595:O595" si="257">SUM(I576:I594)</f>
        <v>550501</v>
      </c>
      <c r="J595" s="128">
        <f t="shared" si="257"/>
        <v>3378059</v>
      </c>
      <c r="K595" s="128">
        <f t="shared" si="257"/>
        <v>2836201.6550000003</v>
      </c>
      <c r="L595" s="128">
        <f t="shared" si="257"/>
        <v>2966666.9311300004</v>
      </c>
      <c r="M595" s="128">
        <f t="shared" si="257"/>
        <v>290711.91125086002</v>
      </c>
      <c r="N595" s="128">
        <f t="shared" si="257"/>
        <v>0</v>
      </c>
      <c r="O595" s="128">
        <f t="shared" si="257"/>
        <v>3103133.6099619796</v>
      </c>
      <c r="P595" s="123" t="str">
        <f t="shared" si="256"/>
        <v/>
      </c>
    </row>
    <row r="596" spans="1:16" s="114" customFormat="1" ht="15" x14ac:dyDescent="0.25">
      <c r="A596" s="118"/>
      <c r="B596" s="117"/>
      <c r="C596" s="128"/>
      <c r="D596" s="128"/>
      <c r="E596" s="128"/>
      <c r="F596" s="128"/>
      <c r="G596" s="128"/>
      <c r="H596" s="128"/>
      <c r="I596" s="129">
        <f>'Corporate Services'!J112</f>
        <v>0</v>
      </c>
      <c r="J596" s="129"/>
      <c r="K596" s="129"/>
      <c r="L596" s="129"/>
      <c r="M596" s="186"/>
      <c r="N596" s="186"/>
      <c r="O596" s="128"/>
      <c r="P596" s="123" t="str">
        <f t="shared" si="256"/>
        <v/>
      </c>
    </row>
    <row r="597" spans="1:16" s="114" customFormat="1" ht="15" x14ac:dyDescent="0.25">
      <c r="A597" s="118"/>
      <c r="B597" s="117" t="s">
        <v>275</v>
      </c>
      <c r="C597" s="128"/>
      <c r="D597" s="128"/>
      <c r="E597" s="128"/>
      <c r="F597" s="128"/>
      <c r="G597" s="128"/>
      <c r="H597" s="128"/>
      <c r="I597" s="129">
        <f>'Corporate Services'!J113</f>
        <v>0</v>
      </c>
      <c r="J597" s="129"/>
      <c r="K597" s="129"/>
      <c r="L597" s="129"/>
      <c r="M597" s="186"/>
      <c r="N597" s="186"/>
      <c r="O597" s="128"/>
      <c r="P597" s="123" t="str">
        <f t="shared" si="256"/>
        <v/>
      </c>
    </row>
    <row r="598" spans="1:16" x14ac:dyDescent="0.2">
      <c r="A598" s="119"/>
      <c r="B598" s="120"/>
      <c r="C598" s="129"/>
      <c r="D598" s="129"/>
      <c r="E598" s="129"/>
      <c r="F598" s="129"/>
      <c r="G598" s="129"/>
      <c r="H598" s="129"/>
      <c r="I598" s="129">
        <f>'Corporate Services'!J114</f>
        <v>0</v>
      </c>
      <c r="J598" s="129"/>
      <c r="K598" s="129"/>
      <c r="L598" s="129"/>
      <c r="O598" s="129"/>
      <c r="P598" s="123" t="str">
        <f t="shared" si="256"/>
        <v/>
      </c>
    </row>
    <row r="599" spans="1:16" x14ac:dyDescent="0.2">
      <c r="A599" s="119" t="s">
        <v>362</v>
      </c>
      <c r="B599" s="120" t="s">
        <v>276</v>
      </c>
      <c r="C599" s="129">
        <v>659231</v>
      </c>
      <c r="D599" s="129">
        <v>0</v>
      </c>
      <c r="E599" s="129">
        <v>0</v>
      </c>
      <c r="F599" s="129">
        <v>165938.96</v>
      </c>
      <c r="G599" s="129">
        <v>493292.04</v>
      </c>
      <c r="H599" s="129">
        <v>25.17</v>
      </c>
      <c r="I599" s="129">
        <f>'Corporate Services'!J115</f>
        <v>0</v>
      </c>
      <c r="J599" s="129">
        <f>'Corporate Services'!K115</f>
        <v>659231</v>
      </c>
      <c r="K599" s="129">
        <f>'Corporate Services'!L115</f>
        <v>688896.39500000002</v>
      </c>
      <c r="L599" s="129">
        <f>'Corporate Services'!M115</f>
        <v>720585.62916999997</v>
      </c>
      <c r="M599" s="129">
        <f>'Corporate Services'!N115</f>
        <v>753732.56811181991</v>
      </c>
      <c r="N599" s="129">
        <f>'Corporate Services'!O115</f>
        <v>0</v>
      </c>
      <c r="O599" s="129">
        <f>'Corporate Services'!N115</f>
        <v>753732.56811181991</v>
      </c>
      <c r="P599" s="123" t="str">
        <f t="shared" si="256"/>
        <v>320</v>
      </c>
    </row>
    <row r="600" spans="1:16" x14ac:dyDescent="0.2">
      <c r="A600" s="119" t="s">
        <v>363</v>
      </c>
      <c r="B600" s="120" t="s">
        <v>277</v>
      </c>
      <c r="C600" s="129">
        <v>530000</v>
      </c>
      <c r="D600" s="129">
        <v>26608.560000000001</v>
      </c>
      <c r="E600" s="129">
        <v>0</v>
      </c>
      <c r="F600" s="129">
        <v>239859.36</v>
      </c>
      <c r="G600" s="129">
        <v>290140.64</v>
      </c>
      <c r="H600" s="129">
        <v>45.25</v>
      </c>
      <c r="I600" s="129">
        <f>'Corporate Services'!J116</f>
        <v>0</v>
      </c>
      <c r="J600" s="129">
        <f>'Corporate Services'!K116</f>
        <v>530000</v>
      </c>
      <c r="K600" s="129">
        <f>'Corporate Services'!L116</f>
        <v>553850</v>
      </c>
      <c r="L600" s="129">
        <f>'Corporate Services'!M116</f>
        <v>579327.1</v>
      </c>
      <c r="M600" s="129">
        <f>'Corporate Services'!N116</f>
        <v>605976.14659999998</v>
      </c>
      <c r="N600" s="129">
        <f>'Corporate Services'!O116</f>
        <v>0</v>
      </c>
      <c r="O600" s="129">
        <f>'Corporate Services'!N116</f>
        <v>605976.14659999998</v>
      </c>
      <c r="P600" s="123" t="str">
        <f t="shared" si="256"/>
        <v>320</v>
      </c>
    </row>
    <row r="601" spans="1:16" x14ac:dyDescent="0.2">
      <c r="A601" s="119" t="s">
        <v>364</v>
      </c>
      <c r="B601" s="120" t="s">
        <v>278</v>
      </c>
      <c r="C601" s="129">
        <v>53000</v>
      </c>
      <c r="D601" s="129">
        <v>0</v>
      </c>
      <c r="E601" s="129">
        <v>0</v>
      </c>
      <c r="F601" s="129">
        <v>769.7</v>
      </c>
      <c r="G601" s="129">
        <v>52230.3</v>
      </c>
      <c r="H601" s="129">
        <v>1.45</v>
      </c>
      <c r="I601" s="129">
        <f>'Corporate Services'!J117</f>
        <v>-40000</v>
      </c>
      <c r="J601" s="129">
        <f>'Corporate Services'!K117</f>
        <v>13000</v>
      </c>
      <c r="K601" s="129">
        <f>'Corporate Services'!L117</f>
        <v>53000</v>
      </c>
      <c r="L601" s="129">
        <f>'Corporate Services'!M117</f>
        <v>55438</v>
      </c>
      <c r="M601" s="129">
        <f>'Corporate Services'!N117</f>
        <v>57988.148000000001</v>
      </c>
      <c r="N601" s="129">
        <f>'Corporate Services'!O117</f>
        <v>0</v>
      </c>
      <c r="O601" s="129">
        <f>'Corporate Services'!N117</f>
        <v>57988.148000000001</v>
      </c>
      <c r="P601" s="123" t="str">
        <f t="shared" si="256"/>
        <v>323</v>
      </c>
    </row>
    <row r="602" spans="1:16" x14ac:dyDescent="0.2">
      <c r="A602" s="119"/>
      <c r="B602" s="120"/>
      <c r="C602" s="129"/>
      <c r="D602" s="129"/>
      <c r="E602" s="129"/>
      <c r="F602" s="129"/>
      <c r="G602" s="129"/>
      <c r="H602" s="129"/>
      <c r="I602" s="129">
        <f>'Corporate Services'!J118</f>
        <v>0</v>
      </c>
      <c r="J602" s="129"/>
      <c r="K602" s="129"/>
      <c r="L602" s="129"/>
      <c r="O602" s="129"/>
      <c r="P602" s="123" t="str">
        <f t="shared" si="256"/>
        <v/>
      </c>
    </row>
    <row r="603" spans="1:16" s="114" customFormat="1" ht="15" x14ac:dyDescent="0.25">
      <c r="A603" s="118"/>
      <c r="B603" s="117" t="s">
        <v>279</v>
      </c>
      <c r="C603" s="128">
        <f>SUM(C599:C602)</f>
        <v>1242231</v>
      </c>
      <c r="D603" s="128">
        <v>26608.560000000001</v>
      </c>
      <c r="E603" s="128">
        <v>0</v>
      </c>
      <c r="F603" s="128">
        <v>406568.02</v>
      </c>
      <c r="G603" s="128">
        <v>835662.98</v>
      </c>
      <c r="H603" s="128">
        <v>32.72</v>
      </c>
      <c r="I603" s="128">
        <f t="shared" ref="I603:O603" si="258">SUM(I599:I602)</f>
        <v>-40000</v>
      </c>
      <c r="J603" s="128">
        <f t="shared" si="258"/>
        <v>1202231</v>
      </c>
      <c r="K603" s="128">
        <f t="shared" si="258"/>
        <v>1295746.395</v>
      </c>
      <c r="L603" s="128">
        <f t="shared" si="258"/>
        <v>1355350.7291699999</v>
      </c>
      <c r="M603" s="128">
        <f t="shared" si="258"/>
        <v>1417696.8627118198</v>
      </c>
      <c r="N603" s="128">
        <f t="shared" si="258"/>
        <v>0</v>
      </c>
      <c r="O603" s="128">
        <f t="shared" si="258"/>
        <v>1417696.8627118198</v>
      </c>
      <c r="P603" s="123" t="str">
        <f t="shared" si="256"/>
        <v/>
      </c>
    </row>
    <row r="604" spans="1:16" s="114" customFormat="1" ht="15" x14ac:dyDescent="0.25">
      <c r="A604" s="118"/>
      <c r="B604" s="117"/>
      <c r="C604" s="128"/>
      <c r="D604" s="128"/>
      <c r="E604" s="128"/>
      <c r="F604" s="128"/>
      <c r="G604" s="128"/>
      <c r="H604" s="128"/>
      <c r="I604" s="129">
        <f>'Corporate Services'!J120</f>
        <v>0</v>
      </c>
      <c r="J604" s="129"/>
      <c r="K604" s="129"/>
      <c r="L604" s="129"/>
      <c r="M604" s="186"/>
      <c r="N604" s="186"/>
      <c r="O604" s="128"/>
      <c r="P604" s="123" t="str">
        <f t="shared" si="256"/>
        <v/>
      </c>
    </row>
    <row r="605" spans="1:16" s="114" customFormat="1" ht="15" x14ac:dyDescent="0.25">
      <c r="A605" s="118"/>
      <c r="B605" s="117" t="s">
        <v>285</v>
      </c>
      <c r="C605" s="128"/>
      <c r="D605" s="128"/>
      <c r="E605" s="128"/>
      <c r="F605" s="128"/>
      <c r="G605" s="128"/>
      <c r="H605" s="128"/>
      <c r="I605" s="129">
        <f>'Corporate Services'!J121</f>
        <v>0</v>
      </c>
      <c r="J605" s="129"/>
      <c r="K605" s="129"/>
      <c r="L605" s="129"/>
      <c r="M605" s="186"/>
      <c r="N605" s="186"/>
      <c r="O605" s="128"/>
      <c r="P605" s="123" t="str">
        <f t="shared" si="256"/>
        <v/>
      </c>
    </row>
    <row r="606" spans="1:16" x14ac:dyDescent="0.2">
      <c r="A606" s="119"/>
      <c r="B606" s="120"/>
      <c r="C606" s="129"/>
      <c r="D606" s="129"/>
      <c r="E606" s="129"/>
      <c r="F606" s="129"/>
      <c r="G606" s="129"/>
      <c r="H606" s="129"/>
      <c r="I606" s="129">
        <f>'Corporate Services'!J122</f>
        <v>0</v>
      </c>
      <c r="J606" s="129"/>
      <c r="K606" s="129"/>
      <c r="L606" s="129"/>
      <c r="O606" s="129"/>
      <c r="P606" s="123" t="str">
        <f t="shared" si="256"/>
        <v/>
      </c>
    </row>
    <row r="607" spans="1:16" x14ac:dyDescent="0.2">
      <c r="A607" s="119" t="s">
        <v>365</v>
      </c>
      <c r="B607" s="120" t="s">
        <v>286</v>
      </c>
      <c r="C607" s="129">
        <v>400000</v>
      </c>
      <c r="D607" s="129">
        <v>44113.22</v>
      </c>
      <c r="E607" s="129">
        <v>0</v>
      </c>
      <c r="F607" s="129">
        <v>246703.31</v>
      </c>
      <c r="G607" s="129">
        <v>153296.69</v>
      </c>
      <c r="H607" s="129">
        <v>61.67</v>
      </c>
      <c r="I607" s="129">
        <f>'Corporate Services'!J123</f>
        <v>0</v>
      </c>
      <c r="J607" s="129">
        <f>'Corporate Services'!K123</f>
        <v>400000</v>
      </c>
      <c r="K607" s="129">
        <f>'Corporate Services'!L123</f>
        <v>418000</v>
      </c>
      <c r="L607" s="129">
        <f>'Corporate Services'!M123</f>
        <v>437228</v>
      </c>
      <c r="M607" s="129">
        <f>'Corporate Services'!N123</f>
        <v>457340.48800000001</v>
      </c>
      <c r="N607" s="129">
        <f>'Corporate Services'!O123</f>
        <v>0</v>
      </c>
      <c r="O607" s="129">
        <f>'Corporate Services'!N123</f>
        <v>457340.48800000001</v>
      </c>
      <c r="P607" s="123" t="str">
        <f t="shared" si="256"/>
        <v>381</v>
      </c>
    </row>
    <row r="608" spans="1:16" x14ac:dyDescent="0.2">
      <c r="A608" s="119" t="s">
        <v>366</v>
      </c>
      <c r="B608" s="120" t="s">
        <v>286</v>
      </c>
      <c r="C608" s="129">
        <v>149705</v>
      </c>
      <c r="D608" s="129">
        <v>0</v>
      </c>
      <c r="E608" s="129">
        <v>0</v>
      </c>
      <c r="F608" s="129">
        <v>0</v>
      </c>
      <c r="G608" s="129">
        <v>149705</v>
      </c>
      <c r="H608" s="129">
        <v>0</v>
      </c>
      <c r="I608" s="129">
        <f>'Corporate Services'!J124</f>
        <v>0</v>
      </c>
      <c r="J608" s="129">
        <f>'Corporate Services'!K124</f>
        <v>149705</v>
      </c>
      <c r="K608" s="129">
        <f>'Corporate Services'!L124</f>
        <v>156441.72500000001</v>
      </c>
      <c r="L608" s="129">
        <f>'Corporate Services'!M124</f>
        <v>163638.04435000001</v>
      </c>
      <c r="M608" s="129">
        <f>'Corporate Services'!N124</f>
        <v>171165.3943901</v>
      </c>
      <c r="N608" s="129">
        <f>'Corporate Services'!O124</f>
        <v>0</v>
      </c>
      <c r="O608" s="129">
        <f>'Corporate Services'!N124</f>
        <v>171165.3943901</v>
      </c>
      <c r="P608" s="123" t="str">
        <f t="shared" si="256"/>
        <v>381</v>
      </c>
    </row>
    <row r="609" spans="1:16" x14ac:dyDescent="0.2">
      <c r="A609" s="119"/>
      <c r="B609" s="120" t="s">
        <v>3056</v>
      </c>
      <c r="C609" s="129">
        <f>'Corporate Services'!D125</f>
        <v>0</v>
      </c>
      <c r="D609" s="129">
        <f>'Corporate Services'!E125</f>
        <v>0</v>
      </c>
      <c r="E609" s="129">
        <f>'Corporate Services'!F125</f>
        <v>0</v>
      </c>
      <c r="F609" s="129">
        <f>'Corporate Services'!G125</f>
        <v>0</v>
      </c>
      <c r="G609" s="129">
        <f>'Corporate Services'!H125</f>
        <v>0</v>
      </c>
      <c r="H609" s="129">
        <f>'Corporate Services'!I125</f>
        <v>0</v>
      </c>
      <c r="I609" s="129">
        <f>'Corporate Services'!J125</f>
        <v>0</v>
      </c>
      <c r="J609" s="129">
        <f>'Corporate Services'!K125</f>
        <v>0</v>
      </c>
      <c r="K609" s="129">
        <f>'Corporate Services'!L125</f>
        <v>2400000</v>
      </c>
      <c r="L609" s="129">
        <f>'Corporate Services'!M125</f>
        <v>2510400</v>
      </c>
      <c r="M609" s="129">
        <f>'Corporate Services'!N125</f>
        <v>2625878.4</v>
      </c>
      <c r="N609" s="129">
        <f>'Corporate Services'!O125</f>
        <v>0</v>
      </c>
      <c r="O609" s="129">
        <f>'Corporate Services'!P125</f>
        <v>0</v>
      </c>
      <c r="P609" s="123" t="str">
        <f t="shared" si="256"/>
        <v/>
      </c>
    </row>
    <row r="610" spans="1:16" x14ac:dyDescent="0.2">
      <c r="A610" s="119"/>
      <c r="B610" s="120"/>
      <c r="C610" s="129"/>
      <c r="D610" s="129"/>
      <c r="E610" s="129"/>
      <c r="F610" s="129"/>
      <c r="G610" s="129"/>
      <c r="H610" s="129"/>
      <c r="I610" s="129">
        <f>'Corporate Services'!J126</f>
        <v>0</v>
      </c>
      <c r="J610" s="129"/>
      <c r="K610" s="129"/>
      <c r="L610" s="129"/>
      <c r="O610" s="129"/>
      <c r="P610" s="123" t="str">
        <f t="shared" si="256"/>
        <v/>
      </c>
    </row>
    <row r="611" spans="1:16" s="114" customFormat="1" ht="15" x14ac:dyDescent="0.25">
      <c r="A611" s="118"/>
      <c r="B611" s="117" t="s">
        <v>287</v>
      </c>
      <c r="C611" s="128">
        <f>SUM(C607:C610)</f>
        <v>549705</v>
      </c>
      <c r="D611" s="128">
        <v>44113.22</v>
      </c>
      <c r="E611" s="128">
        <v>0</v>
      </c>
      <c r="F611" s="128">
        <v>246703.31</v>
      </c>
      <c r="G611" s="128">
        <v>303001.69</v>
      </c>
      <c r="H611" s="128">
        <v>44.87</v>
      </c>
      <c r="I611" s="128">
        <f t="shared" ref="I611:O611" si="259">SUM(I607:I610)</f>
        <v>0</v>
      </c>
      <c r="J611" s="128">
        <f t="shared" si="259"/>
        <v>549705</v>
      </c>
      <c r="K611" s="128">
        <f t="shared" si="259"/>
        <v>2974441.7250000001</v>
      </c>
      <c r="L611" s="128">
        <f t="shared" si="259"/>
        <v>3111266.0443500001</v>
      </c>
      <c r="M611" s="128">
        <f t="shared" si="259"/>
        <v>3254384.2823901</v>
      </c>
      <c r="N611" s="128">
        <f t="shared" si="259"/>
        <v>0</v>
      </c>
      <c r="O611" s="128">
        <f t="shared" si="259"/>
        <v>628505.88239010004</v>
      </c>
      <c r="P611" s="123" t="str">
        <f t="shared" si="256"/>
        <v/>
      </c>
    </row>
    <row r="612" spans="1:16" s="114" customFormat="1" ht="15" x14ac:dyDescent="0.25">
      <c r="A612" s="118"/>
      <c r="B612" s="117"/>
      <c r="C612" s="128"/>
      <c r="D612" s="128"/>
      <c r="E612" s="128"/>
      <c r="F612" s="128"/>
      <c r="G612" s="128"/>
      <c r="H612" s="128"/>
      <c r="I612" s="129">
        <f>'Corporate Services'!J128</f>
        <v>0</v>
      </c>
      <c r="J612" s="129"/>
      <c r="K612" s="129"/>
      <c r="L612" s="129"/>
      <c r="M612" s="186"/>
      <c r="N612" s="186"/>
      <c r="O612" s="128"/>
      <c r="P612" s="123" t="str">
        <f t="shared" si="256"/>
        <v/>
      </c>
    </row>
    <row r="613" spans="1:16" s="114" customFormat="1" ht="15" x14ac:dyDescent="0.25">
      <c r="A613" s="118"/>
      <c r="B613" s="117" t="s">
        <v>290</v>
      </c>
      <c r="C613" s="128"/>
      <c r="D613" s="128"/>
      <c r="E613" s="128"/>
      <c r="F613" s="128"/>
      <c r="G613" s="128"/>
      <c r="H613" s="128"/>
      <c r="I613" s="129">
        <f>'Corporate Services'!J129</f>
        <v>0</v>
      </c>
      <c r="J613" s="129"/>
      <c r="K613" s="129"/>
      <c r="L613" s="129"/>
      <c r="M613" s="186"/>
      <c r="N613" s="186"/>
      <c r="O613" s="128"/>
      <c r="P613" s="123" t="str">
        <f t="shared" si="256"/>
        <v/>
      </c>
    </row>
    <row r="614" spans="1:16" x14ac:dyDescent="0.2">
      <c r="A614" s="119"/>
      <c r="B614" s="120"/>
      <c r="C614" s="129"/>
      <c r="D614" s="129"/>
      <c r="E614" s="129"/>
      <c r="F614" s="129"/>
      <c r="G614" s="129"/>
      <c r="H614" s="129"/>
      <c r="I614" s="129">
        <f>'Corporate Services'!J130</f>
        <v>0</v>
      </c>
      <c r="J614" s="129"/>
      <c r="K614" s="129"/>
      <c r="L614" s="129"/>
      <c r="O614" s="129"/>
      <c r="P614" s="123" t="str">
        <f t="shared" si="256"/>
        <v/>
      </c>
    </row>
    <row r="615" spans="1:16" x14ac:dyDescent="0.2">
      <c r="A615" s="119" t="s">
        <v>367</v>
      </c>
      <c r="B615" s="120" t="s">
        <v>291</v>
      </c>
      <c r="C615" s="129">
        <v>19193</v>
      </c>
      <c r="D615" s="129">
        <v>2808.4</v>
      </c>
      <c r="E615" s="129">
        <v>0</v>
      </c>
      <c r="F615" s="129">
        <v>8600.0499999999993</v>
      </c>
      <c r="G615" s="129">
        <v>10592.95</v>
      </c>
      <c r="H615" s="129">
        <v>44.8</v>
      </c>
      <c r="I615" s="129">
        <f>'Corporate Services'!J131</f>
        <v>790000</v>
      </c>
      <c r="J615" s="129">
        <f>'Corporate Services'!K131</f>
        <v>809193</v>
      </c>
      <c r="K615" s="129">
        <f>'Corporate Services'!L131</f>
        <v>845606.68500000006</v>
      </c>
      <c r="L615" s="129">
        <f>'Corporate Services'!M131</f>
        <v>884504.5925100001</v>
      </c>
      <c r="M615" s="129">
        <f>'Corporate Services'!N131</f>
        <v>925191.80376546015</v>
      </c>
      <c r="N615" s="129">
        <f>'Corporate Services'!O131</f>
        <v>0</v>
      </c>
      <c r="O615" s="129">
        <f>'Corporate Services'!N131</f>
        <v>925191.80376546015</v>
      </c>
      <c r="P615" s="123" t="str">
        <f t="shared" si="256"/>
        <v>720</v>
      </c>
    </row>
    <row r="616" spans="1:16" x14ac:dyDescent="0.2">
      <c r="A616" s="119" t="s">
        <v>368</v>
      </c>
      <c r="B616" s="120" t="s">
        <v>292</v>
      </c>
      <c r="C616" s="129">
        <v>3371</v>
      </c>
      <c r="D616" s="129">
        <v>9921.94</v>
      </c>
      <c r="E616" s="129">
        <v>0</v>
      </c>
      <c r="F616" s="129">
        <v>32271.75</v>
      </c>
      <c r="G616" s="129">
        <v>-28900.75</v>
      </c>
      <c r="H616" s="129">
        <v>957.33</v>
      </c>
      <c r="I616" s="129">
        <f>'Corporate Services'!J132</f>
        <v>0</v>
      </c>
      <c r="J616" s="129">
        <f>'Corporate Services'!K132</f>
        <v>3371</v>
      </c>
      <c r="K616" s="129">
        <f>'Corporate Services'!L132</f>
        <v>3522.6950000000002</v>
      </c>
      <c r="L616" s="129">
        <f>'Corporate Services'!M132</f>
        <v>3684.7389700000003</v>
      </c>
      <c r="M616" s="129">
        <f>'Corporate Services'!N132</f>
        <v>3854.2369626200002</v>
      </c>
      <c r="N616" s="129">
        <f>'Corporate Services'!O132</f>
        <v>0</v>
      </c>
      <c r="O616" s="129">
        <f>'Corporate Services'!N132</f>
        <v>3854.2369626200002</v>
      </c>
      <c r="P616" s="123" t="str">
        <f t="shared" si="256"/>
        <v>720</v>
      </c>
    </row>
    <row r="617" spans="1:16" x14ac:dyDescent="0.2">
      <c r="A617" s="119" t="s">
        <v>369</v>
      </c>
      <c r="B617" s="120" t="s">
        <v>293</v>
      </c>
      <c r="C617" s="129">
        <v>3371</v>
      </c>
      <c r="D617" s="129">
        <v>53495.18</v>
      </c>
      <c r="E617" s="129">
        <v>0</v>
      </c>
      <c r="F617" s="129">
        <v>126598.65</v>
      </c>
      <c r="G617" s="129">
        <v>-123227.65</v>
      </c>
      <c r="H617" s="129">
        <v>999.99</v>
      </c>
      <c r="I617" s="129">
        <f>'Corporate Services'!J133</f>
        <v>0</v>
      </c>
      <c r="J617" s="129">
        <f>'Corporate Services'!K133</f>
        <v>3371</v>
      </c>
      <c r="K617" s="129">
        <f>'Corporate Services'!L133</f>
        <v>3522.6950000000002</v>
      </c>
      <c r="L617" s="129">
        <f>'Corporate Services'!M133</f>
        <v>3684.7389700000003</v>
      </c>
      <c r="M617" s="129">
        <f>'Corporate Services'!N133</f>
        <v>3854.2369626200002</v>
      </c>
      <c r="N617" s="129">
        <f>'Corporate Services'!O133</f>
        <v>0</v>
      </c>
      <c r="O617" s="129">
        <f>'Corporate Services'!N133</f>
        <v>3854.2369626200002</v>
      </c>
      <c r="P617" s="123" t="str">
        <f t="shared" si="256"/>
        <v>721</v>
      </c>
    </row>
    <row r="618" spans="1:16" x14ac:dyDescent="0.2">
      <c r="A618" s="119" t="s">
        <v>370</v>
      </c>
      <c r="B618" s="120" t="s">
        <v>296</v>
      </c>
      <c r="C618" s="129">
        <v>5618</v>
      </c>
      <c r="D618" s="129">
        <v>220.9</v>
      </c>
      <c r="E618" s="129">
        <v>0</v>
      </c>
      <c r="F618" s="129">
        <v>618.51</v>
      </c>
      <c r="G618" s="129">
        <v>4999.49</v>
      </c>
      <c r="H618" s="129">
        <v>11</v>
      </c>
      <c r="I618" s="129">
        <f>'Corporate Services'!J134</f>
        <v>0</v>
      </c>
      <c r="J618" s="129">
        <f>'Corporate Services'!K134</f>
        <v>5618</v>
      </c>
      <c r="K618" s="129">
        <f>'Corporate Services'!L134</f>
        <v>5870.81</v>
      </c>
      <c r="L618" s="129">
        <f>'Corporate Services'!M134</f>
        <v>6140.86726</v>
      </c>
      <c r="M618" s="129">
        <f>'Corporate Services'!N134</f>
        <v>6423.3471539599996</v>
      </c>
      <c r="N618" s="129">
        <f>'Corporate Services'!O134</f>
        <v>0</v>
      </c>
      <c r="O618" s="129">
        <f>'Corporate Services'!N134</f>
        <v>6423.3471539599996</v>
      </c>
      <c r="P618" s="123" t="str">
        <f t="shared" si="256"/>
        <v>723</v>
      </c>
    </row>
    <row r="619" spans="1:16" x14ac:dyDescent="0.2">
      <c r="A619" s="119" t="s">
        <v>371</v>
      </c>
      <c r="B619" s="120" t="s">
        <v>297</v>
      </c>
      <c r="C619" s="129">
        <v>52313</v>
      </c>
      <c r="D619" s="129">
        <v>22667.22</v>
      </c>
      <c r="E619" s="129">
        <v>0</v>
      </c>
      <c r="F619" s="129">
        <v>55785.81</v>
      </c>
      <c r="G619" s="129">
        <v>-3472.81</v>
      </c>
      <c r="H619" s="129">
        <v>106.63</v>
      </c>
      <c r="I619" s="129">
        <f>'Corporate Services'!J135</f>
        <v>0</v>
      </c>
      <c r="J619" s="129">
        <f>'Corporate Services'!K135</f>
        <v>52313</v>
      </c>
      <c r="K619" s="129">
        <f>'Corporate Services'!L135</f>
        <v>54667.084999999999</v>
      </c>
      <c r="L619" s="129">
        <f>'Corporate Services'!M135</f>
        <v>57181.770909999999</v>
      </c>
      <c r="M619" s="129">
        <f>'Corporate Services'!N135</f>
        <v>59812.132371859996</v>
      </c>
      <c r="N619" s="129">
        <f>'Corporate Services'!O135</f>
        <v>0</v>
      </c>
      <c r="O619" s="129">
        <f>'Corporate Services'!N135</f>
        <v>59812.132371859996</v>
      </c>
      <c r="P619" s="123" t="str">
        <f t="shared" si="256"/>
        <v>725</v>
      </c>
    </row>
    <row r="620" spans="1:16" x14ac:dyDescent="0.2">
      <c r="A620" s="119" t="s">
        <v>372</v>
      </c>
      <c r="B620" s="120" t="s">
        <v>298</v>
      </c>
      <c r="C620" s="129">
        <v>0</v>
      </c>
      <c r="D620" s="129">
        <v>4578.74</v>
      </c>
      <c r="E620" s="129">
        <v>0</v>
      </c>
      <c r="F620" s="129">
        <v>11446.86</v>
      </c>
      <c r="G620" s="129">
        <v>-11446.86</v>
      </c>
      <c r="H620" s="129">
        <v>0</v>
      </c>
      <c r="I620" s="129">
        <f>'Corporate Services'!J136</f>
        <v>0</v>
      </c>
      <c r="J620" s="129">
        <f>'Corporate Services'!K136</f>
        <v>0</v>
      </c>
      <c r="K620" s="129">
        <f>'Corporate Services'!L136</f>
        <v>0</v>
      </c>
      <c r="L620" s="129">
        <f>'Corporate Services'!M136</f>
        <v>0</v>
      </c>
      <c r="M620" s="129">
        <f>'Corporate Services'!N136</f>
        <v>0</v>
      </c>
      <c r="N620" s="129">
        <f>'Corporate Services'!O136</f>
        <v>0</v>
      </c>
      <c r="O620" s="129">
        <f>'Corporate Services'!N136</f>
        <v>0</v>
      </c>
      <c r="P620" s="123" t="str">
        <f t="shared" si="256"/>
        <v>728</v>
      </c>
    </row>
    <row r="621" spans="1:16" x14ac:dyDescent="0.2">
      <c r="A621" s="119" t="s">
        <v>373</v>
      </c>
      <c r="B621" s="120" t="s">
        <v>299</v>
      </c>
      <c r="C621" s="129">
        <v>41469</v>
      </c>
      <c r="D621" s="129">
        <v>0</v>
      </c>
      <c r="E621" s="129">
        <v>0</v>
      </c>
      <c r="F621" s="129">
        <v>0</v>
      </c>
      <c r="G621" s="129">
        <v>41469</v>
      </c>
      <c r="H621" s="129">
        <v>0</v>
      </c>
      <c r="I621" s="129">
        <f>'Corporate Services'!J137</f>
        <v>0</v>
      </c>
      <c r="J621" s="129">
        <f>'Corporate Services'!K137</f>
        <v>41469</v>
      </c>
      <c r="K621" s="129">
        <f>'Corporate Services'!L137</f>
        <v>43335.105000000003</v>
      </c>
      <c r="L621" s="129">
        <f>'Corporate Services'!M137</f>
        <v>45328.519830000005</v>
      </c>
      <c r="M621" s="129">
        <f>'Corporate Services'!N137</f>
        <v>47413.631742180005</v>
      </c>
      <c r="N621" s="129">
        <f>'Corporate Services'!O137</f>
        <v>0</v>
      </c>
      <c r="O621" s="129">
        <f>'Corporate Services'!N137</f>
        <v>47413.631742180005</v>
      </c>
      <c r="P621" s="123" t="str">
        <f t="shared" si="256"/>
        <v>728</v>
      </c>
    </row>
    <row r="622" spans="1:16" x14ac:dyDescent="0.2">
      <c r="A622" s="119" t="s">
        <v>374</v>
      </c>
      <c r="B622" s="120" t="s">
        <v>300</v>
      </c>
      <c r="C622" s="129">
        <v>113175</v>
      </c>
      <c r="D622" s="129">
        <v>16557.72</v>
      </c>
      <c r="E622" s="129">
        <v>0</v>
      </c>
      <c r="F622" s="129">
        <v>33128.800000000003</v>
      </c>
      <c r="G622" s="129">
        <v>80046.2</v>
      </c>
      <c r="H622" s="129">
        <v>29.27</v>
      </c>
      <c r="I622" s="129">
        <f>'Corporate Services'!J138</f>
        <v>0</v>
      </c>
      <c r="J622" s="129">
        <f>'Corporate Services'!K138</f>
        <v>113175</v>
      </c>
      <c r="K622" s="129">
        <f>'Corporate Services'!L138</f>
        <v>118267.875</v>
      </c>
      <c r="L622" s="129">
        <f>'Corporate Services'!M138</f>
        <v>123708.19725</v>
      </c>
      <c r="M622" s="129">
        <f>'Corporate Services'!N138</f>
        <v>129398.77432349999</v>
      </c>
      <c r="N622" s="129">
        <f>'Corporate Services'!O138</f>
        <v>0</v>
      </c>
      <c r="O622" s="129">
        <f>'Corporate Services'!N138</f>
        <v>129398.77432349999</v>
      </c>
      <c r="P622" s="123" t="str">
        <f t="shared" si="256"/>
        <v>728</v>
      </c>
    </row>
    <row r="623" spans="1:16" x14ac:dyDescent="0.2">
      <c r="A623" s="119" t="s">
        <v>375</v>
      </c>
      <c r="B623" s="120" t="s">
        <v>303</v>
      </c>
      <c r="C623" s="129">
        <v>74216</v>
      </c>
      <c r="D623" s="129">
        <v>12908.16</v>
      </c>
      <c r="E623" s="129">
        <v>0</v>
      </c>
      <c r="F623" s="129">
        <v>30406.99</v>
      </c>
      <c r="G623" s="129">
        <v>43809.01</v>
      </c>
      <c r="H623" s="129">
        <v>40.97</v>
      </c>
      <c r="I623" s="129">
        <f>'Corporate Services'!J139</f>
        <v>0</v>
      </c>
      <c r="J623" s="129">
        <f>'Corporate Services'!K139</f>
        <v>74216</v>
      </c>
      <c r="K623" s="129">
        <f>'Corporate Services'!L139</f>
        <v>77555.72</v>
      </c>
      <c r="L623" s="129">
        <f>'Corporate Services'!M139</f>
        <v>81123.283120000007</v>
      </c>
      <c r="M623" s="129">
        <f>'Corporate Services'!N139</f>
        <v>84854.954143520008</v>
      </c>
      <c r="N623" s="129">
        <f>'Corporate Services'!O139</f>
        <v>0</v>
      </c>
      <c r="O623" s="129">
        <f>'Corporate Services'!N139</f>
        <v>84854.954143520008</v>
      </c>
      <c r="P623" s="123" t="str">
        <f t="shared" si="256"/>
        <v>729</v>
      </c>
    </row>
    <row r="624" spans="1:16" x14ac:dyDescent="0.2">
      <c r="A624" s="119"/>
      <c r="B624" s="120"/>
      <c r="C624" s="129"/>
      <c r="D624" s="129"/>
      <c r="E624" s="129"/>
      <c r="F624" s="129"/>
      <c r="G624" s="129"/>
      <c r="H624" s="129"/>
      <c r="I624" s="129">
        <f>'Corporate Services'!J140</f>
        <v>0</v>
      </c>
      <c r="J624" s="129"/>
      <c r="K624" s="129"/>
      <c r="L624" s="129"/>
      <c r="O624" s="129"/>
      <c r="P624" s="123" t="str">
        <f t="shared" si="256"/>
        <v/>
      </c>
    </row>
    <row r="625" spans="1:16" s="114" customFormat="1" ht="15" x14ac:dyDescent="0.25">
      <c r="A625" s="118"/>
      <c r="B625" s="117" t="s">
        <v>304</v>
      </c>
      <c r="C625" s="128">
        <f>SUM(C615:C624)</f>
        <v>312726</v>
      </c>
      <c r="D625" s="128">
        <v>123158.26</v>
      </c>
      <c r="E625" s="128">
        <v>0</v>
      </c>
      <c r="F625" s="128">
        <v>298857.42</v>
      </c>
      <c r="G625" s="128">
        <v>13868.58</v>
      </c>
      <c r="H625" s="128">
        <v>95.56</v>
      </c>
      <c r="I625" s="128">
        <f t="shared" ref="I625:O625" si="260">SUM(I615:I624)</f>
        <v>790000</v>
      </c>
      <c r="J625" s="128">
        <f t="shared" si="260"/>
        <v>1102726</v>
      </c>
      <c r="K625" s="128">
        <f t="shared" si="260"/>
        <v>1152348.67</v>
      </c>
      <c r="L625" s="128">
        <f t="shared" si="260"/>
        <v>1205356.7088200001</v>
      </c>
      <c r="M625" s="128">
        <f t="shared" si="260"/>
        <v>1260803.1174257202</v>
      </c>
      <c r="N625" s="128">
        <f t="shared" si="260"/>
        <v>0</v>
      </c>
      <c r="O625" s="128">
        <f t="shared" si="260"/>
        <v>1260803.1174257202</v>
      </c>
      <c r="P625" s="123" t="str">
        <f t="shared" si="256"/>
        <v/>
      </c>
    </row>
    <row r="626" spans="1:16" s="114" customFormat="1" ht="15" x14ac:dyDescent="0.25">
      <c r="A626" s="118"/>
      <c r="B626" s="117"/>
      <c r="C626" s="128"/>
      <c r="D626" s="128"/>
      <c r="E626" s="128"/>
      <c r="F626" s="128"/>
      <c r="G626" s="128"/>
      <c r="H626" s="128"/>
      <c r="I626" s="129">
        <f>'Corporate Services'!J142</f>
        <v>0</v>
      </c>
      <c r="J626" s="129"/>
      <c r="K626" s="129"/>
      <c r="L626" s="129"/>
      <c r="M626" s="186"/>
      <c r="N626" s="186"/>
      <c r="O626" s="128"/>
      <c r="P626" s="123" t="str">
        <f t="shared" si="256"/>
        <v/>
      </c>
    </row>
    <row r="627" spans="1:16" s="114" customFormat="1" ht="15" x14ac:dyDescent="0.25">
      <c r="A627" s="118"/>
      <c r="B627" s="117" t="s">
        <v>305</v>
      </c>
      <c r="C627" s="128">
        <f>+C554+C572+C595+C603+C611+C625</f>
        <v>24611797</v>
      </c>
      <c r="D627" s="128">
        <v>2232573.46</v>
      </c>
      <c r="E627" s="128">
        <v>126997.66</v>
      </c>
      <c r="F627" s="128">
        <v>10839117.310000001</v>
      </c>
      <c r="G627" s="128">
        <v>13772679.689999999</v>
      </c>
      <c r="H627" s="128">
        <v>44.04</v>
      </c>
      <c r="I627" s="128">
        <f t="shared" ref="I627:O627" si="261">+I554+I572+I595+I603+I611+I625</f>
        <v>1293833.6200000001</v>
      </c>
      <c r="J627" s="128">
        <f t="shared" si="261"/>
        <v>25905630.620000001</v>
      </c>
      <c r="K627" s="128">
        <f t="shared" si="261"/>
        <v>28978891.27375</v>
      </c>
      <c r="L627" s="128">
        <f t="shared" si="261"/>
        <v>30574151.017152503</v>
      </c>
      <c r="M627" s="128">
        <f t="shared" si="261"/>
        <v>28610907.835177094</v>
      </c>
      <c r="N627" s="128">
        <f t="shared" si="261"/>
        <v>0</v>
      </c>
      <c r="O627" s="128">
        <f t="shared" si="261"/>
        <v>29635270.460888214</v>
      </c>
      <c r="P627" s="123" t="str">
        <f t="shared" si="256"/>
        <v/>
      </c>
    </row>
    <row r="628" spans="1:16" s="114" customFormat="1" ht="15" x14ac:dyDescent="0.25">
      <c r="A628" s="118"/>
      <c r="B628" s="117"/>
      <c r="C628" s="128"/>
      <c r="D628" s="128"/>
      <c r="E628" s="128"/>
      <c r="F628" s="128"/>
      <c r="G628" s="128"/>
      <c r="H628" s="128"/>
      <c r="I628" s="129">
        <f>'Corporate Services'!J144</f>
        <v>0</v>
      </c>
      <c r="J628" s="129"/>
      <c r="K628" s="129"/>
      <c r="L628" s="129"/>
      <c r="M628" s="186"/>
      <c r="N628" s="186"/>
      <c r="O628" s="128"/>
      <c r="P628" s="123" t="str">
        <f t="shared" si="256"/>
        <v/>
      </c>
    </row>
    <row r="629" spans="1:16" s="114" customFormat="1" ht="15" x14ac:dyDescent="0.25">
      <c r="A629" s="118"/>
      <c r="B629" s="117" t="s">
        <v>306</v>
      </c>
      <c r="C629" s="128">
        <f>+C498+C627</f>
        <v>24335373</v>
      </c>
      <c r="D629" s="128">
        <v>2232573.46</v>
      </c>
      <c r="E629" s="128">
        <v>126997.66</v>
      </c>
      <c r="F629" s="128">
        <v>10126828.640000001</v>
      </c>
      <c r="G629" s="128">
        <v>14208544.359999999</v>
      </c>
      <c r="H629" s="128">
        <v>41.61</v>
      </c>
      <c r="I629" s="128">
        <f t="shared" ref="I629:O629" si="262">+I498+I627</f>
        <v>1570257.62</v>
      </c>
      <c r="J629" s="128">
        <f t="shared" si="262"/>
        <v>25905630.620000001</v>
      </c>
      <c r="K629" s="128">
        <f t="shared" si="262"/>
        <v>27978891.27375</v>
      </c>
      <c r="L629" s="128">
        <f t="shared" si="262"/>
        <v>29528151.017152503</v>
      </c>
      <c r="M629" s="128">
        <f t="shared" si="262"/>
        <v>27516791.835177094</v>
      </c>
      <c r="N629" s="128">
        <f t="shared" si="262"/>
        <v>0</v>
      </c>
      <c r="O629" s="128">
        <f t="shared" si="262"/>
        <v>28541154.460888214</v>
      </c>
      <c r="P629" s="123" t="str">
        <f t="shared" si="256"/>
        <v/>
      </c>
    </row>
    <row r="630" spans="1:16" s="114" customFormat="1" ht="15" x14ac:dyDescent="0.25">
      <c r="A630" s="118"/>
      <c r="B630" s="117"/>
      <c r="C630" s="128"/>
      <c r="D630" s="128"/>
      <c r="E630" s="128"/>
      <c r="F630" s="128"/>
      <c r="G630" s="128"/>
      <c r="H630" s="128"/>
      <c r="I630" s="129">
        <f>'Corporate Services'!J146</f>
        <v>0</v>
      </c>
      <c r="J630" s="129"/>
      <c r="K630" s="129"/>
      <c r="L630" s="129"/>
      <c r="M630" s="186"/>
      <c r="N630" s="186"/>
      <c r="O630" s="128"/>
      <c r="P630" s="123" t="str">
        <f t="shared" si="256"/>
        <v/>
      </c>
    </row>
    <row r="631" spans="1:16" s="114" customFormat="1" ht="15" x14ac:dyDescent="0.25">
      <c r="A631" s="118"/>
      <c r="B631" s="117" t="s">
        <v>308</v>
      </c>
      <c r="C631" s="128"/>
      <c r="D631" s="128"/>
      <c r="E631" s="128"/>
      <c r="F631" s="128"/>
      <c r="G631" s="128"/>
      <c r="H631" s="128"/>
      <c r="I631" s="129">
        <f>'Corporate Services'!J147</f>
        <v>0</v>
      </c>
      <c r="J631" s="129"/>
      <c r="K631" s="129"/>
      <c r="L631" s="129"/>
      <c r="M631" s="186"/>
      <c r="N631" s="186"/>
      <c r="O631" s="128"/>
      <c r="P631" s="123" t="str">
        <f t="shared" si="256"/>
        <v/>
      </c>
    </row>
    <row r="632" spans="1:16" s="114" customFormat="1" ht="15" x14ac:dyDescent="0.25">
      <c r="A632" s="118"/>
      <c r="B632" s="117"/>
      <c r="C632" s="128"/>
      <c r="D632" s="128"/>
      <c r="E632" s="128"/>
      <c r="F632" s="128"/>
      <c r="G632" s="128"/>
      <c r="H632" s="128"/>
      <c r="I632" s="129"/>
      <c r="J632" s="129"/>
      <c r="K632" s="129"/>
      <c r="L632" s="129"/>
      <c r="M632" s="186"/>
      <c r="N632" s="186"/>
      <c r="O632" s="128"/>
      <c r="P632" s="123" t="str">
        <f t="shared" si="256"/>
        <v/>
      </c>
    </row>
    <row r="633" spans="1:16" x14ac:dyDescent="0.2">
      <c r="A633" s="119" t="s">
        <v>1337</v>
      </c>
      <c r="B633" s="120" t="s">
        <v>1338</v>
      </c>
      <c r="C633" s="129">
        <v>0</v>
      </c>
      <c r="D633" s="129"/>
      <c r="E633" s="129"/>
      <c r="F633" s="129"/>
      <c r="G633" s="129"/>
      <c r="H633" s="129"/>
      <c r="I633" s="129">
        <f>'Corporate Services'!J149</f>
        <v>0</v>
      </c>
      <c r="J633" s="129">
        <f>'Corporate Services'!K149</f>
        <v>0</v>
      </c>
      <c r="K633" s="129">
        <f>'Corporate Services'!L149</f>
        <v>0</v>
      </c>
      <c r="L633" s="129">
        <f>'Corporate Services'!M149</f>
        <v>2000000</v>
      </c>
      <c r="O633" s="129">
        <f>'Corporate Services'!N149</f>
        <v>700000</v>
      </c>
      <c r="P633" s="123" t="str">
        <f t="shared" si="256"/>
        <v>421</v>
      </c>
    </row>
    <row r="634" spans="1:16" x14ac:dyDescent="0.2">
      <c r="A634" s="119" t="s">
        <v>376</v>
      </c>
      <c r="B634" s="120" t="s">
        <v>377</v>
      </c>
      <c r="C634" s="129">
        <v>250000</v>
      </c>
      <c r="D634" s="129">
        <v>0</v>
      </c>
      <c r="E634" s="129">
        <v>0</v>
      </c>
      <c r="F634" s="129">
        <v>0</v>
      </c>
      <c r="G634" s="129">
        <v>250000</v>
      </c>
      <c r="H634" s="129">
        <v>0</v>
      </c>
      <c r="I634" s="129">
        <f>'Corporate Services'!J150</f>
        <v>0</v>
      </c>
      <c r="J634" s="129">
        <f>'Corporate Services'!K150</f>
        <v>250000</v>
      </c>
      <c r="K634" s="129">
        <f>'Corporate Services'!L150</f>
        <v>300000</v>
      </c>
      <c r="L634" s="129">
        <f>'Corporate Services'!M150</f>
        <v>0</v>
      </c>
      <c r="O634" s="129">
        <f>'Corporate Services'!N150</f>
        <v>315000</v>
      </c>
      <c r="P634" s="123" t="str">
        <f t="shared" si="256"/>
        <v>550</v>
      </c>
    </row>
    <row r="635" spans="1:16" x14ac:dyDescent="0.2">
      <c r="A635" s="119"/>
      <c r="B635" s="120"/>
      <c r="C635" s="129"/>
      <c r="D635" s="129"/>
      <c r="E635" s="129"/>
      <c r="F635" s="129"/>
      <c r="G635" s="129"/>
      <c r="H635" s="129"/>
      <c r="I635" s="129">
        <f>'Corporate Services'!J151</f>
        <v>0</v>
      </c>
      <c r="J635" s="129"/>
      <c r="K635" s="129"/>
      <c r="L635" s="129"/>
      <c r="O635" s="129"/>
      <c r="P635" s="123" t="str">
        <f t="shared" si="256"/>
        <v/>
      </c>
    </row>
    <row r="636" spans="1:16" s="114" customFormat="1" ht="15" x14ac:dyDescent="0.25">
      <c r="A636" s="118"/>
      <c r="B636" s="117" t="s">
        <v>320</v>
      </c>
      <c r="C636" s="128">
        <f>SUM(C633:C635)</f>
        <v>250000</v>
      </c>
      <c r="D636" s="128">
        <f t="shared" ref="D636:O636" si="263">SUM(D633:D635)</f>
        <v>0</v>
      </c>
      <c r="E636" s="128">
        <f t="shared" si="263"/>
        <v>0</v>
      </c>
      <c r="F636" s="128">
        <f t="shared" si="263"/>
        <v>0</v>
      </c>
      <c r="G636" s="128">
        <f t="shared" si="263"/>
        <v>250000</v>
      </c>
      <c r="H636" s="128">
        <f t="shared" si="263"/>
        <v>0</v>
      </c>
      <c r="I636" s="128">
        <f t="shared" si="263"/>
        <v>0</v>
      </c>
      <c r="J636" s="128">
        <f t="shared" si="263"/>
        <v>250000</v>
      </c>
      <c r="K636" s="128">
        <f t="shared" si="263"/>
        <v>300000</v>
      </c>
      <c r="L636" s="128">
        <f t="shared" si="263"/>
        <v>2000000</v>
      </c>
      <c r="M636" s="128">
        <f t="shared" si="263"/>
        <v>0</v>
      </c>
      <c r="N636" s="128">
        <f t="shared" si="263"/>
        <v>0</v>
      </c>
      <c r="O636" s="128">
        <f t="shared" si="263"/>
        <v>1015000</v>
      </c>
      <c r="P636" s="123" t="str">
        <f t="shared" si="256"/>
        <v/>
      </c>
    </row>
    <row r="637" spans="1:16" x14ac:dyDescent="0.2">
      <c r="A637" s="119"/>
      <c r="B637" s="120"/>
      <c r="C637" s="129"/>
      <c r="D637" s="129"/>
      <c r="E637" s="129"/>
      <c r="F637" s="129"/>
      <c r="G637" s="129"/>
      <c r="H637" s="129"/>
      <c r="I637" s="129">
        <f>'Corporate Services'!J153</f>
        <v>0</v>
      </c>
      <c r="J637" s="129"/>
      <c r="K637" s="129"/>
      <c r="L637" s="129"/>
      <c r="O637" s="129"/>
      <c r="P637" s="123" t="str">
        <f t="shared" si="256"/>
        <v/>
      </c>
    </row>
    <row r="638" spans="1:16" s="114" customFormat="1" ht="15" x14ac:dyDescent="0.25">
      <c r="A638" s="118"/>
      <c r="B638" s="117" t="s">
        <v>378</v>
      </c>
      <c r="C638" s="128"/>
      <c r="D638" s="128"/>
      <c r="E638" s="128"/>
      <c r="F638" s="128"/>
      <c r="G638" s="128"/>
      <c r="H638" s="128"/>
      <c r="I638" s="129">
        <f>'Corporate Services'!J154</f>
        <v>0</v>
      </c>
      <c r="J638" s="129"/>
      <c r="K638" s="129"/>
      <c r="L638" s="129"/>
      <c r="M638" s="186"/>
      <c r="N638" s="186"/>
      <c r="O638" s="128"/>
      <c r="P638" s="123" t="str">
        <f t="shared" si="256"/>
        <v/>
      </c>
    </row>
    <row r="639" spans="1:16" s="114" customFormat="1" ht="15" x14ac:dyDescent="0.25">
      <c r="A639" s="118"/>
      <c r="B639" s="117"/>
      <c r="C639" s="128"/>
      <c r="D639" s="128"/>
      <c r="E639" s="128"/>
      <c r="F639" s="128"/>
      <c r="G639" s="128"/>
      <c r="H639" s="128"/>
      <c r="I639" s="129">
        <f>'Corporate Services'!J155</f>
        <v>0</v>
      </c>
      <c r="J639" s="129"/>
      <c r="K639" s="129"/>
      <c r="L639" s="129"/>
      <c r="M639" s="186"/>
      <c r="N639" s="186"/>
      <c r="O639" s="128"/>
      <c r="P639" s="123" t="str">
        <f t="shared" si="256"/>
        <v/>
      </c>
    </row>
    <row r="640" spans="1:16" s="114" customFormat="1" ht="15" x14ac:dyDescent="0.25">
      <c r="A640" s="118"/>
      <c r="B640" s="117" t="s">
        <v>9</v>
      </c>
      <c r="C640" s="128"/>
      <c r="D640" s="128"/>
      <c r="E640" s="128"/>
      <c r="F640" s="128"/>
      <c r="G640" s="128"/>
      <c r="H640" s="128"/>
      <c r="I640" s="129">
        <f>'Corporate Services'!J156</f>
        <v>0</v>
      </c>
      <c r="J640" s="129"/>
      <c r="K640" s="129"/>
      <c r="L640" s="129"/>
      <c r="M640" s="186"/>
      <c r="N640" s="186"/>
      <c r="O640" s="128"/>
      <c r="P640" s="123" t="str">
        <f t="shared" si="256"/>
        <v/>
      </c>
    </row>
    <row r="641" spans="1:16" s="114" customFormat="1" ht="15" x14ac:dyDescent="0.25">
      <c r="A641" s="118"/>
      <c r="B641" s="117"/>
      <c r="C641" s="128"/>
      <c r="D641" s="128"/>
      <c r="E641" s="128"/>
      <c r="F641" s="128"/>
      <c r="G641" s="128"/>
      <c r="H641" s="128"/>
      <c r="I641" s="129">
        <f>'Corporate Services'!J157</f>
        <v>0</v>
      </c>
      <c r="J641" s="129"/>
      <c r="K641" s="129"/>
      <c r="L641" s="129"/>
      <c r="M641" s="186"/>
      <c r="N641" s="186"/>
      <c r="O641" s="128"/>
      <c r="P641" s="123" t="str">
        <f t="shared" si="256"/>
        <v/>
      </c>
    </row>
    <row r="642" spans="1:16" s="114" customFormat="1" ht="15" x14ac:dyDescent="0.25">
      <c r="A642" s="118"/>
      <c r="B642" s="117" t="s">
        <v>70</v>
      </c>
      <c r="C642" s="128"/>
      <c r="D642" s="128"/>
      <c r="E642" s="128"/>
      <c r="F642" s="128"/>
      <c r="G642" s="128"/>
      <c r="H642" s="128"/>
      <c r="I642" s="129">
        <f>'Corporate Services'!J158</f>
        <v>0</v>
      </c>
      <c r="J642" s="129"/>
      <c r="K642" s="129"/>
      <c r="L642" s="129"/>
      <c r="M642" s="186"/>
      <c r="N642" s="186"/>
      <c r="O642" s="128"/>
      <c r="P642" s="123" t="str">
        <f t="shared" si="256"/>
        <v/>
      </c>
    </row>
    <row r="643" spans="1:16" x14ac:dyDescent="0.2">
      <c r="A643" s="119"/>
      <c r="B643" s="120"/>
      <c r="C643" s="129"/>
      <c r="D643" s="129"/>
      <c r="E643" s="129"/>
      <c r="F643" s="129"/>
      <c r="G643" s="129"/>
      <c r="H643" s="129"/>
      <c r="I643" s="129">
        <f>'Corporate Services'!J159</f>
        <v>0</v>
      </c>
      <c r="J643" s="129"/>
      <c r="K643" s="129"/>
      <c r="L643" s="129"/>
      <c r="O643" s="129"/>
      <c r="P643" s="123" t="str">
        <f t="shared" si="256"/>
        <v/>
      </c>
    </row>
    <row r="644" spans="1:16" x14ac:dyDescent="0.2">
      <c r="A644" s="119" t="s">
        <v>379</v>
      </c>
      <c r="B644" s="120" t="s">
        <v>76</v>
      </c>
      <c r="C644" s="129">
        <v>-204317</v>
      </c>
      <c r="D644" s="129">
        <v>0</v>
      </c>
      <c r="E644" s="129">
        <v>0</v>
      </c>
      <c r="F644" s="129">
        <v>-70522.350000000006</v>
      </c>
      <c r="G644" s="129">
        <v>-133794.65</v>
      </c>
      <c r="H644" s="129">
        <v>34.51</v>
      </c>
      <c r="I644" s="129">
        <f>'Corporate Services'!J160</f>
        <v>0</v>
      </c>
      <c r="J644" s="129">
        <f>'Corporate Services'!K160</f>
        <v>-204317</v>
      </c>
      <c r="K644" s="129">
        <f>'Corporate Services'!L160</f>
        <v>-213511.26500000001</v>
      </c>
      <c r="L644" s="129">
        <f>'Corporate Services'!M160</f>
        <v>-223332.78319000002</v>
      </c>
      <c r="M644" s="129">
        <f>'Corporate Services'!N160</f>
        <v>-233606.09121674002</v>
      </c>
      <c r="N644" s="129">
        <f>'Corporate Services'!O160</f>
        <v>0</v>
      </c>
      <c r="O644" s="129">
        <f>'Corporate Services'!N160</f>
        <v>-233606.09121674002</v>
      </c>
      <c r="P644" s="123" t="str">
        <f t="shared" si="256"/>
        <v>385</v>
      </c>
    </row>
    <row r="645" spans="1:16" x14ac:dyDescent="0.2">
      <c r="A645" s="119"/>
      <c r="B645" s="120"/>
      <c r="C645" s="129"/>
      <c r="D645" s="129"/>
      <c r="E645" s="129"/>
      <c r="F645" s="129"/>
      <c r="G645" s="129"/>
      <c r="H645" s="129"/>
      <c r="I645" s="129">
        <f>'Corporate Services'!J161</f>
        <v>0</v>
      </c>
      <c r="J645" s="129"/>
      <c r="K645" s="129"/>
      <c r="L645" s="129"/>
      <c r="O645" s="129"/>
      <c r="P645" s="123" t="str">
        <f t="shared" si="256"/>
        <v/>
      </c>
    </row>
    <row r="646" spans="1:16" s="114" customFormat="1" ht="15" x14ac:dyDescent="0.25">
      <c r="A646" s="118"/>
      <c r="B646" s="117" t="s">
        <v>77</v>
      </c>
      <c r="C646" s="128">
        <f>SUM(C644:C645)</f>
        <v>-204317</v>
      </c>
      <c r="D646" s="128">
        <f t="shared" ref="D646:O646" si="264">SUM(D644:D645)</f>
        <v>0</v>
      </c>
      <c r="E646" s="128">
        <f t="shared" si="264"/>
        <v>0</v>
      </c>
      <c r="F646" s="128">
        <f t="shared" si="264"/>
        <v>-70522.350000000006</v>
      </c>
      <c r="G646" s="128">
        <f t="shared" si="264"/>
        <v>-133794.65</v>
      </c>
      <c r="H646" s="128">
        <f t="shared" si="264"/>
        <v>34.51</v>
      </c>
      <c r="I646" s="128">
        <f t="shared" si="264"/>
        <v>0</v>
      </c>
      <c r="J646" s="128">
        <f t="shared" si="264"/>
        <v>-204317</v>
      </c>
      <c r="K646" s="128">
        <f t="shared" si="264"/>
        <v>-213511.26500000001</v>
      </c>
      <c r="L646" s="128">
        <f t="shared" si="264"/>
        <v>-223332.78319000002</v>
      </c>
      <c r="M646" s="128">
        <f t="shared" si="264"/>
        <v>-233606.09121674002</v>
      </c>
      <c r="N646" s="128">
        <f t="shared" si="264"/>
        <v>0</v>
      </c>
      <c r="O646" s="128">
        <f t="shared" si="264"/>
        <v>-233606.09121674002</v>
      </c>
      <c r="P646" s="123" t="str">
        <f t="shared" si="256"/>
        <v/>
      </c>
    </row>
    <row r="647" spans="1:16" s="114" customFormat="1" ht="15" x14ac:dyDescent="0.25">
      <c r="A647" s="118"/>
      <c r="B647" s="117"/>
      <c r="C647" s="128"/>
      <c r="D647" s="128"/>
      <c r="E647" s="128"/>
      <c r="F647" s="128"/>
      <c r="G647" s="128"/>
      <c r="H647" s="128"/>
      <c r="I647" s="128">
        <f>'Corporate Services'!J163</f>
        <v>0</v>
      </c>
      <c r="J647" s="128"/>
      <c r="K647" s="128"/>
      <c r="L647" s="128"/>
      <c r="M647" s="186"/>
      <c r="N647" s="186"/>
      <c r="O647" s="128"/>
      <c r="P647" s="123" t="str">
        <f t="shared" ref="P647:P710" si="265">MID(A647,6,3)</f>
        <v/>
      </c>
    </row>
    <row r="648" spans="1:16" s="114" customFormat="1" ht="15" x14ac:dyDescent="0.25">
      <c r="A648" s="118"/>
      <c r="B648" s="117" t="s">
        <v>94</v>
      </c>
      <c r="C648" s="128">
        <f>C646</f>
        <v>-204317</v>
      </c>
      <c r="D648" s="128">
        <f t="shared" ref="D648:O648" si="266">D646</f>
        <v>0</v>
      </c>
      <c r="E648" s="128">
        <f t="shared" si="266"/>
        <v>0</v>
      </c>
      <c r="F648" s="128">
        <f t="shared" si="266"/>
        <v>-70522.350000000006</v>
      </c>
      <c r="G648" s="128">
        <f t="shared" si="266"/>
        <v>-133794.65</v>
      </c>
      <c r="H648" s="128">
        <f t="shared" si="266"/>
        <v>34.51</v>
      </c>
      <c r="I648" s="128">
        <f t="shared" si="266"/>
        <v>0</v>
      </c>
      <c r="J648" s="128">
        <f t="shared" si="266"/>
        <v>-204317</v>
      </c>
      <c r="K648" s="128">
        <f t="shared" si="266"/>
        <v>-213511.26500000001</v>
      </c>
      <c r="L648" s="128">
        <f t="shared" si="266"/>
        <v>-223332.78319000002</v>
      </c>
      <c r="M648" s="128">
        <f t="shared" si="266"/>
        <v>-233606.09121674002</v>
      </c>
      <c r="N648" s="128">
        <f t="shared" si="266"/>
        <v>0</v>
      </c>
      <c r="O648" s="128">
        <f t="shared" si="266"/>
        <v>-233606.09121674002</v>
      </c>
      <c r="P648" s="123" t="str">
        <f t="shared" si="265"/>
        <v/>
      </c>
    </row>
    <row r="649" spans="1:16" s="114" customFormat="1" ht="15" x14ac:dyDescent="0.25">
      <c r="A649" s="118"/>
      <c r="B649" s="117"/>
      <c r="C649" s="128"/>
      <c r="D649" s="128"/>
      <c r="E649" s="128"/>
      <c r="F649" s="128"/>
      <c r="G649" s="128"/>
      <c r="H649" s="128"/>
      <c r="I649" s="129">
        <f>'Corporate Services'!J165</f>
        <v>0</v>
      </c>
      <c r="J649" s="129"/>
      <c r="K649" s="129"/>
      <c r="L649" s="129"/>
      <c r="M649" s="186"/>
      <c r="N649" s="186"/>
      <c r="O649" s="128"/>
      <c r="P649" s="123" t="str">
        <f t="shared" si="265"/>
        <v/>
      </c>
    </row>
    <row r="650" spans="1:16" s="114" customFormat="1" ht="15" x14ac:dyDescent="0.25">
      <c r="A650" s="118"/>
      <c r="B650" s="117" t="s">
        <v>95</v>
      </c>
      <c r="C650" s="128">
        <f>C648</f>
        <v>-204317</v>
      </c>
      <c r="D650" s="128">
        <f t="shared" ref="D650:O650" si="267">D648</f>
        <v>0</v>
      </c>
      <c r="E650" s="128">
        <f t="shared" si="267"/>
        <v>0</v>
      </c>
      <c r="F650" s="128">
        <f t="shared" si="267"/>
        <v>-70522.350000000006</v>
      </c>
      <c r="G650" s="128">
        <f t="shared" si="267"/>
        <v>-133794.65</v>
      </c>
      <c r="H650" s="128">
        <f t="shared" si="267"/>
        <v>34.51</v>
      </c>
      <c r="I650" s="128">
        <f t="shared" si="267"/>
        <v>0</v>
      </c>
      <c r="J650" s="128">
        <f t="shared" si="267"/>
        <v>-204317</v>
      </c>
      <c r="K650" s="128">
        <f t="shared" si="267"/>
        <v>-213511.26500000001</v>
      </c>
      <c r="L650" s="128">
        <f t="shared" si="267"/>
        <v>-223332.78319000002</v>
      </c>
      <c r="M650" s="128">
        <f t="shared" si="267"/>
        <v>-233606.09121674002</v>
      </c>
      <c r="N650" s="128">
        <f t="shared" si="267"/>
        <v>0</v>
      </c>
      <c r="O650" s="128">
        <f t="shared" si="267"/>
        <v>-233606.09121674002</v>
      </c>
      <c r="P650" s="123" t="str">
        <f t="shared" si="265"/>
        <v/>
      </c>
    </row>
    <row r="651" spans="1:16" s="114" customFormat="1" ht="15" x14ac:dyDescent="0.25">
      <c r="A651" s="118"/>
      <c r="B651" s="117"/>
      <c r="C651" s="128"/>
      <c r="D651" s="128"/>
      <c r="E651" s="128"/>
      <c r="F651" s="128"/>
      <c r="G651" s="128"/>
      <c r="H651" s="128"/>
      <c r="I651" s="129">
        <f>'Corporate Services'!J167</f>
        <v>0</v>
      </c>
      <c r="J651" s="129"/>
      <c r="K651" s="129"/>
      <c r="L651" s="129"/>
      <c r="M651" s="186"/>
      <c r="N651" s="186"/>
      <c r="O651" s="128"/>
      <c r="P651" s="123" t="str">
        <f t="shared" si="265"/>
        <v/>
      </c>
    </row>
    <row r="652" spans="1:16" s="114" customFormat="1" ht="15" x14ac:dyDescent="0.25">
      <c r="A652" s="118"/>
      <c r="B652" s="117" t="s">
        <v>96</v>
      </c>
      <c r="C652" s="128"/>
      <c r="D652" s="128"/>
      <c r="E652" s="128"/>
      <c r="F652" s="128"/>
      <c r="G652" s="128"/>
      <c r="H652" s="128"/>
      <c r="I652" s="129">
        <f>'Corporate Services'!J168</f>
        <v>0</v>
      </c>
      <c r="J652" s="129"/>
      <c r="K652" s="129"/>
      <c r="L652" s="129"/>
      <c r="M652" s="186"/>
      <c r="N652" s="186"/>
      <c r="O652" s="128"/>
      <c r="P652" s="123" t="str">
        <f t="shared" si="265"/>
        <v/>
      </c>
    </row>
    <row r="653" spans="1:16" s="114" customFormat="1" ht="15" x14ac:dyDescent="0.25">
      <c r="A653" s="118"/>
      <c r="B653" s="117" t="s">
        <v>97</v>
      </c>
      <c r="C653" s="128"/>
      <c r="D653" s="128"/>
      <c r="E653" s="128"/>
      <c r="F653" s="128"/>
      <c r="G653" s="128"/>
      <c r="H653" s="128"/>
      <c r="I653" s="129">
        <f>'Corporate Services'!J169</f>
        <v>0</v>
      </c>
      <c r="J653" s="129"/>
      <c r="K653" s="129"/>
      <c r="L653" s="129"/>
      <c r="M653" s="186"/>
      <c r="N653" s="186"/>
      <c r="O653" s="128"/>
      <c r="P653" s="123" t="str">
        <f t="shared" si="265"/>
        <v/>
      </c>
    </row>
    <row r="654" spans="1:16" s="114" customFormat="1" ht="15" x14ac:dyDescent="0.25">
      <c r="A654" s="118"/>
      <c r="B654" s="117" t="s">
        <v>148</v>
      </c>
      <c r="C654" s="128"/>
      <c r="D654" s="128"/>
      <c r="E654" s="128"/>
      <c r="F654" s="128"/>
      <c r="G654" s="128"/>
      <c r="H654" s="128"/>
      <c r="I654" s="129">
        <f>'Corporate Services'!J170</f>
        <v>0</v>
      </c>
      <c r="J654" s="129"/>
      <c r="K654" s="129"/>
      <c r="L654" s="129"/>
      <c r="M654" s="186"/>
      <c r="N654" s="186"/>
      <c r="O654" s="128"/>
      <c r="P654" s="123" t="str">
        <f t="shared" si="265"/>
        <v/>
      </c>
    </row>
    <row r="655" spans="1:16" s="114" customFormat="1" ht="15" x14ac:dyDescent="0.25">
      <c r="A655" s="118"/>
      <c r="B655" s="117" t="s">
        <v>149</v>
      </c>
      <c r="C655" s="128"/>
      <c r="D655" s="128"/>
      <c r="E655" s="128"/>
      <c r="F655" s="128"/>
      <c r="G655" s="128"/>
      <c r="H655" s="128"/>
      <c r="I655" s="129">
        <f>'Corporate Services'!J171</f>
        <v>0</v>
      </c>
      <c r="J655" s="129"/>
      <c r="K655" s="129"/>
      <c r="L655" s="129"/>
      <c r="M655" s="186"/>
      <c r="N655" s="186"/>
      <c r="O655" s="128"/>
      <c r="P655" s="123" t="str">
        <f t="shared" si="265"/>
        <v/>
      </c>
    </row>
    <row r="656" spans="1:16" x14ac:dyDescent="0.2">
      <c r="A656" s="119"/>
      <c r="B656" s="120"/>
      <c r="C656" s="129"/>
      <c r="D656" s="129"/>
      <c r="E656" s="129"/>
      <c r="F656" s="129"/>
      <c r="G656" s="129"/>
      <c r="H656" s="129"/>
      <c r="I656" s="129">
        <f>'Corporate Services'!J172</f>
        <v>0</v>
      </c>
      <c r="J656" s="129"/>
      <c r="K656" s="129"/>
      <c r="L656" s="129"/>
      <c r="O656" s="129"/>
      <c r="P656" s="123" t="str">
        <f t="shared" si="265"/>
        <v/>
      </c>
    </row>
    <row r="657" spans="1:16" x14ac:dyDescent="0.2">
      <c r="A657" s="119" t="s">
        <v>380</v>
      </c>
      <c r="B657" s="120" t="s">
        <v>150</v>
      </c>
      <c r="C657" s="129">
        <v>1546512</v>
      </c>
      <c r="D657" s="129">
        <v>128292.72</v>
      </c>
      <c r="E657" s="129">
        <v>0</v>
      </c>
      <c r="F657" s="129">
        <v>762945.09</v>
      </c>
      <c r="G657" s="129">
        <v>783566.91</v>
      </c>
      <c r="H657" s="129">
        <v>49.33</v>
      </c>
      <c r="I657" s="129">
        <f>'Corporate Services'!J173</f>
        <v>0</v>
      </c>
      <c r="J657" s="129">
        <f>'Corporate Services'!K173</f>
        <v>1546512</v>
      </c>
      <c r="K657" s="129">
        <f>'Corporate Services'!L173</f>
        <v>1643169</v>
      </c>
      <c r="L657" s="129">
        <f>'Corporate Services'!M173</f>
        <v>1758190.83</v>
      </c>
      <c r="M657" s="129">
        <f>'Corporate Services'!N173</f>
        <v>1881264.1881000001</v>
      </c>
      <c r="N657" s="129">
        <f>'Corporate Services'!O173</f>
        <v>0</v>
      </c>
      <c r="O657" s="129">
        <f>'Corporate Services'!N173</f>
        <v>1881264.1881000001</v>
      </c>
      <c r="P657" s="123" t="str">
        <f t="shared" si="265"/>
        <v>110</v>
      </c>
    </row>
    <row r="658" spans="1:16" x14ac:dyDescent="0.2">
      <c r="A658" s="119" t="s">
        <v>381</v>
      </c>
      <c r="B658" s="120" t="s">
        <v>151</v>
      </c>
      <c r="C658" s="129">
        <v>70585</v>
      </c>
      <c r="D658" s="129">
        <v>33868.36</v>
      </c>
      <c r="E658" s="129">
        <v>0</v>
      </c>
      <c r="F658" s="129">
        <v>128290.03</v>
      </c>
      <c r="G658" s="129">
        <v>-57705.03</v>
      </c>
      <c r="H658" s="129">
        <v>181.75</v>
      </c>
      <c r="I658" s="129">
        <f>'Corporate Services'!J174</f>
        <v>-36716.639999999999</v>
      </c>
      <c r="J658" s="129">
        <f>'Corporate Services'!K174</f>
        <v>33868.36</v>
      </c>
      <c r="K658" s="129">
        <f>'Corporate Services'!L174</f>
        <v>35985.1325</v>
      </c>
      <c r="L658" s="129">
        <f>'Corporate Services'!M174</f>
        <v>38504.091775000001</v>
      </c>
      <c r="M658" s="129">
        <f>'Corporate Services'!N174</f>
        <v>41199.378199250001</v>
      </c>
      <c r="N658" s="129">
        <f>'Corporate Services'!O174</f>
        <v>0</v>
      </c>
      <c r="O658" s="129">
        <f>'Corporate Services'!N174</f>
        <v>41199.378199250001</v>
      </c>
      <c r="P658" s="123" t="str">
        <f t="shared" si="265"/>
        <v>110</v>
      </c>
    </row>
    <row r="659" spans="1:16" x14ac:dyDescent="0.2">
      <c r="A659" s="119" t="s">
        <v>382</v>
      </c>
      <c r="B659" s="120" t="s">
        <v>152</v>
      </c>
      <c r="C659" s="129">
        <v>52200</v>
      </c>
      <c r="D659" s="129">
        <v>4345.5</v>
      </c>
      <c r="E659" s="129">
        <v>0</v>
      </c>
      <c r="F659" s="129">
        <v>26073</v>
      </c>
      <c r="G659" s="129">
        <v>26127</v>
      </c>
      <c r="H659" s="129">
        <v>49.94</v>
      </c>
      <c r="I659" s="129">
        <f>'Corporate Services'!J175</f>
        <v>0</v>
      </c>
      <c r="J659" s="129">
        <f>'Corporate Services'!K175</f>
        <v>52200</v>
      </c>
      <c r="K659" s="129">
        <f>'Corporate Services'!L175</f>
        <v>55462.5</v>
      </c>
      <c r="L659" s="129">
        <f>'Corporate Services'!M175</f>
        <v>59344.875</v>
      </c>
      <c r="M659" s="129">
        <f>'Corporate Services'!N175</f>
        <v>63499.016250000001</v>
      </c>
      <c r="N659" s="129">
        <f>'Corporate Services'!O175</f>
        <v>0</v>
      </c>
      <c r="O659" s="129">
        <f>'Corporate Services'!N175</f>
        <v>63499.016250000001</v>
      </c>
      <c r="P659" s="123" t="str">
        <f t="shared" si="265"/>
        <v>110</v>
      </c>
    </row>
    <row r="660" spans="1:16" x14ac:dyDescent="0.2">
      <c r="A660" s="119" t="s">
        <v>383</v>
      </c>
      <c r="B660" s="120" t="s">
        <v>153</v>
      </c>
      <c r="C660" s="129">
        <v>10893</v>
      </c>
      <c r="D660" s="129">
        <v>907.77</v>
      </c>
      <c r="E660" s="129">
        <v>0</v>
      </c>
      <c r="F660" s="129">
        <v>5446.62</v>
      </c>
      <c r="G660" s="129">
        <v>5446.38</v>
      </c>
      <c r="H660" s="129">
        <v>50</v>
      </c>
      <c r="I660" s="129">
        <f>'Corporate Services'!J176</f>
        <v>0</v>
      </c>
      <c r="J660" s="129">
        <f>'Corporate Services'!K176</f>
        <v>10893</v>
      </c>
      <c r="K660" s="129">
        <f>'Corporate Services'!L176</f>
        <v>11573.8125</v>
      </c>
      <c r="L660" s="129">
        <f>'Corporate Services'!M176</f>
        <v>12383.979375000001</v>
      </c>
      <c r="M660" s="129">
        <f>'Corporate Services'!N176</f>
        <v>13250.857931250001</v>
      </c>
      <c r="N660" s="129">
        <f>'Corporate Services'!O176</f>
        <v>0</v>
      </c>
      <c r="O660" s="129">
        <f>'Corporate Services'!N176</f>
        <v>13250.857931250001</v>
      </c>
      <c r="P660" s="123" t="str">
        <f t="shared" si="265"/>
        <v>110</v>
      </c>
    </row>
    <row r="661" spans="1:16" x14ac:dyDescent="0.2">
      <c r="A661" s="119" t="s">
        <v>384</v>
      </c>
      <c r="B661" s="120" t="s">
        <v>155</v>
      </c>
      <c r="C661" s="129">
        <v>50125</v>
      </c>
      <c r="D661" s="129">
        <v>0</v>
      </c>
      <c r="E661" s="129">
        <v>0</v>
      </c>
      <c r="F661" s="129">
        <v>0</v>
      </c>
      <c r="G661" s="129">
        <v>50125</v>
      </c>
      <c r="H661" s="129">
        <v>0</v>
      </c>
      <c r="I661" s="129">
        <f>'Corporate Services'!J177</f>
        <v>0</v>
      </c>
      <c r="J661" s="129">
        <f>'Corporate Services'!K177</f>
        <v>50125</v>
      </c>
      <c r="K661" s="129">
        <f>'Corporate Services'!L177</f>
        <v>53257.8125</v>
      </c>
      <c r="L661" s="129">
        <f>'Corporate Services'!M177</f>
        <v>56985.859375</v>
      </c>
      <c r="M661" s="129">
        <f>'Corporate Services'!N177</f>
        <v>60974.869531249999</v>
      </c>
      <c r="N661" s="129">
        <f>'Corporate Services'!O177</f>
        <v>0</v>
      </c>
      <c r="O661" s="129">
        <f>'Corporate Services'!N177</f>
        <v>60974.869531249999</v>
      </c>
      <c r="P661" s="123" t="str">
        <f t="shared" si="265"/>
        <v>110</v>
      </c>
    </row>
    <row r="662" spans="1:16" x14ac:dyDescent="0.2">
      <c r="A662" s="119" t="s">
        <v>385</v>
      </c>
      <c r="B662" s="120" t="s">
        <v>156</v>
      </c>
      <c r="C662" s="129">
        <v>330862</v>
      </c>
      <c r="D662" s="129">
        <v>28101.08</v>
      </c>
      <c r="E662" s="129">
        <v>0</v>
      </c>
      <c r="F662" s="129">
        <v>166996.79999999999</v>
      </c>
      <c r="G662" s="129">
        <v>163865.20000000001</v>
      </c>
      <c r="H662" s="129">
        <v>50.47</v>
      </c>
      <c r="I662" s="129">
        <f>'Corporate Services'!J178</f>
        <v>0</v>
      </c>
      <c r="J662" s="129">
        <f>'Corporate Services'!K178</f>
        <v>330862</v>
      </c>
      <c r="K662" s="129">
        <f>'Corporate Services'!L178</f>
        <v>351540.875</v>
      </c>
      <c r="L662" s="129">
        <f>'Corporate Services'!M178</f>
        <v>376148.73625000002</v>
      </c>
      <c r="M662" s="129">
        <f>'Corporate Services'!N178</f>
        <v>402479.1477875</v>
      </c>
      <c r="N662" s="129">
        <f>'Corporate Services'!O178</f>
        <v>0</v>
      </c>
      <c r="O662" s="129">
        <f>'Corporate Services'!N178</f>
        <v>402479.1477875</v>
      </c>
      <c r="P662" s="123" t="str">
        <f t="shared" si="265"/>
        <v>110</v>
      </c>
    </row>
    <row r="663" spans="1:16" x14ac:dyDescent="0.2">
      <c r="A663" s="119" t="s">
        <v>386</v>
      </c>
      <c r="B663" s="120" t="s">
        <v>157</v>
      </c>
      <c r="C663" s="129">
        <v>5418</v>
      </c>
      <c r="D663" s="129">
        <v>0</v>
      </c>
      <c r="E663" s="129">
        <v>0</v>
      </c>
      <c r="F663" s="129">
        <v>0</v>
      </c>
      <c r="G663" s="129">
        <v>5418</v>
      </c>
      <c r="H663" s="129">
        <v>0</v>
      </c>
      <c r="I663" s="129">
        <f>'Corporate Services'!J179</f>
        <v>0</v>
      </c>
      <c r="J663" s="129">
        <f>'Corporate Services'!K179</f>
        <v>5418</v>
      </c>
      <c r="K663" s="129">
        <f>'Corporate Services'!L179</f>
        <v>5756.625</v>
      </c>
      <c r="L663" s="129">
        <f>'Corporate Services'!M179</f>
        <v>6159.5887499999999</v>
      </c>
      <c r="M663" s="129">
        <f>'Corporate Services'!N179</f>
        <v>6590.7599625000003</v>
      </c>
      <c r="N663" s="129">
        <f>'Corporate Services'!O179</f>
        <v>0</v>
      </c>
      <c r="O663" s="129">
        <f>'Corporate Services'!N179</f>
        <v>6590.7599625000003</v>
      </c>
      <c r="P663" s="123" t="str">
        <f t="shared" si="265"/>
        <v>110</v>
      </c>
    </row>
    <row r="664" spans="1:16" x14ac:dyDescent="0.2">
      <c r="A664" s="119" t="s">
        <v>387</v>
      </c>
      <c r="B664" s="120" t="s">
        <v>158</v>
      </c>
      <c r="C664" s="129">
        <v>11405</v>
      </c>
      <c r="D664" s="129">
        <v>-800</v>
      </c>
      <c r="E664" s="129">
        <v>0</v>
      </c>
      <c r="F664" s="129">
        <v>26999.64</v>
      </c>
      <c r="G664" s="129">
        <v>-15594.64</v>
      </c>
      <c r="H664" s="129">
        <v>236.73</v>
      </c>
      <c r="I664" s="129">
        <f>'Corporate Services'!J180</f>
        <v>30000</v>
      </c>
      <c r="J664" s="129">
        <f>'Corporate Services'!K180</f>
        <v>41405</v>
      </c>
      <c r="K664" s="129">
        <f>'Corporate Services'!L180</f>
        <v>43992.8125</v>
      </c>
      <c r="L664" s="129">
        <f>'Corporate Services'!M180</f>
        <v>47072.309374999997</v>
      </c>
      <c r="M664" s="129">
        <f>'Corporate Services'!N180</f>
        <v>50367.371031249997</v>
      </c>
      <c r="N664" s="129">
        <f>'Corporate Services'!O180</f>
        <v>0</v>
      </c>
      <c r="O664" s="129">
        <f>'Corporate Services'!N180</f>
        <v>50367.371031249997</v>
      </c>
      <c r="P664" s="123" t="str">
        <f t="shared" si="265"/>
        <v>110</v>
      </c>
    </row>
    <row r="665" spans="1:16" x14ac:dyDescent="0.2">
      <c r="A665" s="119" t="s">
        <v>388</v>
      </c>
      <c r="B665" s="120" t="s">
        <v>159</v>
      </c>
      <c r="C665" s="129">
        <v>125876</v>
      </c>
      <c r="D665" s="129">
        <v>0</v>
      </c>
      <c r="E665" s="129">
        <v>0</v>
      </c>
      <c r="F665" s="129">
        <v>0</v>
      </c>
      <c r="G665" s="129">
        <v>125876</v>
      </c>
      <c r="H665" s="129">
        <v>0</v>
      </c>
      <c r="I665" s="129">
        <f>'Corporate Services'!J181</f>
        <v>0</v>
      </c>
      <c r="J665" s="129">
        <f>'Corporate Services'!K181</f>
        <v>125876</v>
      </c>
      <c r="K665" s="129">
        <f>'Corporate Services'!L181</f>
        <v>133743.25</v>
      </c>
      <c r="L665" s="129">
        <f>'Corporate Services'!M181</f>
        <v>143105.2775</v>
      </c>
      <c r="M665" s="129">
        <f>'Corporate Services'!N181</f>
        <v>153122.64692500001</v>
      </c>
      <c r="N665" s="129">
        <f>'Corporate Services'!O181</f>
        <v>0</v>
      </c>
      <c r="O665" s="129">
        <f>'Corporate Services'!N181</f>
        <v>153122.64692500001</v>
      </c>
      <c r="P665" s="123" t="str">
        <f t="shared" si="265"/>
        <v>110</v>
      </c>
    </row>
    <row r="666" spans="1:16" x14ac:dyDescent="0.2">
      <c r="A666" s="119" t="s">
        <v>389</v>
      </c>
      <c r="B666" s="120" t="s">
        <v>164</v>
      </c>
      <c r="C666" s="129">
        <v>15692</v>
      </c>
      <c r="D666" s="129">
        <v>1307.7</v>
      </c>
      <c r="E666" s="129">
        <v>0</v>
      </c>
      <c r="F666" s="129">
        <v>7846.2</v>
      </c>
      <c r="G666" s="129">
        <v>7845.8</v>
      </c>
      <c r="H666" s="129">
        <v>50</v>
      </c>
      <c r="I666" s="129">
        <f>'Corporate Services'!J182</f>
        <v>0</v>
      </c>
      <c r="J666" s="129">
        <f>'Corporate Services'!K182</f>
        <v>15692</v>
      </c>
      <c r="K666" s="129">
        <f>'Corporate Services'!L182</f>
        <v>16672.75</v>
      </c>
      <c r="L666" s="129">
        <f>'Corporate Services'!M182</f>
        <v>17839.842499999999</v>
      </c>
      <c r="M666" s="129">
        <f>'Corporate Services'!N182</f>
        <v>19088.631474999998</v>
      </c>
      <c r="N666" s="129">
        <f>'Corporate Services'!O182</f>
        <v>0</v>
      </c>
      <c r="O666" s="129">
        <f>'Corporate Services'!N182</f>
        <v>19088.631474999998</v>
      </c>
      <c r="P666" s="123" t="str">
        <f t="shared" si="265"/>
        <v>110</v>
      </c>
    </row>
    <row r="667" spans="1:16" x14ac:dyDescent="0.2">
      <c r="A667" s="119"/>
      <c r="B667" s="120"/>
      <c r="C667" s="129"/>
      <c r="D667" s="129"/>
      <c r="E667" s="129"/>
      <c r="F667" s="129"/>
      <c r="G667" s="129"/>
      <c r="H667" s="129"/>
      <c r="I667" s="129">
        <f>'Corporate Services'!J183</f>
        <v>0</v>
      </c>
      <c r="J667" s="129"/>
      <c r="K667" s="129"/>
      <c r="L667" s="129"/>
      <c r="O667" s="129"/>
      <c r="P667" s="123" t="str">
        <f t="shared" si="265"/>
        <v/>
      </c>
    </row>
    <row r="668" spans="1:16" s="114" customFormat="1" ht="15" x14ac:dyDescent="0.25">
      <c r="A668" s="118"/>
      <c r="B668" s="117" t="s">
        <v>165</v>
      </c>
      <c r="C668" s="128">
        <f>SUM(C657:C667)</f>
        <v>2219568</v>
      </c>
      <c r="D668" s="128">
        <f t="shared" ref="D668:O668" si="268">SUM(D657:D667)</f>
        <v>196023.13</v>
      </c>
      <c r="E668" s="128">
        <f t="shared" si="268"/>
        <v>0</v>
      </c>
      <c r="F668" s="128">
        <f t="shared" si="268"/>
        <v>1124597.3799999999</v>
      </c>
      <c r="G668" s="128">
        <f t="shared" si="268"/>
        <v>1094970.6199999999</v>
      </c>
      <c r="H668" s="128">
        <f t="shared" si="268"/>
        <v>668.22</v>
      </c>
      <c r="I668" s="128">
        <f t="shared" si="268"/>
        <v>-6716.6399999999994</v>
      </c>
      <c r="J668" s="128">
        <f t="shared" si="268"/>
        <v>2212851.3600000003</v>
      </c>
      <c r="K668" s="128">
        <f t="shared" si="268"/>
        <v>2351154.5700000003</v>
      </c>
      <c r="L668" s="128">
        <f t="shared" si="268"/>
        <v>2515735.3899000003</v>
      </c>
      <c r="M668" s="128">
        <f t="shared" si="268"/>
        <v>2691836.8671930004</v>
      </c>
      <c r="N668" s="128">
        <f t="shared" si="268"/>
        <v>0</v>
      </c>
      <c r="O668" s="128">
        <f t="shared" si="268"/>
        <v>2691836.8671930004</v>
      </c>
      <c r="P668" s="123" t="str">
        <f t="shared" si="265"/>
        <v/>
      </c>
    </row>
    <row r="669" spans="1:16" s="114" customFormat="1" ht="15" x14ac:dyDescent="0.25">
      <c r="A669" s="118"/>
      <c r="B669" s="117"/>
      <c r="C669" s="128"/>
      <c r="D669" s="128"/>
      <c r="E669" s="128"/>
      <c r="F669" s="128"/>
      <c r="G669" s="128"/>
      <c r="H669" s="128"/>
      <c r="I669" s="129">
        <f>'Corporate Services'!J185</f>
        <v>0</v>
      </c>
      <c r="J669" s="129"/>
      <c r="K669" s="129"/>
      <c r="L669" s="129"/>
      <c r="M669" s="186"/>
      <c r="N669" s="186"/>
      <c r="O669" s="128"/>
      <c r="P669" s="123" t="str">
        <f t="shared" si="265"/>
        <v/>
      </c>
    </row>
    <row r="670" spans="1:16" s="114" customFormat="1" ht="15" x14ac:dyDescent="0.25">
      <c r="A670" s="118"/>
      <c r="B670" s="117" t="s">
        <v>166</v>
      </c>
      <c r="C670" s="128"/>
      <c r="D670" s="128"/>
      <c r="E670" s="128"/>
      <c r="F670" s="128"/>
      <c r="G670" s="128"/>
      <c r="H670" s="128"/>
      <c r="I670" s="129">
        <f>'Corporate Services'!J186</f>
        <v>0</v>
      </c>
      <c r="J670" s="129"/>
      <c r="K670" s="129"/>
      <c r="L670" s="129"/>
      <c r="M670" s="186"/>
      <c r="N670" s="186"/>
      <c r="O670" s="128"/>
      <c r="P670" s="123" t="str">
        <f t="shared" si="265"/>
        <v/>
      </c>
    </row>
    <row r="671" spans="1:16" x14ac:dyDescent="0.2">
      <c r="A671" s="119"/>
      <c r="B671" s="120"/>
      <c r="C671" s="129"/>
      <c r="D671" s="129"/>
      <c r="E671" s="129"/>
      <c r="F671" s="129"/>
      <c r="G671" s="129"/>
      <c r="H671" s="129"/>
      <c r="I671" s="129">
        <f>'Corporate Services'!J187</f>
        <v>0</v>
      </c>
      <c r="J671" s="129"/>
      <c r="K671" s="129"/>
      <c r="L671" s="129"/>
      <c r="O671" s="129"/>
      <c r="P671" s="123" t="str">
        <f t="shared" si="265"/>
        <v/>
      </c>
    </row>
    <row r="672" spans="1:16" x14ac:dyDescent="0.2">
      <c r="A672" s="119" t="s">
        <v>390</v>
      </c>
      <c r="B672" s="120" t="s">
        <v>167</v>
      </c>
      <c r="C672" s="129">
        <v>449</v>
      </c>
      <c r="D672" s="129">
        <v>37.28</v>
      </c>
      <c r="E672" s="129">
        <v>0</v>
      </c>
      <c r="F672" s="129">
        <v>223.68</v>
      </c>
      <c r="G672" s="129">
        <v>225.32</v>
      </c>
      <c r="H672" s="129">
        <v>49.81</v>
      </c>
      <c r="I672" s="129">
        <f>'Corporate Services'!J188</f>
        <v>0</v>
      </c>
      <c r="J672" s="129">
        <f>'Corporate Services'!K188</f>
        <v>449</v>
      </c>
      <c r="K672" s="129">
        <f>'Corporate Services'!L188</f>
        <v>477.0625</v>
      </c>
      <c r="L672" s="129">
        <f>'Corporate Services'!M188</f>
        <v>510.45687499999997</v>
      </c>
      <c r="M672" s="129">
        <f>'Corporate Services'!N188</f>
        <v>546.18885624999996</v>
      </c>
      <c r="N672" s="129">
        <f>'Corporate Services'!O188</f>
        <v>0</v>
      </c>
      <c r="O672" s="129">
        <f>'Corporate Services'!N188</f>
        <v>546.18885624999996</v>
      </c>
      <c r="P672" s="123" t="str">
        <f t="shared" si="265"/>
        <v>130</v>
      </c>
    </row>
    <row r="673" spans="1:16" x14ac:dyDescent="0.2">
      <c r="A673" s="119" t="s">
        <v>391</v>
      </c>
      <c r="B673" s="120" t="s">
        <v>168</v>
      </c>
      <c r="C673" s="129">
        <v>215633</v>
      </c>
      <c r="D673" s="129">
        <v>9751.2000000000007</v>
      </c>
      <c r="E673" s="129">
        <v>0</v>
      </c>
      <c r="F673" s="129">
        <v>57466.8</v>
      </c>
      <c r="G673" s="129">
        <v>158166.20000000001</v>
      </c>
      <c r="H673" s="129">
        <v>26.65</v>
      </c>
      <c r="I673" s="129">
        <f>'Corporate Services'!J189</f>
        <v>0</v>
      </c>
      <c r="J673" s="129">
        <f>'Corporate Services'!K189</f>
        <v>215633</v>
      </c>
      <c r="K673" s="129">
        <f>'Corporate Services'!L189</f>
        <v>229110.0625</v>
      </c>
      <c r="L673" s="129">
        <f>'Corporate Services'!M189</f>
        <v>245147.766875</v>
      </c>
      <c r="M673" s="129">
        <f>'Corporate Services'!N189</f>
        <v>262308.11055624997</v>
      </c>
      <c r="N673" s="129">
        <f>'Corporate Services'!O189</f>
        <v>0</v>
      </c>
      <c r="O673" s="129">
        <f>'Corporate Services'!N189</f>
        <v>262308.11055624997</v>
      </c>
      <c r="P673" s="123" t="str">
        <f t="shared" si="265"/>
        <v>130</v>
      </c>
    </row>
    <row r="674" spans="1:16" x14ac:dyDescent="0.2">
      <c r="A674" s="119" t="s">
        <v>392</v>
      </c>
      <c r="B674" s="120" t="s">
        <v>169</v>
      </c>
      <c r="C674" s="129">
        <v>332313</v>
      </c>
      <c r="D674" s="129">
        <v>24387.23</v>
      </c>
      <c r="E674" s="129">
        <v>0</v>
      </c>
      <c r="F674" s="129">
        <v>144975.98000000001</v>
      </c>
      <c r="G674" s="129">
        <v>187337.02</v>
      </c>
      <c r="H674" s="129">
        <v>43.62</v>
      </c>
      <c r="I674" s="129">
        <f>'Corporate Services'!J190</f>
        <v>0</v>
      </c>
      <c r="J674" s="129">
        <f>'Corporate Services'!K190</f>
        <v>332313</v>
      </c>
      <c r="K674" s="129">
        <f>'Corporate Services'!L190</f>
        <v>353082.5625</v>
      </c>
      <c r="L674" s="129">
        <f>'Corporate Services'!M190</f>
        <v>377798.34187499998</v>
      </c>
      <c r="M674" s="129">
        <f>'Corporate Services'!N190</f>
        <v>404244.22580625</v>
      </c>
      <c r="N674" s="129">
        <f>'Corporate Services'!O190</f>
        <v>0</v>
      </c>
      <c r="O674" s="129">
        <f>'Corporate Services'!N190</f>
        <v>404244.22580625</v>
      </c>
      <c r="P674" s="123" t="str">
        <f t="shared" si="265"/>
        <v>130</v>
      </c>
    </row>
    <row r="675" spans="1:16" x14ac:dyDescent="0.2">
      <c r="A675" s="119" t="s">
        <v>393</v>
      </c>
      <c r="B675" s="120" t="s">
        <v>170</v>
      </c>
      <c r="C675" s="129">
        <v>7140</v>
      </c>
      <c r="D675" s="129">
        <v>594.88</v>
      </c>
      <c r="E675" s="129">
        <v>0</v>
      </c>
      <c r="F675" s="129">
        <v>3569.28</v>
      </c>
      <c r="G675" s="129">
        <v>3570.72</v>
      </c>
      <c r="H675" s="129">
        <v>49.98</v>
      </c>
      <c r="I675" s="129">
        <f>'Corporate Services'!J191</f>
        <v>0</v>
      </c>
      <c r="J675" s="129">
        <f>'Corporate Services'!K191</f>
        <v>7140</v>
      </c>
      <c r="K675" s="129">
        <f>'Corporate Services'!L191</f>
        <v>7586.25</v>
      </c>
      <c r="L675" s="129">
        <f>'Corporate Services'!M191</f>
        <v>8117.2875000000004</v>
      </c>
      <c r="M675" s="129">
        <f>'Corporate Services'!N191</f>
        <v>8685.497625</v>
      </c>
      <c r="N675" s="129">
        <f>'Corporate Services'!O191</f>
        <v>0</v>
      </c>
      <c r="O675" s="129">
        <f>'Corporate Services'!N191</f>
        <v>8685.497625</v>
      </c>
      <c r="P675" s="123" t="str">
        <f t="shared" si="265"/>
        <v>130</v>
      </c>
    </row>
    <row r="676" spans="1:16" x14ac:dyDescent="0.2">
      <c r="A676" s="119"/>
      <c r="B676" s="120"/>
      <c r="C676" s="129"/>
      <c r="D676" s="129"/>
      <c r="E676" s="129"/>
      <c r="F676" s="129"/>
      <c r="G676" s="129"/>
      <c r="H676" s="129"/>
      <c r="I676" s="129">
        <f>'Corporate Services'!J192</f>
        <v>0</v>
      </c>
      <c r="J676" s="129"/>
      <c r="K676" s="129"/>
      <c r="L676" s="129"/>
      <c r="O676" s="129"/>
      <c r="P676" s="123" t="str">
        <f t="shared" si="265"/>
        <v/>
      </c>
    </row>
    <row r="677" spans="1:16" s="114" customFormat="1" ht="15" x14ac:dyDescent="0.25">
      <c r="A677" s="118"/>
      <c r="B677" s="117" t="s">
        <v>171</v>
      </c>
      <c r="C677" s="128">
        <f>SUM(C672:C676)</f>
        <v>555535</v>
      </c>
      <c r="D677" s="128">
        <f t="shared" ref="D677:O677" si="269">SUM(D672:D676)</f>
        <v>34770.589999999997</v>
      </c>
      <c r="E677" s="128">
        <f t="shared" si="269"/>
        <v>0</v>
      </c>
      <c r="F677" s="128">
        <f t="shared" si="269"/>
        <v>206235.74000000002</v>
      </c>
      <c r="G677" s="128">
        <f t="shared" si="269"/>
        <v>349299.26</v>
      </c>
      <c r="H677" s="128">
        <f t="shared" si="269"/>
        <v>170.06</v>
      </c>
      <c r="I677" s="128">
        <f t="shared" si="269"/>
        <v>0</v>
      </c>
      <c r="J677" s="128">
        <f t="shared" si="269"/>
        <v>555535</v>
      </c>
      <c r="K677" s="128">
        <f t="shared" si="269"/>
        <v>590255.9375</v>
      </c>
      <c r="L677" s="128">
        <f t="shared" si="269"/>
        <v>631573.85312500002</v>
      </c>
      <c r="M677" s="128">
        <f t="shared" si="269"/>
        <v>675784.02284374996</v>
      </c>
      <c r="N677" s="128">
        <f t="shared" si="269"/>
        <v>0</v>
      </c>
      <c r="O677" s="128">
        <f t="shared" si="269"/>
        <v>675784.02284374996</v>
      </c>
      <c r="P677" s="123" t="str">
        <f t="shared" si="265"/>
        <v/>
      </c>
    </row>
    <row r="678" spans="1:16" s="114" customFormat="1" ht="15" x14ac:dyDescent="0.25">
      <c r="A678" s="118"/>
      <c r="B678" s="117"/>
      <c r="C678" s="128"/>
      <c r="D678" s="128"/>
      <c r="E678" s="128"/>
      <c r="F678" s="128"/>
      <c r="G678" s="128"/>
      <c r="H678" s="128"/>
      <c r="I678" s="129">
        <f>'Corporate Services'!J194</f>
        <v>0</v>
      </c>
      <c r="J678" s="129"/>
      <c r="K678" s="129"/>
      <c r="L678" s="129"/>
      <c r="M678" s="186"/>
      <c r="N678" s="186"/>
      <c r="O678" s="128"/>
      <c r="P678" s="123" t="str">
        <f t="shared" si="265"/>
        <v/>
      </c>
    </row>
    <row r="679" spans="1:16" s="114" customFormat="1" ht="15" x14ac:dyDescent="0.25">
      <c r="A679" s="118"/>
      <c r="B679" s="117" t="s">
        <v>172</v>
      </c>
      <c r="C679" s="128"/>
      <c r="D679" s="128"/>
      <c r="E679" s="128"/>
      <c r="F679" s="128"/>
      <c r="G679" s="128"/>
      <c r="H679" s="128"/>
      <c r="I679" s="129">
        <f>'Corporate Services'!J195</f>
        <v>0</v>
      </c>
      <c r="J679" s="129"/>
      <c r="K679" s="129"/>
      <c r="L679" s="129"/>
      <c r="M679" s="186"/>
      <c r="N679" s="186"/>
      <c r="O679" s="128"/>
      <c r="P679" s="123" t="str">
        <f t="shared" si="265"/>
        <v/>
      </c>
    </row>
    <row r="680" spans="1:16" s="114" customFormat="1" ht="15" x14ac:dyDescent="0.25">
      <c r="A680" s="118"/>
      <c r="B680" s="117"/>
      <c r="C680" s="128"/>
      <c r="D680" s="128"/>
      <c r="E680" s="128"/>
      <c r="F680" s="128"/>
      <c r="G680" s="128"/>
      <c r="H680" s="128"/>
      <c r="I680" s="129">
        <f>'Corporate Services'!J196</f>
        <v>0</v>
      </c>
      <c r="J680" s="129"/>
      <c r="K680" s="129"/>
      <c r="L680" s="129"/>
      <c r="M680" s="186"/>
      <c r="N680" s="186"/>
      <c r="O680" s="128"/>
      <c r="P680" s="123" t="str">
        <f t="shared" si="265"/>
        <v/>
      </c>
    </row>
    <row r="681" spans="1:16" x14ac:dyDescent="0.2">
      <c r="A681" s="119" t="s">
        <v>394</v>
      </c>
      <c r="B681" s="120" t="s">
        <v>173</v>
      </c>
      <c r="C681" s="129">
        <v>8010</v>
      </c>
      <c r="D681" s="129">
        <v>0</v>
      </c>
      <c r="E681" s="129">
        <v>0</v>
      </c>
      <c r="F681" s="129">
        <v>0</v>
      </c>
      <c r="G681" s="129">
        <v>8010</v>
      </c>
      <c r="H681" s="129">
        <v>0</v>
      </c>
      <c r="I681" s="129">
        <f>'Corporate Services'!J197</f>
        <v>0</v>
      </c>
      <c r="J681" s="129">
        <f>'Corporate Services'!K197</f>
        <v>8010</v>
      </c>
      <c r="K681" s="129">
        <f>'Corporate Services'!L197</f>
        <v>8510.625</v>
      </c>
      <c r="L681" s="129">
        <f>'Corporate Services'!M197</f>
        <v>9106.3687499999996</v>
      </c>
      <c r="M681" s="129">
        <f>'Corporate Services'!N197</f>
        <v>9743.8145624999997</v>
      </c>
      <c r="N681" s="129">
        <f>'Corporate Services'!O197</f>
        <v>0</v>
      </c>
      <c r="O681" s="129">
        <f>'Corporate Services'!N197</f>
        <v>9743.8145624999997</v>
      </c>
      <c r="P681" s="123" t="str">
        <f t="shared" si="265"/>
        <v>140</v>
      </c>
    </row>
    <row r="682" spans="1:16" x14ac:dyDescent="0.2">
      <c r="A682" s="119" t="s">
        <v>395</v>
      </c>
      <c r="B682" s="120" t="s">
        <v>174</v>
      </c>
      <c r="C682" s="129">
        <v>9043</v>
      </c>
      <c r="D682" s="129">
        <v>0</v>
      </c>
      <c r="E682" s="129">
        <v>0</v>
      </c>
      <c r="F682" s="129">
        <v>0</v>
      </c>
      <c r="G682" s="129">
        <v>9043</v>
      </c>
      <c r="H682" s="129">
        <v>0</v>
      </c>
      <c r="I682" s="129">
        <f>'Corporate Services'!J198</f>
        <v>0</v>
      </c>
      <c r="J682" s="129">
        <f>'Corporate Services'!K198</f>
        <v>9043</v>
      </c>
      <c r="K682" s="129">
        <f>'Corporate Services'!L198</f>
        <v>9608.1875</v>
      </c>
      <c r="L682" s="129">
        <f>'Corporate Services'!M198</f>
        <v>10280.760625000001</v>
      </c>
      <c r="M682" s="129">
        <f>'Corporate Services'!N198</f>
        <v>11000.413868750002</v>
      </c>
      <c r="N682" s="129">
        <f>'Corporate Services'!O198</f>
        <v>0</v>
      </c>
      <c r="O682" s="129">
        <f>'Corporate Services'!N198</f>
        <v>11000.413868750002</v>
      </c>
      <c r="P682" s="123" t="str">
        <f t="shared" si="265"/>
        <v>140</v>
      </c>
    </row>
    <row r="683" spans="1:16" x14ac:dyDescent="0.2">
      <c r="A683" s="119" t="s">
        <v>396</v>
      </c>
      <c r="B683" s="120" t="s">
        <v>175</v>
      </c>
      <c r="C683" s="129">
        <v>14441</v>
      </c>
      <c r="D683" s="129">
        <v>0</v>
      </c>
      <c r="E683" s="129">
        <v>0</v>
      </c>
      <c r="F683" s="129">
        <v>0</v>
      </c>
      <c r="G683" s="129">
        <v>14441</v>
      </c>
      <c r="H683" s="129">
        <v>0</v>
      </c>
      <c r="I683" s="129">
        <f>'Corporate Services'!J199</f>
        <v>0</v>
      </c>
      <c r="J683" s="129">
        <f>'Corporate Services'!K199</f>
        <v>14441</v>
      </c>
      <c r="K683" s="129">
        <f>'Corporate Services'!L199</f>
        <v>15343.5625</v>
      </c>
      <c r="L683" s="129">
        <f>'Corporate Services'!M199</f>
        <v>16417.611874999999</v>
      </c>
      <c r="M683" s="129">
        <f>'Corporate Services'!N199</f>
        <v>17566.844706249998</v>
      </c>
      <c r="N683" s="129">
        <f>'Corporate Services'!O199</f>
        <v>0</v>
      </c>
      <c r="O683" s="129">
        <f>'Corporate Services'!N199</f>
        <v>17566.844706249998</v>
      </c>
      <c r="P683" s="123" t="str">
        <f t="shared" si="265"/>
        <v>142</v>
      </c>
    </row>
    <row r="684" spans="1:16" x14ac:dyDescent="0.2">
      <c r="A684" s="119"/>
      <c r="B684" s="120"/>
      <c r="C684" s="129"/>
      <c r="D684" s="129"/>
      <c r="E684" s="129"/>
      <c r="F684" s="129"/>
      <c r="G684" s="129"/>
      <c r="H684" s="129"/>
      <c r="I684" s="129">
        <f>'Corporate Services'!J200</f>
        <v>0</v>
      </c>
      <c r="J684" s="129"/>
      <c r="K684" s="129"/>
      <c r="L684" s="129"/>
      <c r="O684" s="129"/>
      <c r="P684" s="123" t="str">
        <f t="shared" si="265"/>
        <v/>
      </c>
    </row>
    <row r="685" spans="1:16" s="114" customFormat="1" ht="15" x14ac:dyDescent="0.25">
      <c r="A685" s="118"/>
      <c r="B685" s="117" t="s">
        <v>176</v>
      </c>
      <c r="C685" s="128">
        <f>SUM(C681:C684)</f>
        <v>31494</v>
      </c>
      <c r="D685" s="128">
        <f t="shared" ref="D685:O685" si="270">SUM(D681:D684)</f>
        <v>0</v>
      </c>
      <c r="E685" s="128">
        <f t="shared" si="270"/>
        <v>0</v>
      </c>
      <c r="F685" s="128">
        <f t="shared" si="270"/>
        <v>0</v>
      </c>
      <c r="G685" s="128">
        <f t="shared" si="270"/>
        <v>31494</v>
      </c>
      <c r="H685" s="128">
        <f t="shared" si="270"/>
        <v>0</v>
      </c>
      <c r="I685" s="128">
        <f t="shared" si="270"/>
        <v>0</v>
      </c>
      <c r="J685" s="128">
        <f t="shared" si="270"/>
        <v>31494</v>
      </c>
      <c r="K685" s="128">
        <f t="shared" si="270"/>
        <v>33462.375</v>
      </c>
      <c r="L685" s="128">
        <f t="shared" si="270"/>
        <v>35804.741249999999</v>
      </c>
      <c r="M685" s="128">
        <f t="shared" si="270"/>
        <v>38311.073137500003</v>
      </c>
      <c r="N685" s="128">
        <f t="shared" si="270"/>
        <v>0</v>
      </c>
      <c r="O685" s="128">
        <f t="shared" si="270"/>
        <v>38311.073137500003</v>
      </c>
      <c r="P685" s="123" t="str">
        <f t="shared" si="265"/>
        <v/>
      </c>
    </row>
    <row r="686" spans="1:16" s="114" customFormat="1" ht="15" x14ac:dyDescent="0.25">
      <c r="A686" s="118"/>
      <c r="B686" s="117"/>
      <c r="C686" s="128"/>
      <c r="D686" s="128"/>
      <c r="E686" s="128"/>
      <c r="F686" s="128"/>
      <c r="G686" s="128"/>
      <c r="H686" s="128"/>
      <c r="I686" s="128">
        <f>'Corporate Services'!J202</f>
        <v>0</v>
      </c>
      <c r="J686" s="128"/>
      <c r="K686" s="128"/>
      <c r="L686" s="128"/>
      <c r="M686" s="186"/>
      <c r="N686" s="186"/>
      <c r="O686" s="128"/>
      <c r="P686" s="123" t="str">
        <f t="shared" si="265"/>
        <v/>
      </c>
    </row>
    <row r="687" spans="1:16" s="114" customFormat="1" ht="15" x14ac:dyDescent="0.25">
      <c r="A687" s="118"/>
      <c r="B687" s="117" t="s">
        <v>177</v>
      </c>
      <c r="C687" s="128">
        <f>C668+C677+C685</f>
        <v>2806597</v>
      </c>
      <c r="D687" s="128">
        <f t="shared" ref="D687:O687" si="271">D668+D677+D685</f>
        <v>230793.72</v>
      </c>
      <c r="E687" s="128">
        <f t="shared" si="271"/>
        <v>0</v>
      </c>
      <c r="F687" s="128">
        <f t="shared" si="271"/>
        <v>1330833.1199999999</v>
      </c>
      <c r="G687" s="128">
        <f t="shared" si="271"/>
        <v>1475763.88</v>
      </c>
      <c r="H687" s="128">
        <f t="shared" si="271"/>
        <v>838.28</v>
      </c>
      <c r="I687" s="128">
        <f t="shared" si="271"/>
        <v>-6716.6399999999994</v>
      </c>
      <c r="J687" s="128">
        <f t="shared" si="271"/>
        <v>2799880.3600000003</v>
      </c>
      <c r="K687" s="128">
        <f t="shared" si="271"/>
        <v>2974872.8825000003</v>
      </c>
      <c r="L687" s="128">
        <f t="shared" si="271"/>
        <v>3183113.9842750002</v>
      </c>
      <c r="M687" s="128">
        <f t="shared" si="271"/>
        <v>3405931.9631742504</v>
      </c>
      <c r="N687" s="128">
        <f t="shared" si="271"/>
        <v>0</v>
      </c>
      <c r="O687" s="128">
        <f t="shared" si="271"/>
        <v>3405931.9631742504</v>
      </c>
      <c r="P687" s="123" t="str">
        <f t="shared" si="265"/>
        <v/>
      </c>
    </row>
    <row r="688" spans="1:16" s="114" customFormat="1" ht="15" x14ac:dyDescent="0.25">
      <c r="A688" s="118"/>
      <c r="B688" s="117"/>
      <c r="C688" s="128"/>
      <c r="D688" s="128"/>
      <c r="E688" s="128"/>
      <c r="F688" s="128"/>
      <c r="G688" s="128"/>
      <c r="H688" s="128"/>
      <c r="I688" s="128">
        <f>'Corporate Services'!J204</f>
        <v>0</v>
      </c>
      <c r="J688" s="128"/>
      <c r="K688" s="128"/>
      <c r="L688" s="128"/>
      <c r="M688" s="186"/>
      <c r="N688" s="186"/>
      <c r="O688" s="128"/>
      <c r="P688" s="123" t="str">
        <f t="shared" si="265"/>
        <v/>
      </c>
    </row>
    <row r="689" spans="1:16" s="114" customFormat="1" ht="15" x14ac:dyDescent="0.25">
      <c r="A689" s="118"/>
      <c r="B689" s="117" t="s">
        <v>178</v>
      </c>
      <c r="C689" s="128">
        <f>C687</f>
        <v>2806597</v>
      </c>
      <c r="D689" s="128">
        <f t="shared" ref="D689:O689" si="272">D687</f>
        <v>230793.72</v>
      </c>
      <c r="E689" s="128">
        <f t="shared" si="272"/>
        <v>0</v>
      </c>
      <c r="F689" s="128">
        <f t="shared" si="272"/>
        <v>1330833.1199999999</v>
      </c>
      <c r="G689" s="128">
        <f t="shared" si="272"/>
        <v>1475763.88</v>
      </c>
      <c r="H689" s="128">
        <f t="shared" si="272"/>
        <v>838.28</v>
      </c>
      <c r="I689" s="128">
        <f t="shared" si="272"/>
        <v>-6716.6399999999994</v>
      </c>
      <c r="J689" s="128">
        <f t="shared" si="272"/>
        <v>2799880.3600000003</v>
      </c>
      <c r="K689" s="128">
        <f t="shared" si="272"/>
        <v>2974872.8825000003</v>
      </c>
      <c r="L689" s="128">
        <f t="shared" si="272"/>
        <v>3183113.9842750002</v>
      </c>
      <c r="M689" s="128">
        <f t="shared" si="272"/>
        <v>3405931.9631742504</v>
      </c>
      <c r="N689" s="128">
        <f t="shared" si="272"/>
        <v>0</v>
      </c>
      <c r="O689" s="128">
        <f t="shared" si="272"/>
        <v>3405931.9631742504</v>
      </c>
      <c r="P689" s="123" t="str">
        <f t="shared" si="265"/>
        <v/>
      </c>
    </row>
    <row r="690" spans="1:16" s="114" customFormat="1" ht="15" x14ac:dyDescent="0.25">
      <c r="A690" s="118"/>
      <c r="B690" s="117"/>
      <c r="C690" s="128"/>
      <c r="D690" s="128"/>
      <c r="E690" s="128"/>
      <c r="F690" s="128"/>
      <c r="G690" s="128"/>
      <c r="H690" s="128"/>
      <c r="I690" s="129">
        <f>'Corporate Services'!J206</f>
        <v>0</v>
      </c>
      <c r="J690" s="129"/>
      <c r="K690" s="129"/>
      <c r="L690" s="129"/>
      <c r="M690" s="186"/>
      <c r="N690" s="186"/>
      <c r="O690" s="128"/>
      <c r="P690" s="123" t="str">
        <f t="shared" si="265"/>
        <v/>
      </c>
    </row>
    <row r="691" spans="1:16" s="114" customFormat="1" ht="15" x14ac:dyDescent="0.25">
      <c r="A691" s="118"/>
      <c r="B691" s="117" t="s">
        <v>208</v>
      </c>
      <c r="C691" s="128"/>
      <c r="D691" s="128"/>
      <c r="E691" s="128"/>
      <c r="F691" s="128"/>
      <c r="G691" s="128"/>
      <c r="H691" s="128"/>
      <c r="I691" s="129">
        <f>'Corporate Services'!J207</f>
        <v>0</v>
      </c>
      <c r="J691" s="129"/>
      <c r="K691" s="129"/>
      <c r="L691" s="129"/>
      <c r="M691" s="186"/>
      <c r="N691" s="186"/>
      <c r="O691" s="128"/>
      <c r="P691" s="123" t="str">
        <f t="shared" si="265"/>
        <v/>
      </c>
    </row>
    <row r="692" spans="1:16" x14ac:dyDescent="0.2">
      <c r="A692" s="119"/>
      <c r="B692" s="120"/>
      <c r="C692" s="129"/>
      <c r="D692" s="129"/>
      <c r="E692" s="129"/>
      <c r="F692" s="129"/>
      <c r="G692" s="129"/>
      <c r="H692" s="129"/>
      <c r="I692" s="129">
        <f>'Corporate Services'!J208</f>
        <v>0</v>
      </c>
      <c r="J692" s="129"/>
      <c r="K692" s="129"/>
      <c r="L692" s="129"/>
      <c r="O692" s="129"/>
      <c r="P692" s="123" t="str">
        <f t="shared" si="265"/>
        <v/>
      </c>
    </row>
    <row r="693" spans="1:16" s="114" customFormat="1" ht="15" x14ac:dyDescent="0.25">
      <c r="A693" s="118"/>
      <c r="B693" s="117" t="s">
        <v>209</v>
      </c>
      <c r="C693" s="128"/>
      <c r="D693" s="128"/>
      <c r="E693" s="128"/>
      <c r="F693" s="128"/>
      <c r="G693" s="128"/>
      <c r="H693" s="128"/>
      <c r="I693" s="129">
        <f>'Corporate Services'!J209</f>
        <v>0</v>
      </c>
      <c r="J693" s="129"/>
      <c r="K693" s="129"/>
      <c r="L693" s="129"/>
      <c r="M693" s="186"/>
      <c r="N693" s="186"/>
      <c r="O693" s="128"/>
      <c r="P693" s="123" t="str">
        <f t="shared" si="265"/>
        <v/>
      </c>
    </row>
    <row r="694" spans="1:16" x14ac:dyDescent="0.2">
      <c r="A694" s="119"/>
      <c r="B694" s="120"/>
      <c r="C694" s="129"/>
      <c r="D694" s="129"/>
      <c r="E694" s="129"/>
      <c r="F694" s="129"/>
      <c r="G694" s="129"/>
      <c r="H694" s="129"/>
      <c r="I694" s="129">
        <f>'Corporate Services'!J210</f>
        <v>0</v>
      </c>
      <c r="J694" s="129"/>
      <c r="K694" s="129"/>
      <c r="L694" s="129"/>
      <c r="O694" s="129"/>
      <c r="P694" s="123" t="str">
        <f t="shared" si="265"/>
        <v/>
      </c>
    </row>
    <row r="695" spans="1:16" x14ac:dyDescent="0.2">
      <c r="A695" s="119" t="s">
        <v>397</v>
      </c>
      <c r="B695" s="120" t="s">
        <v>211</v>
      </c>
      <c r="C695" s="129">
        <v>1000000</v>
      </c>
      <c r="D695" s="129">
        <v>406934.52</v>
      </c>
      <c r="E695" s="129">
        <v>0</v>
      </c>
      <c r="F695" s="129">
        <v>1406934.52</v>
      </c>
      <c r="G695" s="129">
        <v>-406934.52</v>
      </c>
      <c r="H695" s="129">
        <v>140.69</v>
      </c>
      <c r="I695" s="129">
        <f>'Corporate Services'!J211</f>
        <v>1000000</v>
      </c>
      <c r="J695" s="129">
        <f>'Corporate Services'!K211</f>
        <v>2000000</v>
      </c>
      <c r="K695" s="129">
        <f>'Corporate Services'!L211</f>
        <v>400000</v>
      </c>
      <c r="L695" s="129">
        <f>'Corporate Services'!M211</f>
        <v>418400</v>
      </c>
      <c r="M695" s="129">
        <f>'Corporate Services'!N211</f>
        <v>437646.4</v>
      </c>
      <c r="N695" s="129">
        <f>'Corporate Services'!O211</f>
        <v>0</v>
      </c>
      <c r="O695" s="129">
        <f>'Corporate Services'!N211</f>
        <v>437646.4</v>
      </c>
      <c r="P695" s="123" t="str">
        <f t="shared" si="265"/>
        <v>260</v>
      </c>
    </row>
    <row r="696" spans="1:16" x14ac:dyDescent="0.2">
      <c r="A696" s="119" t="s">
        <v>398</v>
      </c>
      <c r="B696" s="120" t="s">
        <v>211</v>
      </c>
      <c r="C696" s="129">
        <v>117299</v>
      </c>
      <c r="D696" s="129">
        <v>0</v>
      </c>
      <c r="E696" s="129">
        <v>0</v>
      </c>
      <c r="F696" s="129">
        <v>0</v>
      </c>
      <c r="G696" s="129">
        <v>117299</v>
      </c>
      <c r="H696" s="129">
        <v>0</v>
      </c>
      <c r="I696" s="129">
        <f>'Corporate Services'!J212</f>
        <v>0</v>
      </c>
      <c r="J696" s="129">
        <f>'Corporate Services'!K212</f>
        <v>117299</v>
      </c>
      <c r="K696" s="129">
        <f>'Corporate Services'!L212</f>
        <v>122577.455</v>
      </c>
      <c r="L696" s="129">
        <f>'Corporate Services'!M212</f>
        <v>128216.01793</v>
      </c>
      <c r="M696" s="129">
        <f>'Corporate Services'!N212</f>
        <v>134113.95475477999</v>
      </c>
      <c r="N696" s="129">
        <f>'Corporate Services'!O212</f>
        <v>0</v>
      </c>
      <c r="O696" s="129">
        <f>'Corporate Services'!N212</f>
        <v>134113.95475477999</v>
      </c>
      <c r="P696" s="123" t="str">
        <f t="shared" si="265"/>
        <v>260</v>
      </c>
    </row>
    <row r="697" spans="1:16" x14ac:dyDescent="0.2">
      <c r="A697" s="119"/>
      <c r="B697" s="120"/>
      <c r="C697" s="129"/>
      <c r="D697" s="129"/>
      <c r="E697" s="129"/>
      <c r="F697" s="129"/>
      <c r="G697" s="129"/>
      <c r="H697" s="129"/>
      <c r="I697" s="129">
        <f>'Corporate Services'!J213</f>
        <v>0</v>
      </c>
      <c r="J697" s="129"/>
      <c r="K697" s="129"/>
      <c r="L697" s="129"/>
      <c r="O697" s="129"/>
      <c r="P697" s="123" t="str">
        <f t="shared" si="265"/>
        <v/>
      </c>
    </row>
    <row r="698" spans="1:16" s="114" customFormat="1" ht="15" x14ac:dyDescent="0.25">
      <c r="A698" s="118"/>
      <c r="B698" s="117" t="s">
        <v>217</v>
      </c>
      <c r="C698" s="128">
        <f>SUM(C695:C697)</f>
        <v>1117299</v>
      </c>
      <c r="D698" s="128">
        <f t="shared" ref="D698:O698" si="273">SUM(D695:D697)</f>
        <v>406934.52</v>
      </c>
      <c r="E698" s="128">
        <f t="shared" si="273"/>
        <v>0</v>
      </c>
      <c r="F698" s="128">
        <f t="shared" si="273"/>
        <v>1406934.52</v>
      </c>
      <c r="G698" s="128">
        <f t="shared" si="273"/>
        <v>-289635.52</v>
      </c>
      <c r="H698" s="128">
        <f t="shared" si="273"/>
        <v>140.69</v>
      </c>
      <c r="I698" s="128">
        <f t="shared" si="273"/>
        <v>1000000</v>
      </c>
      <c r="J698" s="128">
        <f t="shared" si="273"/>
        <v>2117299</v>
      </c>
      <c r="K698" s="128">
        <f t="shared" si="273"/>
        <v>522577.45500000002</v>
      </c>
      <c r="L698" s="128">
        <f t="shared" si="273"/>
        <v>546616.01792999997</v>
      </c>
      <c r="M698" s="128">
        <f t="shared" si="273"/>
        <v>571760.35475477995</v>
      </c>
      <c r="N698" s="128">
        <f t="shared" si="273"/>
        <v>0</v>
      </c>
      <c r="O698" s="128">
        <f t="shared" si="273"/>
        <v>571760.35475477995</v>
      </c>
      <c r="P698" s="123" t="str">
        <f t="shared" si="265"/>
        <v/>
      </c>
    </row>
    <row r="699" spans="1:16" s="114" customFormat="1" ht="15" x14ac:dyDescent="0.25">
      <c r="A699" s="118"/>
      <c r="B699" s="117"/>
      <c r="C699" s="128"/>
      <c r="D699" s="128"/>
      <c r="E699" s="128"/>
      <c r="F699" s="128"/>
      <c r="G699" s="128"/>
      <c r="H699" s="128"/>
      <c r="I699" s="129">
        <f>'Corporate Services'!J215</f>
        <v>0</v>
      </c>
      <c r="J699" s="129"/>
      <c r="K699" s="129"/>
      <c r="L699" s="129"/>
      <c r="M699" s="186"/>
      <c r="N699" s="186"/>
      <c r="O699" s="128"/>
      <c r="P699" s="123" t="str">
        <f t="shared" si="265"/>
        <v/>
      </c>
    </row>
    <row r="700" spans="1:16" s="114" customFormat="1" ht="15" x14ac:dyDescent="0.25">
      <c r="A700" s="118"/>
      <c r="B700" s="117" t="s">
        <v>228</v>
      </c>
      <c r="C700" s="128"/>
      <c r="D700" s="128"/>
      <c r="E700" s="128"/>
      <c r="F700" s="128"/>
      <c r="G700" s="128"/>
      <c r="H700" s="128"/>
      <c r="I700" s="129">
        <f>'Corporate Services'!J216</f>
        <v>0</v>
      </c>
      <c r="J700" s="129"/>
      <c r="K700" s="129"/>
      <c r="L700" s="129"/>
      <c r="M700" s="186"/>
      <c r="N700" s="186"/>
      <c r="O700" s="128"/>
      <c r="P700" s="123" t="str">
        <f t="shared" si="265"/>
        <v/>
      </c>
    </row>
    <row r="701" spans="1:16" x14ac:dyDescent="0.2">
      <c r="A701" s="119"/>
      <c r="B701" s="120"/>
      <c r="C701" s="129"/>
      <c r="D701" s="129"/>
      <c r="E701" s="129"/>
      <c r="F701" s="129"/>
      <c r="G701" s="129"/>
      <c r="H701" s="129"/>
      <c r="I701" s="129">
        <f>'Corporate Services'!J217</f>
        <v>0</v>
      </c>
      <c r="J701" s="129"/>
      <c r="K701" s="129"/>
      <c r="L701" s="129"/>
      <c r="O701" s="129"/>
      <c r="P701" s="123" t="str">
        <f t="shared" si="265"/>
        <v/>
      </c>
    </row>
    <row r="702" spans="1:16" x14ac:dyDescent="0.2">
      <c r="A702" s="119" t="s">
        <v>399</v>
      </c>
      <c r="B702" s="120" t="s">
        <v>230</v>
      </c>
      <c r="C702" s="129">
        <v>400000</v>
      </c>
      <c r="D702" s="129">
        <v>0</v>
      </c>
      <c r="E702" s="129">
        <v>152176</v>
      </c>
      <c r="F702" s="129">
        <v>238006.39999999999</v>
      </c>
      <c r="G702" s="129">
        <v>161993.60000000001</v>
      </c>
      <c r="H702" s="129">
        <v>59.5</v>
      </c>
      <c r="I702" s="129">
        <f>'Corporate Services'!J218</f>
        <v>150000</v>
      </c>
      <c r="J702" s="129">
        <f>'Corporate Services'!K218</f>
        <v>550000</v>
      </c>
      <c r="K702" s="129">
        <f>'Corporate Services'!L218</f>
        <v>424000</v>
      </c>
      <c r="L702" s="129">
        <f>'Corporate Services'!M218</f>
        <v>443504</v>
      </c>
      <c r="M702" s="129">
        <f>'Corporate Services'!N218</f>
        <v>463905.18400000001</v>
      </c>
      <c r="N702" s="129">
        <f>'Corporate Services'!O218</f>
        <v>0</v>
      </c>
      <c r="O702" s="129">
        <f>'Corporate Services'!N218</f>
        <v>463905.18400000001</v>
      </c>
      <c r="P702" s="123" t="str">
        <f t="shared" si="265"/>
        <v>280</v>
      </c>
    </row>
    <row r="703" spans="1:16" x14ac:dyDescent="0.2">
      <c r="A703" s="119" t="s">
        <v>400</v>
      </c>
      <c r="B703" s="120" t="s">
        <v>231</v>
      </c>
      <c r="C703" s="129">
        <v>150000</v>
      </c>
      <c r="D703" s="129">
        <v>0</v>
      </c>
      <c r="E703" s="129">
        <v>0</v>
      </c>
      <c r="F703" s="129">
        <v>0</v>
      </c>
      <c r="G703" s="129">
        <v>150000</v>
      </c>
      <c r="H703" s="129">
        <v>0</v>
      </c>
      <c r="I703" s="129">
        <f>'Corporate Services'!J219</f>
        <v>-100000</v>
      </c>
      <c r="J703" s="129">
        <f>'Corporate Services'!K219</f>
        <v>50000</v>
      </c>
      <c r="K703" s="129">
        <f>'Corporate Services'!L219</f>
        <v>52250</v>
      </c>
      <c r="L703" s="129">
        <f>'Corporate Services'!M219</f>
        <v>54653.5</v>
      </c>
      <c r="M703" s="129">
        <f>'Corporate Services'!N219</f>
        <v>57167.561000000002</v>
      </c>
      <c r="N703" s="129">
        <f>'Corporate Services'!O219</f>
        <v>0</v>
      </c>
      <c r="O703" s="129">
        <f>'Corporate Services'!N219</f>
        <v>57167.561000000002</v>
      </c>
      <c r="P703" s="123" t="str">
        <f t="shared" si="265"/>
        <v>281</v>
      </c>
    </row>
    <row r="704" spans="1:16" x14ac:dyDescent="0.2">
      <c r="A704" s="119" t="s">
        <v>401</v>
      </c>
      <c r="B704" s="120" t="s">
        <v>232</v>
      </c>
      <c r="C704" s="129">
        <v>700000</v>
      </c>
      <c r="D704" s="129">
        <v>0</v>
      </c>
      <c r="E704" s="129">
        <v>0</v>
      </c>
      <c r="F704" s="129">
        <v>0</v>
      </c>
      <c r="G704" s="129">
        <v>700000</v>
      </c>
      <c r="H704" s="129">
        <v>0</v>
      </c>
      <c r="I704" s="129">
        <f>'Corporate Services'!J220</f>
        <v>-700000</v>
      </c>
      <c r="J704" s="129">
        <f>'Corporate Services'!K220</f>
        <v>0</v>
      </c>
      <c r="K704" s="129">
        <f>'Corporate Services'!L220</f>
        <v>0</v>
      </c>
      <c r="L704" s="129">
        <f>'Corporate Services'!M220</f>
        <v>0</v>
      </c>
      <c r="O704" s="129"/>
      <c r="P704" s="123" t="str">
        <f t="shared" si="265"/>
        <v>281</v>
      </c>
    </row>
    <row r="705" spans="1:16" x14ac:dyDescent="0.2">
      <c r="A705" s="119"/>
      <c r="B705" s="120"/>
      <c r="C705" s="129"/>
      <c r="D705" s="129"/>
      <c r="E705" s="129"/>
      <c r="F705" s="129"/>
      <c r="G705" s="129"/>
      <c r="H705" s="129"/>
      <c r="I705" s="129">
        <f>'Corporate Services'!J221</f>
        <v>0</v>
      </c>
      <c r="J705" s="129"/>
      <c r="K705" s="129"/>
      <c r="L705" s="129"/>
      <c r="O705" s="129"/>
      <c r="P705" s="123" t="str">
        <f t="shared" si="265"/>
        <v/>
      </c>
    </row>
    <row r="706" spans="1:16" s="114" customFormat="1" ht="15" x14ac:dyDescent="0.25">
      <c r="A706" s="118"/>
      <c r="B706" s="117" t="s">
        <v>239</v>
      </c>
      <c r="C706" s="128">
        <f>SUM(C702:C705)</f>
        <v>1250000</v>
      </c>
      <c r="D706" s="128">
        <f t="shared" ref="D706:O706" si="274">SUM(D702:D705)</f>
        <v>0</v>
      </c>
      <c r="E706" s="128">
        <f t="shared" si="274"/>
        <v>152176</v>
      </c>
      <c r="F706" s="128">
        <f t="shared" si="274"/>
        <v>238006.39999999999</v>
      </c>
      <c r="G706" s="128">
        <f t="shared" si="274"/>
        <v>1011993.6</v>
      </c>
      <c r="H706" s="128">
        <f t="shared" si="274"/>
        <v>59.5</v>
      </c>
      <c r="I706" s="128">
        <f t="shared" si="274"/>
        <v>-650000</v>
      </c>
      <c r="J706" s="128">
        <f t="shared" si="274"/>
        <v>600000</v>
      </c>
      <c r="K706" s="128">
        <f t="shared" si="274"/>
        <v>476250</v>
      </c>
      <c r="L706" s="128">
        <f t="shared" si="274"/>
        <v>498157.5</v>
      </c>
      <c r="M706" s="128">
        <f t="shared" si="274"/>
        <v>521072.745</v>
      </c>
      <c r="N706" s="128">
        <f t="shared" si="274"/>
        <v>0</v>
      </c>
      <c r="O706" s="128">
        <f t="shared" si="274"/>
        <v>521072.745</v>
      </c>
      <c r="P706" s="123" t="str">
        <f t="shared" si="265"/>
        <v/>
      </c>
    </row>
    <row r="707" spans="1:16" s="114" customFormat="1" ht="15" x14ac:dyDescent="0.25">
      <c r="A707" s="118"/>
      <c r="B707" s="117"/>
      <c r="C707" s="128"/>
      <c r="D707" s="128"/>
      <c r="E707" s="128"/>
      <c r="F707" s="128"/>
      <c r="G707" s="128"/>
      <c r="H707" s="128"/>
      <c r="I707" s="128">
        <f>'Corporate Services'!J223</f>
        <v>0</v>
      </c>
      <c r="J707" s="128"/>
      <c r="K707" s="128"/>
      <c r="L707" s="128"/>
      <c r="M707" s="186"/>
      <c r="N707" s="186"/>
      <c r="O707" s="128"/>
      <c r="P707" s="123" t="str">
        <f t="shared" si="265"/>
        <v/>
      </c>
    </row>
    <row r="708" spans="1:16" s="114" customFormat="1" ht="15" x14ac:dyDescent="0.25">
      <c r="A708" s="118"/>
      <c r="B708" s="117" t="s">
        <v>240</v>
      </c>
      <c r="C708" s="128">
        <f>C698+C706</f>
        <v>2367299</v>
      </c>
      <c r="D708" s="128">
        <f t="shared" ref="D708:O708" si="275">D698+D706</f>
        <v>406934.52</v>
      </c>
      <c r="E708" s="128">
        <f t="shared" si="275"/>
        <v>152176</v>
      </c>
      <c r="F708" s="128">
        <f t="shared" si="275"/>
        <v>1644940.92</v>
      </c>
      <c r="G708" s="128">
        <f t="shared" si="275"/>
        <v>722358.08</v>
      </c>
      <c r="H708" s="128">
        <f t="shared" si="275"/>
        <v>200.19</v>
      </c>
      <c r="I708" s="128">
        <f t="shared" si="275"/>
        <v>350000</v>
      </c>
      <c r="J708" s="128">
        <f t="shared" si="275"/>
        <v>2717299</v>
      </c>
      <c r="K708" s="128">
        <f t="shared" si="275"/>
        <v>998827.45500000007</v>
      </c>
      <c r="L708" s="128">
        <f t="shared" si="275"/>
        <v>1044773.51793</v>
      </c>
      <c r="M708" s="128">
        <f t="shared" si="275"/>
        <v>1092833.0997547801</v>
      </c>
      <c r="N708" s="128">
        <f t="shared" si="275"/>
        <v>0</v>
      </c>
      <c r="O708" s="128">
        <f t="shared" si="275"/>
        <v>1092833.0997547801</v>
      </c>
      <c r="P708" s="123" t="str">
        <f t="shared" si="265"/>
        <v/>
      </c>
    </row>
    <row r="709" spans="1:16" s="114" customFormat="1" ht="15" x14ac:dyDescent="0.25">
      <c r="A709" s="118"/>
      <c r="B709" s="117"/>
      <c r="C709" s="128"/>
      <c r="D709" s="128"/>
      <c r="E709" s="128"/>
      <c r="F709" s="128"/>
      <c r="G709" s="128"/>
      <c r="H709" s="128"/>
      <c r="I709" s="129">
        <f>'Corporate Services'!J225</f>
        <v>0</v>
      </c>
      <c r="J709" s="129"/>
      <c r="K709" s="129"/>
      <c r="L709" s="129"/>
      <c r="M709" s="186"/>
      <c r="N709" s="186"/>
      <c r="O709" s="128"/>
      <c r="P709" s="123" t="str">
        <f t="shared" si="265"/>
        <v/>
      </c>
    </row>
    <row r="710" spans="1:16" s="114" customFormat="1" ht="15" x14ac:dyDescent="0.25">
      <c r="A710" s="118"/>
      <c r="B710" s="117" t="s">
        <v>241</v>
      </c>
      <c r="C710" s="128"/>
      <c r="D710" s="128"/>
      <c r="E710" s="128"/>
      <c r="F710" s="128"/>
      <c r="G710" s="128"/>
      <c r="H710" s="128"/>
      <c r="I710" s="129">
        <f>'Corporate Services'!J226</f>
        <v>0</v>
      </c>
      <c r="J710" s="129"/>
      <c r="K710" s="129"/>
      <c r="L710" s="129"/>
      <c r="M710" s="186"/>
      <c r="N710" s="186"/>
      <c r="O710" s="128"/>
      <c r="P710" s="123" t="str">
        <f t="shared" si="265"/>
        <v/>
      </c>
    </row>
    <row r="711" spans="1:16" x14ac:dyDescent="0.2">
      <c r="A711" s="119"/>
      <c r="B711" s="120"/>
      <c r="C711" s="129"/>
      <c r="D711" s="129"/>
      <c r="E711" s="129"/>
      <c r="F711" s="129"/>
      <c r="G711" s="129"/>
      <c r="H711" s="129"/>
      <c r="I711" s="129">
        <f>'Corporate Services'!J227</f>
        <v>0</v>
      </c>
      <c r="J711" s="129"/>
      <c r="K711" s="129"/>
      <c r="L711" s="129"/>
      <c r="O711" s="129"/>
      <c r="P711" s="123" t="str">
        <f t="shared" ref="P711:P774" si="276">MID(A711,6,3)</f>
        <v/>
      </c>
    </row>
    <row r="712" spans="1:16" x14ac:dyDescent="0.2">
      <c r="A712" s="119" t="s">
        <v>402</v>
      </c>
      <c r="B712" s="120" t="s">
        <v>242</v>
      </c>
      <c r="C712" s="129">
        <v>63600</v>
      </c>
      <c r="D712" s="129">
        <v>0</v>
      </c>
      <c r="E712" s="129">
        <v>0</v>
      </c>
      <c r="F712" s="129">
        <v>0</v>
      </c>
      <c r="G712" s="129">
        <v>63600</v>
      </c>
      <c r="H712" s="129">
        <v>0</v>
      </c>
      <c r="I712" s="129">
        <f>'Corporate Services'!J228</f>
        <v>0</v>
      </c>
      <c r="J712" s="129">
        <f>'Corporate Services'!K228</f>
        <v>63600</v>
      </c>
      <c r="K712" s="129">
        <f>'Corporate Services'!L228</f>
        <v>66462</v>
      </c>
      <c r="L712" s="129">
        <f>'Corporate Services'!M228</f>
        <v>69519.251999999993</v>
      </c>
      <c r="M712" s="129">
        <f>'Corporate Services'!N228</f>
        <v>72717.137591999999</v>
      </c>
      <c r="N712" s="129">
        <f>'Corporate Services'!O228</f>
        <v>0</v>
      </c>
      <c r="O712" s="129">
        <f>'Corporate Services'!N228</f>
        <v>72717.137591999999</v>
      </c>
      <c r="P712" s="123" t="str">
        <f t="shared" si="276"/>
        <v>300</v>
      </c>
    </row>
    <row r="713" spans="1:16" x14ac:dyDescent="0.2">
      <c r="A713" s="119" t="s">
        <v>403</v>
      </c>
      <c r="B713" s="120" t="s">
        <v>243</v>
      </c>
      <c r="C713" s="129">
        <v>100000</v>
      </c>
      <c r="D713" s="129">
        <v>0</v>
      </c>
      <c r="E713" s="129">
        <v>23350.09</v>
      </c>
      <c r="F713" s="129">
        <v>66124.259999999995</v>
      </c>
      <c r="G713" s="129">
        <v>33875.74</v>
      </c>
      <c r="H713" s="129">
        <v>66.12</v>
      </c>
      <c r="I713" s="129">
        <f>'Corporate Services'!J229</f>
        <v>30000</v>
      </c>
      <c r="J713" s="129">
        <f>'Corporate Services'!K229</f>
        <v>130000</v>
      </c>
      <c r="K713" s="129">
        <f>'Corporate Services'!L229</f>
        <v>135850</v>
      </c>
      <c r="L713" s="129">
        <f>'Corporate Services'!M229</f>
        <v>142099.1</v>
      </c>
      <c r="M713" s="129">
        <f>'Corporate Services'!N229</f>
        <v>148635.6586</v>
      </c>
      <c r="N713" s="129">
        <f>'Corporate Services'!O229</f>
        <v>0</v>
      </c>
      <c r="O713" s="129">
        <f>'Corporate Services'!N229</f>
        <v>148635.6586</v>
      </c>
      <c r="P713" s="123" t="str">
        <f t="shared" si="276"/>
        <v>300</v>
      </c>
    </row>
    <row r="714" spans="1:16" x14ac:dyDescent="0.2">
      <c r="A714" s="119" t="s">
        <v>404</v>
      </c>
      <c r="B714" s="120" t="s">
        <v>247</v>
      </c>
      <c r="C714" s="129">
        <v>500000</v>
      </c>
      <c r="D714" s="129">
        <v>0</v>
      </c>
      <c r="E714" s="129">
        <v>0</v>
      </c>
      <c r="F714" s="129">
        <v>230438</v>
      </c>
      <c r="G714" s="129">
        <v>269562</v>
      </c>
      <c r="H714" s="129">
        <v>46.08</v>
      </c>
      <c r="I714" s="129">
        <f>'Corporate Services'!J230</f>
        <v>0</v>
      </c>
      <c r="J714" s="129">
        <f>'Corporate Services'!K230</f>
        <v>500000</v>
      </c>
      <c r="K714" s="129">
        <f>'Corporate Services'!L230</f>
        <v>522500</v>
      </c>
      <c r="L714" s="129">
        <f>'Corporate Services'!M230</f>
        <v>546535</v>
      </c>
      <c r="M714" s="129">
        <f>'Corporate Services'!N230</f>
        <v>571675.61</v>
      </c>
      <c r="N714" s="129">
        <f>'Corporate Services'!O230</f>
        <v>0</v>
      </c>
      <c r="O714" s="129">
        <f>'Corporate Services'!N230</f>
        <v>571675.61</v>
      </c>
      <c r="P714" s="123" t="str">
        <f t="shared" si="276"/>
        <v>300</v>
      </c>
    </row>
    <row r="715" spans="1:16" x14ac:dyDescent="0.2">
      <c r="A715" s="119" t="s">
        <v>405</v>
      </c>
      <c r="B715" s="120" t="s">
        <v>247</v>
      </c>
      <c r="C715" s="129">
        <v>53287</v>
      </c>
      <c r="D715" s="129">
        <v>0</v>
      </c>
      <c r="E715" s="129">
        <v>0</v>
      </c>
      <c r="F715" s="129">
        <v>0</v>
      </c>
      <c r="G715" s="129">
        <v>53287</v>
      </c>
      <c r="H715" s="129">
        <v>0</v>
      </c>
      <c r="I715" s="129">
        <f>'Corporate Services'!J231</f>
        <v>0</v>
      </c>
      <c r="J715" s="129">
        <f>'Corporate Services'!K231</f>
        <v>53287</v>
      </c>
      <c r="K715" s="129">
        <f>'Corporate Services'!L231</f>
        <v>55684.915000000001</v>
      </c>
      <c r="L715" s="129">
        <f>'Corporate Services'!M231</f>
        <v>58246.421090000003</v>
      </c>
      <c r="M715" s="129">
        <f>'Corporate Services'!N231</f>
        <v>60925.756460140001</v>
      </c>
      <c r="N715" s="129">
        <f>'Corporate Services'!O231</f>
        <v>0</v>
      </c>
      <c r="O715" s="129">
        <f>'Corporate Services'!N231</f>
        <v>60925.756460140001</v>
      </c>
      <c r="P715" s="123" t="str">
        <f t="shared" si="276"/>
        <v>300</v>
      </c>
    </row>
    <row r="716" spans="1:16" x14ac:dyDescent="0.2">
      <c r="A716" s="119" t="s">
        <v>406</v>
      </c>
      <c r="B716" s="120" t="s">
        <v>261</v>
      </c>
      <c r="C716" s="129">
        <v>1049400</v>
      </c>
      <c r="D716" s="129">
        <v>0</v>
      </c>
      <c r="E716" s="129">
        <v>0</v>
      </c>
      <c r="F716" s="129">
        <v>914865</v>
      </c>
      <c r="G716" s="129">
        <v>134535</v>
      </c>
      <c r="H716" s="129">
        <v>87.17</v>
      </c>
      <c r="I716" s="129">
        <f>'Corporate Services'!J232</f>
        <v>0</v>
      </c>
      <c r="J716" s="129">
        <f>'Corporate Services'!K232</f>
        <v>1049400</v>
      </c>
      <c r="K716" s="129">
        <f>'Corporate Services'!L232</f>
        <v>1096623</v>
      </c>
      <c r="L716" s="129">
        <f>'Corporate Services'!M232</f>
        <v>1147067.6580000001</v>
      </c>
      <c r="O716" s="129">
        <f>'Corporate Services'!N232</f>
        <v>1199832.770268</v>
      </c>
      <c r="P716" s="123" t="str">
        <f t="shared" si="276"/>
        <v>304</v>
      </c>
    </row>
    <row r="717" spans="1:16" x14ac:dyDescent="0.2">
      <c r="A717" s="119" t="s">
        <v>407</v>
      </c>
      <c r="B717" s="120" t="s">
        <v>261</v>
      </c>
      <c r="C717" s="129">
        <v>7553</v>
      </c>
      <c r="D717" s="129">
        <v>0</v>
      </c>
      <c r="E717" s="129">
        <v>0</v>
      </c>
      <c r="F717" s="129">
        <v>5868.7</v>
      </c>
      <c r="G717" s="129">
        <v>1684.3</v>
      </c>
      <c r="H717" s="129">
        <v>77.7</v>
      </c>
      <c r="I717" s="129">
        <f>'Corporate Services'!J233</f>
        <v>0</v>
      </c>
      <c r="J717" s="129">
        <f>'Corporate Services'!K233</f>
        <v>7553</v>
      </c>
      <c r="K717" s="129">
        <f>'Corporate Services'!L233</f>
        <v>7892.8850000000002</v>
      </c>
      <c r="L717" s="129">
        <f>'Corporate Services'!M233</f>
        <v>8255.9577100000006</v>
      </c>
      <c r="O717" s="129">
        <f>'Corporate Services'!N233</f>
        <v>8635.7317646600004</v>
      </c>
      <c r="P717" s="123" t="str">
        <f t="shared" si="276"/>
        <v>304</v>
      </c>
    </row>
    <row r="718" spans="1:16" x14ac:dyDescent="0.2">
      <c r="A718" s="119" t="s">
        <v>408</v>
      </c>
      <c r="B718" s="120" t="s">
        <v>263</v>
      </c>
      <c r="C718" s="129">
        <v>689000</v>
      </c>
      <c r="D718" s="129">
        <v>0</v>
      </c>
      <c r="E718" s="129">
        <v>15033.18</v>
      </c>
      <c r="F718" s="129">
        <v>337514.89</v>
      </c>
      <c r="G718" s="129">
        <v>351485.11</v>
      </c>
      <c r="H718" s="129">
        <v>48.98</v>
      </c>
      <c r="I718" s="129">
        <f>'Corporate Services'!J234</f>
        <v>50000</v>
      </c>
      <c r="J718" s="129">
        <f>'Corporate Services'!K234</f>
        <v>739000</v>
      </c>
      <c r="K718" s="129">
        <f>'Corporate Services'!L234</f>
        <v>772255</v>
      </c>
      <c r="L718" s="129">
        <f>'Corporate Services'!M234</f>
        <v>807778.73</v>
      </c>
      <c r="O718" s="129">
        <f>'Corporate Services'!N234</f>
        <v>844936.55157999997</v>
      </c>
      <c r="P718" s="123" t="str">
        <f t="shared" si="276"/>
        <v>305</v>
      </c>
    </row>
    <row r="719" spans="1:16" x14ac:dyDescent="0.2">
      <c r="A719" s="119"/>
      <c r="B719" s="120" t="s">
        <v>3039</v>
      </c>
      <c r="C719" s="129">
        <f>'Corporate Services'!D235</f>
        <v>0</v>
      </c>
      <c r="D719" s="129">
        <f>'Corporate Services'!E235</f>
        <v>0</v>
      </c>
      <c r="E719" s="129">
        <f>'Corporate Services'!F235</f>
        <v>0</v>
      </c>
      <c r="F719" s="129">
        <f>'Corporate Services'!G235</f>
        <v>0</v>
      </c>
      <c r="G719" s="129">
        <f>'Corporate Services'!H235</f>
        <v>0</v>
      </c>
      <c r="H719" s="129">
        <f>'Corporate Services'!I235</f>
        <v>0</v>
      </c>
      <c r="I719" s="129">
        <f>'Corporate Services'!J235</f>
        <v>0</v>
      </c>
      <c r="J719" s="129">
        <f>'Corporate Services'!K235</f>
        <v>0</v>
      </c>
      <c r="K719" s="129">
        <f>'Corporate Services'!L235</f>
        <v>213511.26500000001</v>
      </c>
      <c r="L719" s="129">
        <f>'Corporate Services'!M235</f>
        <v>223332.78319000002</v>
      </c>
      <c r="M719" s="129">
        <f>'Corporate Services'!N235</f>
        <v>233606.09121674002</v>
      </c>
      <c r="N719" s="129">
        <f>'Corporate Services'!O235</f>
        <v>0</v>
      </c>
      <c r="O719" s="129">
        <f>'Corporate Services'!N235</f>
        <v>233606.09121674002</v>
      </c>
      <c r="P719" s="123" t="str">
        <f t="shared" si="276"/>
        <v/>
      </c>
    </row>
    <row r="720" spans="1:16" x14ac:dyDescent="0.2">
      <c r="A720" s="119" t="s">
        <v>409</v>
      </c>
      <c r="B720" s="120" t="s">
        <v>265</v>
      </c>
      <c r="C720" s="129">
        <v>164046</v>
      </c>
      <c r="D720" s="129">
        <v>1910.89</v>
      </c>
      <c r="E720" s="129">
        <v>0</v>
      </c>
      <c r="F720" s="129">
        <v>11043.15</v>
      </c>
      <c r="G720" s="129">
        <v>153002.85</v>
      </c>
      <c r="H720" s="129">
        <v>6.73</v>
      </c>
      <c r="I720" s="129">
        <f>'Corporate Services'!J236</f>
        <v>-100000</v>
      </c>
      <c r="J720" s="129">
        <f>'Corporate Services'!K236</f>
        <v>64046</v>
      </c>
      <c r="K720" s="129">
        <f>'Corporate Services'!L236</f>
        <v>66928.070000000007</v>
      </c>
      <c r="L720" s="129">
        <f>'Corporate Services'!M236</f>
        <v>70006.76122</v>
      </c>
      <c r="O720" s="129">
        <f>'Corporate Services'!N236</f>
        <v>73227.072236120002</v>
      </c>
      <c r="P720" s="123" t="str">
        <f t="shared" si="276"/>
        <v>305</v>
      </c>
    </row>
    <row r="721" spans="1:16" x14ac:dyDescent="0.2">
      <c r="A721" s="119" t="s">
        <v>410</v>
      </c>
      <c r="B721" s="120" t="s">
        <v>268</v>
      </c>
      <c r="C721" s="129">
        <v>0</v>
      </c>
      <c r="D721" s="129">
        <v>6776.37</v>
      </c>
      <c r="E721" s="129">
        <v>0</v>
      </c>
      <c r="F721" s="129">
        <v>46729.41</v>
      </c>
      <c r="G721" s="129">
        <v>-46729.41</v>
      </c>
      <c r="H721" s="129">
        <v>0</v>
      </c>
      <c r="I721" s="129">
        <f>'Corporate Services'!J237</f>
        <v>100000</v>
      </c>
      <c r="J721" s="129">
        <f>'Corporate Services'!K237</f>
        <v>100000</v>
      </c>
      <c r="K721" s="129">
        <f>'Corporate Services'!L237</f>
        <v>104500</v>
      </c>
      <c r="L721" s="129">
        <f>'Corporate Services'!M237</f>
        <v>109307</v>
      </c>
      <c r="O721" s="129">
        <f>'Corporate Services'!N237</f>
        <v>114335.122</v>
      </c>
      <c r="P721" s="123" t="str">
        <f t="shared" si="276"/>
        <v>305</v>
      </c>
    </row>
    <row r="722" spans="1:16" x14ac:dyDescent="0.2">
      <c r="A722" s="119" t="s">
        <v>411</v>
      </c>
      <c r="B722" s="120" t="s">
        <v>268</v>
      </c>
      <c r="C722" s="129">
        <v>105300</v>
      </c>
      <c r="D722" s="129">
        <v>716.53</v>
      </c>
      <c r="E722" s="129">
        <v>0</v>
      </c>
      <c r="F722" s="129">
        <v>23427.25</v>
      </c>
      <c r="G722" s="129">
        <v>81872.75</v>
      </c>
      <c r="H722" s="129">
        <v>22.24</v>
      </c>
      <c r="I722" s="129">
        <f>'Corporate Services'!J238</f>
        <v>-30000</v>
      </c>
      <c r="J722" s="129">
        <f>'Corporate Services'!K238</f>
        <v>75300</v>
      </c>
      <c r="K722" s="129">
        <f>'Corporate Services'!L238</f>
        <v>78688.5</v>
      </c>
      <c r="L722" s="129">
        <f>'Corporate Services'!M238</f>
        <v>82308.171000000002</v>
      </c>
      <c r="O722" s="129">
        <f>'Corporate Services'!N238</f>
        <v>86094.346866000007</v>
      </c>
      <c r="P722" s="123" t="str">
        <f t="shared" si="276"/>
        <v>305</v>
      </c>
    </row>
    <row r="723" spans="1:16" x14ac:dyDescent="0.2">
      <c r="A723" s="119" t="s">
        <v>412</v>
      </c>
      <c r="B723" s="120" t="s">
        <v>269</v>
      </c>
      <c r="C723" s="129">
        <v>80000</v>
      </c>
      <c r="D723" s="129">
        <v>6500</v>
      </c>
      <c r="E723" s="129">
        <v>0</v>
      </c>
      <c r="F723" s="129">
        <v>39650</v>
      </c>
      <c r="G723" s="129">
        <v>40350</v>
      </c>
      <c r="H723" s="129">
        <v>49.56</v>
      </c>
      <c r="I723" s="129">
        <f>'Corporate Services'!J239</f>
        <v>0</v>
      </c>
      <c r="J723" s="129">
        <f>'Corporate Services'!K239</f>
        <v>80000</v>
      </c>
      <c r="K723" s="129">
        <f>'Corporate Services'!L239</f>
        <v>83600</v>
      </c>
      <c r="L723" s="129">
        <f>'Corporate Services'!M239</f>
        <v>87445.6</v>
      </c>
      <c r="O723" s="129">
        <f>'Corporate Services'!N239</f>
        <v>91468.097600000008</v>
      </c>
      <c r="P723" s="123" t="str">
        <f t="shared" si="276"/>
        <v>305</v>
      </c>
    </row>
    <row r="724" spans="1:16" x14ac:dyDescent="0.2">
      <c r="A724" s="119" t="s">
        <v>413</v>
      </c>
      <c r="B724" s="120" t="s">
        <v>269</v>
      </c>
      <c r="C724" s="129">
        <v>60000</v>
      </c>
      <c r="D724" s="129">
        <v>0</v>
      </c>
      <c r="E724" s="129">
        <v>6800</v>
      </c>
      <c r="F724" s="129">
        <v>40770.68</v>
      </c>
      <c r="G724" s="129">
        <v>19229.32</v>
      </c>
      <c r="H724" s="129">
        <v>67.95</v>
      </c>
      <c r="I724" s="129">
        <f>'Corporate Services'!J240</f>
        <v>0</v>
      </c>
      <c r="J724" s="129">
        <f>'Corporate Services'!K240</f>
        <v>60000</v>
      </c>
      <c r="K724" s="129">
        <f>'Corporate Services'!L240</f>
        <v>62700</v>
      </c>
      <c r="L724" s="129">
        <f>'Corporate Services'!M240</f>
        <v>65584.2</v>
      </c>
      <c r="O724" s="129">
        <f>'Corporate Services'!N240</f>
        <v>68601.073199999999</v>
      </c>
      <c r="P724" s="123" t="str">
        <f t="shared" si="276"/>
        <v>305</v>
      </c>
    </row>
    <row r="725" spans="1:16" x14ac:dyDescent="0.2">
      <c r="A725" s="119"/>
      <c r="B725" s="120"/>
      <c r="C725" s="129"/>
      <c r="D725" s="129"/>
      <c r="E725" s="129"/>
      <c r="F725" s="129"/>
      <c r="G725" s="129"/>
      <c r="H725" s="129"/>
      <c r="I725" s="129">
        <f>'Corporate Services'!J241</f>
        <v>0</v>
      </c>
      <c r="J725" s="129"/>
      <c r="K725" s="129"/>
      <c r="L725" s="129"/>
      <c r="O725" s="129"/>
      <c r="P725" s="123" t="str">
        <f t="shared" si="276"/>
        <v/>
      </c>
    </row>
    <row r="726" spans="1:16" s="114" customFormat="1" ht="15" x14ac:dyDescent="0.25">
      <c r="A726" s="118"/>
      <c r="B726" s="117" t="s">
        <v>274</v>
      </c>
      <c r="C726" s="128">
        <f>SUM(C712:C725)</f>
        <v>2872186</v>
      </c>
      <c r="D726" s="128">
        <f t="shared" ref="D726:O726" si="277">SUM(D712:D725)</f>
        <v>15903.79</v>
      </c>
      <c r="E726" s="128">
        <f t="shared" si="277"/>
        <v>45183.270000000004</v>
      </c>
      <c r="F726" s="128">
        <f t="shared" si="277"/>
        <v>1716431.3399999999</v>
      </c>
      <c r="G726" s="128">
        <f t="shared" si="277"/>
        <v>1155754.6599999999</v>
      </c>
      <c r="H726" s="128">
        <f t="shared" si="277"/>
        <v>472.53000000000003</v>
      </c>
      <c r="I726" s="128">
        <f t="shared" si="277"/>
        <v>50000</v>
      </c>
      <c r="J726" s="128">
        <f t="shared" si="277"/>
        <v>2922186</v>
      </c>
      <c r="K726" s="128">
        <f t="shared" si="277"/>
        <v>3267195.6349999998</v>
      </c>
      <c r="L726" s="128">
        <f t="shared" si="277"/>
        <v>3417486.6342100007</v>
      </c>
      <c r="M726" s="128">
        <f t="shared" si="277"/>
        <v>1087560.25386888</v>
      </c>
      <c r="N726" s="128">
        <f t="shared" si="277"/>
        <v>0</v>
      </c>
      <c r="O726" s="128">
        <f t="shared" si="277"/>
        <v>3574691.0193836601</v>
      </c>
      <c r="P726" s="123" t="str">
        <f t="shared" si="276"/>
        <v/>
      </c>
    </row>
    <row r="727" spans="1:16" s="114" customFormat="1" ht="15" x14ac:dyDescent="0.25">
      <c r="A727" s="118"/>
      <c r="B727" s="117"/>
      <c r="C727" s="128"/>
      <c r="D727" s="128"/>
      <c r="E727" s="128"/>
      <c r="F727" s="128"/>
      <c r="G727" s="128"/>
      <c r="H727" s="128"/>
      <c r="I727" s="129">
        <f>'Corporate Services'!J243</f>
        <v>0</v>
      </c>
      <c r="J727" s="129"/>
      <c r="K727" s="129"/>
      <c r="L727" s="129"/>
      <c r="M727" s="186"/>
      <c r="N727" s="186"/>
      <c r="O727" s="128"/>
      <c r="P727" s="123" t="str">
        <f t="shared" si="276"/>
        <v/>
      </c>
    </row>
    <row r="728" spans="1:16" s="114" customFormat="1" ht="15" x14ac:dyDescent="0.25">
      <c r="A728" s="118"/>
      <c r="B728" s="117" t="s">
        <v>290</v>
      </c>
      <c r="C728" s="128"/>
      <c r="D728" s="128"/>
      <c r="E728" s="128"/>
      <c r="F728" s="128"/>
      <c r="G728" s="128"/>
      <c r="H728" s="128"/>
      <c r="I728" s="129">
        <f>'Corporate Services'!J244</f>
        <v>0</v>
      </c>
      <c r="J728" s="129"/>
      <c r="K728" s="129"/>
      <c r="L728" s="129"/>
      <c r="M728" s="186"/>
      <c r="N728" s="186"/>
      <c r="O728" s="128"/>
      <c r="P728" s="123" t="str">
        <f t="shared" si="276"/>
        <v/>
      </c>
    </row>
    <row r="729" spans="1:16" x14ac:dyDescent="0.2">
      <c r="A729" s="119"/>
      <c r="B729" s="120"/>
      <c r="C729" s="129"/>
      <c r="D729" s="129"/>
      <c r="E729" s="129"/>
      <c r="F729" s="129"/>
      <c r="G729" s="129"/>
      <c r="H729" s="129"/>
      <c r="I729" s="129">
        <f>'Corporate Services'!J245</f>
        <v>0</v>
      </c>
      <c r="J729" s="129"/>
      <c r="K729" s="129"/>
      <c r="L729" s="129"/>
      <c r="O729" s="129"/>
      <c r="P729" s="123" t="str">
        <f t="shared" si="276"/>
        <v/>
      </c>
    </row>
    <row r="730" spans="1:16" x14ac:dyDescent="0.2">
      <c r="A730" s="119" t="s">
        <v>414</v>
      </c>
      <c r="B730" s="120" t="s">
        <v>292</v>
      </c>
      <c r="C730" s="129">
        <v>3371</v>
      </c>
      <c r="D730" s="129">
        <v>1549.14</v>
      </c>
      <c r="E730" s="129">
        <v>0</v>
      </c>
      <c r="F730" s="129">
        <v>4306.75</v>
      </c>
      <c r="G730" s="129">
        <v>-935.75</v>
      </c>
      <c r="H730" s="129">
        <v>127.75</v>
      </c>
      <c r="I730" s="129">
        <f>'Corporate Services'!J246</f>
        <v>0</v>
      </c>
      <c r="J730" s="129">
        <f>'Corporate Services'!K246</f>
        <v>3371</v>
      </c>
      <c r="K730" s="129">
        <f>'Corporate Services'!L246</f>
        <v>3522.6950000000002</v>
      </c>
      <c r="L730" s="129">
        <f>'Corporate Services'!M246</f>
        <v>3684.7389700000003</v>
      </c>
      <c r="O730" s="129">
        <f>'Corporate Services'!N246</f>
        <v>3854.2369626200002</v>
      </c>
      <c r="P730" s="123" t="str">
        <f t="shared" si="276"/>
        <v>720</v>
      </c>
    </row>
    <row r="731" spans="1:16" x14ac:dyDescent="0.2">
      <c r="A731" s="119" t="s">
        <v>415</v>
      </c>
      <c r="B731" s="120" t="s">
        <v>293</v>
      </c>
      <c r="C731" s="129">
        <v>11148</v>
      </c>
      <c r="D731" s="129">
        <v>2594.58</v>
      </c>
      <c r="E731" s="129">
        <v>0</v>
      </c>
      <c r="F731" s="129">
        <v>5509.33</v>
      </c>
      <c r="G731" s="129">
        <v>5638.67</v>
      </c>
      <c r="H731" s="129">
        <v>49.41</v>
      </c>
      <c r="I731" s="129">
        <f>'Corporate Services'!J247</f>
        <v>0</v>
      </c>
      <c r="J731" s="129">
        <f>'Corporate Services'!K247</f>
        <v>11148</v>
      </c>
      <c r="K731" s="129">
        <f>'Corporate Services'!L247</f>
        <v>11649.66</v>
      </c>
      <c r="L731" s="129">
        <f>'Corporate Services'!M247</f>
        <v>12185.54436</v>
      </c>
      <c r="O731" s="129">
        <f>'Corporate Services'!N247</f>
        <v>12746.07940056</v>
      </c>
      <c r="P731" s="123" t="str">
        <f t="shared" si="276"/>
        <v>721</v>
      </c>
    </row>
    <row r="732" spans="1:16" x14ac:dyDescent="0.2">
      <c r="A732" s="119"/>
      <c r="B732" s="120"/>
      <c r="C732" s="129"/>
      <c r="D732" s="129"/>
      <c r="E732" s="129"/>
      <c r="F732" s="129"/>
      <c r="G732" s="129"/>
      <c r="H732" s="129"/>
      <c r="I732" s="129">
        <f>'Corporate Services'!J248</f>
        <v>0</v>
      </c>
      <c r="J732" s="129"/>
      <c r="K732" s="129"/>
      <c r="L732" s="129"/>
      <c r="O732" s="129"/>
      <c r="P732" s="123" t="str">
        <f t="shared" si="276"/>
        <v/>
      </c>
    </row>
    <row r="733" spans="1:16" s="114" customFormat="1" ht="15" x14ac:dyDescent="0.25">
      <c r="A733" s="118"/>
      <c r="B733" s="117" t="s">
        <v>304</v>
      </c>
      <c r="C733" s="128">
        <f>SUM(C730:C732)</f>
        <v>14519</v>
      </c>
      <c r="D733" s="128">
        <f t="shared" ref="D733:O733" si="278">SUM(D730:D732)</f>
        <v>4143.72</v>
      </c>
      <c r="E733" s="128">
        <f t="shared" si="278"/>
        <v>0</v>
      </c>
      <c r="F733" s="128">
        <f t="shared" si="278"/>
        <v>9816.08</v>
      </c>
      <c r="G733" s="128">
        <f t="shared" si="278"/>
        <v>4702.92</v>
      </c>
      <c r="H733" s="128">
        <f t="shared" si="278"/>
        <v>177.16</v>
      </c>
      <c r="I733" s="128">
        <f t="shared" si="278"/>
        <v>0</v>
      </c>
      <c r="J733" s="128">
        <f t="shared" si="278"/>
        <v>14519</v>
      </c>
      <c r="K733" s="128">
        <f t="shared" si="278"/>
        <v>15172.355</v>
      </c>
      <c r="L733" s="128">
        <f t="shared" si="278"/>
        <v>15870.28333</v>
      </c>
      <c r="M733" s="128">
        <f t="shared" si="278"/>
        <v>0</v>
      </c>
      <c r="N733" s="128">
        <f t="shared" si="278"/>
        <v>0</v>
      </c>
      <c r="O733" s="128">
        <f t="shared" si="278"/>
        <v>16600.316363180002</v>
      </c>
      <c r="P733" s="123" t="str">
        <f t="shared" si="276"/>
        <v/>
      </c>
    </row>
    <row r="734" spans="1:16" s="114" customFormat="1" ht="15" x14ac:dyDescent="0.25">
      <c r="A734" s="118"/>
      <c r="B734" s="117"/>
      <c r="C734" s="128"/>
      <c r="D734" s="128"/>
      <c r="E734" s="128"/>
      <c r="F734" s="128"/>
      <c r="G734" s="128"/>
      <c r="H734" s="128"/>
      <c r="I734" s="128">
        <f>'Corporate Services'!J250</f>
        <v>0</v>
      </c>
      <c r="J734" s="128"/>
      <c r="K734" s="128"/>
      <c r="L734" s="128"/>
      <c r="M734" s="186"/>
      <c r="N734" s="186"/>
      <c r="O734" s="128"/>
      <c r="P734" s="123" t="str">
        <f t="shared" si="276"/>
        <v/>
      </c>
    </row>
    <row r="735" spans="1:16" s="114" customFormat="1" ht="15" x14ac:dyDescent="0.25">
      <c r="A735" s="118"/>
      <c r="B735" s="117" t="s">
        <v>305</v>
      </c>
      <c r="C735" s="128">
        <f>C689+C708+C726+C733</f>
        <v>8060601</v>
      </c>
      <c r="D735" s="128">
        <f t="shared" ref="D735:O735" si="279">D689+D708+D726+D733</f>
        <v>657775.75</v>
      </c>
      <c r="E735" s="128">
        <f t="shared" si="279"/>
        <v>197359.27000000002</v>
      </c>
      <c r="F735" s="128">
        <f t="shared" si="279"/>
        <v>4702021.46</v>
      </c>
      <c r="G735" s="128">
        <f t="shared" si="279"/>
        <v>3358579.54</v>
      </c>
      <c r="H735" s="128">
        <f t="shared" si="279"/>
        <v>1688.16</v>
      </c>
      <c r="I735" s="128">
        <f t="shared" si="279"/>
        <v>393283.36</v>
      </c>
      <c r="J735" s="128">
        <f t="shared" si="279"/>
        <v>8453884.3599999994</v>
      </c>
      <c r="K735" s="128">
        <f t="shared" si="279"/>
        <v>7256068.3275000006</v>
      </c>
      <c r="L735" s="128">
        <f t="shared" si="279"/>
        <v>7661244.419745001</v>
      </c>
      <c r="M735" s="128">
        <f t="shared" si="279"/>
        <v>5586325.3167979103</v>
      </c>
      <c r="N735" s="128">
        <f t="shared" si="279"/>
        <v>0</v>
      </c>
      <c r="O735" s="128">
        <f t="shared" si="279"/>
        <v>8090056.3986758702</v>
      </c>
      <c r="P735" s="123" t="str">
        <f t="shared" si="276"/>
        <v/>
      </c>
    </row>
    <row r="736" spans="1:16" s="114" customFormat="1" ht="15" x14ac:dyDescent="0.25">
      <c r="A736" s="118"/>
      <c r="B736" s="117"/>
      <c r="C736" s="128"/>
      <c r="D736" s="128"/>
      <c r="E736" s="128"/>
      <c r="F736" s="128"/>
      <c r="G736" s="128"/>
      <c r="H736" s="128"/>
      <c r="I736" s="128">
        <f>'Corporate Services'!J252</f>
        <v>0</v>
      </c>
      <c r="J736" s="128"/>
      <c r="K736" s="128"/>
      <c r="L736" s="128"/>
      <c r="M736" s="186"/>
      <c r="N736" s="186"/>
      <c r="O736" s="128"/>
      <c r="P736" s="123" t="str">
        <f t="shared" si="276"/>
        <v/>
      </c>
    </row>
    <row r="737" spans="1:16" s="114" customFormat="1" ht="15" x14ac:dyDescent="0.25">
      <c r="A737" s="118"/>
      <c r="B737" s="117" t="s">
        <v>306</v>
      </c>
      <c r="C737" s="128">
        <f>C650+C735</f>
        <v>7856284</v>
      </c>
      <c r="D737" s="128">
        <f t="shared" ref="D737:O737" si="280">D650+D735</f>
        <v>657775.75</v>
      </c>
      <c r="E737" s="128">
        <f t="shared" si="280"/>
        <v>197359.27000000002</v>
      </c>
      <c r="F737" s="128">
        <f t="shared" si="280"/>
        <v>4631499.1100000003</v>
      </c>
      <c r="G737" s="128">
        <f t="shared" si="280"/>
        <v>3224784.89</v>
      </c>
      <c r="H737" s="128">
        <f t="shared" si="280"/>
        <v>1722.67</v>
      </c>
      <c r="I737" s="128">
        <f t="shared" si="280"/>
        <v>393283.36</v>
      </c>
      <c r="J737" s="128">
        <f t="shared" si="280"/>
        <v>8249567.3599999994</v>
      </c>
      <c r="K737" s="128">
        <f t="shared" si="280"/>
        <v>7042557.0625000009</v>
      </c>
      <c r="L737" s="128">
        <f t="shared" si="280"/>
        <v>7437911.6365550011</v>
      </c>
      <c r="M737" s="128">
        <f t="shared" si="280"/>
        <v>5352719.2255811701</v>
      </c>
      <c r="N737" s="128">
        <f t="shared" si="280"/>
        <v>0</v>
      </c>
      <c r="O737" s="128">
        <f t="shared" si="280"/>
        <v>7856450.30745913</v>
      </c>
      <c r="P737" s="123" t="str">
        <f t="shared" si="276"/>
        <v/>
      </c>
    </row>
    <row r="738" spans="1:16" s="114" customFormat="1" ht="15" x14ac:dyDescent="0.25">
      <c r="A738" s="118"/>
      <c r="B738" s="117"/>
      <c r="C738" s="128"/>
      <c r="D738" s="128"/>
      <c r="E738" s="128"/>
      <c r="F738" s="128"/>
      <c r="G738" s="128"/>
      <c r="H738" s="128"/>
      <c r="I738" s="129">
        <f>'Corporate Services'!J254</f>
        <v>0</v>
      </c>
      <c r="J738" s="129"/>
      <c r="K738" s="129"/>
      <c r="L738" s="129"/>
      <c r="M738" s="186"/>
      <c r="N738" s="186"/>
      <c r="O738" s="128"/>
      <c r="P738" s="123" t="str">
        <f t="shared" si="276"/>
        <v/>
      </c>
    </row>
    <row r="739" spans="1:16" s="114" customFormat="1" ht="15" x14ac:dyDescent="0.25">
      <c r="A739" s="118"/>
      <c r="B739" s="117" t="s">
        <v>308</v>
      </c>
      <c r="C739" s="128"/>
      <c r="D739" s="128"/>
      <c r="E739" s="128"/>
      <c r="F739" s="128"/>
      <c r="G739" s="128"/>
      <c r="H739" s="128"/>
      <c r="I739" s="129">
        <f>'Corporate Services'!J255</f>
        <v>0</v>
      </c>
      <c r="J739" s="129"/>
      <c r="K739" s="129"/>
      <c r="L739" s="129"/>
      <c r="M739" s="186"/>
      <c r="N739" s="186"/>
      <c r="O739" s="128"/>
      <c r="P739" s="123" t="str">
        <f t="shared" si="276"/>
        <v/>
      </c>
    </row>
    <row r="740" spans="1:16" s="114" customFormat="1" ht="15" x14ac:dyDescent="0.25">
      <c r="A740" s="118"/>
      <c r="B740" s="117"/>
      <c r="C740" s="128"/>
      <c r="D740" s="128"/>
      <c r="E740" s="128"/>
      <c r="F740" s="128"/>
      <c r="G740" s="128"/>
      <c r="H740" s="128"/>
      <c r="I740" s="129">
        <f>'Corporate Services'!J256</f>
        <v>0</v>
      </c>
      <c r="J740" s="129"/>
      <c r="K740" s="129"/>
      <c r="L740" s="129"/>
      <c r="M740" s="186"/>
      <c r="N740" s="186"/>
      <c r="O740" s="128"/>
      <c r="P740" s="123" t="str">
        <f t="shared" si="276"/>
        <v/>
      </c>
    </row>
    <row r="741" spans="1:16" x14ac:dyDescent="0.2">
      <c r="A741" s="119" t="s">
        <v>416</v>
      </c>
      <c r="B741" s="120" t="s">
        <v>417</v>
      </c>
      <c r="C741" s="129">
        <v>50000</v>
      </c>
      <c r="D741" s="129">
        <v>0</v>
      </c>
      <c r="E741" s="129">
        <v>0</v>
      </c>
      <c r="F741" s="129">
        <v>28720</v>
      </c>
      <c r="G741" s="129">
        <v>21280</v>
      </c>
      <c r="H741" s="129">
        <v>57.44</v>
      </c>
      <c r="I741" s="129">
        <f>'Corporate Services'!J257</f>
        <v>-21280</v>
      </c>
      <c r="J741" s="129">
        <f>'Corporate Services'!K257</f>
        <v>28720</v>
      </c>
      <c r="K741" s="129">
        <f>'Corporate Services'!L257</f>
        <v>53000</v>
      </c>
      <c r="L741" s="129">
        <f>'Corporate Services'!M257</f>
        <v>53000</v>
      </c>
      <c r="O741" s="129">
        <f>'Corporate Services'!N257</f>
        <v>0</v>
      </c>
      <c r="P741" s="123" t="str">
        <f t="shared" si="276"/>
        <v>550</v>
      </c>
    </row>
    <row r="742" spans="1:16" x14ac:dyDescent="0.2">
      <c r="A742" s="119"/>
      <c r="B742" s="120"/>
      <c r="C742" s="129"/>
      <c r="D742" s="129"/>
      <c r="E742" s="129"/>
      <c r="F742" s="129"/>
      <c r="G742" s="129"/>
      <c r="H742" s="129"/>
      <c r="I742" s="129">
        <f>'Corporate Services'!J258</f>
        <v>0</v>
      </c>
      <c r="J742" s="129"/>
      <c r="K742" s="129"/>
      <c r="L742" s="129"/>
      <c r="O742" s="129"/>
      <c r="P742" s="123" t="str">
        <f t="shared" si="276"/>
        <v/>
      </c>
    </row>
    <row r="743" spans="1:16" s="114" customFormat="1" ht="15" x14ac:dyDescent="0.25">
      <c r="A743" s="118"/>
      <c r="B743" s="117" t="s">
        <v>320</v>
      </c>
      <c r="C743" s="128">
        <f>SUM(C741:C742)</f>
        <v>50000</v>
      </c>
      <c r="D743" s="128">
        <f t="shared" ref="D743:O743" si="281">SUM(D741:D742)</f>
        <v>0</v>
      </c>
      <c r="E743" s="128">
        <f t="shared" si="281"/>
        <v>0</v>
      </c>
      <c r="F743" s="128">
        <f t="shared" si="281"/>
        <v>28720</v>
      </c>
      <c r="G743" s="128">
        <f t="shared" si="281"/>
        <v>21280</v>
      </c>
      <c r="H743" s="128">
        <f t="shared" si="281"/>
        <v>57.44</v>
      </c>
      <c r="I743" s="128">
        <f t="shared" si="281"/>
        <v>-21280</v>
      </c>
      <c r="J743" s="128">
        <f t="shared" si="281"/>
        <v>28720</v>
      </c>
      <c r="K743" s="128">
        <f t="shared" si="281"/>
        <v>53000</v>
      </c>
      <c r="L743" s="128">
        <f t="shared" si="281"/>
        <v>53000</v>
      </c>
      <c r="M743" s="128">
        <f t="shared" si="281"/>
        <v>0</v>
      </c>
      <c r="N743" s="128">
        <f t="shared" si="281"/>
        <v>0</v>
      </c>
      <c r="O743" s="128">
        <f t="shared" si="281"/>
        <v>0</v>
      </c>
      <c r="P743" s="123" t="str">
        <f t="shared" si="276"/>
        <v/>
      </c>
    </row>
    <row r="744" spans="1:16" x14ac:dyDescent="0.2">
      <c r="A744" s="119"/>
      <c r="B744" s="120"/>
      <c r="C744" s="129"/>
      <c r="D744" s="129"/>
      <c r="E744" s="129"/>
      <c r="F744" s="129"/>
      <c r="G744" s="129"/>
      <c r="H744" s="129"/>
      <c r="I744" s="129">
        <f>'Corporate Services'!J260</f>
        <v>0</v>
      </c>
      <c r="J744" s="129"/>
      <c r="K744" s="129"/>
      <c r="L744" s="129"/>
      <c r="O744" s="129"/>
      <c r="P744" s="123" t="str">
        <f t="shared" si="276"/>
        <v/>
      </c>
    </row>
    <row r="745" spans="1:16" s="114" customFormat="1" ht="15" x14ac:dyDescent="0.25">
      <c r="A745" s="118"/>
      <c r="B745" s="117" t="s">
        <v>418</v>
      </c>
      <c r="C745" s="128"/>
      <c r="D745" s="128"/>
      <c r="E745" s="128"/>
      <c r="F745" s="128"/>
      <c r="G745" s="128"/>
      <c r="H745" s="128"/>
      <c r="I745" s="129">
        <f>'Corporate Services'!J261</f>
        <v>0</v>
      </c>
      <c r="J745" s="129"/>
      <c r="K745" s="129"/>
      <c r="L745" s="129"/>
      <c r="M745" s="186"/>
      <c r="N745" s="186"/>
      <c r="O745" s="128"/>
      <c r="P745" s="123" t="str">
        <f t="shared" si="276"/>
        <v/>
      </c>
    </row>
    <row r="746" spans="1:16" s="114" customFormat="1" ht="15" x14ac:dyDescent="0.25">
      <c r="A746" s="118"/>
      <c r="B746" s="117"/>
      <c r="C746" s="128"/>
      <c r="D746" s="128"/>
      <c r="E746" s="128"/>
      <c r="F746" s="128"/>
      <c r="G746" s="128"/>
      <c r="H746" s="128"/>
      <c r="I746" s="129">
        <f>'Corporate Services'!J262</f>
        <v>0</v>
      </c>
      <c r="J746" s="129"/>
      <c r="K746" s="129"/>
      <c r="L746" s="129"/>
      <c r="M746" s="186"/>
      <c r="N746" s="186"/>
      <c r="O746" s="128"/>
      <c r="P746" s="123" t="str">
        <f t="shared" si="276"/>
        <v/>
      </c>
    </row>
    <row r="747" spans="1:16" s="114" customFormat="1" ht="15" x14ac:dyDescent="0.25">
      <c r="A747" s="118"/>
      <c r="B747" s="117" t="s">
        <v>96</v>
      </c>
      <c r="C747" s="128"/>
      <c r="D747" s="128"/>
      <c r="E747" s="128"/>
      <c r="F747" s="128"/>
      <c r="G747" s="128"/>
      <c r="H747" s="128"/>
      <c r="I747" s="129">
        <f>'Corporate Services'!J263</f>
        <v>0</v>
      </c>
      <c r="J747" s="129"/>
      <c r="K747" s="129"/>
      <c r="L747" s="129"/>
      <c r="M747" s="186"/>
      <c r="N747" s="186"/>
      <c r="O747" s="128"/>
      <c r="P747" s="123" t="str">
        <f t="shared" si="276"/>
        <v/>
      </c>
    </row>
    <row r="748" spans="1:16" s="114" customFormat="1" ht="15" x14ac:dyDescent="0.25">
      <c r="A748" s="118"/>
      <c r="B748" s="117" t="s">
        <v>97</v>
      </c>
      <c r="C748" s="128"/>
      <c r="D748" s="128"/>
      <c r="E748" s="128"/>
      <c r="F748" s="128"/>
      <c r="G748" s="128"/>
      <c r="H748" s="128"/>
      <c r="I748" s="129">
        <f>'Corporate Services'!J264</f>
        <v>0</v>
      </c>
      <c r="J748" s="129"/>
      <c r="K748" s="129"/>
      <c r="L748" s="129"/>
      <c r="M748" s="186"/>
      <c r="N748" s="186"/>
      <c r="O748" s="128"/>
      <c r="P748" s="123" t="str">
        <f t="shared" si="276"/>
        <v/>
      </c>
    </row>
    <row r="749" spans="1:16" s="114" customFormat="1" ht="15" x14ac:dyDescent="0.25">
      <c r="A749" s="118"/>
      <c r="B749" s="117" t="s">
        <v>148</v>
      </c>
      <c r="C749" s="128"/>
      <c r="D749" s="128"/>
      <c r="E749" s="128"/>
      <c r="F749" s="128"/>
      <c r="G749" s="128"/>
      <c r="H749" s="128"/>
      <c r="I749" s="129">
        <f>'Corporate Services'!J265</f>
        <v>0</v>
      </c>
      <c r="J749" s="129"/>
      <c r="K749" s="129"/>
      <c r="L749" s="129"/>
      <c r="M749" s="186"/>
      <c r="N749" s="186"/>
      <c r="O749" s="128"/>
      <c r="P749" s="123" t="str">
        <f t="shared" si="276"/>
        <v/>
      </c>
    </row>
    <row r="750" spans="1:16" s="114" customFormat="1" ht="15" x14ac:dyDescent="0.25">
      <c r="A750" s="118"/>
      <c r="B750" s="117" t="s">
        <v>149</v>
      </c>
      <c r="C750" s="128"/>
      <c r="D750" s="128"/>
      <c r="E750" s="128"/>
      <c r="F750" s="128"/>
      <c r="G750" s="128"/>
      <c r="H750" s="128"/>
      <c r="I750" s="129">
        <f>'Corporate Services'!J266</f>
        <v>0</v>
      </c>
      <c r="J750" s="129"/>
      <c r="K750" s="129"/>
      <c r="L750" s="129"/>
      <c r="M750" s="186"/>
      <c r="N750" s="186"/>
      <c r="O750" s="128"/>
      <c r="P750" s="123" t="str">
        <f t="shared" si="276"/>
        <v/>
      </c>
    </row>
    <row r="751" spans="1:16" x14ac:dyDescent="0.2">
      <c r="A751" s="119"/>
      <c r="B751" s="120"/>
      <c r="C751" s="129"/>
      <c r="D751" s="129"/>
      <c r="E751" s="129"/>
      <c r="F751" s="129"/>
      <c r="G751" s="129"/>
      <c r="H751" s="129"/>
      <c r="I751" s="129">
        <f>'Corporate Services'!J267</f>
        <v>0</v>
      </c>
      <c r="J751" s="129"/>
      <c r="K751" s="129"/>
      <c r="L751" s="129"/>
      <c r="O751" s="129"/>
      <c r="P751" s="123" t="str">
        <f t="shared" si="276"/>
        <v/>
      </c>
    </row>
    <row r="752" spans="1:16" x14ac:dyDescent="0.2">
      <c r="A752" s="119" t="s">
        <v>419</v>
      </c>
      <c r="B752" s="120" t="s">
        <v>150</v>
      </c>
      <c r="C752" s="129">
        <v>921699</v>
      </c>
      <c r="D752" s="129">
        <v>85296.76</v>
      </c>
      <c r="E752" s="129">
        <v>0</v>
      </c>
      <c r="F752" s="129">
        <v>503290.41</v>
      </c>
      <c r="G752" s="129">
        <v>418408.59</v>
      </c>
      <c r="H752" s="129">
        <v>54.6</v>
      </c>
      <c r="I752" s="129">
        <f>'Corporate Services'!J268</f>
        <v>0</v>
      </c>
      <c r="J752" s="129">
        <f>'Corporate Services'!K268</f>
        <v>921699</v>
      </c>
      <c r="K752" s="129">
        <f>'Corporate Services'!L268</f>
        <v>979305.1875</v>
      </c>
      <c r="L752" s="129">
        <f>'Corporate Services'!M268</f>
        <v>1047856.550625</v>
      </c>
      <c r="O752" s="129">
        <f>'Corporate Services'!N268</f>
        <v>1121206.5091687501</v>
      </c>
      <c r="P752" s="123" t="str">
        <f t="shared" si="276"/>
        <v>110</v>
      </c>
    </row>
    <row r="753" spans="1:16" x14ac:dyDescent="0.2">
      <c r="A753" s="119" t="s">
        <v>420</v>
      </c>
      <c r="B753" s="120" t="s">
        <v>151</v>
      </c>
      <c r="C753" s="129">
        <v>41388</v>
      </c>
      <c r="D753" s="129">
        <v>21167.72</v>
      </c>
      <c r="E753" s="129">
        <v>0</v>
      </c>
      <c r="F753" s="129">
        <v>103575.6</v>
      </c>
      <c r="G753" s="129">
        <v>-62187.6</v>
      </c>
      <c r="H753" s="129">
        <v>250.25</v>
      </c>
      <c r="I753" s="129">
        <f>'Corporate Services'!J269</f>
        <v>-20220.28</v>
      </c>
      <c r="J753" s="129">
        <f>'Corporate Services'!K269</f>
        <v>21167.72</v>
      </c>
      <c r="K753" s="129">
        <f>'Corporate Services'!L269</f>
        <v>22490.702499999999</v>
      </c>
      <c r="L753" s="129">
        <f>'Corporate Services'!M269</f>
        <v>24065.051674999999</v>
      </c>
      <c r="O753" s="129">
        <f>'Corporate Services'!N269</f>
        <v>25749.605292249998</v>
      </c>
      <c r="P753" s="123" t="str">
        <f t="shared" si="276"/>
        <v>110</v>
      </c>
    </row>
    <row r="754" spans="1:16" x14ac:dyDescent="0.2">
      <c r="A754" s="119" t="s">
        <v>421</v>
      </c>
      <c r="B754" s="120" t="s">
        <v>152</v>
      </c>
      <c r="C754" s="129">
        <v>38100</v>
      </c>
      <c r="D754" s="129">
        <v>3172.75</v>
      </c>
      <c r="E754" s="129">
        <v>0</v>
      </c>
      <c r="F754" s="129">
        <v>19036.5</v>
      </c>
      <c r="G754" s="129">
        <v>19063.5</v>
      </c>
      <c r="H754" s="129">
        <v>49.96</v>
      </c>
      <c r="I754" s="129">
        <f>'Corporate Services'!J270</f>
        <v>0</v>
      </c>
      <c r="J754" s="129">
        <f>'Corporate Services'!K270</f>
        <v>38100</v>
      </c>
      <c r="K754" s="129">
        <f>'Corporate Services'!L270</f>
        <v>40481.25</v>
      </c>
      <c r="L754" s="129">
        <f>'Corporate Services'!M270</f>
        <v>43314.9375</v>
      </c>
      <c r="O754" s="129">
        <f>'Corporate Services'!N270</f>
        <v>46346.983124999999</v>
      </c>
      <c r="P754" s="123" t="str">
        <f t="shared" si="276"/>
        <v>110</v>
      </c>
    </row>
    <row r="755" spans="1:16" x14ac:dyDescent="0.2">
      <c r="A755" s="119" t="s">
        <v>422</v>
      </c>
      <c r="B755" s="120" t="s">
        <v>153</v>
      </c>
      <c r="C755" s="129">
        <v>10893</v>
      </c>
      <c r="D755" s="129">
        <v>907.77</v>
      </c>
      <c r="E755" s="129">
        <v>0</v>
      </c>
      <c r="F755" s="129">
        <v>5446.62</v>
      </c>
      <c r="G755" s="129">
        <v>5446.38</v>
      </c>
      <c r="H755" s="129">
        <v>50</v>
      </c>
      <c r="I755" s="129">
        <f>'Corporate Services'!J271</f>
        <v>0</v>
      </c>
      <c r="J755" s="129">
        <f>'Corporate Services'!K271</f>
        <v>10893</v>
      </c>
      <c r="K755" s="129">
        <f>'Corporate Services'!L271</f>
        <v>11573.8125</v>
      </c>
      <c r="L755" s="129">
        <f>'Corporate Services'!M271</f>
        <v>12383.979375000001</v>
      </c>
      <c r="O755" s="129">
        <f>'Corporate Services'!N271</f>
        <v>13250.857931250001</v>
      </c>
      <c r="P755" s="123" t="str">
        <f t="shared" si="276"/>
        <v>110</v>
      </c>
    </row>
    <row r="756" spans="1:16" x14ac:dyDescent="0.2">
      <c r="A756" s="119" t="s">
        <v>423</v>
      </c>
      <c r="B756" s="120" t="s">
        <v>155</v>
      </c>
      <c r="C756" s="129">
        <v>29391</v>
      </c>
      <c r="D756" s="129">
        <v>0</v>
      </c>
      <c r="E756" s="129">
        <v>0</v>
      </c>
      <c r="F756" s="129">
        <v>0</v>
      </c>
      <c r="G756" s="129">
        <v>29391</v>
      </c>
      <c r="H756" s="129">
        <v>0</v>
      </c>
      <c r="I756" s="129">
        <f>'Corporate Services'!J272</f>
        <v>0</v>
      </c>
      <c r="J756" s="129">
        <f>'Corporate Services'!K272</f>
        <v>29391</v>
      </c>
      <c r="K756" s="129">
        <f>'Corporate Services'!L272</f>
        <v>31227.9375</v>
      </c>
      <c r="L756" s="129">
        <f>'Corporate Services'!M272</f>
        <v>33413.893125000002</v>
      </c>
      <c r="O756" s="129">
        <f>'Corporate Services'!N272</f>
        <v>35752.865643750003</v>
      </c>
      <c r="P756" s="123" t="str">
        <f t="shared" si="276"/>
        <v>110</v>
      </c>
    </row>
    <row r="757" spans="1:16" x14ac:dyDescent="0.2">
      <c r="A757" s="119" t="s">
        <v>424</v>
      </c>
      <c r="B757" s="120" t="s">
        <v>156</v>
      </c>
      <c r="C757" s="129">
        <v>153077</v>
      </c>
      <c r="D757" s="129">
        <v>13001.46</v>
      </c>
      <c r="E757" s="129">
        <v>0</v>
      </c>
      <c r="F757" s="129">
        <v>77094.720000000001</v>
      </c>
      <c r="G757" s="129">
        <v>75982.28</v>
      </c>
      <c r="H757" s="129">
        <v>50.36</v>
      </c>
      <c r="I757" s="129">
        <f>'Corporate Services'!J273</f>
        <v>0</v>
      </c>
      <c r="J757" s="129">
        <f>'Corporate Services'!K273</f>
        <v>153077</v>
      </c>
      <c r="K757" s="129">
        <f>'Corporate Services'!L273</f>
        <v>162644.3125</v>
      </c>
      <c r="L757" s="129">
        <f>'Corporate Services'!M273</f>
        <v>174029.41437499999</v>
      </c>
      <c r="O757" s="129">
        <f>'Corporate Services'!N273</f>
        <v>186211.47338124999</v>
      </c>
      <c r="P757" s="123" t="str">
        <f t="shared" si="276"/>
        <v>110</v>
      </c>
    </row>
    <row r="758" spans="1:16" x14ac:dyDescent="0.2">
      <c r="A758" s="119" t="s">
        <v>425</v>
      </c>
      <c r="B758" s="120" t="s">
        <v>158</v>
      </c>
      <c r="C758" s="129">
        <v>12246</v>
      </c>
      <c r="D758" s="129">
        <v>0</v>
      </c>
      <c r="E758" s="129">
        <v>0</v>
      </c>
      <c r="F758" s="129">
        <v>0</v>
      </c>
      <c r="G758" s="129">
        <v>12246</v>
      </c>
      <c r="H758" s="129">
        <v>0</v>
      </c>
      <c r="I758" s="129">
        <f>'Corporate Services'!J274</f>
        <v>-12246</v>
      </c>
      <c r="J758" s="129">
        <f>'Corporate Services'!K274</f>
        <v>0</v>
      </c>
      <c r="K758" s="129">
        <f>'Corporate Services'!L274</f>
        <v>0</v>
      </c>
      <c r="L758" s="129">
        <f>'Corporate Services'!M274</f>
        <v>0</v>
      </c>
      <c r="O758" s="129">
        <f>'Corporate Services'!N274</f>
        <v>0</v>
      </c>
      <c r="P758" s="123" t="str">
        <f t="shared" si="276"/>
        <v>110</v>
      </c>
    </row>
    <row r="759" spans="1:16" x14ac:dyDescent="0.2">
      <c r="A759" s="119" t="s">
        <v>426</v>
      </c>
      <c r="B759" s="120" t="s">
        <v>159</v>
      </c>
      <c r="C759" s="129">
        <v>73808</v>
      </c>
      <c r="D759" s="129">
        <v>0</v>
      </c>
      <c r="E759" s="129">
        <v>0</v>
      </c>
      <c r="F759" s="129">
        <v>0</v>
      </c>
      <c r="G759" s="129">
        <v>73808</v>
      </c>
      <c r="H759" s="129">
        <v>0</v>
      </c>
      <c r="I759" s="129">
        <f>'Corporate Services'!J275</f>
        <v>17447</v>
      </c>
      <c r="J759" s="129">
        <f>'Corporate Services'!K275</f>
        <v>91255</v>
      </c>
      <c r="K759" s="129">
        <f>'Corporate Services'!L275</f>
        <v>96958.4375</v>
      </c>
      <c r="L759" s="129">
        <f>'Corporate Services'!M275</f>
        <v>103745.528125</v>
      </c>
      <c r="O759" s="129">
        <f>'Corporate Services'!N275</f>
        <v>111007.71509375</v>
      </c>
      <c r="P759" s="123" t="str">
        <f t="shared" si="276"/>
        <v>110</v>
      </c>
    </row>
    <row r="760" spans="1:16" x14ac:dyDescent="0.2">
      <c r="A760" s="119" t="s">
        <v>427</v>
      </c>
      <c r="B760" s="120" t="s">
        <v>164</v>
      </c>
      <c r="C760" s="129">
        <v>15692</v>
      </c>
      <c r="D760" s="129">
        <v>1307.7</v>
      </c>
      <c r="E760" s="129">
        <v>0</v>
      </c>
      <c r="F760" s="129">
        <v>7846.2</v>
      </c>
      <c r="G760" s="129">
        <v>7845.8</v>
      </c>
      <c r="H760" s="129">
        <v>50</v>
      </c>
      <c r="I760" s="129">
        <f>'Corporate Services'!J276</f>
        <v>0</v>
      </c>
      <c r="J760" s="129">
        <f>'Corporate Services'!K276</f>
        <v>15692</v>
      </c>
      <c r="K760" s="129">
        <f>'Corporate Services'!L276</f>
        <v>16672.75</v>
      </c>
      <c r="L760" s="129">
        <f>'Corporate Services'!M276</f>
        <v>17839.842499999999</v>
      </c>
      <c r="O760" s="129">
        <f>'Corporate Services'!N276</f>
        <v>19088.631474999998</v>
      </c>
      <c r="P760" s="123" t="str">
        <f t="shared" si="276"/>
        <v>110</v>
      </c>
    </row>
    <row r="761" spans="1:16" x14ac:dyDescent="0.2">
      <c r="A761" s="119"/>
      <c r="B761" s="120"/>
      <c r="C761" s="129"/>
      <c r="D761" s="129"/>
      <c r="E761" s="129"/>
      <c r="F761" s="129"/>
      <c r="G761" s="129"/>
      <c r="H761" s="129"/>
      <c r="I761" s="129">
        <f>'Corporate Services'!J277</f>
        <v>0</v>
      </c>
      <c r="J761" s="129"/>
      <c r="K761" s="129"/>
      <c r="L761" s="129"/>
      <c r="O761" s="129"/>
      <c r="P761" s="123" t="str">
        <f t="shared" si="276"/>
        <v/>
      </c>
    </row>
    <row r="762" spans="1:16" s="114" customFormat="1" ht="15" x14ac:dyDescent="0.25">
      <c r="A762" s="118"/>
      <c r="B762" s="117" t="s">
        <v>165</v>
      </c>
      <c r="C762" s="128">
        <f>SUM(C752:C761)</f>
        <v>1296294</v>
      </c>
      <c r="D762" s="128">
        <f t="shared" ref="D762:O762" si="282">SUM(D752:D761)</f>
        <v>124854.15999999999</v>
      </c>
      <c r="E762" s="128">
        <f t="shared" si="282"/>
        <v>0</v>
      </c>
      <c r="F762" s="128">
        <f t="shared" si="282"/>
        <v>716290.04999999993</v>
      </c>
      <c r="G762" s="128">
        <f t="shared" si="282"/>
        <v>580003.95000000007</v>
      </c>
      <c r="H762" s="128">
        <f t="shared" si="282"/>
        <v>505.17</v>
      </c>
      <c r="I762" s="128">
        <f t="shared" si="282"/>
        <v>-15019.279999999999</v>
      </c>
      <c r="J762" s="128">
        <f t="shared" si="282"/>
        <v>1281274.72</v>
      </c>
      <c r="K762" s="128">
        <f t="shared" si="282"/>
        <v>1361354.3900000001</v>
      </c>
      <c r="L762" s="128">
        <f t="shared" si="282"/>
        <v>1456649.1973000001</v>
      </c>
      <c r="M762" s="128">
        <f t="shared" si="282"/>
        <v>0</v>
      </c>
      <c r="N762" s="128">
        <f t="shared" si="282"/>
        <v>0</v>
      </c>
      <c r="O762" s="128">
        <f t="shared" si="282"/>
        <v>1558614.641111</v>
      </c>
      <c r="P762" s="123" t="str">
        <f t="shared" si="276"/>
        <v/>
      </c>
    </row>
    <row r="763" spans="1:16" s="114" customFormat="1" ht="15" x14ac:dyDescent="0.25">
      <c r="A763" s="118"/>
      <c r="B763" s="117"/>
      <c r="C763" s="128"/>
      <c r="D763" s="128"/>
      <c r="E763" s="128"/>
      <c r="F763" s="128"/>
      <c r="G763" s="128"/>
      <c r="H763" s="128"/>
      <c r="I763" s="129">
        <f>'Corporate Services'!J279</f>
        <v>0</v>
      </c>
      <c r="J763" s="129"/>
      <c r="K763" s="129"/>
      <c r="L763" s="129"/>
      <c r="M763" s="186"/>
      <c r="N763" s="186"/>
      <c r="O763" s="128"/>
      <c r="P763" s="123" t="str">
        <f t="shared" si="276"/>
        <v/>
      </c>
    </row>
    <row r="764" spans="1:16" s="114" customFormat="1" ht="15" x14ac:dyDescent="0.25">
      <c r="A764" s="118"/>
      <c r="B764" s="117" t="s">
        <v>166</v>
      </c>
      <c r="C764" s="128"/>
      <c r="D764" s="128"/>
      <c r="E764" s="128"/>
      <c r="F764" s="128"/>
      <c r="G764" s="128"/>
      <c r="H764" s="128"/>
      <c r="I764" s="129">
        <f>'Corporate Services'!J280</f>
        <v>0</v>
      </c>
      <c r="J764" s="129"/>
      <c r="K764" s="129"/>
      <c r="L764" s="129"/>
      <c r="M764" s="186"/>
      <c r="N764" s="186"/>
      <c r="O764" s="128"/>
      <c r="P764" s="123" t="str">
        <f t="shared" si="276"/>
        <v/>
      </c>
    </row>
    <row r="765" spans="1:16" s="114" customFormat="1" ht="15" x14ac:dyDescent="0.25">
      <c r="A765" s="118"/>
      <c r="B765" s="117"/>
      <c r="C765" s="128"/>
      <c r="D765" s="128"/>
      <c r="E765" s="128"/>
      <c r="F765" s="128"/>
      <c r="G765" s="128"/>
      <c r="H765" s="128"/>
      <c r="I765" s="129">
        <f>'Corporate Services'!J281</f>
        <v>0</v>
      </c>
      <c r="J765" s="129"/>
      <c r="K765" s="129"/>
      <c r="L765" s="129"/>
      <c r="M765" s="186"/>
      <c r="N765" s="186"/>
      <c r="O765" s="128"/>
      <c r="P765" s="123" t="str">
        <f t="shared" si="276"/>
        <v/>
      </c>
    </row>
    <row r="766" spans="1:16" x14ac:dyDescent="0.2">
      <c r="A766" s="119" t="s">
        <v>428</v>
      </c>
      <c r="B766" s="120" t="s">
        <v>167</v>
      </c>
      <c r="C766" s="129">
        <v>225</v>
      </c>
      <c r="D766" s="129">
        <v>23.3</v>
      </c>
      <c r="E766" s="129">
        <v>0</v>
      </c>
      <c r="F766" s="129">
        <v>139.80000000000001</v>
      </c>
      <c r="G766" s="129">
        <v>85.2</v>
      </c>
      <c r="H766" s="129">
        <v>62.13</v>
      </c>
      <c r="I766" s="129">
        <f>'Corporate Services'!J282</f>
        <v>0</v>
      </c>
      <c r="J766" s="129">
        <f>'Corporate Services'!K282</f>
        <v>225</v>
      </c>
      <c r="K766" s="129">
        <f>'Corporate Services'!L282</f>
        <v>239.0625</v>
      </c>
      <c r="L766" s="129">
        <f>'Corporate Services'!M282</f>
        <v>255.796875</v>
      </c>
      <c r="O766" s="129">
        <f>'Corporate Services'!N282</f>
        <v>273.70265625000002</v>
      </c>
      <c r="P766" s="123" t="str">
        <f t="shared" si="276"/>
        <v>130</v>
      </c>
    </row>
    <row r="767" spans="1:16" x14ac:dyDescent="0.2">
      <c r="A767" s="119" t="s">
        <v>429</v>
      </c>
      <c r="B767" s="120" t="s">
        <v>168</v>
      </c>
      <c r="C767" s="129">
        <v>107816</v>
      </c>
      <c r="D767" s="129">
        <v>8948.4</v>
      </c>
      <c r="E767" s="129">
        <v>0</v>
      </c>
      <c r="F767" s="129">
        <v>53690.400000000001</v>
      </c>
      <c r="G767" s="129">
        <v>54125.599999999999</v>
      </c>
      <c r="H767" s="129">
        <v>49.79</v>
      </c>
      <c r="I767" s="129">
        <f>'Corporate Services'!J283</f>
        <v>0</v>
      </c>
      <c r="J767" s="129">
        <f>'Corporate Services'!K283</f>
        <v>107816</v>
      </c>
      <c r="K767" s="129">
        <f>'Corporate Services'!L283</f>
        <v>114554.5</v>
      </c>
      <c r="L767" s="129">
        <f>'Corporate Services'!M283</f>
        <v>122573.315</v>
      </c>
      <c r="O767" s="129">
        <f>'Corporate Services'!N283</f>
        <v>131153.44705000002</v>
      </c>
      <c r="P767" s="123" t="str">
        <f t="shared" si="276"/>
        <v>130</v>
      </c>
    </row>
    <row r="768" spans="1:16" x14ac:dyDescent="0.2">
      <c r="A768" s="119" t="s">
        <v>430</v>
      </c>
      <c r="B768" s="120" t="s">
        <v>169</v>
      </c>
      <c r="C768" s="129">
        <v>194854</v>
      </c>
      <c r="D768" s="129">
        <v>16282.23</v>
      </c>
      <c r="E768" s="129">
        <v>0</v>
      </c>
      <c r="F768" s="129">
        <v>96143.39</v>
      </c>
      <c r="G768" s="129">
        <v>98710.61</v>
      </c>
      <c r="H768" s="129">
        <v>49.34</v>
      </c>
      <c r="I768" s="129">
        <f>'Corporate Services'!J284</f>
        <v>0</v>
      </c>
      <c r="J768" s="129">
        <f>'Corporate Services'!K284</f>
        <v>194854</v>
      </c>
      <c r="K768" s="129">
        <f>'Corporate Services'!L284</f>
        <v>207032.375</v>
      </c>
      <c r="L768" s="129">
        <f>'Corporate Services'!M284</f>
        <v>221524.64124999999</v>
      </c>
      <c r="O768" s="129">
        <f>'Corporate Services'!N284</f>
        <v>237031.36613749998</v>
      </c>
      <c r="P768" s="123" t="str">
        <f t="shared" si="276"/>
        <v>130</v>
      </c>
    </row>
    <row r="769" spans="1:16" x14ac:dyDescent="0.2">
      <c r="A769" s="119" t="s">
        <v>431</v>
      </c>
      <c r="B769" s="120" t="s">
        <v>170</v>
      </c>
      <c r="C769" s="129">
        <v>3570</v>
      </c>
      <c r="D769" s="129">
        <v>371.8</v>
      </c>
      <c r="E769" s="129">
        <v>0</v>
      </c>
      <c r="F769" s="129">
        <v>2230.8000000000002</v>
      </c>
      <c r="G769" s="129">
        <v>1339.2</v>
      </c>
      <c r="H769" s="129">
        <v>62.48</v>
      </c>
      <c r="I769" s="129">
        <f>'Corporate Services'!J285</f>
        <v>0</v>
      </c>
      <c r="J769" s="129">
        <f>'Corporate Services'!K285</f>
        <v>3570</v>
      </c>
      <c r="K769" s="129">
        <f>'Corporate Services'!L285</f>
        <v>3793.125</v>
      </c>
      <c r="L769" s="129">
        <f>'Corporate Services'!M285</f>
        <v>4058.6437500000002</v>
      </c>
      <c r="O769" s="129">
        <f>'Corporate Services'!N285</f>
        <v>4342.7488125</v>
      </c>
      <c r="P769" s="123" t="str">
        <f t="shared" si="276"/>
        <v>130</v>
      </c>
    </row>
    <row r="770" spans="1:16" x14ac:dyDescent="0.2">
      <c r="A770" s="119"/>
      <c r="B770" s="120"/>
      <c r="C770" s="129"/>
      <c r="D770" s="129"/>
      <c r="E770" s="129"/>
      <c r="F770" s="129"/>
      <c r="G770" s="129"/>
      <c r="H770" s="129"/>
      <c r="I770" s="129">
        <f>'Corporate Services'!J286</f>
        <v>0</v>
      </c>
      <c r="J770" s="129"/>
      <c r="K770" s="129"/>
      <c r="L770" s="129"/>
      <c r="O770" s="129"/>
      <c r="P770" s="123" t="str">
        <f t="shared" si="276"/>
        <v/>
      </c>
    </row>
    <row r="771" spans="1:16" s="114" customFormat="1" ht="15" x14ac:dyDescent="0.25">
      <c r="A771" s="118"/>
      <c r="B771" s="117" t="s">
        <v>171</v>
      </c>
      <c r="C771" s="128">
        <f>SUM(C766:C770)</f>
        <v>306465</v>
      </c>
      <c r="D771" s="128">
        <f t="shared" ref="D771:O771" si="283">SUM(D766:D770)</f>
        <v>25625.73</v>
      </c>
      <c r="E771" s="128">
        <f t="shared" si="283"/>
        <v>0</v>
      </c>
      <c r="F771" s="128">
        <f t="shared" si="283"/>
        <v>152204.38999999998</v>
      </c>
      <c r="G771" s="128">
        <f t="shared" si="283"/>
        <v>154260.61000000002</v>
      </c>
      <c r="H771" s="128">
        <f t="shared" si="283"/>
        <v>223.73999999999998</v>
      </c>
      <c r="I771" s="128">
        <f t="shared" si="283"/>
        <v>0</v>
      </c>
      <c r="J771" s="128">
        <f t="shared" si="283"/>
        <v>306465</v>
      </c>
      <c r="K771" s="128">
        <f t="shared" si="283"/>
        <v>325619.0625</v>
      </c>
      <c r="L771" s="128">
        <f t="shared" si="283"/>
        <v>348412.39687499998</v>
      </c>
      <c r="M771" s="128">
        <f t="shared" si="283"/>
        <v>0</v>
      </c>
      <c r="N771" s="128">
        <f t="shared" si="283"/>
        <v>0</v>
      </c>
      <c r="O771" s="128">
        <f t="shared" si="283"/>
        <v>372801.26465624996</v>
      </c>
      <c r="P771" s="123" t="str">
        <f t="shared" si="276"/>
        <v/>
      </c>
    </row>
    <row r="772" spans="1:16" s="114" customFormat="1" ht="15" x14ac:dyDescent="0.25">
      <c r="A772" s="118"/>
      <c r="B772" s="117"/>
      <c r="C772" s="128"/>
      <c r="D772" s="128"/>
      <c r="E772" s="128"/>
      <c r="F772" s="128"/>
      <c r="G772" s="128"/>
      <c r="H772" s="128"/>
      <c r="I772" s="129">
        <f>'Corporate Services'!J288</f>
        <v>0</v>
      </c>
      <c r="J772" s="129"/>
      <c r="K772" s="129"/>
      <c r="L772" s="129"/>
      <c r="M772" s="186"/>
      <c r="N772" s="186"/>
      <c r="O772" s="128"/>
      <c r="P772" s="123" t="str">
        <f t="shared" si="276"/>
        <v/>
      </c>
    </row>
    <row r="773" spans="1:16" s="114" customFormat="1" ht="15" x14ac:dyDescent="0.25">
      <c r="A773" s="118"/>
      <c r="B773" s="117" t="s">
        <v>172</v>
      </c>
      <c r="C773" s="128"/>
      <c r="D773" s="128"/>
      <c r="E773" s="128"/>
      <c r="F773" s="128"/>
      <c r="G773" s="128"/>
      <c r="H773" s="128"/>
      <c r="I773" s="129">
        <f>'Corporate Services'!J289</f>
        <v>0</v>
      </c>
      <c r="J773" s="129"/>
      <c r="K773" s="129"/>
      <c r="L773" s="129"/>
      <c r="M773" s="186"/>
      <c r="N773" s="186"/>
      <c r="O773" s="128"/>
      <c r="P773" s="123" t="str">
        <f t="shared" si="276"/>
        <v/>
      </c>
    </row>
    <row r="774" spans="1:16" x14ac:dyDescent="0.2">
      <c r="A774" s="119"/>
      <c r="B774" s="120"/>
      <c r="C774" s="129"/>
      <c r="D774" s="129"/>
      <c r="E774" s="129"/>
      <c r="F774" s="129"/>
      <c r="G774" s="129"/>
      <c r="H774" s="129"/>
      <c r="I774" s="129">
        <f>'Corporate Services'!J290</f>
        <v>0</v>
      </c>
      <c r="J774" s="129"/>
      <c r="K774" s="129"/>
      <c r="L774" s="129"/>
      <c r="O774" s="129"/>
      <c r="P774" s="123" t="str">
        <f t="shared" si="276"/>
        <v/>
      </c>
    </row>
    <row r="775" spans="1:16" x14ac:dyDescent="0.2">
      <c r="A775" s="119" t="s">
        <v>432</v>
      </c>
      <c r="B775" s="120" t="s">
        <v>173</v>
      </c>
      <c r="C775" s="129">
        <v>3453</v>
      </c>
      <c r="D775" s="129">
        <v>0</v>
      </c>
      <c r="E775" s="129">
        <v>0</v>
      </c>
      <c r="F775" s="129">
        <v>0</v>
      </c>
      <c r="G775" s="129">
        <v>3453</v>
      </c>
      <c r="H775" s="129">
        <v>0</v>
      </c>
      <c r="I775" s="129">
        <f>'Corporate Services'!J291</f>
        <v>0</v>
      </c>
      <c r="J775" s="129">
        <f>'Corporate Services'!K291</f>
        <v>3453</v>
      </c>
      <c r="K775" s="129">
        <f>'Corporate Services'!L291</f>
        <v>3668.8125</v>
      </c>
      <c r="L775" s="129">
        <f>'Corporate Services'!M291</f>
        <v>3925.629375</v>
      </c>
      <c r="O775" s="129">
        <f>'Corporate Services'!N291</f>
        <v>4200.4234312500002</v>
      </c>
      <c r="P775" s="123" t="str">
        <f t="shared" ref="P775:P838" si="284">MID(A775,6,3)</f>
        <v>140</v>
      </c>
    </row>
    <row r="776" spans="1:16" x14ac:dyDescent="0.2">
      <c r="A776" s="119" t="s">
        <v>433</v>
      </c>
      <c r="B776" s="120" t="s">
        <v>174</v>
      </c>
      <c r="C776" s="129">
        <v>1415</v>
      </c>
      <c r="D776" s="129">
        <v>0</v>
      </c>
      <c r="E776" s="129">
        <v>0</v>
      </c>
      <c r="F776" s="129">
        <v>0</v>
      </c>
      <c r="G776" s="129">
        <v>1415</v>
      </c>
      <c r="H776" s="129">
        <v>0</v>
      </c>
      <c r="I776" s="129">
        <f>'Corporate Services'!J292</f>
        <v>0</v>
      </c>
      <c r="J776" s="129">
        <f>'Corporate Services'!K292</f>
        <v>1415</v>
      </c>
      <c r="K776" s="129">
        <f>'Corporate Services'!L292</f>
        <v>1503.4375</v>
      </c>
      <c r="L776" s="129">
        <f>'Corporate Services'!M292</f>
        <v>1608.6781249999999</v>
      </c>
      <c r="O776" s="129">
        <f>'Corporate Services'!N292</f>
        <v>1721.2855937499999</v>
      </c>
      <c r="P776" s="123" t="str">
        <f t="shared" si="284"/>
        <v>140</v>
      </c>
    </row>
    <row r="777" spans="1:16" x14ac:dyDescent="0.2">
      <c r="A777" s="119" t="s">
        <v>434</v>
      </c>
      <c r="B777" s="120" t="s">
        <v>175</v>
      </c>
      <c r="C777" s="129">
        <v>9596</v>
      </c>
      <c r="D777" s="129">
        <v>0</v>
      </c>
      <c r="E777" s="129">
        <v>0</v>
      </c>
      <c r="F777" s="129">
        <v>0</v>
      </c>
      <c r="G777" s="129">
        <v>9596</v>
      </c>
      <c r="H777" s="129">
        <v>0</v>
      </c>
      <c r="I777" s="129">
        <f>'Corporate Services'!J293</f>
        <v>0</v>
      </c>
      <c r="J777" s="129">
        <f>'Corporate Services'!K293</f>
        <v>9596</v>
      </c>
      <c r="K777" s="129">
        <f>'Corporate Services'!L293</f>
        <v>10195.75</v>
      </c>
      <c r="L777" s="129">
        <f>'Corporate Services'!M293</f>
        <v>10909.452499999999</v>
      </c>
      <c r="O777" s="129">
        <f>'Corporate Services'!N293</f>
        <v>11673.114174999999</v>
      </c>
      <c r="P777" s="123" t="str">
        <f t="shared" si="284"/>
        <v>142</v>
      </c>
    </row>
    <row r="778" spans="1:16" x14ac:dyDescent="0.2">
      <c r="A778" s="119"/>
      <c r="B778" s="120"/>
      <c r="C778" s="129"/>
      <c r="D778" s="129"/>
      <c r="E778" s="129"/>
      <c r="F778" s="129"/>
      <c r="G778" s="129"/>
      <c r="H778" s="129"/>
      <c r="I778" s="129">
        <f>'Corporate Services'!J294</f>
        <v>0</v>
      </c>
      <c r="J778" s="129"/>
      <c r="K778" s="129"/>
      <c r="L778" s="129"/>
      <c r="O778" s="129"/>
      <c r="P778" s="123" t="str">
        <f t="shared" si="284"/>
        <v/>
      </c>
    </row>
    <row r="779" spans="1:16" s="114" customFormat="1" ht="15" x14ac:dyDescent="0.25">
      <c r="A779" s="118"/>
      <c r="B779" s="117" t="s">
        <v>176</v>
      </c>
      <c r="C779" s="128">
        <f>SUM(C775:C778)</f>
        <v>14464</v>
      </c>
      <c r="D779" s="128">
        <f t="shared" ref="D779:O779" si="285">SUM(D775:D778)</f>
        <v>0</v>
      </c>
      <c r="E779" s="128">
        <f t="shared" si="285"/>
        <v>0</v>
      </c>
      <c r="F779" s="128">
        <f t="shared" si="285"/>
        <v>0</v>
      </c>
      <c r="G779" s="128">
        <f t="shared" si="285"/>
        <v>14464</v>
      </c>
      <c r="H779" s="128">
        <f t="shared" si="285"/>
        <v>0</v>
      </c>
      <c r="I779" s="128">
        <f t="shared" si="285"/>
        <v>0</v>
      </c>
      <c r="J779" s="128">
        <f t="shared" si="285"/>
        <v>14464</v>
      </c>
      <c r="K779" s="128">
        <f t="shared" si="285"/>
        <v>15368</v>
      </c>
      <c r="L779" s="128">
        <f t="shared" si="285"/>
        <v>16443.759999999998</v>
      </c>
      <c r="M779" s="128">
        <f t="shared" si="285"/>
        <v>0</v>
      </c>
      <c r="N779" s="128">
        <f t="shared" si="285"/>
        <v>0</v>
      </c>
      <c r="O779" s="128">
        <f t="shared" si="285"/>
        <v>17594.823199999999</v>
      </c>
      <c r="P779" s="123" t="str">
        <f t="shared" si="284"/>
        <v/>
      </c>
    </row>
    <row r="780" spans="1:16" s="114" customFormat="1" ht="15" x14ac:dyDescent="0.25">
      <c r="A780" s="118"/>
      <c r="B780" s="117"/>
      <c r="C780" s="128"/>
      <c r="D780" s="128"/>
      <c r="E780" s="128"/>
      <c r="F780" s="128"/>
      <c r="G780" s="128"/>
      <c r="H780" s="128"/>
      <c r="I780" s="128">
        <f>'Corporate Services'!J296</f>
        <v>0</v>
      </c>
      <c r="J780" s="128"/>
      <c r="K780" s="128"/>
      <c r="L780" s="128"/>
      <c r="M780" s="186"/>
      <c r="N780" s="186"/>
      <c r="O780" s="128"/>
      <c r="P780" s="123" t="str">
        <f t="shared" si="284"/>
        <v/>
      </c>
    </row>
    <row r="781" spans="1:16" s="114" customFormat="1" ht="15" x14ac:dyDescent="0.25">
      <c r="A781" s="118"/>
      <c r="B781" s="117" t="s">
        <v>177</v>
      </c>
      <c r="C781" s="128">
        <f>C762+C771+C779</f>
        <v>1617223</v>
      </c>
      <c r="D781" s="128">
        <f t="shared" ref="D781:O781" si="286">D762+D771+D779</f>
        <v>150479.88999999998</v>
      </c>
      <c r="E781" s="128">
        <f t="shared" si="286"/>
        <v>0</v>
      </c>
      <c r="F781" s="128">
        <f t="shared" si="286"/>
        <v>868494.44</v>
      </c>
      <c r="G781" s="128">
        <f t="shared" si="286"/>
        <v>748728.56</v>
      </c>
      <c r="H781" s="128">
        <f t="shared" si="286"/>
        <v>728.91</v>
      </c>
      <c r="I781" s="128">
        <f t="shared" si="286"/>
        <v>-15019.279999999999</v>
      </c>
      <c r="J781" s="128">
        <f t="shared" si="286"/>
        <v>1602203.72</v>
      </c>
      <c r="K781" s="128">
        <f t="shared" si="286"/>
        <v>1702341.4525000001</v>
      </c>
      <c r="L781" s="128">
        <f t="shared" si="286"/>
        <v>1821505.3541750002</v>
      </c>
      <c r="M781" s="128">
        <f t="shared" si="286"/>
        <v>0</v>
      </c>
      <c r="N781" s="128">
        <f t="shared" si="286"/>
        <v>0</v>
      </c>
      <c r="O781" s="128">
        <f t="shared" si="286"/>
        <v>1949010.7289672499</v>
      </c>
      <c r="P781" s="123" t="str">
        <f t="shared" si="284"/>
        <v/>
      </c>
    </row>
    <row r="782" spans="1:16" s="114" customFormat="1" ht="15" x14ac:dyDescent="0.25">
      <c r="A782" s="118"/>
      <c r="B782" s="117"/>
      <c r="C782" s="128"/>
      <c r="D782" s="128"/>
      <c r="E782" s="128"/>
      <c r="F782" s="128"/>
      <c r="G782" s="128"/>
      <c r="H782" s="128"/>
      <c r="I782" s="128">
        <f>'Corporate Services'!J298</f>
        <v>0</v>
      </c>
      <c r="J782" s="128"/>
      <c r="K782" s="128"/>
      <c r="L782" s="128"/>
      <c r="M782" s="186"/>
      <c r="N782" s="186"/>
      <c r="O782" s="128"/>
      <c r="P782" s="123" t="str">
        <f t="shared" si="284"/>
        <v/>
      </c>
    </row>
    <row r="783" spans="1:16" s="114" customFormat="1" ht="15" x14ac:dyDescent="0.25">
      <c r="A783" s="118"/>
      <c r="B783" s="117" t="s">
        <v>178</v>
      </c>
      <c r="C783" s="128">
        <f>C781</f>
        <v>1617223</v>
      </c>
      <c r="D783" s="128">
        <f t="shared" ref="D783:O783" si="287">D781</f>
        <v>150479.88999999998</v>
      </c>
      <c r="E783" s="128">
        <f t="shared" si="287"/>
        <v>0</v>
      </c>
      <c r="F783" s="128">
        <f t="shared" si="287"/>
        <v>868494.44</v>
      </c>
      <c r="G783" s="128">
        <f t="shared" si="287"/>
        <v>748728.56</v>
      </c>
      <c r="H783" s="128">
        <f t="shared" si="287"/>
        <v>728.91</v>
      </c>
      <c r="I783" s="128">
        <f t="shared" si="287"/>
        <v>-15019.279999999999</v>
      </c>
      <c r="J783" s="128">
        <f t="shared" si="287"/>
        <v>1602203.72</v>
      </c>
      <c r="K783" s="128">
        <f t="shared" si="287"/>
        <v>1702341.4525000001</v>
      </c>
      <c r="L783" s="128">
        <f t="shared" si="287"/>
        <v>1821505.3541750002</v>
      </c>
      <c r="M783" s="128">
        <f t="shared" si="287"/>
        <v>0</v>
      </c>
      <c r="N783" s="128">
        <f t="shared" si="287"/>
        <v>0</v>
      </c>
      <c r="O783" s="128">
        <f t="shared" si="287"/>
        <v>1949010.7289672499</v>
      </c>
      <c r="P783" s="123" t="str">
        <f t="shared" si="284"/>
        <v/>
      </c>
    </row>
    <row r="784" spans="1:16" s="114" customFormat="1" ht="15" x14ac:dyDescent="0.25">
      <c r="A784" s="118"/>
      <c r="B784" s="117"/>
      <c r="C784" s="128"/>
      <c r="D784" s="128"/>
      <c r="E784" s="128"/>
      <c r="F784" s="128"/>
      <c r="G784" s="128"/>
      <c r="H784" s="128"/>
      <c r="I784" s="129">
        <f>'Corporate Services'!J300</f>
        <v>0</v>
      </c>
      <c r="J784" s="129"/>
      <c r="K784" s="129"/>
      <c r="L784" s="129"/>
      <c r="M784" s="186"/>
      <c r="N784" s="186"/>
      <c r="O784" s="128"/>
      <c r="P784" s="123" t="str">
        <f t="shared" si="284"/>
        <v/>
      </c>
    </row>
    <row r="785" spans="1:16" s="114" customFormat="1" ht="15" x14ac:dyDescent="0.25">
      <c r="A785" s="118"/>
      <c r="B785" s="117" t="s">
        <v>208</v>
      </c>
      <c r="C785" s="128"/>
      <c r="D785" s="128"/>
      <c r="E785" s="128"/>
      <c r="F785" s="128"/>
      <c r="G785" s="128"/>
      <c r="H785" s="128"/>
      <c r="I785" s="129">
        <f>'Corporate Services'!J301</f>
        <v>0</v>
      </c>
      <c r="J785" s="129"/>
      <c r="K785" s="129"/>
      <c r="L785" s="129"/>
      <c r="M785" s="186"/>
      <c r="N785" s="186"/>
      <c r="O785" s="128"/>
      <c r="P785" s="123" t="str">
        <f t="shared" si="284"/>
        <v/>
      </c>
    </row>
    <row r="786" spans="1:16" s="114" customFormat="1" ht="15" x14ac:dyDescent="0.25">
      <c r="A786" s="118"/>
      <c r="B786" s="117" t="s">
        <v>209</v>
      </c>
      <c r="C786" s="128"/>
      <c r="D786" s="128"/>
      <c r="E786" s="128"/>
      <c r="F786" s="128"/>
      <c r="G786" s="128"/>
      <c r="H786" s="128"/>
      <c r="I786" s="129">
        <f>'Corporate Services'!J302</f>
        <v>0</v>
      </c>
      <c r="J786" s="129"/>
      <c r="K786" s="129"/>
      <c r="L786" s="129"/>
      <c r="M786" s="186"/>
      <c r="N786" s="186"/>
      <c r="O786" s="128"/>
      <c r="P786" s="123" t="str">
        <f t="shared" si="284"/>
        <v/>
      </c>
    </row>
    <row r="787" spans="1:16" s="114" customFormat="1" ht="15" x14ac:dyDescent="0.25">
      <c r="A787" s="118"/>
      <c r="B787" s="117" t="s">
        <v>228</v>
      </c>
      <c r="C787" s="128"/>
      <c r="D787" s="128"/>
      <c r="E787" s="128"/>
      <c r="F787" s="128"/>
      <c r="G787" s="128"/>
      <c r="H787" s="128"/>
      <c r="I787" s="129">
        <f>'Corporate Services'!J303</f>
        <v>0</v>
      </c>
      <c r="J787" s="129"/>
      <c r="K787" s="129"/>
      <c r="L787" s="129"/>
      <c r="M787" s="186"/>
      <c r="N787" s="186"/>
      <c r="O787" s="128"/>
      <c r="P787" s="123" t="str">
        <f t="shared" si="284"/>
        <v/>
      </c>
    </row>
    <row r="788" spans="1:16" x14ac:dyDescent="0.2">
      <c r="A788" s="119"/>
      <c r="B788" s="120"/>
      <c r="C788" s="129"/>
      <c r="D788" s="129"/>
      <c r="E788" s="129"/>
      <c r="F788" s="129"/>
      <c r="G788" s="129"/>
      <c r="H788" s="129"/>
      <c r="I788" s="129">
        <f>'Corporate Services'!J304</f>
        <v>0</v>
      </c>
      <c r="J788" s="129"/>
      <c r="K788" s="129"/>
      <c r="L788" s="129"/>
      <c r="O788" s="129"/>
      <c r="P788" s="123" t="str">
        <f t="shared" si="284"/>
        <v/>
      </c>
    </row>
    <row r="789" spans="1:16" x14ac:dyDescent="0.2">
      <c r="A789" s="119" t="s">
        <v>435</v>
      </c>
      <c r="B789" s="120" t="s">
        <v>233</v>
      </c>
      <c r="C789" s="129">
        <v>84047</v>
      </c>
      <c r="D789" s="129">
        <v>0</v>
      </c>
      <c r="E789" s="129">
        <v>0</v>
      </c>
      <c r="F789" s="129">
        <v>28976.22</v>
      </c>
      <c r="G789" s="129">
        <v>55070.78</v>
      </c>
      <c r="H789" s="129">
        <v>34.47</v>
      </c>
      <c r="I789" s="129">
        <f>'Corporate Services'!J305</f>
        <v>0</v>
      </c>
      <c r="J789" s="129">
        <f>'Corporate Services'!K305</f>
        <v>84047</v>
      </c>
      <c r="K789" s="129">
        <f>'Corporate Services'!L305</f>
        <v>87829.115000000005</v>
      </c>
      <c r="L789" s="129">
        <f>'Corporate Services'!M305</f>
        <v>91869.254290000012</v>
      </c>
      <c r="O789" s="129">
        <f>'Corporate Services'!N305</f>
        <v>96095.239987340014</v>
      </c>
      <c r="P789" s="123" t="str">
        <f t="shared" si="284"/>
        <v>281</v>
      </c>
    </row>
    <row r="790" spans="1:16" x14ac:dyDescent="0.2">
      <c r="A790" s="119" t="s">
        <v>436</v>
      </c>
      <c r="B790" s="120" t="s">
        <v>235</v>
      </c>
      <c r="C790" s="129">
        <v>460000</v>
      </c>
      <c r="D790" s="129">
        <v>195500</v>
      </c>
      <c r="E790" s="129">
        <v>0</v>
      </c>
      <c r="F790" s="129">
        <v>446611.24</v>
      </c>
      <c r="G790" s="129">
        <v>13388.76</v>
      </c>
      <c r="H790" s="129">
        <v>97.08</v>
      </c>
      <c r="I790" s="129">
        <f>'Corporate Services'!J306</f>
        <v>60000.000000000116</v>
      </c>
      <c r="J790" s="129">
        <f>'Corporate Services'!K306</f>
        <v>460000.00000000012</v>
      </c>
      <c r="K790" s="129">
        <f>'Corporate Services'!L306</f>
        <v>800000</v>
      </c>
      <c r="L790" s="129">
        <f>'Corporate Services'!M306</f>
        <v>836800</v>
      </c>
      <c r="O790" s="129">
        <f>'Corporate Services'!N306</f>
        <v>875292.8</v>
      </c>
      <c r="P790" s="123" t="str">
        <f t="shared" si="284"/>
        <v>283</v>
      </c>
    </row>
    <row r="791" spans="1:16" x14ac:dyDescent="0.2">
      <c r="A791" s="119" t="s">
        <v>437</v>
      </c>
      <c r="B791" s="120" t="s">
        <v>235</v>
      </c>
      <c r="C791" s="129">
        <v>540000</v>
      </c>
      <c r="D791" s="129">
        <v>52764</v>
      </c>
      <c r="E791" s="129">
        <v>0</v>
      </c>
      <c r="F791" s="129">
        <v>347609.27</v>
      </c>
      <c r="G791" s="129">
        <v>192390.73</v>
      </c>
      <c r="H791" s="129">
        <v>64.37</v>
      </c>
      <c r="I791" s="129">
        <f>'Corporate Services'!J307</f>
        <v>-60000.000000000116</v>
      </c>
      <c r="J791" s="129">
        <f>'Corporate Services'!K307</f>
        <v>539999.99999999988</v>
      </c>
      <c r="K791" s="129">
        <f>'Corporate Services'!L307</f>
        <v>700000</v>
      </c>
      <c r="L791" s="129">
        <f>'Corporate Services'!M307</f>
        <v>732200</v>
      </c>
      <c r="O791" s="129">
        <f>'Corporate Services'!N307</f>
        <v>765881.2</v>
      </c>
      <c r="P791" s="123" t="str">
        <f t="shared" si="284"/>
        <v>283</v>
      </c>
    </row>
    <row r="792" spans="1:16" x14ac:dyDescent="0.2">
      <c r="A792" s="119"/>
      <c r="B792" s="120"/>
      <c r="C792" s="129"/>
      <c r="D792" s="129"/>
      <c r="E792" s="129"/>
      <c r="F792" s="129"/>
      <c r="G792" s="129"/>
      <c r="H792" s="129"/>
      <c r="I792" s="129">
        <f>'Corporate Services'!J308</f>
        <v>0</v>
      </c>
      <c r="J792" s="129"/>
      <c r="K792" s="129"/>
      <c r="L792" s="129"/>
      <c r="O792" s="129"/>
      <c r="P792" s="123" t="str">
        <f t="shared" si="284"/>
        <v/>
      </c>
    </row>
    <row r="793" spans="1:16" s="114" customFormat="1" ht="15" x14ac:dyDescent="0.25">
      <c r="A793" s="118"/>
      <c r="B793" s="117" t="s">
        <v>239</v>
      </c>
      <c r="C793" s="128">
        <f>SUM(C789:C792)</f>
        <v>1084047</v>
      </c>
      <c r="D793" s="128">
        <f t="shared" ref="D793:O793" si="288">SUM(D789:D792)</f>
        <v>248264</v>
      </c>
      <c r="E793" s="128">
        <f t="shared" si="288"/>
        <v>0</v>
      </c>
      <c r="F793" s="128">
        <f t="shared" si="288"/>
        <v>823196.73</v>
      </c>
      <c r="G793" s="128">
        <f t="shared" si="288"/>
        <v>260850.27000000002</v>
      </c>
      <c r="H793" s="128">
        <f t="shared" si="288"/>
        <v>195.92000000000002</v>
      </c>
      <c r="I793" s="128">
        <f t="shared" si="288"/>
        <v>0</v>
      </c>
      <c r="J793" s="128">
        <f t="shared" si="288"/>
        <v>1084047</v>
      </c>
      <c r="K793" s="128">
        <f t="shared" si="288"/>
        <v>1587829.115</v>
      </c>
      <c r="L793" s="128">
        <f t="shared" si="288"/>
        <v>1660869.2542900001</v>
      </c>
      <c r="M793" s="128">
        <f t="shared" si="288"/>
        <v>0</v>
      </c>
      <c r="N793" s="128">
        <f t="shared" si="288"/>
        <v>0</v>
      </c>
      <c r="O793" s="128">
        <f t="shared" si="288"/>
        <v>1737269.2399873401</v>
      </c>
      <c r="P793" s="123" t="str">
        <f t="shared" si="284"/>
        <v/>
      </c>
    </row>
    <row r="794" spans="1:16" s="114" customFormat="1" ht="15" x14ac:dyDescent="0.25">
      <c r="A794" s="118"/>
      <c r="B794" s="117"/>
      <c r="C794" s="128"/>
      <c r="D794" s="128"/>
      <c r="E794" s="128"/>
      <c r="F794" s="128"/>
      <c r="G794" s="128"/>
      <c r="H794" s="128"/>
      <c r="I794" s="128">
        <f>'Corporate Services'!J310</f>
        <v>0</v>
      </c>
      <c r="J794" s="128"/>
      <c r="K794" s="128"/>
      <c r="L794" s="128"/>
      <c r="M794" s="186"/>
      <c r="N794" s="186"/>
      <c r="O794" s="128"/>
      <c r="P794" s="123" t="str">
        <f t="shared" si="284"/>
        <v/>
      </c>
    </row>
    <row r="795" spans="1:16" s="114" customFormat="1" ht="15" x14ac:dyDescent="0.25">
      <c r="A795" s="118"/>
      <c r="B795" s="117" t="s">
        <v>240</v>
      </c>
      <c r="C795" s="128">
        <f>C793</f>
        <v>1084047</v>
      </c>
      <c r="D795" s="128">
        <f t="shared" ref="D795:O795" si="289">D793</f>
        <v>248264</v>
      </c>
      <c r="E795" s="128">
        <f t="shared" si="289"/>
        <v>0</v>
      </c>
      <c r="F795" s="128">
        <f t="shared" si="289"/>
        <v>823196.73</v>
      </c>
      <c r="G795" s="128">
        <f t="shared" si="289"/>
        <v>260850.27000000002</v>
      </c>
      <c r="H795" s="128">
        <f t="shared" si="289"/>
        <v>195.92000000000002</v>
      </c>
      <c r="I795" s="128">
        <f t="shared" si="289"/>
        <v>0</v>
      </c>
      <c r="J795" s="128">
        <f t="shared" si="289"/>
        <v>1084047</v>
      </c>
      <c r="K795" s="128">
        <f t="shared" si="289"/>
        <v>1587829.115</v>
      </c>
      <c r="L795" s="128">
        <f t="shared" si="289"/>
        <v>1660869.2542900001</v>
      </c>
      <c r="M795" s="128">
        <f t="shared" si="289"/>
        <v>0</v>
      </c>
      <c r="N795" s="128">
        <f t="shared" si="289"/>
        <v>0</v>
      </c>
      <c r="O795" s="128">
        <f t="shared" si="289"/>
        <v>1737269.2399873401</v>
      </c>
      <c r="P795" s="123" t="str">
        <f t="shared" si="284"/>
        <v/>
      </c>
    </row>
    <row r="796" spans="1:16" s="114" customFormat="1" ht="15" x14ac:dyDescent="0.25">
      <c r="A796" s="118"/>
      <c r="B796" s="117"/>
      <c r="C796" s="128"/>
      <c r="D796" s="128"/>
      <c r="E796" s="128"/>
      <c r="F796" s="128"/>
      <c r="G796" s="128"/>
      <c r="H796" s="128"/>
      <c r="I796" s="129">
        <f>'Corporate Services'!J312</f>
        <v>0</v>
      </c>
      <c r="J796" s="129"/>
      <c r="K796" s="129"/>
      <c r="L796" s="129"/>
      <c r="M796" s="186"/>
      <c r="N796" s="186"/>
      <c r="O796" s="128"/>
      <c r="P796" s="123" t="str">
        <f t="shared" si="284"/>
        <v/>
      </c>
    </row>
    <row r="797" spans="1:16" s="114" customFormat="1" ht="15" x14ac:dyDescent="0.25">
      <c r="A797" s="118"/>
      <c r="B797" s="117" t="s">
        <v>241</v>
      </c>
      <c r="C797" s="128"/>
      <c r="D797" s="128"/>
      <c r="E797" s="128"/>
      <c r="F797" s="128"/>
      <c r="G797" s="128"/>
      <c r="H797" s="128"/>
      <c r="I797" s="129">
        <f>'Corporate Services'!J313</f>
        <v>0</v>
      </c>
      <c r="J797" s="129"/>
      <c r="K797" s="129"/>
      <c r="L797" s="129"/>
      <c r="M797" s="186"/>
      <c r="N797" s="186"/>
      <c r="O797" s="128"/>
      <c r="P797" s="123" t="str">
        <f t="shared" si="284"/>
        <v/>
      </c>
    </row>
    <row r="798" spans="1:16" x14ac:dyDescent="0.2">
      <c r="A798" s="119"/>
      <c r="B798" s="120"/>
      <c r="C798" s="129"/>
      <c r="D798" s="129"/>
      <c r="E798" s="129"/>
      <c r="F798" s="129"/>
      <c r="G798" s="129"/>
      <c r="H798" s="129"/>
      <c r="I798" s="129">
        <f>'Corporate Services'!J314</f>
        <v>0</v>
      </c>
      <c r="J798" s="129"/>
      <c r="K798" s="129"/>
      <c r="L798" s="129"/>
      <c r="O798" s="129"/>
      <c r="P798" s="123" t="str">
        <f t="shared" si="284"/>
        <v/>
      </c>
    </row>
    <row r="799" spans="1:16" x14ac:dyDescent="0.2">
      <c r="A799" s="119" t="s">
        <v>438</v>
      </c>
      <c r="B799" s="120" t="s">
        <v>249</v>
      </c>
      <c r="C799" s="129">
        <v>1497385</v>
      </c>
      <c r="D799" s="129">
        <v>1877.85</v>
      </c>
      <c r="E799" s="129">
        <v>0</v>
      </c>
      <c r="F799" s="129">
        <v>747953.79</v>
      </c>
      <c r="G799" s="129">
        <v>749431.21</v>
      </c>
      <c r="H799" s="129">
        <v>49.95</v>
      </c>
      <c r="I799" s="129">
        <f>'Corporate Services'!J315</f>
        <v>200000</v>
      </c>
      <c r="J799" s="129">
        <f>'Corporate Services'!K315</f>
        <v>1697385</v>
      </c>
      <c r="K799" s="129">
        <f>'Corporate Services'!L315</f>
        <v>1700000</v>
      </c>
      <c r="L799" s="129">
        <f>'Corporate Services'!M315</f>
        <v>1778200</v>
      </c>
      <c r="O799" s="129">
        <f>'Corporate Services'!N315</f>
        <v>1859997.2</v>
      </c>
      <c r="P799" s="123" t="str">
        <f t="shared" si="284"/>
        <v>301</v>
      </c>
    </row>
    <row r="800" spans="1:16" x14ac:dyDescent="0.2">
      <c r="A800" s="119" t="s">
        <v>439</v>
      </c>
      <c r="B800" s="120" t="s">
        <v>265</v>
      </c>
      <c r="C800" s="129">
        <v>0</v>
      </c>
      <c r="D800" s="129">
        <v>1248.05</v>
      </c>
      <c r="E800" s="129">
        <v>0</v>
      </c>
      <c r="F800" s="129">
        <v>7193.06</v>
      </c>
      <c r="G800" s="129">
        <v>-7193.06</v>
      </c>
      <c r="H800" s="129">
        <v>0</v>
      </c>
      <c r="I800" s="129">
        <f>'Corporate Services'!J316</f>
        <v>15000</v>
      </c>
      <c r="J800" s="129">
        <f>'Corporate Services'!K316</f>
        <v>15000</v>
      </c>
      <c r="K800" s="129">
        <f>'Corporate Services'!L316</f>
        <v>15675</v>
      </c>
      <c r="L800" s="129">
        <f>'Corporate Services'!M316</f>
        <v>16396.05</v>
      </c>
      <c r="O800" s="129">
        <f>'Corporate Services'!N316</f>
        <v>17150.2683</v>
      </c>
      <c r="P800" s="123" t="str">
        <f t="shared" si="284"/>
        <v>305</v>
      </c>
    </row>
    <row r="801" spans="1:16" x14ac:dyDescent="0.2">
      <c r="A801" s="119" t="s">
        <v>440</v>
      </c>
      <c r="B801" s="120" t="s">
        <v>268</v>
      </c>
      <c r="C801" s="129">
        <v>0</v>
      </c>
      <c r="D801" s="129">
        <v>0</v>
      </c>
      <c r="E801" s="129">
        <v>0</v>
      </c>
      <c r="F801" s="129">
        <v>14967.14</v>
      </c>
      <c r="G801" s="129">
        <v>-14967.14</v>
      </c>
      <c r="H801" s="129">
        <v>0</v>
      </c>
      <c r="I801" s="129">
        <f>'Corporate Services'!J317</f>
        <v>35000</v>
      </c>
      <c r="J801" s="129">
        <f>'Corporate Services'!K317</f>
        <v>35000</v>
      </c>
      <c r="K801" s="129">
        <f>'Corporate Services'!L317</f>
        <v>36575</v>
      </c>
      <c r="L801" s="129">
        <f>'Corporate Services'!M317</f>
        <v>38257.449999999997</v>
      </c>
      <c r="O801" s="129">
        <f>'Corporate Services'!N317</f>
        <v>40017.292699999998</v>
      </c>
      <c r="P801" s="123" t="str">
        <f t="shared" si="284"/>
        <v>305</v>
      </c>
    </row>
    <row r="802" spans="1:16" x14ac:dyDescent="0.2">
      <c r="A802" s="119"/>
      <c r="B802" s="120"/>
      <c r="C802" s="129"/>
      <c r="D802" s="129"/>
      <c r="E802" s="129"/>
      <c r="F802" s="129"/>
      <c r="G802" s="129"/>
      <c r="H802" s="129"/>
      <c r="I802" s="129">
        <f>'Corporate Services'!J318</f>
        <v>0</v>
      </c>
      <c r="J802" s="129"/>
      <c r="K802" s="129"/>
      <c r="L802" s="129"/>
      <c r="O802" s="129"/>
      <c r="P802" s="123" t="str">
        <f t="shared" si="284"/>
        <v/>
      </c>
    </row>
    <row r="803" spans="1:16" s="114" customFormat="1" ht="15" x14ac:dyDescent="0.25">
      <c r="A803" s="118"/>
      <c r="B803" s="117" t="s">
        <v>274</v>
      </c>
      <c r="C803" s="128">
        <f>SUM(C799:C802)</f>
        <v>1497385</v>
      </c>
      <c r="D803" s="128">
        <f t="shared" ref="D803:O803" si="290">SUM(D799:D802)</f>
        <v>3125.8999999999996</v>
      </c>
      <c r="E803" s="128">
        <f t="shared" si="290"/>
        <v>0</v>
      </c>
      <c r="F803" s="128">
        <f t="shared" si="290"/>
        <v>770113.99000000011</v>
      </c>
      <c r="G803" s="128">
        <f t="shared" si="290"/>
        <v>727271.00999999989</v>
      </c>
      <c r="H803" s="128">
        <f t="shared" si="290"/>
        <v>49.95</v>
      </c>
      <c r="I803" s="128">
        <f t="shared" si="290"/>
        <v>250000</v>
      </c>
      <c r="J803" s="128">
        <f t="shared" si="290"/>
        <v>1747385</v>
      </c>
      <c r="K803" s="128">
        <f t="shared" si="290"/>
        <v>1752250</v>
      </c>
      <c r="L803" s="128">
        <f t="shared" si="290"/>
        <v>1832853.5</v>
      </c>
      <c r="M803" s="128">
        <f t="shared" si="290"/>
        <v>0</v>
      </c>
      <c r="N803" s="128">
        <f t="shared" si="290"/>
        <v>0</v>
      </c>
      <c r="O803" s="128">
        <f t="shared" si="290"/>
        <v>1917164.7610000002</v>
      </c>
      <c r="P803" s="123" t="str">
        <f t="shared" si="284"/>
        <v/>
      </c>
    </row>
    <row r="804" spans="1:16" s="114" customFormat="1" ht="15" x14ac:dyDescent="0.25">
      <c r="A804" s="118"/>
      <c r="B804" s="117"/>
      <c r="C804" s="128"/>
      <c r="D804" s="128"/>
      <c r="E804" s="128"/>
      <c r="F804" s="128"/>
      <c r="G804" s="128"/>
      <c r="H804" s="128"/>
      <c r="I804" s="129">
        <f>'Corporate Services'!J320</f>
        <v>0</v>
      </c>
      <c r="J804" s="129"/>
      <c r="K804" s="129"/>
      <c r="L804" s="129"/>
      <c r="M804" s="186"/>
      <c r="N804" s="186"/>
      <c r="O804" s="128"/>
      <c r="P804" s="123" t="str">
        <f t="shared" si="284"/>
        <v/>
      </c>
    </row>
    <row r="805" spans="1:16" s="114" customFormat="1" ht="15" x14ac:dyDescent="0.25">
      <c r="A805" s="118"/>
      <c r="B805" s="117" t="s">
        <v>290</v>
      </c>
      <c r="C805" s="128"/>
      <c r="D805" s="128"/>
      <c r="E805" s="128"/>
      <c r="F805" s="128"/>
      <c r="G805" s="128"/>
      <c r="H805" s="128"/>
      <c r="I805" s="129">
        <f>'Corporate Services'!J321</f>
        <v>0</v>
      </c>
      <c r="J805" s="129"/>
      <c r="K805" s="129"/>
      <c r="L805" s="129"/>
      <c r="M805" s="186"/>
      <c r="N805" s="186"/>
      <c r="O805" s="128"/>
      <c r="P805" s="123" t="str">
        <f t="shared" si="284"/>
        <v/>
      </c>
    </row>
    <row r="806" spans="1:16" x14ac:dyDescent="0.2">
      <c r="A806" s="119"/>
      <c r="B806" s="120"/>
      <c r="C806" s="129"/>
      <c r="D806" s="129"/>
      <c r="E806" s="129"/>
      <c r="F806" s="129"/>
      <c r="G806" s="129"/>
      <c r="H806" s="129"/>
      <c r="I806" s="129">
        <f>'Corporate Services'!J322</f>
        <v>0</v>
      </c>
      <c r="J806" s="129"/>
      <c r="K806" s="129"/>
      <c r="L806" s="129"/>
      <c r="O806" s="129"/>
      <c r="P806" s="123" t="str">
        <f t="shared" si="284"/>
        <v/>
      </c>
    </row>
    <row r="807" spans="1:16" x14ac:dyDescent="0.2">
      <c r="A807" s="119" t="s">
        <v>441</v>
      </c>
      <c r="B807" s="120" t="s">
        <v>291</v>
      </c>
      <c r="C807" s="129">
        <v>3371</v>
      </c>
      <c r="D807" s="129">
        <v>9285.52</v>
      </c>
      <c r="E807" s="129">
        <v>0</v>
      </c>
      <c r="F807" s="129">
        <v>25943.09</v>
      </c>
      <c r="G807" s="129">
        <v>-22572.09</v>
      </c>
      <c r="H807" s="129">
        <v>769.59</v>
      </c>
      <c r="I807" s="129">
        <f>'Corporate Services'!J323</f>
        <v>0</v>
      </c>
      <c r="J807" s="129">
        <f>'Corporate Services'!K323</f>
        <v>3371</v>
      </c>
      <c r="K807" s="129">
        <f>'Corporate Services'!L323</f>
        <v>3522.6950000000002</v>
      </c>
      <c r="L807" s="129">
        <f>'Corporate Services'!M323</f>
        <v>3684.7389700000003</v>
      </c>
      <c r="O807" s="129">
        <f>'Corporate Services'!N323</f>
        <v>3854.2369626200002</v>
      </c>
      <c r="P807" s="123" t="str">
        <f t="shared" si="284"/>
        <v>720</v>
      </c>
    </row>
    <row r="808" spans="1:16" x14ac:dyDescent="0.2">
      <c r="A808" s="119" t="s">
        <v>442</v>
      </c>
      <c r="B808" s="120" t="s">
        <v>292</v>
      </c>
      <c r="C808" s="129">
        <v>92300</v>
      </c>
      <c r="D808" s="129">
        <v>50623.56</v>
      </c>
      <c r="E808" s="129">
        <v>0</v>
      </c>
      <c r="F808" s="129">
        <v>134807.10999999999</v>
      </c>
      <c r="G808" s="129">
        <v>-42507.11</v>
      </c>
      <c r="H808" s="129">
        <v>146.05000000000001</v>
      </c>
      <c r="I808" s="129">
        <f>'Corporate Services'!J324</f>
        <v>0</v>
      </c>
      <c r="J808" s="129">
        <f>'Corporate Services'!K324</f>
        <v>92300</v>
      </c>
      <c r="K808" s="129">
        <f>'Corporate Services'!L324</f>
        <v>96453.5</v>
      </c>
      <c r="L808" s="129">
        <f>'Corporate Services'!M324</f>
        <v>100890.361</v>
      </c>
      <c r="O808" s="129">
        <f>'Corporate Services'!N324</f>
        <v>105531.317606</v>
      </c>
      <c r="P808" s="123" t="str">
        <f t="shared" si="284"/>
        <v>720</v>
      </c>
    </row>
    <row r="809" spans="1:16" x14ac:dyDescent="0.2">
      <c r="A809" s="119" t="s">
        <v>443</v>
      </c>
      <c r="B809" s="120" t="s">
        <v>293</v>
      </c>
      <c r="C809" s="129">
        <v>438975</v>
      </c>
      <c r="D809" s="129">
        <v>131600.20000000001</v>
      </c>
      <c r="E809" s="129">
        <v>0</v>
      </c>
      <c r="F809" s="129">
        <v>263250.40000000002</v>
      </c>
      <c r="G809" s="129">
        <v>175724.6</v>
      </c>
      <c r="H809" s="129">
        <v>59.96</v>
      </c>
      <c r="I809" s="129">
        <f>'Corporate Services'!J325</f>
        <v>0</v>
      </c>
      <c r="J809" s="129">
        <f>'Corporate Services'!K325</f>
        <v>438975</v>
      </c>
      <c r="K809" s="129">
        <f>'Corporate Services'!L325</f>
        <v>458728.875</v>
      </c>
      <c r="L809" s="129">
        <f>'Corporate Services'!M325</f>
        <v>479830.40324999997</v>
      </c>
      <c r="O809" s="129">
        <f>'Corporate Services'!N325</f>
        <v>501902.60179949994</v>
      </c>
      <c r="P809" s="123" t="str">
        <f t="shared" si="284"/>
        <v>721</v>
      </c>
    </row>
    <row r="810" spans="1:16" x14ac:dyDescent="0.2">
      <c r="A810" s="119"/>
      <c r="B810" s="120"/>
      <c r="C810" s="129"/>
      <c r="D810" s="129"/>
      <c r="E810" s="129"/>
      <c r="F810" s="129"/>
      <c r="G810" s="129"/>
      <c r="H810" s="129"/>
      <c r="I810" s="129">
        <f>'Corporate Services'!J326</f>
        <v>0</v>
      </c>
      <c r="J810" s="129"/>
      <c r="K810" s="129"/>
      <c r="L810" s="129"/>
      <c r="O810" s="129"/>
      <c r="P810" s="123" t="str">
        <f t="shared" si="284"/>
        <v/>
      </c>
    </row>
    <row r="811" spans="1:16" s="114" customFormat="1" ht="15" x14ac:dyDescent="0.25">
      <c r="A811" s="118"/>
      <c r="B811" s="117" t="s">
        <v>304</v>
      </c>
      <c r="C811" s="128">
        <f>SUM(C807:C810)</f>
        <v>534646</v>
      </c>
      <c r="D811" s="128">
        <f t="shared" ref="D811:O811" si="291">SUM(D807:D810)</f>
        <v>191509.28000000003</v>
      </c>
      <c r="E811" s="128">
        <f t="shared" si="291"/>
        <v>0</v>
      </c>
      <c r="F811" s="128">
        <f t="shared" si="291"/>
        <v>424000.6</v>
      </c>
      <c r="G811" s="128">
        <f t="shared" si="291"/>
        <v>110645.40000000001</v>
      </c>
      <c r="H811" s="128">
        <f t="shared" si="291"/>
        <v>975.60000000000014</v>
      </c>
      <c r="I811" s="128">
        <f t="shared" si="291"/>
        <v>0</v>
      </c>
      <c r="J811" s="128">
        <f t="shared" si="291"/>
        <v>534646</v>
      </c>
      <c r="K811" s="128">
        <f t="shared" si="291"/>
        <v>558705.07000000007</v>
      </c>
      <c r="L811" s="128">
        <f t="shared" si="291"/>
        <v>584405.50321999996</v>
      </c>
      <c r="M811" s="128">
        <f t="shared" si="291"/>
        <v>0</v>
      </c>
      <c r="N811" s="128">
        <f t="shared" si="291"/>
        <v>0</v>
      </c>
      <c r="O811" s="128">
        <f t="shared" si="291"/>
        <v>611288.15636811987</v>
      </c>
      <c r="P811" s="123" t="str">
        <f t="shared" si="284"/>
        <v/>
      </c>
    </row>
    <row r="812" spans="1:16" s="114" customFormat="1" ht="15" x14ac:dyDescent="0.25">
      <c r="A812" s="118"/>
      <c r="B812" s="117"/>
      <c r="C812" s="128"/>
      <c r="D812" s="128"/>
      <c r="E812" s="128"/>
      <c r="F812" s="128"/>
      <c r="G812" s="128"/>
      <c r="H812" s="128"/>
      <c r="I812" s="128">
        <f>'Corporate Services'!J328</f>
        <v>0</v>
      </c>
      <c r="J812" s="128"/>
      <c r="K812" s="128"/>
      <c r="L812" s="128"/>
      <c r="M812" s="186"/>
      <c r="N812" s="186"/>
      <c r="O812" s="128"/>
      <c r="P812" s="123" t="str">
        <f t="shared" si="284"/>
        <v/>
      </c>
    </row>
    <row r="813" spans="1:16" s="114" customFormat="1" ht="15" x14ac:dyDescent="0.25">
      <c r="A813" s="118"/>
      <c r="B813" s="117" t="s">
        <v>305</v>
      </c>
      <c r="C813" s="128">
        <f>C783+C795+C803+C811</f>
        <v>4733301</v>
      </c>
      <c r="D813" s="128">
        <f t="shared" ref="D813:O813" si="292">D783+D795+D803+D811</f>
        <v>593379.07000000007</v>
      </c>
      <c r="E813" s="128">
        <f t="shared" si="292"/>
        <v>0</v>
      </c>
      <c r="F813" s="128">
        <f t="shared" si="292"/>
        <v>2885805.7600000002</v>
      </c>
      <c r="G813" s="128">
        <f t="shared" si="292"/>
        <v>1847495.2399999998</v>
      </c>
      <c r="H813" s="128">
        <f t="shared" si="292"/>
        <v>1950.38</v>
      </c>
      <c r="I813" s="128">
        <f t="shared" si="292"/>
        <v>234980.72</v>
      </c>
      <c r="J813" s="128">
        <f t="shared" si="292"/>
        <v>4968281.72</v>
      </c>
      <c r="K813" s="128">
        <f t="shared" si="292"/>
        <v>5601125.6375000002</v>
      </c>
      <c r="L813" s="128">
        <f t="shared" si="292"/>
        <v>5899633.6116850004</v>
      </c>
      <c r="M813" s="128">
        <f t="shared" si="292"/>
        <v>0</v>
      </c>
      <c r="N813" s="128">
        <f t="shared" si="292"/>
        <v>0</v>
      </c>
      <c r="O813" s="128">
        <f t="shared" si="292"/>
        <v>6214732.8863227097</v>
      </c>
      <c r="P813" s="123" t="str">
        <f t="shared" si="284"/>
        <v/>
      </c>
    </row>
    <row r="814" spans="1:16" s="114" customFormat="1" ht="15" x14ac:dyDescent="0.25">
      <c r="A814" s="118"/>
      <c r="B814" s="117"/>
      <c r="C814" s="128"/>
      <c r="D814" s="128"/>
      <c r="E814" s="128"/>
      <c r="F814" s="128"/>
      <c r="G814" s="128"/>
      <c r="H814" s="128"/>
      <c r="I814" s="128">
        <f>'Corporate Services'!J330</f>
        <v>0</v>
      </c>
      <c r="J814" s="128"/>
      <c r="K814" s="128"/>
      <c r="L814" s="128"/>
      <c r="M814" s="186"/>
      <c r="N814" s="186"/>
      <c r="O814" s="128"/>
      <c r="P814" s="123" t="str">
        <f t="shared" si="284"/>
        <v/>
      </c>
    </row>
    <row r="815" spans="1:16" s="114" customFormat="1" ht="15" x14ac:dyDescent="0.25">
      <c r="A815" s="118"/>
      <c r="B815" s="117" t="s">
        <v>306</v>
      </c>
      <c r="C815" s="128">
        <f>C813</f>
        <v>4733301</v>
      </c>
      <c r="D815" s="128">
        <f t="shared" ref="D815:O815" si="293">D813</f>
        <v>593379.07000000007</v>
      </c>
      <c r="E815" s="128">
        <f t="shared" si="293"/>
        <v>0</v>
      </c>
      <c r="F815" s="128">
        <f t="shared" si="293"/>
        <v>2885805.7600000002</v>
      </c>
      <c r="G815" s="128">
        <f t="shared" si="293"/>
        <v>1847495.2399999998</v>
      </c>
      <c r="H815" s="128">
        <f t="shared" si="293"/>
        <v>1950.38</v>
      </c>
      <c r="I815" s="128">
        <f t="shared" si="293"/>
        <v>234980.72</v>
      </c>
      <c r="J815" s="128">
        <f t="shared" si="293"/>
        <v>4968281.72</v>
      </c>
      <c r="K815" s="128">
        <f t="shared" si="293"/>
        <v>5601125.6375000002</v>
      </c>
      <c r="L815" s="128">
        <f t="shared" si="293"/>
        <v>5899633.6116850004</v>
      </c>
      <c r="M815" s="128">
        <f t="shared" si="293"/>
        <v>0</v>
      </c>
      <c r="N815" s="128">
        <f t="shared" si="293"/>
        <v>0</v>
      </c>
      <c r="O815" s="128">
        <f t="shared" si="293"/>
        <v>6214732.8863227097</v>
      </c>
      <c r="P815" s="123" t="str">
        <f t="shared" si="284"/>
        <v/>
      </c>
    </row>
    <row r="816" spans="1:16" x14ac:dyDescent="0.2">
      <c r="A816" s="119"/>
      <c r="B816" s="120"/>
      <c r="C816" s="129"/>
      <c r="D816" s="129"/>
      <c r="E816" s="129"/>
      <c r="F816" s="129"/>
      <c r="G816" s="129"/>
      <c r="H816" s="129"/>
      <c r="I816" s="129">
        <f>'Corporate Services'!J332</f>
        <v>0</v>
      </c>
      <c r="J816" s="129"/>
      <c r="K816" s="129"/>
      <c r="L816" s="129"/>
      <c r="O816" s="129"/>
      <c r="P816" s="123" t="str">
        <f t="shared" si="284"/>
        <v/>
      </c>
    </row>
    <row r="817" spans="1:16" s="114" customFormat="1" ht="15" x14ac:dyDescent="0.25">
      <c r="A817" s="118"/>
      <c r="B817" s="117" t="s">
        <v>308</v>
      </c>
      <c r="C817" s="128"/>
      <c r="D817" s="128"/>
      <c r="E817" s="128"/>
      <c r="F817" s="128"/>
      <c r="G817" s="128"/>
      <c r="H817" s="128"/>
      <c r="I817" s="129">
        <f>'Corporate Services'!J333</f>
        <v>0</v>
      </c>
      <c r="J817" s="129"/>
      <c r="K817" s="129"/>
      <c r="L817" s="129"/>
      <c r="M817" s="186"/>
      <c r="N817" s="186"/>
      <c r="O817" s="128"/>
      <c r="P817" s="123" t="str">
        <f t="shared" si="284"/>
        <v/>
      </c>
    </row>
    <row r="818" spans="1:16" x14ac:dyDescent="0.2">
      <c r="A818" s="119"/>
      <c r="B818" s="120"/>
      <c r="C818" s="129"/>
      <c r="D818" s="129"/>
      <c r="E818" s="129"/>
      <c r="F818" s="129"/>
      <c r="G818" s="129"/>
      <c r="H818" s="129"/>
      <c r="I818" s="129">
        <f>'Corporate Services'!J334</f>
        <v>0</v>
      </c>
      <c r="J818" s="129"/>
      <c r="K818" s="129"/>
      <c r="L818" s="129"/>
      <c r="O818" s="129"/>
      <c r="P818" s="123" t="str">
        <f t="shared" si="284"/>
        <v/>
      </c>
    </row>
    <row r="819" spans="1:16" x14ac:dyDescent="0.2">
      <c r="A819" s="119" t="s">
        <v>444</v>
      </c>
      <c r="B819" s="120" t="s">
        <v>445</v>
      </c>
      <c r="C819" s="129">
        <v>600000</v>
      </c>
      <c r="D819" s="129">
        <v>0</v>
      </c>
      <c r="E819" s="129">
        <v>0</v>
      </c>
      <c r="F819" s="129">
        <v>79951.679999999993</v>
      </c>
      <c r="G819" s="129">
        <v>520048.32</v>
      </c>
      <c r="H819" s="129">
        <v>13.32</v>
      </c>
      <c r="I819" s="129">
        <f>'Corporate Services'!J335</f>
        <v>0</v>
      </c>
      <c r="J819" s="129">
        <f>'Corporate Services'!K335</f>
        <v>600000</v>
      </c>
      <c r="K819" s="129">
        <f>'Corporate Services'!L335</f>
        <v>0</v>
      </c>
      <c r="L819" s="129">
        <f>'Corporate Services'!M335</f>
        <v>0</v>
      </c>
      <c r="O819" s="129">
        <f>'Corporate Services'!N335</f>
        <v>0</v>
      </c>
      <c r="P819" s="123" t="str">
        <f t="shared" si="284"/>
        <v>151</v>
      </c>
    </row>
    <row r="820" spans="1:16" x14ac:dyDescent="0.2">
      <c r="A820" s="119"/>
      <c r="B820" s="26" t="s">
        <v>1367</v>
      </c>
      <c r="C820" s="129">
        <f>'Corporate Services'!D336</f>
        <v>0</v>
      </c>
      <c r="D820" s="129">
        <f>'Corporate Services'!E336</f>
        <v>0</v>
      </c>
      <c r="E820" s="129">
        <f>'Corporate Services'!F336</f>
        <v>0</v>
      </c>
      <c r="F820" s="129">
        <f>'Corporate Services'!G336</f>
        <v>0</v>
      </c>
      <c r="G820" s="129">
        <f>'Corporate Services'!H336</f>
        <v>0</v>
      </c>
      <c r="H820" s="129">
        <f>'Corporate Services'!I336</f>
        <v>0</v>
      </c>
      <c r="I820" s="129">
        <f>'Corporate Services'!J336</f>
        <v>0</v>
      </c>
      <c r="J820" s="129">
        <f>'Corporate Services'!K336</f>
        <v>0</v>
      </c>
      <c r="K820" s="129">
        <f>'Corporate Services'!L336</f>
        <v>2000000</v>
      </c>
      <c r="L820" s="129">
        <f>'Corporate Services'!M336</f>
        <v>500000</v>
      </c>
      <c r="M820" s="129">
        <f>'Corporate Services'!N336</f>
        <v>500000</v>
      </c>
      <c r="N820" s="129">
        <f>'Corporate Services'!O336</f>
        <v>0</v>
      </c>
      <c r="O820" s="79">
        <f>'Corporate Services'!N336</f>
        <v>500000</v>
      </c>
      <c r="P820" s="123" t="str">
        <f t="shared" si="284"/>
        <v/>
      </c>
    </row>
    <row r="821" spans="1:16" x14ac:dyDescent="0.2">
      <c r="A821" s="119" t="s">
        <v>446</v>
      </c>
      <c r="B821" s="120" t="s">
        <v>447</v>
      </c>
      <c r="C821" s="129">
        <v>1100000</v>
      </c>
      <c r="D821" s="129">
        <v>196880</v>
      </c>
      <c r="E821" s="129">
        <v>0</v>
      </c>
      <c r="F821" s="129">
        <v>567480</v>
      </c>
      <c r="G821" s="129">
        <v>532520</v>
      </c>
      <c r="H821" s="129">
        <v>51.58</v>
      </c>
      <c r="I821" s="129">
        <f>'Corporate Services'!J337</f>
        <v>0</v>
      </c>
      <c r="J821" s="129">
        <f>'Corporate Services'!K337</f>
        <v>1100000</v>
      </c>
      <c r="K821" s="129">
        <f>'Corporate Services'!L337</f>
        <v>600000</v>
      </c>
      <c r="L821" s="129">
        <f>'Corporate Services'!M337</f>
        <v>636000</v>
      </c>
      <c r="O821" s="129">
        <f>'Corporate Services'!N337</f>
        <v>674160</v>
      </c>
      <c r="P821" s="123" t="str">
        <f t="shared" si="284"/>
        <v>470</v>
      </c>
    </row>
    <row r="822" spans="1:16" x14ac:dyDescent="0.2">
      <c r="A822" s="119"/>
      <c r="B822" s="120"/>
      <c r="C822" s="129"/>
      <c r="D822" s="129"/>
      <c r="E822" s="129"/>
      <c r="F822" s="129"/>
      <c r="G822" s="129"/>
      <c r="H822" s="129"/>
      <c r="I822" s="129">
        <f>'Corporate Services'!J338</f>
        <v>0</v>
      </c>
      <c r="J822" s="129"/>
      <c r="K822" s="129"/>
      <c r="L822" s="129"/>
      <c r="O822" s="129"/>
      <c r="P822" s="123" t="str">
        <f t="shared" si="284"/>
        <v/>
      </c>
    </row>
    <row r="823" spans="1:16" s="114" customFormat="1" ht="15" x14ac:dyDescent="0.25">
      <c r="A823" s="118"/>
      <c r="B823" s="117" t="s">
        <v>320</v>
      </c>
      <c r="C823" s="128">
        <f>SUM(C819:C822)</f>
        <v>1700000</v>
      </c>
      <c r="D823" s="128">
        <f t="shared" ref="D823:O823" si="294">SUM(D819:D822)</f>
        <v>196880</v>
      </c>
      <c r="E823" s="128">
        <f t="shared" si="294"/>
        <v>0</v>
      </c>
      <c r="F823" s="128">
        <f t="shared" si="294"/>
        <v>647431.67999999993</v>
      </c>
      <c r="G823" s="128">
        <f t="shared" si="294"/>
        <v>1052568.32</v>
      </c>
      <c r="H823" s="128">
        <f t="shared" si="294"/>
        <v>64.900000000000006</v>
      </c>
      <c r="I823" s="128">
        <f t="shared" si="294"/>
        <v>0</v>
      </c>
      <c r="J823" s="128">
        <f t="shared" si="294"/>
        <v>1700000</v>
      </c>
      <c r="K823" s="128">
        <f t="shared" si="294"/>
        <v>2600000</v>
      </c>
      <c r="L823" s="128">
        <f t="shared" si="294"/>
        <v>1136000</v>
      </c>
      <c r="M823" s="128">
        <f t="shared" si="294"/>
        <v>500000</v>
      </c>
      <c r="N823" s="128">
        <f t="shared" si="294"/>
        <v>0</v>
      </c>
      <c r="O823" s="128">
        <f t="shared" si="294"/>
        <v>1174160</v>
      </c>
      <c r="P823" s="123" t="str">
        <f t="shared" si="284"/>
        <v/>
      </c>
    </row>
    <row r="824" spans="1:16" x14ac:dyDescent="0.2">
      <c r="A824" s="119"/>
      <c r="B824" s="120"/>
      <c r="C824" s="129"/>
      <c r="D824" s="129"/>
      <c r="E824" s="129"/>
      <c r="F824" s="129"/>
      <c r="G824" s="129"/>
      <c r="H824" s="129"/>
      <c r="I824" s="129">
        <f>'Corporate Services'!J340</f>
        <v>0</v>
      </c>
      <c r="J824" s="129"/>
      <c r="K824" s="129"/>
      <c r="L824" s="129"/>
      <c r="O824" s="129"/>
      <c r="P824" s="123" t="str">
        <f t="shared" si="284"/>
        <v/>
      </c>
    </row>
    <row r="825" spans="1:16" s="114" customFormat="1" ht="15" x14ac:dyDescent="0.25">
      <c r="A825" s="118"/>
      <c r="B825" s="117" t="s">
        <v>448</v>
      </c>
      <c r="C825" s="128"/>
      <c r="D825" s="128"/>
      <c r="E825" s="128"/>
      <c r="F825" s="128"/>
      <c r="G825" s="128"/>
      <c r="H825" s="128"/>
      <c r="I825" s="129">
        <f>'Corporate Services'!J341</f>
        <v>0</v>
      </c>
      <c r="J825" s="129"/>
      <c r="K825" s="129"/>
      <c r="L825" s="129"/>
      <c r="M825" s="186"/>
      <c r="N825" s="186"/>
      <c r="O825" s="128"/>
      <c r="P825" s="123" t="str">
        <f t="shared" si="284"/>
        <v/>
      </c>
    </row>
    <row r="826" spans="1:16" s="114" customFormat="1" ht="15" x14ac:dyDescent="0.25">
      <c r="A826" s="118"/>
      <c r="B826" s="117" t="s">
        <v>96</v>
      </c>
      <c r="C826" s="128"/>
      <c r="D826" s="128"/>
      <c r="E826" s="128"/>
      <c r="F826" s="128"/>
      <c r="G826" s="128"/>
      <c r="H826" s="128"/>
      <c r="I826" s="129">
        <f>'Corporate Services'!J342</f>
        <v>0</v>
      </c>
      <c r="J826" s="129"/>
      <c r="K826" s="129"/>
      <c r="L826" s="129"/>
      <c r="M826" s="186"/>
      <c r="N826" s="186"/>
      <c r="O826" s="128"/>
      <c r="P826" s="123" t="str">
        <f t="shared" si="284"/>
        <v/>
      </c>
    </row>
    <row r="827" spans="1:16" s="114" customFormat="1" ht="15" x14ac:dyDescent="0.25">
      <c r="A827" s="118"/>
      <c r="B827" s="117" t="s">
        <v>97</v>
      </c>
      <c r="C827" s="128"/>
      <c r="D827" s="128"/>
      <c r="E827" s="128"/>
      <c r="F827" s="128"/>
      <c r="G827" s="128"/>
      <c r="H827" s="128"/>
      <c r="I827" s="129">
        <f>'Corporate Services'!J343</f>
        <v>0</v>
      </c>
      <c r="J827" s="129"/>
      <c r="K827" s="129"/>
      <c r="L827" s="129"/>
      <c r="M827" s="186"/>
      <c r="N827" s="186"/>
      <c r="O827" s="128"/>
      <c r="P827" s="123" t="str">
        <f t="shared" si="284"/>
        <v/>
      </c>
    </row>
    <row r="828" spans="1:16" s="114" customFormat="1" ht="15" x14ac:dyDescent="0.25">
      <c r="A828" s="118"/>
      <c r="B828" s="117" t="s">
        <v>148</v>
      </c>
      <c r="C828" s="128"/>
      <c r="D828" s="128"/>
      <c r="E828" s="128"/>
      <c r="F828" s="128"/>
      <c r="G828" s="128"/>
      <c r="H828" s="128"/>
      <c r="I828" s="129">
        <f>'Corporate Services'!J344</f>
        <v>0</v>
      </c>
      <c r="J828" s="129"/>
      <c r="K828" s="129"/>
      <c r="L828" s="129"/>
      <c r="M828" s="186"/>
      <c r="N828" s="186"/>
      <c r="O828" s="128"/>
      <c r="P828" s="123" t="str">
        <f t="shared" si="284"/>
        <v/>
      </c>
    </row>
    <row r="829" spans="1:16" s="114" customFormat="1" ht="15" x14ac:dyDescent="0.25">
      <c r="A829" s="118"/>
      <c r="B829" s="117" t="s">
        <v>149</v>
      </c>
      <c r="C829" s="128"/>
      <c r="D829" s="128"/>
      <c r="E829" s="128"/>
      <c r="F829" s="128"/>
      <c r="G829" s="128"/>
      <c r="H829" s="128"/>
      <c r="I829" s="129">
        <f>'Corporate Services'!J345</f>
        <v>0</v>
      </c>
      <c r="J829" s="129"/>
      <c r="K829" s="129"/>
      <c r="L829" s="129"/>
      <c r="M829" s="186"/>
      <c r="N829" s="186"/>
      <c r="O829" s="128"/>
      <c r="P829" s="123" t="str">
        <f t="shared" si="284"/>
        <v/>
      </c>
    </row>
    <row r="830" spans="1:16" x14ac:dyDescent="0.2">
      <c r="A830" s="119"/>
      <c r="B830" s="120"/>
      <c r="C830" s="129"/>
      <c r="D830" s="129"/>
      <c r="E830" s="129"/>
      <c r="F830" s="129"/>
      <c r="G830" s="129"/>
      <c r="H830" s="129"/>
      <c r="I830" s="129">
        <f>'Corporate Services'!J346</f>
        <v>0</v>
      </c>
      <c r="J830" s="129"/>
      <c r="K830" s="129"/>
      <c r="L830" s="129"/>
      <c r="O830" s="129"/>
      <c r="P830" s="123" t="str">
        <f t="shared" si="284"/>
        <v/>
      </c>
    </row>
    <row r="831" spans="1:16" x14ac:dyDescent="0.2">
      <c r="A831" s="119" t="s">
        <v>449</v>
      </c>
      <c r="B831" s="120" t="s">
        <v>150</v>
      </c>
      <c r="C831" s="129">
        <v>1238187</v>
      </c>
      <c r="D831" s="129">
        <v>102521.85</v>
      </c>
      <c r="E831" s="129">
        <v>0</v>
      </c>
      <c r="F831" s="129">
        <v>626003.01</v>
      </c>
      <c r="G831" s="129">
        <v>612183.99</v>
      </c>
      <c r="H831" s="129">
        <v>50.55</v>
      </c>
      <c r="I831" s="129">
        <f>'Corporate Services'!J347</f>
        <v>0</v>
      </c>
      <c r="J831" s="129">
        <f>'Corporate Services'!K347</f>
        <v>1238187</v>
      </c>
      <c r="K831" s="129">
        <f>'Corporate Services'!L347</f>
        <v>1315573.6875</v>
      </c>
      <c r="L831" s="129">
        <f>'Corporate Services'!M347</f>
        <v>1407663.8456250001</v>
      </c>
      <c r="M831" s="129">
        <f>'Corporate Services'!N347</f>
        <v>1506200.3148187501</v>
      </c>
      <c r="N831" s="129">
        <f>'Corporate Services'!O347</f>
        <v>0</v>
      </c>
      <c r="O831" s="129">
        <f>'Corporate Services'!N347</f>
        <v>1506200.3148187501</v>
      </c>
      <c r="P831" s="123" t="str">
        <f t="shared" si="284"/>
        <v>110</v>
      </c>
    </row>
    <row r="832" spans="1:16" x14ac:dyDescent="0.2">
      <c r="A832" s="119" t="s">
        <v>450</v>
      </c>
      <c r="B832" s="120" t="s">
        <v>151</v>
      </c>
      <c r="C832" s="129">
        <v>56405</v>
      </c>
      <c r="D832" s="129">
        <v>25401.27</v>
      </c>
      <c r="E832" s="129">
        <v>0</v>
      </c>
      <c r="F832" s="129">
        <v>102844.51</v>
      </c>
      <c r="G832" s="129">
        <v>-46439.51</v>
      </c>
      <c r="H832" s="129">
        <v>182.33</v>
      </c>
      <c r="I832" s="129">
        <f>'Corporate Services'!J348</f>
        <v>-31003.73000000001</v>
      </c>
      <c r="J832" s="129">
        <f>'Corporate Services'!K348</f>
        <v>25401.26999999999</v>
      </c>
      <c r="K832" s="129">
        <f>'Corporate Services'!L348</f>
        <v>26988.849374999991</v>
      </c>
      <c r="L832" s="129">
        <f>'Corporate Services'!M348</f>
        <v>28878.068831249991</v>
      </c>
      <c r="M832" s="129">
        <f>'Corporate Services'!N348</f>
        <v>30899.53364943749</v>
      </c>
      <c r="N832" s="129">
        <f>'Corporate Services'!O348</f>
        <v>0</v>
      </c>
      <c r="O832" s="129">
        <f>'Corporate Services'!N348</f>
        <v>30899.53364943749</v>
      </c>
      <c r="P832" s="123" t="str">
        <f t="shared" si="284"/>
        <v>110</v>
      </c>
    </row>
    <row r="833" spans="1:16" x14ac:dyDescent="0.2">
      <c r="A833" s="119" t="s">
        <v>451</v>
      </c>
      <c r="B833" s="120" t="s">
        <v>152</v>
      </c>
      <c r="C833" s="129">
        <v>52200</v>
      </c>
      <c r="D833" s="129">
        <v>4346.09</v>
      </c>
      <c r="E833" s="129">
        <v>0</v>
      </c>
      <c r="F833" s="129">
        <v>26076.54</v>
      </c>
      <c r="G833" s="129">
        <v>26123.46</v>
      </c>
      <c r="H833" s="129">
        <v>49.95</v>
      </c>
      <c r="I833" s="129">
        <f>'Corporate Services'!J349</f>
        <v>0</v>
      </c>
      <c r="J833" s="129">
        <f>'Corporate Services'!K349</f>
        <v>52200</v>
      </c>
      <c r="K833" s="129">
        <f>'Corporate Services'!L349</f>
        <v>55462.5</v>
      </c>
      <c r="L833" s="129">
        <f>'Corporate Services'!M349</f>
        <v>59344.875</v>
      </c>
      <c r="M833" s="129">
        <f>'Corporate Services'!N349</f>
        <v>63499.016250000001</v>
      </c>
      <c r="N833" s="129">
        <f>'Corporate Services'!O349</f>
        <v>0</v>
      </c>
      <c r="O833" s="129">
        <f>'Corporate Services'!N349</f>
        <v>63499.016250000001</v>
      </c>
      <c r="P833" s="123" t="str">
        <f t="shared" si="284"/>
        <v>110</v>
      </c>
    </row>
    <row r="834" spans="1:16" x14ac:dyDescent="0.2">
      <c r="A834" s="119" t="s">
        <v>452</v>
      </c>
      <c r="B834" s="120" t="s">
        <v>153</v>
      </c>
      <c r="C834" s="129">
        <v>10893</v>
      </c>
      <c r="D834" s="129">
        <v>0</v>
      </c>
      <c r="E834" s="129">
        <v>0</v>
      </c>
      <c r="F834" s="129">
        <v>0</v>
      </c>
      <c r="G834" s="129">
        <v>10893</v>
      </c>
      <c r="H834" s="129">
        <v>0</v>
      </c>
      <c r="I834" s="129">
        <f>'Corporate Services'!J350</f>
        <v>0</v>
      </c>
      <c r="J834" s="129">
        <f>'Corporate Services'!K350</f>
        <v>10893</v>
      </c>
      <c r="K834" s="129">
        <f>'Corporate Services'!L350</f>
        <v>11573.8125</v>
      </c>
      <c r="L834" s="129">
        <f>'Corporate Services'!M350</f>
        <v>12383.979375000001</v>
      </c>
      <c r="M834" s="129">
        <f>'Corporate Services'!N350</f>
        <v>13250.857931250001</v>
      </c>
      <c r="N834" s="129">
        <f>'Corporate Services'!O350</f>
        <v>0</v>
      </c>
      <c r="O834" s="129">
        <f>'Corporate Services'!N350</f>
        <v>13250.857931250001</v>
      </c>
      <c r="P834" s="123" t="str">
        <f t="shared" si="284"/>
        <v>110</v>
      </c>
    </row>
    <row r="835" spans="1:16" x14ac:dyDescent="0.2">
      <c r="A835" s="119" t="s">
        <v>453</v>
      </c>
      <c r="B835" s="120" t="s">
        <v>155</v>
      </c>
      <c r="C835" s="129">
        <v>40056</v>
      </c>
      <c r="D835" s="129">
        <v>0</v>
      </c>
      <c r="E835" s="129">
        <v>0</v>
      </c>
      <c r="F835" s="129">
        <v>0</v>
      </c>
      <c r="G835" s="129">
        <v>40056</v>
      </c>
      <c r="H835" s="129">
        <v>0</v>
      </c>
      <c r="I835" s="129">
        <f>'Corporate Services'!J351</f>
        <v>0</v>
      </c>
      <c r="J835" s="129">
        <f>'Corporate Services'!K351</f>
        <v>40056</v>
      </c>
      <c r="K835" s="129">
        <f>'Corporate Services'!L351</f>
        <v>42559.5</v>
      </c>
      <c r="L835" s="129">
        <f>'Corporate Services'!M351</f>
        <v>45538.665000000001</v>
      </c>
      <c r="O835" s="129">
        <f>'Corporate Services'!N351</f>
        <v>48726.371550000003</v>
      </c>
      <c r="P835" s="123" t="str">
        <f t="shared" si="284"/>
        <v>110</v>
      </c>
    </row>
    <row r="836" spans="1:16" x14ac:dyDescent="0.2">
      <c r="A836" s="119" t="s">
        <v>454</v>
      </c>
      <c r="B836" s="120" t="s">
        <v>156</v>
      </c>
      <c r="C836" s="129">
        <v>300547</v>
      </c>
      <c r="D836" s="129">
        <v>25276.16</v>
      </c>
      <c r="E836" s="129">
        <v>0</v>
      </c>
      <c r="F836" s="129">
        <v>150624.94</v>
      </c>
      <c r="G836" s="129">
        <v>149922.06</v>
      </c>
      <c r="H836" s="129">
        <v>50.11</v>
      </c>
      <c r="I836" s="129">
        <f>'Corporate Services'!J352</f>
        <v>0</v>
      </c>
      <c r="J836" s="129">
        <f>'Corporate Services'!K352</f>
        <v>300547</v>
      </c>
      <c r="K836" s="129">
        <f>'Corporate Services'!L352</f>
        <v>319331.1875</v>
      </c>
      <c r="L836" s="129">
        <f>'Corporate Services'!M352</f>
        <v>341684.37062499998</v>
      </c>
      <c r="O836" s="129">
        <f>'Corporate Services'!N352</f>
        <v>365602.27656874998</v>
      </c>
      <c r="P836" s="123" t="str">
        <f t="shared" si="284"/>
        <v>110</v>
      </c>
    </row>
    <row r="837" spans="1:16" x14ac:dyDescent="0.2">
      <c r="A837" s="119" t="s">
        <v>455</v>
      </c>
      <c r="B837" s="120" t="s">
        <v>158</v>
      </c>
      <c r="C837" s="129">
        <v>11405</v>
      </c>
      <c r="D837" s="129">
        <v>0</v>
      </c>
      <c r="E837" s="129">
        <v>0</v>
      </c>
      <c r="F837" s="129">
        <v>0</v>
      </c>
      <c r="G837" s="129">
        <v>11405</v>
      </c>
      <c r="H837" s="129">
        <v>0</v>
      </c>
      <c r="I837" s="129">
        <f>'Corporate Services'!J353</f>
        <v>0</v>
      </c>
      <c r="J837" s="129">
        <f>'Corporate Services'!K353</f>
        <v>11405</v>
      </c>
      <c r="K837" s="129">
        <f>'Corporate Services'!L353</f>
        <v>12117.8125</v>
      </c>
      <c r="L837" s="129">
        <f>'Corporate Services'!M353</f>
        <v>12966.059375000001</v>
      </c>
      <c r="O837" s="129">
        <f>'Corporate Services'!N353</f>
        <v>13873.683531250001</v>
      </c>
      <c r="P837" s="123" t="str">
        <f t="shared" si="284"/>
        <v>110</v>
      </c>
    </row>
    <row r="838" spans="1:16" x14ac:dyDescent="0.2">
      <c r="A838" s="119" t="s">
        <v>456</v>
      </c>
      <c r="B838" s="120" t="s">
        <v>159</v>
      </c>
      <c r="C838" s="129">
        <v>100182</v>
      </c>
      <c r="D838" s="129">
        <v>0</v>
      </c>
      <c r="E838" s="129">
        <v>0</v>
      </c>
      <c r="F838" s="129">
        <v>0</v>
      </c>
      <c r="G838" s="129">
        <v>100182</v>
      </c>
      <c r="H838" s="129">
        <v>0</v>
      </c>
      <c r="I838" s="129">
        <f>'Corporate Services'!J354</f>
        <v>0</v>
      </c>
      <c r="J838" s="129">
        <f>'Corporate Services'!K354</f>
        <v>100182</v>
      </c>
      <c r="K838" s="129">
        <f>'Corporate Services'!L354</f>
        <v>106443.375</v>
      </c>
      <c r="L838" s="129">
        <f>'Corporate Services'!M354</f>
        <v>113894.41125</v>
      </c>
      <c r="O838" s="129">
        <f>'Corporate Services'!N354</f>
        <v>121867.0200375</v>
      </c>
      <c r="P838" s="123" t="str">
        <f t="shared" si="284"/>
        <v>110</v>
      </c>
    </row>
    <row r="839" spans="1:16" x14ac:dyDescent="0.2">
      <c r="A839" s="119" t="s">
        <v>457</v>
      </c>
      <c r="B839" s="120" t="s">
        <v>161</v>
      </c>
      <c r="C839" s="129">
        <v>24284</v>
      </c>
      <c r="D839" s="129">
        <v>0</v>
      </c>
      <c r="E839" s="129">
        <v>0</v>
      </c>
      <c r="F839" s="129">
        <v>0</v>
      </c>
      <c r="G839" s="129">
        <v>24284</v>
      </c>
      <c r="H839" s="129">
        <v>0</v>
      </c>
      <c r="I839" s="129">
        <f>'Corporate Services'!J355</f>
        <v>0</v>
      </c>
      <c r="J839" s="129">
        <f>'Corporate Services'!K355</f>
        <v>24284</v>
      </c>
      <c r="K839" s="129">
        <f>'Corporate Services'!L355</f>
        <v>25801.75</v>
      </c>
      <c r="L839" s="129">
        <f>'Corporate Services'!M355</f>
        <v>27607.872500000001</v>
      </c>
      <c r="O839" s="129">
        <f>'Corporate Services'!N355</f>
        <v>29540.423575000001</v>
      </c>
      <c r="P839" s="123" t="str">
        <f t="shared" ref="P839:P902" si="295">MID(A839,6,3)</f>
        <v>110</v>
      </c>
    </row>
    <row r="840" spans="1:16" x14ac:dyDescent="0.2">
      <c r="A840" s="119" t="s">
        <v>458</v>
      </c>
      <c r="B840" s="120" t="s">
        <v>164</v>
      </c>
      <c r="C840" s="129">
        <v>15692</v>
      </c>
      <c r="D840" s="129">
        <v>1307.7</v>
      </c>
      <c r="E840" s="129">
        <v>0</v>
      </c>
      <c r="F840" s="129">
        <v>7846.2</v>
      </c>
      <c r="G840" s="129">
        <v>7845.8</v>
      </c>
      <c r="H840" s="129">
        <v>50</v>
      </c>
      <c r="I840" s="129">
        <f>'Corporate Services'!J356</f>
        <v>0</v>
      </c>
      <c r="J840" s="129">
        <f>'Corporate Services'!K356</f>
        <v>15692</v>
      </c>
      <c r="K840" s="129">
        <f>'Corporate Services'!L356</f>
        <v>16672.75</v>
      </c>
      <c r="L840" s="129">
        <f>'Corporate Services'!M356</f>
        <v>17839.842499999999</v>
      </c>
      <c r="O840" s="129">
        <f>'Corporate Services'!N356</f>
        <v>19088.631474999998</v>
      </c>
      <c r="P840" s="123" t="str">
        <f t="shared" si="295"/>
        <v>110</v>
      </c>
    </row>
    <row r="841" spans="1:16" x14ac:dyDescent="0.2">
      <c r="A841" s="119"/>
      <c r="B841" s="120"/>
      <c r="C841" s="129"/>
      <c r="D841" s="129"/>
      <c r="E841" s="129"/>
      <c r="F841" s="129"/>
      <c r="G841" s="129"/>
      <c r="H841" s="129"/>
      <c r="I841" s="129">
        <f>'Corporate Services'!J357</f>
        <v>0</v>
      </c>
      <c r="J841" s="129"/>
      <c r="K841" s="129"/>
      <c r="L841" s="129"/>
      <c r="O841" s="129"/>
      <c r="P841" s="123" t="str">
        <f t="shared" si="295"/>
        <v/>
      </c>
    </row>
    <row r="842" spans="1:16" s="114" customFormat="1" ht="15" x14ac:dyDescent="0.25">
      <c r="A842" s="118"/>
      <c r="B842" s="117" t="s">
        <v>165</v>
      </c>
      <c r="C842" s="128">
        <f>SUM(C831:C841)</f>
        <v>1849851</v>
      </c>
      <c r="D842" s="128">
        <f t="shared" ref="D842:O842" si="296">SUM(D831:D841)</f>
        <v>158853.07000000004</v>
      </c>
      <c r="E842" s="128">
        <f t="shared" si="296"/>
        <v>0</v>
      </c>
      <c r="F842" s="128">
        <f t="shared" si="296"/>
        <v>913395.19999999995</v>
      </c>
      <c r="G842" s="128">
        <f t="shared" si="296"/>
        <v>936455.8</v>
      </c>
      <c r="H842" s="128">
        <f t="shared" si="296"/>
        <v>382.94</v>
      </c>
      <c r="I842" s="128">
        <f t="shared" si="296"/>
        <v>-31003.73000000001</v>
      </c>
      <c r="J842" s="128">
        <f t="shared" si="296"/>
        <v>1818847.27</v>
      </c>
      <c r="K842" s="128">
        <f t="shared" si="296"/>
        <v>1932525.224375</v>
      </c>
      <c r="L842" s="128">
        <f t="shared" si="296"/>
        <v>2067801.9900812504</v>
      </c>
      <c r="M842" s="128">
        <f t="shared" si="296"/>
        <v>1613849.7226494378</v>
      </c>
      <c r="N842" s="128">
        <f t="shared" si="296"/>
        <v>0</v>
      </c>
      <c r="O842" s="128">
        <f t="shared" si="296"/>
        <v>2212548.1293869382</v>
      </c>
      <c r="P842" s="123" t="str">
        <f t="shared" si="295"/>
        <v/>
      </c>
    </row>
    <row r="843" spans="1:16" s="114" customFormat="1" ht="15" x14ac:dyDescent="0.25">
      <c r="A843" s="118"/>
      <c r="B843" s="117"/>
      <c r="C843" s="128"/>
      <c r="D843" s="128"/>
      <c r="E843" s="128"/>
      <c r="F843" s="128"/>
      <c r="G843" s="128"/>
      <c r="H843" s="128"/>
      <c r="I843" s="129">
        <f>'Corporate Services'!J359</f>
        <v>0</v>
      </c>
      <c r="J843" s="129"/>
      <c r="K843" s="129"/>
      <c r="L843" s="129"/>
      <c r="M843" s="186"/>
      <c r="N843" s="186"/>
      <c r="O843" s="128"/>
      <c r="P843" s="123" t="str">
        <f t="shared" si="295"/>
        <v/>
      </c>
    </row>
    <row r="844" spans="1:16" s="114" customFormat="1" ht="15" x14ac:dyDescent="0.25">
      <c r="A844" s="118"/>
      <c r="B844" s="117" t="s">
        <v>166</v>
      </c>
      <c r="C844" s="128"/>
      <c r="D844" s="128"/>
      <c r="E844" s="128"/>
      <c r="F844" s="128"/>
      <c r="G844" s="128"/>
      <c r="H844" s="128"/>
      <c r="I844" s="129">
        <f>'Corporate Services'!J360</f>
        <v>0</v>
      </c>
      <c r="J844" s="129"/>
      <c r="K844" s="129"/>
      <c r="L844" s="129"/>
      <c r="M844" s="186"/>
      <c r="N844" s="186"/>
      <c r="O844" s="128"/>
      <c r="P844" s="123" t="str">
        <f t="shared" si="295"/>
        <v/>
      </c>
    </row>
    <row r="845" spans="1:16" x14ac:dyDescent="0.2">
      <c r="A845" s="119"/>
      <c r="B845" s="120"/>
      <c r="C845" s="129"/>
      <c r="D845" s="129"/>
      <c r="E845" s="129"/>
      <c r="F845" s="129"/>
      <c r="G845" s="129"/>
      <c r="H845" s="129"/>
      <c r="I845" s="129">
        <f>'Corporate Services'!J361</f>
        <v>0</v>
      </c>
      <c r="J845" s="129"/>
      <c r="K845" s="129"/>
      <c r="L845" s="129"/>
      <c r="O845" s="129"/>
      <c r="P845" s="123" t="str">
        <f t="shared" si="295"/>
        <v/>
      </c>
    </row>
    <row r="846" spans="1:16" x14ac:dyDescent="0.2">
      <c r="A846" s="119" t="s">
        <v>459</v>
      </c>
      <c r="B846" s="120" t="s">
        <v>167</v>
      </c>
      <c r="C846" s="129">
        <v>337</v>
      </c>
      <c r="D846" s="129">
        <v>27.96</v>
      </c>
      <c r="E846" s="129">
        <v>0</v>
      </c>
      <c r="F846" s="129">
        <v>167.76</v>
      </c>
      <c r="G846" s="129">
        <v>169.24</v>
      </c>
      <c r="H846" s="129">
        <v>49.78</v>
      </c>
      <c r="I846" s="129">
        <f>'Corporate Services'!J362</f>
        <v>0</v>
      </c>
      <c r="J846" s="129">
        <f>'Corporate Services'!K362</f>
        <v>337</v>
      </c>
      <c r="K846" s="129">
        <f>'Corporate Services'!L362</f>
        <v>358.0625</v>
      </c>
      <c r="L846" s="129">
        <f>'Corporate Services'!M362</f>
        <v>383.12687499999998</v>
      </c>
      <c r="M846" s="129">
        <f>'Corporate Services'!N362</f>
        <v>409.94575624999999</v>
      </c>
      <c r="N846" s="129">
        <f>'Corporate Services'!O362</f>
        <v>0</v>
      </c>
      <c r="O846" s="129">
        <f>'Corporate Services'!N362</f>
        <v>409.94575624999999</v>
      </c>
      <c r="P846" s="123" t="str">
        <f t="shared" si="295"/>
        <v>130</v>
      </c>
    </row>
    <row r="847" spans="1:16" x14ac:dyDescent="0.2">
      <c r="A847" s="119" t="s">
        <v>460</v>
      </c>
      <c r="B847" s="120" t="s">
        <v>168</v>
      </c>
      <c r="C847" s="129">
        <v>161725</v>
      </c>
      <c r="D847" s="129">
        <v>7625.4</v>
      </c>
      <c r="E847" s="129">
        <v>0</v>
      </c>
      <c r="F847" s="129">
        <v>45752.4</v>
      </c>
      <c r="G847" s="129">
        <v>115972.6</v>
      </c>
      <c r="H847" s="129">
        <v>28.29</v>
      </c>
      <c r="I847" s="129">
        <f>'Corporate Services'!J363</f>
        <v>0</v>
      </c>
      <c r="J847" s="129">
        <f>'Corporate Services'!K363</f>
        <v>161725</v>
      </c>
      <c r="K847" s="129">
        <f>'Corporate Services'!L363</f>
        <v>171832.8125</v>
      </c>
      <c r="L847" s="129">
        <f>'Corporate Services'!M363</f>
        <v>183861.109375</v>
      </c>
      <c r="M847" s="129">
        <f>'Corporate Services'!N363</f>
        <v>196731.38703124999</v>
      </c>
      <c r="N847" s="129">
        <f>'Corporate Services'!O363</f>
        <v>0</v>
      </c>
      <c r="O847" s="129">
        <f>'Corporate Services'!N363</f>
        <v>196731.38703124999</v>
      </c>
      <c r="P847" s="123" t="str">
        <f t="shared" si="295"/>
        <v>130</v>
      </c>
    </row>
    <row r="848" spans="1:16" x14ac:dyDescent="0.2">
      <c r="A848" s="119" t="s">
        <v>461</v>
      </c>
      <c r="B848" s="120" t="s">
        <v>169</v>
      </c>
      <c r="C848" s="129">
        <v>264481</v>
      </c>
      <c r="D848" s="129">
        <v>20617.39</v>
      </c>
      <c r="E848" s="129">
        <v>0</v>
      </c>
      <c r="F848" s="129">
        <v>122932.35</v>
      </c>
      <c r="G848" s="129">
        <v>141548.65</v>
      </c>
      <c r="H848" s="129">
        <v>46.48</v>
      </c>
      <c r="I848" s="129">
        <f>'Corporate Services'!J364</f>
        <v>0</v>
      </c>
      <c r="J848" s="129">
        <f>'Corporate Services'!K364</f>
        <v>264481</v>
      </c>
      <c r="K848" s="129">
        <f>'Corporate Services'!L364</f>
        <v>281011.0625</v>
      </c>
      <c r="L848" s="129">
        <f>'Corporate Services'!M364</f>
        <v>300681.83687499998</v>
      </c>
      <c r="M848" s="129">
        <f>'Corporate Services'!N364</f>
        <v>321729.56545624998</v>
      </c>
      <c r="N848" s="129">
        <f>'Corporate Services'!O364</f>
        <v>0</v>
      </c>
      <c r="O848" s="129">
        <f>'Corporate Services'!N364</f>
        <v>321729.56545624998</v>
      </c>
      <c r="P848" s="123" t="str">
        <f t="shared" si="295"/>
        <v>130</v>
      </c>
    </row>
    <row r="849" spans="1:16" x14ac:dyDescent="0.2">
      <c r="A849" s="119" t="s">
        <v>462</v>
      </c>
      <c r="B849" s="120" t="s">
        <v>170</v>
      </c>
      <c r="C849" s="129">
        <v>5355</v>
      </c>
      <c r="D849" s="129">
        <v>446.16</v>
      </c>
      <c r="E849" s="129">
        <v>0</v>
      </c>
      <c r="F849" s="129">
        <v>2826.96</v>
      </c>
      <c r="G849" s="129">
        <v>2528.04</v>
      </c>
      <c r="H849" s="129">
        <v>52.79</v>
      </c>
      <c r="I849" s="129">
        <f>'Corporate Services'!J365</f>
        <v>0</v>
      </c>
      <c r="J849" s="129">
        <f>'Corporate Services'!K365</f>
        <v>5355</v>
      </c>
      <c r="K849" s="129">
        <f>'Corporate Services'!L365</f>
        <v>5689.6875</v>
      </c>
      <c r="L849" s="129">
        <f>'Corporate Services'!M365</f>
        <v>6087.9656249999998</v>
      </c>
      <c r="M849" s="129">
        <f>'Corporate Services'!N365</f>
        <v>6514.12321875</v>
      </c>
      <c r="N849" s="129">
        <f>'Corporate Services'!O365</f>
        <v>0</v>
      </c>
      <c r="O849" s="129">
        <f>'Corporate Services'!N365</f>
        <v>6514.12321875</v>
      </c>
      <c r="P849" s="123" t="str">
        <f t="shared" si="295"/>
        <v>130</v>
      </c>
    </row>
    <row r="850" spans="1:16" x14ac:dyDescent="0.2">
      <c r="A850" s="119"/>
      <c r="B850" s="120"/>
      <c r="C850" s="129"/>
      <c r="D850" s="129"/>
      <c r="E850" s="129"/>
      <c r="F850" s="129"/>
      <c r="G850" s="129"/>
      <c r="H850" s="129"/>
      <c r="I850" s="129">
        <f>'Corporate Services'!J366</f>
        <v>0</v>
      </c>
      <c r="J850" s="129"/>
      <c r="K850" s="129"/>
      <c r="L850" s="129"/>
      <c r="O850" s="129"/>
      <c r="P850" s="123" t="str">
        <f t="shared" si="295"/>
        <v/>
      </c>
    </row>
    <row r="851" spans="1:16" s="114" customFormat="1" ht="15" x14ac:dyDescent="0.25">
      <c r="A851" s="118"/>
      <c r="B851" s="117" t="s">
        <v>171</v>
      </c>
      <c r="C851" s="128">
        <f>SUM(C846:C850)</f>
        <v>431898</v>
      </c>
      <c r="D851" s="128">
        <f t="shared" ref="D851:O851" si="297">SUM(D846:D850)</f>
        <v>28716.91</v>
      </c>
      <c r="E851" s="128">
        <f t="shared" si="297"/>
        <v>0</v>
      </c>
      <c r="F851" s="128">
        <f t="shared" si="297"/>
        <v>171679.47</v>
      </c>
      <c r="G851" s="128">
        <f t="shared" si="297"/>
        <v>260218.53</v>
      </c>
      <c r="H851" s="128">
        <f t="shared" si="297"/>
        <v>177.33999999999997</v>
      </c>
      <c r="I851" s="128">
        <f t="shared" si="297"/>
        <v>0</v>
      </c>
      <c r="J851" s="128">
        <f t="shared" si="297"/>
        <v>431898</v>
      </c>
      <c r="K851" s="128">
        <f t="shared" si="297"/>
        <v>458891.625</v>
      </c>
      <c r="L851" s="128">
        <f t="shared" si="297"/>
        <v>491014.03875000001</v>
      </c>
      <c r="M851" s="128">
        <f t="shared" si="297"/>
        <v>525385.02146249998</v>
      </c>
      <c r="N851" s="128">
        <f t="shared" si="297"/>
        <v>0</v>
      </c>
      <c r="O851" s="128">
        <f t="shared" si="297"/>
        <v>525385.02146249998</v>
      </c>
      <c r="P851" s="123" t="str">
        <f t="shared" si="295"/>
        <v/>
      </c>
    </row>
    <row r="852" spans="1:16" s="114" customFormat="1" ht="15" x14ac:dyDescent="0.25">
      <c r="A852" s="118"/>
      <c r="B852" s="117"/>
      <c r="C852" s="128"/>
      <c r="D852" s="128"/>
      <c r="E852" s="128"/>
      <c r="F852" s="128"/>
      <c r="G852" s="128"/>
      <c r="H852" s="128"/>
      <c r="I852" s="129">
        <f>'Corporate Services'!J368</f>
        <v>0</v>
      </c>
      <c r="J852" s="129"/>
      <c r="K852" s="129"/>
      <c r="L852" s="129"/>
      <c r="M852" s="186"/>
      <c r="N852" s="186"/>
      <c r="O852" s="128"/>
      <c r="P852" s="123" t="str">
        <f t="shared" si="295"/>
        <v/>
      </c>
    </row>
    <row r="853" spans="1:16" s="114" customFormat="1" ht="15" x14ac:dyDescent="0.25">
      <c r="A853" s="118"/>
      <c r="B853" s="117" t="s">
        <v>172</v>
      </c>
      <c r="C853" s="128"/>
      <c r="D853" s="128"/>
      <c r="E853" s="128"/>
      <c r="F853" s="128"/>
      <c r="G853" s="128"/>
      <c r="H853" s="128"/>
      <c r="I853" s="129">
        <f>'Corporate Services'!J369</f>
        <v>0</v>
      </c>
      <c r="J853" s="129"/>
      <c r="K853" s="129"/>
      <c r="L853" s="129"/>
      <c r="M853" s="186"/>
      <c r="N853" s="186"/>
      <c r="O853" s="128"/>
      <c r="P853" s="123" t="str">
        <f t="shared" si="295"/>
        <v/>
      </c>
    </row>
    <row r="854" spans="1:16" x14ac:dyDescent="0.2">
      <c r="A854" s="119"/>
      <c r="B854" s="120"/>
      <c r="C854" s="129"/>
      <c r="D854" s="129"/>
      <c r="E854" s="129"/>
      <c r="F854" s="129"/>
      <c r="G854" s="129"/>
      <c r="H854" s="129"/>
      <c r="I854" s="129">
        <f>'Corporate Services'!J370</f>
        <v>0</v>
      </c>
      <c r="J854" s="129"/>
      <c r="K854" s="129"/>
      <c r="L854" s="129"/>
      <c r="O854" s="129"/>
      <c r="P854" s="123" t="str">
        <f t="shared" si="295"/>
        <v/>
      </c>
    </row>
    <row r="855" spans="1:16" x14ac:dyDescent="0.2">
      <c r="A855" s="119" t="s">
        <v>463</v>
      </c>
      <c r="B855" s="120" t="s">
        <v>173</v>
      </c>
      <c r="C855" s="129">
        <v>16993</v>
      </c>
      <c r="D855" s="129">
        <v>0</v>
      </c>
      <c r="E855" s="129">
        <v>0</v>
      </c>
      <c r="F855" s="129">
        <v>0</v>
      </c>
      <c r="G855" s="129">
        <v>16993</v>
      </c>
      <c r="H855" s="129">
        <v>0</v>
      </c>
      <c r="I855" s="129">
        <f>'Corporate Services'!J371</f>
        <v>0</v>
      </c>
      <c r="J855" s="129">
        <f>'Corporate Services'!K371</f>
        <v>16993</v>
      </c>
      <c r="K855" s="129">
        <f>'Corporate Services'!L371</f>
        <v>18055.0625</v>
      </c>
      <c r="L855" s="129">
        <f>'Corporate Services'!M371</f>
        <v>19318.916874999999</v>
      </c>
      <c r="M855" s="129">
        <f>'Corporate Services'!N371</f>
        <v>20671.241056250001</v>
      </c>
      <c r="N855" s="129">
        <f>'Corporate Services'!O371</f>
        <v>0</v>
      </c>
      <c r="O855" s="129">
        <f>'Corporate Services'!N371</f>
        <v>20671.241056250001</v>
      </c>
      <c r="P855" s="123" t="str">
        <f t="shared" si="295"/>
        <v>140</v>
      </c>
    </row>
    <row r="856" spans="1:16" x14ac:dyDescent="0.2">
      <c r="A856" s="119" t="s">
        <v>464</v>
      </c>
      <c r="B856" s="120" t="s">
        <v>174</v>
      </c>
      <c r="C856" s="129">
        <v>17974</v>
      </c>
      <c r="D856" s="129">
        <v>0</v>
      </c>
      <c r="E856" s="129">
        <v>0</v>
      </c>
      <c r="F856" s="129">
        <v>0</v>
      </c>
      <c r="G856" s="129">
        <v>17974</v>
      </c>
      <c r="H856" s="129">
        <v>0</v>
      </c>
      <c r="I856" s="129">
        <f>'Corporate Services'!J372</f>
        <v>0</v>
      </c>
      <c r="J856" s="129">
        <f>'Corporate Services'!K372</f>
        <v>17974</v>
      </c>
      <c r="K856" s="129">
        <f>'Corporate Services'!L372</f>
        <v>19097.375</v>
      </c>
      <c r="L856" s="129">
        <f>'Corporate Services'!M372</f>
        <v>20434.19125</v>
      </c>
      <c r="M856" s="129">
        <f>'Corporate Services'!N372</f>
        <v>21864.5846375</v>
      </c>
      <c r="N856" s="129">
        <f>'Corporate Services'!O372</f>
        <v>0</v>
      </c>
      <c r="O856" s="129">
        <f>'Corporate Services'!N372</f>
        <v>21864.5846375</v>
      </c>
      <c r="P856" s="123" t="str">
        <f t="shared" si="295"/>
        <v>140</v>
      </c>
    </row>
    <row r="857" spans="1:16" x14ac:dyDescent="0.2">
      <c r="A857" s="119" t="s">
        <v>465</v>
      </c>
      <c r="B857" s="120" t="s">
        <v>175</v>
      </c>
      <c r="C857" s="129">
        <v>13156</v>
      </c>
      <c r="D857" s="129">
        <v>0</v>
      </c>
      <c r="E857" s="129">
        <v>0</v>
      </c>
      <c r="F857" s="129">
        <v>0</v>
      </c>
      <c r="G857" s="129">
        <v>13156</v>
      </c>
      <c r="H857" s="129">
        <v>0</v>
      </c>
      <c r="I857" s="129">
        <f>'Corporate Services'!J373</f>
        <v>0</v>
      </c>
      <c r="J857" s="129">
        <f>'Corporate Services'!K373</f>
        <v>13156</v>
      </c>
      <c r="K857" s="129">
        <f>'Corporate Services'!L373</f>
        <v>13978.25</v>
      </c>
      <c r="L857" s="129">
        <f>'Corporate Services'!M373</f>
        <v>14956.727500000001</v>
      </c>
      <c r="M857" s="129">
        <f>'Corporate Services'!N373</f>
        <v>16003.698425</v>
      </c>
      <c r="N857" s="129">
        <f>'Corporate Services'!O373</f>
        <v>0</v>
      </c>
      <c r="O857" s="129">
        <f>'Corporate Services'!N373</f>
        <v>16003.698425</v>
      </c>
      <c r="P857" s="123" t="str">
        <f t="shared" si="295"/>
        <v>142</v>
      </c>
    </row>
    <row r="858" spans="1:16" x14ac:dyDescent="0.2">
      <c r="A858" s="119"/>
      <c r="B858" s="120"/>
      <c r="C858" s="129"/>
      <c r="D858" s="129"/>
      <c r="E858" s="129"/>
      <c r="F858" s="129"/>
      <c r="G858" s="129"/>
      <c r="H858" s="129"/>
      <c r="I858" s="129">
        <f>'Corporate Services'!J374</f>
        <v>0</v>
      </c>
      <c r="J858" s="129"/>
      <c r="K858" s="129"/>
      <c r="L858" s="129"/>
      <c r="O858" s="129"/>
      <c r="P858" s="123" t="str">
        <f t="shared" si="295"/>
        <v/>
      </c>
    </row>
    <row r="859" spans="1:16" s="114" customFormat="1" ht="15" x14ac:dyDescent="0.25">
      <c r="A859" s="118"/>
      <c r="B859" s="117" t="s">
        <v>176</v>
      </c>
      <c r="C859" s="128">
        <f>SUM(C855:C858)</f>
        <v>48123</v>
      </c>
      <c r="D859" s="128">
        <f t="shared" ref="D859:O859" si="298">SUM(D855:D858)</f>
        <v>0</v>
      </c>
      <c r="E859" s="128">
        <f t="shared" si="298"/>
        <v>0</v>
      </c>
      <c r="F859" s="128">
        <f t="shared" si="298"/>
        <v>0</v>
      </c>
      <c r="G859" s="128">
        <f t="shared" si="298"/>
        <v>48123</v>
      </c>
      <c r="H859" s="128">
        <f t="shared" si="298"/>
        <v>0</v>
      </c>
      <c r="I859" s="128">
        <f t="shared" si="298"/>
        <v>0</v>
      </c>
      <c r="J859" s="128">
        <f t="shared" si="298"/>
        <v>48123</v>
      </c>
      <c r="K859" s="128">
        <f t="shared" si="298"/>
        <v>51130.6875</v>
      </c>
      <c r="L859" s="128">
        <f t="shared" si="298"/>
        <v>54709.835625</v>
      </c>
      <c r="M859" s="128">
        <f t="shared" si="298"/>
        <v>58539.52411875</v>
      </c>
      <c r="N859" s="128">
        <f t="shared" si="298"/>
        <v>0</v>
      </c>
      <c r="O859" s="128">
        <f t="shared" si="298"/>
        <v>58539.52411875</v>
      </c>
      <c r="P859" s="123" t="str">
        <f t="shared" si="295"/>
        <v/>
      </c>
    </row>
    <row r="860" spans="1:16" s="114" customFormat="1" ht="15" x14ac:dyDescent="0.25">
      <c r="A860" s="118"/>
      <c r="B860" s="117"/>
      <c r="C860" s="128"/>
      <c r="D860" s="128"/>
      <c r="E860" s="128"/>
      <c r="F860" s="128"/>
      <c r="G860" s="128"/>
      <c r="H860" s="128"/>
      <c r="I860" s="128">
        <f>'Corporate Services'!J376</f>
        <v>0</v>
      </c>
      <c r="J860" s="128"/>
      <c r="K860" s="128"/>
      <c r="L860" s="128"/>
      <c r="M860" s="186"/>
      <c r="N860" s="186"/>
      <c r="O860" s="128"/>
      <c r="P860" s="123" t="str">
        <f t="shared" si="295"/>
        <v/>
      </c>
    </row>
    <row r="861" spans="1:16" s="114" customFormat="1" ht="15" x14ac:dyDescent="0.25">
      <c r="A861" s="118"/>
      <c r="B861" s="117" t="s">
        <v>177</v>
      </c>
      <c r="C861" s="128">
        <f>C842+C851+C859</f>
        <v>2329872</v>
      </c>
      <c r="D861" s="128">
        <f t="shared" ref="D861:O861" si="299">D842+D851+D859</f>
        <v>187569.98000000004</v>
      </c>
      <c r="E861" s="128">
        <f t="shared" si="299"/>
        <v>0</v>
      </c>
      <c r="F861" s="128">
        <f t="shared" si="299"/>
        <v>1085074.67</v>
      </c>
      <c r="G861" s="128">
        <f t="shared" si="299"/>
        <v>1244797.33</v>
      </c>
      <c r="H861" s="128">
        <f t="shared" si="299"/>
        <v>560.28</v>
      </c>
      <c r="I861" s="128">
        <f t="shared" si="299"/>
        <v>-31003.73000000001</v>
      </c>
      <c r="J861" s="128">
        <f t="shared" si="299"/>
        <v>2298868.27</v>
      </c>
      <c r="K861" s="128">
        <f t="shared" si="299"/>
        <v>2442547.5368750002</v>
      </c>
      <c r="L861" s="128">
        <f t="shared" si="299"/>
        <v>2613525.8644562503</v>
      </c>
      <c r="M861" s="128">
        <f t="shared" si="299"/>
        <v>2197774.2682306878</v>
      </c>
      <c r="N861" s="128">
        <f t="shared" si="299"/>
        <v>0</v>
      </c>
      <c r="O861" s="128">
        <f t="shared" si="299"/>
        <v>2796472.6749681882</v>
      </c>
      <c r="P861" s="123" t="str">
        <f t="shared" si="295"/>
        <v/>
      </c>
    </row>
    <row r="862" spans="1:16" s="114" customFormat="1" ht="15" x14ac:dyDescent="0.25">
      <c r="A862" s="118"/>
      <c r="B862" s="117"/>
      <c r="C862" s="128"/>
      <c r="D862" s="128"/>
      <c r="E862" s="128"/>
      <c r="F862" s="128"/>
      <c r="G862" s="128"/>
      <c r="H862" s="128"/>
      <c r="I862" s="128">
        <f>'Corporate Services'!J378</f>
        <v>0</v>
      </c>
      <c r="J862" s="128"/>
      <c r="K862" s="128"/>
      <c r="L862" s="128"/>
      <c r="M862" s="186"/>
      <c r="N862" s="186"/>
      <c r="O862" s="128"/>
      <c r="P862" s="123" t="str">
        <f t="shared" si="295"/>
        <v/>
      </c>
    </row>
    <row r="863" spans="1:16" s="114" customFormat="1" ht="15" x14ac:dyDescent="0.25">
      <c r="A863" s="118"/>
      <c r="B863" s="117" t="s">
        <v>178</v>
      </c>
      <c r="C863" s="128">
        <f>C861</f>
        <v>2329872</v>
      </c>
      <c r="D863" s="128">
        <f t="shared" ref="D863:O863" si="300">D861</f>
        <v>187569.98000000004</v>
      </c>
      <c r="E863" s="128">
        <f t="shared" si="300"/>
        <v>0</v>
      </c>
      <c r="F863" s="128">
        <f t="shared" si="300"/>
        <v>1085074.67</v>
      </c>
      <c r="G863" s="128">
        <f t="shared" si="300"/>
        <v>1244797.33</v>
      </c>
      <c r="H863" s="128">
        <f t="shared" si="300"/>
        <v>560.28</v>
      </c>
      <c r="I863" s="128">
        <f t="shared" si="300"/>
        <v>-31003.73000000001</v>
      </c>
      <c r="J863" s="128">
        <f t="shared" si="300"/>
        <v>2298868.27</v>
      </c>
      <c r="K863" s="128">
        <f t="shared" si="300"/>
        <v>2442547.5368750002</v>
      </c>
      <c r="L863" s="128">
        <f t="shared" si="300"/>
        <v>2613525.8644562503</v>
      </c>
      <c r="M863" s="128">
        <f t="shared" si="300"/>
        <v>2197774.2682306878</v>
      </c>
      <c r="N863" s="128">
        <f t="shared" si="300"/>
        <v>0</v>
      </c>
      <c r="O863" s="128">
        <f t="shared" si="300"/>
        <v>2796472.6749681882</v>
      </c>
      <c r="P863" s="123" t="str">
        <f t="shared" si="295"/>
        <v/>
      </c>
    </row>
    <row r="864" spans="1:16" s="114" customFormat="1" ht="15" x14ac:dyDescent="0.25">
      <c r="A864" s="118"/>
      <c r="B864" s="117"/>
      <c r="C864" s="128"/>
      <c r="D864" s="128"/>
      <c r="E864" s="128"/>
      <c r="F864" s="128"/>
      <c r="G864" s="128"/>
      <c r="H864" s="128"/>
      <c r="I864" s="129">
        <f>'Corporate Services'!J380</f>
        <v>0</v>
      </c>
      <c r="J864" s="129"/>
      <c r="K864" s="129"/>
      <c r="L864" s="129"/>
      <c r="M864" s="186"/>
      <c r="N864" s="186"/>
      <c r="O864" s="128"/>
      <c r="P864" s="123" t="str">
        <f t="shared" si="295"/>
        <v/>
      </c>
    </row>
    <row r="865" spans="1:16" s="114" customFormat="1" ht="15" x14ac:dyDescent="0.25">
      <c r="A865" s="118"/>
      <c r="B865" s="117" t="s">
        <v>241</v>
      </c>
      <c r="C865" s="128"/>
      <c r="D865" s="128"/>
      <c r="E865" s="128"/>
      <c r="F865" s="128"/>
      <c r="G865" s="128"/>
      <c r="H865" s="128"/>
      <c r="I865" s="129">
        <f>'Corporate Services'!J381</f>
        <v>0</v>
      </c>
      <c r="J865" s="129"/>
      <c r="K865" s="129"/>
      <c r="L865" s="129"/>
      <c r="M865" s="186"/>
      <c r="N865" s="186"/>
      <c r="O865" s="128"/>
      <c r="P865" s="123" t="str">
        <f t="shared" si="295"/>
        <v/>
      </c>
    </row>
    <row r="866" spans="1:16" x14ac:dyDescent="0.2">
      <c r="A866" s="119"/>
      <c r="B866" s="120"/>
      <c r="C866" s="129"/>
      <c r="D866" s="129"/>
      <c r="E866" s="129"/>
      <c r="F866" s="129"/>
      <c r="G866" s="129"/>
      <c r="H866" s="129"/>
      <c r="I866" s="129">
        <f>'Corporate Services'!J382</f>
        <v>0</v>
      </c>
      <c r="J866" s="129"/>
      <c r="K866" s="129"/>
      <c r="L866" s="129"/>
      <c r="O866" s="129"/>
      <c r="P866" s="123" t="str">
        <f t="shared" si="295"/>
        <v/>
      </c>
    </row>
    <row r="867" spans="1:16" x14ac:dyDescent="0.2">
      <c r="A867" s="119" t="s">
        <v>466</v>
      </c>
      <c r="B867" s="120" t="s">
        <v>263</v>
      </c>
      <c r="C867" s="129">
        <v>424000</v>
      </c>
      <c r="D867" s="129">
        <v>0</v>
      </c>
      <c r="E867" s="129">
        <v>0</v>
      </c>
      <c r="F867" s="129">
        <v>143900</v>
      </c>
      <c r="G867" s="129">
        <v>280100</v>
      </c>
      <c r="H867" s="129">
        <v>33.93</v>
      </c>
      <c r="I867" s="129">
        <f>'Corporate Services'!J383</f>
        <v>200000</v>
      </c>
      <c r="J867" s="129">
        <f>'Corporate Services'!K383</f>
        <v>624000</v>
      </c>
      <c r="K867" s="129">
        <f>'Corporate Services'!L383</f>
        <v>652080</v>
      </c>
      <c r="L867" s="129">
        <f>'Corporate Services'!M383</f>
        <v>682075.68</v>
      </c>
      <c r="M867" s="129">
        <f>'Corporate Services'!N383</f>
        <v>713451.16128</v>
      </c>
      <c r="N867" s="129">
        <f>'Corporate Services'!O383</f>
        <v>0</v>
      </c>
      <c r="O867" s="129">
        <f>'Corporate Services'!N383</f>
        <v>713451.16128</v>
      </c>
      <c r="P867" s="123" t="str">
        <f t="shared" si="295"/>
        <v>305</v>
      </c>
    </row>
    <row r="868" spans="1:16" x14ac:dyDescent="0.2">
      <c r="A868" s="119" t="s">
        <v>467</v>
      </c>
      <c r="B868" s="120" t="s">
        <v>263</v>
      </c>
      <c r="C868" s="129">
        <v>1219000</v>
      </c>
      <c r="D868" s="129">
        <v>93150</v>
      </c>
      <c r="E868" s="129">
        <v>45152.17</v>
      </c>
      <c r="F868" s="129">
        <v>943903.98</v>
      </c>
      <c r="G868" s="129">
        <v>275096.02</v>
      </c>
      <c r="H868" s="129">
        <v>77.430000000000007</v>
      </c>
      <c r="I868" s="129">
        <f>'Corporate Services'!J384</f>
        <v>-200000</v>
      </c>
      <c r="J868" s="129">
        <f>'Corporate Services'!K384</f>
        <v>1019000</v>
      </c>
      <c r="K868" s="129">
        <f>'Corporate Services'!L384</f>
        <v>1064855</v>
      </c>
      <c r="L868" s="129">
        <f>'Corporate Services'!M384</f>
        <v>1113838.33</v>
      </c>
      <c r="M868" s="129">
        <f>'Corporate Services'!N384</f>
        <v>1165074.8931800001</v>
      </c>
      <c r="N868" s="129">
        <f>'Corporate Services'!O384</f>
        <v>0</v>
      </c>
      <c r="O868" s="129">
        <f>'Corporate Services'!N384</f>
        <v>1165074.8931800001</v>
      </c>
      <c r="P868" s="123" t="str">
        <f t="shared" si="295"/>
        <v>305</v>
      </c>
    </row>
    <row r="869" spans="1:16" x14ac:dyDescent="0.2">
      <c r="A869" s="119" t="s">
        <v>468</v>
      </c>
      <c r="B869" s="120" t="s">
        <v>264</v>
      </c>
      <c r="C869" s="129">
        <v>2304000</v>
      </c>
      <c r="D869" s="129">
        <v>0</v>
      </c>
      <c r="E869" s="129">
        <v>0</v>
      </c>
      <c r="F869" s="129">
        <v>943200</v>
      </c>
      <c r="G869" s="129">
        <v>1360800</v>
      </c>
      <c r="H869" s="129">
        <v>40.93</v>
      </c>
      <c r="I869" s="129">
        <f>'Corporate Services'!J385</f>
        <v>0</v>
      </c>
      <c r="J869" s="129">
        <f>'Corporate Services'!K385</f>
        <v>2304000</v>
      </c>
      <c r="K869" s="129">
        <f>'Corporate Services'!L385</f>
        <v>2304000</v>
      </c>
      <c r="L869" s="129">
        <f>'Corporate Services'!M385</f>
        <v>2409984</v>
      </c>
      <c r="M869" s="129">
        <f>'Corporate Services'!N385</f>
        <v>2520843.264</v>
      </c>
      <c r="N869" s="129">
        <f>'Corporate Services'!O385</f>
        <v>0</v>
      </c>
      <c r="O869" s="129">
        <f>'Corporate Services'!N385</f>
        <v>2520843.264</v>
      </c>
      <c r="P869" s="123" t="str">
        <f t="shared" si="295"/>
        <v>305</v>
      </c>
    </row>
    <row r="870" spans="1:16" x14ac:dyDescent="0.2">
      <c r="A870" s="119" t="s">
        <v>469</v>
      </c>
      <c r="B870" s="120" t="s">
        <v>265</v>
      </c>
      <c r="C870" s="129">
        <v>0</v>
      </c>
      <c r="D870" s="129">
        <v>1596.75</v>
      </c>
      <c r="E870" s="129">
        <v>0</v>
      </c>
      <c r="F870" s="129">
        <v>9006.24</v>
      </c>
      <c r="G870" s="129">
        <v>-9006.24</v>
      </c>
      <c r="H870" s="129">
        <v>0</v>
      </c>
      <c r="I870" s="129">
        <f>'Corporate Services'!J386</f>
        <v>20000</v>
      </c>
      <c r="J870" s="129">
        <f>'Corporate Services'!K386</f>
        <v>20000</v>
      </c>
      <c r="K870" s="129">
        <f>'Corporate Services'!L386</f>
        <v>20900</v>
      </c>
      <c r="L870" s="129">
        <f>'Corporate Services'!M386</f>
        <v>21861.4</v>
      </c>
      <c r="M870" s="129">
        <f>'Corporate Services'!N386</f>
        <v>22867.024400000002</v>
      </c>
      <c r="N870" s="129">
        <f>'Corporate Services'!O386</f>
        <v>0</v>
      </c>
      <c r="O870" s="129">
        <f>'Corporate Services'!N386</f>
        <v>22867.024400000002</v>
      </c>
      <c r="P870" s="123" t="str">
        <f t="shared" si="295"/>
        <v>305</v>
      </c>
    </row>
    <row r="871" spans="1:16" x14ac:dyDescent="0.2">
      <c r="A871" s="119" t="s">
        <v>470</v>
      </c>
      <c r="B871" s="120" t="s">
        <v>267</v>
      </c>
      <c r="C871" s="129">
        <v>700000</v>
      </c>
      <c r="D871" s="129">
        <v>0</v>
      </c>
      <c r="E871" s="129">
        <v>0</v>
      </c>
      <c r="F871" s="129">
        <v>220620</v>
      </c>
      <c r="G871" s="129">
        <v>479380</v>
      </c>
      <c r="H871" s="129">
        <v>31.51</v>
      </c>
      <c r="I871" s="129">
        <f>'Corporate Services'!J387</f>
        <v>0</v>
      </c>
      <c r="J871" s="129">
        <f>'Corporate Services'!K387</f>
        <v>700000</v>
      </c>
      <c r="K871" s="129">
        <f>'Corporate Services'!L387</f>
        <v>731500</v>
      </c>
      <c r="L871" s="129">
        <f>'Corporate Services'!M387</f>
        <v>765149</v>
      </c>
      <c r="M871" s="129">
        <f>'Corporate Services'!N387</f>
        <v>800345.85400000005</v>
      </c>
      <c r="N871" s="129">
        <f>'Corporate Services'!O387</f>
        <v>0</v>
      </c>
      <c r="O871" s="129">
        <f>'Corporate Services'!N387</f>
        <v>800345.85400000005</v>
      </c>
      <c r="P871" s="123" t="str">
        <f t="shared" si="295"/>
        <v>305</v>
      </c>
    </row>
    <row r="872" spans="1:16" x14ac:dyDescent="0.2">
      <c r="A872" s="119" t="s">
        <v>471</v>
      </c>
      <c r="B872" s="120" t="s">
        <v>268</v>
      </c>
      <c r="C872" s="129">
        <v>0</v>
      </c>
      <c r="D872" s="129">
        <v>18839.46</v>
      </c>
      <c r="E872" s="129">
        <v>0</v>
      </c>
      <c r="F872" s="129">
        <v>70159.350000000006</v>
      </c>
      <c r="G872" s="129">
        <v>-70159.350000000006</v>
      </c>
      <c r="H872" s="129">
        <v>0</v>
      </c>
      <c r="I872" s="129">
        <f>'Corporate Services'!J388</f>
        <v>140000</v>
      </c>
      <c r="J872" s="129">
        <f>'Corporate Services'!K388</f>
        <v>140000</v>
      </c>
      <c r="K872" s="129">
        <f>'Corporate Services'!L388</f>
        <v>146300</v>
      </c>
      <c r="L872" s="129">
        <f>'Corporate Services'!M388</f>
        <v>153029.79999999999</v>
      </c>
      <c r="M872" s="129">
        <f>'Corporate Services'!N388</f>
        <v>160069.17079999999</v>
      </c>
      <c r="N872" s="129">
        <f>'Corporate Services'!O388</f>
        <v>0</v>
      </c>
      <c r="O872" s="129">
        <f>'Corporate Services'!N388</f>
        <v>160069.17079999999</v>
      </c>
      <c r="P872" s="123" t="str">
        <f t="shared" si="295"/>
        <v>305</v>
      </c>
    </row>
    <row r="873" spans="1:16" x14ac:dyDescent="0.2">
      <c r="A873" s="119"/>
      <c r="B873" s="120"/>
      <c r="C873" s="129"/>
      <c r="D873" s="129"/>
      <c r="E873" s="129"/>
      <c r="F873" s="129"/>
      <c r="G873" s="129"/>
      <c r="H873" s="129"/>
      <c r="I873" s="129">
        <f>'Corporate Services'!J389</f>
        <v>0</v>
      </c>
      <c r="J873" s="129"/>
      <c r="K873" s="129"/>
      <c r="L873" s="129"/>
      <c r="O873" s="129"/>
      <c r="P873" s="123" t="str">
        <f t="shared" si="295"/>
        <v/>
      </c>
    </row>
    <row r="874" spans="1:16" s="114" customFormat="1" ht="15" x14ac:dyDescent="0.25">
      <c r="A874" s="118"/>
      <c r="B874" s="117" t="s">
        <v>274</v>
      </c>
      <c r="C874" s="128">
        <f>SUM(C867:C873)</f>
        <v>4647000</v>
      </c>
      <c r="D874" s="128">
        <f t="shared" ref="D874:O874" si="301">SUM(D867:D873)</f>
        <v>113586.20999999999</v>
      </c>
      <c r="E874" s="128">
        <f t="shared" si="301"/>
        <v>45152.17</v>
      </c>
      <c r="F874" s="128">
        <f t="shared" si="301"/>
        <v>2330789.5699999998</v>
      </c>
      <c r="G874" s="128">
        <f t="shared" si="301"/>
        <v>2316210.4300000002</v>
      </c>
      <c r="H874" s="128">
        <f t="shared" si="301"/>
        <v>183.8</v>
      </c>
      <c r="I874" s="128">
        <f t="shared" si="301"/>
        <v>160000</v>
      </c>
      <c r="J874" s="128">
        <f t="shared" si="301"/>
        <v>4807000</v>
      </c>
      <c r="K874" s="128">
        <f t="shared" si="301"/>
        <v>4919635</v>
      </c>
      <c r="L874" s="128">
        <f t="shared" si="301"/>
        <v>5145938.21</v>
      </c>
      <c r="M874" s="128">
        <f t="shared" si="301"/>
        <v>5382651.3676600019</v>
      </c>
      <c r="N874" s="128">
        <f t="shared" si="301"/>
        <v>0</v>
      </c>
      <c r="O874" s="128">
        <f t="shared" si="301"/>
        <v>5382651.3676600019</v>
      </c>
      <c r="P874" s="123" t="str">
        <f t="shared" si="295"/>
        <v/>
      </c>
    </row>
    <row r="875" spans="1:16" x14ac:dyDescent="0.2">
      <c r="A875" s="119"/>
      <c r="B875" s="120"/>
      <c r="C875" s="129"/>
      <c r="D875" s="129"/>
      <c r="E875" s="129"/>
      <c r="F875" s="129"/>
      <c r="G875" s="129"/>
      <c r="H875" s="129"/>
      <c r="I875" s="129">
        <f>'Corporate Services'!J391</f>
        <v>0</v>
      </c>
      <c r="J875" s="129"/>
      <c r="K875" s="129"/>
      <c r="L875" s="129"/>
      <c r="O875" s="129"/>
      <c r="P875" s="123" t="str">
        <f t="shared" si="295"/>
        <v/>
      </c>
    </row>
    <row r="876" spans="1:16" s="114" customFormat="1" ht="15" x14ac:dyDescent="0.25">
      <c r="A876" s="118"/>
      <c r="B876" s="117" t="s">
        <v>290</v>
      </c>
      <c r="C876" s="128"/>
      <c r="D876" s="128"/>
      <c r="E876" s="128"/>
      <c r="F876" s="128"/>
      <c r="G876" s="128"/>
      <c r="H876" s="128"/>
      <c r="I876" s="129">
        <f>'Corporate Services'!J392</f>
        <v>0</v>
      </c>
      <c r="J876" s="129"/>
      <c r="K876" s="129"/>
      <c r="L876" s="129"/>
      <c r="M876" s="186"/>
      <c r="N876" s="186"/>
      <c r="O876" s="128"/>
      <c r="P876" s="123" t="str">
        <f t="shared" si="295"/>
        <v/>
      </c>
    </row>
    <row r="877" spans="1:16" x14ac:dyDescent="0.2">
      <c r="A877" s="119"/>
      <c r="B877" s="120"/>
      <c r="C877" s="129"/>
      <c r="D877" s="129"/>
      <c r="E877" s="129"/>
      <c r="F877" s="129"/>
      <c r="G877" s="129"/>
      <c r="H877" s="129"/>
      <c r="I877" s="129">
        <f>'Corporate Services'!J393</f>
        <v>0</v>
      </c>
      <c r="J877" s="129"/>
      <c r="K877" s="129"/>
      <c r="L877" s="129"/>
      <c r="O877" s="129"/>
      <c r="P877" s="123" t="str">
        <f t="shared" si="295"/>
        <v/>
      </c>
    </row>
    <row r="878" spans="1:16" x14ac:dyDescent="0.2">
      <c r="A878" s="119" t="s">
        <v>472</v>
      </c>
      <c r="B878" s="120" t="s">
        <v>292</v>
      </c>
      <c r="C878" s="129">
        <v>620</v>
      </c>
      <c r="D878" s="129">
        <v>1286.54</v>
      </c>
      <c r="E878" s="129">
        <v>0</v>
      </c>
      <c r="F878" s="129">
        <v>3404.15</v>
      </c>
      <c r="G878" s="129">
        <v>-2784.15</v>
      </c>
      <c r="H878" s="129">
        <v>549.04999999999995</v>
      </c>
      <c r="I878" s="129">
        <f>'Corporate Services'!J394</f>
        <v>0</v>
      </c>
      <c r="J878" s="129">
        <f>'Corporate Services'!K394</f>
        <v>620</v>
      </c>
      <c r="K878" s="129">
        <f>'Corporate Services'!L394</f>
        <v>647.9</v>
      </c>
      <c r="L878" s="129">
        <f>'Corporate Services'!M394</f>
        <v>677.70339999999999</v>
      </c>
      <c r="M878" s="129">
        <f>'Corporate Services'!N394</f>
        <v>708.87775639999995</v>
      </c>
      <c r="N878" s="129">
        <f>'Corporate Services'!O394</f>
        <v>0</v>
      </c>
      <c r="O878" s="129">
        <f>'Corporate Services'!N394</f>
        <v>708.87775639999995</v>
      </c>
      <c r="P878" s="123" t="str">
        <f t="shared" si="295"/>
        <v>720</v>
      </c>
    </row>
    <row r="879" spans="1:16" x14ac:dyDescent="0.2">
      <c r="A879" s="119" t="s">
        <v>473</v>
      </c>
      <c r="B879" s="120" t="s">
        <v>293</v>
      </c>
      <c r="C879" s="129">
        <v>39428</v>
      </c>
      <c r="D879" s="129">
        <v>6492.48</v>
      </c>
      <c r="E879" s="129">
        <v>0</v>
      </c>
      <c r="F879" s="129">
        <v>14376.42</v>
      </c>
      <c r="G879" s="129">
        <v>25051.58</v>
      </c>
      <c r="H879" s="129">
        <v>36.46</v>
      </c>
      <c r="I879" s="129">
        <f>'Corporate Services'!J395</f>
        <v>0</v>
      </c>
      <c r="J879" s="129">
        <f>'Corporate Services'!K395</f>
        <v>39428</v>
      </c>
      <c r="K879" s="129">
        <f>'Corporate Services'!L395</f>
        <v>41202.26</v>
      </c>
      <c r="L879" s="129">
        <f>'Corporate Services'!M395</f>
        <v>43097.563959999999</v>
      </c>
      <c r="M879" s="129">
        <f>'Corporate Services'!N395</f>
        <v>45080.051902159998</v>
      </c>
      <c r="N879" s="129">
        <f>'Corporate Services'!O395</f>
        <v>0</v>
      </c>
      <c r="O879" s="129">
        <f>'Corporate Services'!N395</f>
        <v>45080.051902159998</v>
      </c>
      <c r="P879" s="123" t="str">
        <f t="shared" si="295"/>
        <v>721</v>
      </c>
    </row>
    <row r="880" spans="1:16" x14ac:dyDescent="0.2">
      <c r="A880" s="119" t="s">
        <v>474</v>
      </c>
      <c r="B880" s="120" t="s">
        <v>297</v>
      </c>
      <c r="C880" s="129">
        <v>184915</v>
      </c>
      <c r="D880" s="129">
        <v>0</v>
      </c>
      <c r="E880" s="129">
        <v>0</v>
      </c>
      <c r="F880" s="129">
        <v>16884.22</v>
      </c>
      <c r="G880" s="129">
        <v>168030.78</v>
      </c>
      <c r="H880" s="129">
        <v>9.1300000000000008</v>
      </c>
      <c r="I880" s="129">
        <f>'Corporate Services'!J396</f>
        <v>0</v>
      </c>
      <c r="J880" s="129">
        <f>'Corporate Services'!K396</f>
        <v>184915</v>
      </c>
      <c r="K880" s="129">
        <f>'Corporate Services'!L396</f>
        <v>193236.17499999999</v>
      </c>
      <c r="L880" s="129">
        <f>'Corporate Services'!M396</f>
        <v>202125.03904999999</v>
      </c>
      <c r="M880" s="129">
        <f>'Corporate Services'!N396</f>
        <v>211422.79084629999</v>
      </c>
      <c r="N880" s="129">
        <f>'Corporate Services'!O396</f>
        <v>0</v>
      </c>
      <c r="O880" s="129">
        <f>'Corporate Services'!N396</f>
        <v>211422.79084629999</v>
      </c>
      <c r="P880" s="123" t="str">
        <f t="shared" si="295"/>
        <v>725</v>
      </c>
    </row>
    <row r="881" spans="1:16" x14ac:dyDescent="0.2">
      <c r="A881" s="119" t="s">
        <v>475</v>
      </c>
      <c r="B881" s="120" t="s">
        <v>298</v>
      </c>
      <c r="C881" s="129">
        <v>0</v>
      </c>
      <c r="D881" s="129">
        <v>26288.98</v>
      </c>
      <c r="E881" s="129">
        <v>0</v>
      </c>
      <c r="F881" s="129">
        <v>52577.96</v>
      </c>
      <c r="G881" s="129">
        <v>-52577.96</v>
      </c>
      <c r="H881" s="129">
        <v>0</v>
      </c>
      <c r="I881" s="129">
        <f>'Corporate Services'!J397</f>
        <v>0</v>
      </c>
      <c r="J881" s="129">
        <f>'Corporate Services'!K397</f>
        <v>0</v>
      </c>
      <c r="K881" s="129">
        <f>'Corporate Services'!L397</f>
        <v>0</v>
      </c>
      <c r="L881" s="213">
        <f>'Corporate Services'!M397</f>
        <v>0</v>
      </c>
      <c r="O881" s="129">
        <f>'Corporate Services'!N397</f>
        <v>0</v>
      </c>
      <c r="P881" s="123" t="str">
        <f t="shared" si="295"/>
        <v>728</v>
      </c>
    </row>
    <row r="882" spans="1:16" x14ac:dyDescent="0.2">
      <c r="A882" s="119"/>
      <c r="B882" s="120"/>
      <c r="C882" s="129"/>
      <c r="D882" s="129"/>
      <c r="E882" s="129"/>
      <c r="F882" s="129"/>
      <c r="G882" s="129"/>
      <c r="H882" s="129"/>
      <c r="I882" s="129">
        <f>'Corporate Services'!J398</f>
        <v>0</v>
      </c>
      <c r="J882" s="129"/>
      <c r="K882" s="129"/>
      <c r="O882" s="129"/>
      <c r="P882" s="123" t="str">
        <f t="shared" si="295"/>
        <v/>
      </c>
    </row>
    <row r="883" spans="1:16" s="114" customFormat="1" ht="15" x14ac:dyDescent="0.25">
      <c r="A883" s="118"/>
      <c r="B883" s="117" t="s">
        <v>304</v>
      </c>
      <c r="C883" s="128">
        <f>SUM(C878:C882)</f>
        <v>224963</v>
      </c>
      <c r="D883" s="128">
        <f t="shared" ref="D883:O883" si="302">SUM(D878:D882)</f>
        <v>34068</v>
      </c>
      <c r="E883" s="128">
        <f t="shared" si="302"/>
        <v>0</v>
      </c>
      <c r="F883" s="128">
        <f t="shared" si="302"/>
        <v>87242.75</v>
      </c>
      <c r="G883" s="128">
        <f t="shared" si="302"/>
        <v>137720.25</v>
      </c>
      <c r="H883" s="128">
        <f t="shared" si="302"/>
        <v>594.64</v>
      </c>
      <c r="I883" s="128">
        <f t="shared" si="302"/>
        <v>0</v>
      </c>
      <c r="J883" s="128">
        <f t="shared" si="302"/>
        <v>224963</v>
      </c>
      <c r="K883" s="128">
        <f t="shared" si="302"/>
        <v>235086.33499999999</v>
      </c>
      <c r="L883" s="128">
        <f t="shared" si="302"/>
        <v>245900.30640999999</v>
      </c>
      <c r="M883" s="128">
        <f t="shared" si="302"/>
        <v>257211.72050485999</v>
      </c>
      <c r="N883" s="128">
        <f t="shared" si="302"/>
        <v>0</v>
      </c>
      <c r="O883" s="128">
        <f t="shared" si="302"/>
        <v>257211.72050485999</v>
      </c>
      <c r="P883" s="123" t="str">
        <f t="shared" si="295"/>
        <v/>
      </c>
    </row>
    <row r="884" spans="1:16" s="114" customFormat="1" ht="15" x14ac:dyDescent="0.25">
      <c r="A884" s="118"/>
      <c r="B884" s="117"/>
      <c r="C884" s="128"/>
      <c r="D884" s="128"/>
      <c r="E884" s="128"/>
      <c r="F884" s="128"/>
      <c r="G884" s="128"/>
      <c r="H884" s="128"/>
      <c r="I884" s="128"/>
      <c r="J884" s="128"/>
      <c r="K884" s="128"/>
      <c r="L884" s="128"/>
      <c r="M884" s="214"/>
      <c r="N884" s="214"/>
      <c r="O884" s="128"/>
      <c r="P884" s="123" t="str">
        <f t="shared" si="295"/>
        <v/>
      </c>
    </row>
    <row r="885" spans="1:16" s="114" customFormat="1" ht="15" x14ac:dyDescent="0.25">
      <c r="A885" s="118"/>
      <c r="B885" s="21" t="s">
        <v>3004</v>
      </c>
      <c r="C885" s="128"/>
      <c r="D885" s="128"/>
      <c r="E885" s="128"/>
      <c r="F885" s="128"/>
      <c r="G885" s="128"/>
      <c r="H885" s="128"/>
      <c r="I885" s="128"/>
      <c r="J885" s="128"/>
      <c r="K885" s="128"/>
      <c r="L885" s="128"/>
      <c r="M885" s="214"/>
      <c r="N885" s="214"/>
      <c r="O885" s="128"/>
      <c r="P885" s="123" t="str">
        <f t="shared" si="295"/>
        <v/>
      </c>
    </row>
    <row r="886" spans="1:16" s="114" customFormat="1" ht="15" x14ac:dyDescent="0.25">
      <c r="A886" s="118"/>
      <c r="B886" s="117"/>
      <c r="C886" s="128"/>
      <c r="D886" s="128"/>
      <c r="E886" s="128"/>
      <c r="F886" s="128"/>
      <c r="G886" s="128"/>
      <c r="H886" s="128"/>
      <c r="I886" s="128"/>
      <c r="J886" s="128"/>
      <c r="K886" s="128"/>
      <c r="L886" s="128"/>
      <c r="M886" s="214"/>
      <c r="N886" s="214"/>
      <c r="O886" s="128"/>
      <c r="P886" s="123" t="str">
        <f t="shared" si="295"/>
        <v/>
      </c>
    </row>
    <row r="887" spans="1:16" x14ac:dyDescent="0.2">
      <c r="A887" s="25" t="s">
        <v>2335</v>
      </c>
      <c r="B887" s="120"/>
      <c r="C887" s="129">
        <f>'Corporate Services'!D403</f>
        <v>0</v>
      </c>
      <c r="D887" s="129">
        <f>'Corporate Services'!E403</f>
        <v>0</v>
      </c>
      <c r="E887" s="129">
        <f>'Corporate Services'!F403</f>
        <v>0</v>
      </c>
      <c r="F887" s="129">
        <f>'Corporate Services'!G403</f>
        <v>0</v>
      </c>
      <c r="G887" s="129">
        <f>'Corporate Services'!H403</f>
        <v>0</v>
      </c>
      <c r="H887" s="129">
        <f>'Corporate Services'!I403</f>
        <v>0</v>
      </c>
      <c r="I887" s="129">
        <f>'Corporate Services'!J403</f>
        <v>0</v>
      </c>
      <c r="J887" s="129">
        <f>'Corporate Services'!K403</f>
        <v>0</v>
      </c>
      <c r="K887" s="129">
        <f>'Corporate Services'!L403</f>
        <v>250000</v>
      </c>
      <c r="L887" s="129">
        <f>'Corporate Services'!M403</f>
        <v>261500</v>
      </c>
      <c r="M887" s="129">
        <f>'Corporate Services'!N403</f>
        <v>273529</v>
      </c>
      <c r="N887" s="129">
        <f>'Corporate Services'!O403</f>
        <v>0</v>
      </c>
      <c r="O887" s="129">
        <f>'Corporate Services'!N403</f>
        <v>273529</v>
      </c>
      <c r="P887" s="123" t="str">
        <f t="shared" si="295"/>
        <v>201</v>
      </c>
    </row>
    <row r="888" spans="1:16" s="114" customFormat="1" ht="15" x14ac:dyDescent="0.25">
      <c r="A888" s="25"/>
      <c r="B888" s="117"/>
      <c r="C888" s="128"/>
      <c r="D888" s="128"/>
      <c r="E888" s="128"/>
      <c r="F888" s="128"/>
      <c r="G888" s="128"/>
      <c r="H888" s="128"/>
      <c r="I888" s="128"/>
      <c r="J888" s="128"/>
      <c r="K888" s="128"/>
      <c r="L888" s="128"/>
      <c r="M888" s="214"/>
      <c r="N888" s="214"/>
      <c r="O888" s="128"/>
      <c r="P888" s="123" t="str">
        <f t="shared" si="295"/>
        <v/>
      </c>
    </row>
    <row r="889" spans="1:16" s="114" customFormat="1" ht="15" x14ac:dyDescent="0.25">
      <c r="A889" s="25"/>
      <c r="B889" s="21" t="s">
        <v>3005</v>
      </c>
      <c r="C889" s="128">
        <f>SUM(C887:C888)</f>
        <v>0</v>
      </c>
      <c r="D889" s="128">
        <f t="shared" ref="D889:O889" si="303">SUM(D887:D888)</f>
        <v>0</v>
      </c>
      <c r="E889" s="128">
        <f t="shared" si="303"/>
        <v>0</v>
      </c>
      <c r="F889" s="128">
        <f t="shared" si="303"/>
        <v>0</v>
      </c>
      <c r="G889" s="128">
        <f t="shared" si="303"/>
        <v>0</v>
      </c>
      <c r="H889" s="128">
        <f t="shared" si="303"/>
        <v>0</v>
      </c>
      <c r="I889" s="128">
        <f t="shared" si="303"/>
        <v>0</v>
      </c>
      <c r="J889" s="128">
        <f t="shared" si="303"/>
        <v>0</v>
      </c>
      <c r="K889" s="128">
        <f t="shared" si="303"/>
        <v>250000</v>
      </c>
      <c r="L889" s="128">
        <f t="shared" si="303"/>
        <v>261500</v>
      </c>
      <c r="M889" s="128">
        <f t="shared" si="303"/>
        <v>273529</v>
      </c>
      <c r="N889" s="128">
        <f t="shared" si="303"/>
        <v>0</v>
      </c>
      <c r="O889" s="128">
        <f t="shared" si="303"/>
        <v>273529</v>
      </c>
      <c r="P889" s="123" t="str">
        <f t="shared" si="295"/>
        <v/>
      </c>
    </row>
    <row r="890" spans="1:16" s="114" customFormat="1" ht="15" x14ac:dyDescent="0.25">
      <c r="A890" s="118"/>
      <c r="B890" s="117"/>
      <c r="C890" s="128"/>
      <c r="D890" s="128"/>
      <c r="E890" s="128"/>
      <c r="F890" s="128"/>
      <c r="G890" s="128"/>
      <c r="H890" s="128"/>
      <c r="I890" s="128">
        <f>'Corporate Services'!J403</f>
        <v>0</v>
      </c>
      <c r="J890" s="128"/>
      <c r="K890" s="128"/>
      <c r="L890" s="128"/>
      <c r="M890" s="186"/>
      <c r="N890" s="186"/>
      <c r="O890" s="128"/>
      <c r="P890" s="123" t="str">
        <f t="shared" si="295"/>
        <v/>
      </c>
    </row>
    <row r="891" spans="1:16" s="114" customFormat="1" ht="15" x14ac:dyDescent="0.25">
      <c r="A891" s="118"/>
      <c r="B891" s="117" t="s">
        <v>305</v>
      </c>
      <c r="C891" s="128">
        <f>C863+C874+C883+C889</f>
        <v>7201835</v>
      </c>
      <c r="D891" s="128">
        <f t="shared" ref="D891:O891" si="304">D863+D874+D883+D889</f>
        <v>335224.19000000006</v>
      </c>
      <c r="E891" s="128">
        <f t="shared" si="304"/>
        <v>45152.17</v>
      </c>
      <c r="F891" s="128">
        <f t="shared" si="304"/>
        <v>3503106.9899999998</v>
      </c>
      <c r="G891" s="128">
        <f t="shared" si="304"/>
        <v>3698728.0100000002</v>
      </c>
      <c r="H891" s="128">
        <f t="shared" si="304"/>
        <v>1338.7199999999998</v>
      </c>
      <c r="I891" s="128">
        <f t="shared" si="304"/>
        <v>128996.26999999999</v>
      </c>
      <c r="J891" s="128">
        <f t="shared" si="304"/>
        <v>7330831.2699999996</v>
      </c>
      <c r="K891" s="128">
        <f t="shared" si="304"/>
        <v>7847268.8718750002</v>
      </c>
      <c r="L891" s="128">
        <f t="shared" si="304"/>
        <v>8266864.38086625</v>
      </c>
      <c r="M891" s="128">
        <f t="shared" si="304"/>
        <v>8111166.3563955501</v>
      </c>
      <c r="N891" s="128">
        <f t="shared" si="304"/>
        <v>0</v>
      </c>
      <c r="O891" s="128">
        <f t="shared" si="304"/>
        <v>8709864.763133049</v>
      </c>
      <c r="P891" s="123" t="str">
        <f t="shared" si="295"/>
        <v/>
      </c>
    </row>
    <row r="892" spans="1:16" s="114" customFormat="1" ht="15" x14ac:dyDescent="0.25">
      <c r="A892" s="118"/>
      <c r="B892" s="117"/>
      <c r="C892" s="128"/>
      <c r="D892" s="128"/>
      <c r="E892" s="128"/>
      <c r="F892" s="128"/>
      <c r="G892" s="128"/>
      <c r="H892" s="128"/>
      <c r="I892" s="128" t="e">
        <f>'Corporate Services'!#REF!</f>
        <v>#REF!</v>
      </c>
      <c r="J892" s="128"/>
      <c r="K892" s="128"/>
      <c r="L892" s="128"/>
      <c r="M892" s="128"/>
      <c r="N892" s="128"/>
      <c r="O892" s="128"/>
      <c r="P892" s="123" t="str">
        <f t="shared" si="295"/>
        <v/>
      </c>
    </row>
    <row r="893" spans="1:16" s="114" customFormat="1" ht="15" x14ac:dyDescent="0.25">
      <c r="A893" s="118"/>
      <c r="B893" s="117" t="s">
        <v>306</v>
      </c>
      <c r="C893" s="128">
        <f>C891</f>
        <v>7201835</v>
      </c>
      <c r="D893" s="128">
        <f t="shared" ref="D893:O893" si="305">D891</f>
        <v>335224.19000000006</v>
      </c>
      <c r="E893" s="128">
        <f t="shared" si="305"/>
        <v>45152.17</v>
      </c>
      <c r="F893" s="128">
        <f t="shared" si="305"/>
        <v>3503106.9899999998</v>
      </c>
      <c r="G893" s="128">
        <f t="shared" si="305"/>
        <v>3698728.0100000002</v>
      </c>
      <c r="H893" s="128">
        <f t="shared" si="305"/>
        <v>1338.7199999999998</v>
      </c>
      <c r="I893" s="128">
        <f t="shared" si="305"/>
        <v>128996.26999999999</v>
      </c>
      <c r="J893" s="128">
        <f t="shared" si="305"/>
        <v>7330831.2699999996</v>
      </c>
      <c r="K893" s="128">
        <f t="shared" si="305"/>
        <v>7847268.8718750002</v>
      </c>
      <c r="L893" s="128">
        <f t="shared" si="305"/>
        <v>8266864.38086625</v>
      </c>
      <c r="M893" s="128">
        <f t="shared" si="305"/>
        <v>8111166.3563955501</v>
      </c>
      <c r="N893" s="128">
        <f t="shared" si="305"/>
        <v>0</v>
      </c>
      <c r="O893" s="128">
        <f t="shared" si="305"/>
        <v>8709864.763133049</v>
      </c>
      <c r="P893" s="123" t="str">
        <f t="shared" si="295"/>
        <v/>
      </c>
    </row>
    <row r="894" spans="1:16" s="114" customFormat="1" ht="15" x14ac:dyDescent="0.25">
      <c r="A894" s="118"/>
      <c r="B894" s="117"/>
      <c r="C894" s="128"/>
      <c r="D894" s="128"/>
      <c r="E894" s="128"/>
      <c r="F894" s="128"/>
      <c r="G894" s="128"/>
      <c r="H894" s="128"/>
      <c r="I894" s="128"/>
      <c r="J894" s="128"/>
      <c r="K894" s="128"/>
      <c r="L894" s="128"/>
      <c r="M894" s="186"/>
      <c r="N894" s="186"/>
      <c r="O894" s="128"/>
      <c r="P894" s="123" t="str">
        <f t="shared" si="295"/>
        <v/>
      </c>
    </row>
    <row r="895" spans="1:16" s="114" customFormat="1" ht="15" x14ac:dyDescent="0.25">
      <c r="A895" s="118"/>
      <c r="B895" s="117" t="s">
        <v>476</v>
      </c>
      <c r="C895" s="128"/>
      <c r="D895" s="128"/>
      <c r="E895" s="128"/>
      <c r="F895" s="128"/>
      <c r="G895" s="128"/>
      <c r="H895" s="128"/>
      <c r="I895" s="128"/>
      <c r="J895" s="128"/>
      <c r="K895" s="128"/>
      <c r="L895" s="128"/>
      <c r="M895" s="186"/>
      <c r="N895" s="186"/>
      <c r="O895" s="128"/>
      <c r="P895" s="123" t="str">
        <f t="shared" si="295"/>
        <v/>
      </c>
    </row>
    <row r="896" spans="1:16" s="114" customFormat="1" ht="15" x14ac:dyDescent="0.25">
      <c r="A896" s="118"/>
      <c r="B896" s="117" t="s">
        <v>96</v>
      </c>
      <c r="C896" s="128"/>
      <c r="D896" s="128"/>
      <c r="E896" s="128"/>
      <c r="F896" s="128"/>
      <c r="G896" s="128"/>
      <c r="H896" s="128"/>
      <c r="I896" s="128"/>
      <c r="J896" s="128"/>
      <c r="K896" s="128"/>
      <c r="L896" s="128"/>
      <c r="M896" s="186"/>
      <c r="N896" s="186"/>
      <c r="O896" s="128"/>
      <c r="P896" s="123" t="str">
        <f t="shared" si="295"/>
        <v/>
      </c>
    </row>
    <row r="897" spans="1:16" s="114" customFormat="1" ht="15" x14ac:dyDescent="0.25">
      <c r="A897" s="118"/>
      <c r="B897" s="117" t="s">
        <v>97</v>
      </c>
      <c r="C897" s="128"/>
      <c r="D897" s="128"/>
      <c r="E897" s="128"/>
      <c r="F897" s="128"/>
      <c r="G897" s="128"/>
      <c r="H897" s="128"/>
      <c r="I897" s="128"/>
      <c r="J897" s="128"/>
      <c r="K897" s="128"/>
      <c r="L897" s="128"/>
      <c r="M897" s="186"/>
      <c r="N897" s="186"/>
      <c r="O897" s="128"/>
      <c r="P897" s="123" t="str">
        <f t="shared" si="295"/>
        <v/>
      </c>
    </row>
    <row r="898" spans="1:16" s="114" customFormat="1" ht="15" x14ac:dyDescent="0.25">
      <c r="A898" s="118"/>
      <c r="B898" s="117" t="s">
        <v>98</v>
      </c>
      <c r="C898" s="128"/>
      <c r="D898" s="128"/>
      <c r="E898" s="128"/>
      <c r="F898" s="128"/>
      <c r="G898" s="128"/>
      <c r="H898" s="128"/>
      <c r="I898" s="128"/>
      <c r="J898" s="128"/>
      <c r="K898" s="128"/>
      <c r="L898" s="128"/>
      <c r="M898" s="186"/>
      <c r="N898" s="186"/>
      <c r="O898" s="128"/>
      <c r="P898" s="123" t="str">
        <f t="shared" si="295"/>
        <v/>
      </c>
    </row>
    <row r="899" spans="1:16" s="114" customFormat="1" ht="15" x14ac:dyDescent="0.25">
      <c r="A899" s="118"/>
      <c r="B899" s="117" t="s">
        <v>99</v>
      </c>
      <c r="C899" s="128"/>
      <c r="D899" s="128"/>
      <c r="E899" s="128"/>
      <c r="F899" s="128"/>
      <c r="G899" s="128"/>
      <c r="H899" s="128"/>
      <c r="I899" s="128"/>
      <c r="J899" s="128"/>
      <c r="K899" s="128"/>
      <c r="L899" s="128"/>
      <c r="M899" s="186"/>
      <c r="N899" s="186"/>
      <c r="O899" s="128"/>
      <c r="P899" s="123" t="str">
        <f t="shared" si="295"/>
        <v/>
      </c>
    </row>
    <row r="900" spans="1:16" s="114" customFormat="1" ht="15" x14ac:dyDescent="0.25">
      <c r="A900" s="118"/>
      <c r="B900" s="117" t="s">
        <v>123</v>
      </c>
      <c r="C900" s="128"/>
      <c r="D900" s="128"/>
      <c r="E900" s="128"/>
      <c r="F900" s="128"/>
      <c r="G900" s="128"/>
      <c r="H900" s="128"/>
      <c r="I900" s="128"/>
      <c r="J900" s="128"/>
      <c r="K900" s="128"/>
      <c r="L900" s="128"/>
      <c r="M900" s="186"/>
      <c r="N900" s="186"/>
      <c r="O900" s="128"/>
      <c r="P900" s="123" t="str">
        <f t="shared" si="295"/>
        <v/>
      </c>
    </row>
    <row r="901" spans="1:16" x14ac:dyDescent="0.2">
      <c r="A901" s="119"/>
      <c r="B901" s="120"/>
      <c r="C901" s="129"/>
      <c r="D901" s="129"/>
      <c r="E901" s="129"/>
      <c r="F901" s="129"/>
      <c r="G901" s="129"/>
      <c r="H901" s="129"/>
      <c r="I901" s="129"/>
      <c r="J901" s="129"/>
      <c r="K901" s="129"/>
      <c r="L901" s="129"/>
      <c r="O901" s="129"/>
      <c r="P901" s="123" t="str">
        <f t="shared" si="295"/>
        <v/>
      </c>
    </row>
    <row r="902" spans="1:16" x14ac:dyDescent="0.2">
      <c r="A902" s="119" t="s">
        <v>477</v>
      </c>
      <c r="B902" s="120" t="s">
        <v>124</v>
      </c>
      <c r="C902" s="129">
        <v>928990</v>
      </c>
      <c r="D902" s="129">
        <v>0</v>
      </c>
      <c r="E902" s="129">
        <v>0</v>
      </c>
      <c r="F902" s="129">
        <v>0</v>
      </c>
      <c r="G902" s="129">
        <v>928990</v>
      </c>
      <c r="H902" s="129">
        <v>0</v>
      </c>
      <c r="I902" s="129">
        <f>LEDP!J10</f>
        <v>-464495</v>
      </c>
      <c r="J902" s="129">
        <f>LEDP!K10</f>
        <v>464495</v>
      </c>
      <c r="K902" s="129">
        <f>LEDP!L10</f>
        <v>493525.9375</v>
      </c>
      <c r="L902" s="129">
        <f>LEDP!M10</f>
        <v>528072.75312500005</v>
      </c>
      <c r="O902" s="129">
        <f>LEDP!N10</f>
        <v>565037.84584375005</v>
      </c>
      <c r="P902" s="123" t="str">
        <f t="shared" si="295"/>
        <v>031</v>
      </c>
    </row>
    <row r="903" spans="1:16" x14ac:dyDescent="0.2">
      <c r="A903" s="119" t="s">
        <v>478</v>
      </c>
      <c r="B903" s="120" t="s">
        <v>125</v>
      </c>
      <c r="C903" s="129">
        <v>46450</v>
      </c>
      <c r="D903" s="129">
        <v>0</v>
      </c>
      <c r="E903" s="129">
        <v>0</v>
      </c>
      <c r="F903" s="129">
        <v>0</v>
      </c>
      <c r="G903" s="129">
        <v>46450</v>
      </c>
      <c r="H903" s="129">
        <v>0</v>
      </c>
      <c r="I903" s="129">
        <f>LEDP!J11</f>
        <v>-23225</v>
      </c>
      <c r="J903" s="129">
        <f>LEDP!K11</f>
        <v>23225</v>
      </c>
      <c r="K903" s="129">
        <f>LEDP!L11</f>
        <v>24676.5625</v>
      </c>
      <c r="L903" s="129">
        <f>LEDP!M11</f>
        <v>26403.921875</v>
      </c>
      <c r="O903" s="129">
        <f>LEDP!N11</f>
        <v>28252.196406250001</v>
      </c>
      <c r="P903" s="123" t="str">
        <f t="shared" ref="P903:P966" si="306">MID(A903,6,3)</f>
        <v>031</v>
      </c>
    </row>
    <row r="904" spans="1:16" x14ac:dyDescent="0.2">
      <c r="A904" s="119" t="s">
        <v>479</v>
      </c>
      <c r="B904" s="120" t="s">
        <v>126</v>
      </c>
      <c r="C904" s="129">
        <v>40000</v>
      </c>
      <c r="D904" s="129">
        <v>0</v>
      </c>
      <c r="E904" s="129">
        <v>0</v>
      </c>
      <c r="F904" s="129">
        <v>0</v>
      </c>
      <c r="G904" s="129">
        <v>40000</v>
      </c>
      <c r="H904" s="129">
        <v>0</v>
      </c>
      <c r="I904" s="129">
        <f>LEDP!J12</f>
        <v>-20000</v>
      </c>
      <c r="J904" s="129">
        <f>LEDP!K12</f>
        <v>20000</v>
      </c>
      <c r="K904" s="129">
        <f>LEDP!L12</f>
        <v>21250</v>
      </c>
      <c r="L904" s="129">
        <f>LEDP!M12</f>
        <v>22737.5</v>
      </c>
      <c r="O904" s="129">
        <f>LEDP!N12</f>
        <v>24329.125</v>
      </c>
      <c r="P904" s="123" t="str">
        <f t="shared" si="306"/>
        <v>031</v>
      </c>
    </row>
    <row r="905" spans="1:16" x14ac:dyDescent="0.2">
      <c r="A905" s="119" t="s">
        <v>480</v>
      </c>
      <c r="B905" s="120" t="s">
        <v>127</v>
      </c>
      <c r="C905" s="129">
        <v>17000</v>
      </c>
      <c r="D905" s="129">
        <v>0</v>
      </c>
      <c r="E905" s="129">
        <v>0</v>
      </c>
      <c r="F905" s="129">
        <v>0</v>
      </c>
      <c r="G905" s="129">
        <v>17000</v>
      </c>
      <c r="H905" s="129">
        <v>0</v>
      </c>
      <c r="I905" s="129">
        <f>LEDP!J13</f>
        <v>-8500</v>
      </c>
      <c r="J905" s="129">
        <f>LEDP!K13</f>
        <v>8500</v>
      </c>
      <c r="K905" s="129">
        <f>LEDP!L13</f>
        <v>9031.25</v>
      </c>
      <c r="L905" s="129">
        <f>LEDP!M13</f>
        <v>9663.4375</v>
      </c>
      <c r="O905" s="129">
        <f>LEDP!N13</f>
        <v>10339.878124999999</v>
      </c>
      <c r="P905" s="123" t="str">
        <f t="shared" si="306"/>
        <v>031</v>
      </c>
    </row>
    <row r="906" spans="1:16" x14ac:dyDescent="0.2">
      <c r="A906" s="119" t="s">
        <v>481</v>
      </c>
      <c r="B906" s="120" t="s">
        <v>128</v>
      </c>
      <c r="C906" s="129">
        <v>18580</v>
      </c>
      <c r="D906" s="129">
        <v>0</v>
      </c>
      <c r="E906" s="129">
        <v>0</v>
      </c>
      <c r="F906" s="129">
        <v>0</v>
      </c>
      <c r="G906" s="129">
        <v>18580</v>
      </c>
      <c r="H906" s="129">
        <v>0</v>
      </c>
      <c r="I906" s="129">
        <f>LEDP!J14</f>
        <v>-18580</v>
      </c>
      <c r="J906" s="129">
        <f>LEDP!K14</f>
        <v>0</v>
      </c>
      <c r="K906" s="129">
        <f>LEDP!L14</f>
        <v>0</v>
      </c>
      <c r="L906" s="129">
        <f>LEDP!M14</f>
        <v>0</v>
      </c>
      <c r="O906" s="129">
        <f>LEDP!N14</f>
        <v>0</v>
      </c>
      <c r="P906" s="123" t="str">
        <f t="shared" si="306"/>
        <v>031</v>
      </c>
    </row>
    <row r="907" spans="1:16" x14ac:dyDescent="0.2">
      <c r="A907" s="119"/>
      <c r="B907" s="120"/>
      <c r="C907" s="129"/>
      <c r="D907" s="129"/>
      <c r="E907" s="129"/>
      <c r="F907" s="129"/>
      <c r="G907" s="129"/>
      <c r="H907" s="129"/>
      <c r="I907" s="129"/>
      <c r="J907" s="129"/>
      <c r="K907" s="129"/>
      <c r="L907" s="129"/>
      <c r="O907" s="129"/>
      <c r="P907" s="123" t="str">
        <f t="shared" si="306"/>
        <v/>
      </c>
    </row>
    <row r="908" spans="1:16" s="114" customFormat="1" ht="15" x14ac:dyDescent="0.25">
      <c r="A908" s="118"/>
      <c r="B908" s="117" t="s">
        <v>129</v>
      </c>
      <c r="C908" s="128">
        <f>SUM(C902:C907)</f>
        <v>1051020</v>
      </c>
      <c r="D908" s="128">
        <f t="shared" ref="D908:O908" si="307">SUM(D902:D907)</f>
        <v>0</v>
      </c>
      <c r="E908" s="128">
        <f t="shared" si="307"/>
        <v>0</v>
      </c>
      <c r="F908" s="128">
        <f t="shared" si="307"/>
        <v>0</v>
      </c>
      <c r="G908" s="128">
        <f t="shared" si="307"/>
        <v>1051020</v>
      </c>
      <c r="H908" s="128">
        <f t="shared" si="307"/>
        <v>0</v>
      </c>
      <c r="I908" s="128">
        <f t="shared" si="307"/>
        <v>-534800</v>
      </c>
      <c r="J908" s="128">
        <f t="shared" si="307"/>
        <v>516220</v>
      </c>
      <c r="K908" s="128">
        <f t="shared" si="307"/>
        <v>548483.75</v>
      </c>
      <c r="L908" s="128">
        <f t="shared" si="307"/>
        <v>586877.61250000005</v>
      </c>
      <c r="M908" s="128">
        <f t="shared" si="307"/>
        <v>0</v>
      </c>
      <c r="N908" s="128">
        <f t="shared" si="307"/>
        <v>0</v>
      </c>
      <c r="O908" s="128">
        <f t="shared" si="307"/>
        <v>627959.0453750001</v>
      </c>
      <c r="P908" s="123" t="str">
        <f t="shared" si="306"/>
        <v/>
      </c>
    </row>
    <row r="909" spans="1:16" s="114" customFormat="1" ht="15" x14ac:dyDescent="0.25">
      <c r="A909" s="118"/>
      <c r="B909" s="117"/>
      <c r="C909" s="128"/>
      <c r="D909" s="128"/>
      <c r="E909" s="128"/>
      <c r="F909" s="128"/>
      <c r="G909" s="128"/>
      <c r="H909" s="128"/>
      <c r="I909" s="129">
        <f>LEDP!J17</f>
        <v>0</v>
      </c>
      <c r="J909" s="129"/>
      <c r="K909" s="129"/>
      <c r="L909" s="129"/>
      <c r="M909" s="186"/>
      <c r="N909" s="186"/>
      <c r="O909" s="128"/>
      <c r="P909" s="123" t="str">
        <f t="shared" si="306"/>
        <v/>
      </c>
    </row>
    <row r="910" spans="1:16" s="114" customFormat="1" ht="15" x14ac:dyDescent="0.25">
      <c r="A910" s="118"/>
      <c r="B910" s="117" t="s">
        <v>146</v>
      </c>
      <c r="C910" s="128">
        <f>C908</f>
        <v>1051020</v>
      </c>
      <c r="D910" s="128">
        <f t="shared" ref="D910:O910" si="308">D908</f>
        <v>0</v>
      </c>
      <c r="E910" s="128">
        <f t="shared" si="308"/>
        <v>0</v>
      </c>
      <c r="F910" s="128">
        <f t="shared" si="308"/>
        <v>0</v>
      </c>
      <c r="G910" s="128">
        <f t="shared" si="308"/>
        <v>1051020</v>
      </c>
      <c r="H910" s="128">
        <f t="shared" si="308"/>
        <v>0</v>
      </c>
      <c r="I910" s="128">
        <f t="shared" si="308"/>
        <v>-534800</v>
      </c>
      <c r="J910" s="128">
        <f t="shared" si="308"/>
        <v>516220</v>
      </c>
      <c r="K910" s="128">
        <f t="shared" si="308"/>
        <v>548483.75</v>
      </c>
      <c r="L910" s="128">
        <f t="shared" si="308"/>
        <v>586877.61250000005</v>
      </c>
      <c r="M910" s="128">
        <f t="shared" si="308"/>
        <v>0</v>
      </c>
      <c r="N910" s="128">
        <f t="shared" si="308"/>
        <v>0</v>
      </c>
      <c r="O910" s="128">
        <f t="shared" si="308"/>
        <v>627959.0453750001</v>
      </c>
      <c r="P910" s="123" t="str">
        <f t="shared" si="306"/>
        <v/>
      </c>
    </row>
    <row r="911" spans="1:16" x14ac:dyDescent="0.2">
      <c r="A911" s="119"/>
      <c r="B911" s="120"/>
      <c r="C911" s="129"/>
      <c r="D911" s="129"/>
      <c r="E911" s="129"/>
      <c r="F911" s="129"/>
      <c r="G911" s="129"/>
      <c r="H911" s="129"/>
      <c r="I911" s="129">
        <f>LEDP!J19</f>
        <v>0</v>
      </c>
      <c r="J911" s="129"/>
      <c r="K911" s="129"/>
      <c r="L911" s="129"/>
      <c r="O911" s="129"/>
      <c r="P911" s="123" t="str">
        <f t="shared" si="306"/>
        <v/>
      </c>
    </row>
    <row r="912" spans="1:16" s="114" customFormat="1" ht="15" x14ac:dyDescent="0.25">
      <c r="A912" s="118"/>
      <c r="B912" s="117" t="s">
        <v>147</v>
      </c>
      <c r="C912" s="128">
        <f>C910</f>
        <v>1051020</v>
      </c>
      <c r="D912" s="128">
        <f t="shared" ref="D912:O912" si="309">D910</f>
        <v>0</v>
      </c>
      <c r="E912" s="128">
        <f t="shared" si="309"/>
        <v>0</v>
      </c>
      <c r="F912" s="128">
        <f t="shared" si="309"/>
        <v>0</v>
      </c>
      <c r="G912" s="128">
        <f t="shared" si="309"/>
        <v>1051020</v>
      </c>
      <c r="H912" s="128">
        <f t="shared" si="309"/>
        <v>0</v>
      </c>
      <c r="I912" s="128">
        <f t="shared" si="309"/>
        <v>-534800</v>
      </c>
      <c r="J912" s="128">
        <f t="shared" si="309"/>
        <v>516220</v>
      </c>
      <c r="K912" s="128">
        <f t="shared" si="309"/>
        <v>548483.75</v>
      </c>
      <c r="L912" s="128">
        <f t="shared" si="309"/>
        <v>586877.61250000005</v>
      </c>
      <c r="M912" s="128">
        <f t="shared" si="309"/>
        <v>0</v>
      </c>
      <c r="N912" s="128">
        <f t="shared" si="309"/>
        <v>0</v>
      </c>
      <c r="O912" s="128">
        <f t="shared" si="309"/>
        <v>627959.0453750001</v>
      </c>
      <c r="P912" s="123" t="str">
        <f t="shared" si="306"/>
        <v/>
      </c>
    </row>
    <row r="913" spans="1:16" s="114" customFormat="1" ht="15" x14ac:dyDescent="0.25">
      <c r="A913" s="118"/>
      <c r="B913" s="117"/>
      <c r="C913" s="128"/>
      <c r="D913" s="128"/>
      <c r="E913" s="128"/>
      <c r="F913" s="128"/>
      <c r="G913" s="128"/>
      <c r="H913" s="128"/>
      <c r="I913" s="129"/>
      <c r="J913" s="129"/>
      <c r="K913" s="129"/>
      <c r="L913" s="129"/>
      <c r="M913" s="186"/>
      <c r="N913" s="186"/>
      <c r="O913" s="128"/>
      <c r="P913" s="123" t="str">
        <f t="shared" si="306"/>
        <v/>
      </c>
    </row>
    <row r="914" spans="1:16" s="114" customFormat="1" ht="15" x14ac:dyDescent="0.25">
      <c r="A914" s="118"/>
      <c r="B914" s="117" t="s">
        <v>148</v>
      </c>
      <c r="C914" s="128"/>
      <c r="D914" s="128"/>
      <c r="E914" s="128"/>
      <c r="F914" s="128"/>
      <c r="G914" s="128"/>
      <c r="H914" s="128"/>
      <c r="I914" s="129"/>
      <c r="J914" s="129"/>
      <c r="K914" s="129"/>
      <c r="L914" s="129"/>
      <c r="M914" s="186"/>
      <c r="N914" s="186"/>
      <c r="O914" s="128"/>
      <c r="P914" s="123" t="str">
        <f t="shared" si="306"/>
        <v/>
      </c>
    </row>
    <row r="915" spans="1:16" s="114" customFormat="1" ht="15" x14ac:dyDescent="0.25">
      <c r="A915" s="118"/>
      <c r="B915" s="117" t="s">
        <v>149</v>
      </c>
      <c r="C915" s="128"/>
      <c r="D915" s="128"/>
      <c r="E915" s="128"/>
      <c r="F915" s="128"/>
      <c r="G915" s="128"/>
      <c r="H915" s="128"/>
      <c r="I915" s="129"/>
      <c r="J915" s="129"/>
      <c r="K915" s="129"/>
      <c r="L915" s="129"/>
      <c r="M915" s="186"/>
      <c r="N915" s="186"/>
      <c r="O915" s="128"/>
      <c r="P915" s="123" t="str">
        <f t="shared" si="306"/>
        <v/>
      </c>
    </row>
    <row r="916" spans="1:16" s="114" customFormat="1" ht="15" x14ac:dyDescent="0.25">
      <c r="A916" s="118"/>
      <c r="B916" s="117"/>
      <c r="C916" s="128"/>
      <c r="D916" s="128"/>
      <c r="E916" s="128"/>
      <c r="F916" s="128"/>
      <c r="G916" s="128"/>
      <c r="H916" s="128"/>
      <c r="I916" s="129"/>
      <c r="J916" s="129"/>
      <c r="K916" s="129"/>
      <c r="L916" s="129"/>
      <c r="M916" s="186"/>
      <c r="N916" s="186"/>
      <c r="O916" s="128"/>
      <c r="P916" s="123" t="str">
        <f t="shared" si="306"/>
        <v/>
      </c>
    </row>
    <row r="917" spans="1:16" x14ac:dyDescent="0.2">
      <c r="A917" s="119" t="s">
        <v>482</v>
      </c>
      <c r="B917" s="120" t="s">
        <v>150</v>
      </c>
      <c r="C917" s="129">
        <v>627000</v>
      </c>
      <c r="D917" s="129">
        <v>88254.84</v>
      </c>
      <c r="E917" s="129">
        <v>0</v>
      </c>
      <c r="F917" s="129">
        <v>470969.19</v>
      </c>
      <c r="G917" s="129">
        <v>156030.81</v>
      </c>
      <c r="H917" s="129">
        <v>75.11</v>
      </c>
      <c r="I917" s="129">
        <f>LEDP!J25</f>
        <v>0</v>
      </c>
      <c r="J917" s="129">
        <f>LEDP!K25</f>
        <v>627000</v>
      </c>
      <c r="K917" s="129">
        <f>LEDP!L25</f>
        <v>666187.5</v>
      </c>
      <c r="L917" s="129">
        <f>LEDP!M25</f>
        <v>712820.625</v>
      </c>
      <c r="O917" s="129">
        <f>LEDP!N25</f>
        <v>762718.06874999998</v>
      </c>
      <c r="P917" s="123" t="str">
        <f t="shared" si="306"/>
        <v>110</v>
      </c>
    </row>
    <row r="918" spans="1:16" x14ac:dyDescent="0.2">
      <c r="A918" s="119" t="s">
        <v>483</v>
      </c>
      <c r="B918" s="120" t="s">
        <v>151</v>
      </c>
      <c r="C918" s="129">
        <v>29299</v>
      </c>
      <c r="D918" s="129">
        <v>16934.18</v>
      </c>
      <c r="E918" s="129">
        <v>0</v>
      </c>
      <c r="F918" s="129">
        <v>16934.18</v>
      </c>
      <c r="G918" s="129">
        <v>12364.82</v>
      </c>
      <c r="H918" s="129">
        <v>57.79</v>
      </c>
      <c r="I918" s="129">
        <f>LEDP!J26</f>
        <v>-12364.82</v>
      </c>
      <c r="J918" s="129">
        <f>LEDP!K26</f>
        <v>16934.18</v>
      </c>
      <c r="K918" s="129">
        <f>LEDP!L26</f>
        <v>17992.56625</v>
      </c>
      <c r="L918" s="129">
        <f>LEDP!M26</f>
        <v>19252.0458875</v>
      </c>
      <c r="O918" s="129">
        <f>LEDP!N26</f>
        <v>20599.689099625</v>
      </c>
      <c r="P918" s="123" t="str">
        <f t="shared" si="306"/>
        <v>110</v>
      </c>
    </row>
    <row r="919" spans="1:16" x14ac:dyDescent="0.2">
      <c r="A919" s="119" t="s">
        <v>484</v>
      </c>
      <c r="B919" s="120" t="s">
        <v>152</v>
      </c>
      <c r="C919" s="129">
        <v>24000</v>
      </c>
      <c r="D919" s="129">
        <v>1975.23</v>
      </c>
      <c r="E919" s="129">
        <v>0</v>
      </c>
      <c r="F919" s="129">
        <v>11851.38</v>
      </c>
      <c r="G919" s="129">
        <v>12148.62</v>
      </c>
      <c r="H919" s="129">
        <v>49.38</v>
      </c>
      <c r="I919" s="129">
        <f>LEDP!J27</f>
        <v>0</v>
      </c>
      <c r="J919" s="129">
        <f>LEDP!K27</f>
        <v>24000</v>
      </c>
      <c r="K919" s="129">
        <f>LEDP!L27</f>
        <v>25500</v>
      </c>
      <c r="L919" s="129">
        <f>LEDP!M27</f>
        <v>27285</v>
      </c>
      <c r="O919" s="129">
        <f>LEDP!N27</f>
        <v>29194.95</v>
      </c>
      <c r="P919" s="123" t="str">
        <f t="shared" si="306"/>
        <v>110</v>
      </c>
    </row>
    <row r="920" spans="1:16" x14ac:dyDescent="0.2">
      <c r="A920" s="119" t="s">
        <v>485</v>
      </c>
      <c r="B920" s="120" t="s">
        <v>153</v>
      </c>
      <c r="C920" s="129">
        <v>10893</v>
      </c>
      <c r="D920" s="129">
        <v>0</v>
      </c>
      <c r="E920" s="129">
        <v>0</v>
      </c>
      <c r="F920" s="129">
        <v>0</v>
      </c>
      <c r="G920" s="129">
        <v>10893</v>
      </c>
      <c r="H920" s="129">
        <v>0</v>
      </c>
      <c r="I920" s="129">
        <f>LEDP!J28</f>
        <v>0</v>
      </c>
      <c r="J920" s="129">
        <f>LEDP!K28</f>
        <v>10893</v>
      </c>
      <c r="K920" s="129">
        <f>LEDP!L28</f>
        <v>11573.8125</v>
      </c>
      <c r="L920" s="129">
        <f>LEDP!M28</f>
        <v>12383.979375000001</v>
      </c>
      <c r="O920" s="129">
        <f>LEDP!N28</f>
        <v>13250.857931250001</v>
      </c>
      <c r="P920" s="123" t="str">
        <f t="shared" si="306"/>
        <v>110</v>
      </c>
    </row>
    <row r="921" spans="1:16" x14ac:dyDescent="0.2">
      <c r="A921" s="119" t="s">
        <v>486</v>
      </c>
      <c r="B921" s="120" t="s">
        <v>155</v>
      </c>
      <c r="C921" s="129">
        <v>20806</v>
      </c>
      <c r="D921" s="129">
        <v>0</v>
      </c>
      <c r="E921" s="129">
        <v>0</v>
      </c>
      <c r="F921" s="129">
        <v>0</v>
      </c>
      <c r="G921" s="129">
        <v>20806</v>
      </c>
      <c r="H921" s="129">
        <v>0</v>
      </c>
      <c r="I921" s="129">
        <f>LEDP!J29</f>
        <v>0</v>
      </c>
      <c r="J921" s="129">
        <f>LEDP!K29</f>
        <v>20806</v>
      </c>
      <c r="K921" s="129">
        <f>LEDP!L29</f>
        <v>22106.375</v>
      </c>
      <c r="L921" s="129">
        <f>LEDP!M29</f>
        <v>23653.821250000001</v>
      </c>
      <c r="O921" s="129">
        <f>LEDP!N29</f>
        <v>25309.588737500002</v>
      </c>
      <c r="P921" s="123" t="str">
        <f t="shared" si="306"/>
        <v>110</v>
      </c>
    </row>
    <row r="922" spans="1:16" x14ac:dyDescent="0.2">
      <c r="A922" s="119" t="s">
        <v>487</v>
      </c>
      <c r="B922" s="120" t="s">
        <v>156</v>
      </c>
      <c r="C922" s="129">
        <v>156750</v>
      </c>
      <c r="D922" s="129">
        <v>13313.45</v>
      </c>
      <c r="E922" s="129">
        <v>0</v>
      </c>
      <c r="F922" s="129">
        <v>79880.7</v>
      </c>
      <c r="G922" s="129">
        <v>76869.3</v>
      </c>
      <c r="H922" s="129">
        <v>50.96</v>
      </c>
      <c r="I922" s="129">
        <f>LEDP!J30</f>
        <v>0</v>
      </c>
      <c r="J922" s="129">
        <f>LEDP!K30</f>
        <v>156750</v>
      </c>
      <c r="K922" s="129">
        <f>LEDP!L30</f>
        <v>166546.875</v>
      </c>
      <c r="L922" s="129">
        <f>LEDP!M30</f>
        <v>178205.15625</v>
      </c>
      <c r="O922" s="129">
        <f>LEDP!N30</f>
        <v>190679.51718749999</v>
      </c>
      <c r="P922" s="123" t="str">
        <f t="shared" si="306"/>
        <v>110</v>
      </c>
    </row>
    <row r="923" spans="1:16" x14ac:dyDescent="0.2">
      <c r="A923" s="119" t="s">
        <v>488</v>
      </c>
      <c r="B923" s="120" t="s">
        <v>158</v>
      </c>
      <c r="C923" s="129">
        <v>12657</v>
      </c>
      <c r="D923" s="129">
        <v>0</v>
      </c>
      <c r="E923" s="129">
        <v>0</v>
      </c>
      <c r="F923" s="129">
        <v>0</v>
      </c>
      <c r="G923" s="129">
        <v>12657</v>
      </c>
      <c r="H923" s="129">
        <v>0</v>
      </c>
      <c r="I923" s="129">
        <f>LEDP!J31</f>
        <v>-12657</v>
      </c>
      <c r="J923" s="129">
        <f>LEDP!K31</f>
        <v>0</v>
      </c>
      <c r="K923" s="129">
        <f>LEDP!L31</f>
        <v>0</v>
      </c>
      <c r="L923" s="129">
        <f>LEDP!M31</f>
        <v>0</v>
      </c>
      <c r="O923" s="129">
        <f>LEDP!N31</f>
        <v>0</v>
      </c>
      <c r="P923" s="123" t="str">
        <f t="shared" si="306"/>
        <v>110</v>
      </c>
    </row>
    <row r="924" spans="1:16" x14ac:dyDescent="0.2">
      <c r="A924" s="119" t="s">
        <v>489</v>
      </c>
      <c r="B924" s="120" t="s">
        <v>159</v>
      </c>
      <c r="C924" s="129">
        <v>52250</v>
      </c>
      <c r="D924" s="129">
        <v>0</v>
      </c>
      <c r="E924" s="129">
        <v>0</v>
      </c>
      <c r="F924" s="129">
        <v>0</v>
      </c>
      <c r="G924" s="129">
        <v>52250</v>
      </c>
      <c r="H924" s="129">
        <v>0</v>
      </c>
      <c r="I924" s="129">
        <f>LEDP!J32</f>
        <v>0</v>
      </c>
      <c r="J924" s="129">
        <f>LEDP!K32</f>
        <v>52250</v>
      </c>
      <c r="K924" s="129">
        <f>LEDP!L32</f>
        <v>55515.625</v>
      </c>
      <c r="L924" s="129">
        <f>LEDP!M32</f>
        <v>59401.71875</v>
      </c>
      <c r="O924" s="129">
        <f>LEDP!N32</f>
        <v>63559.839062500003</v>
      </c>
      <c r="P924" s="123" t="str">
        <f t="shared" si="306"/>
        <v>110</v>
      </c>
    </row>
    <row r="925" spans="1:16" x14ac:dyDescent="0.2">
      <c r="A925" s="119" t="s">
        <v>490</v>
      </c>
      <c r="B925" s="120" t="s">
        <v>163</v>
      </c>
      <c r="C925" s="129">
        <v>15692</v>
      </c>
      <c r="D925" s="129">
        <v>0</v>
      </c>
      <c r="E925" s="129">
        <v>0</v>
      </c>
      <c r="F925" s="129">
        <v>0</v>
      </c>
      <c r="G925" s="129">
        <v>15692</v>
      </c>
      <c r="H925" s="129">
        <v>0</v>
      </c>
      <c r="I925" s="129">
        <f>LEDP!J33</f>
        <v>0</v>
      </c>
      <c r="J925" s="129">
        <f>LEDP!K33</f>
        <v>15692</v>
      </c>
      <c r="K925" s="129">
        <f>LEDP!L33</f>
        <v>16672.75</v>
      </c>
      <c r="L925" s="129">
        <f>LEDP!M33</f>
        <v>17839.842499999999</v>
      </c>
      <c r="O925" s="129">
        <f>LEDP!N33</f>
        <v>19088.631474999998</v>
      </c>
      <c r="P925" s="123" t="str">
        <f t="shared" si="306"/>
        <v>110</v>
      </c>
    </row>
    <row r="926" spans="1:16" x14ac:dyDescent="0.2">
      <c r="A926" s="119" t="s">
        <v>491</v>
      </c>
      <c r="B926" s="120" t="s">
        <v>164</v>
      </c>
      <c r="C926" s="129">
        <v>37160</v>
      </c>
      <c r="D926" s="129">
        <v>1307.7</v>
      </c>
      <c r="E926" s="129">
        <v>0</v>
      </c>
      <c r="F926" s="129">
        <v>7846.2</v>
      </c>
      <c r="G926" s="129">
        <v>29313.8</v>
      </c>
      <c r="H926" s="129">
        <v>21.11</v>
      </c>
      <c r="I926" s="129">
        <f>LEDP!J34</f>
        <v>0</v>
      </c>
      <c r="J926" s="129">
        <f>LEDP!K34</f>
        <v>37160</v>
      </c>
      <c r="K926" s="129">
        <f>LEDP!L34</f>
        <v>39482.5</v>
      </c>
      <c r="L926" s="129">
        <f>LEDP!M34</f>
        <v>42246.275000000001</v>
      </c>
      <c r="O926" s="129">
        <f>LEDP!N34</f>
        <v>45203.51425</v>
      </c>
      <c r="P926" s="123" t="str">
        <f t="shared" si="306"/>
        <v>110</v>
      </c>
    </row>
    <row r="927" spans="1:16" x14ac:dyDescent="0.2">
      <c r="A927" s="119"/>
      <c r="B927" s="120"/>
      <c r="C927" s="129"/>
      <c r="D927" s="129"/>
      <c r="E927" s="129"/>
      <c r="F927" s="129"/>
      <c r="G927" s="129"/>
      <c r="H927" s="129"/>
      <c r="I927" s="129"/>
      <c r="J927" s="129"/>
      <c r="K927" s="129"/>
      <c r="L927" s="129"/>
      <c r="O927" s="129"/>
      <c r="P927" s="123" t="str">
        <f t="shared" si="306"/>
        <v/>
      </c>
    </row>
    <row r="928" spans="1:16" s="114" customFormat="1" ht="15" x14ac:dyDescent="0.25">
      <c r="A928" s="118"/>
      <c r="B928" s="117" t="s">
        <v>165</v>
      </c>
      <c r="C928" s="128">
        <f>SUM(C917:C927)</f>
        <v>986507</v>
      </c>
      <c r="D928" s="128">
        <f t="shared" ref="D928:O928" si="310">SUM(D917:D927)</f>
        <v>121785.39999999998</v>
      </c>
      <c r="E928" s="128">
        <f t="shared" si="310"/>
        <v>0</v>
      </c>
      <c r="F928" s="128">
        <f t="shared" si="310"/>
        <v>587481.64999999991</v>
      </c>
      <c r="G928" s="128">
        <f t="shared" si="310"/>
        <v>399025.35</v>
      </c>
      <c r="H928" s="128">
        <f t="shared" si="310"/>
        <v>254.35000000000002</v>
      </c>
      <c r="I928" s="128">
        <f t="shared" si="310"/>
        <v>-25021.82</v>
      </c>
      <c r="J928" s="128">
        <f t="shared" si="310"/>
        <v>961485.18</v>
      </c>
      <c r="K928" s="128">
        <f t="shared" si="310"/>
        <v>1021578.00375</v>
      </c>
      <c r="L928" s="128">
        <f t="shared" si="310"/>
        <v>1093088.4640124999</v>
      </c>
      <c r="M928" s="128">
        <f t="shared" si="310"/>
        <v>0</v>
      </c>
      <c r="N928" s="128">
        <f t="shared" si="310"/>
        <v>0</v>
      </c>
      <c r="O928" s="128">
        <f t="shared" si="310"/>
        <v>1169604.6564933748</v>
      </c>
      <c r="P928" s="123" t="str">
        <f t="shared" si="306"/>
        <v/>
      </c>
    </row>
    <row r="929" spans="1:16" s="114" customFormat="1" ht="15" x14ac:dyDescent="0.25">
      <c r="A929" s="118"/>
      <c r="B929" s="117"/>
      <c r="C929" s="128"/>
      <c r="D929" s="128"/>
      <c r="E929" s="128"/>
      <c r="F929" s="128"/>
      <c r="G929" s="128"/>
      <c r="H929" s="128"/>
      <c r="I929" s="129"/>
      <c r="J929" s="129"/>
      <c r="K929" s="129"/>
      <c r="L929" s="129"/>
      <c r="M929" s="186"/>
      <c r="N929" s="186"/>
      <c r="O929" s="128"/>
      <c r="P929" s="123" t="str">
        <f t="shared" si="306"/>
        <v/>
      </c>
    </row>
    <row r="930" spans="1:16" s="114" customFormat="1" ht="15" x14ac:dyDescent="0.25">
      <c r="A930" s="118"/>
      <c r="B930" s="117" t="s">
        <v>166</v>
      </c>
      <c r="C930" s="128"/>
      <c r="D930" s="128"/>
      <c r="E930" s="128"/>
      <c r="F930" s="128"/>
      <c r="G930" s="128"/>
      <c r="H930" s="128"/>
      <c r="I930" s="129"/>
      <c r="J930" s="129"/>
      <c r="K930" s="129"/>
      <c r="L930" s="129"/>
      <c r="M930" s="186"/>
      <c r="N930" s="186"/>
      <c r="O930" s="128"/>
      <c r="P930" s="123" t="str">
        <f t="shared" si="306"/>
        <v/>
      </c>
    </row>
    <row r="931" spans="1:16" x14ac:dyDescent="0.2">
      <c r="A931" s="119"/>
      <c r="B931" s="120"/>
      <c r="C931" s="129"/>
      <c r="D931" s="129"/>
      <c r="E931" s="129"/>
      <c r="F931" s="129"/>
      <c r="G931" s="129"/>
      <c r="H931" s="129"/>
      <c r="I931" s="129"/>
      <c r="J931" s="129"/>
      <c r="K931" s="129"/>
      <c r="L931" s="129"/>
      <c r="O931" s="129"/>
      <c r="P931" s="123" t="str">
        <f t="shared" si="306"/>
        <v/>
      </c>
    </row>
    <row r="932" spans="1:16" x14ac:dyDescent="0.2">
      <c r="A932" s="119" t="s">
        <v>492</v>
      </c>
      <c r="B932" s="120" t="s">
        <v>167</v>
      </c>
      <c r="C932" s="129">
        <v>112</v>
      </c>
      <c r="D932" s="129">
        <v>27.96</v>
      </c>
      <c r="E932" s="129">
        <v>0</v>
      </c>
      <c r="F932" s="129">
        <v>121.16</v>
      </c>
      <c r="G932" s="129">
        <v>-9.16</v>
      </c>
      <c r="H932" s="129">
        <v>108.17</v>
      </c>
      <c r="I932" s="129">
        <f>LEDP!J40</f>
        <v>188</v>
      </c>
      <c r="J932" s="129">
        <f>LEDP!K40</f>
        <v>300</v>
      </c>
      <c r="K932" s="129">
        <f>LEDP!L40</f>
        <v>318.75</v>
      </c>
      <c r="L932" s="129">
        <f>LEDP!M40</f>
        <v>341.0625</v>
      </c>
      <c r="O932" s="129">
        <f>LEDP!N40</f>
        <v>364.93687499999999</v>
      </c>
      <c r="P932" s="123" t="str">
        <f t="shared" si="306"/>
        <v>130</v>
      </c>
    </row>
    <row r="933" spans="1:16" x14ac:dyDescent="0.2">
      <c r="A933" s="119" t="s">
        <v>493</v>
      </c>
      <c r="B933" s="120" t="s">
        <v>168</v>
      </c>
      <c r="C933" s="129">
        <v>53908</v>
      </c>
      <c r="D933" s="129">
        <v>4290.6000000000004</v>
      </c>
      <c r="E933" s="129">
        <v>0</v>
      </c>
      <c r="F933" s="129">
        <v>23602.799999999999</v>
      </c>
      <c r="G933" s="129">
        <v>30305.200000000001</v>
      </c>
      <c r="H933" s="129">
        <v>43.78</v>
      </c>
      <c r="I933" s="129">
        <f>LEDP!J41</f>
        <v>0</v>
      </c>
      <c r="J933" s="129">
        <f>LEDP!K41</f>
        <v>53908</v>
      </c>
      <c r="K933" s="129">
        <f>LEDP!L41</f>
        <v>57277.25</v>
      </c>
      <c r="L933" s="129">
        <f>LEDP!M41</f>
        <v>61286.657500000001</v>
      </c>
      <c r="O933" s="129">
        <f>LEDP!N41</f>
        <v>65576.723525000009</v>
      </c>
      <c r="P933" s="123" t="str">
        <f t="shared" si="306"/>
        <v>130</v>
      </c>
    </row>
    <row r="934" spans="1:16" x14ac:dyDescent="0.2">
      <c r="A934" s="119" t="s">
        <v>494</v>
      </c>
      <c r="B934" s="120" t="s">
        <v>169</v>
      </c>
      <c r="C934" s="129">
        <v>137940</v>
      </c>
      <c r="D934" s="129">
        <v>17476.02</v>
      </c>
      <c r="E934" s="129">
        <v>0</v>
      </c>
      <c r="F934" s="129">
        <v>92155.37</v>
      </c>
      <c r="G934" s="129">
        <v>45784.63</v>
      </c>
      <c r="H934" s="129">
        <v>66.8</v>
      </c>
      <c r="I934" s="129">
        <f>LEDP!J42</f>
        <v>0</v>
      </c>
      <c r="J934" s="129">
        <f>LEDP!K42</f>
        <v>137940</v>
      </c>
      <c r="K934" s="129">
        <f>LEDP!L42</f>
        <v>146561.25</v>
      </c>
      <c r="L934" s="129">
        <f>LEDP!M42</f>
        <v>156820.53750000001</v>
      </c>
      <c r="O934" s="129">
        <f>LEDP!N42</f>
        <v>167797.975125</v>
      </c>
      <c r="P934" s="123" t="str">
        <f t="shared" si="306"/>
        <v>130</v>
      </c>
    </row>
    <row r="935" spans="1:16" x14ac:dyDescent="0.2">
      <c r="A935" s="119" t="s">
        <v>495</v>
      </c>
      <c r="B935" s="120" t="s">
        <v>170</v>
      </c>
      <c r="C935" s="129">
        <v>1785</v>
      </c>
      <c r="D935" s="129">
        <v>476.16</v>
      </c>
      <c r="E935" s="129">
        <v>0</v>
      </c>
      <c r="F935" s="129">
        <v>2233.36</v>
      </c>
      <c r="G935" s="129">
        <v>-448.36</v>
      </c>
      <c r="H935" s="129">
        <v>125.11</v>
      </c>
      <c r="I935" s="129">
        <f>LEDP!J43</f>
        <v>1215</v>
      </c>
      <c r="J935" s="129">
        <f>LEDP!K43</f>
        <v>3000</v>
      </c>
      <c r="K935" s="129">
        <f>LEDP!L43</f>
        <v>3187.5</v>
      </c>
      <c r="L935" s="129">
        <f>LEDP!M43</f>
        <v>3410.625</v>
      </c>
      <c r="O935" s="129">
        <f>LEDP!N43</f>
        <v>3649.3687500000001</v>
      </c>
      <c r="P935" s="123" t="str">
        <f t="shared" si="306"/>
        <v>130</v>
      </c>
    </row>
    <row r="936" spans="1:16" x14ac:dyDescent="0.2">
      <c r="A936" s="119"/>
      <c r="B936" s="120"/>
      <c r="C936" s="129"/>
      <c r="D936" s="129"/>
      <c r="E936" s="129"/>
      <c r="F936" s="129"/>
      <c r="G936" s="129"/>
      <c r="H936" s="129"/>
      <c r="I936" s="129">
        <f>LEDP!J44</f>
        <v>0</v>
      </c>
      <c r="J936" s="129"/>
      <c r="K936" s="129"/>
      <c r="L936" s="129"/>
      <c r="O936" s="129"/>
      <c r="P936" s="123" t="str">
        <f t="shared" si="306"/>
        <v/>
      </c>
    </row>
    <row r="937" spans="1:16" s="114" customFormat="1" ht="15.75" customHeight="1" x14ac:dyDescent="0.25">
      <c r="A937" s="118"/>
      <c r="B937" s="117" t="s">
        <v>171</v>
      </c>
      <c r="C937" s="128">
        <f>SUM(C932:C936)</f>
        <v>193745</v>
      </c>
      <c r="D937" s="128">
        <f t="shared" ref="D937:O937" si="311">SUM(D932:D936)</f>
        <v>22270.74</v>
      </c>
      <c r="E937" s="128">
        <f t="shared" si="311"/>
        <v>0</v>
      </c>
      <c r="F937" s="128">
        <f t="shared" si="311"/>
        <v>118112.68999999999</v>
      </c>
      <c r="G937" s="128">
        <f t="shared" si="311"/>
        <v>75632.31</v>
      </c>
      <c r="H937" s="128">
        <f t="shared" si="311"/>
        <v>343.86</v>
      </c>
      <c r="I937" s="128">
        <f t="shared" si="311"/>
        <v>1403</v>
      </c>
      <c r="J937" s="128">
        <f t="shared" si="311"/>
        <v>195148</v>
      </c>
      <c r="K937" s="128">
        <f t="shared" si="311"/>
        <v>207344.75</v>
      </c>
      <c r="L937" s="128">
        <f t="shared" si="311"/>
        <v>221858.88250000001</v>
      </c>
      <c r="M937" s="128">
        <f t="shared" si="311"/>
        <v>0</v>
      </c>
      <c r="N937" s="128">
        <f t="shared" si="311"/>
        <v>0</v>
      </c>
      <c r="O937" s="128">
        <f t="shared" si="311"/>
        <v>237389.00427499998</v>
      </c>
      <c r="P937" s="123" t="str">
        <f t="shared" si="306"/>
        <v/>
      </c>
    </row>
    <row r="938" spans="1:16" s="114" customFormat="1" ht="15" x14ac:dyDescent="0.25">
      <c r="A938" s="118"/>
      <c r="B938" s="117"/>
      <c r="C938" s="128"/>
      <c r="D938" s="128"/>
      <c r="E938" s="128"/>
      <c r="F938" s="128"/>
      <c r="G938" s="128"/>
      <c r="H938" s="128"/>
      <c r="I938" s="129"/>
      <c r="J938" s="129"/>
      <c r="K938" s="129"/>
      <c r="L938" s="129"/>
      <c r="M938" s="186"/>
      <c r="N938" s="186"/>
      <c r="O938" s="128"/>
      <c r="P938" s="123" t="str">
        <f t="shared" si="306"/>
        <v/>
      </c>
    </row>
    <row r="939" spans="1:16" s="114" customFormat="1" ht="15" x14ac:dyDescent="0.25">
      <c r="A939" s="118"/>
      <c r="B939" s="117" t="s">
        <v>172</v>
      </c>
      <c r="C939" s="128"/>
      <c r="D939" s="128"/>
      <c r="E939" s="128"/>
      <c r="F939" s="128"/>
      <c r="G939" s="128"/>
      <c r="H939" s="128"/>
      <c r="I939" s="129"/>
      <c r="J939" s="129"/>
      <c r="K939" s="129"/>
      <c r="L939" s="129"/>
      <c r="M939" s="186"/>
      <c r="N939" s="186"/>
      <c r="O939" s="128"/>
      <c r="P939" s="123" t="str">
        <f t="shared" si="306"/>
        <v/>
      </c>
    </row>
    <row r="940" spans="1:16" s="114" customFormat="1" ht="15" x14ac:dyDescent="0.25">
      <c r="A940" s="118"/>
      <c r="B940" s="117"/>
      <c r="C940" s="128"/>
      <c r="D940" s="128"/>
      <c r="E940" s="128"/>
      <c r="F940" s="128"/>
      <c r="G940" s="128"/>
      <c r="H940" s="128"/>
      <c r="I940" s="129"/>
      <c r="J940" s="129"/>
      <c r="K940" s="129"/>
      <c r="L940" s="129"/>
      <c r="M940" s="186"/>
      <c r="N940" s="186"/>
      <c r="O940" s="128"/>
      <c r="P940" s="123" t="str">
        <f t="shared" si="306"/>
        <v/>
      </c>
    </row>
    <row r="941" spans="1:16" x14ac:dyDescent="0.2">
      <c r="A941" s="119" t="s">
        <v>496</v>
      </c>
      <c r="B941" s="120" t="s">
        <v>173</v>
      </c>
      <c r="C941" s="129">
        <v>2151</v>
      </c>
      <c r="D941" s="129">
        <v>0</v>
      </c>
      <c r="E941" s="129">
        <v>0</v>
      </c>
      <c r="F941" s="129">
        <v>0</v>
      </c>
      <c r="G941" s="129">
        <v>2151</v>
      </c>
      <c r="H941" s="129">
        <v>0</v>
      </c>
      <c r="I941" s="129">
        <f>LEDP!J49</f>
        <v>0</v>
      </c>
      <c r="J941" s="129">
        <f>LEDP!K49</f>
        <v>2151</v>
      </c>
      <c r="K941" s="129">
        <f>LEDP!L49</f>
        <v>2285.4375</v>
      </c>
      <c r="L941" s="129">
        <f>LEDP!M49</f>
        <v>2445.4181250000001</v>
      </c>
      <c r="O941" s="129">
        <f>LEDP!N49</f>
        <v>2616.5973937500003</v>
      </c>
      <c r="P941" s="123" t="str">
        <f t="shared" si="306"/>
        <v>140</v>
      </c>
    </row>
    <row r="942" spans="1:16" x14ac:dyDescent="0.2">
      <c r="A942" s="119" t="s">
        <v>497</v>
      </c>
      <c r="B942" s="120" t="s">
        <v>174</v>
      </c>
      <c r="C942" s="129">
        <v>1460</v>
      </c>
      <c r="D942" s="129">
        <v>0</v>
      </c>
      <c r="E942" s="129">
        <v>0</v>
      </c>
      <c r="F942" s="129">
        <v>0</v>
      </c>
      <c r="G942" s="129">
        <v>1460</v>
      </c>
      <c r="H942" s="129">
        <v>0</v>
      </c>
      <c r="I942" s="129">
        <f>LEDP!J50</f>
        <v>0</v>
      </c>
      <c r="J942" s="129">
        <f>LEDP!K50</f>
        <v>1460</v>
      </c>
      <c r="K942" s="129">
        <f>LEDP!L50</f>
        <v>1551.25</v>
      </c>
      <c r="L942" s="129">
        <f>LEDP!M50</f>
        <v>1659.8375000000001</v>
      </c>
      <c r="O942" s="129">
        <f>LEDP!N50</f>
        <v>1776.0261250000001</v>
      </c>
      <c r="P942" s="123" t="str">
        <f t="shared" si="306"/>
        <v>140</v>
      </c>
    </row>
    <row r="943" spans="1:16" x14ac:dyDescent="0.2">
      <c r="A943" s="119" t="s">
        <v>498</v>
      </c>
      <c r="B943" s="120" t="s">
        <v>175</v>
      </c>
      <c r="C943" s="129">
        <v>14285</v>
      </c>
      <c r="D943" s="129">
        <v>0</v>
      </c>
      <c r="E943" s="129">
        <v>0</v>
      </c>
      <c r="F943" s="129">
        <v>0</v>
      </c>
      <c r="G943" s="129">
        <v>14285</v>
      </c>
      <c r="H943" s="129">
        <v>0</v>
      </c>
      <c r="I943" s="129">
        <f>LEDP!J51</f>
        <v>0</v>
      </c>
      <c r="J943" s="129">
        <f>LEDP!K51</f>
        <v>14285</v>
      </c>
      <c r="K943" s="129">
        <f>LEDP!L51</f>
        <v>15177.8125</v>
      </c>
      <c r="L943" s="129">
        <f>LEDP!M51</f>
        <v>16240.259375</v>
      </c>
      <c r="O943" s="129">
        <f>LEDP!N51</f>
        <v>17377.077531250001</v>
      </c>
      <c r="P943" s="123" t="str">
        <f t="shared" si="306"/>
        <v>142</v>
      </c>
    </row>
    <row r="944" spans="1:16" x14ac:dyDescent="0.2">
      <c r="A944" s="119"/>
      <c r="B944" s="120"/>
      <c r="C944" s="129"/>
      <c r="D944" s="129"/>
      <c r="E944" s="129"/>
      <c r="F944" s="129"/>
      <c r="G944" s="129"/>
      <c r="H944" s="129"/>
      <c r="I944" s="129">
        <f>LEDP!J52</f>
        <v>0</v>
      </c>
      <c r="J944" s="129"/>
      <c r="K944" s="129"/>
      <c r="L944" s="129"/>
      <c r="O944" s="129"/>
      <c r="P944" s="123" t="str">
        <f t="shared" si="306"/>
        <v/>
      </c>
    </row>
    <row r="945" spans="1:16" s="114" customFormat="1" ht="15" x14ac:dyDescent="0.25">
      <c r="A945" s="118"/>
      <c r="B945" s="117" t="s">
        <v>176</v>
      </c>
      <c r="C945" s="128">
        <f>SUM(C941:C944)</f>
        <v>17896</v>
      </c>
      <c r="D945" s="128">
        <f t="shared" ref="D945:O945" si="312">SUM(D941:D944)</f>
        <v>0</v>
      </c>
      <c r="E945" s="128">
        <f t="shared" si="312"/>
        <v>0</v>
      </c>
      <c r="F945" s="128">
        <f t="shared" si="312"/>
        <v>0</v>
      </c>
      <c r="G945" s="128">
        <f t="shared" si="312"/>
        <v>17896</v>
      </c>
      <c r="H945" s="128">
        <f t="shared" si="312"/>
        <v>0</v>
      </c>
      <c r="I945" s="128">
        <f t="shared" si="312"/>
        <v>0</v>
      </c>
      <c r="J945" s="128">
        <f t="shared" si="312"/>
        <v>17896</v>
      </c>
      <c r="K945" s="128">
        <f t="shared" si="312"/>
        <v>19014.5</v>
      </c>
      <c r="L945" s="128">
        <f t="shared" si="312"/>
        <v>20345.514999999999</v>
      </c>
      <c r="M945" s="128">
        <f t="shared" si="312"/>
        <v>0</v>
      </c>
      <c r="N945" s="128">
        <f t="shared" si="312"/>
        <v>0</v>
      </c>
      <c r="O945" s="128">
        <f t="shared" si="312"/>
        <v>21769.701050000003</v>
      </c>
      <c r="P945" s="123" t="str">
        <f t="shared" si="306"/>
        <v/>
      </c>
    </row>
    <row r="946" spans="1:16" s="114" customFormat="1" ht="15" x14ac:dyDescent="0.25">
      <c r="A946" s="118"/>
      <c r="B946" s="117"/>
      <c r="C946" s="128"/>
      <c r="D946" s="128"/>
      <c r="E946" s="128"/>
      <c r="F946" s="128"/>
      <c r="G946" s="128"/>
      <c r="H946" s="128"/>
      <c r="I946" s="129">
        <f>LEDP!J54</f>
        <v>0</v>
      </c>
      <c r="J946" s="129"/>
      <c r="K946" s="129"/>
      <c r="L946" s="129"/>
      <c r="M946" s="186"/>
      <c r="N946" s="186"/>
      <c r="O946" s="128"/>
      <c r="P946" s="123" t="str">
        <f t="shared" si="306"/>
        <v/>
      </c>
    </row>
    <row r="947" spans="1:16" s="114" customFormat="1" ht="15" x14ac:dyDescent="0.25">
      <c r="A947" s="118"/>
      <c r="B947" s="117" t="s">
        <v>177</v>
      </c>
      <c r="C947" s="128">
        <f>C928+C937+C945</f>
        <v>1198148</v>
      </c>
      <c r="D947" s="128">
        <f t="shared" ref="D947:O947" si="313">D928+D937+D945</f>
        <v>144056.13999999998</v>
      </c>
      <c r="E947" s="128">
        <f t="shared" si="313"/>
        <v>0</v>
      </c>
      <c r="F947" s="128">
        <f t="shared" si="313"/>
        <v>705594.33999999985</v>
      </c>
      <c r="G947" s="128">
        <f t="shared" si="313"/>
        <v>492553.66</v>
      </c>
      <c r="H947" s="128">
        <f t="shared" si="313"/>
        <v>598.21</v>
      </c>
      <c r="I947" s="128">
        <f t="shared" si="313"/>
        <v>-23618.82</v>
      </c>
      <c r="J947" s="128">
        <f t="shared" si="313"/>
        <v>1174529.1800000002</v>
      </c>
      <c r="K947" s="128">
        <f t="shared" si="313"/>
        <v>1247937.2537500001</v>
      </c>
      <c r="L947" s="128">
        <f t="shared" si="313"/>
        <v>1335292.8615124999</v>
      </c>
      <c r="M947" s="128">
        <f t="shared" si="313"/>
        <v>0</v>
      </c>
      <c r="N947" s="128">
        <f t="shared" si="313"/>
        <v>0</v>
      </c>
      <c r="O947" s="128">
        <f t="shared" si="313"/>
        <v>1428763.3618183748</v>
      </c>
      <c r="P947" s="123" t="str">
        <f t="shared" si="306"/>
        <v/>
      </c>
    </row>
    <row r="948" spans="1:16" s="114" customFormat="1" ht="15" x14ac:dyDescent="0.25">
      <c r="A948" s="118"/>
      <c r="B948" s="117"/>
      <c r="C948" s="128"/>
      <c r="D948" s="128"/>
      <c r="E948" s="128"/>
      <c r="F948" s="128"/>
      <c r="G948" s="128"/>
      <c r="H948" s="128"/>
      <c r="I948" s="129">
        <f>LEDP!J56</f>
        <v>0</v>
      </c>
      <c r="J948" s="129"/>
      <c r="K948" s="129"/>
      <c r="L948" s="129"/>
      <c r="M948" s="186"/>
      <c r="N948" s="186"/>
      <c r="O948" s="128"/>
      <c r="P948" s="123" t="str">
        <f t="shared" si="306"/>
        <v/>
      </c>
    </row>
    <row r="949" spans="1:16" s="114" customFormat="1" ht="15" x14ac:dyDescent="0.25">
      <c r="A949" s="118"/>
      <c r="B949" s="117" t="s">
        <v>178</v>
      </c>
      <c r="C949" s="128">
        <f>C912+C947</f>
        <v>2249168</v>
      </c>
      <c r="D949" s="128">
        <f t="shared" ref="D949:O949" si="314">D912+D947</f>
        <v>144056.13999999998</v>
      </c>
      <c r="E949" s="128">
        <f t="shared" si="314"/>
        <v>0</v>
      </c>
      <c r="F949" s="128">
        <f t="shared" si="314"/>
        <v>705594.33999999985</v>
      </c>
      <c r="G949" s="128">
        <f t="shared" si="314"/>
        <v>1543573.66</v>
      </c>
      <c r="H949" s="128">
        <f t="shared" si="314"/>
        <v>598.21</v>
      </c>
      <c r="I949" s="128">
        <f t="shared" si="314"/>
        <v>-558418.81999999995</v>
      </c>
      <c r="J949" s="128">
        <f t="shared" si="314"/>
        <v>1690749.1800000002</v>
      </c>
      <c r="K949" s="128">
        <f t="shared" si="314"/>
        <v>1796421.0037500001</v>
      </c>
      <c r="L949" s="128">
        <f t="shared" si="314"/>
        <v>1922170.4740124999</v>
      </c>
      <c r="M949" s="128">
        <f t="shared" si="314"/>
        <v>0</v>
      </c>
      <c r="N949" s="128">
        <f t="shared" si="314"/>
        <v>0</v>
      </c>
      <c r="O949" s="128">
        <f t="shared" si="314"/>
        <v>2056722.4071933748</v>
      </c>
      <c r="P949" s="123" t="str">
        <f t="shared" si="306"/>
        <v/>
      </c>
    </row>
    <row r="950" spans="1:16" s="114" customFormat="1" ht="15" x14ac:dyDescent="0.25">
      <c r="A950" s="118"/>
      <c r="B950" s="117"/>
      <c r="C950" s="128"/>
      <c r="D950" s="128"/>
      <c r="E950" s="128"/>
      <c r="F950" s="128"/>
      <c r="G950" s="128"/>
      <c r="H950" s="128"/>
      <c r="I950" s="129"/>
      <c r="J950" s="129"/>
      <c r="K950" s="129"/>
      <c r="L950" s="129"/>
      <c r="M950" s="186"/>
      <c r="N950" s="186"/>
      <c r="O950" s="128"/>
      <c r="P950" s="123" t="str">
        <f t="shared" si="306"/>
        <v/>
      </c>
    </row>
    <row r="951" spans="1:16" s="114" customFormat="1" ht="15" x14ac:dyDescent="0.25">
      <c r="A951" s="118"/>
      <c r="B951" s="117" t="s">
        <v>241</v>
      </c>
      <c r="C951" s="128"/>
      <c r="D951" s="128"/>
      <c r="E951" s="128"/>
      <c r="F951" s="128"/>
      <c r="G951" s="128"/>
      <c r="H951" s="128"/>
      <c r="I951" s="129"/>
      <c r="J951" s="129"/>
      <c r="K951" s="129"/>
      <c r="L951" s="129"/>
      <c r="M951" s="186"/>
      <c r="N951" s="186"/>
      <c r="O951" s="128"/>
      <c r="P951" s="123" t="str">
        <f t="shared" si="306"/>
        <v/>
      </c>
    </row>
    <row r="952" spans="1:16" s="114" customFormat="1" ht="15" x14ac:dyDescent="0.25">
      <c r="A952" s="118"/>
      <c r="B952" s="117"/>
      <c r="C952" s="128"/>
      <c r="D952" s="128"/>
      <c r="E952" s="128"/>
      <c r="F952" s="128"/>
      <c r="G952" s="128"/>
      <c r="H952" s="128"/>
      <c r="I952" s="129"/>
      <c r="J952" s="129"/>
      <c r="K952" s="129"/>
      <c r="L952" s="129"/>
      <c r="M952" s="186"/>
      <c r="N952" s="186"/>
      <c r="O952" s="128"/>
      <c r="P952" s="123" t="str">
        <f t="shared" si="306"/>
        <v/>
      </c>
    </row>
    <row r="953" spans="1:16" x14ac:dyDescent="0.2">
      <c r="A953" s="119" t="s">
        <v>499</v>
      </c>
      <c r="B953" s="120" t="s">
        <v>242</v>
      </c>
      <c r="C953" s="129">
        <v>84029</v>
      </c>
      <c r="D953" s="129">
        <v>0</v>
      </c>
      <c r="E953" s="129">
        <v>0</v>
      </c>
      <c r="F953" s="129">
        <v>0</v>
      </c>
      <c r="G953" s="129">
        <v>84029</v>
      </c>
      <c r="H953" s="129">
        <v>0</v>
      </c>
      <c r="I953" s="129">
        <f>LEDP!J61</f>
        <v>-60000</v>
      </c>
      <c r="J953" s="129">
        <f>LEDP!K61</f>
        <v>24029</v>
      </c>
      <c r="K953" s="129">
        <f>LEDP!L61</f>
        <v>25110.305</v>
      </c>
      <c r="L953" s="129">
        <f>LEDP!M61</f>
        <v>26265.37903</v>
      </c>
      <c r="O953" s="129">
        <f>LEDP!N61</f>
        <v>27473.586465380002</v>
      </c>
      <c r="P953" s="123" t="str">
        <f t="shared" si="306"/>
        <v>300</v>
      </c>
    </row>
    <row r="954" spans="1:16" x14ac:dyDescent="0.2">
      <c r="A954" s="119" t="s">
        <v>500</v>
      </c>
      <c r="B954" s="120" t="s">
        <v>253</v>
      </c>
      <c r="C954" s="129">
        <v>2000</v>
      </c>
      <c r="D954" s="129">
        <v>0</v>
      </c>
      <c r="E954" s="129">
        <v>0</v>
      </c>
      <c r="F954" s="129">
        <v>0</v>
      </c>
      <c r="G954" s="129">
        <v>2000</v>
      </c>
      <c r="H954" s="129">
        <v>0</v>
      </c>
      <c r="I954" s="129">
        <f>LEDP!J62</f>
        <v>0</v>
      </c>
      <c r="J954" s="129">
        <f>LEDP!K62</f>
        <v>2000</v>
      </c>
      <c r="K954" s="129">
        <f>LEDP!L62</f>
        <v>2000</v>
      </c>
      <c r="L954" s="129">
        <f>LEDP!M62</f>
        <v>2000</v>
      </c>
      <c r="O954" s="129">
        <f>LEDP!N62</f>
        <v>2000</v>
      </c>
      <c r="P954" s="123" t="str">
        <f t="shared" si="306"/>
        <v>301</v>
      </c>
    </row>
    <row r="955" spans="1:16" x14ac:dyDescent="0.2">
      <c r="A955" s="119" t="s">
        <v>501</v>
      </c>
      <c r="B955" s="120" t="s">
        <v>258</v>
      </c>
      <c r="C955" s="129">
        <v>480000</v>
      </c>
      <c r="D955" s="129">
        <v>0</v>
      </c>
      <c r="E955" s="129">
        <v>0</v>
      </c>
      <c r="F955" s="129">
        <v>109789.04</v>
      </c>
      <c r="G955" s="129">
        <v>370210.96</v>
      </c>
      <c r="H955" s="129">
        <v>22.87</v>
      </c>
      <c r="I955" s="129">
        <f>LEDP!J63</f>
        <v>0</v>
      </c>
      <c r="J955" s="129">
        <f>LEDP!K63</f>
        <v>480000</v>
      </c>
      <c r="K955" s="129">
        <f>LEDP!L63</f>
        <v>0</v>
      </c>
      <c r="L955" s="129">
        <f>LEDP!M63</f>
        <v>0</v>
      </c>
      <c r="O955" s="129">
        <f>LEDP!N63</f>
        <v>0</v>
      </c>
      <c r="P955" s="123" t="str">
        <f t="shared" si="306"/>
        <v>303</v>
      </c>
    </row>
    <row r="956" spans="1:16" x14ac:dyDescent="0.2">
      <c r="A956" s="119" t="s">
        <v>502</v>
      </c>
      <c r="B956" s="120" t="s">
        <v>265</v>
      </c>
      <c r="C956" s="129">
        <v>64698</v>
      </c>
      <c r="D956" s="129">
        <v>1186.27</v>
      </c>
      <c r="E956" s="129">
        <v>0</v>
      </c>
      <c r="F956" s="129">
        <v>5652.18</v>
      </c>
      <c r="G956" s="129">
        <v>59045.82</v>
      </c>
      <c r="H956" s="129">
        <v>8.73</v>
      </c>
      <c r="I956" s="129">
        <f>LEDP!J64</f>
        <v>-50000</v>
      </c>
      <c r="J956" s="129">
        <f>LEDP!K64</f>
        <v>14698</v>
      </c>
      <c r="K956" s="129">
        <f>LEDP!L64</f>
        <v>15359.41</v>
      </c>
      <c r="L956" s="129">
        <f>LEDP!M64</f>
        <v>16065.942859999999</v>
      </c>
      <c r="O956" s="129">
        <f>LEDP!N64</f>
        <v>16804.976231559998</v>
      </c>
      <c r="P956" s="123" t="str">
        <f t="shared" si="306"/>
        <v>305</v>
      </c>
    </row>
    <row r="957" spans="1:16" x14ac:dyDescent="0.2">
      <c r="A957" s="119" t="s">
        <v>503</v>
      </c>
      <c r="B957" s="120" t="s">
        <v>268</v>
      </c>
      <c r="C957" s="129">
        <v>156818</v>
      </c>
      <c r="D957" s="129">
        <v>12491.42</v>
      </c>
      <c r="E957" s="129">
        <v>0</v>
      </c>
      <c r="F957" s="129">
        <v>36970.68</v>
      </c>
      <c r="G957" s="129">
        <v>119847.32</v>
      </c>
      <c r="H957" s="129">
        <v>23.57</v>
      </c>
      <c r="I957" s="129">
        <f>LEDP!J65</f>
        <v>-49000</v>
      </c>
      <c r="J957" s="129">
        <f>LEDP!K65</f>
        <v>107818</v>
      </c>
      <c r="K957" s="129">
        <f>LEDP!L65</f>
        <v>112669.81</v>
      </c>
      <c r="L957" s="129">
        <f>LEDP!M65</f>
        <v>117852.62126</v>
      </c>
      <c r="O957" s="129">
        <f>LEDP!N65</f>
        <v>123273.84183796</v>
      </c>
      <c r="P957" s="123" t="str">
        <f t="shared" si="306"/>
        <v>305</v>
      </c>
    </row>
    <row r="958" spans="1:16" x14ac:dyDescent="0.2">
      <c r="A958" s="119" t="s">
        <v>504</v>
      </c>
      <c r="B958" s="120" t="s">
        <v>269</v>
      </c>
      <c r="C958" s="129">
        <v>50000</v>
      </c>
      <c r="D958" s="129">
        <v>0</v>
      </c>
      <c r="E958" s="129">
        <v>0</v>
      </c>
      <c r="F958" s="129">
        <v>0</v>
      </c>
      <c r="G958" s="129">
        <v>50000</v>
      </c>
      <c r="H958" s="129">
        <v>0</v>
      </c>
      <c r="I958" s="129">
        <f>LEDP!J66</f>
        <v>-30000</v>
      </c>
      <c r="J958" s="129">
        <f>LEDP!K66</f>
        <v>20000</v>
      </c>
      <c r="K958" s="129">
        <f>LEDP!L66</f>
        <v>20900</v>
      </c>
      <c r="L958" s="129">
        <f>LEDP!M66</f>
        <v>21861.4</v>
      </c>
      <c r="O958" s="129">
        <f>LEDP!N66</f>
        <v>22867.024400000002</v>
      </c>
      <c r="P958" s="123" t="str">
        <f t="shared" si="306"/>
        <v>305</v>
      </c>
    </row>
    <row r="959" spans="1:16" x14ac:dyDescent="0.2">
      <c r="A959" s="119"/>
      <c r="B959" s="120"/>
      <c r="C959" s="129"/>
      <c r="D959" s="129"/>
      <c r="E959" s="129"/>
      <c r="F959" s="129"/>
      <c r="G959" s="129"/>
      <c r="H959" s="129"/>
      <c r="I959" s="129">
        <f>LEDP!J67</f>
        <v>0</v>
      </c>
      <c r="J959" s="129"/>
      <c r="K959" s="129"/>
      <c r="L959" s="129"/>
      <c r="O959" s="129"/>
      <c r="P959" s="123" t="str">
        <f t="shared" si="306"/>
        <v/>
      </c>
    </row>
    <row r="960" spans="1:16" s="114" customFormat="1" ht="15" x14ac:dyDescent="0.25">
      <c r="A960" s="118"/>
      <c r="B960" s="117" t="s">
        <v>274</v>
      </c>
      <c r="C960" s="128">
        <f>SUM(C953:C959)</f>
        <v>837545</v>
      </c>
      <c r="D960" s="128">
        <f t="shared" ref="D960:O960" si="315">SUM(D953:D959)</f>
        <v>13677.69</v>
      </c>
      <c r="E960" s="128">
        <f t="shared" si="315"/>
        <v>0</v>
      </c>
      <c r="F960" s="128">
        <f t="shared" si="315"/>
        <v>152411.9</v>
      </c>
      <c r="G960" s="128">
        <f t="shared" si="315"/>
        <v>685133.10000000009</v>
      </c>
      <c r="H960" s="128">
        <f t="shared" si="315"/>
        <v>55.17</v>
      </c>
      <c r="I960" s="128">
        <f t="shared" si="315"/>
        <v>-189000</v>
      </c>
      <c r="J960" s="128">
        <f t="shared" si="315"/>
        <v>648545</v>
      </c>
      <c r="K960" s="128">
        <f t="shared" si="315"/>
        <v>176039.52499999999</v>
      </c>
      <c r="L960" s="128">
        <f t="shared" si="315"/>
        <v>184045.34315</v>
      </c>
      <c r="M960" s="128">
        <f t="shared" si="315"/>
        <v>0</v>
      </c>
      <c r="N960" s="128">
        <f t="shared" si="315"/>
        <v>0</v>
      </c>
      <c r="O960" s="128">
        <f t="shared" si="315"/>
        <v>192419.4289349</v>
      </c>
      <c r="P960" s="123" t="str">
        <f t="shared" si="306"/>
        <v/>
      </c>
    </row>
    <row r="961" spans="1:16" x14ac:dyDescent="0.2">
      <c r="A961" s="119"/>
      <c r="B961" s="120"/>
      <c r="C961" s="129"/>
      <c r="D961" s="129"/>
      <c r="E961" s="129"/>
      <c r="F961" s="129"/>
      <c r="G961" s="129"/>
      <c r="H961" s="129"/>
      <c r="I961" s="129"/>
      <c r="J961" s="129"/>
      <c r="K961" s="129"/>
      <c r="L961" s="129"/>
      <c r="O961" s="129"/>
      <c r="P961" s="123" t="str">
        <f t="shared" si="306"/>
        <v/>
      </c>
    </row>
    <row r="962" spans="1:16" s="114" customFormat="1" ht="15" x14ac:dyDescent="0.25">
      <c r="A962" s="118"/>
      <c r="B962" s="117" t="s">
        <v>290</v>
      </c>
      <c r="C962" s="128"/>
      <c r="D962" s="128"/>
      <c r="E962" s="128"/>
      <c r="F962" s="128"/>
      <c r="G962" s="128"/>
      <c r="H962" s="128"/>
      <c r="I962" s="129"/>
      <c r="J962" s="129"/>
      <c r="K962" s="129"/>
      <c r="L962" s="129"/>
      <c r="M962" s="186"/>
      <c r="N962" s="186"/>
      <c r="O962" s="128"/>
      <c r="P962" s="123" t="str">
        <f t="shared" si="306"/>
        <v/>
      </c>
    </row>
    <row r="963" spans="1:16" x14ac:dyDescent="0.2">
      <c r="A963" s="119"/>
      <c r="B963" s="120"/>
      <c r="C963" s="129"/>
      <c r="D963" s="129"/>
      <c r="E963" s="129"/>
      <c r="F963" s="129"/>
      <c r="G963" s="129"/>
      <c r="H963" s="129"/>
      <c r="I963" s="129"/>
      <c r="J963" s="129"/>
      <c r="K963" s="129"/>
      <c r="L963" s="129"/>
      <c r="O963" s="129"/>
      <c r="P963" s="123" t="str">
        <f t="shared" si="306"/>
        <v/>
      </c>
    </row>
    <row r="964" spans="1:16" x14ac:dyDescent="0.2">
      <c r="A964" s="119" t="s">
        <v>505</v>
      </c>
      <c r="B964" s="120" t="s">
        <v>292</v>
      </c>
      <c r="C964" s="129">
        <v>549</v>
      </c>
      <c r="D964" s="129">
        <v>200.72</v>
      </c>
      <c r="E964" s="129">
        <v>0</v>
      </c>
      <c r="F964" s="129">
        <v>513.24</v>
      </c>
      <c r="G964" s="129">
        <v>35.76</v>
      </c>
      <c r="H964" s="129">
        <v>93.48</v>
      </c>
      <c r="I964" s="129">
        <f>LEDP!J72</f>
        <v>0</v>
      </c>
      <c r="J964" s="129">
        <f>LEDP!K72</f>
        <v>549</v>
      </c>
      <c r="K964" s="129">
        <f>LEDP!L72</f>
        <v>573.70500000000004</v>
      </c>
      <c r="L964" s="129">
        <f>LEDP!M72</f>
        <v>600.09543000000008</v>
      </c>
      <c r="O964" s="129">
        <f>LEDP!N72</f>
        <v>627.6998197800001</v>
      </c>
      <c r="P964" s="123" t="str">
        <f t="shared" si="306"/>
        <v>720</v>
      </c>
    </row>
    <row r="965" spans="1:16" x14ac:dyDescent="0.2">
      <c r="A965" s="119" t="s">
        <v>506</v>
      </c>
      <c r="B965" s="120" t="s">
        <v>293</v>
      </c>
      <c r="C965" s="129">
        <v>12600</v>
      </c>
      <c r="D965" s="129">
        <v>1227.7</v>
      </c>
      <c r="E965" s="129">
        <v>0</v>
      </c>
      <c r="F965" s="129">
        <v>2751.29</v>
      </c>
      <c r="G965" s="129">
        <v>9848.7099999999991</v>
      </c>
      <c r="H965" s="129">
        <v>21.83</v>
      </c>
      <c r="I965" s="129">
        <f>LEDP!J73</f>
        <v>0</v>
      </c>
      <c r="J965" s="129">
        <f>LEDP!K73</f>
        <v>12600</v>
      </c>
      <c r="K965" s="129">
        <f>LEDP!L73</f>
        <v>13167</v>
      </c>
      <c r="L965" s="129">
        <f>LEDP!M73</f>
        <v>13772.682000000001</v>
      </c>
      <c r="O965" s="129">
        <f>LEDP!N73</f>
        <v>14406.225372000001</v>
      </c>
      <c r="P965" s="123" t="str">
        <f t="shared" si="306"/>
        <v>721</v>
      </c>
    </row>
    <row r="966" spans="1:16" x14ac:dyDescent="0.2">
      <c r="A966" s="119" t="s">
        <v>507</v>
      </c>
      <c r="B966" s="120" t="s">
        <v>300</v>
      </c>
      <c r="C966" s="129">
        <v>22976</v>
      </c>
      <c r="D966" s="129">
        <v>2375.34</v>
      </c>
      <c r="E966" s="129">
        <v>0</v>
      </c>
      <c r="F966" s="129">
        <v>5938.35</v>
      </c>
      <c r="G966" s="129">
        <v>17037.650000000001</v>
      </c>
      <c r="H966" s="129">
        <v>25.84</v>
      </c>
      <c r="I966" s="129">
        <f>LEDP!J74</f>
        <v>0</v>
      </c>
      <c r="J966" s="129">
        <f>LEDP!K74</f>
        <v>22976</v>
      </c>
      <c r="K966" s="129">
        <f>LEDP!L74</f>
        <v>24009.919999999998</v>
      </c>
      <c r="L966" s="129">
        <f>LEDP!M74</f>
        <v>25114.376319999999</v>
      </c>
      <c r="O966" s="129">
        <f>LEDP!N74</f>
        <v>26269.637630720001</v>
      </c>
      <c r="P966" s="123" t="str">
        <f t="shared" si="306"/>
        <v>728</v>
      </c>
    </row>
    <row r="967" spans="1:16" x14ac:dyDescent="0.2">
      <c r="A967" s="119"/>
      <c r="B967" s="120"/>
      <c r="C967" s="129"/>
      <c r="D967" s="129"/>
      <c r="E967" s="129"/>
      <c r="F967" s="129"/>
      <c r="G967" s="129"/>
      <c r="H967" s="129"/>
      <c r="I967" s="129">
        <f>LEDP!J75</f>
        <v>0</v>
      </c>
      <c r="J967" s="129"/>
      <c r="K967" s="129"/>
      <c r="L967" s="129"/>
      <c r="O967" s="129"/>
      <c r="P967" s="123" t="str">
        <f t="shared" ref="P967:P1030" si="316">MID(A967,6,3)</f>
        <v/>
      </c>
    </row>
    <row r="968" spans="1:16" s="114" customFormat="1" ht="15" x14ac:dyDescent="0.25">
      <c r="A968" s="118"/>
      <c r="B968" s="117" t="s">
        <v>304</v>
      </c>
      <c r="C968" s="128">
        <f>SUM(C964:C967)</f>
        <v>36125</v>
      </c>
      <c r="D968" s="128">
        <f t="shared" ref="D968:O968" si="317">SUM(D964:D967)</f>
        <v>3803.76</v>
      </c>
      <c r="E968" s="128">
        <f t="shared" si="317"/>
        <v>0</v>
      </c>
      <c r="F968" s="128">
        <f t="shared" si="317"/>
        <v>9202.880000000001</v>
      </c>
      <c r="G968" s="128">
        <f t="shared" si="317"/>
        <v>26922.120000000003</v>
      </c>
      <c r="H968" s="128">
        <f t="shared" si="317"/>
        <v>141.15</v>
      </c>
      <c r="I968" s="128">
        <f t="shared" si="317"/>
        <v>0</v>
      </c>
      <c r="J968" s="128">
        <f t="shared" si="317"/>
        <v>36125</v>
      </c>
      <c r="K968" s="128">
        <f t="shared" si="317"/>
        <v>37750.625</v>
      </c>
      <c r="L968" s="128">
        <f t="shared" si="317"/>
        <v>39487.153749999998</v>
      </c>
      <c r="M968" s="128">
        <f t="shared" si="317"/>
        <v>0</v>
      </c>
      <c r="N968" s="128">
        <f t="shared" si="317"/>
        <v>0</v>
      </c>
      <c r="O968" s="128">
        <f t="shared" si="317"/>
        <v>41303.562822500004</v>
      </c>
      <c r="P968" s="123" t="str">
        <f t="shared" si="316"/>
        <v/>
      </c>
    </row>
    <row r="969" spans="1:16" s="114" customFormat="1" ht="15" x14ac:dyDescent="0.25">
      <c r="A969" s="118"/>
      <c r="B969" s="117"/>
      <c r="C969" s="128"/>
      <c r="D969" s="128"/>
      <c r="E969" s="128"/>
      <c r="F969" s="128"/>
      <c r="G969" s="128"/>
      <c r="H969" s="128"/>
      <c r="I969" s="129">
        <f>LEDP!J77</f>
        <v>0</v>
      </c>
      <c r="J969" s="129"/>
      <c r="K969" s="129"/>
      <c r="L969" s="129"/>
      <c r="M969" s="186"/>
      <c r="N969" s="186"/>
      <c r="O969" s="128"/>
      <c r="P969" s="123" t="str">
        <f t="shared" si="316"/>
        <v/>
      </c>
    </row>
    <row r="970" spans="1:16" s="114" customFormat="1" ht="15" x14ac:dyDescent="0.25">
      <c r="A970" s="118"/>
      <c r="B970" s="117" t="s">
        <v>305</v>
      </c>
      <c r="C970" s="128">
        <f>C949+C960+C968</f>
        <v>3122838</v>
      </c>
      <c r="D970" s="128">
        <f t="shared" ref="D970:O970" si="318">D949+D960+D968</f>
        <v>161537.59</v>
      </c>
      <c r="E970" s="128">
        <f t="shared" si="318"/>
        <v>0</v>
      </c>
      <c r="F970" s="128">
        <f t="shared" si="318"/>
        <v>867209.11999999988</v>
      </c>
      <c r="G970" s="128">
        <f t="shared" si="318"/>
        <v>2255628.88</v>
      </c>
      <c r="H970" s="128">
        <f t="shared" si="318"/>
        <v>794.53</v>
      </c>
      <c r="I970" s="128">
        <f t="shared" si="318"/>
        <v>-747418.82</v>
      </c>
      <c r="J970" s="128">
        <f t="shared" si="318"/>
        <v>2375419.1800000002</v>
      </c>
      <c r="K970" s="128">
        <f t="shared" si="318"/>
        <v>2010211.1537500001</v>
      </c>
      <c r="L970" s="128">
        <f t="shared" si="318"/>
        <v>2145702.9709124998</v>
      </c>
      <c r="M970" s="128">
        <f t="shared" si="318"/>
        <v>0</v>
      </c>
      <c r="N970" s="128">
        <f t="shared" si="318"/>
        <v>0</v>
      </c>
      <c r="O970" s="128">
        <f t="shared" si="318"/>
        <v>2290445.3989507747</v>
      </c>
      <c r="P970" s="123" t="str">
        <f t="shared" si="316"/>
        <v/>
      </c>
    </row>
    <row r="971" spans="1:16" s="114" customFormat="1" ht="15" x14ac:dyDescent="0.25">
      <c r="A971" s="118"/>
      <c r="B971" s="117"/>
      <c r="C971" s="128"/>
      <c r="D971" s="128"/>
      <c r="E971" s="128"/>
      <c r="F971" s="128"/>
      <c r="G971" s="128"/>
      <c r="H971" s="128"/>
      <c r="I971" s="129">
        <f>LEDP!J79</f>
        <v>0</v>
      </c>
      <c r="J971" s="129"/>
      <c r="K971" s="129"/>
      <c r="L971" s="129"/>
      <c r="M971" s="186"/>
      <c r="N971" s="186"/>
      <c r="O971" s="128"/>
      <c r="P971" s="123" t="str">
        <f t="shared" si="316"/>
        <v/>
      </c>
    </row>
    <row r="972" spans="1:16" s="114" customFormat="1" ht="15" x14ac:dyDescent="0.25">
      <c r="A972" s="118"/>
      <c r="B972" s="117" t="s">
        <v>306</v>
      </c>
      <c r="C972" s="128">
        <f>C970</f>
        <v>3122838</v>
      </c>
      <c r="D972" s="128">
        <f t="shared" ref="D972:O972" si="319">D970</f>
        <v>161537.59</v>
      </c>
      <c r="E972" s="128">
        <f t="shared" si="319"/>
        <v>0</v>
      </c>
      <c r="F972" s="128">
        <f t="shared" si="319"/>
        <v>867209.11999999988</v>
      </c>
      <c r="G972" s="128">
        <f t="shared" si="319"/>
        <v>2255628.88</v>
      </c>
      <c r="H972" s="128">
        <f t="shared" si="319"/>
        <v>794.53</v>
      </c>
      <c r="I972" s="128">
        <f t="shared" si="319"/>
        <v>-747418.82</v>
      </c>
      <c r="J972" s="128">
        <f t="shared" si="319"/>
        <v>2375419.1800000002</v>
      </c>
      <c r="K972" s="128">
        <f t="shared" si="319"/>
        <v>2010211.1537500001</v>
      </c>
      <c r="L972" s="128">
        <f t="shared" si="319"/>
        <v>2145702.9709124998</v>
      </c>
      <c r="M972" s="128">
        <f t="shared" si="319"/>
        <v>0</v>
      </c>
      <c r="N972" s="128">
        <f t="shared" si="319"/>
        <v>0</v>
      </c>
      <c r="O972" s="128">
        <f t="shared" si="319"/>
        <v>2290445.3989507747</v>
      </c>
      <c r="P972" s="123" t="str">
        <f t="shared" si="316"/>
        <v/>
      </c>
    </row>
    <row r="973" spans="1:16" s="114" customFormat="1" ht="15" x14ac:dyDescent="0.25">
      <c r="A973" s="118"/>
      <c r="B973" s="117"/>
      <c r="C973" s="128"/>
      <c r="D973" s="128"/>
      <c r="E973" s="128"/>
      <c r="F973" s="128"/>
      <c r="G973" s="128"/>
      <c r="H973" s="128"/>
      <c r="I973" s="129"/>
      <c r="J973" s="129"/>
      <c r="K973" s="129"/>
      <c r="L973" s="129"/>
      <c r="M973" s="186"/>
      <c r="N973" s="186"/>
      <c r="O973" s="128"/>
      <c r="P973" s="123" t="str">
        <f t="shared" si="316"/>
        <v/>
      </c>
    </row>
    <row r="974" spans="1:16" s="114" customFormat="1" ht="15" x14ac:dyDescent="0.25">
      <c r="A974" s="118"/>
      <c r="B974" s="117" t="s">
        <v>508</v>
      </c>
      <c r="C974" s="128"/>
      <c r="D974" s="128"/>
      <c r="E974" s="128"/>
      <c r="F974" s="128"/>
      <c r="G974" s="128"/>
      <c r="H974" s="128"/>
      <c r="I974" s="129"/>
      <c r="J974" s="129"/>
      <c r="K974" s="129"/>
      <c r="L974" s="129"/>
      <c r="M974" s="186"/>
      <c r="N974" s="186"/>
      <c r="O974" s="128"/>
      <c r="P974" s="123" t="str">
        <f t="shared" si="316"/>
        <v/>
      </c>
    </row>
    <row r="975" spans="1:16" s="114" customFormat="1" ht="15" x14ac:dyDescent="0.25">
      <c r="A975" s="118"/>
      <c r="B975" s="117" t="s">
        <v>9</v>
      </c>
      <c r="C975" s="128"/>
      <c r="D975" s="128"/>
      <c r="E975" s="128"/>
      <c r="F975" s="128"/>
      <c r="G975" s="128"/>
      <c r="H975" s="128"/>
      <c r="I975" s="129"/>
      <c r="J975" s="129"/>
      <c r="K975" s="129"/>
      <c r="L975" s="129"/>
      <c r="M975" s="186"/>
      <c r="N975" s="186"/>
      <c r="O975" s="128"/>
      <c r="P975" s="123" t="str">
        <f t="shared" si="316"/>
        <v/>
      </c>
    </row>
    <row r="976" spans="1:16" x14ac:dyDescent="0.2">
      <c r="A976" s="119"/>
      <c r="B976" s="120"/>
      <c r="C976" s="129"/>
      <c r="D976" s="129"/>
      <c r="E976" s="129"/>
      <c r="F976" s="129"/>
      <c r="G976" s="129"/>
      <c r="H976" s="129"/>
      <c r="I976" s="129"/>
      <c r="J976" s="129"/>
      <c r="K976" s="129"/>
      <c r="L976" s="129"/>
      <c r="O976" s="129"/>
      <c r="P976" s="123" t="str">
        <f t="shared" si="316"/>
        <v/>
      </c>
    </row>
    <row r="977" spans="1:16" s="114" customFormat="1" ht="15" x14ac:dyDescent="0.25">
      <c r="A977" s="118"/>
      <c r="B977" s="117" t="s">
        <v>56</v>
      </c>
      <c r="C977" s="128"/>
      <c r="D977" s="128"/>
      <c r="E977" s="128"/>
      <c r="F977" s="128"/>
      <c r="G977" s="128"/>
      <c r="H977" s="128"/>
      <c r="I977" s="129"/>
      <c r="J977" s="129"/>
      <c r="K977" s="129"/>
      <c r="L977" s="129"/>
      <c r="M977" s="186"/>
      <c r="N977" s="186"/>
      <c r="O977" s="128"/>
      <c r="P977" s="123" t="str">
        <f t="shared" si="316"/>
        <v/>
      </c>
    </row>
    <row r="978" spans="1:16" x14ac:dyDescent="0.2">
      <c r="A978" s="119"/>
      <c r="B978" s="120"/>
      <c r="C978" s="129"/>
      <c r="D978" s="129"/>
      <c r="E978" s="129"/>
      <c r="F978" s="129"/>
      <c r="G978" s="129"/>
      <c r="H978" s="129"/>
      <c r="I978" s="129"/>
      <c r="J978" s="129"/>
      <c r="K978" s="129"/>
      <c r="L978" s="129"/>
      <c r="O978" s="129"/>
      <c r="P978" s="123" t="str">
        <f t="shared" si="316"/>
        <v/>
      </c>
    </row>
    <row r="979" spans="1:16" x14ac:dyDescent="0.2">
      <c r="A979" s="119" t="s">
        <v>509</v>
      </c>
      <c r="B979" s="120" t="s">
        <v>63</v>
      </c>
      <c r="C979" s="129">
        <v>0</v>
      </c>
      <c r="D979" s="129">
        <v>-3359.36</v>
      </c>
      <c r="E979" s="129">
        <v>0</v>
      </c>
      <c r="F979" s="129">
        <v>-23178.240000000002</v>
      </c>
      <c r="G979" s="129">
        <v>23178.240000000002</v>
      </c>
      <c r="H979" s="129">
        <v>0</v>
      </c>
      <c r="I979" s="129">
        <f>LEDP!J87</f>
        <v>0</v>
      </c>
      <c r="J979" s="129">
        <f>LEDP!K87</f>
        <v>-50000</v>
      </c>
      <c r="K979" s="129">
        <f>LEDP!L87</f>
        <v>-52450</v>
      </c>
      <c r="L979" s="129">
        <f>LEDP!M87</f>
        <v>-54967.6</v>
      </c>
      <c r="O979" s="129">
        <f>LEDP!N87</f>
        <v>-57606.044799999996</v>
      </c>
      <c r="P979" s="123" t="str">
        <f t="shared" si="316"/>
        <v>343</v>
      </c>
    </row>
    <row r="980" spans="1:16" x14ac:dyDescent="0.2">
      <c r="A980" s="119"/>
      <c r="B980" s="120"/>
      <c r="C980" s="129"/>
      <c r="D980" s="129"/>
      <c r="E980" s="129"/>
      <c r="F980" s="129"/>
      <c r="G980" s="129"/>
      <c r="H980" s="129"/>
      <c r="I980" s="129">
        <f>LEDP!J88</f>
        <v>0</v>
      </c>
      <c r="J980" s="129"/>
      <c r="K980" s="129"/>
      <c r="L980" s="129"/>
      <c r="O980" s="129"/>
      <c r="P980" s="123" t="str">
        <f t="shared" si="316"/>
        <v/>
      </c>
    </row>
    <row r="981" spans="1:16" s="114" customFormat="1" ht="15" x14ac:dyDescent="0.25">
      <c r="A981" s="118"/>
      <c r="B981" s="117" t="s">
        <v>64</v>
      </c>
      <c r="C981" s="128">
        <f>SUM(C979:C980)</f>
        <v>0</v>
      </c>
      <c r="D981" s="128">
        <f t="shared" ref="D981:O981" si="320">SUM(D979:D980)</f>
        <v>-3359.36</v>
      </c>
      <c r="E981" s="128">
        <f t="shared" si="320"/>
        <v>0</v>
      </c>
      <c r="F981" s="128">
        <f t="shared" si="320"/>
        <v>-23178.240000000002</v>
      </c>
      <c r="G981" s="128">
        <f t="shared" si="320"/>
        <v>23178.240000000002</v>
      </c>
      <c r="H981" s="128">
        <f t="shared" si="320"/>
        <v>0</v>
      </c>
      <c r="I981" s="128">
        <f t="shared" si="320"/>
        <v>0</v>
      </c>
      <c r="J981" s="128">
        <f t="shared" si="320"/>
        <v>-50000</v>
      </c>
      <c r="K981" s="128">
        <f t="shared" si="320"/>
        <v>-52450</v>
      </c>
      <c r="L981" s="128">
        <f t="shared" si="320"/>
        <v>-54967.6</v>
      </c>
      <c r="M981" s="128">
        <f t="shared" si="320"/>
        <v>0</v>
      </c>
      <c r="N981" s="128">
        <f t="shared" si="320"/>
        <v>0</v>
      </c>
      <c r="O981" s="128">
        <f t="shared" si="320"/>
        <v>-57606.044799999996</v>
      </c>
      <c r="P981" s="123" t="str">
        <f t="shared" si="316"/>
        <v/>
      </c>
    </row>
    <row r="982" spans="1:16" s="114" customFormat="1" ht="15" x14ac:dyDescent="0.25">
      <c r="A982" s="118"/>
      <c r="B982" s="117"/>
      <c r="C982" s="128"/>
      <c r="D982" s="128"/>
      <c r="E982" s="128"/>
      <c r="F982" s="128"/>
      <c r="G982" s="128"/>
      <c r="H982" s="128"/>
      <c r="I982" s="129">
        <f>LEDP!J90</f>
        <v>0</v>
      </c>
      <c r="J982" s="129"/>
      <c r="K982" s="129"/>
      <c r="L982" s="129"/>
      <c r="M982" s="186"/>
      <c r="N982" s="186"/>
      <c r="O982" s="128"/>
      <c r="P982" s="123" t="str">
        <f t="shared" si="316"/>
        <v/>
      </c>
    </row>
    <row r="983" spans="1:16" s="114" customFormat="1" ht="15" x14ac:dyDescent="0.25">
      <c r="A983" s="118"/>
      <c r="B983" s="117" t="s">
        <v>70</v>
      </c>
      <c r="C983" s="128"/>
      <c r="D983" s="128"/>
      <c r="E983" s="128"/>
      <c r="F983" s="128"/>
      <c r="G983" s="128"/>
      <c r="H983" s="128"/>
      <c r="I983" s="129">
        <f>LEDP!J91</f>
        <v>0</v>
      </c>
      <c r="J983" s="129"/>
      <c r="K983" s="129"/>
      <c r="L983" s="129"/>
      <c r="M983" s="186"/>
      <c r="N983" s="186"/>
      <c r="O983" s="128"/>
      <c r="P983" s="123" t="str">
        <f t="shared" si="316"/>
        <v/>
      </c>
    </row>
    <row r="984" spans="1:16" x14ac:dyDescent="0.2">
      <c r="A984" s="119"/>
      <c r="B984" s="120"/>
      <c r="C984" s="129"/>
      <c r="D984" s="129"/>
      <c r="E984" s="129"/>
      <c r="F984" s="129"/>
      <c r="G984" s="129"/>
      <c r="H984" s="129"/>
      <c r="I984" s="129">
        <f>LEDP!J92</f>
        <v>0</v>
      </c>
      <c r="J984" s="129"/>
      <c r="K984" s="129"/>
      <c r="L984" s="129"/>
      <c r="O984" s="129"/>
      <c r="P984" s="123" t="str">
        <f t="shared" si="316"/>
        <v/>
      </c>
    </row>
    <row r="985" spans="1:16" s="114" customFormat="1" ht="15" x14ac:dyDescent="0.25">
      <c r="A985" s="118"/>
      <c r="B985" s="117" t="s">
        <v>81</v>
      </c>
      <c r="C985" s="128"/>
      <c r="D985" s="128"/>
      <c r="E985" s="128"/>
      <c r="F985" s="128"/>
      <c r="G985" s="128"/>
      <c r="H985" s="128"/>
      <c r="I985" s="129">
        <f>LEDP!J93</f>
        <v>0</v>
      </c>
      <c r="J985" s="129"/>
      <c r="K985" s="129"/>
      <c r="L985" s="129"/>
      <c r="M985" s="186"/>
      <c r="N985" s="186"/>
      <c r="O985" s="128"/>
      <c r="P985" s="123" t="str">
        <f t="shared" si="316"/>
        <v/>
      </c>
    </row>
    <row r="986" spans="1:16" x14ac:dyDescent="0.2">
      <c r="A986" s="119"/>
      <c r="B986" s="120"/>
      <c r="C986" s="129"/>
      <c r="D986" s="129"/>
      <c r="E986" s="129"/>
      <c r="F986" s="129"/>
      <c r="G986" s="129"/>
      <c r="H986" s="129"/>
      <c r="I986" s="129">
        <f>LEDP!J94</f>
        <v>0</v>
      </c>
      <c r="J986" s="129"/>
      <c r="K986" s="129"/>
      <c r="L986" s="129"/>
      <c r="O986" s="129"/>
      <c r="P986" s="123" t="str">
        <f t="shared" si="316"/>
        <v/>
      </c>
    </row>
    <row r="987" spans="1:16" x14ac:dyDescent="0.2">
      <c r="A987" s="119" t="s">
        <v>510</v>
      </c>
      <c r="B987" s="120" t="s">
        <v>86</v>
      </c>
      <c r="C987" s="129">
        <v>-10462</v>
      </c>
      <c r="D987" s="129">
        <v>0</v>
      </c>
      <c r="E987" s="129">
        <v>0</v>
      </c>
      <c r="F987" s="129">
        <v>0</v>
      </c>
      <c r="G987" s="129">
        <v>-10462</v>
      </c>
      <c r="H987" s="129">
        <v>0</v>
      </c>
      <c r="I987" s="129">
        <f>LEDP!J95</f>
        <v>0</v>
      </c>
      <c r="J987" s="129">
        <f>LEDP!K95</f>
        <v>-30462</v>
      </c>
      <c r="K987" s="129">
        <f>LEDP!L95</f>
        <v>-31832.79</v>
      </c>
      <c r="L987" s="129">
        <f>LEDP!M95</f>
        <v>-33297.098340000004</v>
      </c>
      <c r="O987" s="129">
        <f>LEDP!N95</f>
        <v>-34828.764863640004</v>
      </c>
      <c r="P987" s="123" t="str">
        <f t="shared" si="316"/>
        <v>424</v>
      </c>
    </row>
    <row r="988" spans="1:16" x14ac:dyDescent="0.2">
      <c r="A988" s="119"/>
      <c r="B988" s="120"/>
      <c r="C988" s="129"/>
      <c r="D988" s="129"/>
      <c r="E988" s="129"/>
      <c r="F988" s="129"/>
      <c r="G988" s="129"/>
      <c r="H988" s="129"/>
      <c r="I988" s="129">
        <f>LEDP!J96</f>
        <v>0</v>
      </c>
      <c r="J988" s="129"/>
      <c r="K988" s="129"/>
      <c r="L988" s="129"/>
      <c r="O988" s="129"/>
      <c r="P988" s="123" t="str">
        <f t="shared" si="316"/>
        <v/>
      </c>
    </row>
    <row r="989" spans="1:16" s="114" customFormat="1" ht="15" x14ac:dyDescent="0.25">
      <c r="A989" s="118"/>
      <c r="B989" s="117" t="s">
        <v>90</v>
      </c>
      <c r="C989" s="128">
        <f>SUM(C987:C988)</f>
        <v>-10462</v>
      </c>
      <c r="D989" s="128">
        <f t="shared" ref="D989:O989" si="321">SUM(D987:D988)</f>
        <v>0</v>
      </c>
      <c r="E989" s="128">
        <f t="shared" si="321"/>
        <v>0</v>
      </c>
      <c r="F989" s="128">
        <f t="shared" si="321"/>
        <v>0</v>
      </c>
      <c r="G989" s="128">
        <f t="shared" si="321"/>
        <v>-10462</v>
      </c>
      <c r="H989" s="128">
        <f t="shared" si="321"/>
        <v>0</v>
      </c>
      <c r="I989" s="128">
        <f t="shared" si="321"/>
        <v>0</v>
      </c>
      <c r="J989" s="128">
        <f t="shared" si="321"/>
        <v>-30462</v>
      </c>
      <c r="K989" s="128">
        <f t="shared" si="321"/>
        <v>-31832.79</v>
      </c>
      <c r="L989" s="128">
        <f t="shared" si="321"/>
        <v>-33297.098340000004</v>
      </c>
      <c r="M989" s="128">
        <f t="shared" si="321"/>
        <v>0</v>
      </c>
      <c r="N989" s="128">
        <f t="shared" si="321"/>
        <v>0</v>
      </c>
      <c r="O989" s="128">
        <f t="shared" si="321"/>
        <v>-34828.764863640004</v>
      </c>
      <c r="P989" s="123" t="str">
        <f t="shared" si="316"/>
        <v/>
      </c>
    </row>
    <row r="990" spans="1:16" s="114" customFormat="1" ht="15" x14ac:dyDescent="0.25">
      <c r="A990" s="118"/>
      <c r="B990" s="117"/>
      <c r="C990" s="128"/>
      <c r="D990" s="128"/>
      <c r="E990" s="128"/>
      <c r="F990" s="128"/>
      <c r="G990" s="128"/>
      <c r="H990" s="128"/>
      <c r="I990" s="129">
        <f>LEDP!J98</f>
        <v>0</v>
      </c>
      <c r="J990" s="129"/>
      <c r="K990" s="129"/>
      <c r="L990" s="129"/>
      <c r="M990" s="186"/>
      <c r="N990" s="186"/>
      <c r="O990" s="128"/>
      <c r="P990" s="123" t="str">
        <f t="shared" si="316"/>
        <v/>
      </c>
    </row>
    <row r="991" spans="1:16" s="114" customFormat="1" ht="15" x14ac:dyDescent="0.25">
      <c r="A991" s="118"/>
      <c r="B991" s="117" t="s">
        <v>95</v>
      </c>
      <c r="C991" s="128">
        <f>C989</f>
        <v>-10462</v>
      </c>
      <c r="D991" s="128">
        <f t="shared" ref="D991:O991" si="322">D989</f>
        <v>0</v>
      </c>
      <c r="E991" s="128">
        <f t="shared" si="322"/>
        <v>0</v>
      </c>
      <c r="F991" s="128">
        <f t="shared" si="322"/>
        <v>0</v>
      </c>
      <c r="G991" s="128">
        <f t="shared" si="322"/>
        <v>-10462</v>
      </c>
      <c r="H991" s="128">
        <f t="shared" si="322"/>
        <v>0</v>
      </c>
      <c r="I991" s="128">
        <f t="shared" si="322"/>
        <v>0</v>
      </c>
      <c r="J991" s="128">
        <f t="shared" si="322"/>
        <v>-30462</v>
      </c>
      <c r="K991" s="128">
        <f t="shared" si="322"/>
        <v>-31832.79</v>
      </c>
      <c r="L991" s="128">
        <f t="shared" si="322"/>
        <v>-33297.098340000004</v>
      </c>
      <c r="M991" s="128">
        <f t="shared" si="322"/>
        <v>0</v>
      </c>
      <c r="N991" s="128">
        <f t="shared" si="322"/>
        <v>0</v>
      </c>
      <c r="O991" s="128">
        <f t="shared" si="322"/>
        <v>-34828.764863640004</v>
      </c>
      <c r="P991" s="123" t="str">
        <f t="shared" si="316"/>
        <v/>
      </c>
    </row>
    <row r="992" spans="1:16" s="114" customFormat="1" ht="15" x14ac:dyDescent="0.25">
      <c r="A992" s="118"/>
      <c r="B992" s="117"/>
      <c r="C992" s="128"/>
      <c r="D992" s="128"/>
      <c r="E992" s="128"/>
      <c r="F992" s="128"/>
      <c r="G992" s="128"/>
      <c r="H992" s="128"/>
      <c r="I992" s="129">
        <f>LEDP!J100</f>
        <v>0</v>
      </c>
      <c r="J992" s="129"/>
      <c r="K992" s="129"/>
      <c r="L992" s="129"/>
      <c r="M992" s="186"/>
      <c r="N992" s="186"/>
      <c r="O992" s="128"/>
      <c r="P992" s="123" t="str">
        <f t="shared" si="316"/>
        <v/>
      </c>
    </row>
    <row r="993" spans="1:16" s="114" customFormat="1" ht="15" x14ac:dyDescent="0.25">
      <c r="A993" s="118"/>
      <c r="B993" s="117" t="s">
        <v>96</v>
      </c>
      <c r="C993" s="128"/>
      <c r="D993" s="128"/>
      <c r="E993" s="128"/>
      <c r="F993" s="128"/>
      <c r="G993" s="128"/>
      <c r="H993" s="128"/>
      <c r="I993" s="129">
        <f>LEDP!J101</f>
        <v>0</v>
      </c>
      <c r="J993" s="129"/>
      <c r="K993" s="129"/>
      <c r="L993" s="129"/>
      <c r="M993" s="186"/>
      <c r="N993" s="186"/>
      <c r="O993" s="128"/>
      <c r="P993" s="123" t="str">
        <f t="shared" si="316"/>
        <v/>
      </c>
    </row>
    <row r="994" spans="1:16" s="114" customFormat="1" ht="15" x14ac:dyDescent="0.25">
      <c r="A994" s="118"/>
      <c r="B994" s="117" t="s">
        <v>97</v>
      </c>
      <c r="C994" s="128"/>
      <c r="D994" s="128"/>
      <c r="E994" s="128"/>
      <c r="F994" s="128"/>
      <c r="G994" s="128"/>
      <c r="H994" s="128"/>
      <c r="I994" s="129">
        <f>LEDP!J102</f>
        <v>0</v>
      </c>
      <c r="J994" s="129"/>
      <c r="K994" s="129"/>
      <c r="L994" s="129"/>
      <c r="M994" s="186"/>
      <c r="N994" s="186"/>
      <c r="O994" s="128"/>
      <c r="P994" s="123" t="str">
        <f t="shared" si="316"/>
        <v/>
      </c>
    </row>
    <row r="995" spans="1:16" s="114" customFormat="1" ht="15" x14ac:dyDescent="0.25">
      <c r="A995" s="118"/>
      <c r="B995" s="117" t="s">
        <v>148</v>
      </c>
      <c r="C995" s="128"/>
      <c r="D995" s="128"/>
      <c r="E995" s="128"/>
      <c r="F995" s="128"/>
      <c r="G995" s="128"/>
      <c r="H995" s="128"/>
      <c r="I995" s="129">
        <f>LEDP!J103</f>
        <v>0</v>
      </c>
      <c r="J995" s="129"/>
      <c r="K995" s="129"/>
      <c r="L995" s="129"/>
      <c r="M995" s="186"/>
      <c r="N995" s="186"/>
      <c r="O995" s="128"/>
      <c r="P995" s="123" t="str">
        <f t="shared" si="316"/>
        <v/>
      </c>
    </row>
    <row r="996" spans="1:16" s="114" customFormat="1" ht="15" x14ac:dyDescent="0.25">
      <c r="A996" s="118"/>
      <c r="B996" s="117" t="s">
        <v>149</v>
      </c>
      <c r="C996" s="128"/>
      <c r="D996" s="128"/>
      <c r="E996" s="128"/>
      <c r="F996" s="128"/>
      <c r="G996" s="128"/>
      <c r="H996" s="128"/>
      <c r="I996" s="129">
        <f>LEDP!J104</f>
        <v>0</v>
      </c>
      <c r="J996" s="129"/>
      <c r="K996" s="129"/>
      <c r="L996" s="129"/>
      <c r="M996" s="186"/>
      <c r="N996" s="186"/>
      <c r="O996" s="128"/>
      <c r="P996" s="123" t="str">
        <f t="shared" si="316"/>
        <v/>
      </c>
    </row>
    <row r="997" spans="1:16" s="114" customFormat="1" ht="15" x14ac:dyDescent="0.25">
      <c r="A997" s="118"/>
      <c r="B997" s="117"/>
      <c r="C997" s="128"/>
      <c r="D997" s="128"/>
      <c r="E997" s="128"/>
      <c r="F997" s="128"/>
      <c r="G997" s="128"/>
      <c r="H997" s="128"/>
      <c r="I997" s="129">
        <f>LEDP!J105</f>
        <v>0</v>
      </c>
      <c r="J997" s="129"/>
      <c r="K997" s="129"/>
      <c r="L997" s="129"/>
      <c r="M997" s="186"/>
      <c r="N997" s="186"/>
      <c r="O997" s="128"/>
      <c r="P997" s="123" t="str">
        <f t="shared" si="316"/>
        <v/>
      </c>
    </row>
    <row r="998" spans="1:16" x14ac:dyDescent="0.2">
      <c r="A998" s="119" t="s">
        <v>511</v>
      </c>
      <c r="B998" s="120" t="s">
        <v>150</v>
      </c>
      <c r="C998" s="129">
        <v>663000</v>
      </c>
      <c r="D998" s="129">
        <v>53253.81</v>
      </c>
      <c r="E998" s="129">
        <v>0</v>
      </c>
      <c r="F998" s="129">
        <v>334522.86</v>
      </c>
      <c r="G998" s="129">
        <v>328477.14</v>
      </c>
      <c r="H998" s="129">
        <v>50.45</v>
      </c>
      <c r="I998" s="129">
        <f>LEDP!J106</f>
        <v>0</v>
      </c>
      <c r="J998" s="129">
        <f>LEDP!K106</f>
        <v>663000</v>
      </c>
      <c r="K998" s="129">
        <f>LEDP!L106</f>
        <v>704437.5</v>
      </c>
      <c r="L998" s="129">
        <f>LEDP!M106</f>
        <v>753748.125</v>
      </c>
      <c r="O998" s="129">
        <f>LEDP!N106</f>
        <v>806510.49375000002</v>
      </c>
      <c r="P998" s="123" t="str">
        <f t="shared" si="316"/>
        <v>110</v>
      </c>
    </row>
    <row r="999" spans="1:16" x14ac:dyDescent="0.2">
      <c r="A999" s="119" t="s">
        <v>512</v>
      </c>
      <c r="B999" s="120" t="s">
        <v>151</v>
      </c>
      <c r="C999" s="129">
        <v>29299</v>
      </c>
      <c r="D999" s="129">
        <v>8467.09</v>
      </c>
      <c r="E999" s="129">
        <v>0</v>
      </c>
      <c r="F999" s="129">
        <v>8467.09</v>
      </c>
      <c r="G999" s="129">
        <v>20831.91</v>
      </c>
      <c r="H999" s="129">
        <v>28.89</v>
      </c>
      <c r="I999" s="129">
        <f>LEDP!J107</f>
        <v>-20831.909999999996</v>
      </c>
      <c r="J999" s="129">
        <f>LEDP!K107</f>
        <v>8467.0900000000038</v>
      </c>
      <c r="K999" s="129">
        <f>LEDP!L107</f>
        <v>8996.2831250000036</v>
      </c>
      <c r="L999" s="129">
        <f>LEDP!M107</f>
        <v>9626.0229437500038</v>
      </c>
      <c r="O999" s="129">
        <f>LEDP!N107</f>
        <v>10299.844549812504</v>
      </c>
      <c r="P999" s="123" t="str">
        <f t="shared" si="316"/>
        <v>110</v>
      </c>
    </row>
    <row r="1000" spans="1:16" x14ac:dyDescent="0.2">
      <c r="A1000" s="119" t="s">
        <v>513</v>
      </c>
      <c r="B1000" s="120" t="s">
        <v>152</v>
      </c>
      <c r="C1000" s="129">
        <v>24000</v>
      </c>
      <c r="D1000" s="129">
        <v>2000</v>
      </c>
      <c r="E1000" s="129">
        <v>0</v>
      </c>
      <c r="F1000" s="129">
        <v>12000</v>
      </c>
      <c r="G1000" s="129">
        <v>12000</v>
      </c>
      <c r="H1000" s="129">
        <v>50</v>
      </c>
      <c r="I1000" s="129">
        <f>LEDP!J108</f>
        <v>0</v>
      </c>
      <c r="J1000" s="129">
        <f>LEDP!K108</f>
        <v>24000</v>
      </c>
      <c r="K1000" s="129">
        <f>LEDP!L108</f>
        <v>25500</v>
      </c>
      <c r="L1000" s="129">
        <f>LEDP!M108</f>
        <v>27285</v>
      </c>
      <c r="O1000" s="129">
        <f>LEDP!N108</f>
        <v>29194.95</v>
      </c>
      <c r="P1000" s="123" t="str">
        <f t="shared" si="316"/>
        <v>110</v>
      </c>
    </row>
    <row r="1001" spans="1:16" x14ac:dyDescent="0.2">
      <c r="A1001" s="119" t="s">
        <v>514</v>
      </c>
      <c r="B1001" s="120" t="s">
        <v>153</v>
      </c>
      <c r="C1001" s="129">
        <v>10893</v>
      </c>
      <c r="D1001" s="129">
        <v>0</v>
      </c>
      <c r="E1001" s="129">
        <v>0</v>
      </c>
      <c r="F1001" s="129">
        <v>0</v>
      </c>
      <c r="G1001" s="129">
        <v>10893</v>
      </c>
      <c r="H1001" s="129">
        <v>0</v>
      </c>
      <c r="I1001" s="129">
        <f>LEDP!J109</f>
        <v>0</v>
      </c>
      <c r="J1001" s="129">
        <f>LEDP!K109</f>
        <v>10893</v>
      </c>
      <c r="K1001" s="129">
        <f>LEDP!L109</f>
        <v>11573.8125</v>
      </c>
      <c r="L1001" s="129">
        <f>LEDP!M109</f>
        <v>12383.979375000001</v>
      </c>
      <c r="O1001" s="129">
        <f>LEDP!N109</f>
        <v>13250.857931250001</v>
      </c>
      <c r="P1001" s="123" t="str">
        <f t="shared" si="316"/>
        <v>110</v>
      </c>
    </row>
    <row r="1002" spans="1:16" x14ac:dyDescent="0.2">
      <c r="A1002" s="119" t="s">
        <v>515</v>
      </c>
      <c r="B1002" s="120" t="s">
        <v>155</v>
      </c>
      <c r="C1002" s="129">
        <v>20806</v>
      </c>
      <c r="D1002" s="129">
        <v>0</v>
      </c>
      <c r="E1002" s="129">
        <v>0</v>
      </c>
      <c r="F1002" s="129">
        <v>0</v>
      </c>
      <c r="G1002" s="129">
        <v>20806</v>
      </c>
      <c r="H1002" s="129">
        <v>0</v>
      </c>
      <c r="I1002" s="129">
        <f>LEDP!J110</f>
        <v>101194</v>
      </c>
      <c r="J1002" s="129">
        <f>LEDP!K110</f>
        <v>122000</v>
      </c>
      <c r="K1002" s="129">
        <f>LEDP!L110</f>
        <v>129625</v>
      </c>
      <c r="L1002" s="129">
        <f>LEDP!M110</f>
        <v>138698.75</v>
      </c>
      <c r="O1002" s="129">
        <f>LEDP!N110</f>
        <v>148407.66250000001</v>
      </c>
      <c r="P1002" s="123" t="str">
        <f t="shared" si="316"/>
        <v>110</v>
      </c>
    </row>
    <row r="1003" spans="1:16" x14ac:dyDescent="0.2">
      <c r="A1003" s="119" t="s">
        <v>516</v>
      </c>
      <c r="B1003" s="120" t="s">
        <v>156</v>
      </c>
      <c r="C1003" s="129">
        <v>156750</v>
      </c>
      <c r="D1003" s="129">
        <v>13313.45</v>
      </c>
      <c r="E1003" s="129">
        <v>0</v>
      </c>
      <c r="F1003" s="129">
        <v>79880.7</v>
      </c>
      <c r="G1003" s="129">
        <v>76869.3</v>
      </c>
      <c r="H1003" s="129">
        <v>50.96</v>
      </c>
      <c r="I1003" s="129">
        <f>LEDP!J111</f>
        <v>0</v>
      </c>
      <c r="J1003" s="129">
        <f>LEDP!K111</f>
        <v>156750</v>
      </c>
      <c r="K1003" s="129">
        <f>LEDP!L111</f>
        <v>166546.875</v>
      </c>
      <c r="L1003" s="129">
        <f>LEDP!M111</f>
        <v>178205.15625</v>
      </c>
      <c r="O1003" s="129">
        <f>LEDP!N111</f>
        <v>190679.51718749999</v>
      </c>
      <c r="P1003" s="123" t="str">
        <f t="shared" si="316"/>
        <v>110</v>
      </c>
    </row>
    <row r="1004" spans="1:16" x14ac:dyDescent="0.2">
      <c r="A1004" s="119" t="s">
        <v>517</v>
      </c>
      <c r="B1004" s="120" t="s">
        <v>158</v>
      </c>
      <c r="C1004" s="129">
        <v>12657</v>
      </c>
      <c r="D1004" s="129">
        <v>0</v>
      </c>
      <c r="E1004" s="129">
        <v>0</v>
      </c>
      <c r="F1004" s="129">
        <v>0</v>
      </c>
      <c r="G1004" s="129">
        <v>12657</v>
      </c>
      <c r="H1004" s="129">
        <v>0</v>
      </c>
      <c r="I1004" s="129">
        <f>LEDP!J112</f>
        <v>-12657</v>
      </c>
      <c r="J1004" s="129">
        <f>LEDP!K112</f>
        <v>0</v>
      </c>
      <c r="K1004" s="129">
        <f>LEDP!L112</f>
        <v>0</v>
      </c>
      <c r="L1004" s="129">
        <f>LEDP!M112</f>
        <v>0</v>
      </c>
      <c r="O1004" s="129">
        <f>LEDP!N112</f>
        <v>0</v>
      </c>
      <c r="P1004" s="123" t="str">
        <f t="shared" si="316"/>
        <v>110</v>
      </c>
    </row>
    <row r="1005" spans="1:16" x14ac:dyDescent="0.2">
      <c r="A1005" s="119" t="s">
        <v>518</v>
      </c>
      <c r="B1005" s="120" t="s">
        <v>159</v>
      </c>
      <c r="C1005" s="129">
        <v>52250</v>
      </c>
      <c r="D1005" s="129">
        <v>0</v>
      </c>
      <c r="E1005" s="129">
        <v>0</v>
      </c>
      <c r="F1005" s="129">
        <v>0</v>
      </c>
      <c r="G1005" s="129">
        <v>52250</v>
      </c>
      <c r="H1005" s="129">
        <v>0</v>
      </c>
      <c r="I1005" s="129">
        <f>LEDP!J113</f>
        <v>0</v>
      </c>
      <c r="J1005" s="129">
        <f>LEDP!K113</f>
        <v>52250</v>
      </c>
      <c r="K1005" s="129">
        <f>LEDP!L113</f>
        <v>55515.625</v>
      </c>
      <c r="L1005" s="129">
        <f>LEDP!M113</f>
        <v>59401.71875</v>
      </c>
      <c r="O1005" s="129">
        <f>LEDP!N113</f>
        <v>63559.839062500003</v>
      </c>
      <c r="P1005" s="123" t="str">
        <f t="shared" si="316"/>
        <v>110</v>
      </c>
    </row>
    <row r="1006" spans="1:16" x14ac:dyDescent="0.2">
      <c r="A1006" s="119" t="s">
        <v>519</v>
      </c>
      <c r="B1006" s="120" t="s">
        <v>164</v>
      </c>
      <c r="C1006" s="129">
        <v>15692</v>
      </c>
      <c r="D1006" s="129">
        <v>1307.7</v>
      </c>
      <c r="E1006" s="129">
        <v>0</v>
      </c>
      <c r="F1006" s="129">
        <v>7846.2</v>
      </c>
      <c r="G1006" s="129">
        <v>7845.8</v>
      </c>
      <c r="H1006" s="129">
        <v>50</v>
      </c>
      <c r="I1006" s="129">
        <f>LEDP!J114</f>
        <v>0</v>
      </c>
      <c r="J1006" s="129">
        <f>LEDP!K114</f>
        <v>15692</v>
      </c>
      <c r="K1006" s="129">
        <f>LEDP!L114</f>
        <v>16672.75</v>
      </c>
      <c r="L1006" s="129">
        <f>LEDP!M114</f>
        <v>17839.842499999999</v>
      </c>
      <c r="O1006" s="129">
        <f>LEDP!N114</f>
        <v>19088.631474999998</v>
      </c>
      <c r="P1006" s="123" t="str">
        <f t="shared" si="316"/>
        <v>110</v>
      </c>
    </row>
    <row r="1007" spans="1:16" x14ac:dyDescent="0.2">
      <c r="A1007" s="119"/>
      <c r="B1007" s="120"/>
      <c r="C1007" s="129"/>
      <c r="D1007" s="129"/>
      <c r="E1007" s="129"/>
      <c r="F1007" s="129"/>
      <c r="G1007" s="129"/>
      <c r="H1007" s="129"/>
      <c r="I1007" s="129">
        <f>LEDP!J115</f>
        <v>0</v>
      </c>
      <c r="J1007" s="129"/>
      <c r="K1007" s="129"/>
      <c r="O1007" s="129"/>
      <c r="P1007" s="123" t="str">
        <f t="shared" si="316"/>
        <v/>
      </c>
    </row>
    <row r="1008" spans="1:16" s="114" customFormat="1" ht="15" x14ac:dyDescent="0.25">
      <c r="A1008" s="118"/>
      <c r="B1008" s="117" t="s">
        <v>165</v>
      </c>
      <c r="C1008" s="128">
        <f>SUM(C998:C1007)</f>
        <v>985347</v>
      </c>
      <c r="D1008" s="128">
        <f t="shared" ref="D1008:O1008" si="323">SUM(D998:D1007)</f>
        <v>78342.049999999988</v>
      </c>
      <c r="E1008" s="128">
        <f t="shared" si="323"/>
        <v>0</v>
      </c>
      <c r="F1008" s="128">
        <f t="shared" si="323"/>
        <v>442716.85000000003</v>
      </c>
      <c r="G1008" s="128">
        <f t="shared" si="323"/>
        <v>542630.15</v>
      </c>
      <c r="H1008" s="128">
        <f t="shared" si="323"/>
        <v>230.3</v>
      </c>
      <c r="I1008" s="128">
        <f t="shared" si="323"/>
        <v>67705.09</v>
      </c>
      <c r="J1008" s="128">
        <f t="shared" si="323"/>
        <v>1053052.0899999999</v>
      </c>
      <c r="K1008" s="128">
        <f t="shared" si="323"/>
        <v>1118867.8456250001</v>
      </c>
      <c r="L1008" s="215">
        <f t="shared" si="323"/>
        <v>1197188.5948187502</v>
      </c>
      <c r="M1008" s="128">
        <f t="shared" si="323"/>
        <v>0</v>
      </c>
      <c r="N1008" s="128">
        <f t="shared" si="323"/>
        <v>0</v>
      </c>
      <c r="O1008" s="128">
        <f t="shared" si="323"/>
        <v>1280991.7964560625</v>
      </c>
      <c r="P1008" s="123" t="str">
        <f t="shared" si="316"/>
        <v/>
      </c>
    </row>
    <row r="1009" spans="1:16" s="114" customFormat="1" ht="15" x14ac:dyDescent="0.25">
      <c r="A1009" s="118"/>
      <c r="B1009" s="117"/>
      <c r="C1009" s="128"/>
      <c r="D1009" s="128"/>
      <c r="E1009" s="128"/>
      <c r="F1009" s="128"/>
      <c r="G1009" s="128"/>
      <c r="H1009" s="128"/>
      <c r="I1009" s="129">
        <f>LEDP!J117</f>
        <v>0</v>
      </c>
      <c r="J1009" s="129"/>
      <c r="K1009" s="128"/>
      <c r="L1009" s="186"/>
      <c r="M1009" s="186"/>
      <c r="N1009" s="186"/>
      <c r="O1009" s="128"/>
      <c r="P1009" s="123" t="str">
        <f t="shared" si="316"/>
        <v/>
      </c>
    </row>
    <row r="1010" spans="1:16" s="114" customFormat="1" ht="15" x14ac:dyDescent="0.25">
      <c r="A1010" s="118"/>
      <c r="B1010" s="117" t="s">
        <v>166</v>
      </c>
      <c r="C1010" s="128"/>
      <c r="D1010" s="128"/>
      <c r="E1010" s="128"/>
      <c r="F1010" s="128"/>
      <c r="G1010" s="128"/>
      <c r="H1010" s="128"/>
      <c r="I1010" s="129">
        <f>LEDP!J118</f>
        <v>0</v>
      </c>
      <c r="J1010" s="129"/>
      <c r="K1010" s="129"/>
      <c r="L1010" s="213"/>
      <c r="M1010" s="186"/>
      <c r="N1010" s="186"/>
      <c r="O1010" s="128"/>
      <c r="P1010" s="123" t="str">
        <f t="shared" si="316"/>
        <v/>
      </c>
    </row>
    <row r="1011" spans="1:16" x14ac:dyDescent="0.2">
      <c r="A1011" s="119"/>
      <c r="B1011" s="120"/>
      <c r="C1011" s="129"/>
      <c r="D1011" s="129"/>
      <c r="E1011" s="129"/>
      <c r="F1011" s="129"/>
      <c r="G1011" s="129"/>
      <c r="H1011" s="129"/>
      <c r="I1011" s="129">
        <f>LEDP!J119</f>
        <v>0</v>
      </c>
      <c r="J1011" s="129"/>
      <c r="K1011" s="129"/>
      <c r="L1011" s="129"/>
      <c r="O1011" s="129"/>
      <c r="P1011" s="123" t="str">
        <f t="shared" si="316"/>
        <v/>
      </c>
    </row>
    <row r="1012" spans="1:16" x14ac:dyDescent="0.2">
      <c r="A1012" s="119" t="s">
        <v>520</v>
      </c>
      <c r="B1012" s="120" t="s">
        <v>167</v>
      </c>
      <c r="C1012" s="129">
        <v>112</v>
      </c>
      <c r="D1012" s="129">
        <v>9.32</v>
      </c>
      <c r="E1012" s="129">
        <v>0</v>
      </c>
      <c r="F1012" s="129">
        <v>55.92</v>
      </c>
      <c r="G1012" s="129">
        <v>56.08</v>
      </c>
      <c r="H1012" s="129">
        <v>49.92</v>
      </c>
      <c r="I1012" s="129">
        <f>LEDP!J120</f>
        <v>0</v>
      </c>
      <c r="J1012" s="129">
        <f>LEDP!K120</f>
        <v>112</v>
      </c>
      <c r="K1012" s="129">
        <f>LEDP!L120</f>
        <v>119</v>
      </c>
      <c r="L1012" s="129">
        <f>LEDP!M120</f>
        <v>127.33</v>
      </c>
      <c r="O1012" s="129">
        <f>LEDP!N120</f>
        <v>136.2431</v>
      </c>
      <c r="P1012" s="123" t="str">
        <f t="shared" si="316"/>
        <v>130</v>
      </c>
    </row>
    <row r="1013" spans="1:16" x14ac:dyDescent="0.2">
      <c r="A1013" s="119" t="s">
        <v>521</v>
      </c>
      <c r="B1013" s="120" t="s">
        <v>168</v>
      </c>
      <c r="C1013" s="129">
        <v>53908</v>
      </c>
      <c r="D1013" s="129">
        <v>4492.3500000000004</v>
      </c>
      <c r="E1013" s="129">
        <v>0</v>
      </c>
      <c r="F1013" s="129">
        <v>26954.1</v>
      </c>
      <c r="G1013" s="129">
        <v>26953.9</v>
      </c>
      <c r="H1013" s="129">
        <v>50</v>
      </c>
      <c r="I1013" s="129">
        <f>LEDP!J121</f>
        <v>0</v>
      </c>
      <c r="J1013" s="129">
        <f>LEDP!K121</f>
        <v>53908</v>
      </c>
      <c r="K1013" s="129">
        <f>LEDP!L121</f>
        <v>57277.25</v>
      </c>
      <c r="L1013" s="129">
        <f>LEDP!M121</f>
        <v>61286.657500000001</v>
      </c>
      <c r="O1013" s="129">
        <f>LEDP!N121</f>
        <v>65576.723525000009</v>
      </c>
      <c r="P1013" s="123" t="str">
        <f t="shared" si="316"/>
        <v>130</v>
      </c>
    </row>
    <row r="1014" spans="1:16" x14ac:dyDescent="0.2">
      <c r="A1014" s="119" t="s">
        <v>522</v>
      </c>
      <c r="B1014" s="120" t="s">
        <v>169</v>
      </c>
      <c r="C1014" s="129">
        <v>137940</v>
      </c>
      <c r="D1014" s="129">
        <v>11715.84</v>
      </c>
      <c r="E1014" s="129">
        <v>0</v>
      </c>
      <c r="F1014" s="129">
        <v>70295.039999999994</v>
      </c>
      <c r="G1014" s="129">
        <v>67644.960000000006</v>
      </c>
      <c r="H1014" s="129">
        <v>50.96</v>
      </c>
      <c r="I1014" s="129">
        <f>LEDP!J122</f>
        <v>0</v>
      </c>
      <c r="J1014" s="129">
        <f>LEDP!K122</f>
        <v>137940</v>
      </c>
      <c r="K1014" s="129">
        <f>LEDP!L122</f>
        <v>146561.25</v>
      </c>
      <c r="L1014" s="129">
        <f>LEDP!M122</f>
        <v>156820.53750000001</v>
      </c>
      <c r="O1014" s="129">
        <f>LEDP!N122</f>
        <v>167797.975125</v>
      </c>
      <c r="P1014" s="123" t="str">
        <f t="shared" si="316"/>
        <v>130</v>
      </c>
    </row>
    <row r="1015" spans="1:16" x14ac:dyDescent="0.2">
      <c r="A1015" s="119" t="s">
        <v>523</v>
      </c>
      <c r="B1015" s="120" t="s">
        <v>170</v>
      </c>
      <c r="C1015" s="129">
        <v>3570</v>
      </c>
      <c r="D1015" s="129">
        <v>148.72</v>
      </c>
      <c r="E1015" s="129">
        <v>0</v>
      </c>
      <c r="F1015" s="129">
        <v>1042.32</v>
      </c>
      <c r="G1015" s="129">
        <v>2527.6799999999998</v>
      </c>
      <c r="H1015" s="129">
        <v>29.19</v>
      </c>
      <c r="I1015" s="129">
        <f>LEDP!J123</f>
        <v>0</v>
      </c>
      <c r="J1015" s="129">
        <f>LEDP!K123</f>
        <v>3570</v>
      </c>
      <c r="K1015" s="129">
        <f>LEDP!L123</f>
        <v>3793.125</v>
      </c>
      <c r="L1015" s="129">
        <f>LEDP!M123</f>
        <v>4058.6437500000002</v>
      </c>
      <c r="O1015" s="129">
        <f>LEDP!N123</f>
        <v>4342.7488125</v>
      </c>
      <c r="P1015" s="123" t="str">
        <f t="shared" si="316"/>
        <v>130</v>
      </c>
    </row>
    <row r="1016" spans="1:16" x14ac:dyDescent="0.2">
      <c r="A1016" s="119"/>
      <c r="B1016" s="120"/>
      <c r="C1016" s="129"/>
      <c r="D1016" s="129"/>
      <c r="E1016" s="129"/>
      <c r="F1016" s="129"/>
      <c r="G1016" s="129"/>
      <c r="H1016" s="129"/>
      <c r="I1016" s="129">
        <f>LEDP!J124</f>
        <v>0</v>
      </c>
      <c r="J1016" s="129"/>
      <c r="K1016" s="129"/>
      <c r="L1016" s="129"/>
      <c r="O1016" s="129"/>
      <c r="P1016" s="123" t="str">
        <f t="shared" si="316"/>
        <v/>
      </c>
    </row>
    <row r="1017" spans="1:16" s="114" customFormat="1" ht="15" x14ac:dyDescent="0.25">
      <c r="A1017" s="118"/>
      <c r="B1017" s="117" t="s">
        <v>171</v>
      </c>
      <c r="C1017" s="128">
        <f>SUM(C1012:C1016)</f>
        <v>195530</v>
      </c>
      <c r="D1017" s="128">
        <f t="shared" ref="D1017:O1017" si="324">SUM(D1012:D1016)</f>
        <v>16366.23</v>
      </c>
      <c r="E1017" s="128">
        <f t="shared" si="324"/>
        <v>0</v>
      </c>
      <c r="F1017" s="128">
        <f t="shared" si="324"/>
        <v>98347.38</v>
      </c>
      <c r="G1017" s="128">
        <f t="shared" si="324"/>
        <v>97182.62</v>
      </c>
      <c r="H1017" s="128">
        <f t="shared" si="324"/>
        <v>180.07</v>
      </c>
      <c r="I1017" s="128">
        <f t="shared" si="324"/>
        <v>0</v>
      </c>
      <c r="J1017" s="128">
        <f t="shared" si="324"/>
        <v>195530</v>
      </c>
      <c r="K1017" s="128">
        <f t="shared" si="324"/>
        <v>207750.625</v>
      </c>
      <c r="L1017" s="128">
        <f t="shared" si="324"/>
        <v>222293.16875000001</v>
      </c>
      <c r="M1017" s="128">
        <f t="shared" si="324"/>
        <v>0</v>
      </c>
      <c r="N1017" s="128">
        <f t="shared" si="324"/>
        <v>0</v>
      </c>
      <c r="O1017" s="128">
        <f t="shared" si="324"/>
        <v>237853.69056250001</v>
      </c>
      <c r="P1017" s="123" t="str">
        <f t="shared" si="316"/>
        <v/>
      </c>
    </row>
    <row r="1018" spans="1:16" s="114" customFormat="1" ht="15" x14ac:dyDescent="0.25">
      <c r="A1018" s="118"/>
      <c r="B1018" s="117"/>
      <c r="C1018" s="128"/>
      <c r="D1018" s="128"/>
      <c r="E1018" s="128"/>
      <c r="F1018" s="128"/>
      <c r="G1018" s="128"/>
      <c r="H1018" s="128"/>
      <c r="I1018" s="129">
        <f>LEDP!J126</f>
        <v>0</v>
      </c>
      <c r="J1018" s="129"/>
      <c r="K1018" s="129"/>
      <c r="L1018" s="129"/>
      <c r="M1018" s="186"/>
      <c r="N1018" s="186"/>
      <c r="O1018" s="128"/>
      <c r="P1018" s="123" t="str">
        <f t="shared" si="316"/>
        <v/>
      </c>
    </row>
    <row r="1019" spans="1:16" s="114" customFormat="1" ht="15" x14ac:dyDescent="0.25">
      <c r="A1019" s="118"/>
      <c r="B1019" s="117" t="s">
        <v>172</v>
      </c>
      <c r="C1019" s="128"/>
      <c r="D1019" s="128"/>
      <c r="E1019" s="128"/>
      <c r="F1019" s="128"/>
      <c r="G1019" s="128"/>
      <c r="H1019" s="128"/>
      <c r="I1019" s="129">
        <f>LEDP!J127</f>
        <v>0</v>
      </c>
      <c r="J1019" s="129"/>
      <c r="K1019" s="129"/>
      <c r="L1019" s="129"/>
      <c r="M1019" s="186"/>
      <c r="N1019" s="186"/>
      <c r="O1019" s="128"/>
      <c r="P1019" s="123" t="str">
        <f t="shared" si="316"/>
        <v/>
      </c>
    </row>
    <row r="1020" spans="1:16" x14ac:dyDescent="0.2">
      <c r="A1020" s="119"/>
      <c r="B1020" s="120"/>
      <c r="C1020" s="129"/>
      <c r="D1020" s="129"/>
      <c r="E1020" s="129"/>
      <c r="F1020" s="129"/>
      <c r="G1020" s="129"/>
      <c r="H1020" s="129"/>
      <c r="I1020" s="129">
        <f>LEDP!J128</f>
        <v>0</v>
      </c>
      <c r="J1020" s="129"/>
      <c r="K1020" s="129"/>
      <c r="L1020" s="129"/>
      <c r="O1020" s="129"/>
      <c r="P1020" s="123" t="str">
        <f t="shared" si="316"/>
        <v/>
      </c>
    </row>
    <row r="1021" spans="1:16" x14ac:dyDescent="0.2">
      <c r="A1021" s="119" t="s">
        <v>524</v>
      </c>
      <c r="B1021" s="120" t="s">
        <v>173</v>
      </c>
      <c r="C1021" s="129">
        <v>5543</v>
      </c>
      <c r="D1021" s="129">
        <v>0</v>
      </c>
      <c r="E1021" s="129">
        <v>0</v>
      </c>
      <c r="F1021" s="129">
        <v>0</v>
      </c>
      <c r="G1021" s="129">
        <v>5543</v>
      </c>
      <c r="H1021" s="129">
        <v>0</v>
      </c>
      <c r="I1021" s="129">
        <f>LEDP!J129</f>
        <v>0</v>
      </c>
      <c r="J1021" s="129">
        <f>LEDP!K129</f>
        <v>5543</v>
      </c>
      <c r="K1021" s="129">
        <f>LEDP!L129</f>
        <v>5889.4375</v>
      </c>
      <c r="L1021" s="129">
        <f>LEDP!M129</f>
        <v>6301.6981249999999</v>
      </c>
      <c r="O1021" s="129">
        <f>LEDP!N129</f>
        <v>6742.8169937499997</v>
      </c>
      <c r="P1021" s="123" t="str">
        <f t="shared" si="316"/>
        <v>140</v>
      </c>
    </row>
    <row r="1022" spans="1:16" x14ac:dyDescent="0.2">
      <c r="A1022" s="119" t="s">
        <v>525</v>
      </c>
      <c r="B1022" s="120" t="s">
        <v>174</v>
      </c>
      <c r="C1022" s="129">
        <v>8283</v>
      </c>
      <c r="D1022" s="129">
        <v>0</v>
      </c>
      <c r="E1022" s="129">
        <v>0</v>
      </c>
      <c r="F1022" s="129">
        <v>0</v>
      </c>
      <c r="G1022" s="129">
        <v>8283</v>
      </c>
      <c r="H1022" s="129">
        <v>0</v>
      </c>
      <c r="I1022" s="129">
        <f>LEDP!J130</f>
        <v>0</v>
      </c>
      <c r="J1022" s="129">
        <f>LEDP!K130</f>
        <v>8283</v>
      </c>
      <c r="K1022" s="129">
        <f>LEDP!L130</f>
        <v>8800.6875</v>
      </c>
      <c r="L1022" s="129">
        <f>LEDP!M130</f>
        <v>9416.7356249999993</v>
      </c>
      <c r="O1022" s="129">
        <f>LEDP!N130</f>
        <v>10075.907118749999</v>
      </c>
      <c r="P1022" s="123" t="str">
        <f t="shared" si="316"/>
        <v>140</v>
      </c>
    </row>
    <row r="1023" spans="1:16" x14ac:dyDescent="0.2">
      <c r="A1023" s="119" t="s">
        <v>526</v>
      </c>
      <c r="B1023" s="120" t="s">
        <v>175</v>
      </c>
      <c r="C1023" s="129">
        <v>10931</v>
      </c>
      <c r="D1023" s="129">
        <v>0</v>
      </c>
      <c r="E1023" s="129">
        <v>0</v>
      </c>
      <c r="F1023" s="129">
        <v>0</v>
      </c>
      <c r="G1023" s="129">
        <v>10931</v>
      </c>
      <c r="H1023" s="129">
        <v>0</v>
      </c>
      <c r="I1023" s="129">
        <f>LEDP!J131</f>
        <v>0</v>
      </c>
      <c r="J1023" s="129">
        <f>LEDP!K131</f>
        <v>10931</v>
      </c>
      <c r="K1023" s="129">
        <f>LEDP!L131</f>
        <v>11614.1875</v>
      </c>
      <c r="L1023" s="129">
        <f>LEDP!M131</f>
        <v>12427.180625000001</v>
      </c>
      <c r="O1023" s="129">
        <f>LEDP!N131</f>
        <v>13297.083268750001</v>
      </c>
      <c r="P1023" s="123" t="str">
        <f t="shared" si="316"/>
        <v>142</v>
      </c>
    </row>
    <row r="1024" spans="1:16" x14ac:dyDescent="0.2">
      <c r="A1024" s="119"/>
      <c r="B1024" s="120"/>
      <c r="C1024" s="129"/>
      <c r="D1024" s="129"/>
      <c r="E1024" s="129"/>
      <c r="F1024" s="129"/>
      <c r="G1024" s="129"/>
      <c r="H1024" s="129"/>
      <c r="I1024" s="129">
        <f>LEDP!J132</f>
        <v>0</v>
      </c>
      <c r="J1024" s="129"/>
      <c r="K1024" s="129"/>
      <c r="L1024" s="129"/>
      <c r="O1024" s="129"/>
      <c r="P1024" s="123" t="str">
        <f t="shared" si="316"/>
        <v/>
      </c>
    </row>
    <row r="1025" spans="1:16" s="114" customFormat="1" ht="15" x14ac:dyDescent="0.25">
      <c r="A1025" s="118"/>
      <c r="B1025" s="117" t="s">
        <v>176</v>
      </c>
      <c r="C1025" s="128">
        <f>SUM(C1021:C1024)</f>
        <v>24757</v>
      </c>
      <c r="D1025" s="128">
        <f t="shared" ref="D1025:O1025" si="325">SUM(D1021:D1024)</f>
        <v>0</v>
      </c>
      <c r="E1025" s="128">
        <f t="shared" si="325"/>
        <v>0</v>
      </c>
      <c r="F1025" s="128">
        <f t="shared" si="325"/>
        <v>0</v>
      </c>
      <c r="G1025" s="128">
        <f t="shared" si="325"/>
        <v>24757</v>
      </c>
      <c r="H1025" s="128">
        <f t="shared" si="325"/>
        <v>0</v>
      </c>
      <c r="I1025" s="128">
        <f t="shared" si="325"/>
        <v>0</v>
      </c>
      <c r="J1025" s="128">
        <f t="shared" si="325"/>
        <v>24757</v>
      </c>
      <c r="K1025" s="128">
        <f t="shared" si="325"/>
        <v>26304.3125</v>
      </c>
      <c r="L1025" s="128">
        <f t="shared" si="325"/>
        <v>28145.614375000001</v>
      </c>
      <c r="M1025" s="128">
        <f t="shared" si="325"/>
        <v>0</v>
      </c>
      <c r="N1025" s="128">
        <f t="shared" si="325"/>
        <v>0</v>
      </c>
      <c r="O1025" s="128">
        <f t="shared" si="325"/>
        <v>30115.807381250001</v>
      </c>
      <c r="P1025" s="123" t="str">
        <f t="shared" si="316"/>
        <v/>
      </c>
    </row>
    <row r="1026" spans="1:16" s="114" customFormat="1" ht="15" x14ac:dyDescent="0.25">
      <c r="A1026" s="118"/>
      <c r="B1026" s="117"/>
      <c r="C1026" s="128"/>
      <c r="D1026" s="128"/>
      <c r="E1026" s="128"/>
      <c r="F1026" s="128"/>
      <c r="G1026" s="128"/>
      <c r="H1026" s="128"/>
      <c r="I1026" s="129">
        <f>LEDP!J134</f>
        <v>0</v>
      </c>
      <c r="J1026" s="129"/>
      <c r="K1026" s="129"/>
      <c r="L1026" s="129"/>
      <c r="M1026" s="186"/>
      <c r="N1026" s="186"/>
      <c r="O1026" s="128"/>
      <c r="P1026" s="123" t="str">
        <f t="shared" si="316"/>
        <v/>
      </c>
    </row>
    <row r="1027" spans="1:16" s="114" customFormat="1" ht="15" x14ac:dyDescent="0.25">
      <c r="A1027" s="118"/>
      <c r="B1027" s="117" t="s">
        <v>177</v>
      </c>
      <c r="C1027" s="128">
        <f>C1008+C1017+C1025</f>
        <v>1205634</v>
      </c>
      <c r="D1027" s="128">
        <f t="shared" ref="D1027:O1027" si="326">D1008+D1017+D1025</f>
        <v>94708.279999999984</v>
      </c>
      <c r="E1027" s="128">
        <f t="shared" si="326"/>
        <v>0</v>
      </c>
      <c r="F1027" s="128">
        <f t="shared" si="326"/>
        <v>541064.23</v>
      </c>
      <c r="G1027" s="128">
        <f t="shared" si="326"/>
        <v>664569.77</v>
      </c>
      <c r="H1027" s="128">
        <f t="shared" si="326"/>
        <v>410.37</v>
      </c>
      <c r="I1027" s="128">
        <f t="shared" si="326"/>
        <v>67705.09</v>
      </c>
      <c r="J1027" s="128">
        <f t="shared" si="326"/>
        <v>1273339.0899999999</v>
      </c>
      <c r="K1027" s="128">
        <f t="shared" si="326"/>
        <v>1352922.7831250001</v>
      </c>
      <c r="L1027" s="128">
        <f t="shared" si="326"/>
        <v>1447627.37794375</v>
      </c>
      <c r="M1027" s="128">
        <f t="shared" si="326"/>
        <v>0</v>
      </c>
      <c r="N1027" s="128">
        <f t="shared" si="326"/>
        <v>0</v>
      </c>
      <c r="O1027" s="128">
        <f t="shared" si="326"/>
        <v>1548961.2943998124</v>
      </c>
      <c r="P1027" s="123" t="str">
        <f t="shared" si="316"/>
        <v/>
      </c>
    </row>
    <row r="1028" spans="1:16" s="114" customFormat="1" ht="15" x14ac:dyDescent="0.25">
      <c r="A1028" s="118"/>
      <c r="B1028" s="117"/>
      <c r="C1028" s="128"/>
      <c r="D1028" s="128"/>
      <c r="E1028" s="128"/>
      <c r="F1028" s="128"/>
      <c r="G1028" s="128"/>
      <c r="H1028" s="128"/>
      <c r="I1028" s="129">
        <f>LEDP!J136</f>
        <v>0</v>
      </c>
      <c r="J1028" s="129"/>
      <c r="K1028" s="129"/>
      <c r="L1028" s="129"/>
      <c r="M1028" s="186"/>
      <c r="N1028" s="186"/>
      <c r="O1028" s="128"/>
      <c r="P1028" s="123" t="str">
        <f t="shared" si="316"/>
        <v/>
      </c>
    </row>
    <row r="1029" spans="1:16" s="114" customFormat="1" ht="15" x14ac:dyDescent="0.25">
      <c r="A1029" s="118"/>
      <c r="B1029" s="117" t="s">
        <v>178</v>
      </c>
      <c r="C1029" s="128">
        <f>C1027</f>
        <v>1205634</v>
      </c>
      <c r="D1029" s="128">
        <f t="shared" ref="D1029:O1029" si="327">D1027</f>
        <v>94708.279999999984</v>
      </c>
      <c r="E1029" s="128">
        <f t="shared" si="327"/>
        <v>0</v>
      </c>
      <c r="F1029" s="128">
        <f t="shared" si="327"/>
        <v>541064.23</v>
      </c>
      <c r="G1029" s="128">
        <f t="shared" si="327"/>
        <v>664569.77</v>
      </c>
      <c r="H1029" s="128">
        <f t="shared" si="327"/>
        <v>410.37</v>
      </c>
      <c r="I1029" s="128">
        <f t="shared" si="327"/>
        <v>67705.09</v>
      </c>
      <c r="J1029" s="128">
        <f t="shared" si="327"/>
        <v>1273339.0899999999</v>
      </c>
      <c r="K1029" s="128">
        <f t="shared" si="327"/>
        <v>1352922.7831250001</v>
      </c>
      <c r="L1029" s="128">
        <f t="shared" si="327"/>
        <v>1447627.37794375</v>
      </c>
      <c r="M1029" s="128">
        <f t="shared" si="327"/>
        <v>0</v>
      </c>
      <c r="N1029" s="128">
        <f t="shared" si="327"/>
        <v>0</v>
      </c>
      <c r="O1029" s="128">
        <f t="shared" si="327"/>
        <v>1548961.2943998124</v>
      </c>
      <c r="P1029" s="123" t="str">
        <f t="shared" si="316"/>
        <v/>
      </c>
    </row>
    <row r="1030" spans="1:16" s="114" customFormat="1" ht="15" x14ac:dyDescent="0.25">
      <c r="A1030" s="118"/>
      <c r="B1030" s="117"/>
      <c r="C1030" s="128"/>
      <c r="D1030" s="128"/>
      <c r="E1030" s="128"/>
      <c r="F1030" s="128"/>
      <c r="G1030" s="128"/>
      <c r="H1030" s="128"/>
      <c r="I1030" s="129">
        <f>LEDP!J138</f>
        <v>0</v>
      </c>
      <c r="J1030" s="129"/>
      <c r="K1030" s="129"/>
      <c r="L1030" s="129"/>
      <c r="M1030" s="186"/>
      <c r="N1030" s="186"/>
      <c r="O1030" s="128"/>
      <c r="P1030" s="123" t="str">
        <f t="shared" si="316"/>
        <v/>
      </c>
    </row>
    <row r="1031" spans="1:16" s="114" customFormat="1" ht="15" x14ac:dyDescent="0.25">
      <c r="A1031" s="118"/>
      <c r="B1031" s="117" t="s">
        <v>208</v>
      </c>
      <c r="C1031" s="128"/>
      <c r="D1031" s="128"/>
      <c r="E1031" s="128"/>
      <c r="F1031" s="128"/>
      <c r="G1031" s="128"/>
      <c r="H1031" s="128"/>
      <c r="I1031" s="129">
        <f>LEDP!J139</f>
        <v>0</v>
      </c>
      <c r="J1031" s="129"/>
      <c r="K1031" s="129"/>
      <c r="L1031" s="129"/>
      <c r="M1031" s="186"/>
      <c r="N1031" s="186"/>
      <c r="O1031" s="128"/>
      <c r="P1031" s="123" t="str">
        <f t="shared" ref="P1031:P1094" si="328">MID(A1031,6,3)</f>
        <v/>
      </c>
    </row>
    <row r="1032" spans="1:16" s="114" customFormat="1" ht="15" x14ac:dyDescent="0.25">
      <c r="A1032" s="118"/>
      <c r="B1032" s="117"/>
      <c r="C1032" s="128"/>
      <c r="D1032" s="128"/>
      <c r="E1032" s="128"/>
      <c r="F1032" s="128"/>
      <c r="G1032" s="128"/>
      <c r="H1032" s="128"/>
      <c r="I1032" s="129">
        <f>LEDP!J140</f>
        <v>0</v>
      </c>
      <c r="J1032" s="129"/>
      <c r="K1032" s="129"/>
      <c r="L1032" s="129"/>
      <c r="M1032" s="186"/>
      <c r="N1032" s="186"/>
      <c r="O1032" s="128"/>
      <c r="P1032" s="123" t="str">
        <f t="shared" si="328"/>
        <v/>
      </c>
    </row>
    <row r="1033" spans="1:16" s="114" customFormat="1" ht="15" x14ac:dyDescent="0.25">
      <c r="A1033" s="118"/>
      <c r="B1033" s="117" t="s">
        <v>209</v>
      </c>
      <c r="C1033" s="128"/>
      <c r="D1033" s="128"/>
      <c r="E1033" s="128"/>
      <c r="F1033" s="128"/>
      <c r="G1033" s="128"/>
      <c r="H1033" s="128"/>
      <c r="I1033" s="129">
        <f>LEDP!J141</f>
        <v>0</v>
      </c>
      <c r="J1033" s="129"/>
      <c r="K1033" s="129"/>
      <c r="L1033" s="129"/>
      <c r="M1033" s="186"/>
      <c r="N1033" s="186"/>
      <c r="O1033" s="128"/>
      <c r="P1033" s="123" t="str">
        <f t="shared" si="328"/>
        <v/>
      </c>
    </row>
    <row r="1034" spans="1:16" s="114" customFormat="1" ht="15" x14ac:dyDescent="0.25">
      <c r="A1034" s="118"/>
      <c r="B1034" s="117"/>
      <c r="C1034" s="128"/>
      <c r="D1034" s="128"/>
      <c r="E1034" s="128"/>
      <c r="F1034" s="128"/>
      <c r="G1034" s="128"/>
      <c r="H1034" s="128"/>
      <c r="I1034" s="129">
        <f>LEDP!J142</f>
        <v>0</v>
      </c>
      <c r="J1034" s="129"/>
      <c r="K1034" s="129"/>
      <c r="L1034" s="129"/>
      <c r="M1034" s="186"/>
      <c r="N1034" s="186"/>
      <c r="O1034" s="128"/>
      <c r="P1034" s="123" t="str">
        <f t="shared" si="328"/>
        <v/>
      </c>
    </row>
    <row r="1035" spans="1:16" x14ac:dyDescent="0.2">
      <c r="A1035" s="119" t="s">
        <v>527</v>
      </c>
      <c r="B1035" s="120" t="s">
        <v>212</v>
      </c>
      <c r="C1035" s="129">
        <v>802176</v>
      </c>
      <c r="D1035" s="129">
        <v>0</v>
      </c>
      <c r="E1035" s="129">
        <v>32745</v>
      </c>
      <c r="F1035" s="129">
        <v>100692</v>
      </c>
      <c r="G1035" s="129">
        <v>701484</v>
      </c>
      <c r="H1035" s="129">
        <v>12.55</v>
      </c>
      <c r="I1035" s="129">
        <f>LEDP!J143</f>
        <v>-100000</v>
      </c>
      <c r="J1035" s="129">
        <f>LEDP!K143</f>
        <v>702176</v>
      </c>
      <c r="K1035" s="129">
        <f>LEDP!L143</f>
        <v>733773.92</v>
      </c>
      <c r="L1035" s="129">
        <f>LEDP!M143</f>
        <v>767527.52032000001</v>
      </c>
      <c r="O1035" s="129">
        <f>LEDP!N143</f>
        <v>802833.78625472006</v>
      </c>
      <c r="P1035" s="123" t="str">
        <f t="shared" si="328"/>
        <v>260</v>
      </c>
    </row>
    <row r="1036" spans="1:16" x14ac:dyDescent="0.2">
      <c r="A1036" s="119"/>
      <c r="B1036" s="120"/>
      <c r="C1036" s="129"/>
      <c r="D1036" s="129"/>
      <c r="E1036" s="129"/>
      <c r="F1036" s="129"/>
      <c r="G1036" s="129"/>
      <c r="H1036" s="129"/>
      <c r="I1036" s="129">
        <f>LEDP!J144</f>
        <v>0</v>
      </c>
      <c r="J1036" s="129"/>
      <c r="K1036" s="129"/>
      <c r="L1036" s="129"/>
      <c r="O1036" s="129"/>
      <c r="P1036" s="123" t="str">
        <f t="shared" si="328"/>
        <v/>
      </c>
    </row>
    <row r="1037" spans="1:16" s="114" customFormat="1" ht="15" x14ac:dyDescent="0.25">
      <c r="A1037" s="118"/>
      <c r="B1037" s="117" t="s">
        <v>217</v>
      </c>
      <c r="C1037" s="128">
        <f>SUM(C1035:C1036)</f>
        <v>802176</v>
      </c>
      <c r="D1037" s="128">
        <f t="shared" ref="D1037:O1037" si="329">SUM(D1035:D1036)</f>
        <v>0</v>
      </c>
      <c r="E1037" s="128">
        <f t="shared" si="329"/>
        <v>32745</v>
      </c>
      <c r="F1037" s="128">
        <f t="shared" si="329"/>
        <v>100692</v>
      </c>
      <c r="G1037" s="128">
        <f t="shared" si="329"/>
        <v>701484</v>
      </c>
      <c r="H1037" s="128">
        <f t="shared" si="329"/>
        <v>12.55</v>
      </c>
      <c r="I1037" s="128">
        <f t="shared" si="329"/>
        <v>-100000</v>
      </c>
      <c r="J1037" s="128">
        <f t="shared" si="329"/>
        <v>702176</v>
      </c>
      <c r="K1037" s="128">
        <f t="shared" si="329"/>
        <v>733773.92</v>
      </c>
      <c r="L1037" s="128">
        <f t="shared" si="329"/>
        <v>767527.52032000001</v>
      </c>
      <c r="M1037" s="128">
        <f t="shared" si="329"/>
        <v>0</v>
      </c>
      <c r="N1037" s="128">
        <f t="shared" si="329"/>
        <v>0</v>
      </c>
      <c r="O1037" s="128">
        <f t="shared" si="329"/>
        <v>802833.78625472006</v>
      </c>
      <c r="P1037" s="123" t="str">
        <f t="shared" si="328"/>
        <v/>
      </c>
    </row>
    <row r="1038" spans="1:16" s="114" customFormat="1" ht="15" x14ac:dyDescent="0.25">
      <c r="A1038" s="118"/>
      <c r="B1038" s="117"/>
      <c r="C1038" s="128"/>
      <c r="D1038" s="128"/>
      <c r="E1038" s="128"/>
      <c r="F1038" s="128"/>
      <c r="G1038" s="128"/>
      <c r="H1038" s="128"/>
      <c r="I1038" s="129">
        <f>LEDP!J146</f>
        <v>0</v>
      </c>
      <c r="J1038" s="129"/>
      <c r="K1038" s="129"/>
      <c r="L1038" s="129"/>
      <c r="M1038" s="186"/>
      <c r="N1038" s="186"/>
      <c r="O1038" s="128"/>
      <c r="P1038" s="123" t="str">
        <f t="shared" si="328"/>
        <v/>
      </c>
    </row>
    <row r="1039" spans="1:16" s="114" customFormat="1" ht="15" x14ac:dyDescent="0.25">
      <c r="A1039" s="118"/>
      <c r="B1039" s="117" t="s">
        <v>218</v>
      </c>
      <c r="C1039" s="128"/>
      <c r="D1039" s="128"/>
      <c r="E1039" s="128"/>
      <c r="F1039" s="128"/>
      <c r="G1039" s="128"/>
      <c r="H1039" s="128"/>
      <c r="I1039" s="129">
        <f>LEDP!J147</f>
        <v>0</v>
      </c>
      <c r="J1039" s="129"/>
      <c r="K1039" s="129"/>
      <c r="L1039" s="129"/>
      <c r="M1039" s="186"/>
      <c r="N1039" s="186"/>
      <c r="O1039" s="128"/>
      <c r="P1039" s="123" t="str">
        <f t="shared" si="328"/>
        <v/>
      </c>
    </row>
    <row r="1040" spans="1:16" x14ac:dyDescent="0.2">
      <c r="A1040" s="119"/>
      <c r="B1040" s="120"/>
      <c r="C1040" s="129"/>
      <c r="D1040" s="129"/>
      <c r="E1040" s="129"/>
      <c r="F1040" s="129"/>
      <c r="G1040" s="129"/>
      <c r="H1040" s="129"/>
      <c r="I1040" s="129">
        <f>LEDP!J148</f>
        <v>0</v>
      </c>
      <c r="J1040" s="129"/>
      <c r="K1040" s="129"/>
      <c r="L1040" s="129"/>
      <c r="O1040" s="129"/>
      <c r="P1040" s="123" t="str">
        <f t="shared" si="328"/>
        <v/>
      </c>
    </row>
    <row r="1041" spans="1:16" x14ac:dyDescent="0.2">
      <c r="A1041" s="119" t="s">
        <v>528</v>
      </c>
      <c r="B1041" s="120" t="s">
        <v>224</v>
      </c>
      <c r="C1041" s="129">
        <f>LEDP!D149</f>
        <v>1200000</v>
      </c>
      <c r="D1041" s="129">
        <f>LEDP!E149</f>
        <v>0</v>
      </c>
      <c r="E1041" s="129">
        <f>LEDP!F149</f>
        <v>0</v>
      </c>
      <c r="F1041" s="129">
        <f>LEDP!G149</f>
        <v>0</v>
      </c>
      <c r="G1041" s="129">
        <f>LEDP!H149</f>
        <v>928990</v>
      </c>
      <c r="H1041" s="129">
        <f>LEDP!I149</f>
        <v>0</v>
      </c>
      <c r="I1041" s="129">
        <f>LEDP!J149</f>
        <v>-200000</v>
      </c>
      <c r="J1041" s="129">
        <f>LEDP!K149</f>
        <v>1000000</v>
      </c>
      <c r="K1041" s="129">
        <f>LEDP!L149</f>
        <v>0</v>
      </c>
      <c r="L1041" s="129">
        <f>LEDP!M149</f>
        <v>0</v>
      </c>
      <c r="M1041" s="129">
        <f>LEDP!N149</f>
        <v>0</v>
      </c>
      <c r="N1041" s="129">
        <f>LEDP!O149</f>
        <v>0</v>
      </c>
      <c r="O1041" s="129">
        <f>LEDP!P149</f>
        <v>0</v>
      </c>
      <c r="P1041" s="123" t="str">
        <f t="shared" si="328"/>
        <v>272</v>
      </c>
    </row>
    <row r="1042" spans="1:16" x14ac:dyDescent="0.2">
      <c r="A1042" s="119" t="s">
        <v>529</v>
      </c>
      <c r="B1042" s="120" t="s">
        <v>225</v>
      </c>
      <c r="C1042" s="129">
        <f>LEDP!D150</f>
        <v>600000</v>
      </c>
      <c r="D1042" s="129">
        <v>0</v>
      </c>
      <c r="E1042" s="129">
        <v>0</v>
      </c>
      <c r="F1042" s="129">
        <v>0</v>
      </c>
      <c r="G1042" s="129">
        <v>600000</v>
      </c>
      <c r="H1042" s="129">
        <v>0</v>
      </c>
      <c r="I1042" s="129">
        <f>LEDP!J150</f>
        <v>-100000</v>
      </c>
      <c r="J1042" s="129">
        <f>LEDP!K150</f>
        <v>500000</v>
      </c>
      <c r="K1042" s="129">
        <f>LEDP!L150</f>
        <v>0</v>
      </c>
      <c r="L1042" s="129">
        <f>LEDP!M150</f>
        <v>0</v>
      </c>
      <c r="M1042" s="129">
        <f>LEDP!N150</f>
        <v>0</v>
      </c>
      <c r="N1042" s="129">
        <f>LEDP!O150</f>
        <v>0</v>
      </c>
      <c r="O1042" s="129">
        <f>LEDP!P150</f>
        <v>0</v>
      </c>
      <c r="P1042" s="123" t="str">
        <f t="shared" si="328"/>
        <v>272</v>
      </c>
    </row>
    <row r="1043" spans="1:16" x14ac:dyDescent="0.2">
      <c r="A1043" s="119" t="s">
        <v>530</v>
      </c>
      <c r="B1043" s="120" t="s">
        <v>225</v>
      </c>
      <c r="C1043" s="129">
        <f>LEDP!D151</f>
        <v>500000</v>
      </c>
      <c r="D1043" s="129">
        <v>0</v>
      </c>
      <c r="E1043" s="129">
        <v>0</v>
      </c>
      <c r="F1043" s="129">
        <v>78260.87</v>
      </c>
      <c r="G1043" s="129">
        <v>421739.13</v>
      </c>
      <c r="H1043" s="129">
        <v>15.65</v>
      </c>
      <c r="I1043" s="129">
        <f>LEDP!J151</f>
        <v>-15000</v>
      </c>
      <c r="J1043" s="129">
        <f>LEDP!K151</f>
        <v>485000</v>
      </c>
      <c r="K1043" s="129">
        <f>LEDP!L151</f>
        <v>500000</v>
      </c>
      <c r="L1043" s="129">
        <f>LEDP!M151</f>
        <v>0</v>
      </c>
      <c r="M1043" s="129">
        <f>LEDP!N151</f>
        <v>500000</v>
      </c>
      <c r="N1043" s="129">
        <f>LEDP!O151</f>
        <v>0</v>
      </c>
      <c r="O1043" s="129">
        <f>LEDP!N151</f>
        <v>500000</v>
      </c>
      <c r="P1043" s="123" t="str">
        <f t="shared" si="328"/>
        <v>272</v>
      </c>
    </row>
    <row r="1044" spans="1:16" x14ac:dyDescent="0.2">
      <c r="A1044" s="119" t="s">
        <v>531</v>
      </c>
      <c r="B1044" s="120" t="s">
        <v>225</v>
      </c>
      <c r="C1044" s="129">
        <f>LEDP!D152</f>
        <v>80000</v>
      </c>
      <c r="D1044" s="129">
        <v>0</v>
      </c>
      <c r="E1044" s="129">
        <v>5000</v>
      </c>
      <c r="F1044" s="129">
        <v>8000</v>
      </c>
      <c r="G1044" s="129">
        <v>72000</v>
      </c>
      <c r="H1044" s="129">
        <v>10</v>
      </c>
      <c r="I1044" s="129">
        <f>LEDP!J152</f>
        <v>0</v>
      </c>
      <c r="J1044" s="129">
        <f>LEDP!K152</f>
        <v>80000</v>
      </c>
      <c r="K1044" s="129">
        <f>LEDP!L152</f>
        <v>100000</v>
      </c>
      <c r="L1044" s="129">
        <f>LEDP!M152</f>
        <v>0</v>
      </c>
      <c r="O1044" s="129">
        <f>LEDP!N152</f>
        <v>0</v>
      </c>
      <c r="P1044" s="123" t="str">
        <f t="shared" si="328"/>
        <v>272</v>
      </c>
    </row>
    <row r="1045" spans="1:16" x14ac:dyDescent="0.2">
      <c r="A1045" s="119" t="s">
        <v>532</v>
      </c>
      <c r="B1045" s="120" t="s">
        <v>225</v>
      </c>
      <c r="C1045" s="129">
        <f>LEDP!D153</f>
        <v>1000000</v>
      </c>
      <c r="D1045" s="129">
        <v>0</v>
      </c>
      <c r="E1045" s="129">
        <v>0</v>
      </c>
      <c r="F1045" s="129">
        <v>0</v>
      </c>
      <c r="G1045" s="129">
        <v>1000000</v>
      </c>
      <c r="H1045" s="129">
        <v>0</v>
      </c>
      <c r="I1045" s="129">
        <f>LEDP!J153</f>
        <v>-106650</v>
      </c>
      <c r="J1045" s="129">
        <f>LEDP!K153</f>
        <v>893350</v>
      </c>
      <c r="K1045" s="129">
        <f>LEDP!L153</f>
        <v>540000</v>
      </c>
      <c r="L1045" s="129">
        <f>LEDP!M153</f>
        <v>0</v>
      </c>
      <c r="O1045" s="129">
        <f>LEDP!N153</f>
        <v>0</v>
      </c>
      <c r="P1045" s="123" t="str">
        <f t="shared" si="328"/>
        <v>272</v>
      </c>
    </row>
    <row r="1046" spans="1:16" s="218" customFormat="1" x14ac:dyDescent="0.2">
      <c r="A1046" s="216" t="s">
        <v>1339</v>
      </c>
      <c r="B1046" s="217" t="s">
        <v>225</v>
      </c>
      <c r="C1046" s="129">
        <f>LEDP!D154</f>
        <v>0</v>
      </c>
      <c r="D1046" s="129">
        <f>LEDP!E154</f>
        <v>0</v>
      </c>
      <c r="E1046" s="129">
        <f>LEDP!F154</f>
        <v>0</v>
      </c>
      <c r="F1046" s="129">
        <f>LEDP!G154</f>
        <v>0</v>
      </c>
      <c r="G1046" s="129">
        <f>LEDP!H154</f>
        <v>928990</v>
      </c>
      <c r="H1046" s="129">
        <f>LEDP!I154</f>
        <v>0</v>
      </c>
      <c r="I1046" s="129">
        <f>LEDP!J154</f>
        <v>0</v>
      </c>
      <c r="J1046" s="129">
        <f>LEDP!K154</f>
        <v>0</v>
      </c>
      <c r="K1046" s="129">
        <f>LEDP!L154</f>
        <v>0</v>
      </c>
      <c r="L1046" s="129">
        <f>LEDP!M154</f>
        <v>200000</v>
      </c>
      <c r="M1046" s="129">
        <f>LEDP!N154</f>
        <v>200000</v>
      </c>
      <c r="N1046" s="129">
        <f>LEDP!O154</f>
        <v>0</v>
      </c>
      <c r="O1046" s="129">
        <f>LEDP!N154</f>
        <v>200000</v>
      </c>
      <c r="P1046" s="123" t="str">
        <f t="shared" si="328"/>
        <v>272</v>
      </c>
    </row>
    <row r="1047" spans="1:16" x14ac:dyDescent="0.2">
      <c r="A1047" s="255" t="s">
        <v>2746</v>
      </c>
      <c r="B1047" s="120" t="s">
        <v>1340</v>
      </c>
      <c r="C1047" s="129">
        <f>LEDP!D155</f>
        <v>0</v>
      </c>
      <c r="D1047" s="129">
        <f>LEDP!E155</f>
        <v>0</v>
      </c>
      <c r="E1047" s="129">
        <f>LEDP!F155</f>
        <v>0</v>
      </c>
      <c r="F1047" s="129">
        <f>LEDP!G155</f>
        <v>0</v>
      </c>
      <c r="G1047" s="129">
        <f>LEDP!H155</f>
        <v>0</v>
      </c>
      <c r="H1047" s="129">
        <f>LEDP!I155</f>
        <v>0</v>
      </c>
      <c r="I1047" s="129">
        <f>LEDP!J155</f>
        <v>0</v>
      </c>
      <c r="J1047" s="129">
        <f>LEDP!K155</f>
        <v>0</v>
      </c>
      <c r="K1047" s="129">
        <f>LEDP!L155</f>
        <v>180000</v>
      </c>
      <c r="L1047" s="129">
        <f>LEDP!M155</f>
        <v>125000</v>
      </c>
      <c r="M1047" s="129">
        <f>LEDP!N155</f>
        <v>0</v>
      </c>
      <c r="N1047" s="129">
        <f>LEDP!O155</f>
        <v>0</v>
      </c>
      <c r="O1047" s="129">
        <f>LEDP!P155</f>
        <v>0</v>
      </c>
      <c r="P1047" s="123" t="str">
        <f t="shared" si="328"/>
        <v>300</v>
      </c>
    </row>
    <row r="1048" spans="1:16" x14ac:dyDescent="0.2">
      <c r="A1048" s="119"/>
      <c r="B1048" s="120"/>
      <c r="C1048" s="129"/>
      <c r="D1048" s="129"/>
      <c r="E1048" s="129"/>
      <c r="F1048" s="129"/>
      <c r="G1048" s="129"/>
      <c r="H1048" s="129"/>
      <c r="I1048" s="129">
        <f>LEDP!J156</f>
        <v>0</v>
      </c>
      <c r="J1048" s="129"/>
      <c r="K1048" s="129"/>
      <c r="L1048" s="129"/>
      <c r="O1048" s="129"/>
      <c r="P1048" s="123" t="str">
        <f t="shared" si="328"/>
        <v/>
      </c>
    </row>
    <row r="1049" spans="1:16" s="114" customFormat="1" ht="15" x14ac:dyDescent="0.25">
      <c r="A1049" s="118"/>
      <c r="B1049" s="117" t="s">
        <v>227</v>
      </c>
      <c r="C1049" s="128">
        <f>SUM(C1041:C1048)</f>
        <v>3380000</v>
      </c>
      <c r="D1049" s="128">
        <f t="shared" ref="D1049:O1049" si="330">SUM(D1041:D1048)</f>
        <v>0</v>
      </c>
      <c r="E1049" s="128">
        <f t="shared" si="330"/>
        <v>5000</v>
      </c>
      <c r="F1049" s="128">
        <f t="shared" si="330"/>
        <v>86260.87</v>
      </c>
      <c r="G1049" s="128">
        <f t="shared" si="330"/>
        <v>3951719.13</v>
      </c>
      <c r="H1049" s="128">
        <f t="shared" si="330"/>
        <v>25.65</v>
      </c>
      <c r="I1049" s="128">
        <f t="shared" si="330"/>
        <v>-421650</v>
      </c>
      <c r="J1049" s="128">
        <f t="shared" si="330"/>
        <v>2958350</v>
      </c>
      <c r="K1049" s="128">
        <f t="shared" si="330"/>
        <v>1320000</v>
      </c>
      <c r="L1049" s="128">
        <f t="shared" si="330"/>
        <v>325000</v>
      </c>
      <c r="M1049" s="128">
        <f t="shared" si="330"/>
        <v>700000</v>
      </c>
      <c r="N1049" s="128">
        <f t="shared" si="330"/>
        <v>0</v>
      </c>
      <c r="O1049" s="128">
        <f t="shared" si="330"/>
        <v>700000</v>
      </c>
      <c r="P1049" s="123" t="str">
        <f t="shared" si="328"/>
        <v/>
      </c>
    </row>
    <row r="1050" spans="1:16" s="114" customFormat="1" ht="15" x14ac:dyDescent="0.25">
      <c r="A1050" s="118"/>
      <c r="B1050" s="117"/>
      <c r="C1050" s="128"/>
      <c r="D1050" s="128"/>
      <c r="E1050" s="128"/>
      <c r="F1050" s="128"/>
      <c r="G1050" s="128"/>
      <c r="H1050" s="128"/>
      <c r="I1050" s="129">
        <f>LEDP!J158</f>
        <v>0</v>
      </c>
      <c r="J1050" s="129"/>
      <c r="K1050" s="129"/>
      <c r="L1050" s="129"/>
      <c r="M1050" s="186"/>
      <c r="N1050" s="186"/>
      <c r="O1050" s="128"/>
      <c r="P1050" s="123" t="str">
        <f t="shared" si="328"/>
        <v/>
      </c>
    </row>
    <row r="1051" spans="1:16" s="114" customFormat="1" ht="15" x14ac:dyDescent="0.25">
      <c r="A1051" s="118"/>
      <c r="B1051" s="117" t="s">
        <v>228</v>
      </c>
      <c r="C1051" s="128"/>
      <c r="D1051" s="128"/>
      <c r="E1051" s="128"/>
      <c r="F1051" s="128"/>
      <c r="G1051" s="128"/>
      <c r="H1051" s="128"/>
      <c r="I1051" s="129">
        <f>LEDP!J159</f>
        <v>0</v>
      </c>
      <c r="J1051" s="129"/>
      <c r="K1051" s="129"/>
      <c r="L1051" s="129"/>
      <c r="M1051" s="186"/>
      <c r="N1051" s="186"/>
      <c r="O1051" s="128"/>
      <c r="P1051" s="123" t="str">
        <f t="shared" si="328"/>
        <v/>
      </c>
    </row>
    <row r="1052" spans="1:16" x14ac:dyDescent="0.2">
      <c r="A1052" s="119"/>
      <c r="B1052" s="120"/>
      <c r="C1052" s="129"/>
      <c r="D1052" s="129"/>
      <c r="E1052" s="129"/>
      <c r="F1052" s="129"/>
      <c r="G1052" s="129"/>
      <c r="H1052" s="129"/>
      <c r="I1052" s="129">
        <f>LEDP!J160</f>
        <v>0</v>
      </c>
      <c r="J1052" s="129"/>
      <c r="K1052" s="129"/>
      <c r="L1052" s="129"/>
      <c r="O1052" s="129"/>
      <c r="P1052" s="123" t="str">
        <f t="shared" si="328"/>
        <v/>
      </c>
    </row>
    <row r="1053" spans="1:16" x14ac:dyDescent="0.2">
      <c r="A1053" s="119" t="s">
        <v>533</v>
      </c>
      <c r="B1053" s="120" t="s">
        <v>238</v>
      </c>
      <c r="C1053" s="129">
        <f>LEDP!D161</f>
        <v>74600</v>
      </c>
      <c r="D1053" s="129">
        <f>LEDP!E161</f>
        <v>0</v>
      </c>
      <c r="E1053" s="129">
        <f>LEDP!F161</f>
        <v>0</v>
      </c>
      <c r="F1053" s="129">
        <f>LEDP!G161</f>
        <v>0</v>
      </c>
      <c r="G1053" s="129">
        <f>LEDP!H161</f>
        <v>928990</v>
      </c>
      <c r="H1053" s="129">
        <f>LEDP!I161</f>
        <v>0</v>
      </c>
      <c r="I1053" s="129">
        <f>LEDP!J161</f>
        <v>0</v>
      </c>
      <c r="J1053" s="129">
        <f>LEDP!K161</f>
        <v>74600</v>
      </c>
      <c r="K1053" s="129">
        <f>LEDP!L161</f>
        <v>80000</v>
      </c>
      <c r="L1053" s="129">
        <f>LEDP!M161</f>
        <v>83680</v>
      </c>
      <c r="M1053" s="129">
        <f>LEDP!N161</f>
        <v>87529.279999999999</v>
      </c>
      <c r="N1053" s="129">
        <f>LEDP!O161</f>
        <v>0</v>
      </c>
      <c r="O1053" s="129">
        <f>LEDP!N161</f>
        <v>87529.279999999999</v>
      </c>
      <c r="P1053" s="123" t="str">
        <f t="shared" si="328"/>
        <v>285</v>
      </c>
    </row>
    <row r="1054" spans="1:16" x14ac:dyDescent="0.2">
      <c r="A1054" s="119"/>
      <c r="B1054" s="120"/>
      <c r="C1054" s="129"/>
      <c r="D1054" s="129"/>
      <c r="E1054" s="129"/>
      <c r="F1054" s="129"/>
      <c r="G1054" s="129"/>
      <c r="H1054" s="129"/>
      <c r="I1054" s="129">
        <f>LEDP!J162</f>
        <v>0</v>
      </c>
      <c r="J1054" s="129"/>
      <c r="K1054" s="129"/>
      <c r="L1054" s="129"/>
      <c r="O1054" s="129"/>
      <c r="P1054" s="123" t="str">
        <f t="shared" si="328"/>
        <v/>
      </c>
    </row>
    <row r="1055" spans="1:16" s="114" customFormat="1" ht="15" x14ac:dyDescent="0.25">
      <c r="A1055" s="118"/>
      <c r="B1055" s="117" t="s">
        <v>239</v>
      </c>
      <c r="C1055" s="128">
        <f>SUM(C1053:C1054)</f>
        <v>74600</v>
      </c>
      <c r="D1055" s="128">
        <f t="shared" ref="D1055:O1055" si="331">SUM(D1053:D1054)</f>
        <v>0</v>
      </c>
      <c r="E1055" s="128">
        <f t="shared" si="331"/>
        <v>0</v>
      </c>
      <c r="F1055" s="128">
        <f t="shared" si="331"/>
        <v>0</v>
      </c>
      <c r="G1055" s="128">
        <f t="shared" si="331"/>
        <v>928990</v>
      </c>
      <c r="H1055" s="128">
        <f t="shared" si="331"/>
        <v>0</v>
      </c>
      <c r="I1055" s="128">
        <f t="shared" si="331"/>
        <v>0</v>
      </c>
      <c r="J1055" s="128">
        <f t="shared" si="331"/>
        <v>74600</v>
      </c>
      <c r="K1055" s="128">
        <f t="shared" si="331"/>
        <v>80000</v>
      </c>
      <c r="L1055" s="128">
        <f t="shared" si="331"/>
        <v>83680</v>
      </c>
      <c r="M1055" s="128">
        <f t="shared" si="331"/>
        <v>87529.279999999999</v>
      </c>
      <c r="N1055" s="128">
        <f t="shared" si="331"/>
        <v>0</v>
      </c>
      <c r="O1055" s="128">
        <f t="shared" si="331"/>
        <v>87529.279999999999</v>
      </c>
      <c r="P1055" s="123" t="str">
        <f t="shared" si="328"/>
        <v/>
      </c>
    </row>
    <row r="1056" spans="1:16" s="114" customFormat="1" ht="15" x14ac:dyDescent="0.25">
      <c r="A1056" s="118"/>
      <c r="B1056" s="117"/>
      <c r="C1056" s="128"/>
      <c r="D1056" s="128"/>
      <c r="E1056" s="128"/>
      <c r="F1056" s="128"/>
      <c r="G1056" s="128"/>
      <c r="H1056" s="128"/>
      <c r="I1056" s="129">
        <f>LEDP!J164</f>
        <v>0</v>
      </c>
      <c r="J1056" s="129"/>
      <c r="K1056" s="129"/>
      <c r="L1056" s="129"/>
      <c r="M1056" s="186"/>
      <c r="N1056" s="186"/>
      <c r="O1056" s="128"/>
      <c r="P1056" s="123" t="str">
        <f t="shared" si="328"/>
        <v/>
      </c>
    </row>
    <row r="1057" spans="1:16" s="114" customFormat="1" ht="15" x14ac:dyDescent="0.25">
      <c r="A1057" s="118"/>
      <c r="B1057" s="117" t="s">
        <v>240</v>
      </c>
      <c r="C1057" s="128">
        <f>C1037+C1049+C1055</f>
        <v>4256776</v>
      </c>
      <c r="D1057" s="128">
        <f t="shared" ref="D1057:O1057" si="332">D1037+D1049+D1055</f>
        <v>0</v>
      </c>
      <c r="E1057" s="128">
        <f t="shared" si="332"/>
        <v>37745</v>
      </c>
      <c r="F1057" s="128">
        <f t="shared" si="332"/>
        <v>186952.87</v>
      </c>
      <c r="G1057" s="128">
        <f t="shared" si="332"/>
        <v>5582193.1299999999</v>
      </c>
      <c r="H1057" s="128">
        <f t="shared" si="332"/>
        <v>38.200000000000003</v>
      </c>
      <c r="I1057" s="128">
        <f t="shared" si="332"/>
        <v>-521650</v>
      </c>
      <c r="J1057" s="128">
        <f t="shared" si="332"/>
        <v>3735126</v>
      </c>
      <c r="K1057" s="128">
        <f t="shared" si="332"/>
        <v>2133773.92</v>
      </c>
      <c r="L1057" s="128">
        <f t="shared" si="332"/>
        <v>1176207.5203200001</v>
      </c>
      <c r="M1057" s="128">
        <f t="shared" si="332"/>
        <v>787529.28</v>
      </c>
      <c r="N1057" s="128">
        <f t="shared" si="332"/>
        <v>0</v>
      </c>
      <c r="O1057" s="128">
        <f t="shared" si="332"/>
        <v>1590363.0662547201</v>
      </c>
      <c r="P1057" s="123" t="str">
        <f t="shared" si="328"/>
        <v/>
      </c>
    </row>
    <row r="1058" spans="1:16" s="114" customFormat="1" ht="15" x14ac:dyDescent="0.25">
      <c r="A1058" s="118"/>
      <c r="B1058" s="117"/>
      <c r="C1058" s="128"/>
      <c r="D1058" s="128"/>
      <c r="E1058" s="128"/>
      <c r="F1058" s="128"/>
      <c r="G1058" s="128"/>
      <c r="H1058" s="128"/>
      <c r="I1058" s="129">
        <f>LEDP!J166</f>
        <v>0</v>
      </c>
      <c r="J1058" s="129"/>
      <c r="K1058" s="129"/>
      <c r="L1058" s="129"/>
      <c r="M1058" s="186"/>
      <c r="N1058" s="186"/>
      <c r="O1058" s="128"/>
      <c r="P1058" s="123" t="str">
        <f t="shared" si="328"/>
        <v/>
      </c>
    </row>
    <row r="1059" spans="1:16" s="114" customFormat="1" ht="15" x14ac:dyDescent="0.25">
      <c r="A1059" s="118"/>
      <c r="B1059" s="117" t="s">
        <v>241</v>
      </c>
      <c r="C1059" s="128"/>
      <c r="D1059" s="128"/>
      <c r="E1059" s="128"/>
      <c r="F1059" s="128"/>
      <c r="G1059" s="128"/>
      <c r="H1059" s="128"/>
      <c r="I1059" s="129">
        <f>LEDP!J167</f>
        <v>0</v>
      </c>
      <c r="J1059" s="129"/>
      <c r="K1059" s="129"/>
      <c r="L1059" s="129"/>
      <c r="M1059" s="186"/>
      <c r="N1059" s="186"/>
      <c r="O1059" s="128"/>
      <c r="P1059" s="123" t="str">
        <f t="shared" si="328"/>
        <v/>
      </c>
    </row>
    <row r="1060" spans="1:16" x14ac:dyDescent="0.2">
      <c r="A1060" s="119"/>
      <c r="B1060" s="120"/>
      <c r="C1060" s="129"/>
      <c r="D1060" s="129"/>
      <c r="E1060" s="129"/>
      <c r="F1060" s="129"/>
      <c r="G1060" s="129"/>
      <c r="H1060" s="129"/>
      <c r="I1060" s="129">
        <f>LEDP!J168</f>
        <v>0</v>
      </c>
      <c r="J1060" s="129"/>
      <c r="K1060" s="129"/>
      <c r="L1060" s="129"/>
      <c r="O1060" s="129"/>
      <c r="P1060" s="123" t="str">
        <f t="shared" si="328"/>
        <v/>
      </c>
    </row>
    <row r="1061" spans="1:16" x14ac:dyDescent="0.2">
      <c r="A1061" s="119" t="s">
        <v>534</v>
      </c>
      <c r="B1061" s="120" t="s">
        <v>242</v>
      </c>
      <c r="C1061" s="129">
        <f>LEDP!D169</f>
        <v>105566</v>
      </c>
      <c r="D1061" s="129">
        <f>LEDP!E169</f>
        <v>0</v>
      </c>
      <c r="E1061" s="129">
        <f>LEDP!F169</f>
        <v>0</v>
      </c>
      <c r="F1061" s="129">
        <f>LEDP!G169</f>
        <v>0</v>
      </c>
      <c r="G1061" s="129">
        <f>LEDP!H169</f>
        <v>928990</v>
      </c>
      <c r="H1061" s="129">
        <f>LEDP!I169</f>
        <v>0</v>
      </c>
      <c r="I1061" s="129">
        <f>LEDP!J169</f>
        <v>0</v>
      </c>
      <c r="J1061" s="129">
        <f>LEDP!K169</f>
        <v>105566</v>
      </c>
      <c r="K1061" s="129">
        <f>LEDP!L169</f>
        <v>560000</v>
      </c>
      <c r="L1061" s="129">
        <f>LEDP!M169</f>
        <v>585760</v>
      </c>
      <c r="M1061" s="129">
        <f>LEDP!N169</f>
        <v>612704.96</v>
      </c>
      <c r="N1061" s="129">
        <f>LEDP!O169</f>
        <v>0</v>
      </c>
      <c r="O1061" s="129">
        <f>LEDP!N169</f>
        <v>612704.96</v>
      </c>
      <c r="P1061" s="123" t="str">
        <f t="shared" si="328"/>
        <v>300</v>
      </c>
    </row>
    <row r="1062" spans="1:16" x14ac:dyDescent="0.2">
      <c r="A1062" s="119"/>
      <c r="B1062" s="120" t="s">
        <v>3059</v>
      </c>
      <c r="C1062" s="129"/>
      <c r="D1062" s="129"/>
      <c r="E1062" s="129"/>
      <c r="F1062" s="129"/>
      <c r="G1062" s="129"/>
      <c r="H1062" s="129"/>
      <c r="I1062" s="129"/>
      <c r="J1062" s="129">
        <f>LEDP!K170</f>
        <v>0</v>
      </c>
      <c r="K1062" s="129">
        <f>LEDP!L170</f>
        <v>150000</v>
      </c>
      <c r="L1062" s="129">
        <f>LEDP!M170</f>
        <v>156900</v>
      </c>
      <c r="M1062" s="129">
        <f>LEDP!N170</f>
        <v>164117.4</v>
      </c>
      <c r="N1062" s="129">
        <f>LEDP!O170</f>
        <v>0</v>
      </c>
      <c r="O1062" s="129">
        <f>LEDP!N170</f>
        <v>164117.4</v>
      </c>
      <c r="P1062" s="123" t="str">
        <f t="shared" si="328"/>
        <v/>
      </c>
    </row>
    <row r="1063" spans="1:16" x14ac:dyDescent="0.2">
      <c r="A1063" s="119" t="s">
        <v>535</v>
      </c>
      <c r="B1063" s="120" t="s">
        <v>265</v>
      </c>
      <c r="C1063" s="129">
        <v>0</v>
      </c>
      <c r="D1063" s="129">
        <v>761.78</v>
      </c>
      <c r="E1063" s="129">
        <v>0</v>
      </c>
      <c r="F1063" s="129">
        <v>4297.33</v>
      </c>
      <c r="G1063" s="129">
        <v>-4297.33</v>
      </c>
      <c r="H1063" s="129">
        <v>0</v>
      </c>
      <c r="I1063" s="129">
        <f>LEDP!J171</f>
        <v>10000</v>
      </c>
      <c r="J1063" s="129">
        <f>LEDP!K171</f>
        <v>10000</v>
      </c>
      <c r="K1063" s="129">
        <f>LEDP!L171</f>
        <v>10450</v>
      </c>
      <c r="L1063" s="129">
        <f>LEDP!M171</f>
        <v>10930.7</v>
      </c>
      <c r="O1063" s="129">
        <f>LEDP!N171</f>
        <v>11433.512200000001</v>
      </c>
      <c r="P1063" s="123" t="str">
        <f t="shared" si="328"/>
        <v>305</v>
      </c>
    </row>
    <row r="1064" spans="1:16" x14ac:dyDescent="0.2">
      <c r="A1064" s="119" t="s">
        <v>536</v>
      </c>
      <c r="B1064" s="120" t="s">
        <v>266</v>
      </c>
      <c r="C1064" s="129">
        <v>500000</v>
      </c>
      <c r="D1064" s="129">
        <v>0</v>
      </c>
      <c r="E1064" s="129">
        <v>0</v>
      </c>
      <c r="F1064" s="129">
        <v>0</v>
      </c>
      <c r="G1064" s="129">
        <v>500000</v>
      </c>
      <c r="H1064" s="129">
        <v>0</v>
      </c>
      <c r="I1064" s="129">
        <f>LEDP!J172</f>
        <v>-80000</v>
      </c>
      <c r="J1064" s="129">
        <f>LEDP!K172</f>
        <v>420000</v>
      </c>
      <c r="K1064" s="129">
        <f>LEDP!L172</f>
        <v>700000</v>
      </c>
      <c r="L1064" s="129">
        <f>LEDP!M172</f>
        <v>700000</v>
      </c>
      <c r="O1064" s="129">
        <f>LEDP!N172</f>
        <v>700000</v>
      </c>
      <c r="P1064" s="123" t="str">
        <f t="shared" si="328"/>
        <v>305</v>
      </c>
    </row>
    <row r="1065" spans="1:16" x14ac:dyDescent="0.2">
      <c r="A1065" s="119" t="s">
        <v>537</v>
      </c>
      <c r="B1065" s="120" t="s">
        <v>268</v>
      </c>
      <c r="C1065" s="129">
        <v>78000</v>
      </c>
      <c r="D1065" s="129">
        <v>0</v>
      </c>
      <c r="E1065" s="129">
        <v>0</v>
      </c>
      <c r="F1065" s="129">
        <v>2995.2</v>
      </c>
      <c r="G1065" s="129">
        <v>75004.800000000003</v>
      </c>
      <c r="H1065" s="129">
        <v>3.84</v>
      </c>
      <c r="I1065" s="129">
        <f>LEDP!J173</f>
        <v>-50000</v>
      </c>
      <c r="J1065" s="129">
        <f>LEDP!K173</f>
        <v>28000</v>
      </c>
      <c r="K1065" s="129">
        <f>LEDP!L173</f>
        <v>29260</v>
      </c>
      <c r="L1065" s="129">
        <f>LEDP!M173</f>
        <v>30605.96</v>
      </c>
      <c r="O1065" s="129">
        <f>LEDP!N173</f>
        <v>32013.834159999999</v>
      </c>
      <c r="P1065" s="123" t="str">
        <f t="shared" si="328"/>
        <v>305</v>
      </c>
    </row>
    <row r="1066" spans="1:16" x14ac:dyDescent="0.2">
      <c r="A1066" s="119"/>
      <c r="B1066" s="120"/>
      <c r="C1066" s="129"/>
      <c r="D1066" s="129"/>
      <c r="E1066" s="129"/>
      <c r="F1066" s="129"/>
      <c r="G1066" s="129"/>
      <c r="H1066" s="129"/>
      <c r="I1066" s="129">
        <f>LEDP!J174</f>
        <v>0</v>
      </c>
      <c r="J1066" s="129"/>
      <c r="K1066" s="129"/>
      <c r="L1066" s="129"/>
      <c r="O1066" s="129"/>
      <c r="P1066" s="123" t="str">
        <f t="shared" si="328"/>
        <v/>
      </c>
    </row>
    <row r="1067" spans="1:16" s="114" customFormat="1" ht="15" x14ac:dyDescent="0.25">
      <c r="A1067" s="118"/>
      <c r="B1067" s="117" t="s">
        <v>274</v>
      </c>
      <c r="C1067" s="128">
        <f>SUM(C1061:C1066)</f>
        <v>683566</v>
      </c>
      <c r="D1067" s="128">
        <f t="shared" ref="D1067:O1067" si="333">SUM(D1061:D1066)</f>
        <v>761.78</v>
      </c>
      <c r="E1067" s="128">
        <f t="shared" si="333"/>
        <v>0</v>
      </c>
      <c r="F1067" s="128">
        <f t="shared" si="333"/>
        <v>7292.53</v>
      </c>
      <c r="G1067" s="128">
        <f t="shared" si="333"/>
        <v>1499697.47</v>
      </c>
      <c r="H1067" s="128">
        <f t="shared" si="333"/>
        <v>3.84</v>
      </c>
      <c r="I1067" s="128">
        <f t="shared" si="333"/>
        <v>-120000</v>
      </c>
      <c r="J1067" s="128">
        <f t="shared" si="333"/>
        <v>563566</v>
      </c>
      <c r="K1067" s="128">
        <f t="shared" si="333"/>
        <v>1449710</v>
      </c>
      <c r="L1067" s="128">
        <f t="shared" si="333"/>
        <v>1484196.66</v>
      </c>
      <c r="M1067" s="128">
        <f t="shared" si="333"/>
        <v>776822.36</v>
      </c>
      <c r="N1067" s="128">
        <f t="shared" si="333"/>
        <v>0</v>
      </c>
      <c r="O1067" s="128">
        <f t="shared" si="333"/>
        <v>1520269.7063600002</v>
      </c>
      <c r="P1067" s="123" t="str">
        <f t="shared" si="328"/>
        <v/>
      </c>
    </row>
    <row r="1068" spans="1:16" s="114" customFormat="1" ht="15" x14ac:dyDescent="0.25">
      <c r="A1068" s="118"/>
      <c r="B1068" s="117"/>
      <c r="C1068" s="128"/>
      <c r="D1068" s="128"/>
      <c r="E1068" s="128"/>
      <c r="F1068" s="128"/>
      <c r="G1068" s="128"/>
      <c r="H1068" s="128"/>
      <c r="I1068" s="129">
        <f>LEDP!J176</f>
        <v>0</v>
      </c>
      <c r="J1068" s="129"/>
      <c r="K1068" s="129"/>
      <c r="L1068" s="129"/>
      <c r="M1068" s="186"/>
      <c r="N1068" s="186"/>
      <c r="O1068" s="128"/>
      <c r="P1068" s="123" t="str">
        <f t="shared" si="328"/>
        <v/>
      </c>
    </row>
    <row r="1069" spans="1:16" s="114" customFormat="1" ht="15" x14ac:dyDescent="0.25">
      <c r="A1069" s="118"/>
      <c r="B1069" s="117" t="s">
        <v>290</v>
      </c>
      <c r="C1069" s="128"/>
      <c r="D1069" s="128"/>
      <c r="E1069" s="128"/>
      <c r="F1069" s="128"/>
      <c r="G1069" s="128"/>
      <c r="H1069" s="128"/>
      <c r="I1069" s="129">
        <f>LEDP!J177</f>
        <v>0</v>
      </c>
      <c r="J1069" s="129"/>
      <c r="K1069" s="129"/>
      <c r="L1069" s="129"/>
      <c r="M1069" s="186"/>
      <c r="N1069" s="186"/>
      <c r="O1069" s="128"/>
      <c r="P1069" s="123" t="str">
        <f t="shared" si="328"/>
        <v/>
      </c>
    </row>
    <row r="1070" spans="1:16" s="114" customFormat="1" ht="15" x14ac:dyDescent="0.25">
      <c r="A1070" s="118"/>
      <c r="B1070" s="117"/>
      <c r="C1070" s="128"/>
      <c r="D1070" s="128"/>
      <c r="E1070" s="128"/>
      <c r="F1070" s="128"/>
      <c r="G1070" s="128"/>
      <c r="H1070" s="128"/>
      <c r="I1070" s="129">
        <f>LEDP!J178</f>
        <v>0</v>
      </c>
      <c r="J1070" s="129"/>
      <c r="K1070" s="129"/>
      <c r="L1070" s="129"/>
      <c r="M1070" s="186"/>
      <c r="N1070" s="186"/>
      <c r="O1070" s="128"/>
      <c r="P1070" s="123" t="str">
        <f t="shared" si="328"/>
        <v/>
      </c>
    </row>
    <row r="1071" spans="1:16" x14ac:dyDescent="0.2">
      <c r="A1071" s="119" t="s">
        <v>538</v>
      </c>
      <c r="B1071" s="120" t="s">
        <v>293</v>
      </c>
      <c r="C1071" s="129">
        <v>10946</v>
      </c>
      <c r="D1071" s="129">
        <v>1257.5</v>
      </c>
      <c r="E1071" s="129">
        <v>0</v>
      </c>
      <c r="F1071" s="129">
        <v>3131.54</v>
      </c>
      <c r="G1071" s="129">
        <v>7814.46</v>
      </c>
      <c r="H1071" s="129">
        <v>28.6</v>
      </c>
      <c r="I1071" s="129">
        <f>LEDP!J179</f>
        <v>0</v>
      </c>
      <c r="J1071" s="129">
        <f>LEDP!K179</f>
        <v>10946</v>
      </c>
      <c r="K1071" s="129">
        <f>LEDP!L179</f>
        <v>11438.57</v>
      </c>
      <c r="L1071" s="129">
        <f>LEDP!M179</f>
        <v>11964.74422</v>
      </c>
      <c r="O1071" s="129">
        <f>LEDP!N179</f>
        <v>12515.122454120001</v>
      </c>
      <c r="P1071" s="123" t="str">
        <f t="shared" si="328"/>
        <v>721</v>
      </c>
    </row>
    <row r="1072" spans="1:16" x14ac:dyDescent="0.2">
      <c r="A1072" s="119"/>
      <c r="B1072" s="120"/>
      <c r="C1072" s="129"/>
      <c r="D1072" s="129"/>
      <c r="E1072" s="129"/>
      <c r="F1072" s="129"/>
      <c r="G1072" s="129"/>
      <c r="H1072" s="129"/>
      <c r="I1072" s="129">
        <f>LEDP!J180</f>
        <v>0</v>
      </c>
      <c r="J1072" s="129"/>
      <c r="K1072" s="129"/>
      <c r="L1072" s="129"/>
      <c r="O1072" s="129"/>
      <c r="P1072" s="123" t="str">
        <f t="shared" si="328"/>
        <v/>
      </c>
    </row>
    <row r="1073" spans="1:16" s="114" customFormat="1" ht="15" x14ac:dyDescent="0.25">
      <c r="A1073" s="118"/>
      <c r="B1073" s="117" t="s">
        <v>304</v>
      </c>
      <c r="C1073" s="128">
        <f>SUM(C1071:C1072)</f>
        <v>10946</v>
      </c>
      <c r="D1073" s="128">
        <f t="shared" ref="D1073:O1073" si="334">SUM(D1071:D1072)</f>
        <v>1257.5</v>
      </c>
      <c r="E1073" s="128">
        <f t="shared" si="334"/>
        <v>0</v>
      </c>
      <c r="F1073" s="128">
        <f t="shared" si="334"/>
        <v>3131.54</v>
      </c>
      <c r="G1073" s="128">
        <f t="shared" si="334"/>
        <v>7814.46</v>
      </c>
      <c r="H1073" s="128">
        <f t="shared" si="334"/>
        <v>28.6</v>
      </c>
      <c r="I1073" s="128">
        <f t="shared" si="334"/>
        <v>0</v>
      </c>
      <c r="J1073" s="128">
        <f t="shared" si="334"/>
        <v>10946</v>
      </c>
      <c r="K1073" s="128">
        <f t="shared" si="334"/>
        <v>11438.57</v>
      </c>
      <c r="L1073" s="128">
        <f t="shared" si="334"/>
        <v>11964.74422</v>
      </c>
      <c r="M1073" s="128">
        <f t="shared" si="334"/>
        <v>0</v>
      </c>
      <c r="N1073" s="128">
        <f t="shared" si="334"/>
        <v>0</v>
      </c>
      <c r="O1073" s="128">
        <f t="shared" si="334"/>
        <v>12515.122454120001</v>
      </c>
      <c r="P1073" s="123" t="str">
        <f t="shared" si="328"/>
        <v/>
      </c>
    </row>
    <row r="1074" spans="1:16" s="114" customFormat="1" ht="15" x14ac:dyDescent="0.25">
      <c r="A1074" s="118"/>
      <c r="B1074" s="117"/>
      <c r="C1074" s="128"/>
      <c r="D1074" s="128"/>
      <c r="E1074" s="128"/>
      <c r="F1074" s="128"/>
      <c r="G1074" s="128"/>
      <c r="H1074" s="128"/>
      <c r="I1074" s="129">
        <f>LEDP!J182</f>
        <v>0</v>
      </c>
      <c r="J1074" s="129"/>
      <c r="K1074" s="129"/>
      <c r="L1074" s="129"/>
      <c r="M1074" s="186"/>
      <c r="N1074" s="186"/>
      <c r="O1074" s="128"/>
      <c r="P1074" s="123" t="str">
        <f t="shared" si="328"/>
        <v/>
      </c>
    </row>
    <row r="1075" spans="1:16" s="114" customFormat="1" ht="15" x14ac:dyDescent="0.25">
      <c r="A1075" s="118"/>
      <c r="B1075" s="117" t="s">
        <v>305</v>
      </c>
      <c r="C1075" s="128">
        <f>C1029+C1057+C1067+C1073</f>
        <v>6156922</v>
      </c>
      <c r="D1075" s="128">
        <f t="shared" ref="D1075:O1075" si="335">D1029+D1057+D1067+D1073</f>
        <v>96727.559999999983</v>
      </c>
      <c r="E1075" s="128">
        <f t="shared" si="335"/>
        <v>37745</v>
      </c>
      <c r="F1075" s="128">
        <f t="shared" si="335"/>
        <v>738441.17</v>
      </c>
      <c r="G1075" s="128">
        <f t="shared" si="335"/>
        <v>7754274.8300000001</v>
      </c>
      <c r="H1075" s="128">
        <f t="shared" si="335"/>
        <v>481.01</v>
      </c>
      <c r="I1075" s="128">
        <f t="shared" si="335"/>
        <v>-573944.91</v>
      </c>
      <c r="J1075" s="128">
        <f t="shared" si="335"/>
        <v>5582977.0899999999</v>
      </c>
      <c r="K1075" s="128">
        <f t="shared" si="335"/>
        <v>4947845.2731250003</v>
      </c>
      <c r="L1075" s="128">
        <f t="shared" si="335"/>
        <v>4119996.30248375</v>
      </c>
      <c r="M1075" s="128">
        <f t="shared" si="335"/>
        <v>1564351.6400000001</v>
      </c>
      <c r="N1075" s="128">
        <f t="shared" si="335"/>
        <v>0</v>
      </c>
      <c r="O1075" s="128">
        <f t="shared" si="335"/>
        <v>4672109.189468652</v>
      </c>
      <c r="P1075" s="123" t="str">
        <f t="shared" si="328"/>
        <v/>
      </c>
    </row>
    <row r="1076" spans="1:16" x14ac:dyDescent="0.2">
      <c r="A1076" s="119"/>
      <c r="B1076" s="120"/>
      <c r="C1076" s="129"/>
      <c r="D1076" s="129"/>
      <c r="E1076" s="129"/>
      <c r="F1076" s="129"/>
      <c r="G1076" s="129"/>
      <c r="H1076" s="129"/>
      <c r="I1076" s="129">
        <f>LEDP!J184</f>
        <v>0</v>
      </c>
      <c r="J1076" s="129"/>
      <c r="K1076" s="129"/>
      <c r="L1076" s="129"/>
      <c r="O1076" s="129"/>
      <c r="P1076" s="123" t="str">
        <f t="shared" si="328"/>
        <v/>
      </c>
    </row>
    <row r="1077" spans="1:16" s="114" customFormat="1" ht="15" x14ac:dyDescent="0.25">
      <c r="A1077" s="118"/>
      <c r="B1077" s="117" t="s">
        <v>539</v>
      </c>
      <c r="C1077" s="128"/>
      <c r="D1077" s="128"/>
      <c r="E1077" s="128"/>
      <c r="F1077" s="128"/>
      <c r="G1077" s="128"/>
      <c r="H1077" s="128"/>
      <c r="I1077" s="129">
        <f>LEDP!J185</f>
        <v>0</v>
      </c>
      <c r="J1077" s="129"/>
      <c r="K1077" s="129"/>
      <c r="L1077" s="129"/>
      <c r="M1077" s="186"/>
      <c r="N1077" s="186"/>
      <c r="O1077" s="128"/>
      <c r="P1077" s="123" t="str">
        <f t="shared" si="328"/>
        <v/>
      </c>
    </row>
    <row r="1078" spans="1:16" s="114" customFormat="1" ht="15" x14ac:dyDescent="0.25">
      <c r="A1078" s="118"/>
      <c r="B1078" s="117" t="s">
        <v>9</v>
      </c>
      <c r="C1078" s="128"/>
      <c r="D1078" s="128"/>
      <c r="E1078" s="128"/>
      <c r="F1078" s="128"/>
      <c r="G1078" s="128"/>
      <c r="H1078" s="128"/>
      <c r="I1078" s="129">
        <f>LEDP!J186</f>
        <v>0</v>
      </c>
      <c r="J1078" s="129"/>
      <c r="K1078" s="129"/>
      <c r="L1078" s="129"/>
      <c r="M1078" s="186"/>
      <c r="N1078" s="186"/>
      <c r="O1078" s="128"/>
      <c r="P1078" s="123" t="str">
        <f t="shared" si="328"/>
        <v/>
      </c>
    </row>
    <row r="1079" spans="1:16" s="114" customFormat="1" ht="15" x14ac:dyDescent="0.25">
      <c r="A1079" s="118"/>
      <c r="B1079" s="117" t="s">
        <v>70</v>
      </c>
      <c r="C1079" s="128"/>
      <c r="D1079" s="128"/>
      <c r="E1079" s="128"/>
      <c r="F1079" s="128"/>
      <c r="G1079" s="128"/>
      <c r="H1079" s="128"/>
      <c r="I1079" s="129">
        <f>LEDP!J187</f>
        <v>0</v>
      </c>
      <c r="J1079" s="129"/>
      <c r="K1079" s="129"/>
      <c r="L1079" s="129"/>
      <c r="M1079" s="186"/>
      <c r="N1079" s="186"/>
      <c r="O1079" s="128"/>
      <c r="P1079" s="123" t="str">
        <f t="shared" si="328"/>
        <v/>
      </c>
    </row>
    <row r="1080" spans="1:16" x14ac:dyDescent="0.2">
      <c r="A1080" s="119"/>
      <c r="B1080" s="120"/>
      <c r="C1080" s="129"/>
      <c r="D1080" s="129"/>
      <c r="E1080" s="129"/>
      <c r="F1080" s="129"/>
      <c r="G1080" s="129"/>
      <c r="H1080" s="129"/>
      <c r="I1080" s="129">
        <f>LEDP!J188</f>
        <v>0</v>
      </c>
      <c r="J1080" s="129"/>
      <c r="K1080" s="129"/>
      <c r="L1080" s="129"/>
      <c r="O1080" s="129"/>
      <c r="P1080" s="123" t="str">
        <f t="shared" si="328"/>
        <v/>
      </c>
    </row>
    <row r="1081" spans="1:16" x14ac:dyDescent="0.2">
      <c r="A1081" s="119" t="s">
        <v>540</v>
      </c>
      <c r="B1081" s="120" t="s">
        <v>75</v>
      </c>
      <c r="C1081" s="129">
        <f>LEDP!D189</f>
        <v>-15000000</v>
      </c>
      <c r="D1081" s="129">
        <f>LEDP!E189</f>
        <v>0</v>
      </c>
      <c r="E1081" s="129">
        <f>LEDP!F189</f>
        <v>0</v>
      </c>
      <c r="F1081" s="129">
        <f>LEDP!G189</f>
        <v>0</v>
      </c>
      <c r="G1081" s="129">
        <f>LEDP!H189</f>
        <v>-15000000</v>
      </c>
      <c r="H1081" s="129">
        <f>LEDP!I189</f>
        <v>0</v>
      </c>
      <c r="I1081" s="129">
        <f>LEDP!J189</f>
        <v>0</v>
      </c>
      <c r="J1081" s="129">
        <f>LEDP!K189</f>
        <v>-7500000</v>
      </c>
      <c r="K1081" s="129">
        <f>LEDP!L189</f>
        <v>-7500000</v>
      </c>
      <c r="L1081" s="129">
        <f>LEDP!M189</f>
        <v>-7500000</v>
      </c>
      <c r="M1081" s="129">
        <f>LEDP!N189</f>
        <v>-7500000</v>
      </c>
      <c r="N1081" s="129">
        <f>LEDP!O189</f>
        <v>0</v>
      </c>
      <c r="O1081" s="129">
        <f>LEDP!N189</f>
        <v>-7500000</v>
      </c>
      <c r="P1081" s="123" t="str">
        <f t="shared" si="328"/>
        <v>385</v>
      </c>
    </row>
    <row r="1082" spans="1:16" x14ac:dyDescent="0.2">
      <c r="A1082" s="119"/>
      <c r="B1082" s="120"/>
      <c r="C1082" s="129"/>
      <c r="D1082" s="129"/>
      <c r="E1082" s="129"/>
      <c r="F1082" s="129"/>
      <c r="G1082" s="129"/>
      <c r="H1082" s="129"/>
      <c r="I1082" s="129">
        <f>LEDP!J190</f>
        <v>0</v>
      </c>
      <c r="J1082" s="129"/>
      <c r="K1082" s="129"/>
      <c r="L1082" s="129"/>
      <c r="O1082" s="129"/>
      <c r="P1082" s="123" t="str">
        <f t="shared" si="328"/>
        <v/>
      </c>
    </row>
    <row r="1083" spans="1:16" s="114" customFormat="1" ht="15" x14ac:dyDescent="0.25">
      <c r="A1083" s="118"/>
      <c r="B1083" s="117" t="s">
        <v>77</v>
      </c>
      <c r="C1083" s="128">
        <f>SUM(C1081:C1082)</f>
        <v>-15000000</v>
      </c>
      <c r="D1083" s="128">
        <f t="shared" ref="D1083:O1083" si="336">SUM(D1081:D1082)</f>
        <v>0</v>
      </c>
      <c r="E1083" s="128">
        <f t="shared" si="336"/>
        <v>0</v>
      </c>
      <c r="F1083" s="128">
        <f t="shared" si="336"/>
        <v>0</v>
      </c>
      <c r="G1083" s="128">
        <f t="shared" si="336"/>
        <v>-15000000</v>
      </c>
      <c r="H1083" s="128">
        <f t="shared" si="336"/>
        <v>0</v>
      </c>
      <c r="I1083" s="128">
        <f t="shared" si="336"/>
        <v>0</v>
      </c>
      <c r="J1083" s="128">
        <f t="shared" si="336"/>
        <v>-7500000</v>
      </c>
      <c r="K1083" s="128">
        <f t="shared" si="336"/>
        <v>-7500000</v>
      </c>
      <c r="L1083" s="128">
        <f t="shared" si="336"/>
        <v>-7500000</v>
      </c>
      <c r="M1083" s="128">
        <f t="shared" si="336"/>
        <v>-7500000</v>
      </c>
      <c r="N1083" s="128">
        <f t="shared" si="336"/>
        <v>0</v>
      </c>
      <c r="O1083" s="128">
        <f t="shared" si="336"/>
        <v>-7500000</v>
      </c>
      <c r="P1083" s="123" t="str">
        <f t="shared" si="328"/>
        <v/>
      </c>
    </row>
    <row r="1084" spans="1:16" s="114" customFormat="1" ht="15" x14ac:dyDescent="0.25">
      <c r="A1084" s="118"/>
      <c r="B1084" s="117"/>
      <c r="C1084" s="128"/>
      <c r="D1084" s="128"/>
      <c r="E1084" s="128"/>
      <c r="F1084" s="128"/>
      <c r="G1084" s="128"/>
      <c r="H1084" s="128"/>
      <c r="I1084" s="129"/>
      <c r="J1084" s="129"/>
      <c r="K1084" s="129"/>
      <c r="L1084" s="129"/>
      <c r="M1084" s="186"/>
      <c r="N1084" s="186"/>
      <c r="O1084" s="128"/>
      <c r="P1084" s="123" t="str">
        <f t="shared" si="328"/>
        <v/>
      </c>
    </row>
    <row r="1085" spans="1:16" s="114" customFormat="1" ht="15" x14ac:dyDescent="0.25">
      <c r="A1085" s="118"/>
      <c r="B1085" s="117" t="s">
        <v>81</v>
      </c>
      <c r="C1085" s="128"/>
      <c r="D1085" s="128"/>
      <c r="E1085" s="128"/>
      <c r="F1085" s="128"/>
      <c r="G1085" s="128"/>
      <c r="H1085" s="128"/>
      <c r="I1085" s="129"/>
      <c r="J1085" s="129"/>
      <c r="K1085" s="129"/>
      <c r="L1085" s="129"/>
      <c r="M1085" s="186"/>
      <c r="N1085" s="186"/>
      <c r="O1085" s="128"/>
      <c r="P1085" s="123" t="str">
        <f t="shared" si="328"/>
        <v/>
      </c>
    </row>
    <row r="1086" spans="1:16" x14ac:dyDescent="0.2">
      <c r="A1086" s="119"/>
      <c r="B1086" s="120"/>
      <c r="C1086" s="129"/>
      <c r="D1086" s="129"/>
      <c r="E1086" s="129"/>
      <c r="F1086" s="129"/>
      <c r="G1086" s="129"/>
      <c r="H1086" s="129"/>
      <c r="I1086" s="129"/>
      <c r="J1086" s="129"/>
      <c r="K1086" s="129"/>
      <c r="L1086" s="129"/>
      <c r="O1086" s="129"/>
      <c r="P1086" s="123" t="str">
        <f t="shared" si="328"/>
        <v/>
      </c>
    </row>
    <row r="1087" spans="1:16" x14ac:dyDescent="0.2">
      <c r="A1087" s="119" t="s">
        <v>541</v>
      </c>
      <c r="B1087" s="120" t="s">
        <v>82</v>
      </c>
      <c r="C1087" s="129">
        <f>LEDP!D195</f>
        <v>-4640</v>
      </c>
      <c r="D1087" s="129">
        <f>LEDP!E195</f>
        <v>0</v>
      </c>
      <c r="E1087" s="129">
        <f>LEDP!F195</f>
        <v>0</v>
      </c>
      <c r="F1087" s="129">
        <f>LEDP!G195</f>
        <v>0</v>
      </c>
      <c r="G1087" s="129">
        <f>LEDP!H195</f>
        <v>-4640</v>
      </c>
      <c r="H1087" s="129">
        <f>LEDP!I195</f>
        <v>0</v>
      </c>
      <c r="I1087" s="129">
        <f>LEDP!J195</f>
        <v>0</v>
      </c>
      <c r="J1087" s="129">
        <f>LEDP!K195</f>
        <v>-4640</v>
      </c>
      <c r="K1087" s="129">
        <f>LEDP!L195</f>
        <v>-4848.8</v>
      </c>
      <c r="L1087" s="129">
        <f>LEDP!M195</f>
        <v>-5071.8447999999999</v>
      </c>
      <c r="M1087" s="129">
        <f>LEDP!N195</f>
        <v>-5305.1496607999998</v>
      </c>
      <c r="N1087" s="129">
        <f>LEDP!O195</f>
        <v>0</v>
      </c>
      <c r="O1087" s="129">
        <f>LEDP!N195</f>
        <v>-5305.1496607999998</v>
      </c>
      <c r="P1087" s="123" t="str">
        <f t="shared" si="328"/>
        <v>420</v>
      </c>
    </row>
    <row r="1088" spans="1:16" x14ac:dyDescent="0.2">
      <c r="A1088" s="119" t="s">
        <v>542</v>
      </c>
      <c r="B1088" s="120" t="s">
        <v>85</v>
      </c>
      <c r="C1088" s="129">
        <f>LEDP!D196</f>
        <v>-41011</v>
      </c>
      <c r="D1088" s="129">
        <v>0</v>
      </c>
      <c r="E1088" s="129">
        <v>0</v>
      </c>
      <c r="F1088" s="129">
        <v>-13216.23</v>
      </c>
      <c r="G1088" s="129">
        <v>-27794.77</v>
      </c>
      <c r="H1088" s="129">
        <v>32.22</v>
      </c>
      <c r="I1088" s="129">
        <f>LEDP!J196</f>
        <v>0</v>
      </c>
      <c r="J1088" s="129">
        <f>LEDP!K196</f>
        <v>-41011</v>
      </c>
      <c r="K1088" s="129">
        <f>LEDP!L196</f>
        <v>-42856.495000000003</v>
      </c>
      <c r="L1088" s="129">
        <f>LEDP!M196</f>
        <v>-44827.893770000002</v>
      </c>
      <c r="O1088" s="129">
        <f>LEDP!N196</f>
        <v>-46889.97688342</v>
      </c>
      <c r="P1088" s="123" t="str">
        <f t="shared" si="328"/>
        <v>424</v>
      </c>
    </row>
    <row r="1089" spans="1:16" x14ac:dyDescent="0.2">
      <c r="A1089" s="119" t="s">
        <v>543</v>
      </c>
      <c r="B1089" s="120" t="s">
        <v>86</v>
      </c>
      <c r="C1089" s="129">
        <f>LEDP!D197</f>
        <v>0</v>
      </c>
      <c r="D1089" s="129">
        <v>0</v>
      </c>
      <c r="E1089" s="129">
        <v>0</v>
      </c>
      <c r="F1089" s="129">
        <v>-9352.99</v>
      </c>
      <c r="G1089" s="129">
        <v>9352.99</v>
      </c>
      <c r="H1089" s="129">
        <v>0</v>
      </c>
      <c r="I1089" s="129">
        <f>LEDP!J197</f>
        <v>0</v>
      </c>
      <c r="J1089" s="129">
        <f>LEDP!K197</f>
        <v>0</v>
      </c>
      <c r="K1089" s="129">
        <f>LEDP!L197</f>
        <v>0</v>
      </c>
      <c r="L1089" s="129">
        <f>LEDP!M197</f>
        <v>0</v>
      </c>
      <c r="O1089" s="129">
        <f>LEDP!N197</f>
        <v>0</v>
      </c>
      <c r="P1089" s="123" t="str">
        <f t="shared" si="328"/>
        <v>424</v>
      </c>
    </row>
    <row r="1090" spans="1:16" x14ac:dyDescent="0.2">
      <c r="A1090" s="119" t="s">
        <v>544</v>
      </c>
      <c r="B1090" s="120" t="s">
        <v>87</v>
      </c>
      <c r="C1090" s="129">
        <f>LEDP!D198</f>
        <v>-4715</v>
      </c>
      <c r="D1090" s="129">
        <v>-1881.4</v>
      </c>
      <c r="E1090" s="129">
        <v>0</v>
      </c>
      <c r="F1090" s="129">
        <v>-2020.53</v>
      </c>
      <c r="G1090" s="129">
        <v>-2694.47</v>
      </c>
      <c r="H1090" s="129">
        <v>42.85</v>
      </c>
      <c r="I1090" s="129">
        <f>LEDP!J198</f>
        <v>0</v>
      </c>
      <c r="J1090" s="129">
        <f>LEDP!K198</f>
        <v>-4715</v>
      </c>
      <c r="K1090" s="129">
        <f>LEDP!L198</f>
        <v>-4927.1750000000002</v>
      </c>
      <c r="L1090" s="129">
        <f>LEDP!M198</f>
        <v>-5153.8250500000004</v>
      </c>
      <c r="O1090" s="129">
        <f>LEDP!N198</f>
        <v>-5390.9010023000001</v>
      </c>
      <c r="P1090" s="123" t="str">
        <f t="shared" si="328"/>
        <v>424</v>
      </c>
    </row>
    <row r="1091" spans="1:16" x14ac:dyDescent="0.2">
      <c r="A1091" s="119" t="s">
        <v>545</v>
      </c>
      <c r="B1091" s="120" t="s">
        <v>88</v>
      </c>
      <c r="C1091" s="129">
        <f>LEDP!D199</f>
        <v>-58934</v>
      </c>
      <c r="D1091" s="129">
        <v>0</v>
      </c>
      <c r="E1091" s="129">
        <v>0</v>
      </c>
      <c r="F1091" s="129">
        <v>0</v>
      </c>
      <c r="G1091" s="129">
        <v>-58934</v>
      </c>
      <c r="H1091" s="129">
        <v>0</v>
      </c>
      <c r="I1091" s="129">
        <f>LEDP!J199</f>
        <v>0</v>
      </c>
      <c r="J1091" s="129">
        <f>LEDP!K199</f>
        <v>-58934</v>
      </c>
      <c r="K1091" s="129">
        <f>LEDP!L199</f>
        <v>-61586.03</v>
      </c>
      <c r="L1091" s="129">
        <f>LEDP!M199</f>
        <v>-64418.987379999999</v>
      </c>
      <c r="O1091" s="129">
        <f>LEDP!N199</f>
        <v>-67382.260799479991</v>
      </c>
      <c r="P1091" s="123" t="str">
        <f t="shared" si="328"/>
        <v>425</v>
      </c>
    </row>
    <row r="1092" spans="1:16" x14ac:dyDescent="0.2">
      <c r="A1092" s="119"/>
      <c r="B1092" s="120"/>
      <c r="C1092" s="129"/>
      <c r="D1092" s="129"/>
      <c r="E1092" s="129"/>
      <c r="F1092" s="129"/>
      <c r="G1092" s="129"/>
      <c r="H1092" s="129"/>
      <c r="I1092" s="129">
        <f>LEDP!J200</f>
        <v>0</v>
      </c>
      <c r="J1092" s="129"/>
      <c r="K1092" s="129"/>
      <c r="L1092" s="129"/>
      <c r="O1092" s="129"/>
      <c r="P1092" s="123" t="str">
        <f t="shared" si="328"/>
        <v/>
      </c>
    </row>
    <row r="1093" spans="1:16" s="114" customFormat="1" ht="15" x14ac:dyDescent="0.25">
      <c r="A1093" s="118"/>
      <c r="B1093" s="117" t="s">
        <v>90</v>
      </c>
      <c r="C1093" s="128">
        <f>SUM(C1087:C1092)</f>
        <v>-109300</v>
      </c>
      <c r="D1093" s="128">
        <f t="shared" ref="D1093:O1093" si="337">SUM(D1087:D1092)</f>
        <v>-1881.4</v>
      </c>
      <c r="E1093" s="128">
        <f t="shared" si="337"/>
        <v>0</v>
      </c>
      <c r="F1093" s="128">
        <f t="shared" si="337"/>
        <v>-24589.75</v>
      </c>
      <c r="G1093" s="128">
        <f t="shared" si="337"/>
        <v>-84710.25</v>
      </c>
      <c r="H1093" s="128">
        <f t="shared" si="337"/>
        <v>75.069999999999993</v>
      </c>
      <c r="I1093" s="128">
        <f t="shared" si="337"/>
        <v>0</v>
      </c>
      <c r="J1093" s="128">
        <f t="shared" si="337"/>
        <v>-109300</v>
      </c>
      <c r="K1093" s="128">
        <f t="shared" si="337"/>
        <v>-114218.5</v>
      </c>
      <c r="L1093" s="128">
        <f t="shared" si="337"/>
        <v>-119472.55100000001</v>
      </c>
      <c r="M1093" s="128">
        <f t="shared" si="337"/>
        <v>-5305.1496607999998</v>
      </c>
      <c r="N1093" s="128">
        <f t="shared" si="337"/>
        <v>0</v>
      </c>
      <c r="O1093" s="128">
        <f t="shared" si="337"/>
        <v>-124968.28834599999</v>
      </c>
      <c r="P1093" s="123" t="str">
        <f t="shared" si="328"/>
        <v/>
      </c>
    </row>
    <row r="1094" spans="1:16" s="114" customFormat="1" ht="15" x14ac:dyDescent="0.25">
      <c r="A1094" s="118"/>
      <c r="B1094" s="117"/>
      <c r="C1094" s="128"/>
      <c r="D1094" s="128"/>
      <c r="E1094" s="128"/>
      <c r="F1094" s="128"/>
      <c r="G1094" s="128"/>
      <c r="H1094" s="128"/>
      <c r="I1094" s="129">
        <f>LEDP!J202</f>
        <v>0</v>
      </c>
      <c r="J1094" s="129"/>
      <c r="K1094" s="129"/>
      <c r="L1094" s="129"/>
      <c r="M1094" s="186"/>
      <c r="N1094" s="186"/>
      <c r="O1094" s="128"/>
      <c r="P1094" s="123" t="str">
        <f t="shared" si="328"/>
        <v/>
      </c>
    </row>
    <row r="1095" spans="1:16" s="114" customFormat="1" ht="15" x14ac:dyDescent="0.25">
      <c r="A1095" s="118"/>
      <c r="B1095" s="117" t="s">
        <v>94</v>
      </c>
      <c r="C1095" s="128">
        <f>C1083+C1093</f>
        <v>-15109300</v>
      </c>
      <c r="D1095" s="128">
        <f t="shared" ref="D1095:O1095" si="338">D1083+D1093</f>
        <v>-1881.4</v>
      </c>
      <c r="E1095" s="128">
        <f t="shared" si="338"/>
        <v>0</v>
      </c>
      <c r="F1095" s="128">
        <f t="shared" si="338"/>
        <v>-24589.75</v>
      </c>
      <c r="G1095" s="128">
        <f t="shared" si="338"/>
        <v>-15084710.25</v>
      </c>
      <c r="H1095" s="128">
        <f t="shared" si="338"/>
        <v>75.069999999999993</v>
      </c>
      <c r="I1095" s="128">
        <f t="shared" si="338"/>
        <v>0</v>
      </c>
      <c r="J1095" s="128">
        <f t="shared" si="338"/>
        <v>-7609300</v>
      </c>
      <c r="K1095" s="128">
        <f t="shared" si="338"/>
        <v>-7614218.5</v>
      </c>
      <c r="L1095" s="128">
        <f t="shared" si="338"/>
        <v>-7619472.551</v>
      </c>
      <c r="M1095" s="128">
        <f t="shared" si="338"/>
        <v>-7505305.1496607997</v>
      </c>
      <c r="N1095" s="128">
        <f t="shared" si="338"/>
        <v>0</v>
      </c>
      <c r="O1095" s="128">
        <f t="shared" si="338"/>
        <v>-7624968.288346</v>
      </c>
      <c r="P1095" s="123" t="str">
        <f t="shared" ref="P1095:P1158" si="339">MID(A1095,6,3)</f>
        <v/>
      </c>
    </row>
    <row r="1096" spans="1:16" s="114" customFormat="1" ht="15" x14ac:dyDescent="0.25">
      <c r="A1096" s="118"/>
      <c r="B1096" s="117"/>
      <c r="C1096" s="128"/>
      <c r="D1096" s="128"/>
      <c r="E1096" s="128"/>
      <c r="F1096" s="128"/>
      <c r="G1096" s="128"/>
      <c r="H1096" s="128"/>
      <c r="I1096" s="129">
        <f>LEDP!J204</f>
        <v>0</v>
      </c>
      <c r="J1096" s="129"/>
      <c r="K1096" s="129"/>
      <c r="L1096" s="129"/>
      <c r="M1096" s="186"/>
      <c r="N1096" s="186"/>
      <c r="O1096" s="128"/>
      <c r="P1096" s="123" t="str">
        <f t="shared" si="339"/>
        <v/>
      </c>
    </row>
    <row r="1097" spans="1:16" s="114" customFormat="1" ht="15" x14ac:dyDescent="0.25">
      <c r="A1097" s="118"/>
      <c r="B1097" s="117" t="s">
        <v>95</v>
      </c>
      <c r="C1097" s="128">
        <f>C1095</f>
        <v>-15109300</v>
      </c>
      <c r="D1097" s="128">
        <f t="shared" ref="D1097:O1097" si="340">D1095</f>
        <v>-1881.4</v>
      </c>
      <c r="E1097" s="128">
        <f t="shared" si="340"/>
        <v>0</v>
      </c>
      <c r="F1097" s="128">
        <f t="shared" si="340"/>
        <v>-24589.75</v>
      </c>
      <c r="G1097" s="128">
        <f t="shared" si="340"/>
        <v>-15084710.25</v>
      </c>
      <c r="H1097" s="128">
        <f t="shared" si="340"/>
        <v>75.069999999999993</v>
      </c>
      <c r="I1097" s="128">
        <f t="shared" si="340"/>
        <v>0</v>
      </c>
      <c r="J1097" s="128">
        <f t="shared" si="340"/>
        <v>-7609300</v>
      </c>
      <c r="K1097" s="128">
        <f t="shared" si="340"/>
        <v>-7614218.5</v>
      </c>
      <c r="L1097" s="128">
        <f t="shared" si="340"/>
        <v>-7619472.551</v>
      </c>
      <c r="M1097" s="128">
        <f t="shared" si="340"/>
        <v>-7505305.1496607997</v>
      </c>
      <c r="N1097" s="128">
        <f t="shared" si="340"/>
        <v>0</v>
      </c>
      <c r="O1097" s="128">
        <f t="shared" si="340"/>
        <v>-7624968.288346</v>
      </c>
      <c r="P1097" s="123" t="str">
        <f t="shared" si="339"/>
        <v/>
      </c>
    </row>
    <row r="1098" spans="1:16" s="114" customFormat="1" ht="15" x14ac:dyDescent="0.25">
      <c r="A1098" s="118"/>
      <c r="B1098" s="117"/>
      <c r="C1098" s="128"/>
      <c r="D1098" s="128"/>
      <c r="E1098" s="128"/>
      <c r="F1098" s="128"/>
      <c r="G1098" s="128"/>
      <c r="H1098" s="128"/>
      <c r="I1098" s="129">
        <f>LEDP!J206</f>
        <v>0</v>
      </c>
      <c r="J1098" s="129"/>
      <c r="K1098" s="129"/>
      <c r="L1098" s="129"/>
      <c r="M1098" s="186"/>
      <c r="N1098" s="186"/>
      <c r="O1098" s="128"/>
      <c r="P1098" s="123" t="str">
        <f t="shared" si="339"/>
        <v/>
      </c>
    </row>
    <row r="1099" spans="1:16" s="114" customFormat="1" ht="15" x14ac:dyDescent="0.25">
      <c r="A1099" s="118"/>
      <c r="B1099" s="117" t="s">
        <v>96</v>
      </c>
      <c r="C1099" s="128"/>
      <c r="D1099" s="128"/>
      <c r="E1099" s="128"/>
      <c r="F1099" s="128"/>
      <c r="G1099" s="128"/>
      <c r="H1099" s="128"/>
      <c r="I1099" s="129">
        <f>LEDP!J207</f>
        <v>0</v>
      </c>
      <c r="J1099" s="129"/>
      <c r="K1099" s="129"/>
      <c r="L1099" s="129"/>
      <c r="M1099" s="186"/>
      <c r="N1099" s="186"/>
      <c r="O1099" s="128"/>
      <c r="P1099" s="123" t="str">
        <f t="shared" si="339"/>
        <v/>
      </c>
    </row>
    <row r="1100" spans="1:16" s="114" customFormat="1" ht="15" x14ac:dyDescent="0.25">
      <c r="A1100" s="118"/>
      <c r="B1100" s="117" t="s">
        <v>97</v>
      </c>
      <c r="C1100" s="128"/>
      <c r="D1100" s="128"/>
      <c r="E1100" s="128"/>
      <c r="F1100" s="128"/>
      <c r="G1100" s="128"/>
      <c r="H1100" s="128"/>
      <c r="I1100" s="129">
        <f>LEDP!J208</f>
        <v>0</v>
      </c>
      <c r="J1100" s="129"/>
      <c r="K1100" s="129"/>
      <c r="L1100" s="129"/>
      <c r="M1100" s="186"/>
      <c r="N1100" s="186"/>
      <c r="O1100" s="128"/>
      <c r="P1100" s="123" t="str">
        <f t="shared" si="339"/>
        <v/>
      </c>
    </row>
    <row r="1101" spans="1:16" s="114" customFormat="1" ht="15" x14ac:dyDescent="0.25">
      <c r="A1101" s="118"/>
      <c r="B1101" s="117" t="s">
        <v>148</v>
      </c>
      <c r="C1101" s="128"/>
      <c r="D1101" s="128"/>
      <c r="E1101" s="128"/>
      <c r="F1101" s="128"/>
      <c r="G1101" s="128"/>
      <c r="H1101" s="128"/>
      <c r="I1101" s="129">
        <f>LEDP!J209</f>
        <v>0</v>
      </c>
      <c r="J1101" s="129"/>
      <c r="K1101" s="129"/>
      <c r="L1101" s="129"/>
      <c r="M1101" s="186"/>
      <c r="N1101" s="186"/>
      <c r="O1101" s="128"/>
      <c r="P1101" s="123" t="str">
        <f t="shared" si="339"/>
        <v/>
      </c>
    </row>
    <row r="1102" spans="1:16" s="114" customFormat="1" ht="15" x14ac:dyDescent="0.25">
      <c r="A1102" s="118"/>
      <c r="B1102" s="117" t="s">
        <v>149</v>
      </c>
      <c r="C1102" s="128"/>
      <c r="D1102" s="128"/>
      <c r="E1102" s="128"/>
      <c r="F1102" s="128"/>
      <c r="G1102" s="128"/>
      <c r="H1102" s="128"/>
      <c r="I1102" s="129">
        <f>LEDP!J210</f>
        <v>0</v>
      </c>
      <c r="J1102" s="129"/>
      <c r="K1102" s="129"/>
      <c r="L1102" s="129"/>
      <c r="M1102" s="186"/>
      <c r="N1102" s="186"/>
      <c r="O1102" s="128"/>
      <c r="P1102" s="123" t="str">
        <f t="shared" si="339"/>
        <v/>
      </c>
    </row>
    <row r="1103" spans="1:16" x14ac:dyDescent="0.2">
      <c r="A1103" s="119"/>
      <c r="B1103" s="120"/>
      <c r="C1103" s="129"/>
      <c r="D1103" s="129"/>
      <c r="E1103" s="129"/>
      <c r="F1103" s="129"/>
      <c r="G1103" s="129"/>
      <c r="H1103" s="129"/>
      <c r="I1103" s="129">
        <f>LEDP!J211</f>
        <v>0</v>
      </c>
      <c r="J1103" s="129"/>
      <c r="K1103" s="129"/>
      <c r="L1103" s="129"/>
      <c r="O1103" s="129"/>
      <c r="P1103" s="123" t="str">
        <f t="shared" si="339"/>
        <v/>
      </c>
    </row>
    <row r="1104" spans="1:16" x14ac:dyDescent="0.2">
      <c r="A1104" s="119" t="s">
        <v>546</v>
      </c>
      <c r="B1104" s="120" t="s">
        <v>150</v>
      </c>
      <c r="C1104" s="129">
        <v>1017319</v>
      </c>
      <c r="D1104" s="129">
        <v>82871.960000000006</v>
      </c>
      <c r="E1104" s="129">
        <v>0</v>
      </c>
      <c r="F1104" s="129">
        <v>495784.92</v>
      </c>
      <c r="G1104" s="129">
        <v>521534.08</v>
      </c>
      <c r="H1104" s="129">
        <v>48.73</v>
      </c>
      <c r="I1104" s="129">
        <f>LEDP!J212</f>
        <v>0</v>
      </c>
      <c r="J1104" s="129">
        <f>LEDP!K212</f>
        <v>1017319</v>
      </c>
      <c r="K1104" s="129">
        <f>LEDP!L212</f>
        <v>1080901.4375</v>
      </c>
      <c r="L1104" s="129">
        <f>LEDP!M212</f>
        <v>1156564.538125</v>
      </c>
      <c r="O1104" s="129">
        <f>LEDP!N212</f>
        <v>1237524.0557937499</v>
      </c>
      <c r="P1104" s="123" t="str">
        <f t="shared" si="339"/>
        <v>110</v>
      </c>
    </row>
    <row r="1105" spans="1:16" x14ac:dyDescent="0.2">
      <c r="A1105" s="119" t="s">
        <v>547</v>
      </c>
      <c r="B1105" s="120" t="s">
        <v>151</v>
      </c>
      <c r="C1105" s="129">
        <v>45594</v>
      </c>
      <c r="D1105" s="129">
        <v>16934.18</v>
      </c>
      <c r="E1105" s="129">
        <v>0</v>
      </c>
      <c r="F1105" s="129">
        <v>47076.9</v>
      </c>
      <c r="G1105" s="129">
        <v>-1482.9</v>
      </c>
      <c r="H1105" s="129">
        <v>103.25</v>
      </c>
      <c r="I1105" s="129">
        <f>LEDP!J213</f>
        <v>-28659.82</v>
      </c>
      <c r="J1105" s="129">
        <f>LEDP!K213</f>
        <v>16934.18</v>
      </c>
      <c r="K1105" s="129">
        <f>LEDP!L213</f>
        <v>17992.56625</v>
      </c>
      <c r="L1105" s="129">
        <f>LEDP!M213</f>
        <v>19252.0458875</v>
      </c>
      <c r="O1105" s="129">
        <f>LEDP!N213</f>
        <v>20599.689099625</v>
      </c>
      <c r="P1105" s="123" t="str">
        <f t="shared" si="339"/>
        <v>110</v>
      </c>
    </row>
    <row r="1106" spans="1:16" x14ac:dyDescent="0.2">
      <c r="A1106" s="119" t="s">
        <v>548</v>
      </c>
      <c r="B1106" s="120" t="s">
        <v>152</v>
      </c>
      <c r="C1106" s="129">
        <v>38100</v>
      </c>
      <c r="D1106" s="129">
        <v>3172.75</v>
      </c>
      <c r="E1106" s="129">
        <v>0</v>
      </c>
      <c r="F1106" s="129">
        <v>19036.5</v>
      </c>
      <c r="G1106" s="129">
        <v>19063.5</v>
      </c>
      <c r="H1106" s="129">
        <v>49.96</v>
      </c>
      <c r="I1106" s="129">
        <f>LEDP!J214</f>
        <v>0</v>
      </c>
      <c r="J1106" s="129">
        <f>LEDP!K214</f>
        <v>38100</v>
      </c>
      <c r="K1106" s="129">
        <f>LEDP!L214</f>
        <v>40481.25</v>
      </c>
      <c r="L1106" s="129">
        <f>LEDP!M214</f>
        <v>43314.9375</v>
      </c>
      <c r="O1106" s="129">
        <f>LEDP!N214</f>
        <v>46346.983124999999</v>
      </c>
      <c r="P1106" s="123" t="str">
        <f t="shared" si="339"/>
        <v>110</v>
      </c>
    </row>
    <row r="1107" spans="1:16" x14ac:dyDescent="0.2">
      <c r="A1107" s="119" t="s">
        <v>549</v>
      </c>
      <c r="B1107" s="120" t="s">
        <v>153</v>
      </c>
      <c r="C1107" s="129">
        <v>10893</v>
      </c>
      <c r="D1107" s="129">
        <v>0</v>
      </c>
      <c r="E1107" s="129">
        <v>0</v>
      </c>
      <c r="F1107" s="129">
        <v>0</v>
      </c>
      <c r="G1107" s="129">
        <v>10893</v>
      </c>
      <c r="H1107" s="129">
        <v>0</v>
      </c>
      <c r="I1107" s="129">
        <f>LEDP!J215</f>
        <v>0</v>
      </c>
      <c r="J1107" s="129">
        <f>LEDP!K215</f>
        <v>10893</v>
      </c>
      <c r="K1107" s="129">
        <f>LEDP!L215</f>
        <v>11573.8125</v>
      </c>
      <c r="L1107" s="129">
        <f>LEDP!M215</f>
        <v>12383.979375000001</v>
      </c>
      <c r="O1107" s="129">
        <f>LEDP!N215</f>
        <v>13250.857931250001</v>
      </c>
      <c r="P1107" s="123" t="str">
        <f t="shared" si="339"/>
        <v>110</v>
      </c>
    </row>
    <row r="1108" spans="1:16" x14ac:dyDescent="0.2">
      <c r="A1108" s="119" t="s">
        <v>550</v>
      </c>
      <c r="B1108" s="120" t="s">
        <v>155</v>
      </c>
      <c r="C1108" s="129">
        <v>32378</v>
      </c>
      <c r="D1108" s="129">
        <v>0</v>
      </c>
      <c r="E1108" s="129">
        <v>0</v>
      </c>
      <c r="F1108" s="129">
        <v>0</v>
      </c>
      <c r="G1108" s="129">
        <v>32378</v>
      </c>
      <c r="H1108" s="129">
        <v>0</v>
      </c>
      <c r="I1108" s="129">
        <f>LEDP!J216</f>
        <v>0</v>
      </c>
      <c r="J1108" s="129">
        <f>LEDP!K216</f>
        <v>32378</v>
      </c>
      <c r="K1108" s="129">
        <f>LEDP!L216</f>
        <v>34401.625</v>
      </c>
      <c r="L1108" s="129">
        <f>LEDP!M216</f>
        <v>36809.738749999997</v>
      </c>
      <c r="O1108" s="129">
        <f>LEDP!N216</f>
        <v>39386.420462499998</v>
      </c>
      <c r="P1108" s="123" t="str">
        <f t="shared" si="339"/>
        <v>110</v>
      </c>
    </row>
    <row r="1109" spans="1:16" x14ac:dyDescent="0.2">
      <c r="A1109" s="119" t="s">
        <v>551</v>
      </c>
      <c r="B1109" s="120" t="s">
        <v>156</v>
      </c>
      <c r="C1109" s="129">
        <v>243929</v>
      </c>
      <c r="D1109" s="129">
        <v>20718</v>
      </c>
      <c r="E1109" s="129">
        <v>0</v>
      </c>
      <c r="F1109" s="129">
        <v>123946.28</v>
      </c>
      <c r="G1109" s="129">
        <v>119982.72</v>
      </c>
      <c r="H1109" s="129">
        <v>50.81</v>
      </c>
      <c r="I1109" s="129">
        <f>LEDP!J217</f>
        <v>0</v>
      </c>
      <c r="J1109" s="129">
        <f>LEDP!K217</f>
        <v>243929</v>
      </c>
      <c r="K1109" s="129">
        <f>LEDP!L217</f>
        <v>259174.5625</v>
      </c>
      <c r="L1109" s="129">
        <f>LEDP!M217</f>
        <v>277316.78187499999</v>
      </c>
      <c r="O1109" s="129">
        <f>LEDP!N217</f>
        <v>296728.95660624997</v>
      </c>
      <c r="P1109" s="123" t="str">
        <f t="shared" si="339"/>
        <v>110</v>
      </c>
    </row>
    <row r="1110" spans="1:16" x14ac:dyDescent="0.2">
      <c r="A1110" s="119" t="s">
        <v>552</v>
      </c>
      <c r="B1110" s="120" t="s">
        <v>158</v>
      </c>
      <c r="C1110" s="129">
        <v>0</v>
      </c>
      <c r="D1110" s="129">
        <v>0</v>
      </c>
      <c r="E1110" s="129">
        <v>0</v>
      </c>
      <c r="F1110" s="129">
        <v>6052.18</v>
      </c>
      <c r="G1110" s="129">
        <v>-6052.18</v>
      </c>
      <c r="H1110" s="129">
        <v>0</v>
      </c>
      <c r="I1110" s="129">
        <f>LEDP!J218</f>
        <v>0</v>
      </c>
      <c r="J1110" s="129">
        <f>LEDP!K218</f>
        <v>0</v>
      </c>
      <c r="K1110" s="129">
        <f>LEDP!L218</f>
        <v>0</v>
      </c>
      <c r="L1110" s="129">
        <f>LEDP!M218</f>
        <v>0</v>
      </c>
      <c r="O1110" s="129">
        <f>LEDP!N218</f>
        <v>0</v>
      </c>
      <c r="P1110" s="123" t="str">
        <f t="shared" si="339"/>
        <v>110</v>
      </c>
    </row>
    <row r="1111" spans="1:16" x14ac:dyDescent="0.2">
      <c r="A1111" s="119" t="s">
        <v>553</v>
      </c>
      <c r="B1111" s="120" t="s">
        <v>159</v>
      </c>
      <c r="C1111" s="129">
        <v>81310</v>
      </c>
      <c r="D1111" s="129">
        <v>0</v>
      </c>
      <c r="E1111" s="129">
        <v>0</v>
      </c>
      <c r="F1111" s="129">
        <v>0</v>
      </c>
      <c r="G1111" s="129">
        <v>81310</v>
      </c>
      <c r="H1111" s="129">
        <v>0</v>
      </c>
      <c r="I1111" s="129">
        <f>LEDP!J219</f>
        <v>0</v>
      </c>
      <c r="J1111" s="129">
        <f>LEDP!K219</f>
        <v>81310</v>
      </c>
      <c r="K1111" s="129">
        <f>LEDP!L219</f>
        <v>86391.875</v>
      </c>
      <c r="L1111" s="129">
        <f>LEDP!M219</f>
        <v>92439.306249999994</v>
      </c>
      <c r="O1111" s="129">
        <f>LEDP!N219</f>
        <v>98910.057687499997</v>
      </c>
      <c r="P1111" s="123" t="str">
        <f t="shared" si="339"/>
        <v>110</v>
      </c>
    </row>
    <row r="1112" spans="1:16" x14ac:dyDescent="0.2">
      <c r="A1112" s="119" t="s">
        <v>554</v>
      </c>
      <c r="B1112" s="120" t="s">
        <v>164</v>
      </c>
      <c r="C1112" s="129">
        <v>15692</v>
      </c>
      <c r="D1112" s="129">
        <v>1307.7</v>
      </c>
      <c r="E1112" s="129">
        <v>0</v>
      </c>
      <c r="F1112" s="129">
        <v>7846.2</v>
      </c>
      <c r="G1112" s="129">
        <v>7845.8</v>
      </c>
      <c r="H1112" s="129">
        <v>50</v>
      </c>
      <c r="I1112" s="129">
        <f>LEDP!J220</f>
        <v>0</v>
      </c>
      <c r="J1112" s="129">
        <f>LEDP!K220</f>
        <v>15692</v>
      </c>
      <c r="K1112" s="129">
        <f>LEDP!L220</f>
        <v>16672.75</v>
      </c>
      <c r="L1112" s="129">
        <f>LEDP!M220</f>
        <v>17839.842499999999</v>
      </c>
      <c r="O1112" s="129">
        <f>LEDP!N220</f>
        <v>19088.631474999998</v>
      </c>
      <c r="P1112" s="123" t="str">
        <f t="shared" si="339"/>
        <v>110</v>
      </c>
    </row>
    <row r="1113" spans="1:16" x14ac:dyDescent="0.2">
      <c r="A1113" s="119"/>
      <c r="B1113" s="120"/>
      <c r="C1113" s="129"/>
      <c r="D1113" s="129"/>
      <c r="E1113" s="129"/>
      <c r="F1113" s="129"/>
      <c r="G1113" s="129"/>
      <c r="H1113" s="129"/>
      <c r="I1113" s="129">
        <f>LEDP!J221</f>
        <v>0</v>
      </c>
      <c r="J1113" s="129"/>
      <c r="K1113" s="129"/>
      <c r="L1113" s="129"/>
      <c r="O1113" s="129"/>
      <c r="P1113" s="123" t="str">
        <f t="shared" si="339"/>
        <v/>
      </c>
    </row>
    <row r="1114" spans="1:16" s="114" customFormat="1" ht="15" x14ac:dyDescent="0.25">
      <c r="A1114" s="118"/>
      <c r="B1114" s="117" t="s">
        <v>165</v>
      </c>
      <c r="C1114" s="128">
        <f>SUM(C1104:C1113)</f>
        <v>1485215</v>
      </c>
      <c r="D1114" s="128">
        <f t="shared" ref="D1114:O1114" si="341">SUM(D1104:D1113)</f>
        <v>125004.59000000001</v>
      </c>
      <c r="E1114" s="128">
        <f t="shared" si="341"/>
        <v>0</v>
      </c>
      <c r="F1114" s="128">
        <f t="shared" si="341"/>
        <v>699742.98</v>
      </c>
      <c r="G1114" s="128">
        <f t="shared" si="341"/>
        <v>785472.0199999999</v>
      </c>
      <c r="H1114" s="128">
        <f t="shared" si="341"/>
        <v>302.75</v>
      </c>
      <c r="I1114" s="128">
        <f t="shared" si="341"/>
        <v>-28659.82</v>
      </c>
      <c r="J1114" s="128">
        <f t="shared" si="341"/>
        <v>1456555.1800000002</v>
      </c>
      <c r="K1114" s="128">
        <f t="shared" si="341"/>
        <v>1547589.8787499999</v>
      </c>
      <c r="L1114" s="128">
        <f t="shared" si="341"/>
        <v>1655921.1702624999</v>
      </c>
      <c r="M1114" s="128">
        <f t="shared" si="341"/>
        <v>0</v>
      </c>
      <c r="N1114" s="128">
        <f t="shared" si="341"/>
        <v>0</v>
      </c>
      <c r="O1114" s="128">
        <f t="shared" si="341"/>
        <v>1771835.652180875</v>
      </c>
      <c r="P1114" s="123" t="str">
        <f t="shared" si="339"/>
        <v/>
      </c>
    </row>
    <row r="1115" spans="1:16" s="114" customFormat="1" ht="15" x14ac:dyDescent="0.25">
      <c r="A1115" s="118"/>
      <c r="B1115" s="117"/>
      <c r="C1115" s="128"/>
      <c r="D1115" s="128"/>
      <c r="E1115" s="128"/>
      <c r="F1115" s="128"/>
      <c r="G1115" s="128"/>
      <c r="H1115" s="128"/>
      <c r="I1115" s="129">
        <f>LEDP!J223</f>
        <v>0</v>
      </c>
      <c r="J1115" s="129"/>
      <c r="K1115" s="129"/>
      <c r="L1115" s="129"/>
      <c r="M1115" s="186"/>
      <c r="N1115" s="186"/>
      <c r="O1115" s="128"/>
      <c r="P1115" s="123" t="str">
        <f t="shared" si="339"/>
        <v/>
      </c>
    </row>
    <row r="1116" spans="1:16" s="114" customFormat="1" ht="15" x14ac:dyDescent="0.25">
      <c r="A1116" s="118"/>
      <c r="B1116" s="117" t="s">
        <v>166</v>
      </c>
      <c r="C1116" s="128"/>
      <c r="D1116" s="128"/>
      <c r="E1116" s="128"/>
      <c r="F1116" s="128"/>
      <c r="G1116" s="128"/>
      <c r="H1116" s="128"/>
      <c r="I1116" s="129">
        <f>LEDP!J224</f>
        <v>0</v>
      </c>
      <c r="J1116" s="129"/>
      <c r="K1116" s="129"/>
      <c r="L1116" s="129"/>
      <c r="M1116" s="186"/>
      <c r="N1116" s="186"/>
      <c r="O1116" s="128"/>
      <c r="P1116" s="123" t="str">
        <f t="shared" si="339"/>
        <v/>
      </c>
    </row>
    <row r="1117" spans="1:16" s="114" customFormat="1" ht="15" x14ac:dyDescent="0.25">
      <c r="A1117" s="118"/>
      <c r="B1117" s="117"/>
      <c r="C1117" s="128"/>
      <c r="D1117" s="128"/>
      <c r="E1117" s="128"/>
      <c r="F1117" s="128"/>
      <c r="G1117" s="128"/>
      <c r="H1117" s="128"/>
      <c r="I1117" s="129">
        <f>LEDP!J225</f>
        <v>0</v>
      </c>
      <c r="J1117" s="129"/>
      <c r="K1117" s="129"/>
      <c r="L1117" s="129"/>
      <c r="M1117" s="186"/>
      <c r="N1117" s="186"/>
      <c r="O1117" s="128"/>
      <c r="P1117" s="123" t="str">
        <f t="shared" si="339"/>
        <v/>
      </c>
    </row>
    <row r="1118" spans="1:16" x14ac:dyDescent="0.2">
      <c r="A1118" s="119" t="s">
        <v>555</v>
      </c>
      <c r="B1118" s="120" t="s">
        <v>167</v>
      </c>
      <c r="C1118" s="129">
        <v>225</v>
      </c>
      <c r="D1118" s="129">
        <v>18.64</v>
      </c>
      <c r="E1118" s="129">
        <v>0</v>
      </c>
      <c r="F1118" s="129">
        <v>111.84</v>
      </c>
      <c r="G1118" s="129">
        <v>113.16</v>
      </c>
      <c r="H1118" s="129">
        <v>49.7</v>
      </c>
      <c r="I1118" s="129">
        <f>LEDP!J226</f>
        <v>0</v>
      </c>
      <c r="J1118" s="129">
        <f>LEDP!K226</f>
        <v>225</v>
      </c>
      <c r="K1118" s="129">
        <f>LEDP!L226</f>
        <v>239.0625</v>
      </c>
      <c r="L1118" s="129">
        <f>LEDP!M226</f>
        <v>255.796875</v>
      </c>
      <c r="O1118" s="129">
        <f>LEDP!N226</f>
        <v>273.70265625000002</v>
      </c>
      <c r="P1118" s="123" t="str">
        <f t="shared" si="339"/>
        <v>130</v>
      </c>
    </row>
    <row r="1119" spans="1:16" x14ac:dyDescent="0.2">
      <c r="A1119" s="119" t="s">
        <v>556</v>
      </c>
      <c r="B1119" s="120" t="s">
        <v>168</v>
      </c>
      <c r="C1119" s="129">
        <v>107816</v>
      </c>
      <c r="D1119" s="129">
        <v>6468</v>
      </c>
      <c r="E1119" s="129">
        <v>0</v>
      </c>
      <c r="F1119" s="129">
        <v>38808</v>
      </c>
      <c r="G1119" s="129">
        <v>69008</v>
      </c>
      <c r="H1119" s="129">
        <v>35.99</v>
      </c>
      <c r="I1119" s="129">
        <f>LEDP!J227</f>
        <v>0</v>
      </c>
      <c r="J1119" s="129">
        <f>LEDP!K227</f>
        <v>107816</v>
      </c>
      <c r="K1119" s="129">
        <f>LEDP!L227</f>
        <v>114554.5</v>
      </c>
      <c r="L1119" s="129">
        <f>LEDP!M227</f>
        <v>122573.315</v>
      </c>
      <c r="O1119" s="129">
        <f>LEDP!N227</f>
        <v>131153.44705000002</v>
      </c>
      <c r="P1119" s="123" t="str">
        <f t="shared" si="339"/>
        <v>130</v>
      </c>
    </row>
    <row r="1120" spans="1:16" x14ac:dyDescent="0.2">
      <c r="A1120" s="119" t="s">
        <v>557</v>
      </c>
      <c r="B1120" s="120" t="s">
        <v>169</v>
      </c>
      <c r="C1120" s="129">
        <v>214658</v>
      </c>
      <c r="D1120" s="129">
        <v>14916.96</v>
      </c>
      <c r="E1120" s="129">
        <v>0</v>
      </c>
      <c r="F1120" s="129">
        <v>89241.32</v>
      </c>
      <c r="G1120" s="129">
        <v>125416.68</v>
      </c>
      <c r="H1120" s="129">
        <v>41.57</v>
      </c>
      <c r="I1120" s="129">
        <f>LEDP!J228</f>
        <v>0</v>
      </c>
      <c r="J1120" s="129">
        <f>LEDP!K228</f>
        <v>214658</v>
      </c>
      <c r="K1120" s="129">
        <f>LEDP!L228</f>
        <v>228074.125</v>
      </c>
      <c r="L1120" s="129">
        <f>LEDP!M228</f>
        <v>244039.31375</v>
      </c>
      <c r="O1120" s="129">
        <f>LEDP!N228</f>
        <v>261122.06571250001</v>
      </c>
      <c r="P1120" s="123" t="str">
        <f t="shared" si="339"/>
        <v>130</v>
      </c>
    </row>
    <row r="1121" spans="1:16" x14ac:dyDescent="0.2">
      <c r="A1121" s="119" t="s">
        <v>558</v>
      </c>
      <c r="B1121" s="120" t="s">
        <v>170</v>
      </c>
      <c r="C1121" s="129">
        <v>5355</v>
      </c>
      <c r="D1121" s="129">
        <v>297.44</v>
      </c>
      <c r="E1121" s="129">
        <v>0</v>
      </c>
      <c r="F1121" s="129">
        <v>1784.64</v>
      </c>
      <c r="G1121" s="129">
        <v>3570.36</v>
      </c>
      <c r="H1121" s="129">
        <v>33.32</v>
      </c>
      <c r="I1121" s="129">
        <f>LEDP!J229</f>
        <v>0</v>
      </c>
      <c r="J1121" s="129">
        <f>LEDP!K229</f>
        <v>5355</v>
      </c>
      <c r="K1121" s="129">
        <f>LEDP!L229</f>
        <v>5689.6875</v>
      </c>
      <c r="L1121" s="129">
        <f>LEDP!M229</f>
        <v>6087.9656249999998</v>
      </c>
      <c r="O1121" s="129">
        <f>LEDP!N229</f>
        <v>6514.12321875</v>
      </c>
      <c r="P1121" s="123" t="str">
        <f t="shared" si="339"/>
        <v>130</v>
      </c>
    </row>
    <row r="1122" spans="1:16" x14ac:dyDescent="0.2">
      <c r="A1122" s="119"/>
      <c r="B1122" s="120"/>
      <c r="C1122" s="129"/>
      <c r="D1122" s="129"/>
      <c r="E1122" s="129"/>
      <c r="F1122" s="129"/>
      <c r="G1122" s="129"/>
      <c r="H1122" s="129"/>
      <c r="I1122" s="129">
        <f>LEDP!J230</f>
        <v>0</v>
      </c>
      <c r="J1122" s="129"/>
      <c r="K1122" s="129"/>
      <c r="L1122" s="129"/>
      <c r="O1122" s="129"/>
      <c r="P1122" s="123" t="str">
        <f t="shared" si="339"/>
        <v/>
      </c>
    </row>
    <row r="1123" spans="1:16" s="114" customFormat="1" ht="15" x14ac:dyDescent="0.25">
      <c r="A1123" s="118"/>
      <c r="B1123" s="117" t="s">
        <v>171</v>
      </c>
      <c r="C1123" s="128">
        <f>SUM(C1118:C1122)</f>
        <v>328054</v>
      </c>
      <c r="D1123" s="128">
        <f t="shared" ref="D1123:O1123" si="342">SUM(D1118:D1122)</f>
        <v>21701.039999999997</v>
      </c>
      <c r="E1123" s="128">
        <f t="shared" si="342"/>
        <v>0</v>
      </c>
      <c r="F1123" s="128">
        <f t="shared" si="342"/>
        <v>129945.8</v>
      </c>
      <c r="G1123" s="128">
        <f t="shared" si="342"/>
        <v>198108.19999999998</v>
      </c>
      <c r="H1123" s="128">
        <f t="shared" si="342"/>
        <v>160.57999999999998</v>
      </c>
      <c r="I1123" s="128">
        <f t="shared" si="342"/>
        <v>0</v>
      </c>
      <c r="J1123" s="128">
        <f t="shared" si="342"/>
        <v>328054</v>
      </c>
      <c r="K1123" s="128">
        <f t="shared" si="342"/>
        <v>348557.375</v>
      </c>
      <c r="L1123" s="128">
        <f t="shared" si="342"/>
        <v>372956.39125000004</v>
      </c>
      <c r="M1123" s="128">
        <f t="shared" si="342"/>
        <v>0</v>
      </c>
      <c r="N1123" s="128">
        <f t="shared" si="342"/>
        <v>0</v>
      </c>
      <c r="O1123" s="128">
        <f t="shared" si="342"/>
        <v>399063.33863750007</v>
      </c>
      <c r="P1123" s="123" t="str">
        <f t="shared" si="339"/>
        <v/>
      </c>
    </row>
    <row r="1124" spans="1:16" s="114" customFormat="1" ht="15" x14ac:dyDescent="0.25">
      <c r="A1124" s="118"/>
      <c r="B1124" s="117"/>
      <c r="C1124" s="128"/>
      <c r="D1124" s="128"/>
      <c r="E1124" s="128"/>
      <c r="F1124" s="128"/>
      <c r="G1124" s="128"/>
      <c r="H1124" s="128"/>
      <c r="I1124" s="129">
        <f>LEDP!J232</f>
        <v>0</v>
      </c>
      <c r="J1124" s="129"/>
      <c r="K1124" s="129"/>
      <c r="L1124" s="129"/>
      <c r="M1124" s="186"/>
      <c r="N1124" s="186"/>
      <c r="O1124" s="128"/>
      <c r="P1124" s="123" t="str">
        <f t="shared" si="339"/>
        <v/>
      </c>
    </row>
    <row r="1125" spans="1:16" s="114" customFormat="1" ht="15" x14ac:dyDescent="0.25">
      <c r="A1125" s="118"/>
      <c r="B1125" s="117" t="s">
        <v>172</v>
      </c>
      <c r="C1125" s="128"/>
      <c r="D1125" s="128"/>
      <c r="E1125" s="128"/>
      <c r="F1125" s="128"/>
      <c r="G1125" s="128"/>
      <c r="H1125" s="128"/>
      <c r="I1125" s="129">
        <f>LEDP!J233</f>
        <v>0</v>
      </c>
      <c r="J1125" s="129"/>
      <c r="K1125" s="129"/>
      <c r="L1125" s="129"/>
      <c r="M1125" s="186"/>
      <c r="N1125" s="186"/>
      <c r="O1125" s="128"/>
      <c r="P1125" s="123" t="str">
        <f t="shared" si="339"/>
        <v/>
      </c>
    </row>
    <row r="1126" spans="1:16" x14ac:dyDescent="0.2">
      <c r="A1126" s="119"/>
      <c r="B1126" s="120"/>
      <c r="C1126" s="129"/>
      <c r="D1126" s="129"/>
      <c r="E1126" s="129"/>
      <c r="F1126" s="129"/>
      <c r="G1126" s="129"/>
      <c r="H1126" s="129"/>
      <c r="I1126" s="129">
        <f>LEDP!J234</f>
        <v>0</v>
      </c>
      <c r="J1126" s="129"/>
      <c r="K1126" s="129"/>
      <c r="L1126" s="129"/>
      <c r="O1126" s="129"/>
      <c r="P1126" s="123" t="str">
        <f t="shared" si="339"/>
        <v/>
      </c>
    </row>
    <row r="1127" spans="1:16" x14ac:dyDescent="0.2">
      <c r="A1127" s="119" t="s">
        <v>559</v>
      </c>
      <c r="B1127" s="120" t="s">
        <v>173</v>
      </c>
      <c r="C1127" s="129">
        <v>881</v>
      </c>
      <c r="D1127" s="129">
        <v>0</v>
      </c>
      <c r="E1127" s="129">
        <v>0</v>
      </c>
      <c r="F1127" s="129">
        <v>0</v>
      </c>
      <c r="G1127" s="129">
        <v>881</v>
      </c>
      <c r="H1127" s="129">
        <v>0</v>
      </c>
      <c r="I1127" s="129">
        <f>LEDP!J235</f>
        <v>0</v>
      </c>
      <c r="J1127" s="129">
        <f>LEDP!K235</f>
        <v>881</v>
      </c>
      <c r="K1127" s="129">
        <f>LEDP!L235</f>
        <v>936.0625</v>
      </c>
      <c r="L1127" s="129">
        <f>LEDP!M235</f>
        <v>1001.586875</v>
      </c>
      <c r="O1127" s="129">
        <f>LEDP!N235</f>
        <v>1071.6979562500001</v>
      </c>
      <c r="P1127" s="123" t="str">
        <f t="shared" si="339"/>
        <v>140</v>
      </c>
    </row>
    <row r="1128" spans="1:16" x14ac:dyDescent="0.2">
      <c r="A1128" s="119" t="s">
        <v>560</v>
      </c>
      <c r="B1128" s="120" t="s">
        <v>174</v>
      </c>
      <c r="C1128" s="129">
        <v>275</v>
      </c>
      <c r="D1128" s="129">
        <v>0</v>
      </c>
      <c r="E1128" s="129">
        <v>0</v>
      </c>
      <c r="F1128" s="129">
        <v>0</v>
      </c>
      <c r="G1128" s="129">
        <v>275</v>
      </c>
      <c r="H1128" s="129">
        <v>0</v>
      </c>
      <c r="I1128" s="129">
        <f>LEDP!J236</f>
        <v>0</v>
      </c>
      <c r="J1128" s="129">
        <f>LEDP!K236</f>
        <v>275</v>
      </c>
      <c r="K1128" s="129">
        <f>LEDP!L236</f>
        <v>292.1875</v>
      </c>
      <c r="L1128" s="129">
        <f>LEDP!M236</f>
        <v>312.640625</v>
      </c>
      <c r="O1128" s="129">
        <f>LEDP!N236</f>
        <v>334.52546875000002</v>
      </c>
      <c r="P1128" s="123" t="str">
        <f t="shared" si="339"/>
        <v>140</v>
      </c>
    </row>
    <row r="1129" spans="1:16" x14ac:dyDescent="0.2">
      <c r="A1129" s="119" t="s">
        <v>561</v>
      </c>
      <c r="B1129" s="120" t="s">
        <v>175</v>
      </c>
      <c r="C1129" s="129">
        <v>10931</v>
      </c>
      <c r="D1129" s="129">
        <v>0</v>
      </c>
      <c r="E1129" s="129">
        <v>0</v>
      </c>
      <c r="F1129" s="129">
        <v>0</v>
      </c>
      <c r="G1129" s="129">
        <v>10931</v>
      </c>
      <c r="H1129" s="129">
        <v>0</v>
      </c>
      <c r="I1129" s="129">
        <f>LEDP!J237</f>
        <v>0</v>
      </c>
      <c r="J1129" s="129">
        <f>LEDP!K237</f>
        <v>10931</v>
      </c>
      <c r="K1129" s="129">
        <f>LEDP!L237</f>
        <v>11614.1875</v>
      </c>
      <c r="L1129" s="129">
        <f>LEDP!M237</f>
        <v>12427.180625000001</v>
      </c>
      <c r="O1129" s="129">
        <f>LEDP!N237</f>
        <v>13297.083268750001</v>
      </c>
      <c r="P1129" s="123" t="str">
        <f t="shared" si="339"/>
        <v>142</v>
      </c>
    </row>
    <row r="1130" spans="1:16" x14ac:dyDescent="0.2">
      <c r="A1130" s="119"/>
      <c r="B1130" s="120"/>
      <c r="C1130" s="129"/>
      <c r="D1130" s="129"/>
      <c r="E1130" s="129"/>
      <c r="F1130" s="129"/>
      <c r="G1130" s="129"/>
      <c r="H1130" s="129"/>
      <c r="I1130" s="129">
        <f>LEDP!J238</f>
        <v>0</v>
      </c>
      <c r="J1130" s="129"/>
      <c r="K1130" s="129"/>
      <c r="L1130" s="129"/>
      <c r="O1130" s="129"/>
      <c r="P1130" s="123" t="str">
        <f t="shared" si="339"/>
        <v/>
      </c>
    </row>
    <row r="1131" spans="1:16" s="114" customFormat="1" ht="15" x14ac:dyDescent="0.25">
      <c r="A1131" s="118"/>
      <c r="B1131" s="117" t="s">
        <v>176</v>
      </c>
      <c r="C1131" s="128">
        <f>SUM(C1127:C1130)</f>
        <v>12087</v>
      </c>
      <c r="D1131" s="128">
        <f t="shared" ref="D1131:O1131" si="343">SUM(D1127:D1130)</f>
        <v>0</v>
      </c>
      <c r="E1131" s="128">
        <f t="shared" si="343"/>
        <v>0</v>
      </c>
      <c r="F1131" s="128">
        <f t="shared" si="343"/>
        <v>0</v>
      </c>
      <c r="G1131" s="128">
        <f t="shared" si="343"/>
        <v>12087</v>
      </c>
      <c r="H1131" s="128">
        <f t="shared" si="343"/>
        <v>0</v>
      </c>
      <c r="I1131" s="128">
        <f t="shared" si="343"/>
        <v>0</v>
      </c>
      <c r="J1131" s="128">
        <f t="shared" si="343"/>
        <v>12087</v>
      </c>
      <c r="K1131" s="128">
        <f t="shared" si="343"/>
        <v>12842.4375</v>
      </c>
      <c r="L1131" s="128">
        <f t="shared" si="343"/>
        <v>13741.408125000002</v>
      </c>
      <c r="M1131" s="128">
        <f t="shared" si="343"/>
        <v>0</v>
      </c>
      <c r="N1131" s="128">
        <f t="shared" si="343"/>
        <v>0</v>
      </c>
      <c r="O1131" s="128">
        <f t="shared" si="343"/>
        <v>14703.306693750001</v>
      </c>
      <c r="P1131" s="123" t="str">
        <f t="shared" si="339"/>
        <v/>
      </c>
    </row>
    <row r="1132" spans="1:16" x14ac:dyDescent="0.2">
      <c r="A1132" s="119"/>
      <c r="B1132" s="120"/>
      <c r="C1132" s="129"/>
      <c r="D1132" s="129"/>
      <c r="E1132" s="129"/>
      <c r="F1132" s="129"/>
      <c r="G1132" s="129"/>
      <c r="H1132" s="129"/>
      <c r="I1132" s="129">
        <f>LEDP!J240</f>
        <v>0</v>
      </c>
      <c r="J1132" s="129"/>
      <c r="K1132" s="129"/>
      <c r="L1132" s="129"/>
      <c r="O1132" s="129"/>
      <c r="P1132" s="123" t="str">
        <f t="shared" si="339"/>
        <v/>
      </c>
    </row>
    <row r="1133" spans="1:16" s="114" customFormat="1" ht="15" x14ac:dyDescent="0.25">
      <c r="A1133" s="118"/>
      <c r="B1133" s="117" t="s">
        <v>177</v>
      </c>
      <c r="C1133" s="128">
        <f>C1114+C1123+C1131</f>
        <v>1825356</v>
      </c>
      <c r="D1133" s="128">
        <f t="shared" ref="D1133:O1133" si="344">D1114+D1123+D1131</f>
        <v>146705.63</v>
      </c>
      <c r="E1133" s="128">
        <f t="shared" si="344"/>
        <v>0</v>
      </c>
      <c r="F1133" s="128">
        <f t="shared" si="344"/>
        <v>829688.78</v>
      </c>
      <c r="G1133" s="128">
        <f t="shared" si="344"/>
        <v>995667.21999999986</v>
      </c>
      <c r="H1133" s="128">
        <f t="shared" si="344"/>
        <v>463.33</v>
      </c>
      <c r="I1133" s="128">
        <f t="shared" si="344"/>
        <v>-28659.82</v>
      </c>
      <c r="J1133" s="128">
        <f t="shared" si="344"/>
        <v>1796696.1800000002</v>
      </c>
      <c r="K1133" s="128">
        <f t="shared" si="344"/>
        <v>1908989.6912499999</v>
      </c>
      <c r="L1133" s="128">
        <f t="shared" si="344"/>
        <v>2042618.9696375001</v>
      </c>
      <c r="M1133" s="128">
        <f t="shared" si="344"/>
        <v>0</v>
      </c>
      <c r="N1133" s="128">
        <f t="shared" si="344"/>
        <v>0</v>
      </c>
      <c r="O1133" s="128">
        <f t="shared" si="344"/>
        <v>2185602.2975121248</v>
      </c>
      <c r="P1133" s="123" t="str">
        <f t="shared" si="339"/>
        <v/>
      </c>
    </row>
    <row r="1134" spans="1:16" s="114" customFormat="1" ht="15" x14ac:dyDescent="0.25">
      <c r="A1134" s="118"/>
      <c r="B1134" s="117"/>
      <c r="C1134" s="128"/>
      <c r="D1134" s="128"/>
      <c r="E1134" s="128"/>
      <c r="F1134" s="128"/>
      <c r="G1134" s="128"/>
      <c r="H1134" s="128"/>
      <c r="I1134" s="129">
        <f>LEDP!J242</f>
        <v>0</v>
      </c>
      <c r="J1134" s="129"/>
      <c r="K1134" s="129"/>
      <c r="L1134" s="129"/>
      <c r="M1134" s="186"/>
      <c r="N1134" s="186"/>
      <c r="O1134" s="128"/>
      <c r="P1134" s="123" t="str">
        <f t="shared" si="339"/>
        <v/>
      </c>
    </row>
    <row r="1135" spans="1:16" s="114" customFormat="1" ht="15" x14ac:dyDescent="0.25">
      <c r="A1135" s="118"/>
      <c r="B1135" s="117" t="s">
        <v>178</v>
      </c>
      <c r="C1135" s="128">
        <f>C1133</f>
        <v>1825356</v>
      </c>
      <c r="D1135" s="128">
        <f t="shared" ref="D1135:O1135" si="345">D1133</f>
        <v>146705.63</v>
      </c>
      <c r="E1135" s="128">
        <f t="shared" si="345"/>
        <v>0</v>
      </c>
      <c r="F1135" s="128">
        <f t="shared" si="345"/>
        <v>829688.78</v>
      </c>
      <c r="G1135" s="128">
        <f t="shared" si="345"/>
        <v>995667.21999999986</v>
      </c>
      <c r="H1135" s="128">
        <f t="shared" si="345"/>
        <v>463.33</v>
      </c>
      <c r="I1135" s="128">
        <f t="shared" si="345"/>
        <v>-28659.82</v>
      </c>
      <c r="J1135" s="128">
        <f t="shared" si="345"/>
        <v>1796696.1800000002</v>
      </c>
      <c r="K1135" s="128">
        <f t="shared" si="345"/>
        <v>1908989.6912499999</v>
      </c>
      <c r="L1135" s="128">
        <f t="shared" si="345"/>
        <v>2042618.9696375001</v>
      </c>
      <c r="M1135" s="128">
        <f t="shared" si="345"/>
        <v>0</v>
      </c>
      <c r="N1135" s="128">
        <f t="shared" si="345"/>
        <v>0</v>
      </c>
      <c r="O1135" s="128">
        <f t="shared" si="345"/>
        <v>2185602.2975121248</v>
      </c>
      <c r="P1135" s="123" t="str">
        <f t="shared" si="339"/>
        <v/>
      </c>
    </row>
    <row r="1136" spans="1:16" s="114" customFormat="1" ht="15" x14ac:dyDescent="0.25">
      <c r="A1136" s="118"/>
      <c r="B1136" s="117"/>
      <c r="C1136" s="128"/>
      <c r="D1136" s="128"/>
      <c r="E1136" s="128"/>
      <c r="F1136" s="128"/>
      <c r="G1136" s="128"/>
      <c r="H1136" s="128"/>
      <c r="I1136" s="129">
        <f>LEDP!J244</f>
        <v>0</v>
      </c>
      <c r="J1136" s="129"/>
      <c r="K1136" s="129"/>
      <c r="L1136" s="129"/>
      <c r="M1136" s="186"/>
      <c r="N1136" s="186"/>
      <c r="O1136" s="128"/>
      <c r="P1136" s="123" t="str">
        <f t="shared" si="339"/>
        <v/>
      </c>
    </row>
    <row r="1137" spans="1:16" s="114" customFormat="1" ht="15" x14ac:dyDescent="0.25">
      <c r="A1137" s="118"/>
      <c r="B1137" s="117" t="s">
        <v>241</v>
      </c>
      <c r="C1137" s="128"/>
      <c r="D1137" s="128"/>
      <c r="E1137" s="128"/>
      <c r="F1137" s="128"/>
      <c r="G1137" s="128"/>
      <c r="H1137" s="128"/>
      <c r="I1137" s="129">
        <f>LEDP!J245</f>
        <v>0</v>
      </c>
      <c r="J1137" s="129"/>
      <c r="K1137" s="129"/>
      <c r="L1137" s="129"/>
      <c r="M1137" s="186"/>
      <c r="N1137" s="186"/>
      <c r="O1137" s="128"/>
      <c r="P1137" s="123" t="str">
        <f t="shared" si="339"/>
        <v/>
      </c>
    </row>
    <row r="1138" spans="1:16" x14ac:dyDescent="0.2">
      <c r="A1138" s="119"/>
      <c r="B1138" s="120"/>
      <c r="C1138" s="129"/>
      <c r="D1138" s="129"/>
      <c r="E1138" s="129"/>
      <c r="F1138" s="129"/>
      <c r="G1138" s="129"/>
      <c r="H1138" s="129"/>
      <c r="I1138" s="129">
        <f>LEDP!J246</f>
        <v>0</v>
      </c>
      <c r="J1138" s="129"/>
      <c r="K1138" s="129"/>
      <c r="L1138" s="129"/>
      <c r="O1138" s="129"/>
      <c r="P1138" s="123" t="str">
        <f t="shared" si="339"/>
        <v/>
      </c>
    </row>
    <row r="1139" spans="1:16" x14ac:dyDescent="0.2">
      <c r="A1139" s="119" t="s">
        <v>562</v>
      </c>
      <c r="B1139" s="120" t="s">
        <v>265</v>
      </c>
      <c r="C1139" s="129">
        <f>LEDP!D247</f>
        <v>0</v>
      </c>
      <c r="D1139" s="129">
        <f>LEDP!E247</f>
        <v>0</v>
      </c>
      <c r="E1139" s="129">
        <f>LEDP!F247</f>
        <v>0</v>
      </c>
      <c r="F1139" s="129">
        <f>LEDP!G247</f>
        <v>0</v>
      </c>
      <c r="G1139" s="129">
        <f>LEDP!H247</f>
        <v>928990</v>
      </c>
      <c r="H1139" s="129">
        <f>LEDP!I247</f>
        <v>0</v>
      </c>
      <c r="I1139" s="129">
        <f>LEDP!J247</f>
        <v>20000</v>
      </c>
      <c r="J1139" s="129">
        <f>LEDP!K247</f>
        <v>20000</v>
      </c>
      <c r="K1139" s="129">
        <f>LEDP!L247</f>
        <v>20900</v>
      </c>
      <c r="L1139" s="129">
        <f>LEDP!M247</f>
        <v>21861.4</v>
      </c>
      <c r="M1139" s="129">
        <f>LEDP!N247</f>
        <v>22867.024400000002</v>
      </c>
      <c r="N1139" s="129">
        <f>LEDP!O247</f>
        <v>0</v>
      </c>
      <c r="O1139" s="129">
        <f>LEDP!N247</f>
        <v>22867.024400000002</v>
      </c>
      <c r="P1139" s="123" t="str">
        <f t="shared" si="339"/>
        <v>305</v>
      </c>
    </row>
    <row r="1140" spans="1:16" x14ac:dyDescent="0.2">
      <c r="A1140" s="119" t="s">
        <v>563</v>
      </c>
      <c r="B1140" s="120" t="s">
        <v>268</v>
      </c>
      <c r="C1140" s="129">
        <f>LEDP!D248</f>
        <v>0</v>
      </c>
      <c r="D1140" s="129">
        <f>LEDP!E248</f>
        <v>0</v>
      </c>
      <c r="E1140" s="129">
        <f>LEDP!F248</f>
        <v>0</v>
      </c>
      <c r="F1140" s="129">
        <f>LEDP!G248</f>
        <v>0</v>
      </c>
      <c r="G1140" s="129">
        <f>LEDP!H248</f>
        <v>928990</v>
      </c>
      <c r="H1140" s="129">
        <f>LEDP!I248</f>
        <v>0</v>
      </c>
      <c r="I1140" s="129">
        <f>LEDP!J248</f>
        <v>120000</v>
      </c>
      <c r="J1140" s="129">
        <f>LEDP!K248</f>
        <v>120000</v>
      </c>
      <c r="K1140" s="129">
        <f>LEDP!L248</f>
        <v>125400</v>
      </c>
      <c r="L1140" s="129">
        <f>LEDP!M248</f>
        <v>131168.4</v>
      </c>
      <c r="O1140" s="129">
        <f>LEDP!N248</f>
        <v>137202.1464</v>
      </c>
      <c r="P1140" s="123" t="str">
        <f t="shared" si="339"/>
        <v>305</v>
      </c>
    </row>
    <row r="1141" spans="1:16" x14ac:dyDescent="0.2">
      <c r="A1141" s="119"/>
      <c r="B1141" s="120"/>
      <c r="C1141" s="129"/>
      <c r="D1141" s="129"/>
      <c r="E1141" s="129"/>
      <c r="F1141" s="129"/>
      <c r="G1141" s="129"/>
      <c r="H1141" s="129"/>
      <c r="I1141" s="129">
        <f>LEDP!J249</f>
        <v>0</v>
      </c>
      <c r="J1141" s="129"/>
      <c r="K1141" s="129"/>
      <c r="L1141" s="129"/>
      <c r="O1141" s="129"/>
      <c r="P1141" s="123" t="str">
        <f t="shared" si="339"/>
        <v/>
      </c>
    </row>
    <row r="1142" spans="1:16" s="114" customFormat="1" ht="15" x14ac:dyDescent="0.25">
      <c r="A1142" s="118"/>
      <c r="B1142" s="117" t="s">
        <v>274</v>
      </c>
      <c r="C1142" s="128">
        <f>SUM(C1139:C1141)</f>
        <v>0</v>
      </c>
      <c r="D1142" s="128">
        <f t="shared" ref="D1142:O1142" si="346">SUM(D1139:D1141)</f>
        <v>0</v>
      </c>
      <c r="E1142" s="128">
        <f t="shared" si="346"/>
        <v>0</v>
      </c>
      <c r="F1142" s="128">
        <f t="shared" si="346"/>
        <v>0</v>
      </c>
      <c r="G1142" s="128">
        <f t="shared" si="346"/>
        <v>1857980</v>
      </c>
      <c r="H1142" s="128">
        <f t="shared" si="346"/>
        <v>0</v>
      </c>
      <c r="I1142" s="128">
        <f t="shared" si="346"/>
        <v>140000</v>
      </c>
      <c r="J1142" s="128">
        <f t="shared" si="346"/>
        <v>140000</v>
      </c>
      <c r="K1142" s="128">
        <f t="shared" si="346"/>
        <v>146300</v>
      </c>
      <c r="L1142" s="128">
        <f t="shared" si="346"/>
        <v>153029.79999999999</v>
      </c>
      <c r="M1142" s="128">
        <f t="shared" si="346"/>
        <v>22867.024400000002</v>
      </c>
      <c r="N1142" s="128">
        <f t="shared" si="346"/>
        <v>0</v>
      </c>
      <c r="O1142" s="128">
        <f t="shared" si="346"/>
        <v>160069.17079999999</v>
      </c>
      <c r="P1142" s="123" t="str">
        <f t="shared" si="339"/>
        <v/>
      </c>
    </row>
    <row r="1143" spans="1:16" s="114" customFormat="1" ht="15" x14ac:dyDescent="0.25">
      <c r="A1143" s="118"/>
      <c r="B1143" s="117"/>
      <c r="C1143" s="128"/>
      <c r="D1143" s="128"/>
      <c r="E1143" s="128"/>
      <c r="F1143" s="128"/>
      <c r="G1143" s="128"/>
      <c r="H1143" s="128"/>
      <c r="I1143" s="129">
        <f>LEDP!J251</f>
        <v>0</v>
      </c>
      <c r="J1143" s="129"/>
      <c r="K1143" s="129"/>
      <c r="L1143" s="129"/>
      <c r="M1143" s="186"/>
      <c r="N1143" s="186"/>
      <c r="O1143" s="128"/>
      <c r="P1143" s="123" t="str">
        <f t="shared" si="339"/>
        <v/>
      </c>
    </row>
    <row r="1144" spans="1:16" s="114" customFormat="1" ht="15" x14ac:dyDescent="0.25">
      <c r="A1144" s="118"/>
      <c r="B1144" s="117" t="s">
        <v>290</v>
      </c>
      <c r="C1144" s="128"/>
      <c r="D1144" s="128"/>
      <c r="E1144" s="128"/>
      <c r="F1144" s="128"/>
      <c r="G1144" s="128"/>
      <c r="H1144" s="128"/>
      <c r="I1144" s="129">
        <f>LEDP!J252</f>
        <v>0</v>
      </c>
      <c r="J1144" s="129"/>
      <c r="K1144" s="129"/>
      <c r="L1144" s="129"/>
      <c r="M1144" s="186"/>
      <c r="N1144" s="186"/>
      <c r="O1144" s="128"/>
      <c r="P1144" s="123" t="str">
        <f t="shared" si="339"/>
        <v/>
      </c>
    </row>
    <row r="1145" spans="1:16" x14ac:dyDescent="0.2">
      <c r="A1145" s="119"/>
      <c r="B1145" s="120"/>
      <c r="C1145" s="129"/>
      <c r="D1145" s="129"/>
      <c r="E1145" s="129"/>
      <c r="F1145" s="129"/>
      <c r="G1145" s="129"/>
      <c r="H1145" s="129"/>
      <c r="I1145" s="129">
        <f>LEDP!J253</f>
        <v>0</v>
      </c>
      <c r="J1145" s="129"/>
      <c r="K1145" s="129"/>
      <c r="L1145" s="129"/>
      <c r="O1145" s="129"/>
      <c r="P1145" s="123" t="str">
        <f t="shared" si="339"/>
        <v/>
      </c>
    </row>
    <row r="1146" spans="1:16" x14ac:dyDescent="0.2">
      <c r="A1146" s="119" t="s">
        <v>564</v>
      </c>
      <c r="B1146" s="120" t="s">
        <v>291</v>
      </c>
      <c r="C1146" s="129">
        <f>LEDP!D254</f>
        <v>4770</v>
      </c>
      <c r="D1146" s="129">
        <f>LEDP!E254</f>
        <v>0</v>
      </c>
      <c r="E1146" s="129">
        <f>LEDP!F254</f>
        <v>0</v>
      </c>
      <c r="F1146" s="129">
        <f>LEDP!G254</f>
        <v>0</v>
      </c>
      <c r="G1146" s="129">
        <f>LEDP!H254</f>
        <v>928990</v>
      </c>
      <c r="H1146" s="129">
        <f>LEDP!I254</f>
        <v>0</v>
      </c>
      <c r="I1146" s="129">
        <f>LEDP!J254</f>
        <v>-4770</v>
      </c>
      <c r="J1146" s="129">
        <f>LEDP!K254</f>
        <v>0</v>
      </c>
      <c r="K1146" s="129">
        <f>LEDP!L254</f>
        <v>0</v>
      </c>
      <c r="L1146" s="129">
        <f>LEDP!M254</f>
        <v>0</v>
      </c>
      <c r="M1146" s="129">
        <f>LEDP!N254</f>
        <v>0</v>
      </c>
      <c r="N1146" s="129">
        <f>LEDP!O254</f>
        <v>0</v>
      </c>
      <c r="O1146" s="129">
        <f>LEDP!N254</f>
        <v>0</v>
      </c>
      <c r="P1146" s="123" t="str">
        <f t="shared" si="339"/>
        <v>720</v>
      </c>
    </row>
    <row r="1147" spans="1:16" x14ac:dyDescent="0.2">
      <c r="A1147" s="119" t="s">
        <v>565</v>
      </c>
      <c r="B1147" s="120" t="s">
        <v>292</v>
      </c>
      <c r="C1147" s="129">
        <f>LEDP!D255</f>
        <v>4770</v>
      </c>
      <c r="D1147" s="129">
        <f>LEDP!E255</f>
        <v>0</v>
      </c>
      <c r="E1147" s="129">
        <f>LEDP!F255</f>
        <v>0</v>
      </c>
      <c r="F1147" s="129">
        <f>LEDP!G255</f>
        <v>0</v>
      </c>
      <c r="G1147" s="129">
        <f>LEDP!H255</f>
        <v>928990</v>
      </c>
      <c r="H1147" s="129">
        <f>LEDP!I255</f>
        <v>0</v>
      </c>
      <c r="I1147" s="129">
        <f>LEDP!J255</f>
        <v>0</v>
      </c>
      <c r="J1147" s="129">
        <f>LEDP!K255</f>
        <v>4770</v>
      </c>
      <c r="K1147" s="129">
        <f>LEDP!L255</f>
        <v>4984.6499999999996</v>
      </c>
      <c r="L1147" s="129">
        <f>LEDP!M255</f>
        <v>5213.9438999999993</v>
      </c>
      <c r="M1147" s="129">
        <f>LEDP!N255</f>
        <v>5453.785319399999</v>
      </c>
      <c r="N1147" s="129">
        <f>LEDP!O255</f>
        <v>0</v>
      </c>
      <c r="O1147" s="129">
        <f>LEDP!N255</f>
        <v>5453.785319399999</v>
      </c>
      <c r="P1147" s="123" t="str">
        <f t="shared" si="339"/>
        <v>720</v>
      </c>
    </row>
    <row r="1148" spans="1:16" x14ac:dyDescent="0.2">
      <c r="A1148" s="119" t="s">
        <v>566</v>
      </c>
      <c r="B1148" s="120" t="s">
        <v>293</v>
      </c>
      <c r="C1148" s="129">
        <f>LEDP!D256</f>
        <v>19904</v>
      </c>
      <c r="D1148" s="129">
        <f>LEDP!E256</f>
        <v>0</v>
      </c>
      <c r="E1148" s="129">
        <f>LEDP!F256</f>
        <v>0</v>
      </c>
      <c r="F1148" s="129">
        <f>LEDP!G256</f>
        <v>0</v>
      </c>
      <c r="G1148" s="129">
        <f>LEDP!H256</f>
        <v>928990</v>
      </c>
      <c r="H1148" s="129">
        <f>LEDP!I256</f>
        <v>0</v>
      </c>
      <c r="I1148" s="129">
        <f>LEDP!J256</f>
        <v>0</v>
      </c>
      <c r="J1148" s="129">
        <f>LEDP!K256</f>
        <v>19904</v>
      </c>
      <c r="K1148" s="129">
        <f>LEDP!L256</f>
        <v>20799.68</v>
      </c>
      <c r="L1148" s="129">
        <f>LEDP!M256</f>
        <v>21756.46528</v>
      </c>
      <c r="M1148" s="129">
        <f>LEDP!N256</f>
        <v>22757.262682880002</v>
      </c>
      <c r="N1148" s="129">
        <f>LEDP!O256</f>
        <v>0</v>
      </c>
      <c r="O1148" s="129">
        <f>LEDP!N256</f>
        <v>22757.262682880002</v>
      </c>
      <c r="P1148" s="123" t="str">
        <f t="shared" si="339"/>
        <v>721</v>
      </c>
    </row>
    <row r="1149" spans="1:16" x14ac:dyDescent="0.2">
      <c r="A1149" s="119" t="s">
        <v>567</v>
      </c>
      <c r="B1149" s="120" t="s">
        <v>297</v>
      </c>
      <c r="C1149" s="129">
        <v>0</v>
      </c>
      <c r="D1149" s="129">
        <v>0</v>
      </c>
      <c r="E1149" s="129">
        <v>0</v>
      </c>
      <c r="F1149" s="129">
        <v>689.95</v>
      </c>
      <c r="G1149" s="129">
        <v>-689.95</v>
      </c>
      <c r="H1149" s="129">
        <v>0</v>
      </c>
      <c r="I1149" s="129">
        <f>LEDP!J257</f>
        <v>0</v>
      </c>
      <c r="J1149" s="129">
        <f>LEDP!K257</f>
        <v>0</v>
      </c>
      <c r="K1149" s="129">
        <f>LEDP!L257</f>
        <v>0</v>
      </c>
      <c r="L1149" s="213">
        <f>LEDP!M257</f>
        <v>0</v>
      </c>
      <c r="O1149" s="129"/>
      <c r="P1149" s="123" t="str">
        <f t="shared" si="339"/>
        <v>725</v>
      </c>
    </row>
    <row r="1150" spans="1:16" x14ac:dyDescent="0.2">
      <c r="A1150" s="119"/>
      <c r="B1150" s="120"/>
      <c r="C1150" s="129"/>
      <c r="D1150" s="129"/>
      <c r="E1150" s="129"/>
      <c r="F1150" s="129"/>
      <c r="G1150" s="129"/>
      <c r="H1150" s="129"/>
      <c r="I1150" s="129">
        <f>LEDP!J258</f>
        <v>0</v>
      </c>
      <c r="J1150" s="129"/>
      <c r="K1150" s="129"/>
      <c r="O1150" s="129"/>
      <c r="P1150" s="123" t="str">
        <f t="shared" si="339"/>
        <v/>
      </c>
    </row>
    <row r="1151" spans="1:16" s="114" customFormat="1" ht="15" x14ac:dyDescent="0.25">
      <c r="A1151" s="118"/>
      <c r="B1151" s="117" t="s">
        <v>304</v>
      </c>
      <c r="C1151" s="128">
        <f>SUM(C1146:C1150)</f>
        <v>29444</v>
      </c>
      <c r="D1151" s="128">
        <f t="shared" ref="D1151:O1151" si="347">SUM(D1146:D1150)</f>
        <v>0</v>
      </c>
      <c r="E1151" s="128">
        <f t="shared" si="347"/>
        <v>0</v>
      </c>
      <c r="F1151" s="128">
        <f t="shared" si="347"/>
        <v>689.95</v>
      </c>
      <c r="G1151" s="128">
        <f t="shared" si="347"/>
        <v>2786280.05</v>
      </c>
      <c r="H1151" s="128">
        <f t="shared" si="347"/>
        <v>0</v>
      </c>
      <c r="I1151" s="128">
        <f t="shared" si="347"/>
        <v>-4770</v>
      </c>
      <c r="J1151" s="128">
        <f t="shared" si="347"/>
        <v>24674</v>
      </c>
      <c r="K1151" s="128">
        <f t="shared" si="347"/>
        <v>25784.33</v>
      </c>
      <c r="L1151" s="128">
        <f t="shared" si="347"/>
        <v>26970.409179999999</v>
      </c>
      <c r="M1151" s="128">
        <f t="shared" si="347"/>
        <v>28211.04800228</v>
      </c>
      <c r="N1151" s="128">
        <f t="shared" si="347"/>
        <v>0</v>
      </c>
      <c r="O1151" s="128">
        <f t="shared" si="347"/>
        <v>28211.04800228</v>
      </c>
      <c r="P1151" s="123" t="str">
        <f t="shared" si="339"/>
        <v/>
      </c>
    </row>
    <row r="1152" spans="1:16" s="114" customFormat="1" ht="15" x14ac:dyDescent="0.25">
      <c r="A1152" s="118"/>
      <c r="B1152" s="117"/>
      <c r="C1152" s="128"/>
      <c r="D1152" s="128"/>
      <c r="E1152" s="128"/>
      <c r="F1152" s="128"/>
      <c r="G1152" s="128"/>
      <c r="H1152" s="128"/>
      <c r="I1152" s="129">
        <f>LEDP!J260</f>
        <v>0</v>
      </c>
      <c r="J1152" s="129"/>
      <c r="K1152" s="128"/>
      <c r="L1152" s="186"/>
      <c r="M1152" s="186"/>
      <c r="N1152" s="186"/>
      <c r="O1152" s="128"/>
      <c r="P1152" s="123" t="str">
        <f t="shared" si="339"/>
        <v/>
      </c>
    </row>
    <row r="1153" spans="1:16" s="114" customFormat="1" ht="15" x14ac:dyDescent="0.25">
      <c r="A1153" s="118"/>
      <c r="B1153" s="117" t="s">
        <v>305</v>
      </c>
      <c r="C1153" s="128">
        <f>C1135+C1142+C1151</f>
        <v>1854800</v>
      </c>
      <c r="D1153" s="128">
        <f t="shared" ref="D1153:O1153" si="348">D1135+D1142+D1151</f>
        <v>146705.63</v>
      </c>
      <c r="E1153" s="128">
        <f t="shared" si="348"/>
        <v>0</v>
      </c>
      <c r="F1153" s="128">
        <f t="shared" si="348"/>
        <v>830378.73</v>
      </c>
      <c r="G1153" s="128">
        <f t="shared" si="348"/>
        <v>5639927.2699999996</v>
      </c>
      <c r="H1153" s="128">
        <f t="shared" si="348"/>
        <v>463.33</v>
      </c>
      <c r="I1153" s="128">
        <f t="shared" si="348"/>
        <v>106570.18</v>
      </c>
      <c r="J1153" s="128">
        <f t="shared" si="348"/>
        <v>1961370.1800000002</v>
      </c>
      <c r="K1153" s="128">
        <f t="shared" si="348"/>
        <v>2081074.02125</v>
      </c>
      <c r="L1153" s="128">
        <f t="shared" si="348"/>
        <v>2222619.1788174999</v>
      </c>
      <c r="M1153" s="128">
        <f t="shared" si="348"/>
        <v>51078.072402279999</v>
      </c>
      <c r="N1153" s="128">
        <f t="shared" si="348"/>
        <v>0</v>
      </c>
      <c r="O1153" s="128">
        <f t="shared" si="348"/>
        <v>2373882.5163144046</v>
      </c>
      <c r="P1153" s="123" t="str">
        <f t="shared" si="339"/>
        <v/>
      </c>
    </row>
    <row r="1154" spans="1:16" s="114" customFormat="1" ht="15" x14ac:dyDescent="0.25">
      <c r="A1154" s="118"/>
      <c r="B1154" s="117"/>
      <c r="C1154" s="128"/>
      <c r="D1154" s="128"/>
      <c r="E1154" s="128"/>
      <c r="F1154" s="128"/>
      <c r="G1154" s="128"/>
      <c r="H1154" s="128"/>
      <c r="I1154" s="129">
        <f>LEDP!J262</f>
        <v>0</v>
      </c>
      <c r="J1154" s="129"/>
      <c r="K1154" s="129"/>
      <c r="L1154" s="129"/>
      <c r="M1154" s="186"/>
      <c r="N1154" s="186"/>
      <c r="O1154" s="128"/>
      <c r="P1154" s="123" t="str">
        <f t="shared" si="339"/>
        <v/>
      </c>
    </row>
    <row r="1155" spans="1:16" s="114" customFormat="1" ht="15" x14ac:dyDescent="0.25">
      <c r="A1155" s="118"/>
      <c r="B1155" s="117" t="s">
        <v>568</v>
      </c>
      <c r="C1155" s="128"/>
      <c r="D1155" s="128"/>
      <c r="E1155" s="128"/>
      <c r="F1155" s="128"/>
      <c r="G1155" s="128"/>
      <c r="H1155" s="128"/>
      <c r="I1155" s="129">
        <f>LEDP!J263</f>
        <v>0</v>
      </c>
      <c r="J1155" s="129"/>
      <c r="K1155" s="129"/>
      <c r="L1155" s="129"/>
      <c r="M1155" s="186"/>
      <c r="N1155" s="186"/>
      <c r="O1155" s="128"/>
      <c r="P1155" s="123" t="str">
        <f t="shared" si="339"/>
        <v/>
      </c>
    </row>
    <row r="1156" spans="1:16" s="114" customFormat="1" ht="15" x14ac:dyDescent="0.25">
      <c r="A1156" s="118"/>
      <c r="B1156" s="117" t="s">
        <v>96</v>
      </c>
      <c r="C1156" s="128"/>
      <c r="D1156" s="128"/>
      <c r="E1156" s="128"/>
      <c r="F1156" s="128"/>
      <c r="G1156" s="128"/>
      <c r="H1156" s="128"/>
      <c r="I1156" s="129">
        <f>LEDP!J264</f>
        <v>0</v>
      </c>
      <c r="J1156" s="129"/>
      <c r="K1156" s="129"/>
      <c r="L1156" s="129"/>
      <c r="M1156" s="186"/>
      <c r="N1156" s="186"/>
      <c r="O1156" s="128"/>
      <c r="P1156" s="123" t="str">
        <f t="shared" si="339"/>
        <v/>
      </c>
    </row>
    <row r="1157" spans="1:16" s="114" customFormat="1" ht="15" x14ac:dyDescent="0.25">
      <c r="A1157" s="118"/>
      <c r="B1157" s="117" t="s">
        <v>97</v>
      </c>
      <c r="C1157" s="128"/>
      <c r="D1157" s="128"/>
      <c r="E1157" s="128"/>
      <c r="F1157" s="128"/>
      <c r="G1157" s="128"/>
      <c r="H1157" s="128"/>
      <c r="I1157" s="129">
        <f>LEDP!J265</f>
        <v>0</v>
      </c>
      <c r="J1157" s="129"/>
      <c r="K1157" s="129"/>
      <c r="L1157" s="129"/>
      <c r="M1157" s="186"/>
      <c r="N1157" s="186"/>
      <c r="O1157" s="128"/>
      <c r="P1157" s="123" t="str">
        <f t="shared" si="339"/>
        <v/>
      </c>
    </row>
    <row r="1158" spans="1:16" s="114" customFormat="1" ht="15" x14ac:dyDescent="0.25">
      <c r="A1158" s="118"/>
      <c r="B1158" s="117" t="s">
        <v>148</v>
      </c>
      <c r="C1158" s="128"/>
      <c r="D1158" s="128"/>
      <c r="E1158" s="128"/>
      <c r="F1158" s="128"/>
      <c r="G1158" s="128"/>
      <c r="H1158" s="128"/>
      <c r="I1158" s="129">
        <f>LEDP!J266</f>
        <v>0</v>
      </c>
      <c r="J1158" s="129"/>
      <c r="K1158" s="129"/>
      <c r="L1158" s="129"/>
      <c r="M1158" s="186"/>
      <c r="N1158" s="186"/>
      <c r="O1158" s="128"/>
      <c r="P1158" s="123" t="str">
        <f t="shared" si="339"/>
        <v/>
      </c>
    </row>
    <row r="1159" spans="1:16" s="114" customFormat="1" ht="15" x14ac:dyDescent="0.25">
      <c r="A1159" s="118"/>
      <c r="B1159" s="117" t="s">
        <v>149</v>
      </c>
      <c r="C1159" s="128"/>
      <c r="D1159" s="128"/>
      <c r="E1159" s="128"/>
      <c r="F1159" s="128"/>
      <c r="G1159" s="128"/>
      <c r="H1159" s="128"/>
      <c r="I1159" s="129">
        <f>LEDP!J267</f>
        <v>0</v>
      </c>
      <c r="J1159" s="129"/>
      <c r="K1159" s="129"/>
      <c r="L1159" s="129"/>
      <c r="M1159" s="186"/>
      <c r="N1159" s="186"/>
      <c r="O1159" s="128"/>
      <c r="P1159" s="123" t="str">
        <f t="shared" ref="P1159:P1222" si="349">MID(A1159,6,3)</f>
        <v/>
      </c>
    </row>
    <row r="1160" spans="1:16" x14ac:dyDescent="0.2">
      <c r="A1160" s="119"/>
      <c r="B1160" s="120"/>
      <c r="C1160" s="129"/>
      <c r="D1160" s="129"/>
      <c r="E1160" s="129"/>
      <c r="F1160" s="129"/>
      <c r="G1160" s="129"/>
      <c r="H1160" s="129"/>
      <c r="I1160" s="129">
        <f>LEDP!J268</f>
        <v>0</v>
      </c>
      <c r="J1160" s="129"/>
      <c r="K1160" s="129"/>
      <c r="L1160" s="129"/>
      <c r="O1160" s="129"/>
      <c r="P1160" s="123" t="str">
        <f t="shared" si="349"/>
        <v/>
      </c>
    </row>
    <row r="1161" spans="1:16" x14ac:dyDescent="0.2">
      <c r="A1161" s="119" t="s">
        <v>569</v>
      </c>
      <c r="B1161" s="120" t="s">
        <v>150</v>
      </c>
      <c r="C1161" s="129">
        <v>210622</v>
      </c>
      <c r="D1161" s="129">
        <v>0</v>
      </c>
      <c r="E1161" s="129">
        <v>0</v>
      </c>
      <c r="F1161" s="129">
        <v>0</v>
      </c>
      <c r="G1161" s="129">
        <v>210622</v>
      </c>
      <c r="H1161" s="129">
        <v>0</v>
      </c>
      <c r="I1161" s="129">
        <f>LEDP!J269</f>
        <v>0</v>
      </c>
      <c r="J1161" s="129">
        <f>LEDP!K269</f>
        <v>210622</v>
      </c>
      <c r="K1161" s="129">
        <f>LEDP!L269</f>
        <v>223785.875</v>
      </c>
      <c r="L1161" s="129">
        <f>LEDP!M269</f>
        <v>239450.88625000001</v>
      </c>
      <c r="O1161" s="129">
        <f>LEDP!N269</f>
        <v>256212.44828750001</v>
      </c>
      <c r="P1161" s="123" t="str">
        <f t="shared" si="349"/>
        <v>110</v>
      </c>
    </row>
    <row r="1162" spans="1:16" x14ac:dyDescent="0.2">
      <c r="A1162" s="119" t="s">
        <v>570</v>
      </c>
      <c r="B1162" s="120" t="s">
        <v>151</v>
      </c>
      <c r="C1162" s="129">
        <v>9842</v>
      </c>
      <c r="D1162" s="129">
        <v>0</v>
      </c>
      <c r="E1162" s="129">
        <v>0</v>
      </c>
      <c r="F1162" s="129">
        <v>0</v>
      </c>
      <c r="G1162" s="129">
        <v>9842</v>
      </c>
      <c r="H1162" s="129">
        <v>0</v>
      </c>
      <c r="I1162" s="129">
        <f>LEDP!J270</f>
        <v>0</v>
      </c>
      <c r="J1162" s="129">
        <f>LEDP!K270</f>
        <v>9842</v>
      </c>
      <c r="K1162" s="129">
        <f>LEDP!L270</f>
        <v>10457.125</v>
      </c>
      <c r="L1162" s="129">
        <f>LEDP!M270</f>
        <v>11189.123750000001</v>
      </c>
      <c r="O1162" s="129">
        <f>LEDP!N270</f>
        <v>11972.362412500001</v>
      </c>
      <c r="P1162" s="123" t="str">
        <f t="shared" si="349"/>
        <v>110</v>
      </c>
    </row>
    <row r="1163" spans="1:16" x14ac:dyDescent="0.2">
      <c r="A1163" s="119" t="s">
        <v>571</v>
      </c>
      <c r="B1163" s="120" t="s">
        <v>153</v>
      </c>
      <c r="C1163" s="129">
        <v>10893</v>
      </c>
      <c r="D1163" s="129">
        <v>0</v>
      </c>
      <c r="E1163" s="129">
        <v>0</v>
      </c>
      <c r="F1163" s="129">
        <v>0</v>
      </c>
      <c r="G1163" s="129">
        <v>10893</v>
      </c>
      <c r="H1163" s="129">
        <v>0</v>
      </c>
      <c r="I1163" s="129">
        <f>LEDP!J271</f>
        <v>0</v>
      </c>
      <c r="J1163" s="129">
        <f>LEDP!K271</f>
        <v>10893</v>
      </c>
      <c r="K1163" s="129">
        <f>LEDP!L271</f>
        <v>11573.8125</v>
      </c>
      <c r="L1163" s="129">
        <f>LEDP!M271</f>
        <v>12383.979375000001</v>
      </c>
      <c r="O1163" s="129">
        <f>LEDP!N271</f>
        <v>13250.857931250001</v>
      </c>
      <c r="P1163" s="123" t="str">
        <f t="shared" si="349"/>
        <v>110</v>
      </c>
    </row>
    <row r="1164" spans="1:16" x14ac:dyDescent="0.2">
      <c r="A1164" s="119" t="s">
        <v>572</v>
      </c>
      <c r="B1164" s="120" t="s">
        <v>155</v>
      </c>
      <c r="C1164" s="129">
        <v>6989</v>
      </c>
      <c r="D1164" s="129">
        <v>0</v>
      </c>
      <c r="E1164" s="129">
        <v>0</v>
      </c>
      <c r="F1164" s="129">
        <v>0</v>
      </c>
      <c r="G1164" s="129">
        <v>6989</v>
      </c>
      <c r="H1164" s="129">
        <v>0</v>
      </c>
      <c r="I1164" s="129">
        <f>LEDP!J272</f>
        <v>0</v>
      </c>
      <c r="J1164" s="129">
        <f>LEDP!K272</f>
        <v>6989</v>
      </c>
      <c r="K1164" s="129">
        <f>LEDP!L272</f>
        <v>7425.8125</v>
      </c>
      <c r="L1164" s="129">
        <f>LEDP!M272</f>
        <v>7945.6193750000002</v>
      </c>
      <c r="O1164" s="129">
        <f>LEDP!N272</f>
        <v>8501.8127312500001</v>
      </c>
      <c r="P1164" s="123" t="str">
        <f t="shared" si="349"/>
        <v>110</v>
      </c>
    </row>
    <row r="1165" spans="1:16" x14ac:dyDescent="0.2">
      <c r="A1165" s="119" t="s">
        <v>573</v>
      </c>
      <c r="B1165" s="120" t="s">
        <v>157</v>
      </c>
      <c r="C1165" s="129">
        <v>7374</v>
      </c>
      <c r="D1165" s="129">
        <v>0</v>
      </c>
      <c r="E1165" s="129">
        <v>0</v>
      </c>
      <c r="F1165" s="129">
        <v>0</v>
      </c>
      <c r="G1165" s="129">
        <v>7374</v>
      </c>
      <c r="H1165" s="129">
        <v>0</v>
      </c>
      <c r="I1165" s="129">
        <f>LEDP!J273</f>
        <v>0</v>
      </c>
      <c r="J1165" s="129">
        <f>LEDP!K273</f>
        <v>7374</v>
      </c>
      <c r="K1165" s="129">
        <f>LEDP!L273</f>
        <v>7834.875</v>
      </c>
      <c r="L1165" s="129">
        <f>LEDP!M273</f>
        <v>8383.3162499999999</v>
      </c>
      <c r="O1165" s="129">
        <f>LEDP!N273</f>
        <v>8970.1483874999994</v>
      </c>
      <c r="P1165" s="123" t="str">
        <f t="shared" si="349"/>
        <v>110</v>
      </c>
    </row>
    <row r="1166" spans="1:16" x14ac:dyDescent="0.2">
      <c r="A1166" s="119" t="s">
        <v>574</v>
      </c>
      <c r="B1166" s="120" t="s">
        <v>159</v>
      </c>
      <c r="C1166" s="129">
        <v>17552</v>
      </c>
      <c r="D1166" s="129">
        <v>0</v>
      </c>
      <c r="E1166" s="129">
        <v>0</v>
      </c>
      <c r="F1166" s="129">
        <v>0</v>
      </c>
      <c r="G1166" s="129">
        <v>17552</v>
      </c>
      <c r="H1166" s="129">
        <v>0</v>
      </c>
      <c r="I1166" s="129">
        <f>LEDP!J274</f>
        <v>0</v>
      </c>
      <c r="J1166" s="129">
        <f>LEDP!K274</f>
        <v>17552</v>
      </c>
      <c r="K1166" s="129">
        <f>LEDP!L274</f>
        <v>18649</v>
      </c>
      <c r="L1166" s="129">
        <f>LEDP!M274</f>
        <v>19954.43</v>
      </c>
      <c r="O1166" s="129">
        <f>LEDP!N274</f>
        <v>21351.240099999999</v>
      </c>
      <c r="P1166" s="123" t="str">
        <f t="shared" si="349"/>
        <v>110</v>
      </c>
    </row>
    <row r="1167" spans="1:16" x14ac:dyDescent="0.2">
      <c r="A1167" s="119"/>
      <c r="B1167" s="120"/>
      <c r="C1167" s="129"/>
      <c r="D1167" s="129"/>
      <c r="E1167" s="129"/>
      <c r="F1167" s="129"/>
      <c r="G1167" s="129"/>
      <c r="H1167" s="129"/>
      <c r="I1167" s="129">
        <f>LEDP!J275</f>
        <v>0</v>
      </c>
      <c r="J1167" s="129">
        <f>LEDP!K275</f>
        <v>0</v>
      </c>
      <c r="K1167" s="129">
        <f>LEDP!L275</f>
        <v>0</v>
      </c>
      <c r="L1167" s="129">
        <f>LEDP!M275</f>
        <v>0</v>
      </c>
      <c r="O1167" s="129"/>
      <c r="P1167" s="123" t="str">
        <f t="shared" si="349"/>
        <v/>
      </c>
    </row>
    <row r="1168" spans="1:16" s="114" customFormat="1" ht="15" x14ac:dyDescent="0.25">
      <c r="A1168" s="118"/>
      <c r="B1168" s="117" t="s">
        <v>165</v>
      </c>
      <c r="C1168" s="128">
        <f>SUM(C1161:C1167)</f>
        <v>263272</v>
      </c>
      <c r="D1168" s="128">
        <f t="shared" ref="D1168:O1168" si="350">SUM(D1161:D1167)</f>
        <v>0</v>
      </c>
      <c r="E1168" s="128">
        <f t="shared" si="350"/>
        <v>0</v>
      </c>
      <c r="F1168" s="128">
        <f t="shared" si="350"/>
        <v>0</v>
      </c>
      <c r="G1168" s="128">
        <f t="shared" si="350"/>
        <v>263272</v>
      </c>
      <c r="H1168" s="128">
        <f t="shared" si="350"/>
        <v>0</v>
      </c>
      <c r="I1168" s="128">
        <f t="shared" si="350"/>
        <v>0</v>
      </c>
      <c r="J1168" s="128">
        <f t="shared" si="350"/>
        <v>263272</v>
      </c>
      <c r="K1168" s="128">
        <f t="shared" si="350"/>
        <v>279726.5</v>
      </c>
      <c r="L1168" s="128">
        <f t="shared" si="350"/>
        <v>299307.35499999998</v>
      </c>
      <c r="M1168" s="128">
        <f t="shared" si="350"/>
        <v>0</v>
      </c>
      <c r="N1168" s="128">
        <f t="shared" si="350"/>
        <v>0</v>
      </c>
      <c r="O1168" s="128">
        <f t="shared" si="350"/>
        <v>320258.86985000008</v>
      </c>
      <c r="P1168" s="123" t="str">
        <f t="shared" si="349"/>
        <v/>
      </c>
    </row>
    <row r="1169" spans="1:16" s="114" customFormat="1" ht="15" x14ac:dyDescent="0.25">
      <c r="A1169" s="118"/>
      <c r="B1169" s="117"/>
      <c r="C1169" s="128"/>
      <c r="D1169" s="128"/>
      <c r="E1169" s="128"/>
      <c r="F1169" s="128"/>
      <c r="G1169" s="128"/>
      <c r="H1169" s="128"/>
      <c r="I1169" s="129">
        <f>LEDP!J277</f>
        <v>0</v>
      </c>
      <c r="J1169" s="129"/>
      <c r="K1169" s="129"/>
      <c r="L1169" s="129"/>
      <c r="M1169" s="186"/>
      <c r="N1169" s="186"/>
      <c r="O1169" s="128"/>
      <c r="P1169" s="123" t="str">
        <f t="shared" si="349"/>
        <v/>
      </c>
    </row>
    <row r="1170" spans="1:16" s="114" customFormat="1" ht="15" x14ac:dyDescent="0.25">
      <c r="A1170" s="118"/>
      <c r="B1170" s="117" t="s">
        <v>166</v>
      </c>
      <c r="C1170" s="128"/>
      <c r="D1170" s="128"/>
      <c r="E1170" s="128"/>
      <c r="F1170" s="128"/>
      <c r="G1170" s="128"/>
      <c r="H1170" s="128"/>
      <c r="I1170" s="129">
        <f>LEDP!J278</f>
        <v>0</v>
      </c>
      <c r="J1170" s="129"/>
      <c r="K1170" s="129"/>
      <c r="L1170" s="129"/>
      <c r="M1170" s="186"/>
      <c r="N1170" s="186"/>
      <c r="O1170" s="128"/>
      <c r="P1170" s="123" t="str">
        <f t="shared" si="349"/>
        <v/>
      </c>
    </row>
    <row r="1171" spans="1:16" x14ac:dyDescent="0.2">
      <c r="A1171" s="119"/>
      <c r="B1171" s="120"/>
      <c r="C1171" s="129"/>
      <c r="D1171" s="129"/>
      <c r="E1171" s="129"/>
      <c r="F1171" s="129"/>
      <c r="G1171" s="129"/>
      <c r="H1171" s="129"/>
      <c r="I1171" s="129">
        <f>LEDP!J279</f>
        <v>0</v>
      </c>
      <c r="J1171" s="129"/>
      <c r="K1171" s="129"/>
      <c r="L1171" s="129"/>
      <c r="O1171" s="129"/>
      <c r="P1171" s="123" t="str">
        <f t="shared" si="349"/>
        <v/>
      </c>
    </row>
    <row r="1172" spans="1:16" x14ac:dyDescent="0.2">
      <c r="A1172" s="119" t="s">
        <v>575</v>
      </c>
      <c r="B1172" s="120" t="s">
        <v>167</v>
      </c>
      <c r="C1172" s="129">
        <v>112</v>
      </c>
      <c r="D1172" s="129">
        <v>0</v>
      </c>
      <c r="E1172" s="129">
        <v>0</v>
      </c>
      <c r="F1172" s="129">
        <v>0</v>
      </c>
      <c r="G1172" s="129">
        <v>112</v>
      </c>
      <c r="H1172" s="129">
        <v>0</v>
      </c>
      <c r="I1172" s="129">
        <f>LEDP!J280</f>
        <v>0</v>
      </c>
      <c r="J1172" s="129">
        <f>LEDP!K280</f>
        <v>112</v>
      </c>
      <c r="K1172" s="129">
        <f>LEDP!L280</f>
        <v>119</v>
      </c>
      <c r="L1172" s="129">
        <f>LEDP!M280</f>
        <v>127.33</v>
      </c>
      <c r="O1172" s="129">
        <f>LEDP!N280</f>
        <v>136.2431</v>
      </c>
      <c r="P1172" s="123" t="str">
        <f t="shared" si="349"/>
        <v>130</v>
      </c>
    </row>
    <row r="1173" spans="1:16" x14ac:dyDescent="0.2">
      <c r="A1173" s="119" t="s">
        <v>576</v>
      </c>
      <c r="B1173" s="120" t="s">
        <v>168</v>
      </c>
      <c r="C1173" s="129">
        <v>53908</v>
      </c>
      <c r="D1173" s="129">
        <v>0</v>
      </c>
      <c r="E1173" s="129">
        <v>0</v>
      </c>
      <c r="F1173" s="129">
        <v>0</v>
      </c>
      <c r="G1173" s="129">
        <v>53908</v>
      </c>
      <c r="H1173" s="129">
        <v>0</v>
      </c>
      <c r="I1173" s="129">
        <f>LEDP!J281</f>
        <v>0</v>
      </c>
      <c r="J1173" s="129">
        <f>LEDP!K281</f>
        <v>53908</v>
      </c>
      <c r="K1173" s="129">
        <f>LEDP!L281</f>
        <v>57277.25</v>
      </c>
      <c r="L1173" s="129">
        <f>LEDP!M281</f>
        <v>61286.657500000001</v>
      </c>
      <c r="O1173" s="129">
        <f>LEDP!N281</f>
        <v>65576.723525000009</v>
      </c>
      <c r="P1173" s="123" t="str">
        <f t="shared" si="349"/>
        <v>130</v>
      </c>
    </row>
    <row r="1174" spans="1:16" x14ac:dyDescent="0.2">
      <c r="A1174" s="119" t="s">
        <v>577</v>
      </c>
      <c r="B1174" s="120" t="s">
        <v>169</v>
      </c>
      <c r="C1174" s="129">
        <v>46337</v>
      </c>
      <c r="D1174" s="129">
        <v>0</v>
      </c>
      <c r="E1174" s="129">
        <v>0</v>
      </c>
      <c r="F1174" s="129">
        <v>0</v>
      </c>
      <c r="G1174" s="129">
        <v>46337</v>
      </c>
      <c r="H1174" s="129">
        <v>0</v>
      </c>
      <c r="I1174" s="129">
        <f>LEDP!J282</f>
        <v>0</v>
      </c>
      <c r="J1174" s="129">
        <f>LEDP!K282</f>
        <v>46337</v>
      </c>
      <c r="K1174" s="129">
        <f>LEDP!L282</f>
        <v>49233.0625</v>
      </c>
      <c r="L1174" s="129">
        <f>LEDP!M282</f>
        <v>52679.376875000002</v>
      </c>
      <c r="O1174" s="129">
        <f>LEDP!N282</f>
        <v>56366.933256249999</v>
      </c>
      <c r="P1174" s="123" t="str">
        <f t="shared" si="349"/>
        <v>130</v>
      </c>
    </row>
    <row r="1175" spans="1:16" x14ac:dyDescent="0.2">
      <c r="A1175" s="119" t="s">
        <v>578</v>
      </c>
      <c r="B1175" s="120" t="s">
        <v>170</v>
      </c>
      <c r="C1175" s="129">
        <v>1785</v>
      </c>
      <c r="D1175" s="129">
        <v>0</v>
      </c>
      <c r="E1175" s="129">
        <v>0</v>
      </c>
      <c r="F1175" s="129">
        <v>0</v>
      </c>
      <c r="G1175" s="129">
        <v>1785</v>
      </c>
      <c r="H1175" s="129">
        <v>0</v>
      </c>
      <c r="I1175" s="129">
        <f>LEDP!J283</f>
        <v>0</v>
      </c>
      <c r="J1175" s="129">
        <f>LEDP!K283</f>
        <v>1785</v>
      </c>
      <c r="K1175" s="129">
        <f>LEDP!L283</f>
        <v>1896.5625</v>
      </c>
      <c r="L1175" s="129">
        <f>LEDP!M283</f>
        <v>2029.3218750000001</v>
      </c>
      <c r="O1175" s="129">
        <f>LEDP!N283</f>
        <v>2171.37440625</v>
      </c>
      <c r="P1175" s="123" t="str">
        <f t="shared" si="349"/>
        <v>130</v>
      </c>
    </row>
    <row r="1176" spans="1:16" x14ac:dyDescent="0.2">
      <c r="A1176" s="119"/>
      <c r="B1176" s="120"/>
      <c r="C1176" s="129"/>
      <c r="D1176" s="129"/>
      <c r="E1176" s="129"/>
      <c r="F1176" s="129"/>
      <c r="G1176" s="129"/>
      <c r="H1176" s="129"/>
      <c r="I1176" s="129">
        <f>LEDP!J284</f>
        <v>0</v>
      </c>
      <c r="J1176" s="129"/>
      <c r="K1176" s="129"/>
      <c r="L1176" s="129"/>
      <c r="O1176" s="129"/>
      <c r="P1176" s="123" t="str">
        <f t="shared" si="349"/>
        <v/>
      </c>
    </row>
    <row r="1177" spans="1:16" s="114" customFormat="1" ht="15" x14ac:dyDescent="0.25">
      <c r="A1177" s="118"/>
      <c r="B1177" s="117" t="s">
        <v>171</v>
      </c>
      <c r="C1177" s="128">
        <f>SUM(C1172:C1176)</f>
        <v>102142</v>
      </c>
      <c r="D1177" s="128">
        <f t="shared" ref="D1177:O1177" si="351">SUM(D1172:D1176)</f>
        <v>0</v>
      </c>
      <c r="E1177" s="128">
        <f t="shared" si="351"/>
        <v>0</v>
      </c>
      <c r="F1177" s="128">
        <f t="shared" si="351"/>
        <v>0</v>
      </c>
      <c r="G1177" s="128">
        <f t="shared" si="351"/>
        <v>102142</v>
      </c>
      <c r="H1177" s="128">
        <f t="shared" si="351"/>
        <v>0</v>
      </c>
      <c r="I1177" s="128">
        <f t="shared" si="351"/>
        <v>0</v>
      </c>
      <c r="J1177" s="128">
        <f t="shared" si="351"/>
        <v>102142</v>
      </c>
      <c r="K1177" s="128">
        <f t="shared" si="351"/>
        <v>108525.875</v>
      </c>
      <c r="L1177" s="128">
        <f t="shared" si="351"/>
        <v>116122.68625</v>
      </c>
      <c r="M1177" s="128">
        <f t="shared" si="351"/>
        <v>0</v>
      </c>
      <c r="N1177" s="128">
        <f t="shared" si="351"/>
        <v>0</v>
      </c>
      <c r="O1177" s="128">
        <f t="shared" si="351"/>
        <v>124251.27428750003</v>
      </c>
      <c r="P1177" s="123" t="str">
        <f t="shared" si="349"/>
        <v/>
      </c>
    </row>
    <row r="1178" spans="1:16" s="114" customFormat="1" ht="15" x14ac:dyDescent="0.25">
      <c r="A1178" s="118"/>
      <c r="B1178" s="117"/>
      <c r="C1178" s="128"/>
      <c r="D1178" s="128"/>
      <c r="E1178" s="128"/>
      <c r="F1178" s="128"/>
      <c r="G1178" s="128"/>
      <c r="H1178" s="128"/>
      <c r="I1178" s="129">
        <f>LEDP!J286</f>
        <v>0</v>
      </c>
      <c r="J1178" s="129"/>
      <c r="K1178" s="129"/>
      <c r="L1178" s="129"/>
      <c r="M1178" s="186"/>
      <c r="N1178" s="186"/>
      <c r="O1178" s="128"/>
      <c r="P1178" s="123" t="str">
        <f t="shared" si="349"/>
        <v/>
      </c>
    </row>
    <row r="1179" spans="1:16" s="114" customFormat="1" ht="15" x14ac:dyDescent="0.25">
      <c r="A1179" s="118"/>
      <c r="B1179" s="117" t="s">
        <v>172</v>
      </c>
      <c r="C1179" s="128"/>
      <c r="D1179" s="128"/>
      <c r="E1179" s="128"/>
      <c r="F1179" s="128"/>
      <c r="G1179" s="128"/>
      <c r="H1179" s="128"/>
      <c r="I1179" s="129">
        <f>LEDP!J287</f>
        <v>0</v>
      </c>
      <c r="J1179" s="129"/>
      <c r="K1179" s="129"/>
      <c r="L1179" s="129"/>
      <c r="M1179" s="186"/>
      <c r="N1179" s="186"/>
      <c r="O1179" s="128"/>
      <c r="P1179" s="123" t="str">
        <f t="shared" si="349"/>
        <v/>
      </c>
    </row>
    <row r="1180" spans="1:16" x14ac:dyDescent="0.2">
      <c r="A1180" s="119"/>
      <c r="B1180" s="120"/>
      <c r="C1180" s="129"/>
      <c r="D1180" s="129"/>
      <c r="E1180" s="129"/>
      <c r="F1180" s="129"/>
      <c r="G1180" s="129"/>
      <c r="H1180" s="129"/>
      <c r="I1180" s="129">
        <f>LEDP!J288</f>
        <v>0</v>
      </c>
      <c r="J1180" s="129"/>
      <c r="K1180" s="129"/>
      <c r="L1180" s="129"/>
      <c r="O1180" s="129"/>
      <c r="P1180" s="123" t="str">
        <f t="shared" si="349"/>
        <v/>
      </c>
    </row>
    <row r="1181" spans="1:16" x14ac:dyDescent="0.2">
      <c r="A1181" s="119" t="s">
        <v>579</v>
      </c>
      <c r="B1181" s="120" t="s">
        <v>173</v>
      </c>
      <c r="C1181" s="129">
        <v>312</v>
      </c>
      <c r="D1181" s="129">
        <v>0</v>
      </c>
      <c r="E1181" s="129">
        <v>0</v>
      </c>
      <c r="F1181" s="129">
        <v>0</v>
      </c>
      <c r="G1181" s="129">
        <v>312</v>
      </c>
      <c r="H1181" s="129">
        <v>0</v>
      </c>
      <c r="I1181" s="129">
        <f>LEDP!J289</f>
        <v>0</v>
      </c>
      <c r="J1181" s="129">
        <f>LEDP!K289</f>
        <v>312</v>
      </c>
      <c r="K1181" s="129">
        <f>LEDP!L289</f>
        <v>331.5</v>
      </c>
      <c r="L1181" s="129">
        <f>LEDP!M289</f>
        <v>354.70499999999998</v>
      </c>
      <c r="O1181" s="129">
        <f>LEDP!N289</f>
        <v>379.53434999999996</v>
      </c>
      <c r="P1181" s="123" t="str">
        <f t="shared" si="349"/>
        <v>140</v>
      </c>
    </row>
    <row r="1182" spans="1:16" x14ac:dyDescent="0.2">
      <c r="A1182" s="119" t="s">
        <v>580</v>
      </c>
      <c r="B1182" s="120" t="s">
        <v>174</v>
      </c>
      <c r="C1182" s="129">
        <v>113</v>
      </c>
      <c r="D1182" s="129">
        <v>0</v>
      </c>
      <c r="E1182" s="129">
        <v>0</v>
      </c>
      <c r="F1182" s="129">
        <v>0</v>
      </c>
      <c r="G1182" s="129">
        <v>113</v>
      </c>
      <c r="H1182" s="129">
        <v>0</v>
      </c>
      <c r="I1182" s="129">
        <f>LEDP!J290</f>
        <v>0</v>
      </c>
      <c r="J1182" s="129">
        <f>LEDP!K290</f>
        <v>113</v>
      </c>
      <c r="K1182" s="129">
        <f>LEDP!L290</f>
        <v>120.0625</v>
      </c>
      <c r="L1182" s="129">
        <f>LEDP!M290</f>
        <v>128.46687499999999</v>
      </c>
      <c r="M1182" s="129">
        <f>LEDP!N290</f>
        <v>137.45955624999999</v>
      </c>
      <c r="N1182" s="129">
        <f>LEDP!O290</f>
        <v>0</v>
      </c>
      <c r="O1182" s="129">
        <f>LEDP!N290</f>
        <v>137.45955624999999</v>
      </c>
      <c r="P1182" s="123" t="str">
        <f t="shared" si="349"/>
        <v>140</v>
      </c>
    </row>
    <row r="1183" spans="1:16" x14ac:dyDescent="0.2">
      <c r="A1183" s="119" t="s">
        <v>581</v>
      </c>
      <c r="B1183" s="120" t="s">
        <v>175</v>
      </c>
      <c r="C1183" s="129">
        <v>944</v>
      </c>
      <c r="D1183" s="129">
        <v>0</v>
      </c>
      <c r="E1183" s="129">
        <v>0</v>
      </c>
      <c r="F1183" s="129">
        <v>0</v>
      </c>
      <c r="G1183" s="129">
        <v>944</v>
      </c>
      <c r="H1183" s="129">
        <v>0</v>
      </c>
      <c r="I1183" s="129">
        <f>LEDP!J291</f>
        <v>0</v>
      </c>
      <c r="J1183" s="129">
        <f>LEDP!K291</f>
        <v>944</v>
      </c>
      <c r="K1183" s="129">
        <f>LEDP!L291</f>
        <v>1003</v>
      </c>
      <c r="L1183" s="129">
        <f>LEDP!M291</f>
        <v>1073.21</v>
      </c>
      <c r="O1183" s="129">
        <f>LEDP!N291</f>
        <v>1148.3347000000001</v>
      </c>
      <c r="P1183" s="123" t="str">
        <f t="shared" si="349"/>
        <v>142</v>
      </c>
    </row>
    <row r="1184" spans="1:16" x14ac:dyDescent="0.2">
      <c r="A1184" s="119"/>
      <c r="B1184" s="120"/>
      <c r="C1184" s="129"/>
      <c r="D1184" s="129"/>
      <c r="E1184" s="129"/>
      <c r="F1184" s="129"/>
      <c r="G1184" s="129"/>
      <c r="H1184" s="129"/>
      <c r="I1184" s="129">
        <f>LEDP!J292</f>
        <v>0</v>
      </c>
      <c r="J1184" s="129"/>
      <c r="K1184" s="129"/>
      <c r="L1184" s="129"/>
      <c r="O1184" s="129"/>
      <c r="P1184" s="123" t="str">
        <f t="shared" si="349"/>
        <v/>
      </c>
    </row>
    <row r="1185" spans="1:16" s="114" customFormat="1" ht="15" x14ac:dyDescent="0.25">
      <c r="A1185" s="118"/>
      <c r="B1185" s="117" t="s">
        <v>176</v>
      </c>
      <c r="C1185" s="128">
        <f>SUM(C1181:C1184)</f>
        <v>1369</v>
      </c>
      <c r="D1185" s="128">
        <f t="shared" ref="D1185:O1185" si="352">SUM(D1181:D1184)</f>
        <v>0</v>
      </c>
      <c r="E1185" s="128">
        <f t="shared" si="352"/>
        <v>0</v>
      </c>
      <c r="F1185" s="128">
        <f t="shared" si="352"/>
        <v>0</v>
      </c>
      <c r="G1185" s="128">
        <f t="shared" si="352"/>
        <v>1369</v>
      </c>
      <c r="H1185" s="128">
        <f t="shared" si="352"/>
        <v>0</v>
      </c>
      <c r="I1185" s="128">
        <f t="shared" si="352"/>
        <v>0</v>
      </c>
      <c r="J1185" s="128">
        <f t="shared" si="352"/>
        <v>1369</v>
      </c>
      <c r="K1185" s="128">
        <f t="shared" si="352"/>
        <v>1454.5625</v>
      </c>
      <c r="L1185" s="128">
        <f t="shared" si="352"/>
        <v>1556.381875</v>
      </c>
      <c r="M1185" s="128">
        <f t="shared" si="352"/>
        <v>137.45955624999999</v>
      </c>
      <c r="N1185" s="128">
        <f t="shared" si="352"/>
        <v>0</v>
      </c>
      <c r="O1185" s="128">
        <f t="shared" si="352"/>
        <v>1665.3286062500001</v>
      </c>
      <c r="P1185" s="123" t="str">
        <f t="shared" si="349"/>
        <v/>
      </c>
    </row>
    <row r="1186" spans="1:16" s="114" customFormat="1" ht="15" x14ac:dyDescent="0.25">
      <c r="A1186" s="118"/>
      <c r="B1186" s="117"/>
      <c r="C1186" s="128"/>
      <c r="D1186" s="128"/>
      <c r="E1186" s="128"/>
      <c r="F1186" s="128"/>
      <c r="G1186" s="128"/>
      <c r="H1186" s="128"/>
      <c r="I1186" s="129">
        <f>LEDP!J294</f>
        <v>0</v>
      </c>
      <c r="J1186" s="129"/>
      <c r="K1186" s="129"/>
      <c r="L1186" s="129"/>
      <c r="M1186" s="186"/>
      <c r="N1186" s="186"/>
      <c r="O1186" s="128"/>
      <c r="P1186" s="123" t="str">
        <f t="shared" si="349"/>
        <v/>
      </c>
    </row>
    <row r="1187" spans="1:16" s="114" customFormat="1" ht="15" x14ac:dyDescent="0.25">
      <c r="A1187" s="118"/>
      <c r="B1187" s="117" t="s">
        <v>177</v>
      </c>
      <c r="C1187" s="128">
        <f>C1168+C1177+C1185</f>
        <v>366783</v>
      </c>
      <c r="D1187" s="128">
        <f t="shared" ref="D1187:O1187" si="353">D1168+D1177+D1185</f>
        <v>0</v>
      </c>
      <c r="E1187" s="128">
        <f t="shared" si="353"/>
        <v>0</v>
      </c>
      <c r="F1187" s="128">
        <f t="shared" si="353"/>
        <v>0</v>
      </c>
      <c r="G1187" s="128">
        <f t="shared" si="353"/>
        <v>366783</v>
      </c>
      <c r="H1187" s="128">
        <f t="shared" si="353"/>
        <v>0</v>
      </c>
      <c r="I1187" s="128">
        <f t="shared" si="353"/>
        <v>0</v>
      </c>
      <c r="J1187" s="128">
        <f t="shared" si="353"/>
        <v>366783</v>
      </c>
      <c r="K1187" s="128">
        <f t="shared" si="353"/>
        <v>389706.9375</v>
      </c>
      <c r="L1187" s="128">
        <f t="shared" si="353"/>
        <v>416986.42312500003</v>
      </c>
      <c r="M1187" s="128">
        <f t="shared" si="353"/>
        <v>137.45955624999999</v>
      </c>
      <c r="N1187" s="128">
        <f t="shared" si="353"/>
        <v>0</v>
      </c>
      <c r="O1187" s="128">
        <f t="shared" si="353"/>
        <v>446175.47274375008</v>
      </c>
      <c r="P1187" s="123" t="str">
        <f t="shared" si="349"/>
        <v/>
      </c>
    </row>
    <row r="1188" spans="1:16" s="114" customFormat="1" ht="15" x14ac:dyDescent="0.25">
      <c r="A1188" s="118"/>
      <c r="B1188" s="117"/>
      <c r="C1188" s="128"/>
      <c r="D1188" s="128"/>
      <c r="E1188" s="128"/>
      <c r="F1188" s="128"/>
      <c r="G1188" s="128"/>
      <c r="H1188" s="128"/>
      <c r="I1188" s="129">
        <f>LEDP!J296</f>
        <v>0</v>
      </c>
      <c r="J1188" s="129"/>
      <c r="K1188" s="129"/>
      <c r="L1188" s="129"/>
      <c r="M1188" s="186"/>
      <c r="N1188" s="186"/>
      <c r="O1188" s="128"/>
      <c r="P1188" s="123" t="str">
        <f t="shared" si="349"/>
        <v/>
      </c>
    </row>
    <row r="1189" spans="1:16" s="114" customFormat="1" ht="15" x14ac:dyDescent="0.25">
      <c r="A1189" s="118"/>
      <c r="B1189" s="117" t="s">
        <v>178</v>
      </c>
      <c r="C1189" s="128">
        <f>C1187</f>
        <v>366783</v>
      </c>
      <c r="D1189" s="128">
        <f t="shared" ref="D1189:O1189" si="354">D1187</f>
        <v>0</v>
      </c>
      <c r="E1189" s="128">
        <f t="shared" si="354"/>
        <v>0</v>
      </c>
      <c r="F1189" s="128">
        <f t="shared" si="354"/>
        <v>0</v>
      </c>
      <c r="G1189" s="128">
        <f t="shared" si="354"/>
        <v>366783</v>
      </c>
      <c r="H1189" s="128">
        <f t="shared" si="354"/>
        <v>0</v>
      </c>
      <c r="I1189" s="128">
        <f t="shared" si="354"/>
        <v>0</v>
      </c>
      <c r="J1189" s="128">
        <f t="shared" si="354"/>
        <v>366783</v>
      </c>
      <c r="K1189" s="128">
        <f t="shared" si="354"/>
        <v>389706.9375</v>
      </c>
      <c r="L1189" s="128">
        <f t="shared" si="354"/>
        <v>416986.42312500003</v>
      </c>
      <c r="M1189" s="128">
        <f t="shared" si="354"/>
        <v>137.45955624999999</v>
      </c>
      <c r="N1189" s="128">
        <f t="shared" si="354"/>
        <v>0</v>
      </c>
      <c r="O1189" s="128">
        <f t="shared" si="354"/>
        <v>446175.47274375008</v>
      </c>
      <c r="P1189" s="123" t="str">
        <f t="shared" si="349"/>
        <v/>
      </c>
    </row>
    <row r="1190" spans="1:16" x14ac:dyDescent="0.2">
      <c r="A1190" s="119"/>
      <c r="B1190" s="120"/>
      <c r="C1190" s="129"/>
      <c r="D1190" s="129"/>
      <c r="E1190" s="129"/>
      <c r="F1190" s="129"/>
      <c r="G1190" s="129"/>
      <c r="H1190" s="129"/>
      <c r="I1190" s="129">
        <f>LEDP!J298</f>
        <v>0</v>
      </c>
      <c r="J1190" s="129"/>
      <c r="K1190" s="129"/>
      <c r="L1190" s="129"/>
      <c r="O1190" s="129"/>
      <c r="P1190" s="123" t="str">
        <f t="shared" si="349"/>
        <v/>
      </c>
    </row>
    <row r="1191" spans="1:16" s="114" customFormat="1" ht="15" x14ac:dyDescent="0.25">
      <c r="A1191" s="118"/>
      <c r="B1191" s="117" t="s">
        <v>305</v>
      </c>
      <c r="C1191" s="128">
        <f>C1189</f>
        <v>366783</v>
      </c>
      <c r="D1191" s="128">
        <f t="shared" ref="D1191:O1191" si="355">D1189</f>
        <v>0</v>
      </c>
      <c r="E1191" s="128">
        <f t="shared" si="355"/>
        <v>0</v>
      </c>
      <c r="F1191" s="128">
        <f t="shared" si="355"/>
        <v>0</v>
      </c>
      <c r="G1191" s="128">
        <f t="shared" si="355"/>
        <v>366783</v>
      </c>
      <c r="H1191" s="128">
        <f t="shared" si="355"/>
        <v>0</v>
      </c>
      <c r="I1191" s="128">
        <f t="shared" si="355"/>
        <v>0</v>
      </c>
      <c r="J1191" s="128">
        <f t="shared" si="355"/>
        <v>366783</v>
      </c>
      <c r="K1191" s="128">
        <f t="shared" si="355"/>
        <v>389706.9375</v>
      </c>
      <c r="L1191" s="128">
        <f t="shared" si="355"/>
        <v>416986.42312500003</v>
      </c>
      <c r="M1191" s="128">
        <f t="shared" si="355"/>
        <v>137.45955624999999</v>
      </c>
      <c r="N1191" s="128">
        <f t="shared" si="355"/>
        <v>0</v>
      </c>
      <c r="O1191" s="128">
        <f t="shared" si="355"/>
        <v>446175.47274375008</v>
      </c>
      <c r="P1191" s="123" t="str">
        <f t="shared" si="349"/>
        <v/>
      </c>
    </row>
    <row r="1192" spans="1:16" s="124" customFormat="1" ht="15" x14ac:dyDescent="0.25">
      <c r="A1192" s="140"/>
      <c r="B1192" s="140"/>
      <c r="C1192" s="188"/>
      <c r="D1192" s="188"/>
      <c r="E1192" s="188"/>
      <c r="F1192" s="188"/>
      <c r="G1192" s="188"/>
      <c r="H1192" s="188"/>
      <c r="I1192" s="188"/>
      <c r="J1192" s="188"/>
      <c r="K1192" s="188"/>
      <c r="L1192" s="188"/>
      <c r="M1192" s="130"/>
      <c r="N1192" s="130"/>
      <c r="O1192" s="188"/>
      <c r="P1192" s="123" t="str">
        <f t="shared" si="349"/>
        <v/>
      </c>
    </row>
    <row r="1193" spans="1:16" s="114" customFormat="1" ht="15" x14ac:dyDescent="0.25">
      <c r="A1193" s="118"/>
      <c r="B1193" s="117" t="s">
        <v>582</v>
      </c>
      <c r="C1193" s="128"/>
      <c r="D1193" s="128"/>
      <c r="E1193" s="128"/>
      <c r="F1193" s="128"/>
      <c r="G1193" s="128"/>
      <c r="H1193" s="128"/>
      <c r="I1193" s="128"/>
      <c r="J1193" s="128"/>
      <c r="K1193" s="128"/>
      <c r="L1193" s="128"/>
      <c r="M1193" s="186"/>
      <c r="N1193" s="186"/>
      <c r="O1193" s="128"/>
      <c r="P1193" s="123" t="str">
        <f t="shared" si="349"/>
        <v/>
      </c>
    </row>
    <row r="1194" spans="1:16" s="114" customFormat="1" ht="15" x14ac:dyDescent="0.25">
      <c r="A1194" s="118"/>
      <c r="B1194" s="117" t="s">
        <v>96</v>
      </c>
      <c r="C1194" s="128"/>
      <c r="D1194" s="128"/>
      <c r="E1194" s="128"/>
      <c r="F1194" s="128"/>
      <c r="G1194" s="128"/>
      <c r="H1194" s="128"/>
      <c r="I1194" s="128"/>
      <c r="J1194" s="128"/>
      <c r="K1194" s="128"/>
      <c r="L1194" s="128"/>
      <c r="M1194" s="186"/>
      <c r="N1194" s="186"/>
      <c r="O1194" s="128"/>
      <c r="P1194" s="123" t="str">
        <f t="shared" si="349"/>
        <v/>
      </c>
    </row>
    <row r="1195" spans="1:16" s="114" customFormat="1" ht="15" x14ac:dyDescent="0.25">
      <c r="A1195" s="118"/>
      <c r="B1195" s="117" t="s">
        <v>97</v>
      </c>
      <c r="C1195" s="128"/>
      <c r="D1195" s="128"/>
      <c r="E1195" s="128"/>
      <c r="F1195" s="128"/>
      <c r="G1195" s="128"/>
      <c r="H1195" s="128"/>
      <c r="I1195" s="128"/>
      <c r="J1195" s="128"/>
      <c r="K1195" s="128"/>
      <c r="L1195" s="128"/>
      <c r="M1195" s="186"/>
      <c r="N1195" s="186"/>
      <c r="O1195" s="128"/>
      <c r="P1195" s="123" t="str">
        <f t="shared" si="349"/>
        <v/>
      </c>
    </row>
    <row r="1196" spans="1:16" s="114" customFormat="1" ht="15" x14ac:dyDescent="0.25">
      <c r="A1196" s="118"/>
      <c r="B1196" s="117" t="s">
        <v>98</v>
      </c>
      <c r="C1196" s="128"/>
      <c r="D1196" s="128"/>
      <c r="E1196" s="128"/>
      <c r="F1196" s="128"/>
      <c r="G1196" s="128"/>
      <c r="H1196" s="128"/>
      <c r="I1196" s="128"/>
      <c r="J1196" s="128"/>
      <c r="K1196" s="128"/>
      <c r="L1196" s="128"/>
      <c r="M1196" s="186"/>
      <c r="N1196" s="186"/>
      <c r="O1196" s="128"/>
      <c r="P1196" s="123" t="str">
        <f t="shared" si="349"/>
        <v/>
      </c>
    </row>
    <row r="1197" spans="1:16" s="114" customFormat="1" ht="15" x14ac:dyDescent="0.25">
      <c r="A1197" s="118"/>
      <c r="B1197" s="117" t="s">
        <v>99</v>
      </c>
      <c r="C1197" s="128"/>
      <c r="D1197" s="128"/>
      <c r="E1197" s="128"/>
      <c r="F1197" s="128"/>
      <c r="G1197" s="128"/>
      <c r="H1197" s="128"/>
      <c r="I1197" s="128"/>
      <c r="J1197" s="128"/>
      <c r="K1197" s="128"/>
      <c r="L1197" s="128"/>
      <c r="M1197" s="186"/>
      <c r="N1197" s="186"/>
      <c r="O1197" s="128"/>
      <c r="P1197" s="123" t="str">
        <f t="shared" si="349"/>
        <v/>
      </c>
    </row>
    <row r="1198" spans="1:16" x14ac:dyDescent="0.2">
      <c r="A1198" s="119"/>
      <c r="B1198" s="120"/>
      <c r="C1198" s="129"/>
      <c r="D1198" s="129"/>
      <c r="E1198" s="129"/>
      <c r="F1198" s="129"/>
      <c r="G1198" s="129"/>
      <c r="H1198" s="129"/>
      <c r="I1198" s="129"/>
      <c r="J1198" s="129"/>
      <c r="K1198" s="129"/>
      <c r="L1198" s="129"/>
      <c r="O1198" s="129"/>
      <c r="P1198" s="123" t="str">
        <f t="shared" si="349"/>
        <v/>
      </c>
    </row>
    <row r="1199" spans="1:16" x14ac:dyDescent="0.2">
      <c r="A1199" s="119" t="s">
        <v>583</v>
      </c>
      <c r="B1199" s="120" t="s">
        <v>100</v>
      </c>
      <c r="C1199" s="129">
        <v>891108</v>
      </c>
      <c r="D1199" s="129">
        <v>91950.73</v>
      </c>
      <c r="E1199" s="129">
        <v>0</v>
      </c>
      <c r="F1199" s="129">
        <v>551704.38</v>
      </c>
      <c r="G1199" s="129">
        <v>339403.62</v>
      </c>
      <c r="H1199" s="129">
        <v>61.91</v>
      </c>
      <c r="I1199" s="129">
        <f>MM!J9</f>
        <v>0</v>
      </c>
      <c r="J1199" s="129">
        <f>MM!K9</f>
        <v>891108</v>
      </c>
      <c r="K1199" s="129">
        <f>MM!L9</f>
        <v>946802.25</v>
      </c>
      <c r="L1199" s="129">
        <f>MM!M9</f>
        <v>1013078.4075</v>
      </c>
      <c r="O1199" s="129">
        <f>MM!N9</f>
        <v>1083993.8960249999</v>
      </c>
      <c r="P1199" s="123" t="str">
        <f t="shared" si="349"/>
        <v>030</v>
      </c>
    </row>
    <row r="1200" spans="1:16" x14ac:dyDescent="0.2">
      <c r="A1200" s="119" t="s">
        <v>584</v>
      </c>
      <c r="B1200" s="120" t="s">
        <v>101</v>
      </c>
      <c r="C1200" s="129">
        <v>44555</v>
      </c>
      <c r="D1200" s="129">
        <v>0</v>
      </c>
      <c r="E1200" s="129">
        <v>0</v>
      </c>
      <c r="F1200" s="129">
        <v>0</v>
      </c>
      <c r="G1200" s="129">
        <v>44555</v>
      </c>
      <c r="H1200" s="129">
        <v>0</v>
      </c>
      <c r="I1200" s="129">
        <f>MM!J10</f>
        <v>0</v>
      </c>
      <c r="J1200" s="129">
        <f>MM!K10</f>
        <v>44555</v>
      </c>
      <c r="K1200" s="129">
        <f>MM!L10</f>
        <v>47339.6875</v>
      </c>
      <c r="L1200" s="129">
        <f>MM!M10</f>
        <v>50653.465624999997</v>
      </c>
      <c r="O1200" s="129">
        <f>MM!N10</f>
        <v>54199.208218749998</v>
      </c>
      <c r="P1200" s="123" t="str">
        <f t="shared" si="349"/>
        <v>030</v>
      </c>
    </row>
    <row r="1201" spans="1:16" x14ac:dyDescent="0.2">
      <c r="A1201" s="119" t="s">
        <v>585</v>
      </c>
      <c r="B1201" s="120" t="s">
        <v>102</v>
      </c>
      <c r="C1201" s="129">
        <v>40000</v>
      </c>
      <c r="D1201" s="129">
        <v>3333.33</v>
      </c>
      <c r="E1201" s="129">
        <v>0</v>
      </c>
      <c r="F1201" s="129">
        <v>19999.98</v>
      </c>
      <c r="G1201" s="129">
        <v>20000.02</v>
      </c>
      <c r="H1201" s="129">
        <v>49.99</v>
      </c>
      <c r="I1201" s="129">
        <f>MM!J11</f>
        <v>0</v>
      </c>
      <c r="J1201" s="129">
        <f>MM!K11</f>
        <v>40000</v>
      </c>
      <c r="K1201" s="129">
        <f>MM!L11</f>
        <v>42500</v>
      </c>
      <c r="L1201" s="129">
        <f>MM!M11</f>
        <v>45475</v>
      </c>
      <c r="O1201" s="129">
        <f>MM!N11</f>
        <v>48658.25</v>
      </c>
      <c r="P1201" s="123" t="str">
        <f t="shared" si="349"/>
        <v>030</v>
      </c>
    </row>
    <row r="1202" spans="1:16" x14ac:dyDescent="0.2">
      <c r="A1202" s="119" t="s">
        <v>586</v>
      </c>
      <c r="B1202" s="120" t="s">
        <v>103</v>
      </c>
      <c r="C1202" s="129">
        <v>253608</v>
      </c>
      <c r="D1202" s="129">
        <v>0</v>
      </c>
      <c r="E1202" s="129">
        <v>0</v>
      </c>
      <c r="F1202" s="129">
        <v>0</v>
      </c>
      <c r="G1202" s="129">
        <v>253608</v>
      </c>
      <c r="H1202" s="129">
        <v>0</v>
      </c>
      <c r="I1202" s="129">
        <f>MM!J12</f>
        <v>0</v>
      </c>
      <c r="J1202" s="129">
        <f>MM!K12</f>
        <v>253608</v>
      </c>
      <c r="K1202" s="129">
        <f>MM!L12</f>
        <v>269458.5</v>
      </c>
      <c r="L1202" s="129">
        <f>MM!M12</f>
        <v>288320.59499999997</v>
      </c>
      <c r="O1202" s="129">
        <f>MM!N12</f>
        <v>308503.03664999997</v>
      </c>
      <c r="P1202" s="123" t="str">
        <f t="shared" si="349"/>
        <v>030</v>
      </c>
    </row>
    <row r="1203" spans="1:16" x14ac:dyDescent="0.2">
      <c r="A1203" s="119" t="s">
        <v>587</v>
      </c>
      <c r="B1203" s="120" t="s">
        <v>104</v>
      </c>
      <c r="C1203" s="129">
        <v>31385</v>
      </c>
      <c r="D1203" s="129">
        <v>0</v>
      </c>
      <c r="E1203" s="129">
        <v>0</v>
      </c>
      <c r="F1203" s="129">
        <v>0</v>
      </c>
      <c r="G1203" s="129">
        <v>31385</v>
      </c>
      <c r="H1203" s="129">
        <v>0</v>
      </c>
      <c r="I1203" s="129">
        <f>MM!J13</f>
        <v>0</v>
      </c>
      <c r="J1203" s="129">
        <f>MM!K13</f>
        <v>31385</v>
      </c>
      <c r="K1203" s="129">
        <f>MM!L13</f>
        <v>33346.5625</v>
      </c>
      <c r="L1203" s="129">
        <f>MM!M13</f>
        <v>35680.821875000001</v>
      </c>
      <c r="O1203" s="129">
        <f>MM!N13</f>
        <v>38178.47940625</v>
      </c>
      <c r="P1203" s="123" t="str">
        <f t="shared" si="349"/>
        <v>030</v>
      </c>
    </row>
    <row r="1204" spans="1:16" x14ac:dyDescent="0.2">
      <c r="A1204" s="119" t="s">
        <v>588</v>
      </c>
      <c r="B1204" s="120" t="s">
        <v>105</v>
      </c>
      <c r="C1204" s="129">
        <v>17004</v>
      </c>
      <c r="D1204" s="129">
        <v>0</v>
      </c>
      <c r="E1204" s="129">
        <v>0</v>
      </c>
      <c r="F1204" s="129">
        <v>0</v>
      </c>
      <c r="G1204" s="129">
        <v>17004</v>
      </c>
      <c r="H1204" s="129">
        <v>0</v>
      </c>
      <c r="I1204" s="129">
        <f>MM!J14</f>
        <v>0</v>
      </c>
      <c r="J1204" s="129">
        <f>MM!K14</f>
        <v>17004</v>
      </c>
      <c r="K1204" s="129">
        <f>MM!L14</f>
        <v>18066.75</v>
      </c>
      <c r="L1204" s="129">
        <f>MM!M14</f>
        <v>19331.422500000001</v>
      </c>
      <c r="O1204" s="129">
        <f>MM!N14</f>
        <v>20684.622074999999</v>
      </c>
      <c r="P1204" s="123" t="str">
        <f t="shared" si="349"/>
        <v>030</v>
      </c>
    </row>
    <row r="1205" spans="1:16" x14ac:dyDescent="0.2">
      <c r="A1205" s="119"/>
      <c r="B1205" s="120"/>
      <c r="C1205" s="129"/>
      <c r="D1205" s="129"/>
      <c r="E1205" s="129"/>
      <c r="F1205" s="129"/>
      <c r="G1205" s="129"/>
      <c r="H1205" s="129"/>
      <c r="I1205" s="129">
        <f>MM!J15</f>
        <v>0</v>
      </c>
      <c r="J1205" s="129"/>
      <c r="K1205" s="129"/>
      <c r="L1205" s="129"/>
      <c r="O1205" s="129"/>
      <c r="P1205" s="123" t="str">
        <f t="shared" si="349"/>
        <v/>
      </c>
    </row>
    <row r="1206" spans="1:16" s="114" customFormat="1" ht="15" x14ac:dyDescent="0.25">
      <c r="A1206" s="118"/>
      <c r="B1206" s="117" t="s">
        <v>106</v>
      </c>
      <c r="C1206" s="128">
        <f>SUM(C1199:C1205)</f>
        <v>1277660</v>
      </c>
      <c r="D1206" s="128">
        <f t="shared" ref="D1206:O1206" si="356">SUM(D1199:D1205)</f>
        <v>95284.06</v>
      </c>
      <c r="E1206" s="128">
        <f t="shared" si="356"/>
        <v>0</v>
      </c>
      <c r="F1206" s="128">
        <f t="shared" si="356"/>
        <v>571704.36</v>
      </c>
      <c r="G1206" s="128">
        <f t="shared" si="356"/>
        <v>705955.64</v>
      </c>
      <c r="H1206" s="128">
        <f t="shared" si="356"/>
        <v>111.9</v>
      </c>
      <c r="I1206" s="128">
        <f t="shared" si="356"/>
        <v>0</v>
      </c>
      <c r="J1206" s="128">
        <f t="shared" si="356"/>
        <v>1277660</v>
      </c>
      <c r="K1206" s="128">
        <f t="shared" si="356"/>
        <v>1357513.75</v>
      </c>
      <c r="L1206" s="128">
        <f t="shared" si="356"/>
        <v>1452539.7124999999</v>
      </c>
      <c r="M1206" s="128">
        <f t="shared" si="356"/>
        <v>0</v>
      </c>
      <c r="N1206" s="128">
        <f t="shared" si="356"/>
        <v>0</v>
      </c>
      <c r="O1206" s="128">
        <f t="shared" si="356"/>
        <v>1554217.4923749999</v>
      </c>
      <c r="P1206" s="123" t="str">
        <f t="shared" si="349"/>
        <v/>
      </c>
    </row>
    <row r="1207" spans="1:16" s="114" customFormat="1" ht="15" x14ac:dyDescent="0.25">
      <c r="A1207" s="118"/>
      <c r="B1207" s="117"/>
      <c r="C1207" s="128"/>
      <c r="D1207" s="128"/>
      <c r="E1207" s="128"/>
      <c r="F1207" s="128"/>
      <c r="G1207" s="128"/>
      <c r="H1207" s="128"/>
      <c r="I1207" s="129">
        <f>MM!J17</f>
        <v>0</v>
      </c>
      <c r="J1207" s="129"/>
      <c r="K1207" s="129"/>
      <c r="L1207" s="129"/>
      <c r="M1207" s="186"/>
      <c r="N1207" s="186"/>
      <c r="O1207" s="128"/>
      <c r="P1207" s="123" t="str">
        <f t="shared" si="349"/>
        <v/>
      </c>
    </row>
    <row r="1208" spans="1:16" s="114" customFormat="1" ht="15" x14ac:dyDescent="0.25">
      <c r="A1208" s="118"/>
      <c r="B1208" s="117" t="s">
        <v>146</v>
      </c>
      <c r="C1208" s="128">
        <f>C1206</f>
        <v>1277660</v>
      </c>
      <c r="D1208" s="128">
        <f t="shared" ref="D1208:O1208" si="357">D1206</f>
        <v>95284.06</v>
      </c>
      <c r="E1208" s="128">
        <f t="shared" si="357"/>
        <v>0</v>
      </c>
      <c r="F1208" s="128">
        <f t="shared" si="357"/>
        <v>571704.36</v>
      </c>
      <c r="G1208" s="128">
        <f t="shared" si="357"/>
        <v>705955.64</v>
      </c>
      <c r="H1208" s="128">
        <f t="shared" si="357"/>
        <v>111.9</v>
      </c>
      <c r="I1208" s="128">
        <f t="shared" si="357"/>
        <v>0</v>
      </c>
      <c r="J1208" s="128">
        <f t="shared" si="357"/>
        <v>1277660</v>
      </c>
      <c r="K1208" s="128">
        <f t="shared" si="357"/>
        <v>1357513.75</v>
      </c>
      <c r="L1208" s="128">
        <f t="shared" si="357"/>
        <v>1452539.7124999999</v>
      </c>
      <c r="M1208" s="128">
        <f t="shared" si="357"/>
        <v>0</v>
      </c>
      <c r="N1208" s="128">
        <f t="shared" si="357"/>
        <v>0</v>
      </c>
      <c r="O1208" s="128">
        <f t="shared" si="357"/>
        <v>1554217.4923749999</v>
      </c>
      <c r="P1208" s="123" t="str">
        <f t="shared" si="349"/>
        <v/>
      </c>
    </row>
    <row r="1209" spans="1:16" s="114" customFormat="1" ht="15" x14ac:dyDescent="0.25">
      <c r="A1209" s="118"/>
      <c r="B1209" s="117"/>
      <c r="C1209" s="128"/>
      <c r="D1209" s="128"/>
      <c r="E1209" s="128"/>
      <c r="F1209" s="128"/>
      <c r="G1209" s="128"/>
      <c r="H1209" s="128"/>
      <c r="I1209" s="129">
        <f>MM!J19</f>
        <v>0</v>
      </c>
      <c r="J1209" s="129"/>
      <c r="K1209" s="129"/>
      <c r="L1209" s="129"/>
      <c r="M1209" s="186"/>
      <c r="N1209" s="186"/>
      <c r="O1209" s="128"/>
      <c r="P1209" s="123" t="str">
        <f t="shared" si="349"/>
        <v/>
      </c>
    </row>
    <row r="1210" spans="1:16" s="114" customFormat="1" ht="15" x14ac:dyDescent="0.25">
      <c r="A1210" s="118"/>
      <c r="B1210" s="117" t="s">
        <v>147</v>
      </c>
      <c r="C1210" s="128">
        <f>C1208</f>
        <v>1277660</v>
      </c>
      <c r="D1210" s="128">
        <f t="shared" ref="D1210:O1210" si="358">D1208</f>
        <v>95284.06</v>
      </c>
      <c r="E1210" s="128">
        <f t="shared" si="358"/>
        <v>0</v>
      </c>
      <c r="F1210" s="128">
        <f t="shared" si="358"/>
        <v>571704.36</v>
      </c>
      <c r="G1210" s="128">
        <f t="shared" si="358"/>
        <v>705955.64</v>
      </c>
      <c r="H1210" s="128">
        <f t="shared" si="358"/>
        <v>111.9</v>
      </c>
      <c r="I1210" s="128">
        <f t="shared" si="358"/>
        <v>0</v>
      </c>
      <c r="J1210" s="128">
        <f t="shared" si="358"/>
        <v>1277660</v>
      </c>
      <c r="K1210" s="128">
        <f t="shared" si="358"/>
        <v>1357513.75</v>
      </c>
      <c r="L1210" s="128">
        <f t="shared" si="358"/>
        <v>1452539.7124999999</v>
      </c>
      <c r="M1210" s="128">
        <f t="shared" si="358"/>
        <v>0</v>
      </c>
      <c r="N1210" s="128">
        <f t="shared" si="358"/>
        <v>0</v>
      </c>
      <c r="O1210" s="128">
        <f t="shared" si="358"/>
        <v>1554217.4923749999</v>
      </c>
      <c r="P1210" s="123" t="str">
        <f t="shared" si="349"/>
        <v/>
      </c>
    </row>
    <row r="1211" spans="1:16" s="114" customFormat="1" ht="15" x14ac:dyDescent="0.25">
      <c r="A1211" s="118"/>
      <c r="B1211" s="117"/>
      <c r="C1211" s="128"/>
      <c r="D1211" s="128"/>
      <c r="E1211" s="128"/>
      <c r="F1211" s="128"/>
      <c r="G1211" s="128"/>
      <c r="H1211" s="128"/>
      <c r="I1211" s="129">
        <f>MM!J21</f>
        <v>0</v>
      </c>
      <c r="J1211" s="129"/>
      <c r="K1211" s="129"/>
      <c r="L1211" s="129"/>
      <c r="M1211" s="186"/>
      <c r="N1211" s="186"/>
      <c r="O1211" s="128"/>
      <c r="P1211" s="123" t="str">
        <f t="shared" si="349"/>
        <v/>
      </c>
    </row>
    <row r="1212" spans="1:16" s="114" customFormat="1" ht="15" x14ac:dyDescent="0.25">
      <c r="A1212" s="118"/>
      <c r="B1212" s="117" t="s">
        <v>148</v>
      </c>
      <c r="C1212" s="128"/>
      <c r="D1212" s="128"/>
      <c r="E1212" s="128"/>
      <c r="F1212" s="128"/>
      <c r="G1212" s="128"/>
      <c r="H1212" s="128"/>
      <c r="I1212" s="129">
        <f ca="1">MM!J22</f>
        <v>0</v>
      </c>
      <c r="J1212" s="129"/>
      <c r="K1212" s="129"/>
      <c r="L1212" s="129"/>
      <c r="M1212" s="186"/>
      <c r="N1212" s="186"/>
      <c r="O1212" s="128"/>
      <c r="P1212" s="123" t="str">
        <f t="shared" si="349"/>
        <v/>
      </c>
    </row>
    <row r="1213" spans="1:16" s="114" customFormat="1" ht="15" x14ac:dyDescent="0.25">
      <c r="A1213" s="118"/>
      <c r="B1213" s="117"/>
      <c r="C1213" s="128"/>
      <c r="D1213" s="128"/>
      <c r="E1213" s="128"/>
      <c r="F1213" s="128"/>
      <c r="G1213" s="128"/>
      <c r="H1213" s="128"/>
      <c r="I1213" s="129">
        <f>MM!J23</f>
        <v>0</v>
      </c>
      <c r="J1213" s="129"/>
      <c r="K1213" s="129"/>
      <c r="L1213" s="129"/>
      <c r="M1213" s="186"/>
      <c r="N1213" s="186"/>
      <c r="O1213" s="128"/>
      <c r="P1213" s="123" t="str">
        <f t="shared" si="349"/>
        <v/>
      </c>
    </row>
    <row r="1214" spans="1:16" s="114" customFormat="1" ht="15" x14ac:dyDescent="0.25">
      <c r="A1214" s="118"/>
      <c r="B1214" s="117" t="s">
        <v>149</v>
      </c>
      <c r="C1214" s="128"/>
      <c r="D1214" s="128"/>
      <c r="E1214" s="128"/>
      <c r="F1214" s="128"/>
      <c r="G1214" s="128"/>
      <c r="H1214" s="128"/>
      <c r="I1214" s="129">
        <f ca="1">MM!J24</f>
        <v>0</v>
      </c>
      <c r="J1214" s="129"/>
      <c r="K1214" s="129"/>
      <c r="L1214" s="129"/>
      <c r="M1214" s="186"/>
      <c r="N1214" s="186"/>
      <c r="O1214" s="128"/>
      <c r="P1214" s="123" t="str">
        <f t="shared" si="349"/>
        <v/>
      </c>
    </row>
    <row r="1215" spans="1:16" x14ac:dyDescent="0.2">
      <c r="A1215" s="119"/>
      <c r="B1215" s="120"/>
      <c r="C1215" s="129"/>
      <c r="D1215" s="129"/>
      <c r="E1215" s="129"/>
      <c r="F1215" s="129"/>
      <c r="G1215" s="129"/>
      <c r="H1215" s="129"/>
      <c r="I1215" s="129">
        <f>MM!J25</f>
        <v>0</v>
      </c>
      <c r="J1215" s="129"/>
      <c r="K1215" s="129"/>
      <c r="L1215" s="129"/>
      <c r="O1215" s="129"/>
      <c r="P1215" s="123" t="str">
        <f t="shared" si="349"/>
        <v/>
      </c>
    </row>
    <row r="1216" spans="1:16" x14ac:dyDescent="0.2">
      <c r="A1216" s="119" t="s">
        <v>589</v>
      </c>
      <c r="B1216" s="120" t="s">
        <v>150</v>
      </c>
      <c r="C1216" s="129">
        <v>1773819</v>
      </c>
      <c r="D1216" s="129">
        <v>94263.74</v>
      </c>
      <c r="E1216" s="129">
        <v>0</v>
      </c>
      <c r="F1216" s="129">
        <v>563632.39</v>
      </c>
      <c r="G1216" s="129">
        <v>1210186.6100000001</v>
      </c>
      <c r="H1216" s="129">
        <v>31.77</v>
      </c>
      <c r="I1216" s="129">
        <f>MM!J26</f>
        <v>0</v>
      </c>
      <c r="J1216" s="129">
        <f>MM!K26</f>
        <v>1773819</v>
      </c>
      <c r="K1216" s="129">
        <f>MM!L26</f>
        <v>1884682.6875</v>
      </c>
      <c r="L1216" s="129">
        <f>MM!M26</f>
        <v>2016610.475625</v>
      </c>
      <c r="O1216" s="129">
        <f>MM!N26</f>
        <v>2157773.2089187498</v>
      </c>
      <c r="P1216" s="123" t="str">
        <f t="shared" si="349"/>
        <v>110</v>
      </c>
    </row>
    <row r="1217" spans="1:16" x14ac:dyDescent="0.2">
      <c r="A1217" s="119" t="s">
        <v>590</v>
      </c>
      <c r="B1217" s="120" t="s">
        <v>151</v>
      </c>
      <c r="C1217" s="129">
        <v>88691</v>
      </c>
      <c r="D1217" s="129">
        <v>25401.27</v>
      </c>
      <c r="E1217" s="129">
        <v>0</v>
      </c>
      <c r="F1217" s="129">
        <v>41671.870000000003</v>
      </c>
      <c r="G1217" s="129">
        <v>47019.13</v>
      </c>
      <c r="H1217" s="129">
        <v>46.98</v>
      </c>
      <c r="I1217" s="129">
        <f>MM!J27</f>
        <v>-63289.729999999996</v>
      </c>
      <c r="J1217" s="129">
        <f>MM!K27</f>
        <v>25401.270000000004</v>
      </c>
      <c r="K1217" s="129">
        <f>MM!L27</f>
        <v>26988.849375000005</v>
      </c>
      <c r="L1217" s="129">
        <f>MM!M27</f>
        <v>28878.068831250006</v>
      </c>
      <c r="O1217" s="129">
        <f>MM!N27</f>
        <v>30899.533649437508</v>
      </c>
      <c r="P1217" s="123" t="str">
        <f t="shared" si="349"/>
        <v>110</v>
      </c>
    </row>
    <row r="1218" spans="1:16" x14ac:dyDescent="0.2">
      <c r="A1218" s="119" t="s">
        <v>591</v>
      </c>
      <c r="B1218" s="120" t="s">
        <v>152</v>
      </c>
      <c r="C1218" s="129">
        <v>62100</v>
      </c>
      <c r="D1218" s="129">
        <v>3175</v>
      </c>
      <c r="E1218" s="129">
        <v>0</v>
      </c>
      <c r="F1218" s="129">
        <v>19050</v>
      </c>
      <c r="G1218" s="129">
        <v>43050</v>
      </c>
      <c r="H1218" s="129">
        <v>30.67</v>
      </c>
      <c r="I1218" s="129">
        <f>MM!J28</f>
        <v>0</v>
      </c>
      <c r="J1218" s="129">
        <f>MM!K28</f>
        <v>62100</v>
      </c>
      <c r="K1218" s="129">
        <f>MM!L28</f>
        <v>65981.25</v>
      </c>
      <c r="L1218" s="129">
        <f>MM!M28</f>
        <v>70599.9375</v>
      </c>
      <c r="O1218" s="129">
        <f>MM!N28</f>
        <v>75541.933124999996</v>
      </c>
      <c r="P1218" s="123" t="str">
        <f t="shared" si="349"/>
        <v>110</v>
      </c>
    </row>
    <row r="1219" spans="1:16" x14ac:dyDescent="0.2">
      <c r="A1219" s="119" t="s">
        <v>592</v>
      </c>
      <c r="B1219" s="120" t="s">
        <v>153</v>
      </c>
      <c r="C1219" s="129">
        <v>21786</v>
      </c>
      <c r="D1219" s="129">
        <v>907.77</v>
      </c>
      <c r="E1219" s="129">
        <v>0</v>
      </c>
      <c r="F1219" s="129">
        <v>5446.62</v>
      </c>
      <c r="G1219" s="129">
        <v>16339.38</v>
      </c>
      <c r="H1219" s="129">
        <v>25</v>
      </c>
      <c r="I1219" s="129">
        <f>MM!J29</f>
        <v>0</v>
      </c>
      <c r="J1219" s="129">
        <f>MM!K29</f>
        <v>21786</v>
      </c>
      <c r="K1219" s="129">
        <f>MM!L29</f>
        <v>23147.625</v>
      </c>
      <c r="L1219" s="129">
        <f>MM!M29</f>
        <v>24767.958750000002</v>
      </c>
      <c r="O1219" s="129">
        <f>MM!N29</f>
        <v>26501.715862500001</v>
      </c>
      <c r="P1219" s="123" t="str">
        <f t="shared" si="349"/>
        <v>110</v>
      </c>
    </row>
    <row r="1220" spans="1:16" x14ac:dyDescent="0.2">
      <c r="A1220" s="119" t="s">
        <v>593</v>
      </c>
      <c r="B1220" s="120" t="s">
        <v>155</v>
      </c>
      <c r="C1220" s="129">
        <v>58863</v>
      </c>
      <c r="D1220" s="129">
        <v>0</v>
      </c>
      <c r="E1220" s="129">
        <v>0</v>
      </c>
      <c r="F1220" s="129">
        <v>0</v>
      </c>
      <c r="G1220" s="129">
        <v>58863</v>
      </c>
      <c r="H1220" s="129">
        <v>0</v>
      </c>
      <c r="I1220" s="129">
        <f>MM!J30</f>
        <v>0</v>
      </c>
      <c r="J1220" s="129">
        <f>MM!K30</f>
        <v>58863</v>
      </c>
      <c r="K1220" s="129">
        <f>MM!L30</f>
        <v>62541.9375</v>
      </c>
      <c r="L1220" s="129">
        <f>MM!M30</f>
        <v>66919.873124999998</v>
      </c>
      <c r="O1220" s="129">
        <f>MM!N30</f>
        <v>71604.264243750004</v>
      </c>
      <c r="P1220" s="123" t="str">
        <f t="shared" si="349"/>
        <v>110</v>
      </c>
    </row>
    <row r="1221" spans="1:16" x14ac:dyDescent="0.2">
      <c r="A1221" s="119" t="s">
        <v>594</v>
      </c>
      <c r="B1221" s="120" t="s">
        <v>156</v>
      </c>
      <c r="C1221" s="129">
        <v>443455</v>
      </c>
      <c r="D1221" s="129">
        <v>13313.45</v>
      </c>
      <c r="E1221" s="129">
        <v>0</v>
      </c>
      <c r="F1221" s="129">
        <v>79880.7</v>
      </c>
      <c r="G1221" s="129">
        <v>363574.3</v>
      </c>
      <c r="H1221" s="129">
        <v>18.010000000000002</v>
      </c>
      <c r="I1221" s="129">
        <f>MM!J31</f>
        <v>0</v>
      </c>
      <c r="J1221" s="129">
        <f>MM!K31</f>
        <v>443455</v>
      </c>
      <c r="K1221" s="129">
        <f>MM!L31</f>
        <v>471170.9375</v>
      </c>
      <c r="L1221" s="129">
        <f>MM!M31</f>
        <v>504152.90312500001</v>
      </c>
      <c r="O1221" s="129">
        <f>MM!N31</f>
        <v>539443.60634375003</v>
      </c>
      <c r="P1221" s="123" t="str">
        <f t="shared" si="349"/>
        <v>110</v>
      </c>
    </row>
    <row r="1222" spans="1:16" x14ac:dyDescent="0.2">
      <c r="A1222" s="119" t="s">
        <v>595</v>
      </c>
      <c r="B1222" s="120" t="s">
        <v>158</v>
      </c>
      <c r="C1222" s="129">
        <v>35475</v>
      </c>
      <c r="D1222" s="129">
        <v>0</v>
      </c>
      <c r="E1222" s="129">
        <v>0</v>
      </c>
      <c r="F1222" s="129">
        <v>0</v>
      </c>
      <c r="G1222" s="129">
        <v>35475</v>
      </c>
      <c r="H1222" s="129">
        <v>0</v>
      </c>
      <c r="I1222" s="129">
        <f>MM!J32</f>
        <v>-35475</v>
      </c>
      <c r="J1222" s="129">
        <f>MM!K32</f>
        <v>0</v>
      </c>
      <c r="K1222" s="129">
        <f>MM!L32</f>
        <v>0</v>
      </c>
      <c r="L1222" s="129">
        <f>MM!M32</f>
        <v>0</v>
      </c>
      <c r="O1222" s="129">
        <f>MM!N32</f>
        <v>0</v>
      </c>
      <c r="P1222" s="123" t="str">
        <f t="shared" si="349"/>
        <v>110</v>
      </c>
    </row>
    <row r="1223" spans="1:16" x14ac:dyDescent="0.2">
      <c r="A1223" s="119" t="s">
        <v>596</v>
      </c>
      <c r="B1223" s="120" t="s">
        <v>159</v>
      </c>
      <c r="C1223" s="129">
        <v>147818</v>
      </c>
      <c r="D1223" s="129">
        <v>0</v>
      </c>
      <c r="E1223" s="129">
        <v>0</v>
      </c>
      <c r="F1223" s="129">
        <v>0</v>
      </c>
      <c r="G1223" s="129">
        <v>147818</v>
      </c>
      <c r="H1223" s="129">
        <v>0</v>
      </c>
      <c r="I1223" s="129">
        <f>MM!J33</f>
        <v>0</v>
      </c>
      <c r="J1223" s="129">
        <f>MM!K33</f>
        <v>147818</v>
      </c>
      <c r="K1223" s="129">
        <f>MM!L33</f>
        <v>157056.625</v>
      </c>
      <c r="L1223" s="129">
        <f>MM!M33</f>
        <v>168050.58875</v>
      </c>
      <c r="O1223" s="129">
        <f>MM!N33</f>
        <v>179814.12996249998</v>
      </c>
      <c r="P1223" s="123" t="str">
        <f t="shared" ref="P1223:P1286" si="359">MID(A1223,6,3)</f>
        <v>110</v>
      </c>
    </row>
    <row r="1224" spans="1:16" x14ac:dyDescent="0.2">
      <c r="A1224" s="119" t="s">
        <v>597</v>
      </c>
      <c r="B1224" s="120" t="s">
        <v>164</v>
      </c>
      <c r="C1224" s="129">
        <v>44412</v>
      </c>
      <c r="D1224" s="129">
        <v>16162.23</v>
      </c>
      <c r="E1224" s="129">
        <v>0</v>
      </c>
      <c r="F1224" s="129">
        <v>96973.38</v>
      </c>
      <c r="G1224" s="129">
        <v>-52561.38</v>
      </c>
      <c r="H1224" s="129">
        <v>218.34</v>
      </c>
      <c r="I1224" s="129">
        <f>MM!J34</f>
        <v>149534.76</v>
      </c>
      <c r="J1224" s="129">
        <f>MM!K34</f>
        <v>193946.76</v>
      </c>
      <c r="K1224" s="129">
        <f>MM!L34</f>
        <v>206068.4325</v>
      </c>
      <c r="L1224" s="129">
        <f>MM!M34</f>
        <v>220493.222775</v>
      </c>
      <c r="O1224" s="129">
        <f>MM!N34</f>
        <v>235927.74836925001</v>
      </c>
      <c r="P1224" s="123" t="str">
        <f t="shared" si="359"/>
        <v>110</v>
      </c>
    </row>
    <row r="1225" spans="1:16" x14ac:dyDescent="0.2">
      <c r="A1225" s="119"/>
      <c r="B1225" s="120"/>
      <c r="C1225" s="129"/>
      <c r="D1225" s="129"/>
      <c r="E1225" s="129"/>
      <c r="F1225" s="129"/>
      <c r="G1225" s="129"/>
      <c r="H1225" s="129"/>
      <c r="I1225" s="129">
        <f>MM!J35</f>
        <v>0</v>
      </c>
      <c r="J1225" s="129"/>
      <c r="K1225" s="129"/>
      <c r="L1225" s="129"/>
      <c r="O1225" s="129"/>
      <c r="P1225" s="123" t="str">
        <f t="shared" si="359"/>
        <v/>
      </c>
    </row>
    <row r="1226" spans="1:16" s="114" customFormat="1" ht="15" x14ac:dyDescent="0.25">
      <c r="A1226" s="118"/>
      <c r="B1226" s="117" t="s">
        <v>165</v>
      </c>
      <c r="C1226" s="128">
        <f>SUM(C1216:C1225)</f>
        <v>2676419</v>
      </c>
      <c r="D1226" s="128">
        <f t="shared" ref="D1226:O1226" si="360">SUM(D1216:D1225)</f>
        <v>153223.46000000002</v>
      </c>
      <c r="E1226" s="128">
        <f t="shared" si="360"/>
        <v>0</v>
      </c>
      <c r="F1226" s="128">
        <f t="shared" si="360"/>
        <v>806654.96</v>
      </c>
      <c r="G1226" s="128">
        <f t="shared" si="360"/>
        <v>1869764.04</v>
      </c>
      <c r="H1226" s="128">
        <f t="shared" si="360"/>
        <v>370.77</v>
      </c>
      <c r="I1226" s="128">
        <f t="shared" si="360"/>
        <v>50770.030000000013</v>
      </c>
      <c r="J1226" s="128">
        <f t="shared" si="360"/>
        <v>2727189.0300000003</v>
      </c>
      <c r="K1226" s="128">
        <f t="shared" si="360"/>
        <v>2897638.3443750003</v>
      </c>
      <c r="L1226" s="128">
        <f t="shared" si="360"/>
        <v>3100473.0284812506</v>
      </c>
      <c r="M1226" s="128">
        <f t="shared" si="360"/>
        <v>0</v>
      </c>
      <c r="N1226" s="128">
        <f t="shared" si="360"/>
        <v>0</v>
      </c>
      <c r="O1226" s="128">
        <f t="shared" si="360"/>
        <v>3317506.1404749374</v>
      </c>
      <c r="P1226" s="123" t="str">
        <f t="shared" si="359"/>
        <v/>
      </c>
    </row>
    <row r="1227" spans="1:16" s="114" customFormat="1" ht="15" x14ac:dyDescent="0.25">
      <c r="A1227" s="118"/>
      <c r="B1227" s="117"/>
      <c r="C1227" s="128"/>
      <c r="D1227" s="128"/>
      <c r="E1227" s="128"/>
      <c r="F1227" s="128"/>
      <c r="G1227" s="128"/>
      <c r="H1227" s="128"/>
      <c r="I1227" s="129">
        <f>MM!J37</f>
        <v>0</v>
      </c>
      <c r="J1227" s="129"/>
      <c r="K1227" s="129"/>
      <c r="L1227" s="129"/>
      <c r="M1227" s="186"/>
      <c r="N1227" s="186"/>
      <c r="O1227" s="128"/>
      <c r="P1227" s="123" t="str">
        <f t="shared" si="359"/>
        <v/>
      </c>
    </row>
    <row r="1228" spans="1:16" s="114" customFormat="1" ht="15" x14ac:dyDescent="0.25">
      <c r="A1228" s="118"/>
      <c r="B1228" s="117" t="s">
        <v>166</v>
      </c>
      <c r="C1228" s="128"/>
      <c r="D1228" s="128"/>
      <c r="E1228" s="128"/>
      <c r="F1228" s="128"/>
      <c r="G1228" s="128"/>
      <c r="H1228" s="128"/>
      <c r="I1228" s="129">
        <f>MM!J38</f>
        <v>0</v>
      </c>
      <c r="J1228" s="129"/>
      <c r="K1228" s="129"/>
      <c r="L1228" s="129"/>
      <c r="M1228" s="186"/>
      <c r="N1228" s="186"/>
      <c r="O1228" s="128"/>
      <c r="P1228" s="123" t="str">
        <f t="shared" si="359"/>
        <v/>
      </c>
    </row>
    <row r="1229" spans="1:16" x14ac:dyDescent="0.2">
      <c r="A1229" s="119"/>
      <c r="B1229" s="120"/>
      <c r="C1229" s="129"/>
      <c r="D1229" s="129"/>
      <c r="E1229" s="129"/>
      <c r="F1229" s="129"/>
      <c r="G1229" s="129"/>
      <c r="H1229" s="129"/>
      <c r="I1229" s="129">
        <f>MM!J39</f>
        <v>0</v>
      </c>
      <c r="J1229" s="129"/>
      <c r="K1229" s="129"/>
      <c r="L1229" s="129"/>
      <c r="O1229" s="129"/>
      <c r="P1229" s="123" t="str">
        <f t="shared" si="359"/>
        <v/>
      </c>
    </row>
    <row r="1230" spans="1:16" x14ac:dyDescent="0.2">
      <c r="A1230" s="119" t="s">
        <v>598</v>
      </c>
      <c r="B1230" s="120" t="s">
        <v>167</v>
      </c>
      <c r="C1230" s="129">
        <v>449</v>
      </c>
      <c r="D1230" s="129">
        <v>27.96</v>
      </c>
      <c r="E1230" s="129">
        <v>0</v>
      </c>
      <c r="F1230" s="129">
        <v>167.76</v>
      </c>
      <c r="G1230" s="129">
        <v>281.24</v>
      </c>
      <c r="H1230" s="129">
        <v>37.36</v>
      </c>
      <c r="I1230" s="129">
        <f>MM!J40</f>
        <v>0</v>
      </c>
      <c r="J1230" s="129">
        <f>MM!K40</f>
        <v>449</v>
      </c>
      <c r="K1230" s="129">
        <f>MM!L40</f>
        <v>477.0625</v>
      </c>
      <c r="L1230" s="129">
        <f>MM!M40</f>
        <v>510.45687499999997</v>
      </c>
      <c r="O1230" s="129">
        <f>MM!N40</f>
        <v>546.18885624999996</v>
      </c>
      <c r="P1230" s="123" t="str">
        <f t="shared" si="359"/>
        <v>130</v>
      </c>
    </row>
    <row r="1231" spans="1:16" x14ac:dyDescent="0.2">
      <c r="A1231" s="119" t="s">
        <v>599</v>
      </c>
      <c r="B1231" s="120" t="s">
        <v>168</v>
      </c>
      <c r="C1231" s="129">
        <v>215633</v>
      </c>
      <c r="D1231" s="129">
        <v>7161.6</v>
      </c>
      <c r="E1231" s="129">
        <v>0</v>
      </c>
      <c r="F1231" s="129">
        <v>42969.599999999999</v>
      </c>
      <c r="G1231" s="129">
        <v>172663.4</v>
      </c>
      <c r="H1231" s="129">
        <v>19.920000000000002</v>
      </c>
      <c r="I1231" s="129">
        <f>MM!J41</f>
        <v>0</v>
      </c>
      <c r="J1231" s="129">
        <f>MM!K41</f>
        <v>215633</v>
      </c>
      <c r="K1231" s="129">
        <f>MM!L41</f>
        <v>229110.0625</v>
      </c>
      <c r="L1231" s="129">
        <f>MM!M41</f>
        <v>245147.766875</v>
      </c>
      <c r="O1231" s="129">
        <f>MM!N41</f>
        <v>262308.11055624997</v>
      </c>
      <c r="P1231" s="123" t="str">
        <f t="shared" si="359"/>
        <v>130</v>
      </c>
    </row>
    <row r="1232" spans="1:16" x14ac:dyDescent="0.2">
      <c r="A1232" s="119" t="s">
        <v>600</v>
      </c>
      <c r="B1232" s="120" t="s">
        <v>169</v>
      </c>
      <c r="C1232" s="129">
        <v>390240</v>
      </c>
      <c r="D1232" s="129">
        <v>20071.599999999999</v>
      </c>
      <c r="E1232" s="129">
        <v>0</v>
      </c>
      <c r="F1232" s="129">
        <v>120078.6</v>
      </c>
      <c r="G1232" s="129">
        <v>270161.40000000002</v>
      </c>
      <c r="H1232" s="129">
        <v>30.77</v>
      </c>
      <c r="I1232" s="129">
        <f>MM!J42</f>
        <v>0</v>
      </c>
      <c r="J1232" s="129">
        <f>MM!K42</f>
        <v>390240</v>
      </c>
      <c r="K1232" s="129">
        <f>MM!L42</f>
        <v>414630</v>
      </c>
      <c r="L1232" s="129">
        <f>MM!M42</f>
        <v>443654.1</v>
      </c>
      <c r="O1232" s="129">
        <f>MM!N42</f>
        <v>474709.88699999999</v>
      </c>
      <c r="P1232" s="123" t="str">
        <f t="shared" si="359"/>
        <v>130</v>
      </c>
    </row>
    <row r="1233" spans="1:16" x14ac:dyDescent="0.2">
      <c r="A1233" s="119" t="s">
        <v>601</v>
      </c>
      <c r="B1233" s="120" t="s">
        <v>170</v>
      </c>
      <c r="C1233" s="129">
        <v>7140</v>
      </c>
      <c r="D1233" s="129">
        <v>446.16</v>
      </c>
      <c r="E1233" s="129">
        <v>0</v>
      </c>
      <c r="F1233" s="129">
        <v>2676.96</v>
      </c>
      <c r="G1233" s="129">
        <v>4463.04</v>
      </c>
      <c r="H1233" s="129">
        <v>37.49</v>
      </c>
      <c r="I1233" s="129">
        <f>MM!J43</f>
        <v>0</v>
      </c>
      <c r="J1233" s="129">
        <f>MM!K43</f>
        <v>7140</v>
      </c>
      <c r="K1233" s="129">
        <f>MM!L43</f>
        <v>7586.25</v>
      </c>
      <c r="L1233" s="129">
        <f>MM!M43</f>
        <v>8117.2875000000004</v>
      </c>
      <c r="O1233" s="129">
        <f>MM!N43</f>
        <v>8685.497625</v>
      </c>
      <c r="P1233" s="123" t="str">
        <f t="shared" si="359"/>
        <v>130</v>
      </c>
    </row>
    <row r="1234" spans="1:16" x14ac:dyDescent="0.2">
      <c r="A1234" s="119"/>
      <c r="B1234" s="120"/>
      <c r="C1234" s="129"/>
      <c r="D1234" s="129"/>
      <c r="E1234" s="129"/>
      <c r="F1234" s="129"/>
      <c r="G1234" s="129"/>
      <c r="H1234" s="129"/>
      <c r="I1234" s="129">
        <f>MM!J44</f>
        <v>0</v>
      </c>
      <c r="J1234" s="129"/>
      <c r="K1234" s="129"/>
      <c r="L1234" s="129"/>
      <c r="O1234" s="129"/>
      <c r="P1234" s="123" t="str">
        <f t="shared" si="359"/>
        <v/>
      </c>
    </row>
    <row r="1235" spans="1:16" s="114" customFormat="1" ht="15" x14ac:dyDescent="0.25">
      <c r="A1235" s="118"/>
      <c r="B1235" s="117" t="s">
        <v>171</v>
      </c>
      <c r="C1235" s="128">
        <f>SUM(C1230:C1234)</f>
        <v>613462</v>
      </c>
      <c r="D1235" s="128">
        <f t="shared" ref="D1235:O1235" si="361">SUM(D1230:D1234)</f>
        <v>27707.32</v>
      </c>
      <c r="E1235" s="128">
        <f t="shared" si="361"/>
        <v>0</v>
      </c>
      <c r="F1235" s="128">
        <f t="shared" si="361"/>
        <v>165892.92000000001</v>
      </c>
      <c r="G1235" s="128">
        <f t="shared" si="361"/>
        <v>447569.08</v>
      </c>
      <c r="H1235" s="128">
        <f t="shared" si="361"/>
        <v>125.53999999999999</v>
      </c>
      <c r="I1235" s="128">
        <f t="shared" si="361"/>
        <v>0</v>
      </c>
      <c r="J1235" s="128">
        <f t="shared" si="361"/>
        <v>613462</v>
      </c>
      <c r="K1235" s="128">
        <f t="shared" si="361"/>
        <v>651803.375</v>
      </c>
      <c r="L1235" s="128">
        <f t="shared" si="361"/>
        <v>697429.61124999996</v>
      </c>
      <c r="M1235" s="128">
        <f t="shared" si="361"/>
        <v>0</v>
      </c>
      <c r="N1235" s="128">
        <f t="shared" si="361"/>
        <v>0</v>
      </c>
      <c r="O1235" s="128">
        <f t="shared" si="361"/>
        <v>746249.68403749994</v>
      </c>
      <c r="P1235" s="123" t="str">
        <f t="shared" si="359"/>
        <v/>
      </c>
    </row>
    <row r="1236" spans="1:16" s="114" customFormat="1" ht="15" x14ac:dyDescent="0.25">
      <c r="A1236" s="118"/>
      <c r="B1236" s="117"/>
      <c r="C1236" s="128"/>
      <c r="D1236" s="128"/>
      <c r="E1236" s="128"/>
      <c r="F1236" s="128"/>
      <c r="G1236" s="128"/>
      <c r="H1236" s="128"/>
      <c r="I1236" s="129">
        <f>MM!J46</f>
        <v>0</v>
      </c>
      <c r="J1236" s="129"/>
      <c r="K1236" s="129"/>
      <c r="L1236" s="129"/>
      <c r="M1236" s="186"/>
      <c r="N1236" s="186"/>
      <c r="O1236" s="128"/>
      <c r="P1236" s="123" t="str">
        <f t="shared" si="359"/>
        <v/>
      </c>
    </row>
    <row r="1237" spans="1:16" s="114" customFormat="1" ht="15" x14ac:dyDescent="0.25">
      <c r="A1237" s="118"/>
      <c r="B1237" s="117" t="s">
        <v>172</v>
      </c>
      <c r="C1237" s="128"/>
      <c r="D1237" s="128"/>
      <c r="E1237" s="128"/>
      <c r="F1237" s="128"/>
      <c r="G1237" s="128"/>
      <c r="H1237" s="128"/>
      <c r="I1237" s="129">
        <f>MM!J47</f>
        <v>0</v>
      </c>
      <c r="J1237" s="129"/>
      <c r="K1237" s="129"/>
      <c r="L1237" s="129"/>
      <c r="M1237" s="186"/>
      <c r="N1237" s="186"/>
      <c r="O1237" s="128"/>
      <c r="P1237" s="123" t="str">
        <f t="shared" si="359"/>
        <v/>
      </c>
    </row>
    <row r="1238" spans="1:16" x14ac:dyDescent="0.2">
      <c r="A1238" s="119"/>
      <c r="B1238" s="120"/>
      <c r="C1238" s="129"/>
      <c r="D1238" s="129"/>
      <c r="E1238" s="129"/>
      <c r="F1238" s="129"/>
      <c r="G1238" s="129"/>
      <c r="H1238" s="129"/>
      <c r="I1238" s="129">
        <f>MM!J48</f>
        <v>0</v>
      </c>
      <c r="J1238" s="129"/>
      <c r="K1238" s="129"/>
      <c r="L1238" s="129"/>
      <c r="O1238" s="129"/>
      <c r="P1238" s="123" t="str">
        <f t="shared" si="359"/>
        <v/>
      </c>
    </row>
    <row r="1239" spans="1:16" x14ac:dyDescent="0.2">
      <c r="A1239" s="119" t="s">
        <v>602</v>
      </c>
      <c r="B1239" s="120" t="s">
        <v>173</v>
      </c>
      <c r="C1239" s="129">
        <v>15638</v>
      </c>
      <c r="D1239" s="129">
        <v>0</v>
      </c>
      <c r="E1239" s="129">
        <v>0</v>
      </c>
      <c r="F1239" s="129">
        <v>0</v>
      </c>
      <c r="G1239" s="129">
        <v>15638</v>
      </c>
      <c r="H1239" s="129">
        <v>0</v>
      </c>
      <c r="I1239" s="129">
        <f>MM!J49</f>
        <v>0</v>
      </c>
      <c r="J1239" s="129">
        <f>MM!K49</f>
        <v>15638</v>
      </c>
      <c r="K1239" s="129">
        <f>MM!L49</f>
        <v>16615.375</v>
      </c>
      <c r="L1239" s="129">
        <f>MM!M49</f>
        <v>17778.451249999998</v>
      </c>
      <c r="O1239" s="129">
        <f>MM!N49</f>
        <v>19022.942837499999</v>
      </c>
      <c r="P1239" s="123" t="str">
        <f t="shared" si="359"/>
        <v>140</v>
      </c>
    </row>
    <row r="1240" spans="1:16" x14ac:dyDescent="0.2">
      <c r="A1240" s="119" t="s">
        <v>603</v>
      </c>
      <c r="B1240" s="120" t="s">
        <v>174</v>
      </c>
      <c r="C1240" s="129">
        <v>19697</v>
      </c>
      <c r="D1240" s="129">
        <v>0</v>
      </c>
      <c r="E1240" s="129">
        <v>0</v>
      </c>
      <c r="F1240" s="129">
        <v>0</v>
      </c>
      <c r="G1240" s="129">
        <v>19697</v>
      </c>
      <c r="H1240" s="129">
        <v>0</v>
      </c>
      <c r="I1240" s="129">
        <f>MM!J50</f>
        <v>0</v>
      </c>
      <c r="J1240" s="129">
        <f>MM!K50</f>
        <v>19697</v>
      </c>
      <c r="K1240" s="129">
        <f>MM!L50</f>
        <v>20928.0625</v>
      </c>
      <c r="L1240" s="129">
        <f>MM!M50</f>
        <v>22393.026875</v>
      </c>
      <c r="O1240" s="129">
        <f>MM!N50</f>
        <v>23960.53875625</v>
      </c>
      <c r="P1240" s="123" t="str">
        <f t="shared" si="359"/>
        <v>140</v>
      </c>
    </row>
    <row r="1241" spans="1:16" x14ac:dyDescent="0.2">
      <c r="A1241" s="119" t="s">
        <v>604</v>
      </c>
      <c r="B1241" s="120" t="s">
        <v>175</v>
      </c>
      <c r="C1241" s="129">
        <v>16419</v>
      </c>
      <c r="D1241" s="129">
        <v>0</v>
      </c>
      <c r="E1241" s="129">
        <v>0</v>
      </c>
      <c r="F1241" s="129">
        <v>0</v>
      </c>
      <c r="G1241" s="129">
        <v>16419</v>
      </c>
      <c r="H1241" s="129">
        <v>0</v>
      </c>
      <c r="I1241" s="129">
        <f>MM!J51</f>
        <v>0</v>
      </c>
      <c r="J1241" s="129">
        <f>MM!K51</f>
        <v>16419</v>
      </c>
      <c r="K1241" s="129">
        <f>MM!L51</f>
        <v>17445.1875</v>
      </c>
      <c r="L1241" s="129">
        <f>MM!M51</f>
        <v>18666.350624999999</v>
      </c>
      <c r="O1241" s="129">
        <f>MM!N51</f>
        <v>19972.99516875</v>
      </c>
      <c r="P1241" s="123" t="str">
        <f t="shared" si="359"/>
        <v>142</v>
      </c>
    </row>
    <row r="1242" spans="1:16" x14ac:dyDescent="0.2">
      <c r="A1242" s="119"/>
      <c r="B1242" s="120"/>
      <c r="C1242" s="129"/>
      <c r="D1242" s="129"/>
      <c r="E1242" s="129"/>
      <c r="F1242" s="129"/>
      <c r="G1242" s="129"/>
      <c r="H1242" s="129"/>
      <c r="I1242" s="129">
        <f>MM!J52</f>
        <v>0</v>
      </c>
      <c r="J1242" s="129"/>
      <c r="K1242" s="129"/>
      <c r="L1242" s="129"/>
      <c r="O1242" s="129"/>
      <c r="P1242" s="123" t="str">
        <f t="shared" si="359"/>
        <v/>
      </c>
    </row>
    <row r="1243" spans="1:16" s="114" customFormat="1" ht="15" x14ac:dyDescent="0.25">
      <c r="A1243" s="118"/>
      <c r="B1243" s="117" t="s">
        <v>176</v>
      </c>
      <c r="C1243" s="128">
        <f>SUM(C1239:C1242)</f>
        <v>51754</v>
      </c>
      <c r="D1243" s="128">
        <f t="shared" ref="D1243:O1243" si="362">SUM(D1239:D1242)</f>
        <v>0</v>
      </c>
      <c r="E1243" s="128">
        <f t="shared" si="362"/>
        <v>0</v>
      </c>
      <c r="F1243" s="128">
        <f t="shared" si="362"/>
        <v>0</v>
      </c>
      <c r="G1243" s="128">
        <f t="shared" si="362"/>
        <v>51754</v>
      </c>
      <c r="H1243" s="128">
        <f t="shared" si="362"/>
        <v>0</v>
      </c>
      <c r="I1243" s="128">
        <f t="shared" si="362"/>
        <v>0</v>
      </c>
      <c r="J1243" s="128">
        <f t="shared" si="362"/>
        <v>51754</v>
      </c>
      <c r="K1243" s="128">
        <f t="shared" si="362"/>
        <v>54988.625</v>
      </c>
      <c r="L1243" s="128">
        <f t="shared" si="362"/>
        <v>58837.828749999993</v>
      </c>
      <c r="M1243" s="128">
        <f t="shared" si="362"/>
        <v>0</v>
      </c>
      <c r="N1243" s="128">
        <f t="shared" si="362"/>
        <v>0</v>
      </c>
      <c r="O1243" s="128">
        <f t="shared" si="362"/>
        <v>62956.476762499995</v>
      </c>
      <c r="P1243" s="123" t="str">
        <f t="shared" si="359"/>
        <v/>
      </c>
    </row>
    <row r="1244" spans="1:16" s="114" customFormat="1" ht="15" x14ac:dyDescent="0.25">
      <c r="A1244" s="118"/>
      <c r="B1244" s="117"/>
      <c r="C1244" s="128"/>
      <c r="D1244" s="128"/>
      <c r="E1244" s="128"/>
      <c r="F1244" s="128"/>
      <c r="G1244" s="128"/>
      <c r="H1244" s="128"/>
      <c r="I1244" s="129">
        <f>MM!J54</f>
        <v>0</v>
      </c>
      <c r="J1244" s="129"/>
      <c r="K1244" s="129"/>
      <c r="L1244" s="129"/>
      <c r="M1244" s="186"/>
      <c r="N1244" s="186"/>
      <c r="O1244" s="128"/>
      <c r="P1244" s="123" t="str">
        <f t="shared" si="359"/>
        <v/>
      </c>
    </row>
    <row r="1245" spans="1:16" s="114" customFormat="1" ht="15" x14ac:dyDescent="0.25">
      <c r="A1245" s="118"/>
      <c r="B1245" s="117" t="s">
        <v>177</v>
      </c>
      <c r="C1245" s="128">
        <f>C1226+C1235+C1243</f>
        <v>3341635</v>
      </c>
      <c r="D1245" s="128">
        <f t="shared" ref="D1245:O1245" si="363">D1226+D1235+D1243</f>
        <v>180930.78000000003</v>
      </c>
      <c r="E1245" s="128">
        <f t="shared" si="363"/>
        <v>0</v>
      </c>
      <c r="F1245" s="128">
        <f t="shared" si="363"/>
        <v>972547.88</v>
      </c>
      <c r="G1245" s="128">
        <f t="shared" si="363"/>
        <v>2369087.12</v>
      </c>
      <c r="H1245" s="128">
        <f t="shared" si="363"/>
        <v>496.30999999999995</v>
      </c>
      <c r="I1245" s="128">
        <f t="shared" si="363"/>
        <v>50770.030000000013</v>
      </c>
      <c r="J1245" s="128">
        <f t="shared" si="363"/>
        <v>3392405.0300000003</v>
      </c>
      <c r="K1245" s="128">
        <f t="shared" si="363"/>
        <v>3604430.3443750003</v>
      </c>
      <c r="L1245" s="128">
        <f t="shared" si="363"/>
        <v>3856740.4684812506</v>
      </c>
      <c r="M1245" s="128">
        <f t="shared" si="363"/>
        <v>0</v>
      </c>
      <c r="N1245" s="128">
        <f t="shared" si="363"/>
        <v>0</v>
      </c>
      <c r="O1245" s="128">
        <f t="shared" si="363"/>
        <v>4126712.3012749376</v>
      </c>
      <c r="P1245" s="123" t="str">
        <f t="shared" si="359"/>
        <v/>
      </c>
    </row>
    <row r="1246" spans="1:16" s="114" customFormat="1" ht="15" x14ac:dyDescent="0.25">
      <c r="A1246" s="118"/>
      <c r="B1246" s="117"/>
      <c r="C1246" s="128"/>
      <c r="D1246" s="128"/>
      <c r="E1246" s="128"/>
      <c r="F1246" s="128"/>
      <c r="G1246" s="128"/>
      <c r="H1246" s="128"/>
      <c r="I1246" s="129">
        <f>MM!J56</f>
        <v>0</v>
      </c>
      <c r="J1246" s="129"/>
      <c r="K1246" s="129"/>
      <c r="L1246" s="129"/>
      <c r="M1246" s="186"/>
      <c r="N1246" s="186"/>
      <c r="O1246" s="128"/>
      <c r="P1246" s="123" t="str">
        <f t="shared" si="359"/>
        <v/>
      </c>
    </row>
    <row r="1247" spans="1:16" s="114" customFormat="1" ht="15" x14ac:dyDescent="0.25">
      <c r="A1247" s="118"/>
      <c r="B1247" s="117" t="s">
        <v>178</v>
      </c>
      <c r="C1247" s="128">
        <f>C1210+C1245</f>
        <v>4619295</v>
      </c>
      <c r="D1247" s="128">
        <f t="shared" ref="D1247:O1247" si="364">D1210+D1245</f>
        <v>276214.84000000003</v>
      </c>
      <c r="E1247" s="128">
        <f t="shared" si="364"/>
        <v>0</v>
      </c>
      <c r="F1247" s="128">
        <f t="shared" si="364"/>
        <v>1544252.24</v>
      </c>
      <c r="G1247" s="128">
        <f t="shared" si="364"/>
        <v>3075042.7600000002</v>
      </c>
      <c r="H1247" s="128">
        <f t="shared" si="364"/>
        <v>608.20999999999992</v>
      </c>
      <c r="I1247" s="128">
        <f t="shared" si="364"/>
        <v>50770.030000000013</v>
      </c>
      <c r="J1247" s="128">
        <f t="shared" si="364"/>
        <v>4670065.03</v>
      </c>
      <c r="K1247" s="128">
        <f t="shared" si="364"/>
        <v>4961944.0943750003</v>
      </c>
      <c r="L1247" s="128">
        <f t="shared" si="364"/>
        <v>5309280.1809812505</v>
      </c>
      <c r="M1247" s="128">
        <f t="shared" si="364"/>
        <v>0</v>
      </c>
      <c r="N1247" s="128">
        <f t="shared" si="364"/>
        <v>0</v>
      </c>
      <c r="O1247" s="128">
        <f t="shared" si="364"/>
        <v>5680929.793649938</v>
      </c>
      <c r="P1247" s="123" t="str">
        <f t="shared" si="359"/>
        <v/>
      </c>
    </row>
    <row r="1248" spans="1:16" s="114" customFormat="1" ht="15" x14ac:dyDescent="0.25">
      <c r="A1248" s="118"/>
      <c r="B1248" s="117"/>
      <c r="C1248" s="128"/>
      <c r="D1248" s="128"/>
      <c r="E1248" s="128"/>
      <c r="F1248" s="128"/>
      <c r="G1248" s="128"/>
      <c r="H1248" s="128"/>
      <c r="I1248" s="129">
        <f>MM!J58</f>
        <v>0</v>
      </c>
      <c r="J1248" s="129"/>
      <c r="K1248" s="129"/>
      <c r="L1248" s="129"/>
      <c r="M1248" s="186"/>
      <c r="N1248" s="186"/>
      <c r="O1248" s="128"/>
      <c r="P1248" s="123" t="str">
        <f t="shared" si="359"/>
        <v/>
      </c>
    </row>
    <row r="1249" spans="1:16" s="114" customFormat="1" ht="15" x14ac:dyDescent="0.25">
      <c r="A1249" s="118"/>
      <c r="B1249" s="117" t="s">
        <v>208</v>
      </c>
      <c r="C1249" s="128"/>
      <c r="D1249" s="128"/>
      <c r="E1249" s="128"/>
      <c r="F1249" s="128"/>
      <c r="G1249" s="128"/>
      <c r="H1249" s="128"/>
      <c r="I1249" s="129">
        <f>MM!J59</f>
        <v>0</v>
      </c>
      <c r="J1249" s="129"/>
      <c r="K1249" s="129"/>
      <c r="L1249" s="129"/>
      <c r="M1249" s="186"/>
      <c r="N1249" s="186"/>
      <c r="O1249" s="128"/>
      <c r="P1249" s="123" t="str">
        <f t="shared" si="359"/>
        <v/>
      </c>
    </row>
    <row r="1250" spans="1:16" s="114" customFormat="1" ht="15" x14ac:dyDescent="0.25">
      <c r="A1250" s="118"/>
      <c r="B1250" s="117" t="s">
        <v>209</v>
      </c>
      <c r="C1250" s="128"/>
      <c r="D1250" s="128"/>
      <c r="E1250" s="128"/>
      <c r="F1250" s="128"/>
      <c r="G1250" s="128"/>
      <c r="H1250" s="128"/>
      <c r="I1250" s="129">
        <f>MM!J60</f>
        <v>0</v>
      </c>
      <c r="J1250" s="129"/>
      <c r="K1250" s="129"/>
      <c r="L1250" s="129"/>
      <c r="M1250" s="186"/>
      <c r="N1250" s="186"/>
      <c r="O1250" s="128"/>
      <c r="P1250" s="123" t="str">
        <f t="shared" si="359"/>
        <v/>
      </c>
    </row>
    <row r="1251" spans="1:16" x14ac:dyDescent="0.2">
      <c r="A1251" s="119"/>
      <c r="B1251" s="120"/>
      <c r="C1251" s="129"/>
      <c r="D1251" s="129"/>
      <c r="E1251" s="129"/>
      <c r="F1251" s="129"/>
      <c r="G1251" s="129"/>
      <c r="H1251" s="129"/>
      <c r="I1251" s="129">
        <f>MM!J61</f>
        <v>0</v>
      </c>
      <c r="J1251" s="129"/>
      <c r="K1251" s="129"/>
      <c r="L1251" s="129"/>
      <c r="O1251" s="129"/>
      <c r="P1251" s="123" t="str">
        <f t="shared" si="359"/>
        <v/>
      </c>
    </row>
    <row r="1252" spans="1:16" x14ac:dyDescent="0.2">
      <c r="A1252" s="119" t="s">
        <v>605</v>
      </c>
      <c r="B1252" s="120" t="s">
        <v>214</v>
      </c>
      <c r="C1252" s="129">
        <v>200000</v>
      </c>
      <c r="D1252" s="129">
        <v>0</v>
      </c>
      <c r="E1252" s="129">
        <v>2500</v>
      </c>
      <c r="F1252" s="129">
        <v>53108.62</v>
      </c>
      <c r="G1252" s="129">
        <v>146891.38</v>
      </c>
      <c r="H1252" s="129">
        <v>26.55</v>
      </c>
      <c r="I1252" s="129">
        <f>MM!J62</f>
        <v>-30000</v>
      </c>
      <c r="J1252" s="129">
        <f>MM!K62</f>
        <v>170000</v>
      </c>
      <c r="K1252" s="129">
        <f>MM!L62</f>
        <v>177650</v>
      </c>
      <c r="L1252" s="129">
        <f>MM!M62</f>
        <v>185821.9</v>
      </c>
      <c r="O1252" s="129">
        <f>MM!N62</f>
        <v>194369.70739999998</v>
      </c>
      <c r="P1252" s="123" t="str">
        <f t="shared" si="359"/>
        <v>260</v>
      </c>
    </row>
    <row r="1253" spans="1:16" x14ac:dyDescent="0.2">
      <c r="A1253" s="119"/>
      <c r="B1253" s="120"/>
      <c r="C1253" s="129"/>
      <c r="D1253" s="129"/>
      <c r="E1253" s="129"/>
      <c r="F1253" s="129"/>
      <c r="G1253" s="129"/>
      <c r="H1253" s="129"/>
      <c r="I1253" s="129">
        <f>MM!J63</f>
        <v>0</v>
      </c>
      <c r="J1253" s="129"/>
      <c r="K1253" s="129"/>
      <c r="L1253" s="129"/>
      <c r="O1253" s="129"/>
      <c r="P1253" s="123" t="str">
        <f t="shared" si="359"/>
        <v/>
      </c>
    </row>
    <row r="1254" spans="1:16" s="114" customFormat="1" ht="15" x14ac:dyDescent="0.25">
      <c r="A1254" s="118"/>
      <c r="B1254" s="117" t="s">
        <v>217</v>
      </c>
      <c r="C1254" s="128">
        <f>SUM(C1252:C1253)</f>
        <v>200000</v>
      </c>
      <c r="D1254" s="128">
        <f t="shared" ref="D1254:O1254" si="365">SUM(D1252:D1253)</f>
        <v>0</v>
      </c>
      <c r="E1254" s="128">
        <f t="shared" si="365"/>
        <v>2500</v>
      </c>
      <c r="F1254" s="128">
        <f t="shared" si="365"/>
        <v>53108.62</v>
      </c>
      <c r="G1254" s="128">
        <f t="shared" si="365"/>
        <v>146891.38</v>
      </c>
      <c r="H1254" s="128">
        <f t="shared" si="365"/>
        <v>26.55</v>
      </c>
      <c r="I1254" s="128">
        <f t="shared" si="365"/>
        <v>-30000</v>
      </c>
      <c r="J1254" s="128">
        <f t="shared" si="365"/>
        <v>170000</v>
      </c>
      <c r="K1254" s="128">
        <f t="shared" si="365"/>
        <v>177650</v>
      </c>
      <c r="L1254" s="128">
        <f t="shared" si="365"/>
        <v>185821.9</v>
      </c>
      <c r="M1254" s="128">
        <f t="shared" si="365"/>
        <v>0</v>
      </c>
      <c r="N1254" s="128">
        <f t="shared" si="365"/>
        <v>0</v>
      </c>
      <c r="O1254" s="128">
        <f t="shared" si="365"/>
        <v>194369.70739999998</v>
      </c>
      <c r="P1254" s="123" t="str">
        <f t="shared" si="359"/>
        <v/>
      </c>
    </row>
    <row r="1255" spans="1:16" s="114" customFormat="1" ht="15" x14ac:dyDescent="0.25">
      <c r="A1255" s="118"/>
      <c r="B1255" s="117"/>
      <c r="C1255" s="128"/>
      <c r="D1255" s="128"/>
      <c r="E1255" s="128"/>
      <c r="F1255" s="128"/>
      <c r="G1255" s="128"/>
      <c r="H1255" s="128"/>
      <c r="I1255" s="129">
        <f>MM!J65</f>
        <v>0</v>
      </c>
      <c r="J1255" s="129"/>
      <c r="K1255" s="129"/>
      <c r="L1255" s="129"/>
      <c r="M1255" s="186"/>
      <c r="N1255" s="186"/>
      <c r="O1255" s="128"/>
      <c r="P1255" s="123" t="str">
        <f t="shared" si="359"/>
        <v/>
      </c>
    </row>
    <row r="1256" spans="1:16" s="114" customFormat="1" ht="15" x14ac:dyDescent="0.25">
      <c r="A1256" s="118"/>
      <c r="B1256" s="117" t="s">
        <v>218</v>
      </c>
      <c r="C1256" s="128"/>
      <c r="D1256" s="128"/>
      <c r="E1256" s="128"/>
      <c r="F1256" s="128"/>
      <c r="G1256" s="128"/>
      <c r="H1256" s="128"/>
      <c r="I1256" s="129">
        <f>MM!J66</f>
        <v>0</v>
      </c>
      <c r="J1256" s="129"/>
      <c r="K1256" s="129"/>
      <c r="L1256" s="129"/>
      <c r="M1256" s="186"/>
      <c r="N1256" s="186"/>
      <c r="O1256" s="128"/>
      <c r="P1256" s="123" t="str">
        <f t="shared" si="359"/>
        <v/>
      </c>
    </row>
    <row r="1257" spans="1:16" s="114" customFormat="1" ht="15" x14ac:dyDescent="0.25">
      <c r="A1257" s="118"/>
      <c r="B1257" s="117"/>
      <c r="C1257" s="128"/>
      <c r="D1257" s="128"/>
      <c r="E1257" s="128"/>
      <c r="F1257" s="128"/>
      <c r="G1257" s="128"/>
      <c r="H1257" s="128"/>
      <c r="I1257" s="129">
        <f>MM!J67</f>
        <v>0</v>
      </c>
      <c r="J1257" s="129"/>
      <c r="K1257" s="129"/>
      <c r="L1257" s="129"/>
      <c r="M1257" s="186"/>
      <c r="N1257" s="186"/>
      <c r="O1257" s="128"/>
      <c r="P1257" s="123" t="str">
        <f t="shared" si="359"/>
        <v/>
      </c>
    </row>
    <row r="1258" spans="1:16" s="114" customFormat="1" ht="15" x14ac:dyDescent="0.25">
      <c r="A1258" s="118"/>
      <c r="B1258" s="117" t="s">
        <v>228</v>
      </c>
      <c r="C1258" s="128"/>
      <c r="D1258" s="128"/>
      <c r="E1258" s="128"/>
      <c r="F1258" s="128"/>
      <c r="G1258" s="128"/>
      <c r="H1258" s="128"/>
      <c r="I1258" s="129">
        <f>MM!J68</f>
        <v>0</v>
      </c>
      <c r="J1258" s="129"/>
      <c r="K1258" s="129"/>
      <c r="L1258" s="129"/>
      <c r="M1258" s="186"/>
      <c r="N1258" s="186"/>
      <c r="O1258" s="128"/>
      <c r="P1258" s="123" t="str">
        <f t="shared" si="359"/>
        <v/>
      </c>
    </row>
    <row r="1259" spans="1:16" s="114" customFormat="1" ht="15" x14ac:dyDescent="0.25">
      <c r="A1259" s="118"/>
      <c r="B1259" s="117"/>
      <c r="C1259" s="128"/>
      <c r="D1259" s="128"/>
      <c r="E1259" s="128"/>
      <c r="F1259" s="128"/>
      <c r="G1259" s="128"/>
      <c r="H1259" s="128"/>
      <c r="I1259" s="129">
        <f>MM!J69</f>
        <v>0</v>
      </c>
      <c r="J1259" s="129"/>
      <c r="K1259" s="129"/>
      <c r="L1259" s="129"/>
      <c r="M1259" s="186"/>
      <c r="N1259" s="186"/>
      <c r="O1259" s="128"/>
      <c r="P1259" s="123" t="str">
        <f t="shared" si="359"/>
        <v/>
      </c>
    </row>
    <row r="1260" spans="1:16" s="114" customFormat="1" ht="15" x14ac:dyDescent="0.25">
      <c r="A1260" s="118"/>
      <c r="B1260" s="117" t="s">
        <v>240</v>
      </c>
      <c r="C1260" s="128">
        <f>C1254</f>
        <v>200000</v>
      </c>
      <c r="D1260" s="128">
        <f t="shared" ref="D1260:O1260" si="366">D1254</f>
        <v>0</v>
      </c>
      <c r="E1260" s="128">
        <f t="shared" si="366"/>
        <v>2500</v>
      </c>
      <c r="F1260" s="128">
        <f t="shared" si="366"/>
        <v>53108.62</v>
      </c>
      <c r="G1260" s="128">
        <f t="shared" si="366"/>
        <v>146891.38</v>
      </c>
      <c r="H1260" s="128">
        <f t="shared" si="366"/>
        <v>26.55</v>
      </c>
      <c r="I1260" s="128">
        <f t="shared" si="366"/>
        <v>-30000</v>
      </c>
      <c r="J1260" s="128">
        <f t="shared" si="366"/>
        <v>170000</v>
      </c>
      <c r="K1260" s="128">
        <f t="shared" si="366"/>
        <v>177650</v>
      </c>
      <c r="L1260" s="128">
        <f t="shared" si="366"/>
        <v>185821.9</v>
      </c>
      <c r="M1260" s="128">
        <f t="shared" si="366"/>
        <v>0</v>
      </c>
      <c r="N1260" s="128">
        <f t="shared" si="366"/>
        <v>0</v>
      </c>
      <c r="O1260" s="128">
        <f t="shared" si="366"/>
        <v>194369.70739999998</v>
      </c>
      <c r="P1260" s="123" t="str">
        <f t="shared" si="359"/>
        <v/>
      </c>
    </row>
    <row r="1261" spans="1:16" s="114" customFormat="1" ht="15" x14ac:dyDescent="0.25">
      <c r="A1261" s="118"/>
      <c r="B1261" s="117"/>
      <c r="C1261" s="128"/>
      <c r="D1261" s="128"/>
      <c r="E1261" s="128"/>
      <c r="F1261" s="128"/>
      <c r="G1261" s="128"/>
      <c r="H1261" s="128"/>
      <c r="I1261" s="129">
        <f>MM!J71</f>
        <v>0</v>
      </c>
      <c r="J1261" s="129"/>
      <c r="K1261" s="129"/>
      <c r="L1261" s="129"/>
      <c r="M1261" s="186"/>
      <c r="N1261" s="186"/>
      <c r="O1261" s="128"/>
      <c r="P1261" s="123" t="str">
        <f t="shared" si="359"/>
        <v/>
      </c>
    </row>
    <row r="1262" spans="1:16" s="114" customFormat="1" ht="15" x14ac:dyDescent="0.25">
      <c r="A1262" s="118"/>
      <c r="B1262" s="117" t="s">
        <v>241</v>
      </c>
      <c r="C1262" s="128"/>
      <c r="D1262" s="128"/>
      <c r="E1262" s="128"/>
      <c r="F1262" s="128"/>
      <c r="G1262" s="128"/>
      <c r="H1262" s="128"/>
      <c r="I1262" s="129">
        <f>MM!J72</f>
        <v>0</v>
      </c>
      <c r="J1262" s="129"/>
      <c r="K1262" s="129"/>
      <c r="L1262" s="129"/>
      <c r="M1262" s="186"/>
      <c r="N1262" s="186"/>
      <c r="O1262" s="128"/>
      <c r="P1262" s="123" t="str">
        <f t="shared" si="359"/>
        <v/>
      </c>
    </row>
    <row r="1263" spans="1:16" x14ac:dyDescent="0.2">
      <c r="A1263" s="119"/>
      <c r="B1263" s="120"/>
      <c r="C1263" s="129"/>
      <c r="D1263" s="129"/>
      <c r="E1263" s="129"/>
      <c r="F1263" s="129"/>
      <c r="G1263" s="129"/>
      <c r="H1263" s="129"/>
      <c r="I1263" s="129">
        <f>MM!J73</f>
        <v>0</v>
      </c>
      <c r="J1263" s="129"/>
      <c r="K1263" s="129"/>
      <c r="L1263" s="129"/>
      <c r="O1263" s="129"/>
      <c r="P1263" s="123" t="str">
        <f t="shared" si="359"/>
        <v/>
      </c>
    </row>
    <row r="1264" spans="1:16" x14ac:dyDescent="0.2">
      <c r="A1264" s="119" t="s">
        <v>606</v>
      </c>
      <c r="B1264" s="120" t="s">
        <v>242</v>
      </c>
      <c r="C1264" s="129">
        <v>50473</v>
      </c>
      <c r="D1264" s="129">
        <v>0</v>
      </c>
      <c r="E1264" s="129">
        <v>0</v>
      </c>
      <c r="F1264" s="129">
        <v>11800</v>
      </c>
      <c r="G1264" s="129">
        <v>38673</v>
      </c>
      <c r="H1264" s="129">
        <v>23.37</v>
      </c>
      <c r="I1264" s="129">
        <f>MM!J74</f>
        <v>-20000</v>
      </c>
      <c r="J1264" s="129">
        <f>MM!K74</f>
        <v>30473</v>
      </c>
      <c r="K1264" s="129">
        <f>MM!L74</f>
        <v>31844.285</v>
      </c>
      <c r="L1264" s="129">
        <f>MM!M74</f>
        <v>33309.122109999997</v>
      </c>
      <c r="O1264" s="129">
        <f>MM!N74</f>
        <v>34841.341727059997</v>
      </c>
      <c r="P1264" s="123" t="str">
        <f t="shared" si="359"/>
        <v>300</v>
      </c>
    </row>
    <row r="1265" spans="1:16" x14ac:dyDescent="0.2">
      <c r="A1265" s="119" t="s">
        <v>607</v>
      </c>
      <c r="B1265" s="120" t="s">
        <v>242</v>
      </c>
      <c r="C1265" s="129">
        <v>950000</v>
      </c>
      <c r="D1265" s="129">
        <v>101000</v>
      </c>
      <c r="E1265" s="129">
        <v>16521.740000000002</v>
      </c>
      <c r="F1265" s="129">
        <v>320800</v>
      </c>
      <c r="G1265" s="129">
        <v>629200</v>
      </c>
      <c r="H1265" s="129">
        <v>33.76</v>
      </c>
      <c r="I1265" s="129">
        <f>MM!J75</f>
        <v>0</v>
      </c>
      <c r="J1265" s="129">
        <f>MM!K75</f>
        <v>950000</v>
      </c>
      <c r="K1265" s="129">
        <f>MM!L75</f>
        <v>992750</v>
      </c>
      <c r="L1265" s="129">
        <f>MM!M75</f>
        <v>1038416.5</v>
      </c>
      <c r="O1265" s="129">
        <f>MM!N75</f>
        <v>1086183.659</v>
      </c>
      <c r="P1265" s="123" t="str">
        <f t="shared" si="359"/>
        <v>300</v>
      </c>
    </row>
    <row r="1266" spans="1:16" x14ac:dyDescent="0.2">
      <c r="A1266" s="119" t="s">
        <v>608</v>
      </c>
      <c r="B1266" s="120" t="s">
        <v>242</v>
      </c>
      <c r="C1266" s="129">
        <v>236200</v>
      </c>
      <c r="D1266" s="129">
        <v>29880</v>
      </c>
      <c r="E1266" s="129">
        <v>29500</v>
      </c>
      <c r="F1266" s="129">
        <v>45915</v>
      </c>
      <c r="G1266" s="129">
        <v>190285</v>
      </c>
      <c r="H1266" s="129">
        <v>19.43</v>
      </c>
      <c r="I1266" s="129">
        <f>MM!J76</f>
        <v>30000</v>
      </c>
      <c r="J1266" s="129">
        <f>MM!K76</f>
        <v>266200</v>
      </c>
      <c r="K1266" s="129">
        <f>MM!L76</f>
        <v>278179</v>
      </c>
      <c r="L1266" s="129">
        <f>MM!M76</f>
        <v>290975.234</v>
      </c>
      <c r="O1266" s="129">
        <f>MM!N76</f>
        <v>304360.09476399998</v>
      </c>
      <c r="P1266" s="123" t="str">
        <f t="shared" si="359"/>
        <v>300</v>
      </c>
    </row>
    <row r="1267" spans="1:16" x14ac:dyDescent="0.2">
      <c r="A1267" s="119" t="s">
        <v>609</v>
      </c>
      <c r="B1267" s="120" t="s">
        <v>253</v>
      </c>
      <c r="C1267" s="129">
        <v>2000</v>
      </c>
      <c r="D1267" s="129">
        <v>0</v>
      </c>
      <c r="E1267" s="129">
        <v>0</v>
      </c>
      <c r="F1267" s="129">
        <v>1311.29</v>
      </c>
      <c r="G1267" s="129">
        <v>688.71</v>
      </c>
      <c r="H1267" s="129">
        <v>65.56</v>
      </c>
      <c r="I1267" s="129">
        <f>MM!J77</f>
        <v>0</v>
      </c>
      <c r="J1267" s="129">
        <f>MM!K77</f>
        <v>2000</v>
      </c>
      <c r="K1267" s="129">
        <f>MM!L77</f>
        <v>2090</v>
      </c>
      <c r="L1267" s="129">
        <f>MM!M77</f>
        <v>2186.14</v>
      </c>
      <c r="O1267" s="129">
        <f>MM!N77</f>
        <v>2286.70244</v>
      </c>
      <c r="P1267" s="123" t="str">
        <f t="shared" si="359"/>
        <v>301</v>
      </c>
    </row>
    <row r="1268" spans="1:16" x14ac:dyDescent="0.2">
      <c r="A1268" s="119" t="s">
        <v>610</v>
      </c>
      <c r="B1268" s="120" t="s">
        <v>254</v>
      </c>
      <c r="C1268" s="129">
        <v>1000</v>
      </c>
      <c r="D1268" s="129">
        <v>0</v>
      </c>
      <c r="E1268" s="129">
        <v>0</v>
      </c>
      <c r="F1268" s="129">
        <v>0</v>
      </c>
      <c r="G1268" s="129">
        <v>1000</v>
      </c>
      <c r="H1268" s="129">
        <v>0</v>
      </c>
      <c r="I1268" s="129">
        <f>MM!J78</f>
        <v>0</v>
      </c>
      <c r="J1268" s="129">
        <f>MM!K78</f>
        <v>1000</v>
      </c>
      <c r="K1268" s="129">
        <f>MM!L78</f>
        <v>1045</v>
      </c>
      <c r="L1268" s="129">
        <f>MM!M78</f>
        <v>1093.07</v>
      </c>
      <c r="O1268" s="129">
        <f>MM!N78</f>
        <v>1143.35122</v>
      </c>
      <c r="P1268" s="123" t="str">
        <f t="shared" si="359"/>
        <v>301</v>
      </c>
    </row>
    <row r="1269" spans="1:16" x14ac:dyDescent="0.2">
      <c r="A1269" s="119" t="s">
        <v>611</v>
      </c>
      <c r="B1269" s="120" t="s">
        <v>265</v>
      </c>
      <c r="C1269" s="129">
        <v>238204</v>
      </c>
      <c r="D1269" s="129">
        <v>2281.71</v>
      </c>
      <c r="E1269" s="129">
        <v>0</v>
      </c>
      <c r="F1269" s="129">
        <v>12260.12</v>
      </c>
      <c r="G1269" s="129">
        <v>225943.88</v>
      </c>
      <c r="H1269" s="129">
        <v>5.14</v>
      </c>
      <c r="I1269" s="129">
        <f>MM!J79</f>
        <v>-200000</v>
      </c>
      <c r="J1269" s="129">
        <f>MM!K79</f>
        <v>38204</v>
      </c>
      <c r="K1269" s="129">
        <f>MM!L79</f>
        <v>39923.18</v>
      </c>
      <c r="L1269" s="129">
        <f>MM!M79</f>
        <v>41759.646280000001</v>
      </c>
      <c r="O1269" s="129">
        <f>MM!N79</f>
        <v>43680.590008879997</v>
      </c>
      <c r="P1269" s="123" t="str">
        <f t="shared" si="359"/>
        <v>305</v>
      </c>
    </row>
    <row r="1270" spans="1:16" x14ac:dyDescent="0.2">
      <c r="A1270" s="119" t="s">
        <v>612</v>
      </c>
      <c r="B1270" s="120" t="s">
        <v>268</v>
      </c>
      <c r="C1270" s="129">
        <v>380000</v>
      </c>
      <c r="D1270" s="129">
        <v>30481.66</v>
      </c>
      <c r="E1270" s="129">
        <v>0</v>
      </c>
      <c r="F1270" s="129">
        <v>77659.83</v>
      </c>
      <c r="G1270" s="129">
        <v>302340.17</v>
      </c>
      <c r="H1270" s="129">
        <v>20.43</v>
      </c>
      <c r="I1270" s="129">
        <f>MM!J80</f>
        <v>-100000</v>
      </c>
      <c r="J1270" s="129">
        <f>MM!K80</f>
        <v>280000</v>
      </c>
      <c r="K1270" s="129">
        <f>MM!L80</f>
        <v>292600</v>
      </c>
      <c r="L1270" s="129">
        <f>MM!M80</f>
        <v>306059.59999999998</v>
      </c>
      <c r="O1270" s="129">
        <f>MM!N80</f>
        <v>320138.34159999999</v>
      </c>
      <c r="P1270" s="123" t="str">
        <f t="shared" si="359"/>
        <v>305</v>
      </c>
    </row>
    <row r="1271" spans="1:16" x14ac:dyDescent="0.2">
      <c r="A1271" s="119" t="s">
        <v>613</v>
      </c>
      <c r="B1271" s="120" t="s">
        <v>268</v>
      </c>
      <c r="C1271" s="129">
        <v>300000</v>
      </c>
      <c r="D1271" s="129">
        <v>8465.7000000000007</v>
      </c>
      <c r="E1271" s="129">
        <v>16303.28</v>
      </c>
      <c r="F1271" s="129">
        <v>84890.72</v>
      </c>
      <c r="G1271" s="129">
        <v>215109.28</v>
      </c>
      <c r="H1271" s="129">
        <v>28.29</v>
      </c>
      <c r="I1271" s="129">
        <f>MM!J81</f>
        <v>-100000</v>
      </c>
      <c r="J1271" s="129">
        <f>MM!K81</f>
        <v>200000</v>
      </c>
      <c r="K1271" s="129">
        <f>MM!L81</f>
        <v>209000</v>
      </c>
      <c r="L1271" s="129">
        <f>MM!M81</f>
        <v>218614</v>
      </c>
      <c r="O1271" s="129">
        <f>MM!N81</f>
        <v>228670.24400000001</v>
      </c>
      <c r="P1271" s="123" t="str">
        <f t="shared" si="359"/>
        <v>305</v>
      </c>
    </row>
    <row r="1272" spans="1:16" x14ac:dyDescent="0.2">
      <c r="A1272" s="119" t="s">
        <v>614</v>
      </c>
      <c r="B1272" s="120" t="s">
        <v>269</v>
      </c>
      <c r="C1272" s="129">
        <v>70000</v>
      </c>
      <c r="D1272" s="129">
        <v>0</v>
      </c>
      <c r="E1272" s="129">
        <v>0</v>
      </c>
      <c r="F1272" s="129">
        <v>0</v>
      </c>
      <c r="G1272" s="129">
        <v>70000</v>
      </c>
      <c r="H1272" s="129">
        <v>0</v>
      </c>
      <c r="I1272" s="129">
        <f>MM!J82</f>
        <v>-40000</v>
      </c>
      <c r="J1272" s="129">
        <f>MM!K82</f>
        <v>30000</v>
      </c>
      <c r="K1272" s="129">
        <f>MM!L82</f>
        <v>31350</v>
      </c>
      <c r="L1272" s="129">
        <f>MM!M82</f>
        <v>32792.1</v>
      </c>
      <c r="O1272" s="129">
        <f>MM!N82</f>
        <v>34300.536599999999</v>
      </c>
      <c r="P1272" s="123" t="str">
        <f t="shared" si="359"/>
        <v>305</v>
      </c>
    </row>
    <row r="1273" spans="1:16" x14ac:dyDescent="0.2">
      <c r="A1273" s="119"/>
      <c r="B1273" s="120"/>
      <c r="C1273" s="129"/>
      <c r="D1273" s="129"/>
      <c r="E1273" s="129"/>
      <c r="F1273" s="129"/>
      <c r="G1273" s="129"/>
      <c r="H1273" s="129"/>
      <c r="I1273" s="129">
        <f>MM!J83</f>
        <v>0</v>
      </c>
      <c r="J1273" s="129"/>
      <c r="K1273" s="129"/>
      <c r="L1273" s="129"/>
      <c r="O1273" s="129"/>
      <c r="P1273" s="123" t="str">
        <f t="shared" si="359"/>
        <v/>
      </c>
    </row>
    <row r="1274" spans="1:16" s="114" customFormat="1" ht="15" x14ac:dyDescent="0.25">
      <c r="A1274" s="118"/>
      <c r="B1274" s="117" t="s">
        <v>274</v>
      </c>
      <c r="C1274" s="128">
        <f>SUM(C1264:C1273)</f>
        <v>2227877</v>
      </c>
      <c r="D1274" s="128">
        <f t="shared" ref="D1274:O1274" si="367">SUM(D1264:D1273)</f>
        <v>172109.07</v>
      </c>
      <c r="E1274" s="128">
        <f t="shared" si="367"/>
        <v>62325.020000000004</v>
      </c>
      <c r="F1274" s="128">
        <f t="shared" si="367"/>
        <v>554636.96</v>
      </c>
      <c r="G1274" s="128">
        <f t="shared" si="367"/>
        <v>1673240.0399999998</v>
      </c>
      <c r="H1274" s="128">
        <f t="shared" si="367"/>
        <v>195.98</v>
      </c>
      <c r="I1274" s="128">
        <f t="shared" si="367"/>
        <v>-430000</v>
      </c>
      <c r="J1274" s="128">
        <f t="shared" si="367"/>
        <v>1797877</v>
      </c>
      <c r="K1274" s="128">
        <f t="shared" si="367"/>
        <v>1878781.4650000001</v>
      </c>
      <c r="L1274" s="128">
        <f t="shared" si="367"/>
        <v>1965205.4123899997</v>
      </c>
      <c r="M1274" s="128">
        <f t="shared" si="367"/>
        <v>0</v>
      </c>
      <c r="N1274" s="128">
        <f t="shared" si="367"/>
        <v>0</v>
      </c>
      <c r="O1274" s="128">
        <f t="shared" si="367"/>
        <v>2055604.8613599399</v>
      </c>
      <c r="P1274" s="123" t="str">
        <f t="shared" si="359"/>
        <v/>
      </c>
    </row>
    <row r="1275" spans="1:16" s="114" customFormat="1" ht="15" x14ac:dyDescent="0.25">
      <c r="A1275" s="118"/>
      <c r="B1275" s="117"/>
      <c r="C1275" s="128"/>
      <c r="D1275" s="128"/>
      <c r="E1275" s="128"/>
      <c r="F1275" s="128"/>
      <c r="G1275" s="128"/>
      <c r="H1275" s="128"/>
      <c r="I1275" s="129">
        <f>MM!J85</f>
        <v>0</v>
      </c>
      <c r="J1275" s="129"/>
      <c r="K1275" s="129"/>
      <c r="L1275" s="129"/>
      <c r="M1275" s="186"/>
      <c r="N1275" s="186"/>
      <c r="O1275" s="128"/>
      <c r="P1275" s="123" t="str">
        <f t="shared" si="359"/>
        <v/>
      </c>
    </row>
    <row r="1276" spans="1:16" s="114" customFormat="1" ht="15" x14ac:dyDescent="0.25">
      <c r="A1276" s="118"/>
      <c r="B1276" s="117" t="s">
        <v>290</v>
      </c>
      <c r="C1276" s="128"/>
      <c r="D1276" s="128"/>
      <c r="E1276" s="128"/>
      <c r="F1276" s="128"/>
      <c r="G1276" s="128"/>
      <c r="H1276" s="128"/>
      <c r="I1276" s="129">
        <f>MM!J86</f>
        <v>0</v>
      </c>
      <c r="J1276" s="129"/>
      <c r="K1276" s="129"/>
      <c r="L1276" s="129"/>
      <c r="M1276" s="186"/>
      <c r="N1276" s="186"/>
      <c r="O1276" s="128"/>
      <c r="P1276" s="123" t="str">
        <f t="shared" si="359"/>
        <v/>
      </c>
    </row>
    <row r="1277" spans="1:16" x14ac:dyDescent="0.2">
      <c r="A1277" s="119"/>
      <c r="B1277" s="120"/>
      <c r="C1277" s="129"/>
      <c r="D1277" s="129"/>
      <c r="E1277" s="129"/>
      <c r="F1277" s="129"/>
      <c r="G1277" s="129"/>
      <c r="H1277" s="129"/>
      <c r="I1277" s="129">
        <f>MM!J87</f>
        <v>0</v>
      </c>
      <c r="J1277" s="129"/>
      <c r="K1277" s="129"/>
      <c r="L1277" s="129"/>
      <c r="O1277" s="129"/>
      <c r="P1277" s="123" t="str">
        <f t="shared" si="359"/>
        <v/>
      </c>
    </row>
    <row r="1278" spans="1:16" x14ac:dyDescent="0.2">
      <c r="A1278" s="119" t="s">
        <v>615</v>
      </c>
      <c r="B1278" s="120" t="s">
        <v>292</v>
      </c>
      <c r="C1278" s="129">
        <v>3371</v>
      </c>
      <c r="D1278" s="129">
        <v>607.36</v>
      </c>
      <c r="E1278" s="129">
        <v>0</v>
      </c>
      <c r="F1278" s="129">
        <v>1812.77</v>
      </c>
      <c r="G1278" s="129">
        <v>1558.23</v>
      </c>
      <c r="H1278" s="129">
        <v>53.77</v>
      </c>
      <c r="I1278" s="129">
        <f>MM!J88</f>
        <v>0</v>
      </c>
      <c r="J1278" s="129">
        <f>MM!K88</f>
        <v>3371</v>
      </c>
      <c r="K1278" s="129">
        <f>MM!L88</f>
        <v>3522.6950000000002</v>
      </c>
      <c r="L1278" s="129">
        <f>MM!M88</f>
        <v>3684.7389700000003</v>
      </c>
      <c r="O1278" s="129">
        <f>MM!N88</f>
        <v>3854.2369626200002</v>
      </c>
      <c r="P1278" s="123" t="str">
        <f t="shared" si="359"/>
        <v>720</v>
      </c>
    </row>
    <row r="1279" spans="1:16" x14ac:dyDescent="0.2">
      <c r="A1279" s="119" t="s">
        <v>616</v>
      </c>
      <c r="B1279" s="120" t="s">
        <v>293</v>
      </c>
      <c r="C1279" s="129">
        <v>7399</v>
      </c>
      <c r="D1279" s="129">
        <v>17765.16</v>
      </c>
      <c r="E1279" s="129">
        <v>0</v>
      </c>
      <c r="F1279" s="129">
        <v>46490.85</v>
      </c>
      <c r="G1279" s="129">
        <v>-39091.85</v>
      </c>
      <c r="H1279" s="129">
        <v>628.33000000000004</v>
      </c>
      <c r="I1279" s="129">
        <f>MM!J89</f>
        <v>0</v>
      </c>
      <c r="J1279" s="129">
        <f>MM!K89</f>
        <v>7399</v>
      </c>
      <c r="K1279" s="129">
        <f>MM!L89</f>
        <v>7731.9549999999999</v>
      </c>
      <c r="L1279" s="129">
        <f>MM!M89</f>
        <v>8087.6249299999999</v>
      </c>
      <c r="O1279" s="129">
        <f>MM!N89</f>
        <v>8459.6556767799993</v>
      </c>
      <c r="P1279" s="123" t="str">
        <f t="shared" si="359"/>
        <v>721</v>
      </c>
    </row>
    <row r="1280" spans="1:16" x14ac:dyDescent="0.2">
      <c r="A1280" s="119" t="s">
        <v>617</v>
      </c>
      <c r="B1280" s="120" t="s">
        <v>295</v>
      </c>
      <c r="C1280" s="129">
        <v>48688</v>
      </c>
      <c r="D1280" s="129">
        <v>1846058</v>
      </c>
      <c r="E1280" s="129">
        <v>0</v>
      </c>
      <c r="F1280" s="129">
        <v>3692116</v>
      </c>
      <c r="G1280" s="129">
        <v>-3643428</v>
      </c>
      <c r="H1280" s="129">
        <v>999.99</v>
      </c>
      <c r="I1280" s="129">
        <f>MM!J90</f>
        <v>0</v>
      </c>
      <c r="J1280" s="129">
        <f>MM!K90</f>
        <v>48688</v>
      </c>
      <c r="K1280" s="129">
        <f>MM!L90</f>
        <v>50878.96</v>
      </c>
      <c r="L1280" s="129">
        <f>MM!M90</f>
        <v>53219.392159999996</v>
      </c>
      <c r="O1280" s="129">
        <f>MM!N90</f>
        <v>55667.484199359998</v>
      </c>
      <c r="P1280" s="123" t="str">
        <f t="shared" si="359"/>
        <v>722</v>
      </c>
    </row>
    <row r="1281" spans="1:16" x14ac:dyDescent="0.2">
      <c r="A1281" s="119" t="s">
        <v>618</v>
      </c>
      <c r="B1281" s="120" t="s">
        <v>296</v>
      </c>
      <c r="C1281" s="129">
        <v>38659</v>
      </c>
      <c r="D1281" s="129">
        <v>5656.02</v>
      </c>
      <c r="E1281" s="129">
        <v>0</v>
      </c>
      <c r="F1281" s="129">
        <v>14140.05</v>
      </c>
      <c r="G1281" s="129">
        <v>24518.95</v>
      </c>
      <c r="H1281" s="129">
        <v>36.57</v>
      </c>
      <c r="I1281" s="129">
        <f>MM!J91</f>
        <v>0</v>
      </c>
      <c r="J1281" s="129">
        <f>MM!K91</f>
        <v>38659</v>
      </c>
      <c r="K1281" s="129">
        <f>MM!L91</f>
        <v>40398.654999999999</v>
      </c>
      <c r="L1281" s="129">
        <f>MM!M91</f>
        <v>42256.993129999995</v>
      </c>
      <c r="O1281" s="129">
        <f>MM!N91</f>
        <v>44200.814813979996</v>
      </c>
      <c r="P1281" s="123" t="str">
        <f t="shared" si="359"/>
        <v>723</v>
      </c>
    </row>
    <row r="1282" spans="1:16" x14ac:dyDescent="0.2">
      <c r="A1282" s="119" t="s">
        <v>1394</v>
      </c>
      <c r="B1282" s="120"/>
      <c r="C1282" s="129">
        <v>0</v>
      </c>
      <c r="D1282" s="129"/>
      <c r="E1282" s="129"/>
      <c r="F1282" s="129"/>
      <c r="G1282" s="129"/>
      <c r="H1282" s="129"/>
      <c r="I1282" s="129">
        <f>MM!J92</f>
        <v>0</v>
      </c>
      <c r="J1282" s="129">
        <f>MM!K92</f>
        <v>0</v>
      </c>
      <c r="K1282" s="129"/>
      <c r="L1282" s="129"/>
      <c r="O1282" s="129">
        <f>MM!N92</f>
        <v>0</v>
      </c>
      <c r="P1282" s="123" t="str">
        <f t="shared" si="359"/>
        <v>725</v>
      </c>
    </row>
    <row r="1283" spans="1:16" x14ac:dyDescent="0.2">
      <c r="A1283" s="119" t="s">
        <v>619</v>
      </c>
      <c r="B1283" s="120" t="s">
        <v>298</v>
      </c>
      <c r="C1283" s="129">
        <v>0</v>
      </c>
      <c r="D1283" s="129">
        <v>249.08</v>
      </c>
      <c r="E1283" s="129">
        <v>0</v>
      </c>
      <c r="F1283" s="129">
        <v>622.67999999999995</v>
      </c>
      <c r="G1283" s="129">
        <v>-622.67999999999995</v>
      </c>
      <c r="H1283" s="129">
        <v>0</v>
      </c>
      <c r="I1283" s="129">
        <f>MM!J93</f>
        <v>0</v>
      </c>
      <c r="J1283" s="129">
        <f>MM!K93</f>
        <v>0</v>
      </c>
      <c r="K1283" s="129">
        <f>MM!L93</f>
        <v>0</v>
      </c>
      <c r="L1283" s="129">
        <f>MM!M93</f>
        <v>0</v>
      </c>
      <c r="O1283" s="129">
        <f>MM!N93</f>
        <v>0</v>
      </c>
      <c r="P1283" s="123" t="str">
        <f t="shared" si="359"/>
        <v>728</v>
      </c>
    </row>
    <row r="1284" spans="1:16" x14ac:dyDescent="0.2">
      <c r="A1284" s="119" t="s">
        <v>620</v>
      </c>
      <c r="B1284" s="120" t="s">
        <v>299</v>
      </c>
      <c r="C1284" s="129">
        <v>1701</v>
      </c>
      <c r="D1284" s="129">
        <v>0</v>
      </c>
      <c r="E1284" s="129">
        <v>0</v>
      </c>
      <c r="F1284" s="129">
        <v>0</v>
      </c>
      <c r="G1284" s="129">
        <v>1701</v>
      </c>
      <c r="H1284" s="129">
        <v>0</v>
      </c>
      <c r="I1284" s="129">
        <f>MM!J94</f>
        <v>0</v>
      </c>
      <c r="J1284" s="129">
        <f>MM!K94</f>
        <v>1701</v>
      </c>
      <c r="K1284" s="129">
        <f>MM!L94</f>
        <v>1777.5450000000001</v>
      </c>
      <c r="L1284" s="129">
        <f>MM!M94</f>
        <v>1859.3120699999999</v>
      </c>
      <c r="O1284" s="129">
        <f>MM!N94</f>
        <v>1944.84042522</v>
      </c>
      <c r="P1284" s="123" t="str">
        <f t="shared" si="359"/>
        <v>728</v>
      </c>
    </row>
    <row r="1285" spans="1:16" x14ac:dyDescent="0.2">
      <c r="A1285" s="119" t="s">
        <v>621</v>
      </c>
      <c r="B1285" s="120" t="s">
        <v>300</v>
      </c>
      <c r="C1285" s="129">
        <v>148336</v>
      </c>
      <c r="D1285" s="129">
        <v>21701.84</v>
      </c>
      <c r="E1285" s="129">
        <v>0</v>
      </c>
      <c r="F1285" s="129">
        <v>52409.279999999999</v>
      </c>
      <c r="G1285" s="129">
        <v>95926.720000000001</v>
      </c>
      <c r="H1285" s="129">
        <v>35.33</v>
      </c>
      <c r="I1285" s="129">
        <f>MM!J95</f>
        <v>0</v>
      </c>
      <c r="J1285" s="129">
        <f>MM!K95</f>
        <v>148336</v>
      </c>
      <c r="K1285" s="129">
        <f>MM!L95</f>
        <v>155011.12</v>
      </c>
      <c r="L1285" s="129">
        <f>MM!M95</f>
        <v>162141.63152</v>
      </c>
      <c r="O1285" s="129">
        <f>MM!N95</f>
        <v>169600.14656992001</v>
      </c>
      <c r="P1285" s="123" t="str">
        <f t="shared" si="359"/>
        <v>728</v>
      </c>
    </row>
    <row r="1286" spans="1:16" x14ac:dyDescent="0.2">
      <c r="A1286" s="119" t="s">
        <v>622</v>
      </c>
      <c r="B1286" s="120" t="s">
        <v>303</v>
      </c>
      <c r="C1286" s="129">
        <v>594034</v>
      </c>
      <c r="D1286" s="129">
        <v>89859.38</v>
      </c>
      <c r="E1286" s="129">
        <v>0</v>
      </c>
      <c r="F1286" s="129">
        <v>183064.2</v>
      </c>
      <c r="G1286" s="129">
        <v>410969.8</v>
      </c>
      <c r="H1286" s="129">
        <v>30.81</v>
      </c>
      <c r="I1286" s="129">
        <f>MM!J96</f>
        <v>0</v>
      </c>
      <c r="J1286" s="129">
        <f>MM!K96</f>
        <v>594034</v>
      </c>
      <c r="K1286" s="129">
        <f>MM!L96</f>
        <v>620765.53</v>
      </c>
      <c r="L1286" s="129">
        <f>MM!M96</f>
        <v>649320.74438000005</v>
      </c>
      <c r="O1286" s="129">
        <f>MM!N96</f>
        <v>679189.49862148007</v>
      </c>
      <c r="P1286" s="123" t="str">
        <f t="shared" si="359"/>
        <v>729</v>
      </c>
    </row>
    <row r="1287" spans="1:16" x14ac:dyDescent="0.2">
      <c r="A1287" s="119"/>
      <c r="B1287" s="120"/>
      <c r="C1287" s="129"/>
      <c r="D1287" s="129"/>
      <c r="E1287" s="129"/>
      <c r="F1287" s="129"/>
      <c r="G1287" s="129"/>
      <c r="H1287" s="129"/>
      <c r="I1287" s="129">
        <f>MM!J97</f>
        <v>0</v>
      </c>
      <c r="J1287" s="129"/>
      <c r="K1287" s="129"/>
      <c r="L1287" s="129"/>
      <c r="O1287" s="129"/>
      <c r="P1287" s="123" t="str">
        <f t="shared" ref="P1287:P1350" si="368">MID(A1287,6,3)</f>
        <v/>
      </c>
    </row>
    <row r="1288" spans="1:16" s="114" customFormat="1" ht="15" x14ac:dyDescent="0.25">
      <c r="A1288" s="118"/>
      <c r="B1288" s="117" t="s">
        <v>304</v>
      </c>
      <c r="C1288" s="128">
        <f>SUM(C1278:C1287)</f>
        <v>842188</v>
      </c>
      <c r="D1288" s="128">
        <f t="shared" ref="D1288:O1288" si="369">SUM(D1278:D1287)</f>
        <v>1981896.8400000003</v>
      </c>
      <c r="E1288" s="128">
        <f t="shared" si="369"/>
        <v>0</v>
      </c>
      <c r="F1288" s="128">
        <f t="shared" si="369"/>
        <v>3990655.83</v>
      </c>
      <c r="G1288" s="128">
        <f t="shared" si="369"/>
        <v>-3148467.83</v>
      </c>
      <c r="H1288" s="128">
        <f t="shared" si="369"/>
        <v>1784.8</v>
      </c>
      <c r="I1288" s="128">
        <f t="shared" si="369"/>
        <v>0</v>
      </c>
      <c r="J1288" s="128">
        <f t="shared" si="369"/>
        <v>842188</v>
      </c>
      <c r="K1288" s="128">
        <f t="shared" si="369"/>
        <v>880086.46</v>
      </c>
      <c r="L1288" s="128">
        <f t="shared" si="369"/>
        <v>920570.43715999997</v>
      </c>
      <c r="M1288" s="128">
        <f t="shared" si="369"/>
        <v>0</v>
      </c>
      <c r="N1288" s="128">
        <f t="shared" si="369"/>
        <v>0</v>
      </c>
      <c r="O1288" s="128">
        <f t="shared" si="369"/>
        <v>962916.67726936005</v>
      </c>
      <c r="P1288" s="123" t="str">
        <f t="shared" si="368"/>
        <v/>
      </c>
    </row>
    <row r="1289" spans="1:16" s="114" customFormat="1" ht="15" x14ac:dyDescent="0.25">
      <c r="A1289" s="118"/>
      <c r="B1289" s="117"/>
      <c r="C1289" s="128"/>
      <c r="D1289" s="128"/>
      <c r="E1289" s="128"/>
      <c r="F1289" s="128"/>
      <c r="G1289" s="128"/>
      <c r="H1289" s="128"/>
      <c r="I1289" s="129">
        <f>MM!J99</f>
        <v>0</v>
      </c>
      <c r="J1289" s="129"/>
      <c r="K1289" s="129"/>
      <c r="L1289" s="129"/>
      <c r="M1289" s="186"/>
      <c r="N1289" s="186"/>
      <c r="O1289" s="128"/>
      <c r="P1289" s="123" t="str">
        <f t="shared" si="368"/>
        <v/>
      </c>
    </row>
    <row r="1290" spans="1:16" s="114" customFormat="1" ht="15" x14ac:dyDescent="0.25">
      <c r="A1290" s="118"/>
      <c r="B1290" s="117" t="s">
        <v>305</v>
      </c>
      <c r="C1290" s="128">
        <f>C1247+C1260+C1274+C1288</f>
        <v>7889360</v>
      </c>
      <c r="D1290" s="128">
        <f t="shared" ref="D1290:O1290" si="370">D1247+D1260+D1274+D1288</f>
        <v>2430220.7500000005</v>
      </c>
      <c r="E1290" s="128">
        <f t="shared" si="370"/>
        <v>64825.020000000004</v>
      </c>
      <c r="F1290" s="128">
        <f t="shared" si="370"/>
        <v>6142653.6500000004</v>
      </c>
      <c r="G1290" s="128">
        <f t="shared" si="370"/>
        <v>1746706.3499999996</v>
      </c>
      <c r="H1290" s="128">
        <f t="shared" si="370"/>
        <v>2615.54</v>
      </c>
      <c r="I1290" s="128">
        <f t="shared" si="370"/>
        <v>-409229.97</v>
      </c>
      <c r="J1290" s="128">
        <f t="shared" si="370"/>
        <v>7480130.0300000003</v>
      </c>
      <c r="K1290" s="128">
        <f t="shared" si="370"/>
        <v>7898462.0193750001</v>
      </c>
      <c r="L1290" s="128">
        <f t="shared" si="370"/>
        <v>8380877.9305312503</v>
      </c>
      <c r="M1290" s="128">
        <f t="shared" si="370"/>
        <v>0</v>
      </c>
      <c r="N1290" s="128">
        <f t="shared" si="370"/>
        <v>0</v>
      </c>
      <c r="O1290" s="128">
        <f t="shared" si="370"/>
        <v>8893821.0396792367</v>
      </c>
      <c r="P1290" s="123" t="str">
        <f t="shared" si="368"/>
        <v/>
      </c>
    </row>
    <row r="1291" spans="1:16" s="114" customFormat="1" ht="15" x14ac:dyDescent="0.25">
      <c r="A1291" s="118"/>
      <c r="B1291" s="117"/>
      <c r="C1291" s="128"/>
      <c r="D1291" s="128"/>
      <c r="E1291" s="128"/>
      <c r="F1291" s="128"/>
      <c r="G1291" s="128"/>
      <c r="H1291" s="128"/>
      <c r="I1291" s="129">
        <f>MM!J101</f>
        <v>0</v>
      </c>
      <c r="J1291" s="129"/>
      <c r="K1291" s="129"/>
      <c r="L1291" s="129"/>
      <c r="M1291" s="186"/>
      <c r="N1291" s="186"/>
      <c r="O1291" s="128"/>
      <c r="P1291" s="123" t="str">
        <f t="shared" si="368"/>
        <v/>
      </c>
    </row>
    <row r="1292" spans="1:16" s="114" customFormat="1" ht="15" x14ac:dyDescent="0.25">
      <c r="A1292" s="118"/>
      <c r="B1292" s="117" t="s">
        <v>306</v>
      </c>
      <c r="C1292" s="128">
        <f>C1290</f>
        <v>7889360</v>
      </c>
      <c r="D1292" s="128">
        <f t="shared" ref="D1292:O1292" si="371">D1290</f>
        <v>2430220.7500000005</v>
      </c>
      <c r="E1292" s="128">
        <f t="shared" si="371"/>
        <v>64825.020000000004</v>
      </c>
      <c r="F1292" s="128">
        <f t="shared" si="371"/>
        <v>6142653.6500000004</v>
      </c>
      <c r="G1292" s="128">
        <f t="shared" si="371"/>
        <v>1746706.3499999996</v>
      </c>
      <c r="H1292" s="128">
        <f t="shared" si="371"/>
        <v>2615.54</v>
      </c>
      <c r="I1292" s="128">
        <f t="shared" si="371"/>
        <v>-409229.97</v>
      </c>
      <c r="J1292" s="128">
        <f t="shared" si="371"/>
        <v>7480130.0300000003</v>
      </c>
      <c r="K1292" s="128">
        <f t="shared" si="371"/>
        <v>7898462.0193750001</v>
      </c>
      <c r="L1292" s="128">
        <f t="shared" si="371"/>
        <v>8380877.9305312503</v>
      </c>
      <c r="M1292" s="128">
        <f t="shared" si="371"/>
        <v>0</v>
      </c>
      <c r="N1292" s="128">
        <f t="shared" si="371"/>
        <v>0</v>
      </c>
      <c r="O1292" s="128">
        <f t="shared" si="371"/>
        <v>8893821.0396792367</v>
      </c>
      <c r="P1292" s="123" t="str">
        <f t="shared" si="368"/>
        <v/>
      </c>
    </row>
    <row r="1293" spans="1:16" x14ac:dyDescent="0.2">
      <c r="A1293" s="119"/>
      <c r="B1293" s="120"/>
      <c r="C1293" s="129"/>
      <c r="D1293" s="129"/>
      <c r="E1293" s="129"/>
      <c r="F1293" s="129"/>
      <c r="G1293" s="129"/>
      <c r="H1293" s="129"/>
      <c r="I1293" s="129">
        <f>MM!J103</f>
        <v>0</v>
      </c>
      <c r="J1293" s="129"/>
      <c r="K1293" s="129"/>
      <c r="L1293" s="129"/>
      <c r="O1293" s="129"/>
      <c r="P1293" s="123" t="str">
        <f t="shared" si="368"/>
        <v/>
      </c>
    </row>
    <row r="1294" spans="1:16" s="114" customFormat="1" ht="15" x14ac:dyDescent="0.25">
      <c r="A1294" s="118"/>
      <c r="B1294" s="117" t="s">
        <v>623</v>
      </c>
      <c r="C1294" s="128"/>
      <c r="D1294" s="128"/>
      <c r="E1294" s="128"/>
      <c r="F1294" s="128"/>
      <c r="G1294" s="128"/>
      <c r="H1294" s="128"/>
      <c r="I1294" s="129">
        <f>MM!J104</f>
        <v>0</v>
      </c>
      <c r="J1294" s="129"/>
      <c r="K1294" s="129"/>
      <c r="L1294" s="129"/>
      <c r="M1294" s="186"/>
      <c r="N1294" s="186"/>
      <c r="O1294" s="128"/>
      <c r="P1294" s="123" t="str">
        <f t="shared" si="368"/>
        <v/>
      </c>
    </row>
    <row r="1295" spans="1:16" s="114" customFormat="1" ht="15" x14ac:dyDescent="0.25">
      <c r="A1295" s="118"/>
      <c r="B1295" s="117" t="s">
        <v>96</v>
      </c>
      <c r="C1295" s="128"/>
      <c r="D1295" s="128"/>
      <c r="E1295" s="128"/>
      <c r="F1295" s="128"/>
      <c r="G1295" s="128"/>
      <c r="H1295" s="128"/>
      <c r="I1295" s="129">
        <f>MM!J105</f>
        <v>0</v>
      </c>
      <c r="J1295" s="129"/>
      <c r="K1295" s="129"/>
      <c r="L1295" s="129"/>
      <c r="M1295" s="186"/>
      <c r="N1295" s="186"/>
      <c r="O1295" s="128"/>
      <c r="P1295" s="123" t="str">
        <f t="shared" si="368"/>
        <v/>
      </c>
    </row>
    <row r="1296" spans="1:16" s="114" customFormat="1" ht="15" x14ac:dyDescent="0.25">
      <c r="A1296" s="118"/>
      <c r="B1296" s="117" t="s">
        <v>97</v>
      </c>
      <c r="C1296" s="128"/>
      <c r="D1296" s="128"/>
      <c r="E1296" s="128"/>
      <c r="F1296" s="128"/>
      <c r="G1296" s="128"/>
      <c r="H1296" s="128"/>
      <c r="I1296" s="129">
        <f>MM!J106</f>
        <v>0</v>
      </c>
      <c r="J1296" s="129"/>
      <c r="K1296" s="129"/>
      <c r="L1296" s="129"/>
      <c r="M1296" s="186"/>
      <c r="N1296" s="186"/>
      <c r="O1296" s="128"/>
      <c r="P1296" s="123" t="str">
        <f t="shared" si="368"/>
        <v/>
      </c>
    </row>
    <row r="1297" spans="1:16" s="114" customFormat="1" ht="15" x14ac:dyDescent="0.25">
      <c r="A1297" s="118"/>
      <c r="B1297" s="117" t="s">
        <v>148</v>
      </c>
      <c r="C1297" s="128"/>
      <c r="D1297" s="128"/>
      <c r="E1297" s="128"/>
      <c r="F1297" s="128"/>
      <c r="G1297" s="128"/>
      <c r="H1297" s="128"/>
      <c r="I1297" s="129">
        <f>MM!J107</f>
        <v>0</v>
      </c>
      <c r="J1297" s="129"/>
      <c r="K1297" s="129"/>
      <c r="L1297" s="129"/>
      <c r="M1297" s="186"/>
      <c r="N1297" s="186"/>
      <c r="O1297" s="128"/>
      <c r="P1297" s="123" t="str">
        <f t="shared" si="368"/>
        <v/>
      </c>
    </row>
    <row r="1298" spans="1:16" s="114" customFormat="1" ht="15" x14ac:dyDescent="0.25">
      <c r="A1298" s="118"/>
      <c r="B1298" s="117" t="s">
        <v>149</v>
      </c>
      <c r="C1298" s="128"/>
      <c r="D1298" s="128"/>
      <c r="E1298" s="128"/>
      <c r="F1298" s="128"/>
      <c r="G1298" s="128"/>
      <c r="H1298" s="128"/>
      <c r="I1298" s="129">
        <f>MM!J108</f>
        <v>0</v>
      </c>
      <c r="J1298" s="129"/>
      <c r="K1298" s="129"/>
      <c r="L1298" s="129"/>
      <c r="M1298" s="186"/>
      <c r="N1298" s="186"/>
      <c r="O1298" s="128"/>
      <c r="P1298" s="123" t="str">
        <f t="shared" si="368"/>
        <v/>
      </c>
    </row>
    <row r="1299" spans="1:16" x14ac:dyDescent="0.2">
      <c r="A1299" s="119"/>
      <c r="B1299" s="120"/>
      <c r="C1299" s="129"/>
      <c r="D1299" s="129"/>
      <c r="E1299" s="129"/>
      <c r="F1299" s="129"/>
      <c r="G1299" s="129"/>
      <c r="H1299" s="129"/>
      <c r="I1299" s="129">
        <f>MM!J109</f>
        <v>0</v>
      </c>
      <c r="J1299" s="129"/>
      <c r="K1299" s="129"/>
      <c r="L1299" s="129"/>
      <c r="O1299" s="129"/>
      <c r="P1299" s="123" t="str">
        <f t="shared" si="368"/>
        <v/>
      </c>
    </row>
    <row r="1300" spans="1:16" x14ac:dyDescent="0.2">
      <c r="A1300" s="119" t="s">
        <v>624</v>
      </c>
      <c r="B1300" s="120" t="s">
        <v>150</v>
      </c>
      <c r="C1300" s="129">
        <v>570271</v>
      </c>
      <c r="D1300" s="129">
        <v>48435.41</v>
      </c>
      <c r="E1300" s="129">
        <v>0</v>
      </c>
      <c r="F1300" s="129">
        <v>287207.78999999998</v>
      </c>
      <c r="G1300" s="129">
        <v>283063.21000000002</v>
      </c>
      <c r="H1300" s="129">
        <v>50.36</v>
      </c>
      <c r="I1300" s="129">
        <f>MM!J110</f>
        <v>0</v>
      </c>
      <c r="J1300" s="129">
        <f>MM!K110</f>
        <v>570271</v>
      </c>
      <c r="K1300" s="129">
        <f>MM!L110</f>
        <v>605912.9375</v>
      </c>
      <c r="L1300" s="129">
        <f>MM!M110</f>
        <v>648326.84312500001</v>
      </c>
      <c r="O1300" s="129">
        <f>MM!N110</f>
        <v>693709.72214375006</v>
      </c>
      <c r="P1300" s="123" t="str">
        <f t="shared" si="368"/>
        <v>110</v>
      </c>
    </row>
    <row r="1301" spans="1:16" x14ac:dyDescent="0.2">
      <c r="A1301" s="119" t="s">
        <v>625</v>
      </c>
      <c r="B1301" s="120" t="s">
        <v>151</v>
      </c>
      <c r="C1301" s="129">
        <v>28514</v>
      </c>
      <c r="D1301" s="129">
        <v>8467.09</v>
      </c>
      <c r="E1301" s="129">
        <v>0</v>
      </c>
      <c r="F1301" s="129">
        <v>55767.61</v>
      </c>
      <c r="G1301" s="129">
        <v>-27253.61</v>
      </c>
      <c r="H1301" s="129">
        <v>195.57</v>
      </c>
      <c r="I1301" s="129">
        <f>MM!J111</f>
        <v>-20046.909999999996</v>
      </c>
      <c r="J1301" s="129">
        <f>MM!K111</f>
        <v>8467.0900000000038</v>
      </c>
      <c r="K1301" s="129">
        <f>MM!L111</f>
        <v>8996.2831250000036</v>
      </c>
      <c r="L1301" s="129">
        <f>MM!M111</f>
        <v>9626.0229437500038</v>
      </c>
      <c r="O1301" s="129">
        <f>MM!N111</f>
        <v>10299.844549812504</v>
      </c>
      <c r="P1301" s="123" t="str">
        <f t="shared" si="368"/>
        <v>110</v>
      </c>
    </row>
    <row r="1302" spans="1:16" x14ac:dyDescent="0.2">
      <c r="A1302" s="119" t="s">
        <v>626</v>
      </c>
      <c r="B1302" s="120" t="s">
        <v>152</v>
      </c>
      <c r="C1302" s="129">
        <v>24000</v>
      </c>
      <c r="D1302" s="129">
        <v>2000</v>
      </c>
      <c r="E1302" s="129">
        <v>0</v>
      </c>
      <c r="F1302" s="129">
        <v>12000</v>
      </c>
      <c r="G1302" s="129">
        <v>12000</v>
      </c>
      <c r="H1302" s="129">
        <v>50</v>
      </c>
      <c r="I1302" s="129">
        <f>MM!J112</f>
        <v>0</v>
      </c>
      <c r="J1302" s="129">
        <f>MM!K112</f>
        <v>24000</v>
      </c>
      <c r="K1302" s="129">
        <f>MM!L112</f>
        <v>25500</v>
      </c>
      <c r="L1302" s="129">
        <f>MM!M112</f>
        <v>27285</v>
      </c>
      <c r="O1302" s="129">
        <f>MM!N112</f>
        <v>29194.95</v>
      </c>
      <c r="P1302" s="123" t="str">
        <f t="shared" si="368"/>
        <v>110</v>
      </c>
    </row>
    <row r="1303" spans="1:16" x14ac:dyDescent="0.2">
      <c r="A1303" s="119" t="s">
        <v>627</v>
      </c>
      <c r="B1303" s="120" t="s">
        <v>153</v>
      </c>
      <c r="C1303" s="129">
        <v>10893</v>
      </c>
      <c r="D1303" s="129">
        <v>0</v>
      </c>
      <c r="E1303" s="129">
        <v>0</v>
      </c>
      <c r="F1303" s="129">
        <v>0</v>
      </c>
      <c r="G1303" s="129">
        <v>10893</v>
      </c>
      <c r="H1303" s="129">
        <v>0</v>
      </c>
      <c r="I1303" s="129">
        <f>MM!J113</f>
        <v>0</v>
      </c>
      <c r="J1303" s="129">
        <f>MM!K113</f>
        <v>10893</v>
      </c>
      <c r="K1303" s="129">
        <f>MM!L113</f>
        <v>11573.8125</v>
      </c>
      <c r="L1303" s="129">
        <f>MM!M113</f>
        <v>12383.979375000001</v>
      </c>
      <c r="O1303" s="129">
        <f>MM!N113</f>
        <v>13250.857931250001</v>
      </c>
      <c r="P1303" s="123" t="str">
        <f t="shared" si="368"/>
        <v>110</v>
      </c>
    </row>
    <row r="1304" spans="1:16" x14ac:dyDescent="0.2">
      <c r="A1304" s="119" t="s">
        <v>628</v>
      </c>
      <c r="B1304" s="120" t="s">
        <v>155</v>
      </c>
      <c r="C1304" s="129">
        <v>18924</v>
      </c>
      <c r="D1304" s="129">
        <v>0</v>
      </c>
      <c r="E1304" s="129">
        <v>0</v>
      </c>
      <c r="F1304" s="129">
        <v>0</v>
      </c>
      <c r="G1304" s="129">
        <v>18924</v>
      </c>
      <c r="H1304" s="129">
        <v>0</v>
      </c>
      <c r="I1304" s="129">
        <f>MM!J114</f>
        <v>0</v>
      </c>
      <c r="J1304" s="129">
        <f>MM!K114</f>
        <v>18924</v>
      </c>
      <c r="K1304" s="129">
        <f>MM!L114</f>
        <v>20106.75</v>
      </c>
      <c r="L1304" s="129">
        <f>MM!M114</f>
        <v>21514.2225</v>
      </c>
      <c r="O1304" s="129">
        <f>MM!N114</f>
        <v>23020.218075000001</v>
      </c>
      <c r="P1304" s="123" t="str">
        <f t="shared" si="368"/>
        <v>110</v>
      </c>
    </row>
    <row r="1305" spans="1:16" x14ac:dyDescent="0.2">
      <c r="A1305" s="119" t="s">
        <v>629</v>
      </c>
      <c r="B1305" s="120" t="s">
        <v>156</v>
      </c>
      <c r="C1305" s="129">
        <v>142568</v>
      </c>
      <c r="D1305" s="129">
        <v>12108.85</v>
      </c>
      <c r="E1305" s="129">
        <v>0</v>
      </c>
      <c r="F1305" s="129">
        <v>71801.94</v>
      </c>
      <c r="G1305" s="129">
        <v>70766.06</v>
      </c>
      <c r="H1305" s="129">
        <v>50.36</v>
      </c>
      <c r="I1305" s="129">
        <f>MM!J115</f>
        <v>0</v>
      </c>
      <c r="J1305" s="129">
        <f>MM!K115</f>
        <v>142568</v>
      </c>
      <c r="K1305" s="129">
        <f>MM!L115</f>
        <v>151478.5</v>
      </c>
      <c r="L1305" s="129">
        <f>MM!M115</f>
        <v>162081.995</v>
      </c>
      <c r="O1305" s="129">
        <f>MM!N115</f>
        <v>173427.73465</v>
      </c>
      <c r="P1305" s="123" t="str">
        <f t="shared" si="368"/>
        <v>110</v>
      </c>
    </row>
    <row r="1306" spans="1:16" x14ac:dyDescent="0.2">
      <c r="A1306" s="119" t="s">
        <v>630</v>
      </c>
      <c r="B1306" s="120" t="s">
        <v>158</v>
      </c>
      <c r="C1306" s="129">
        <v>11405</v>
      </c>
      <c r="D1306" s="129">
        <v>0</v>
      </c>
      <c r="E1306" s="129">
        <v>0</v>
      </c>
      <c r="F1306" s="129">
        <v>0</v>
      </c>
      <c r="G1306" s="129">
        <v>11405</v>
      </c>
      <c r="H1306" s="129">
        <v>0</v>
      </c>
      <c r="I1306" s="129">
        <f>MM!J116</f>
        <v>0</v>
      </c>
      <c r="J1306" s="129">
        <f>MM!K116</f>
        <v>11405</v>
      </c>
      <c r="K1306" s="129">
        <f>MM!L116</f>
        <v>12117.8125</v>
      </c>
      <c r="L1306" s="129">
        <f>MM!M116</f>
        <v>12966.059375000001</v>
      </c>
      <c r="O1306" s="129">
        <f>MM!N116</f>
        <v>13873.683531250001</v>
      </c>
      <c r="P1306" s="123" t="str">
        <f t="shared" si="368"/>
        <v>110</v>
      </c>
    </row>
    <row r="1307" spans="1:16" x14ac:dyDescent="0.2">
      <c r="A1307" s="119" t="s">
        <v>631</v>
      </c>
      <c r="B1307" s="120" t="s">
        <v>159</v>
      </c>
      <c r="C1307" s="129">
        <v>47523</v>
      </c>
      <c r="D1307" s="129">
        <v>0</v>
      </c>
      <c r="E1307" s="129">
        <v>0</v>
      </c>
      <c r="F1307" s="129">
        <v>0</v>
      </c>
      <c r="G1307" s="129">
        <v>47523</v>
      </c>
      <c r="H1307" s="129">
        <v>0</v>
      </c>
      <c r="I1307" s="129">
        <f>MM!J117</f>
        <v>0</v>
      </c>
      <c r="J1307" s="129">
        <f>MM!K117</f>
        <v>47523</v>
      </c>
      <c r="K1307" s="129">
        <f>MM!L117</f>
        <v>50493.1875</v>
      </c>
      <c r="L1307" s="129">
        <f>MM!M117</f>
        <v>54027.710625</v>
      </c>
      <c r="O1307" s="129">
        <f>MM!N117</f>
        <v>57809.650368750001</v>
      </c>
      <c r="P1307" s="123" t="str">
        <f t="shared" si="368"/>
        <v>110</v>
      </c>
    </row>
    <row r="1308" spans="1:16" x14ac:dyDescent="0.2">
      <c r="A1308" s="119" t="s">
        <v>632</v>
      </c>
      <c r="B1308" s="120" t="s">
        <v>164</v>
      </c>
      <c r="C1308" s="129">
        <v>15692</v>
      </c>
      <c r="D1308" s="129">
        <v>1307.7</v>
      </c>
      <c r="E1308" s="129">
        <v>0</v>
      </c>
      <c r="F1308" s="129">
        <v>7846.2</v>
      </c>
      <c r="G1308" s="129">
        <v>7845.8</v>
      </c>
      <c r="H1308" s="129">
        <v>50</v>
      </c>
      <c r="I1308" s="129">
        <f>MM!J118</f>
        <v>0</v>
      </c>
      <c r="J1308" s="129">
        <f>MM!K118</f>
        <v>15692</v>
      </c>
      <c r="K1308" s="129">
        <f>MM!L118</f>
        <v>16672.75</v>
      </c>
      <c r="L1308" s="129">
        <f>MM!M118</f>
        <v>17839.842499999999</v>
      </c>
      <c r="O1308" s="129">
        <f>MM!N118</f>
        <v>19088.631474999998</v>
      </c>
      <c r="P1308" s="123" t="str">
        <f t="shared" si="368"/>
        <v>110</v>
      </c>
    </row>
    <row r="1309" spans="1:16" x14ac:dyDescent="0.2">
      <c r="A1309" s="119"/>
      <c r="B1309" s="120"/>
      <c r="C1309" s="129"/>
      <c r="D1309" s="129"/>
      <c r="E1309" s="129"/>
      <c r="F1309" s="129"/>
      <c r="G1309" s="129"/>
      <c r="H1309" s="129"/>
      <c r="I1309" s="129">
        <f>MM!J119</f>
        <v>0</v>
      </c>
      <c r="J1309" s="129"/>
      <c r="K1309" s="129"/>
      <c r="L1309" s="129"/>
      <c r="O1309" s="129"/>
      <c r="P1309" s="123" t="str">
        <f t="shared" si="368"/>
        <v/>
      </c>
    </row>
    <row r="1310" spans="1:16" s="114" customFormat="1" ht="15" x14ac:dyDescent="0.25">
      <c r="A1310" s="118"/>
      <c r="B1310" s="117" t="s">
        <v>165</v>
      </c>
      <c r="C1310" s="128">
        <f>SUM(C1300:C1309)</f>
        <v>869790</v>
      </c>
      <c r="D1310" s="128">
        <f t="shared" ref="D1310:O1310" si="372">SUM(D1300:D1309)</f>
        <v>72319.05</v>
      </c>
      <c r="E1310" s="128">
        <f t="shared" si="372"/>
        <v>0</v>
      </c>
      <c r="F1310" s="128">
        <f t="shared" si="372"/>
        <v>434623.54</v>
      </c>
      <c r="G1310" s="128">
        <f t="shared" si="372"/>
        <v>435166.46</v>
      </c>
      <c r="H1310" s="128">
        <f t="shared" si="372"/>
        <v>396.29</v>
      </c>
      <c r="I1310" s="128">
        <f t="shared" si="372"/>
        <v>-20046.909999999996</v>
      </c>
      <c r="J1310" s="128">
        <f t="shared" si="372"/>
        <v>849743.09</v>
      </c>
      <c r="K1310" s="128">
        <f t="shared" si="372"/>
        <v>902852.03312499996</v>
      </c>
      <c r="L1310" s="128">
        <f t="shared" si="372"/>
        <v>966051.67544374999</v>
      </c>
      <c r="M1310" s="128">
        <f t="shared" si="372"/>
        <v>0</v>
      </c>
      <c r="N1310" s="128">
        <f t="shared" si="372"/>
        <v>0</v>
      </c>
      <c r="O1310" s="128">
        <f t="shared" si="372"/>
        <v>1033675.2927248124</v>
      </c>
      <c r="P1310" s="123" t="str">
        <f t="shared" si="368"/>
        <v/>
      </c>
    </row>
    <row r="1311" spans="1:16" s="114" customFormat="1" ht="15" x14ac:dyDescent="0.25">
      <c r="A1311" s="118"/>
      <c r="B1311" s="117"/>
      <c r="C1311" s="128"/>
      <c r="D1311" s="128"/>
      <c r="E1311" s="128"/>
      <c r="F1311" s="128"/>
      <c r="G1311" s="128"/>
      <c r="H1311" s="128"/>
      <c r="I1311" s="129">
        <f>MM!J121</f>
        <v>0</v>
      </c>
      <c r="J1311" s="129"/>
      <c r="K1311" s="129"/>
      <c r="L1311" s="129"/>
      <c r="M1311" s="186"/>
      <c r="N1311" s="186"/>
      <c r="O1311" s="128"/>
      <c r="P1311" s="123" t="str">
        <f t="shared" si="368"/>
        <v/>
      </c>
    </row>
    <row r="1312" spans="1:16" s="114" customFormat="1" ht="15" x14ac:dyDescent="0.25">
      <c r="A1312" s="118"/>
      <c r="B1312" s="117" t="s">
        <v>166</v>
      </c>
      <c r="C1312" s="128"/>
      <c r="D1312" s="128"/>
      <c r="E1312" s="128"/>
      <c r="F1312" s="128"/>
      <c r="G1312" s="128"/>
      <c r="H1312" s="128"/>
      <c r="I1312" s="129">
        <f>MM!J122</f>
        <v>0</v>
      </c>
      <c r="J1312" s="129"/>
      <c r="K1312" s="129"/>
      <c r="L1312" s="129"/>
      <c r="M1312" s="186"/>
      <c r="N1312" s="186"/>
      <c r="O1312" s="128"/>
      <c r="P1312" s="123" t="str">
        <f t="shared" si="368"/>
        <v/>
      </c>
    </row>
    <row r="1313" spans="1:16" x14ac:dyDescent="0.2">
      <c r="A1313" s="119"/>
      <c r="B1313" s="120"/>
      <c r="C1313" s="129"/>
      <c r="D1313" s="129"/>
      <c r="E1313" s="129"/>
      <c r="F1313" s="129"/>
      <c r="G1313" s="129"/>
      <c r="H1313" s="129"/>
      <c r="I1313" s="129">
        <f>MM!J123</f>
        <v>0</v>
      </c>
      <c r="J1313" s="129"/>
      <c r="K1313" s="129"/>
      <c r="L1313" s="129"/>
      <c r="O1313" s="129"/>
      <c r="P1313" s="123" t="str">
        <f t="shared" si="368"/>
        <v/>
      </c>
    </row>
    <row r="1314" spans="1:16" x14ac:dyDescent="0.2">
      <c r="A1314" s="119" t="s">
        <v>633</v>
      </c>
      <c r="B1314" s="120" t="s">
        <v>167</v>
      </c>
      <c r="C1314" s="129">
        <v>112</v>
      </c>
      <c r="D1314" s="129">
        <v>9.32</v>
      </c>
      <c r="E1314" s="129">
        <v>0</v>
      </c>
      <c r="F1314" s="129">
        <v>55.92</v>
      </c>
      <c r="G1314" s="129">
        <v>56.08</v>
      </c>
      <c r="H1314" s="129">
        <v>49.92</v>
      </c>
      <c r="I1314" s="129">
        <f>MM!J124</f>
        <v>0</v>
      </c>
      <c r="J1314" s="129">
        <f>MM!K124</f>
        <v>112</v>
      </c>
      <c r="K1314" s="129">
        <f>MM!L124</f>
        <v>119</v>
      </c>
      <c r="L1314" s="129">
        <f>MM!M124</f>
        <v>127.33</v>
      </c>
      <c r="O1314" s="129">
        <f>MM!N124</f>
        <v>136.2431</v>
      </c>
      <c r="P1314" s="123" t="str">
        <f t="shared" si="368"/>
        <v>130</v>
      </c>
    </row>
    <row r="1315" spans="1:16" x14ac:dyDescent="0.2">
      <c r="A1315" s="119" t="s">
        <v>634</v>
      </c>
      <c r="B1315" s="120" t="s">
        <v>168</v>
      </c>
      <c r="C1315" s="129">
        <v>0</v>
      </c>
      <c r="D1315" s="129">
        <v>3446.4</v>
      </c>
      <c r="E1315" s="129">
        <v>0</v>
      </c>
      <c r="F1315" s="129">
        <v>20678.400000000001</v>
      </c>
      <c r="G1315" s="129">
        <v>-20678.400000000001</v>
      </c>
      <c r="H1315" s="129">
        <v>0</v>
      </c>
      <c r="I1315" s="129">
        <f>MM!J125</f>
        <v>50000</v>
      </c>
      <c r="J1315" s="129">
        <f>MM!K125</f>
        <v>50000</v>
      </c>
      <c r="K1315" s="129">
        <f>MM!L125</f>
        <v>53125</v>
      </c>
      <c r="L1315" s="129">
        <f>MM!M125</f>
        <v>56843.75</v>
      </c>
      <c r="O1315" s="129">
        <f>MM!N125</f>
        <v>60822.8125</v>
      </c>
      <c r="P1315" s="123" t="str">
        <f t="shared" si="368"/>
        <v>130</v>
      </c>
    </row>
    <row r="1316" spans="1:16" x14ac:dyDescent="0.2">
      <c r="A1316" s="119" t="s">
        <v>635</v>
      </c>
      <c r="B1316" s="120" t="s">
        <v>169</v>
      </c>
      <c r="C1316" s="129">
        <v>125460</v>
      </c>
      <c r="D1316" s="129">
        <v>8718.3700000000008</v>
      </c>
      <c r="E1316" s="129">
        <v>0</v>
      </c>
      <c r="F1316" s="129">
        <v>51697.38</v>
      </c>
      <c r="G1316" s="129">
        <v>73762.62</v>
      </c>
      <c r="H1316" s="129">
        <v>41.2</v>
      </c>
      <c r="I1316" s="129">
        <f>MM!J126</f>
        <v>0</v>
      </c>
      <c r="J1316" s="129">
        <f>MM!K126</f>
        <v>125460</v>
      </c>
      <c r="K1316" s="129">
        <f>MM!L126</f>
        <v>133301.25</v>
      </c>
      <c r="L1316" s="129">
        <f>MM!M126</f>
        <v>142632.33749999999</v>
      </c>
      <c r="O1316" s="129">
        <f>MM!N126</f>
        <v>152616.60112499999</v>
      </c>
      <c r="P1316" s="123" t="str">
        <f t="shared" si="368"/>
        <v>130</v>
      </c>
    </row>
    <row r="1317" spans="1:16" x14ac:dyDescent="0.2">
      <c r="A1317" s="119" t="s">
        <v>636</v>
      </c>
      <c r="B1317" s="120" t="s">
        <v>170</v>
      </c>
      <c r="C1317" s="129">
        <v>1785</v>
      </c>
      <c r="D1317" s="129">
        <v>148.72</v>
      </c>
      <c r="E1317" s="129">
        <v>0</v>
      </c>
      <c r="F1317" s="129">
        <v>892.32</v>
      </c>
      <c r="G1317" s="129">
        <v>892.68</v>
      </c>
      <c r="H1317" s="129">
        <v>49.98</v>
      </c>
      <c r="I1317" s="129">
        <f>MM!J127</f>
        <v>0</v>
      </c>
      <c r="J1317" s="129">
        <f>MM!K127</f>
        <v>1785</v>
      </c>
      <c r="K1317" s="129">
        <f>MM!L127</f>
        <v>1896.5625</v>
      </c>
      <c r="L1317" s="129">
        <f>MM!M127</f>
        <v>2029.3218750000001</v>
      </c>
      <c r="O1317" s="129">
        <f>MM!N127</f>
        <v>2171.37440625</v>
      </c>
      <c r="P1317" s="123" t="str">
        <f t="shared" si="368"/>
        <v>130</v>
      </c>
    </row>
    <row r="1318" spans="1:16" x14ac:dyDescent="0.2">
      <c r="A1318" s="119"/>
      <c r="B1318" s="120"/>
      <c r="C1318" s="129"/>
      <c r="D1318" s="129"/>
      <c r="E1318" s="129"/>
      <c r="F1318" s="129"/>
      <c r="G1318" s="129"/>
      <c r="H1318" s="129"/>
      <c r="I1318" s="129">
        <f>MM!J128</f>
        <v>0</v>
      </c>
      <c r="J1318" s="129"/>
      <c r="K1318" s="129"/>
      <c r="L1318" s="129"/>
      <c r="O1318" s="129"/>
      <c r="P1318" s="123" t="str">
        <f t="shared" si="368"/>
        <v/>
      </c>
    </row>
    <row r="1319" spans="1:16" s="114" customFormat="1" ht="15" x14ac:dyDescent="0.25">
      <c r="A1319" s="118"/>
      <c r="B1319" s="117" t="s">
        <v>171</v>
      </c>
      <c r="C1319" s="128">
        <f>SUM(C1314:C1318)</f>
        <v>127357</v>
      </c>
      <c r="D1319" s="128">
        <f t="shared" ref="D1319:O1319" si="373">SUM(D1314:D1318)</f>
        <v>12322.81</v>
      </c>
      <c r="E1319" s="128">
        <f t="shared" si="373"/>
        <v>0</v>
      </c>
      <c r="F1319" s="128">
        <f t="shared" si="373"/>
        <v>73324.02</v>
      </c>
      <c r="G1319" s="128">
        <f t="shared" si="373"/>
        <v>54032.979999999996</v>
      </c>
      <c r="H1319" s="128">
        <f t="shared" si="373"/>
        <v>141.1</v>
      </c>
      <c r="I1319" s="128">
        <f t="shared" si="373"/>
        <v>50000</v>
      </c>
      <c r="J1319" s="128">
        <f t="shared" si="373"/>
        <v>177357</v>
      </c>
      <c r="K1319" s="128">
        <f t="shared" si="373"/>
        <v>188441.8125</v>
      </c>
      <c r="L1319" s="128">
        <f t="shared" si="373"/>
        <v>201632.73937499998</v>
      </c>
      <c r="M1319" s="128">
        <f t="shared" si="373"/>
        <v>0</v>
      </c>
      <c r="N1319" s="128">
        <f t="shared" si="373"/>
        <v>0</v>
      </c>
      <c r="O1319" s="128">
        <f t="shared" si="373"/>
        <v>215747.03113124997</v>
      </c>
      <c r="P1319" s="123" t="str">
        <f t="shared" si="368"/>
        <v/>
      </c>
    </row>
    <row r="1320" spans="1:16" s="114" customFormat="1" ht="15" x14ac:dyDescent="0.25">
      <c r="A1320" s="118"/>
      <c r="B1320" s="117"/>
      <c r="C1320" s="128"/>
      <c r="D1320" s="128"/>
      <c r="E1320" s="128"/>
      <c r="F1320" s="128"/>
      <c r="G1320" s="128"/>
      <c r="H1320" s="128"/>
      <c r="I1320" s="129">
        <f>MM!J130</f>
        <v>0</v>
      </c>
      <c r="J1320" s="129"/>
      <c r="K1320" s="129"/>
      <c r="L1320" s="129"/>
      <c r="M1320" s="186"/>
      <c r="N1320" s="186"/>
      <c r="O1320" s="128"/>
      <c r="P1320" s="123" t="str">
        <f t="shared" si="368"/>
        <v/>
      </c>
    </row>
    <row r="1321" spans="1:16" s="114" customFormat="1" ht="15" x14ac:dyDescent="0.25">
      <c r="A1321" s="118"/>
      <c r="B1321" s="117" t="s">
        <v>172</v>
      </c>
      <c r="C1321" s="128"/>
      <c r="D1321" s="128"/>
      <c r="E1321" s="128"/>
      <c r="F1321" s="128"/>
      <c r="G1321" s="128"/>
      <c r="H1321" s="128"/>
      <c r="I1321" s="129">
        <f>MM!J131</f>
        <v>0</v>
      </c>
      <c r="J1321" s="129"/>
      <c r="K1321" s="129"/>
      <c r="L1321" s="129"/>
      <c r="M1321" s="186"/>
      <c r="N1321" s="186"/>
      <c r="O1321" s="128"/>
      <c r="P1321" s="123" t="str">
        <f t="shared" si="368"/>
        <v/>
      </c>
    </row>
    <row r="1322" spans="1:16" s="114" customFormat="1" ht="15" x14ac:dyDescent="0.25">
      <c r="A1322" s="118"/>
      <c r="B1322" s="117"/>
      <c r="C1322" s="128"/>
      <c r="D1322" s="128"/>
      <c r="E1322" s="128"/>
      <c r="F1322" s="128"/>
      <c r="G1322" s="128"/>
      <c r="H1322" s="128"/>
      <c r="I1322" s="129">
        <f>MM!J132</f>
        <v>0</v>
      </c>
      <c r="J1322" s="129"/>
      <c r="K1322" s="129"/>
      <c r="L1322" s="129"/>
      <c r="M1322" s="186"/>
      <c r="N1322" s="186"/>
      <c r="O1322" s="128"/>
      <c r="P1322" s="123" t="str">
        <f t="shared" si="368"/>
        <v/>
      </c>
    </row>
    <row r="1323" spans="1:16" x14ac:dyDescent="0.2">
      <c r="A1323" s="119" t="s">
        <v>637</v>
      </c>
      <c r="B1323" s="120" t="s">
        <v>173</v>
      </c>
      <c r="C1323" s="129">
        <v>4563</v>
      </c>
      <c r="D1323" s="129">
        <v>0</v>
      </c>
      <c r="E1323" s="129">
        <v>0</v>
      </c>
      <c r="F1323" s="129">
        <v>0</v>
      </c>
      <c r="G1323" s="129">
        <v>4563</v>
      </c>
      <c r="H1323" s="129">
        <v>0</v>
      </c>
      <c r="I1323" s="129">
        <f>MM!J133</f>
        <v>0</v>
      </c>
      <c r="J1323" s="129">
        <f>MM!K133</f>
        <v>4563</v>
      </c>
      <c r="K1323" s="129">
        <f>MM!L133</f>
        <v>4848.1875</v>
      </c>
      <c r="L1323" s="129">
        <f>MM!M133</f>
        <v>5187.5606250000001</v>
      </c>
      <c r="O1323" s="129">
        <f>MM!N133</f>
        <v>5550.6898687499997</v>
      </c>
      <c r="P1323" s="123" t="str">
        <f t="shared" si="368"/>
        <v>140</v>
      </c>
    </row>
    <row r="1324" spans="1:16" x14ac:dyDescent="0.2">
      <c r="A1324" s="119" t="s">
        <v>638</v>
      </c>
      <c r="B1324" s="120" t="s">
        <v>174</v>
      </c>
      <c r="C1324" s="129">
        <v>7289</v>
      </c>
      <c r="D1324" s="129">
        <v>0</v>
      </c>
      <c r="E1324" s="129">
        <v>0</v>
      </c>
      <c r="F1324" s="129">
        <v>0</v>
      </c>
      <c r="G1324" s="129">
        <v>7289</v>
      </c>
      <c r="H1324" s="129">
        <v>0</v>
      </c>
      <c r="I1324" s="129">
        <f>MM!J134</f>
        <v>0</v>
      </c>
      <c r="J1324" s="129">
        <f>MM!K134</f>
        <v>7289</v>
      </c>
      <c r="K1324" s="129">
        <f>MM!L134</f>
        <v>7744.5625</v>
      </c>
      <c r="L1324" s="129">
        <f>MM!M134</f>
        <v>8286.6818750000002</v>
      </c>
      <c r="O1324" s="129">
        <f>MM!N134</f>
        <v>8866.7496062499995</v>
      </c>
      <c r="P1324" s="123" t="str">
        <f t="shared" si="368"/>
        <v>140</v>
      </c>
    </row>
    <row r="1325" spans="1:16" x14ac:dyDescent="0.2">
      <c r="A1325" s="119" t="s">
        <v>639</v>
      </c>
      <c r="B1325" s="120" t="s">
        <v>175</v>
      </c>
      <c r="C1325" s="129">
        <v>4874</v>
      </c>
      <c r="D1325" s="129">
        <v>0</v>
      </c>
      <c r="E1325" s="129">
        <v>0</v>
      </c>
      <c r="F1325" s="129">
        <v>0</v>
      </c>
      <c r="G1325" s="129">
        <v>4874</v>
      </c>
      <c r="H1325" s="129">
        <v>0</v>
      </c>
      <c r="I1325" s="129">
        <f>MM!J135</f>
        <v>0</v>
      </c>
      <c r="J1325" s="129">
        <f>MM!K135</f>
        <v>4874</v>
      </c>
      <c r="K1325" s="129">
        <f>MM!L135</f>
        <v>5178.625</v>
      </c>
      <c r="L1325" s="129">
        <f>MM!M135</f>
        <v>5541.1287499999999</v>
      </c>
      <c r="O1325" s="129">
        <f>MM!N135</f>
        <v>5929.0077624999994</v>
      </c>
      <c r="P1325" s="123" t="str">
        <f t="shared" si="368"/>
        <v>142</v>
      </c>
    </row>
    <row r="1326" spans="1:16" x14ac:dyDescent="0.2">
      <c r="A1326" s="119"/>
      <c r="B1326" s="120"/>
      <c r="C1326" s="129"/>
      <c r="D1326" s="129"/>
      <c r="E1326" s="129"/>
      <c r="F1326" s="129"/>
      <c r="G1326" s="129"/>
      <c r="H1326" s="129"/>
      <c r="I1326" s="129">
        <f>MM!J136</f>
        <v>0</v>
      </c>
      <c r="J1326" s="129"/>
      <c r="K1326" s="129"/>
      <c r="L1326" s="129"/>
      <c r="O1326" s="129"/>
      <c r="P1326" s="123" t="str">
        <f t="shared" si="368"/>
        <v/>
      </c>
    </row>
    <row r="1327" spans="1:16" s="114" customFormat="1" ht="15" x14ac:dyDescent="0.25">
      <c r="A1327" s="118"/>
      <c r="B1327" s="117" t="s">
        <v>176</v>
      </c>
      <c r="C1327" s="128">
        <f>SUM(C1323:C1326)</f>
        <v>16726</v>
      </c>
      <c r="D1327" s="128">
        <f t="shared" ref="D1327:O1327" si="374">SUM(D1323:D1326)</f>
        <v>0</v>
      </c>
      <c r="E1327" s="128">
        <f t="shared" si="374"/>
        <v>0</v>
      </c>
      <c r="F1327" s="128">
        <f t="shared" si="374"/>
        <v>0</v>
      </c>
      <c r="G1327" s="128">
        <f t="shared" si="374"/>
        <v>16726</v>
      </c>
      <c r="H1327" s="128">
        <f t="shared" si="374"/>
        <v>0</v>
      </c>
      <c r="I1327" s="128">
        <f t="shared" si="374"/>
        <v>0</v>
      </c>
      <c r="J1327" s="128">
        <f t="shared" si="374"/>
        <v>16726</v>
      </c>
      <c r="K1327" s="128">
        <f t="shared" si="374"/>
        <v>17771.375</v>
      </c>
      <c r="L1327" s="128">
        <f t="shared" si="374"/>
        <v>19015.37125</v>
      </c>
      <c r="M1327" s="128">
        <f t="shared" si="374"/>
        <v>0</v>
      </c>
      <c r="N1327" s="128">
        <f t="shared" si="374"/>
        <v>0</v>
      </c>
      <c r="O1327" s="128">
        <f t="shared" si="374"/>
        <v>20346.447237499997</v>
      </c>
      <c r="P1327" s="123" t="str">
        <f t="shared" si="368"/>
        <v/>
      </c>
    </row>
    <row r="1328" spans="1:16" s="114" customFormat="1" ht="15" x14ac:dyDescent="0.25">
      <c r="A1328" s="118"/>
      <c r="B1328" s="117"/>
      <c r="C1328" s="128"/>
      <c r="D1328" s="128"/>
      <c r="E1328" s="128"/>
      <c r="F1328" s="128"/>
      <c r="G1328" s="128"/>
      <c r="H1328" s="128"/>
      <c r="I1328" s="129">
        <f>MM!J138</f>
        <v>0</v>
      </c>
      <c r="J1328" s="129"/>
      <c r="K1328" s="129"/>
      <c r="L1328" s="129"/>
      <c r="M1328" s="186"/>
      <c r="N1328" s="186"/>
      <c r="O1328" s="128"/>
      <c r="P1328" s="123" t="str">
        <f t="shared" si="368"/>
        <v/>
      </c>
    </row>
    <row r="1329" spans="1:16" s="114" customFormat="1" ht="15" x14ac:dyDescent="0.25">
      <c r="A1329" s="118"/>
      <c r="B1329" s="117" t="s">
        <v>177</v>
      </c>
      <c r="C1329" s="128">
        <f>C1310+C1319+C1327</f>
        <v>1013873</v>
      </c>
      <c r="D1329" s="128">
        <f t="shared" ref="D1329:O1329" si="375">D1310+D1319+D1327</f>
        <v>84641.86</v>
      </c>
      <c r="E1329" s="128">
        <f t="shared" si="375"/>
        <v>0</v>
      </c>
      <c r="F1329" s="128">
        <f t="shared" si="375"/>
        <v>507947.56</v>
      </c>
      <c r="G1329" s="128">
        <f t="shared" si="375"/>
        <v>505925.44</v>
      </c>
      <c r="H1329" s="128">
        <f t="shared" si="375"/>
        <v>537.39</v>
      </c>
      <c r="I1329" s="128">
        <f t="shared" si="375"/>
        <v>29953.090000000004</v>
      </c>
      <c r="J1329" s="128">
        <f t="shared" si="375"/>
        <v>1043826.09</v>
      </c>
      <c r="K1329" s="128">
        <f t="shared" si="375"/>
        <v>1109065.2206250001</v>
      </c>
      <c r="L1329" s="128">
        <f t="shared" si="375"/>
        <v>1186699.7860687501</v>
      </c>
      <c r="M1329" s="128">
        <f t="shared" si="375"/>
        <v>0</v>
      </c>
      <c r="N1329" s="128">
        <f t="shared" si="375"/>
        <v>0</v>
      </c>
      <c r="O1329" s="128">
        <f t="shared" si="375"/>
        <v>1269768.7710935622</v>
      </c>
      <c r="P1329" s="123" t="str">
        <f t="shared" si="368"/>
        <v/>
      </c>
    </row>
    <row r="1330" spans="1:16" s="114" customFormat="1" ht="15" x14ac:dyDescent="0.25">
      <c r="A1330" s="118"/>
      <c r="B1330" s="117"/>
      <c r="C1330" s="128"/>
      <c r="D1330" s="128"/>
      <c r="E1330" s="128"/>
      <c r="F1330" s="128"/>
      <c r="G1330" s="128"/>
      <c r="H1330" s="128"/>
      <c r="I1330" s="129">
        <f>MM!J140</f>
        <v>0</v>
      </c>
      <c r="J1330" s="129"/>
      <c r="K1330" s="129"/>
      <c r="L1330" s="129"/>
      <c r="M1330" s="186"/>
      <c r="N1330" s="186"/>
      <c r="O1330" s="128"/>
      <c r="P1330" s="123" t="str">
        <f t="shared" si="368"/>
        <v/>
      </c>
    </row>
    <row r="1331" spans="1:16" s="114" customFormat="1" ht="15" x14ac:dyDescent="0.25">
      <c r="A1331" s="118"/>
      <c r="B1331" s="117" t="s">
        <v>178</v>
      </c>
      <c r="C1331" s="128">
        <f>C1329</f>
        <v>1013873</v>
      </c>
      <c r="D1331" s="128">
        <f t="shared" ref="D1331:O1331" si="376">D1329</f>
        <v>84641.86</v>
      </c>
      <c r="E1331" s="128">
        <f t="shared" si="376"/>
        <v>0</v>
      </c>
      <c r="F1331" s="128">
        <f t="shared" si="376"/>
        <v>507947.56</v>
      </c>
      <c r="G1331" s="128">
        <f t="shared" si="376"/>
        <v>505925.44</v>
      </c>
      <c r="H1331" s="128">
        <f t="shared" si="376"/>
        <v>537.39</v>
      </c>
      <c r="I1331" s="128">
        <f t="shared" si="376"/>
        <v>29953.090000000004</v>
      </c>
      <c r="J1331" s="128">
        <f t="shared" si="376"/>
        <v>1043826.09</v>
      </c>
      <c r="K1331" s="128">
        <f t="shared" si="376"/>
        <v>1109065.2206250001</v>
      </c>
      <c r="L1331" s="128">
        <f t="shared" si="376"/>
        <v>1186699.7860687501</v>
      </c>
      <c r="M1331" s="128">
        <f t="shared" si="376"/>
        <v>0</v>
      </c>
      <c r="N1331" s="128">
        <f t="shared" si="376"/>
        <v>0</v>
      </c>
      <c r="O1331" s="128">
        <f t="shared" si="376"/>
        <v>1269768.7710935622</v>
      </c>
      <c r="P1331" s="123" t="str">
        <f t="shared" si="368"/>
        <v/>
      </c>
    </row>
    <row r="1332" spans="1:16" s="114" customFormat="1" ht="15" x14ac:dyDescent="0.25">
      <c r="A1332" s="118"/>
      <c r="B1332" s="117"/>
      <c r="C1332" s="128"/>
      <c r="D1332" s="128"/>
      <c r="E1332" s="128"/>
      <c r="F1332" s="128"/>
      <c r="G1332" s="128"/>
      <c r="H1332" s="128"/>
      <c r="I1332" s="129">
        <f>MM!J142</f>
        <v>0</v>
      </c>
      <c r="J1332" s="129"/>
      <c r="K1332" s="129"/>
      <c r="L1332" s="129"/>
      <c r="M1332" s="186"/>
      <c r="N1332" s="186"/>
      <c r="O1332" s="128"/>
      <c r="P1332" s="123" t="str">
        <f t="shared" si="368"/>
        <v/>
      </c>
    </row>
    <row r="1333" spans="1:16" s="114" customFormat="1" ht="15" x14ac:dyDescent="0.25">
      <c r="A1333" s="118"/>
      <c r="B1333" s="117" t="s">
        <v>208</v>
      </c>
      <c r="C1333" s="128"/>
      <c r="D1333" s="128"/>
      <c r="E1333" s="128"/>
      <c r="F1333" s="128"/>
      <c r="G1333" s="128"/>
      <c r="H1333" s="128"/>
      <c r="I1333" s="129">
        <f>MM!J143</f>
        <v>0</v>
      </c>
      <c r="J1333" s="129"/>
      <c r="K1333" s="129"/>
      <c r="L1333" s="129"/>
      <c r="M1333" s="186"/>
      <c r="N1333" s="186"/>
      <c r="O1333" s="128"/>
      <c r="P1333" s="123" t="str">
        <f t="shared" si="368"/>
        <v/>
      </c>
    </row>
    <row r="1334" spans="1:16" s="114" customFormat="1" ht="15" x14ac:dyDescent="0.25">
      <c r="A1334" s="118"/>
      <c r="B1334" s="117"/>
      <c r="C1334" s="128"/>
      <c r="D1334" s="128"/>
      <c r="E1334" s="128"/>
      <c r="F1334" s="128"/>
      <c r="G1334" s="128"/>
      <c r="H1334" s="128"/>
      <c r="I1334" s="129">
        <f>MM!J144</f>
        <v>0</v>
      </c>
      <c r="J1334" s="129"/>
      <c r="K1334" s="129"/>
      <c r="L1334" s="129"/>
      <c r="M1334" s="186"/>
      <c r="N1334" s="186"/>
      <c r="O1334" s="128"/>
      <c r="P1334" s="123" t="str">
        <f t="shared" si="368"/>
        <v/>
      </c>
    </row>
    <row r="1335" spans="1:16" s="114" customFormat="1" ht="15" x14ac:dyDescent="0.25">
      <c r="A1335" s="118"/>
      <c r="B1335" s="117" t="s">
        <v>209</v>
      </c>
      <c r="C1335" s="128"/>
      <c r="D1335" s="128"/>
      <c r="E1335" s="128"/>
      <c r="F1335" s="128"/>
      <c r="G1335" s="128"/>
      <c r="H1335" s="128"/>
      <c r="I1335" s="129">
        <f>MM!J145</f>
        <v>0</v>
      </c>
      <c r="J1335" s="129"/>
      <c r="K1335" s="129"/>
      <c r="L1335" s="129"/>
      <c r="M1335" s="186"/>
      <c r="N1335" s="186"/>
      <c r="O1335" s="128"/>
      <c r="P1335" s="123" t="str">
        <f t="shared" si="368"/>
        <v/>
      </c>
    </row>
    <row r="1336" spans="1:16" s="114" customFormat="1" ht="15" x14ac:dyDescent="0.25">
      <c r="A1336" s="118"/>
      <c r="B1336" s="117"/>
      <c r="C1336" s="128"/>
      <c r="D1336" s="128"/>
      <c r="E1336" s="128"/>
      <c r="F1336" s="128"/>
      <c r="G1336" s="128"/>
      <c r="H1336" s="128"/>
      <c r="I1336" s="129">
        <f>MM!J146</f>
        <v>0</v>
      </c>
      <c r="J1336" s="129"/>
      <c r="K1336" s="129"/>
      <c r="L1336" s="129"/>
      <c r="M1336" s="186"/>
      <c r="N1336" s="186"/>
      <c r="O1336" s="128"/>
      <c r="P1336" s="123" t="str">
        <f t="shared" si="368"/>
        <v/>
      </c>
    </row>
    <row r="1337" spans="1:16" x14ac:dyDescent="0.2">
      <c r="A1337" s="119" t="s">
        <v>640</v>
      </c>
      <c r="B1337" s="120" t="s">
        <v>212</v>
      </c>
      <c r="C1337" s="129">
        <v>300000</v>
      </c>
      <c r="D1337" s="129">
        <v>0</v>
      </c>
      <c r="E1337" s="129">
        <v>0</v>
      </c>
      <c r="F1337" s="129">
        <v>108913.5</v>
      </c>
      <c r="G1337" s="129">
        <v>191086.5</v>
      </c>
      <c r="H1337" s="129">
        <v>36.299999999999997</v>
      </c>
      <c r="I1337" s="129">
        <f>MM!J147</f>
        <v>0</v>
      </c>
      <c r="J1337" s="129">
        <f>MM!K147</f>
        <v>300000</v>
      </c>
      <c r="K1337" s="129">
        <f>MM!L147</f>
        <v>313500</v>
      </c>
      <c r="L1337" s="129">
        <f>MM!M147</f>
        <v>327921</v>
      </c>
      <c r="O1337" s="129">
        <f>MM!N147</f>
        <v>343005.36599999998</v>
      </c>
      <c r="P1337" s="123" t="str">
        <f t="shared" si="368"/>
        <v>260</v>
      </c>
    </row>
    <row r="1338" spans="1:16" x14ac:dyDescent="0.2">
      <c r="A1338" s="119"/>
      <c r="B1338" s="120"/>
      <c r="C1338" s="129"/>
      <c r="D1338" s="129"/>
      <c r="E1338" s="129"/>
      <c r="F1338" s="129"/>
      <c r="G1338" s="129"/>
      <c r="H1338" s="129"/>
      <c r="I1338" s="129">
        <f>MM!J148</f>
        <v>0</v>
      </c>
      <c r="J1338" s="129"/>
      <c r="K1338" s="129"/>
      <c r="L1338" s="129"/>
      <c r="O1338" s="129"/>
      <c r="P1338" s="123" t="str">
        <f t="shared" si="368"/>
        <v/>
      </c>
    </row>
    <row r="1339" spans="1:16" s="114" customFormat="1" ht="15" x14ac:dyDescent="0.25">
      <c r="A1339" s="118"/>
      <c r="B1339" s="117" t="s">
        <v>217</v>
      </c>
      <c r="C1339" s="128">
        <f>SUM(C1337:C1338)</f>
        <v>300000</v>
      </c>
      <c r="D1339" s="128">
        <f t="shared" ref="D1339:O1339" si="377">SUM(D1337:D1338)</f>
        <v>0</v>
      </c>
      <c r="E1339" s="128">
        <f t="shared" si="377"/>
        <v>0</v>
      </c>
      <c r="F1339" s="128">
        <f t="shared" si="377"/>
        <v>108913.5</v>
      </c>
      <c r="G1339" s="128">
        <f t="shared" si="377"/>
        <v>191086.5</v>
      </c>
      <c r="H1339" s="128">
        <f t="shared" si="377"/>
        <v>36.299999999999997</v>
      </c>
      <c r="I1339" s="128">
        <f t="shared" si="377"/>
        <v>0</v>
      </c>
      <c r="J1339" s="128">
        <f t="shared" si="377"/>
        <v>300000</v>
      </c>
      <c r="K1339" s="128">
        <f t="shared" si="377"/>
        <v>313500</v>
      </c>
      <c r="L1339" s="128">
        <f t="shared" si="377"/>
        <v>327921</v>
      </c>
      <c r="M1339" s="128">
        <f t="shared" si="377"/>
        <v>0</v>
      </c>
      <c r="N1339" s="128">
        <f t="shared" si="377"/>
        <v>0</v>
      </c>
      <c r="O1339" s="128">
        <f t="shared" si="377"/>
        <v>343005.36599999998</v>
      </c>
      <c r="P1339" s="123" t="str">
        <f t="shared" si="368"/>
        <v/>
      </c>
    </row>
    <row r="1340" spans="1:16" s="114" customFormat="1" ht="15" x14ac:dyDescent="0.25">
      <c r="A1340" s="118"/>
      <c r="B1340" s="117"/>
      <c r="C1340" s="128"/>
      <c r="D1340" s="128"/>
      <c r="E1340" s="128"/>
      <c r="F1340" s="128"/>
      <c r="G1340" s="128"/>
      <c r="H1340" s="128"/>
      <c r="I1340" s="129">
        <f>MM!J150</f>
        <v>0</v>
      </c>
      <c r="J1340" s="129"/>
      <c r="K1340" s="129"/>
      <c r="L1340" s="129"/>
      <c r="M1340" s="186"/>
      <c r="N1340" s="186"/>
      <c r="O1340" s="128"/>
      <c r="P1340" s="123" t="str">
        <f t="shared" si="368"/>
        <v/>
      </c>
    </row>
    <row r="1341" spans="1:16" s="114" customFormat="1" ht="15" x14ac:dyDescent="0.25">
      <c r="A1341" s="118"/>
      <c r="B1341" s="117" t="s">
        <v>218</v>
      </c>
      <c r="C1341" s="128"/>
      <c r="D1341" s="128"/>
      <c r="E1341" s="128"/>
      <c r="F1341" s="128"/>
      <c r="G1341" s="128"/>
      <c r="H1341" s="128"/>
      <c r="I1341" s="129">
        <f>MM!J151</f>
        <v>0</v>
      </c>
      <c r="J1341" s="129"/>
      <c r="K1341" s="129"/>
      <c r="L1341" s="129"/>
      <c r="M1341" s="186"/>
      <c r="N1341" s="186"/>
      <c r="O1341" s="128"/>
      <c r="P1341" s="123" t="str">
        <f t="shared" si="368"/>
        <v/>
      </c>
    </row>
    <row r="1342" spans="1:16" s="114" customFormat="1" ht="15" x14ac:dyDescent="0.25">
      <c r="A1342" s="118"/>
      <c r="B1342" s="117"/>
      <c r="C1342" s="128"/>
      <c r="D1342" s="128"/>
      <c r="E1342" s="128"/>
      <c r="F1342" s="128"/>
      <c r="G1342" s="128"/>
      <c r="H1342" s="128"/>
      <c r="I1342" s="129">
        <f>MM!J152</f>
        <v>0</v>
      </c>
      <c r="J1342" s="129"/>
      <c r="K1342" s="129"/>
      <c r="L1342" s="129"/>
      <c r="M1342" s="186"/>
      <c r="N1342" s="186"/>
      <c r="O1342" s="128"/>
      <c r="P1342" s="123" t="str">
        <f t="shared" si="368"/>
        <v/>
      </c>
    </row>
    <row r="1343" spans="1:16" x14ac:dyDescent="0.2">
      <c r="A1343" s="119" t="s">
        <v>641</v>
      </c>
      <c r="B1343" s="120" t="s">
        <v>226</v>
      </c>
      <c r="C1343" s="129">
        <v>1200000</v>
      </c>
      <c r="D1343" s="129">
        <v>212960.86</v>
      </c>
      <c r="E1343" s="129">
        <v>0</v>
      </c>
      <c r="F1343" s="129">
        <v>300304.96999999997</v>
      </c>
      <c r="G1343" s="129">
        <v>899695.03</v>
      </c>
      <c r="H1343" s="129">
        <v>25.02</v>
      </c>
      <c r="I1343" s="129">
        <f>MM!J153</f>
        <v>0</v>
      </c>
      <c r="J1343" s="129">
        <f>MM!K153</f>
        <v>1200000</v>
      </c>
      <c r="K1343" s="129">
        <f>MM!L153</f>
        <v>1254000</v>
      </c>
      <c r="L1343" s="129">
        <f>MM!M153</f>
        <v>1311684</v>
      </c>
      <c r="O1343" s="129">
        <f>MM!N153</f>
        <v>1372021.4639999999</v>
      </c>
      <c r="P1343" s="123" t="str">
        <f t="shared" si="368"/>
        <v>273</v>
      </c>
    </row>
    <row r="1344" spans="1:16" x14ac:dyDescent="0.2">
      <c r="A1344" s="119"/>
      <c r="B1344" s="120"/>
      <c r="C1344" s="129"/>
      <c r="D1344" s="129"/>
      <c r="E1344" s="129"/>
      <c r="F1344" s="129"/>
      <c r="G1344" s="129"/>
      <c r="H1344" s="129"/>
      <c r="I1344" s="129">
        <f>MM!J154</f>
        <v>0</v>
      </c>
      <c r="J1344" s="129"/>
      <c r="K1344" s="129"/>
      <c r="L1344" s="129"/>
      <c r="O1344" s="129"/>
      <c r="P1344" s="123" t="str">
        <f t="shared" si="368"/>
        <v/>
      </c>
    </row>
    <row r="1345" spans="1:16" s="114" customFormat="1" ht="15" x14ac:dyDescent="0.25">
      <c r="A1345" s="118"/>
      <c r="B1345" s="117" t="s">
        <v>227</v>
      </c>
      <c r="C1345" s="128">
        <f>SUM(C1343:C1344)</f>
        <v>1200000</v>
      </c>
      <c r="D1345" s="128">
        <f t="shared" ref="D1345:O1345" si="378">SUM(D1343:D1344)</f>
        <v>212960.86</v>
      </c>
      <c r="E1345" s="128">
        <f t="shared" si="378"/>
        <v>0</v>
      </c>
      <c r="F1345" s="128">
        <f t="shared" si="378"/>
        <v>300304.96999999997</v>
      </c>
      <c r="G1345" s="128">
        <f t="shared" si="378"/>
        <v>899695.03</v>
      </c>
      <c r="H1345" s="128">
        <f t="shared" si="378"/>
        <v>25.02</v>
      </c>
      <c r="I1345" s="128">
        <f t="shared" si="378"/>
        <v>0</v>
      </c>
      <c r="J1345" s="128">
        <f t="shared" si="378"/>
        <v>1200000</v>
      </c>
      <c r="K1345" s="128">
        <f t="shared" si="378"/>
        <v>1254000</v>
      </c>
      <c r="L1345" s="128">
        <f t="shared" si="378"/>
        <v>1311684</v>
      </c>
      <c r="M1345" s="128">
        <f t="shared" si="378"/>
        <v>0</v>
      </c>
      <c r="N1345" s="128">
        <f t="shared" si="378"/>
        <v>0</v>
      </c>
      <c r="O1345" s="128">
        <f t="shared" si="378"/>
        <v>1372021.4639999999</v>
      </c>
      <c r="P1345" s="123" t="str">
        <f t="shared" si="368"/>
        <v/>
      </c>
    </row>
    <row r="1346" spans="1:16" x14ac:dyDescent="0.2">
      <c r="A1346" s="119"/>
      <c r="B1346" s="120"/>
      <c r="C1346" s="129"/>
      <c r="D1346" s="129"/>
      <c r="E1346" s="129"/>
      <c r="F1346" s="129"/>
      <c r="G1346" s="129"/>
      <c r="H1346" s="129"/>
      <c r="I1346" s="129">
        <f>MM!J156</f>
        <v>0</v>
      </c>
      <c r="J1346" s="129"/>
      <c r="K1346" s="129"/>
      <c r="L1346" s="129"/>
      <c r="O1346" s="129"/>
      <c r="P1346" s="123" t="str">
        <f t="shared" si="368"/>
        <v/>
      </c>
    </row>
    <row r="1347" spans="1:16" s="114" customFormat="1" ht="15" x14ac:dyDescent="0.25">
      <c r="A1347" s="118"/>
      <c r="B1347" s="117" t="s">
        <v>240</v>
      </c>
      <c r="C1347" s="128">
        <f>C1339+C1345</f>
        <v>1500000</v>
      </c>
      <c r="D1347" s="128">
        <f t="shared" ref="D1347:O1347" si="379">D1339+D1345</f>
        <v>212960.86</v>
      </c>
      <c r="E1347" s="128">
        <f t="shared" si="379"/>
        <v>0</v>
      </c>
      <c r="F1347" s="128">
        <f t="shared" si="379"/>
        <v>409218.47</v>
      </c>
      <c r="G1347" s="128">
        <f t="shared" si="379"/>
        <v>1090781.53</v>
      </c>
      <c r="H1347" s="128">
        <f t="shared" si="379"/>
        <v>61.319999999999993</v>
      </c>
      <c r="I1347" s="128">
        <f t="shared" si="379"/>
        <v>0</v>
      </c>
      <c r="J1347" s="128">
        <f t="shared" si="379"/>
        <v>1500000</v>
      </c>
      <c r="K1347" s="128">
        <f t="shared" si="379"/>
        <v>1567500</v>
      </c>
      <c r="L1347" s="128">
        <f t="shared" si="379"/>
        <v>1639605</v>
      </c>
      <c r="M1347" s="128">
        <f t="shared" si="379"/>
        <v>0</v>
      </c>
      <c r="N1347" s="128">
        <f t="shared" si="379"/>
        <v>0</v>
      </c>
      <c r="O1347" s="128">
        <f t="shared" si="379"/>
        <v>1715026.8299999998</v>
      </c>
      <c r="P1347" s="123" t="str">
        <f t="shared" si="368"/>
        <v/>
      </c>
    </row>
    <row r="1348" spans="1:16" s="114" customFormat="1" ht="15" x14ac:dyDescent="0.25">
      <c r="A1348" s="118"/>
      <c r="B1348" s="117"/>
      <c r="C1348" s="128"/>
      <c r="D1348" s="128"/>
      <c r="E1348" s="128"/>
      <c r="F1348" s="128"/>
      <c r="G1348" s="128"/>
      <c r="H1348" s="128"/>
      <c r="I1348" s="129">
        <f>MM!J158</f>
        <v>0</v>
      </c>
      <c r="J1348" s="129"/>
      <c r="K1348" s="129"/>
      <c r="L1348" s="129"/>
      <c r="M1348" s="186"/>
      <c r="N1348" s="186"/>
      <c r="O1348" s="128"/>
      <c r="P1348" s="123" t="str">
        <f t="shared" si="368"/>
        <v/>
      </c>
    </row>
    <row r="1349" spans="1:16" s="114" customFormat="1" ht="15" x14ac:dyDescent="0.25">
      <c r="A1349" s="118"/>
      <c r="B1349" s="117" t="s">
        <v>241</v>
      </c>
      <c r="C1349" s="128"/>
      <c r="D1349" s="128"/>
      <c r="E1349" s="128"/>
      <c r="F1349" s="128"/>
      <c r="G1349" s="128"/>
      <c r="H1349" s="128"/>
      <c r="I1349" s="129">
        <f>MM!J159</f>
        <v>0</v>
      </c>
      <c r="J1349" s="129"/>
      <c r="K1349" s="129"/>
      <c r="L1349" s="129"/>
      <c r="M1349" s="186"/>
      <c r="N1349" s="186"/>
      <c r="O1349" s="128"/>
      <c r="P1349" s="123" t="str">
        <f t="shared" si="368"/>
        <v/>
      </c>
    </row>
    <row r="1350" spans="1:16" x14ac:dyDescent="0.2">
      <c r="A1350" s="119"/>
      <c r="B1350" s="120"/>
      <c r="C1350" s="129"/>
      <c r="D1350" s="129"/>
      <c r="E1350" s="129"/>
      <c r="F1350" s="129"/>
      <c r="G1350" s="129"/>
      <c r="H1350" s="129"/>
      <c r="I1350" s="129">
        <f>MM!J160</f>
        <v>0</v>
      </c>
      <c r="J1350" s="129"/>
      <c r="K1350" s="129"/>
      <c r="L1350" s="129"/>
      <c r="O1350" s="129"/>
      <c r="P1350" s="123" t="str">
        <f t="shared" si="368"/>
        <v/>
      </c>
    </row>
    <row r="1351" spans="1:16" x14ac:dyDescent="0.2">
      <c r="A1351" s="119" t="s">
        <v>642</v>
      </c>
      <c r="B1351" s="120" t="s">
        <v>265</v>
      </c>
      <c r="C1351" s="129">
        <v>0</v>
      </c>
      <c r="D1351" s="129">
        <v>699.01</v>
      </c>
      <c r="E1351" s="129">
        <v>0</v>
      </c>
      <c r="F1351" s="129">
        <v>4197.45</v>
      </c>
      <c r="G1351" s="129">
        <v>-4197.45</v>
      </c>
      <c r="H1351" s="129">
        <v>0</v>
      </c>
      <c r="I1351" s="129">
        <f>MM!J161</f>
        <v>10000</v>
      </c>
      <c r="J1351" s="129">
        <f>MM!K161</f>
        <v>10000</v>
      </c>
      <c r="K1351" s="129">
        <f>MM!L161</f>
        <v>10450</v>
      </c>
      <c r="L1351" s="129">
        <f>MM!M161</f>
        <v>10930.7</v>
      </c>
      <c r="O1351" s="129">
        <f>MM!N161</f>
        <v>11433.512200000001</v>
      </c>
      <c r="P1351" s="123" t="str">
        <f t="shared" ref="P1351:P1414" si="380">MID(A1351,6,3)</f>
        <v>305</v>
      </c>
    </row>
    <row r="1352" spans="1:16" x14ac:dyDescent="0.2">
      <c r="A1352" s="119" t="s">
        <v>643</v>
      </c>
      <c r="B1352" s="120" t="s">
        <v>268</v>
      </c>
      <c r="C1352" s="129">
        <v>0</v>
      </c>
      <c r="D1352" s="129">
        <v>4983.76</v>
      </c>
      <c r="E1352" s="129">
        <v>0</v>
      </c>
      <c r="F1352" s="129">
        <v>9709.7900000000009</v>
      </c>
      <c r="G1352" s="129">
        <v>-9709.7900000000009</v>
      </c>
      <c r="H1352" s="129">
        <v>0</v>
      </c>
      <c r="I1352" s="129">
        <f>MM!J162</f>
        <v>20000</v>
      </c>
      <c r="J1352" s="129">
        <f>MM!K162</f>
        <v>20000</v>
      </c>
      <c r="K1352" s="129">
        <f>MM!L162</f>
        <v>20900</v>
      </c>
      <c r="L1352" s="129">
        <f>MM!M162</f>
        <v>21861.4</v>
      </c>
      <c r="O1352" s="129">
        <f>MM!N162</f>
        <v>22867.024400000002</v>
      </c>
      <c r="P1352" s="123" t="str">
        <f t="shared" si="380"/>
        <v>305</v>
      </c>
    </row>
    <row r="1353" spans="1:16" x14ac:dyDescent="0.2">
      <c r="A1353" s="119"/>
      <c r="B1353" s="120"/>
      <c r="C1353" s="129"/>
      <c r="D1353" s="129"/>
      <c r="E1353" s="129"/>
      <c r="F1353" s="129"/>
      <c r="G1353" s="129"/>
      <c r="H1353" s="129"/>
      <c r="I1353" s="129">
        <f>MM!J163</f>
        <v>0</v>
      </c>
      <c r="J1353" s="129"/>
      <c r="K1353" s="129"/>
      <c r="L1353" s="129"/>
      <c r="O1353" s="129"/>
      <c r="P1353" s="123" t="str">
        <f t="shared" si="380"/>
        <v/>
      </c>
    </row>
    <row r="1354" spans="1:16" s="114" customFormat="1" ht="15" x14ac:dyDescent="0.25">
      <c r="A1354" s="118"/>
      <c r="B1354" s="117" t="s">
        <v>274</v>
      </c>
      <c r="C1354" s="128">
        <f>SUM(C1351:C1353)</f>
        <v>0</v>
      </c>
      <c r="D1354" s="128">
        <f t="shared" ref="D1354:O1354" si="381">SUM(D1351:D1353)</f>
        <v>5682.77</v>
      </c>
      <c r="E1354" s="128">
        <f t="shared" si="381"/>
        <v>0</v>
      </c>
      <c r="F1354" s="128">
        <f t="shared" si="381"/>
        <v>13907.240000000002</v>
      </c>
      <c r="G1354" s="128">
        <f t="shared" si="381"/>
        <v>-13907.240000000002</v>
      </c>
      <c r="H1354" s="128">
        <f t="shared" si="381"/>
        <v>0</v>
      </c>
      <c r="I1354" s="128">
        <f t="shared" si="381"/>
        <v>30000</v>
      </c>
      <c r="J1354" s="128">
        <f t="shared" si="381"/>
        <v>30000</v>
      </c>
      <c r="K1354" s="128">
        <f t="shared" si="381"/>
        <v>31350</v>
      </c>
      <c r="L1354" s="128">
        <f t="shared" si="381"/>
        <v>32792.100000000006</v>
      </c>
      <c r="M1354" s="128">
        <f t="shared" si="381"/>
        <v>0</v>
      </c>
      <c r="N1354" s="128">
        <f t="shared" si="381"/>
        <v>0</v>
      </c>
      <c r="O1354" s="128">
        <f t="shared" si="381"/>
        <v>34300.536600000007</v>
      </c>
      <c r="P1354" s="123" t="str">
        <f t="shared" si="380"/>
        <v/>
      </c>
    </row>
    <row r="1355" spans="1:16" s="114" customFormat="1" ht="15" x14ac:dyDescent="0.25">
      <c r="A1355" s="118"/>
      <c r="B1355" s="117"/>
      <c r="C1355" s="128"/>
      <c r="D1355" s="128"/>
      <c r="E1355" s="128"/>
      <c r="F1355" s="128"/>
      <c r="G1355" s="128"/>
      <c r="H1355" s="128"/>
      <c r="I1355" s="129">
        <f>MM!J165</f>
        <v>0</v>
      </c>
      <c r="J1355" s="129"/>
      <c r="K1355" s="129"/>
      <c r="L1355" s="129"/>
      <c r="M1355" s="186"/>
      <c r="N1355" s="186"/>
      <c r="O1355" s="128"/>
      <c r="P1355" s="123" t="str">
        <f t="shared" si="380"/>
        <v/>
      </c>
    </row>
    <row r="1356" spans="1:16" s="114" customFormat="1" ht="15" x14ac:dyDescent="0.25">
      <c r="A1356" s="118"/>
      <c r="B1356" s="117" t="s">
        <v>305</v>
      </c>
      <c r="C1356" s="128">
        <f>C1331+C1347+C1354</f>
        <v>2513873</v>
      </c>
      <c r="D1356" s="128">
        <f t="shared" ref="D1356:O1356" si="382">D1331+D1347+D1354</f>
        <v>303285.49</v>
      </c>
      <c r="E1356" s="128">
        <f t="shared" si="382"/>
        <v>0</v>
      </c>
      <c r="F1356" s="128">
        <f t="shared" si="382"/>
        <v>931073.27</v>
      </c>
      <c r="G1356" s="128">
        <f t="shared" si="382"/>
        <v>1582799.73</v>
      </c>
      <c r="H1356" s="128">
        <f t="shared" si="382"/>
        <v>598.71</v>
      </c>
      <c r="I1356" s="128">
        <f t="shared" si="382"/>
        <v>59953.090000000004</v>
      </c>
      <c r="J1356" s="128">
        <f t="shared" si="382"/>
        <v>2573826.09</v>
      </c>
      <c r="K1356" s="128">
        <f t="shared" si="382"/>
        <v>2707915.2206250001</v>
      </c>
      <c r="L1356" s="128">
        <f t="shared" si="382"/>
        <v>2859096.8860687502</v>
      </c>
      <c r="M1356" s="128">
        <f t="shared" si="382"/>
        <v>0</v>
      </c>
      <c r="N1356" s="128">
        <f t="shared" si="382"/>
        <v>0</v>
      </c>
      <c r="O1356" s="128">
        <f t="shared" si="382"/>
        <v>3019096.1376935625</v>
      </c>
      <c r="P1356" s="123" t="str">
        <f t="shared" si="380"/>
        <v/>
      </c>
    </row>
    <row r="1357" spans="1:16" x14ac:dyDescent="0.2">
      <c r="A1357" s="119"/>
      <c r="B1357" s="120"/>
      <c r="C1357" s="129"/>
      <c r="D1357" s="129"/>
      <c r="E1357" s="129"/>
      <c r="F1357" s="129"/>
      <c r="G1357" s="129"/>
      <c r="H1357" s="129"/>
      <c r="I1357" s="129">
        <f>MM!J167</f>
        <v>0</v>
      </c>
      <c r="J1357" s="129"/>
      <c r="K1357" s="129"/>
      <c r="L1357" s="129"/>
      <c r="O1357" s="129"/>
      <c r="P1357" s="123" t="str">
        <f t="shared" si="380"/>
        <v/>
      </c>
    </row>
    <row r="1358" spans="1:16" s="114" customFormat="1" ht="15" x14ac:dyDescent="0.25">
      <c r="A1358" s="118"/>
      <c r="B1358" s="117" t="s">
        <v>1325</v>
      </c>
      <c r="C1358" s="128"/>
      <c r="D1358" s="128"/>
      <c r="E1358" s="128"/>
      <c r="F1358" s="128"/>
      <c r="G1358" s="128"/>
      <c r="H1358" s="128"/>
      <c r="I1358" s="129">
        <f>MM!J168</f>
        <v>0</v>
      </c>
      <c r="J1358" s="129"/>
      <c r="K1358" s="129"/>
      <c r="L1358" s="129"/>
      <c r="M1358" s="186"/>
      <c r="N1358" s="186"/>
      <c r="O1358" s="128"/>
      <c r="P1358" s="123" t="str">
        <f t="shared" si="380"/>
        <v/>
      </c>
    </row>
    <row r="1359" spans="1:16" s="114" customFormat="1" ht="15" x14ac:dyDescent="0.25">
      <c r="A1359" s="118"/>
      <c r="B1359" s="117"/>
      <c r="C1359" s="128"/>
      <c r="D1359" s="128"/>
      <c r="E1359" s="128"/>
      <c r="F1359" s="128"/>
      <c r="G1359" s="128"/>
      <c r="H1359" s="128"/>
      <c r="I1359" s="129">
        <f>MM!J169</f>
        <v>0</v>
      </c>
      <c r="J1359" s="129"/>
      <c r="K1359" s="129"/>
      <c r="L1359" s="129"/>
      <c r="M1359" s="186"/>
      <c r="N1359" s="186"/>
      <c r="O1359" s="128"/>
      <c r="P1359" s="123" t="str">
        <f t="shared" si="380"/>
        <v/>
      </c>
    </row>
    <row r="1360" spans="1:16" s="114" customFormat="1" ht="15" x14ac:dyDescent="0.25">
      <c r="A1360" s="118"/>
      <c r="B1360" s="117" t="s">
        <v>96</v>
      </c>
      <c r="C1360" s="128"/>
      <c r="D1360" s="128"/>
      <c r="E1360" s="128"/>
      <c r="F1360" s="128"/>
      <c r="G1360" s="128"/>
      <c r="H1360" s="128"/>
      <c r="I1360" s="129">
        <f>MM!J170</f>
        <v>0</v>
      </c>
      <c r="J1360" s="129"/>
      <c r="K1360" s="129"/>
      <c r="L1360" s="129"/>
      <c r="M1360" s="186"/>
      <c r="N1360" s="186"/>
      <c r="O1360" s="128"/>
      <c r="P1360" s="123" t="str">
        <f t="shared" si="380"/>
        <v/>
      </c>
    </row>
    <row r="1361" spans="1:16" s="114" customFormat="1" ht="15" x14ac:dyDescent="0.25">
      <c r="A1361" s="118"/>
      <c r="B1361" s="117" t="s">
        <v>97</v>
      </c>
      <c r="C1361" s="128"/>
      <c r="D1361" s="128"/>
      <c r="E1361" s="128"/>
      <c r="F1361" s="128"/>
      <c r="G1361" s="128"/>
      <c r="H1361" s="128"/>
      <c r="I1361" s="129">
        <f>MM!J171</f>
        <v>0</v>
      </c>
      <c r="J1361" s="129"/>
      <c r="K1361" s="129"/>
      <c r="L1361" s="129"/>
      <c r="M1361" s="186"/>
      <c r="N1361" s="186"/>
      <c r="O1361" s="128"/>
      <c r="P1361" s="123" t="str">
        <f t="shared" si="380"/>
        <v/>
      </c>
    </row>
    <row r="1362" spans="1:16" s="114" customFormat="1" ht="15" x14ac:dyDescent="0.25">
      <c r="A1362" s="118"/>
      <c r="B1362" s="117" t="s">
        <v>148</v>
      </c>
      <c r="C1362" s="128"/>
      <c r="D1362" s="128"/>
      <c r="E1362" s="128"/>
      <c r="F1362" s="128"/>
      <c r="G1362" s="128"/>
      <c r="H1362" s="128"/>
      <c r="I1362" s="129">
        <f>MM!J172</f>
        <v>0</v>
      </c>
      <c r="J1362" s="129"/>
      <c r="K1362" s="129"/>
      <c r="L1362" s="129"/>
      <c r="M1362" s="186"/>
      <c r="N1362" s="186"/>
      <c r="O1362" s="128"/>
      <c r="P1362" s="123" t="str">
        <f t="shared" si="380"/>
        <v/>
      </c>
    </row>
    <row r="1363" spans="1:16" s="114" customFormat="1" ht="15" x14ac:dyDescent="0.25">
      <c r="A1363" s="118"/>
      <c r="B1363" s="117" t="s">
        <v>149</v>
      </c>
      <c r="C1363" s="128"/>
      <c r="D1363" s="128"/>
      <c r="E1363" s="128"/>
      <c r="F1363" s="128"/>
      <c r="G1363" s="128"/>
      <c r="H1363" s="128"/>
      <c r="I1363" s="129">
        <f>MM!J173</f>
        <v>0</v>
      </c>
      <c r="J1363" s="129"/>
      <c r="K1363" s="129"/>
      <c r="L1363" s="129"/>
      <c r="M1363" s="186"/>
      <c r="N1363" s="186"/>
      <c r="O1363" s="128"/>
      <c r="P1363" s="123" t="str">
        <f t="shared" si="380"/>
        <v/>
      </c>
    </row>
    <row r="1364" spans="1:16" x14ac:dyDescent="0.2">
      <c r="A1364" s="119"/>
      <c r="B1364" s="120"/>
      <c r="C1364" s="129"/>
      <c r="D1364" s="129"/>
      <c r="E1364" s="129"/>
      <c r="F1364" s="129"/>
      <c r="G1364" s="129"/>
      <c r="H1364" s="129"/>
      <c r="I1364" s="129">
        <f>MM!J174</f>
        <v>0</v>
      </c>
      <c r="J1364" s="129"/>
      <c r="K1364" s="129"/>
      <c r="L1364" s="129"/>
      <c r="O1364" s="129"/>
      <c r="P1364" s="123" t="str">
        <f t="shared" si="380"/>
        <v/>
      </c>
    </row>
    <row r="1365" spans="1:16" x14ac:dyDescent="0.2">
      <c r="A1365" s="119" t="s">
        <v>644</v>
      </c>
      <c r="B1365" s="120" t="s">
        <v>150</v>
      </c>
      <c r="C1365" s="129">
        <v>390877</v>
      </c>
      <c r="D1365" s="129">
        <v>30142.720000000001</v>
      </c>
      <c r="E1365" s="129">
        <v>0</v>
      </c>
      <c r="F1365" s="129">
        <v>179440.6</v>
      </c>
      <c r="G1365" s="129">
        <v>211436.4</v>
      </c>
      <c r="H1365" s="129">
        <v>45.9</v>
      </c>
      <c r="I1365" s="129">
        <f>MM!J175</f>
        <v>0</v>
      </c>
      <c r="J1365" s="129">
        <f>MM!K175</f>
        <v>390877</v>
      </c>
      <c r="K1365" s="129">
        <f>MM!L175</f>
        <v>415306.8125</v>
      </c>
      <c r="L1365" s="129">
        <f>MM!M175</f>
        <v>444378.28937499999</v>
      </c>
      <c r="O1365" s="129">
        <f>MM!N175</f>
        <v>475484.76963125</v>
      </c>
      <c r="P1365" s="123" t="str">
        <f t="shared" si="380"/>
        <v>110</v>
      </c>
    </row>
    <row r="1366" spans="1:16" x14ac:dyDescent="0.2">
      <c r="A1366" s="119" t="s">
        <v>645</v>
      </c>
      <c r="B1366" s="120" t="s">
        <v>151</v>
      </c>
      <c r="C1366" s="129">
        <v>17744</v>
      </c>
      <c r="D1366" s="129">
        <v>8467.09</v>
      </c>
      <c r="E1366" s="129">
        <v>0</v>
      </c>
      <c r="F1366" s="129">
        <v>37901.949999999997</v>
      </c>
      <c r="G1366" s="129">
        <v>-20157.95</v>
      </c>
      <c r="H1366" s="129">
        <v>213.6</v>
      </c>
      <c r="I1366" s="129">
        <f>MM!J176</f>
        <v>-9276.9100000000035</v>
      </c>
      <c r="J1366" s="129">
        <f>MM!K176</f>
        <v>8467.0899999999965</v>
      </c>
      <c r="K1366" s="129">
        <f>MM!L176</f>
        <v>8996.2831249999963</v>
      </c>
      <c r="L1366" s="129">
        <f>MM!M176</f>
        <v>9626.0229437499966</v>
      </c>
      <c r="O1366" s="129">
        <f>MM!N176</f>
        <v>10299.844549812497</v>
      </c>
      <c r="P1366" s="123" t="str">
        <f t="shared" si="380"/>
        <v>110</v>
      </c>
    </row>
    <row r="1367" spans="1:16" x14ac:dyDescent="0.2">
      <c r="A1367" s="119" t="s">
        <v>646</v>
      </c>
      <c r="B1367" s="120" t="s">
        <v>152</v>
      </c>
      <c r="C1367" s="129">
        <v>14100</v>
      </c>
      <c r="D1367" s="129">
        <v>1172.75</v>
      </c>
      <c r="E1367" s="129">
        <v>0</v>
      </c>
      <c r="F1367" s="129">
        <v>7036.5</v>
      </c>
      <c r="G1367" s="129">
        <v>7063.5</v>
      </c>
      <c r="H1367" s="129">
        <v>49.9</v>
      </c>
      <c r="I1367" s="129">
        <f>MM!J177</f>
        <v>0</v>
      </c>
      <c r="J1367" s="129">
        <f>MM!K177</f>
        <v>14100</v>
      </c>
      <c r="K1367" s="129">
        <f>MM!L177</f>
        <v>14981.25</v>
      </c>
      <c r="L1367" s="129">
        <f>MM!M177</f>
        <v>16029.9375</v>
      </c>
      <c r="O1367" s="129">
        <f>MM!N177</f>
        <v>17152.033125000002</v>
      </c>
      <c r="P1367" s="123" t="str">
        <f t="shared" si="380"/>
        <v>110</v>
      </c>
    </row>
    <row r="1368" spans="1:16" x14ac:dyDescent="0.2">
      <c r="A1368" s="119" t="s">
        <v>647</v>
      </c>
      <c r="B1368" s="120" t="s">
        <v>155</v>
      </c>
      <c r="C1368" s="129">
        <v>11776</v>
      </c>
      <c r="D1368" s="129">
        <v>0</v>
      </c>
      <c r="E1368" s="129">
        <v>0</v>
      </c>
      <c r="F1368" s="129">
        <v>0</v>
      </c>
      <c r="G1368" s="129">
        <v>11776</v>
      </c>
      <c r="H1368" s="129">
        <v>0</v>
      </c>
      <c r="I1368" s="129">
        <f>MM!J178</f>
        <v>0</v>
      </c>
      <c r="J1368" s="129">
        <f>MM!K178</f>
        <v>11776</v>
      </c>
      <c r="K1368" s="129">
        <f>MM!L178</f>
        <v>12512</v>
      </c>
      <c r="L1368" s="129">
        <f>MM!M178</f>
        <v>13387.84</v>
      </c>
      <c r="O1368" s="129">
        <f>MM!N178</f>
        <v>14324.988800000001</v>
      </c>
      <c r="P1368" s="123" t="str">
        <f t="shared" si="380"/>
        <v>110</v>
      </c>
    </row>
    <row r="1369" spans="1:16" x14ac:dyDescent="0.2">
      <c r="A1369" s="119" t="s">
        <v>648</v>
      </c>
      <c r="B1369" s="120" t="s">
        <v>156</v>
      </c>
      <c r="C1369" s="129">
        <v>88719</v>
      </c>
      <c r="D1369" s="129">
        <v>7535.68</v>
      </c>
      <c r="E1369" s="129">
        <v>0</v>
      </c>
      <c r="F1369" s="129">
        <v>44860.160000000003</v>
      </c>
      <c r="G1369" s="129">
        <v>43858.84</v>
      </c>
      <c r="H1369" s="129">
        <v>50.56</v>
      </c>
      <c r="I1369" s="129">
        <f>MM!J179</f>
        <v>0</v>
      </c>
      <c r="J1369" s="129">
        <f>MM!K179</f>
        <v>88719</v>
      </c>
      <c r="K1369" s="129">
        <f>MM!L179</f>
        <v>94263.9375</v>
      </c>
      <c r="L1369" s="129">
        <f>MM!M179</f>
        <v>100862.41312500001</v>
      </c>
      <c r="O1369" s="129">
        <f>MM!N179</f>
        <v>107922.78204375</v>
      </c>
      <c r="P1369" s="123" t="str">
        <f t="shared" si="380"/>
        <v>110</v>
      </c>
    </row>
    <row r="1370" spans="1:16" x14ac:dyDescent="0.2">
      <c r="A1370" s="119" t="s">
        <v>649</v>
      </c>
      <c r="B1370" s="120" t="s">
        <v>158</v>
      </c>
      <c r="C1370" s="129">
        <v>7098</v>
      </c>
      <c r="D1370" s="129">
        <v>0</v>
      </c>
      <c r="E1370" s="129">
        <v>0</v>
      </c>
      <c r="F1370" s="129">
        <v>0</v>
      </c>
      <c r="G1370" s="129">
        <v>7098</v>
      </c>
      <c r="H1370" s="129">
        <v>0</v>
      </c>
      <c r="I1370" s="129">
        <f>MM!J180</f>
        <v>0</v>
      </c>
      <c r="J1370" s="129">
        <f>MM!K180</f>
        <v>7098</v>
      </c>
      <c r="K1370" s="129">
        <f>MM!L180</f>
        <v>7541.625</v>
      </c>
      <c r="L1370" s="129">
        <f>MM!M180</f>
        <v>8069.5387499999997</v>
      </c>
      <c r="O1370" s="129">
        <f>MM!N180</f>
        <v>8634.4064624999992</v>
      </c>
      <c r="P1370" s="123" t="str">
        <f t="shared" si="380"/>
        <v>110</v>
      </c>
    </row>
    <row r="1371" spans="1:16" x14ac:dyDescent="0.2">
      <c r="A1371" s="119" t="s">
        <v>650</v>
      </c>
      <c r="B1371" s="120" t="s">
        <v>159</v>
      </c>
      <c r="C1371" s="129">
        <v>29573</v>
      </c>
      <c r="D1371" s="129">
        <v>0</v>
      </c>
      <c r="E1371" s="129">
        <v>0</v>
      </c>
      <c r="F1371" s="129">
        <v>0</v>
      </c>
      <c r="G1371" s="129">
        <v>29573</v>
      </c>
      <c r="H1371" s="129">
        <v>0</v>
      </c>
      <c r="I1371" s="129">
        <f>MM!J181</f>
        <v>0</v>
      </c>
      <c r="J1371" s="129">
        <f>MM!K181</f>
        <v>29573</v>
      </c>
      <c r="K1371" s="129">
        <f>MM!L181</f>
        <v>31421.3125</v>
      </c>
      <c r="L1371" s="129">
        <f>MM!M181</f>
        <v>33620.804375</v>
      </c>
      <c r="O1371" s="129">
        <f>MM!N181</f>
        <v>35974.260681250002</v>
      </c>
      <c r="P1371" s="123" t="str">
        <f t="shared" si="380"/>
        <v>110</v>
      </c>
    </row>
    <row r="1372" spans="1:16" x14ac:dyDescent="0.2">
      <c r="A1372" s="119" t="s">
        <v>651</v>
      </c>
      <c r="B1372" s="120" t="s">
        <v>164</v>
      </c>
      <c r="C1372" s="129">
        <v>15692</v>
      </c>
      <c r="D1372" s="129">
        <v>0</v>
      </c>
      <c r="E1372" s="129">
        <v>0</v>
      </c>
      <c r="F1372" s="129">
        <v>0</v>
      </c>
      <c r="G1372" s="129">
        <v>15692</v>
      </c>
      <c r="H1372" s="129">
        <v>0</v>
      </c>
      <c r="I1372" s="129">
        <f>MM!J182</f>
        <v>0</v>
      </c>
      <c r="J1372" s="129">
        <f>MM!K182</f>
        <v>15692</v>
      </c>
      <c r="K1372" s="129">
        <f>MM!L182</f>
        <v>16672.75</v>
      </c>
      <c r="L1372" s="129">
        <f>MM!M182</f>
        <v>17839.842499999999</v>
      </c>
      <c r="O1372" s="129">
        <f>MM!N182</f>
        <v>19088.631474999998</v>
      </c>
      <c r="P1372" s="123" t="str">
        <f t="shared" si="380"/>
        <v>110</v>
      </c>
    </row>
    <row r="1373" spans="1:16" x14ac:dyDescent="0.2">
      <c r="A1373" s="119"/>
      <c r="B1373" s="120"/>
      <c r="C1373" s="129"/>
      <c r="D1373" s="129"/>
      <c r="E1373" s="129"/>
      <c r="F1373" s="129"/>
      <c r="G1373" s="129"/>
      <c r="H1373" s="129"/>
      <c r="I1373" s="129">
        <f>MM!J183</f>
        <v>0</v>
      </c>
      <c r="J1373" s="129"/>
      <c r="K1373" s="129"/>
      <c r="L1373" s="129"/>
      <c r="O1373" s="129"/>
      <c r="P1373" s="123" t="str">
        <f t="shared" si="380"/>
        <v/>
      </c>
    </row>
    <row r="1374" spans="1:16" s="114" customFormat="1" ht="15" x14ac:dyDescent="0.25">
      <c r="A1374" s="118"/>
      <c r="B1374" s="117" t="s">
        <v>165</v>
      </c>
      <c r="C1374" s="128">
        <f>SUM(C1365:C1373)</f>
        <v>575579</v>
      </c>
      <c r="D1374" s="128">
        <f t="shared" ref="D1374:O1374" si="383">SUM(D1365:D1373)</f>
        <v>47318.239999999998</v>
      </c>
      <c r="E1374" s="128">
        <f t="shared" si="383"/>
        <v>0</v>
      </c>
      <c r="F1374" s="128">
        <f t="shared" si="383"/>
        <v>269239.20999999996</v>
      </c>
      <c r="G1374" s="128">
        <f t="shared" si="383"/>
        <v>306339.78999999998</v>
      </c>
      <c r="H1374" s="128">
        <f t="shared" si="383"/>
        <v>359.96</v>
      </c>
      <c r="I1374" s="128">
        <f t="shared" si="383"/>
        <v>-9276.9100000000035</v>
      </c>
      <c r="J1374" s="128">
        <f t="shared" si="383"/>
        <v>566302.09</v>
      </c>
      <c r="K1374" s="128">
        <f t="shared" si="383"/>
        <v>601695.97062500007</v>
      </c>
      <c r="L1374" s="128">
        <f t="shared" si="383"/>
        <v>643814.68856874993</v>
      </c>
      <c r="M1374" s="128">
        <f t="shared" si="383"/>
        <v>0</v>
      </c>
      <c r="N1374" s="128">
        <f t="shared" si="383"/>
        <v>0</v>
      </c>
      <c r="O1374" s="128">
        <f t="shared" si="383"/>
        <v>688881.71676856244</v>
      </c>
      <c r="P1374" s="123" t="str">
        <f t="shared" si="380"/>
        <v/>
      </c>
    </row>
    <row r="1375" spans="1:16" s="114" customFormat="1" ht="15" x14ac:dyDescent="0.25">
      <c r="A1375" s="118"/>
      <c r="B1375" s="117"/>
      <c r="C1375" s="128"/>
      <c r="D1375" s="128"/>
      <c r="E1375" s="128"/>
      <c r="F1375" s="128"/>
      <c r="G1375" s="128"/>
      <c r="H1375" s="128"/>
      <c r="I1375" s="129">
        <f>MM!J185</f>
        <v>0</v>
      </c>
      <c r="J1375" s="129"/>
      <c r="K1375" s="129"/>
      <c r="L1375" s="129"/>
      <c r="M1375" s="186"/>
      <c r="N1375" s="186"/>
      <c r="O1375" s="128"/>
      <c r="P1375" s="123" t="str">
        <f t="shared" si="380"/>
        <v/>
      </c>
    </row>
    <row r="1376" spans="1:16" s="114" customFormat="1" ht="15" x14ac:dyDescent="0.25">
      <c r="A1376" s="118"/>
      <c r="B1376" s="117" t="s">
        <v>166</v>
      </c>
      <c r="C1376" s="128"/>
      <c r="D1376" s="128"/>
      <c r="E1376" s="128"/>
      <c r="F1376" s="128"/>
      <c r="G1376" s="128"/>
      <c r="H1376" s="128"/>
      <c r="I1376" s="129">
        <f>MM!J186</f>
        <v>0</v>
      </c>
      <c r="J1376" s="129"/>
      <c r="K1376" s="129"/>
      <c r="L1376" s="129"/>
      <c r="M1376" s="186"/>
      <c r="N1376" s="186"/>
      <c r="O1376" s="128"/>
      <c r="P1376" s="123" t="str">
        <f t="shared" si="380"/>
        <v/>
      </c>
    </row>
    <row r="1377" spans="1:16" x14ac:dyDescent="0.2">
      <c r="A1377" s="119"/>
      <c r="B1377" s="120"/>
      <c r="C1377" s="129"/>
      <c r="D1377" s="129"/>
      <c r="E1377" s="129"/>
      <c r="F1377" s="129"/>
      <c r="G1377" s="129"/>
      <c r="H1377" s="129"/>
      <c r="I1377" s="129">
        <f>MM!J187</f>
        <v>0</v>
      </c>
      <c r="J1377" s="129"/>
      <c r="K1377" s="129"/>
      <c r="L1377" s="129"/>
      <c r="O1377" s="129"/>
      <c r="P1377" s="123" t="str">
        <f t="shared" si="380"/>
        <v/>
      </c>
    </row>
    <row r="1378" spans="1:16" x14ac:dyDescent="0.2">
      <c r="A1378" s="119" t="s">
        <v>652</v>
      </c>
      <c r="B1378" s="120" t="s">
        <v>167</v>
      </c>
      <c r="C1378" s="129">
        <v>112</v>
      </c>
      <c r="D1378" s="129">
        <v>9.32</v>
      </c>
      <c r="E1378" s="129">
        <v>0</v>
      </c>
      <c r="F1378" s="129">
        <v>55.92</v>
      </c>
      <c r="G1378" s="129">
        <v>56.08</v>
      </c>
      <c r="H1378" s="129">
        <v>49.92</v>
      </c>
      <c r="I1378" s="129">
        <f>MM!J188</f>
        <v>0</v>
      </c>
      <c r="J1378" s="129">
        <f>MM!K188</f>
        <v>112</v>
      </c>
      <c r="K1378" s="129">
        <f>MM!L188</f>
        <v>119</v>
      </c>
      <c r="L1378" s="129">
        <f>MM!M188</f>
        <v>127.33</v>
      </c>
      <c r="O1378" s="129">
        <f>MM!N188</f>
        <v>136.2431</v>
      </c>
      <c r="P1378" s="123" t="str">
        <f t="shared" si="380"/>
        <v>130</v>
      </c>
    </row>
    <row r="1379" spans="1:16" x14ac:dyDescent="0.2">
      <c r="A1379" s="119" t="s">
        <v>653</v>
      </c>
      <c r="B1379" s="120" t="s">
        <v>168</v>
      </c>
      <c r="C1379" s="129">
        <v>53908</v>
      </c>
      <c r="D1379" s="129">
        <v>2759.4</v>
      </c>
      <c r="E1379" s="129">
        <v>0</v>
      </c>
      <c r="F1379" s="129">
        <v>16556.400000000001</v>
      </c>
      <c r="G1379" s="129">
        <v>37351.599999999999</v>
      </c>
      <c r="H1379" s="129">
        <v>30.71</v>
      </c>
      <c r="I1379" s="129">
        <f>MM!J189</f>
        <v>0</v>
      </c>
      <c r="J1379" s="129">
        <f>MM!K189</f>
        <v>53908</v>
      </c>
      <c r="K1379" s="129">
        <f>MM!L189</f>
        <v>57277.25</v>
      </c>
      <c r="L1379" s="129">
        <f>MM!M189</f>
        <v>61286.657500000001</v>
      </c>
      <c r="O1379" s="129">
        <f>MM!N189</f>
        <v>65576.723525000009</v>
      </c>
      <c r="P1379" s="123" t="str">
        <f t="shared" si="380"/>
        <v>130</v>
      </c>
    </row>
    <row r="1380" spans="1:16" x14ac:dyDescent="0.2">
      <c r="A1380" s="119" t="s">
        <v>654</v>
      </c>
      <c r="B1380" s="120" t="s">
        <v>169</v>
      </c>
      <c r="C1380" s="129">
        <v>78073</v>
      </c>
      <c r="D1380" s="129">
        <v>5425.69</v>
      </c>
      <c r="E1380" s="129">
        <v>0</v>
      </c>
      <c r="F1380" s="129">
        <v>32299.3</v>
      </c>
      <c r="G1380" s="129">
        <v>45773.7</v>
      </c>
      <c r="H1380" s="129">
        <v>41.37</v>
      </c>
      <c r="I1380" s="129">
        <f>MM!J190</f>
        <v>0</v>
      </c>
      <c r="J1380" s="129">
        <f>MM!K190</f>
        <v>78073</v>
      </c>
      <c r="K1380" s="129">
        <f>MM!L190</f>
        <v>82952.5625</v>
      </c>
      <c r="L1380" s="129">
        <f>MM!M190</f>
        <v>88759.241875000007</v>
      </c>
      <c r="O1380" s="129">
        <f>MM!N190</f>
        <v>94972.388806250005</v>
      </c>
      <c r="P1380" s="123" t="str">
        <f t="shared" si="380"/>
        <v>130</v>
      </c>
    </row>
    <row r="1381" spans="1:16" x14ac:dyDescent="0.2">
      <c r="A1381" s="119" t="s">
        <v>655</v>
      </c>
      <c r="B1381" s="120" t="s">
        <v>170</v>
      </c>
      <c r="C1381" s="129">
        <v>1785</v>
      </c>
      <c r="D1381" s="129">
        <v>148.72</v>
      </c>
      <c r="E1381" s="129">
        <v>0</v>
      </c>
      <c r="F1381" s="129">
        <v>892.32</v>
      </c>
      <c r="G1381" s="129">
        <v>892.68</v>
      </c>
      <c r="H1381" s="129">
        <v>49.98</v>
      </c>
      <c r="I1381" s="129">
        <f>MM!J191</f>
        <v>0</v>
      </c>
      <c r="J1381" s="129">
        <f>MM!K191</f>
        <v>1785</v>
      </c>
      <c r="K1381" s="129">
        <f>MM!L191</f>
        <v>1896.5625</v>
      </c>
      <c r="L1381" s="129">
        <f>MM!M191</f>
        <v>2029.3218750000001</v>
      </c>
      <c r="O1381" s="129">
        <f>MM!N191</f>
        <v>2171.37440625</v>
      </c>
      <c r="P1381" s="123" t="str">
        <f t="shared" si="380"/>
        <v>130</v>
      </c>
    </row>
    <row r="1382" spans="1:16" x14ac:dyDescent="0.2">
      <c r="A1382" s="119"/>
      <c r="B1382" s="120"/>
      <c r="C1382" s="129"/>
      <c r="D1382" s="129"/>
      <c r="E1382" s="129"/>
      <c r="F1382" s="129"/>
      <c r="G1382" s="129"/>
      <c r="H1382" s="129"/>
      <c r="I1382" s="129">
        <f>MM!J192</f>
        <v>0</v>
      </c>
      <c r="J1382" s="129"/>
      <c r="K1382" s="129"/>
      <c r="L1382" s="129"/>
      <c r="O1382" s="129"/>
      <c r="P1382" s="123" t="str">
        <f t="shared" si="380"/>
        <v/>
      </c>
    </row>
    <row r="1383" spans="1:16" s="114" customFormat="1" ht="15" x14ac:dyDescent="0.25">
      <c r="A1383" s="118"/>
      <c r="B1383" s="117" t="s">
        <v>171</v>
      </c>
      <c r="C1383" s="128">
        <f>SUM(C1378:C1382)</f>
        <v>133878</v>
      </c>
      <c r="D1383" s="128">
        <f t="shared" ref="D1383:O1383" si="384">SUM(D1378:D1382)</f>
        <v>8343.1299999999992</v>
      </c>
      <c r="E1383" s="128">
        <f t="shared" si="384"/>
        <v>0</v>
      </c>
      <c r="F1383" s="128">
        <f t="shared" si="384"/>
        <v>49803.939999999995</v>
      </c>
      <c r="G1383" s="128">
        <f t="shared" si="384"/>
        <v>84074.06</v>
      </c>
      <c r="H1383" s="128">
        <f t="shared" si="384"/>
        <v>171.98</v>
      </c>
      <c r="I1383" s="128">
        <f t="shared" si="384"/>
        <v>0</v>
      </c>
      <c r="J1383" s="128">
        <f t="shared" si="384"/>
        <v>133878</v>
      </c>
      <c r="K1383" s="128">
        <f t="shared" si="384"/>
        <v>142245.375</v>
      </c>
      <c r="L1383" s="128">
        <f t="shared" si="384"/>
        <v>152202.55124999999</v>
      </c>
      <c r="M1383" s="128">
        <f t="shared" si="384"/>
        <v>0</v>
      </c>
      <c r="N1383" s="128">
        <f t="shared" si="384"/>
        <v>0</v>
      </c>
      <c r="O1383" s="128">
        <f t="shared" si="384"/>
        <v>162856.7298375</v>
      </c>
      <c r="P1383" s="123" t="str">
        <f t="shared" si="380"/>
        <v/>
      </c>
    </row>
    <row r="1384" spans="1:16" s="114" customFormat="1" ht="15" x14ac:dyDescent="0.25">
      <c r="A1384" s="118"/>
      <c r="B1384" s="117"/>
      <c r="C1384" s="128"/>
      <c r="D1384" s="128"/>
      <c r="E1384" s="128"/>
      <c r="F1384" s="128"/>
      <c r="G1384" s="128"/>
      <c r="H1384" s="128"/>
      <c r="I1384" s="129">
        <f>MM!J194</f>
        <v>0</v>
      </c>
      <c r="J1384" s="129"/>
      <c r="K1384" s="129"/>
      <c r="L1384" s="129"/>
      <c r="M1384" s="186"/>
      <c r="N1384" s="186"/>
      <c r="O1384" s="128"/>
      <c r="P1384" s="123" t="str">
        <f t="shared" si="380"/>
        <v/>
      </c>
    </row>
    <row r="1385" spans="1:16" s="114" customFormat="1" ht="15" x14ac:dyDescent="0.25">
      <c r="A1385" s="118"/>
      <c r="B1385" s="117" t="s">
        <v>172</v>
      </c>
      <c r="C1385" s="128"/>
      <c r="D1385" s="128"/>
      <c r="E1385" s="128"/>
      <c r="F1385" s="128"/>
      <c r="G1385" s="128"/>
      <c r="H1385" s="128"/>
      <c r="I1385" s="129">
        <f>MM!J195</f>
        <v>0</v>
      </c>
      <c r="J1385" s="129"/>
      <c r="K1385" s="129"/>
      <c r="L1385" s="129"/>
      <c r="M1385" s="186"/>
      <c r="N1385" s="186"/>
      <c r="O1385" s="128"/>
      <c r="P1385" s="123" t="str">
        <f t="shared" si="380"/>
        <v/>
      </c>
    </row>
    <row r="1386" spans="1:16" x14ac:dyDescent="0.2">
      <c r="A1386" s="119"/>
      <c r="B1386" s="120"/>
      <c r="C1386" s="129"/>
      <c r="D1386" s="129"/>
      <c r="E1386" s="129"/>
      <c r="F1386" s="129"/>
      <c r="G1386" s="129"/>
      <c r="H1386" s="129"/>
      <c r="I1386" s="129">
        <f>MM!J196</f>
        <v>0</v>
      </c>
      <c r="J1386" s="129"/>
      <c r="K1386" s="129"/>
      <c r="L1386" s="129"/>
      <c r="O1386" s="129"/>
      <c r="P1386" s="123" t="str">
        <f t="shared" si="380"/>
        <v/>
      </c>
    </row>
    <row r="1387" spans="1:16" x14ac:dyDescent="0.2">
      <c r="A1387" s="119" t="s">
        <v>656</v>
      </c>
      <c r="B1387" s="120" t="s">
        <v>173</v>
      </c>
      <c r="C1387" s="129">
        <v>753</v>
      </c>
      <c r="D1387" s="129">
        <v>0</v>
      </c>
      <c r="E1387" s="129">
        <v>0</v>
      </c>
      <c r="F1387" s="129">
        <v>0</v>
      </c>
      <c r="G1387" s="129">
        <v>753</v>
      </c>
      <c r="H1387" s="129">
        <v>0</v>
      </c>
      <c r="I1387" s="129">
        <f>MM!J197</f>
        <v>0</v>
      </c>
      <c r="J1387" s="129">
        <f>MM!K197</f>
        <v>753</v>
      </c>
      <c r="K1387" s="129">
        <f>MM!L197</f>
        <v>800.0625</v>
      </c>
      <c r="L1387" s="129">
        <f>MM!M197</f>
        <v>856.06687499999998</v>
      </c>
      <c r="O1387" s="129">
        <f>MM!N197</f>
        <v>915.99155625000003</v>
      </c>
      <c r="P1387" s="123" t="str">
        <f t="shared" si="380"/>
        <v>140</v>
      </c>
    </row>
    <row r="1388" spans="1:16" x14ac:dyDescent="0.2">
      <c r="A1388" s="119" t="s">
        <v>657</v>
      </c>
      <c r="B1388" s="120" t="s">
        <v>174</v>
      </c>
      <c r="C1388" s="129">
        <v>398</v>
      </c>
      <c r="D1388" s="129">
        <v>0</v>
      </c>
      <c r="E1388" s="129">
        <v>0</v>
      </c>
      <c r="F1388" s="129">
        <v>0</v>
      </c>
      <c r="G1388" s="129">
        <v>398</v>
      </c>
      <c r="H1388" s="129">
        <v>0</v>
      </c>
      <c r="I1388" s="129">
        <f>MM!J198</f>
        <v>0</v>
      </c>
      <c r="J1388" s="129">
        <f>MM!K198</f>
        <v>398</v>
      </c>
      <c r="K1388" s="129">
        <f>MM!L198</f>
        <v>422.875</v>
      </c>
      <c r="L1388" s="129">
        <f>MM!M198</f>
        <v>452.47624999999999</v>
      </c>
      <c r="O1388" s="129">
        <f>MM!N198</f>
        <v>484.1495875</v>
      </c>
      <c r="P1388" s="123" t="str">
        <f t="shared" si="380"/>
        <v>140</v>
      </c>
    </row>
    <row r="1389" spans="1:16" x14ac:dyDescent="0.2">
      <c r="A1389" s="119" t="s">
        <v>658</v>
      </c>
      <c r="B1389" s="120" t="s">
        <v>175</v>
      </c>
      <c r="C1389" s="129">
        <v>2789</v>
      </c>
      <c r="D1389" s="129">
        <v>0</v>
      </c>
      <c r="E1389" s="129">
        <v>0</v>
      </c>
      <c r="F1389" s="129">
        <v>0</v>
      </c>
      <c r="G1389" s="129">
        <v>2789</v>
      </c>
      <c r="H1389" s="129">
        <v>0</v>
      </c>
      <c r="I1389" s="129">
        <f>MM!J199</f>
        <v>0</v>
      </c>
      <c r="J1389" s="129">
        <f>MM!K199</f>
        <v>2789</v>
      </c>
      <c r="K1389" s="129">
        <f>MM!L199</f>
        <v>2963.3125</v>
      </c>
      <c r="L1389" s="129">
        <f>MM!M199</f>
        <v>3170.7443750000002</v>
      </c>
      <c r="O1389" s="129">
        <f>MM!N199</f>
        <v>3392.69648125</v>
      </c>
      <c r="P1389" s="123" t="str">
        <f t="shared" si="380"/>
        <v>142</v>
      </c>
    </row>
    <row r="1390" spans="1:16" x14ac:dyDescent="0.2">
      <c r="A1390" s="119"/>
      <c r="B1390" s="120"/>
      <c r="C1390" s="129"/>
      <c r="D1390" s="129"/>
      <c r="E1390" s="129"/>
      <c r="F1390" s="129"/>
      <c r="G1390" s="129"/>
      <c r="H1390" s="129"/>
      <c r="I1390" s="129">
        <f>MM!J200</f>
        <v>0</v>
      </c>
      <c r="J1390" s="129"/>
      <c r="K1390" s="129"/>
      <c r="L1390" s="129"/>
      <c r="O1390" s="129"/>
      <c r="P1390" s="123" t="str">
        <f t="shared" si="380"/>
        <v/>
      </c>
    </row>
    <row r="1391" spans="1:16" s="114" customFormat="1" ht="15" x14ac:dyDescent="0.25">
      <c r="A1391" s="118"/>
      <c r="B1391" s="117" t="s">
        <v>176</v>
      </c>
      <c r="C1391" s="128">
        <f>SUM(C1387:C1390)</f>
        <v>3940</v>
      </c>
      <c r="D1391" s="128">
        <f t="shared" ref="D1391:O1391" si="385">SUM(D1387:D1390)</f>
        <v>0</v>
      </c>
      <c r="E1391" s="128">
        <f t="shared" si="385"/>
        <v>0</v>
      </c>
      <c r="F1391" s="128">
        <f t="shared" si="385"/>
        <v>0</v>
      </c>
      <c r="G1391" s="128">
        <f t="shared" si="385"/>
        <v>3940</v>
      </c>
      <c r="H1391" s="128">
        <f t="shared" si="385"/>
        <v>0</v>
      </c>
      <c r="I1391" s="128">
        <f t="shared" si="385"/>
        <v>0</v>
      </c>
      <c r="J1391" s="128">
        <f t="shared" si="385"/>
        <v>3940</v>
      </c>
      <c r="K1391" s="128">
        <f t="shared" si="385"/>
        <v>4186.25</v>
      </c>
      <c r="L1391" s="128">
        <f t="shared" si="385"/>
        <v>4479.2875000000004</v>
      </c>
      <c r="M1391" s="128">
        <f t="shared" si="385"/>
        <v>0</v>
      </c>
      <c r="N1391" s="128">
        <f t="shared" si="385"/>
        <v>0</v>
      </c>
      <c r="O1391" s="128">
        <f t="shared" si="385"/>
        <v>4792.8376250000001</v>
      </c>
      <c r="P1391" s="123" t="str">
        <f t="shared" si="380"/>
        <v/>
      </c>
    </row>
    <row r="1392" spans="1:16" s="114" customFormat="1" ht="15" x14ac:dyDescent="0.25">
      <c r="A1392" s="118"/>
      <c r="B1392" s="117"/>
      <c r="C1392" s="128"/>
      <c r="D1392" s="128"/>
      <c r="E1392" s="128"/>
      <c r="F1392" s="128"/>
      <c r="G1392" s="128"/>
      <c r="H1392" s="128"/>
      <c r="I1392" s="129">
        <f>MM!J202</f>
        <v>0</v>
      </c>
      <c r="J1392" s="129"/>
      <c r="K1392" s="129"/>
      <c r="L1392" s="129"/>
      <c r="M1392" s="186"/>
      <c r="N1392" s="186"/>
      <c r="O1392" s="128"/>
      <c r="P1392" s="123" t="str">
        <f t="shared" si="380"/>
        <v/>
      </c>
    </row>
    <row r="1393" spans="1:16" s="114" customFormat="1" ht="15" x14ac:dyDescent="0.25">
      <c r="A1393" s="118"/>
      <c r="B1393" s="117" t="s">
        <v>177</v>
      </c>
      <c r="C1393" s="128">
        <f>C1374+C1383+C1391</f>
        <v>713397</v>
      </c>
      <c r="D1393" s="128">
        <f t="shared" ref="D1393:O1393" si="386">D1374+D1383+D1391</f>
        <v>55661.369999999995</v>
      </c>
      <c r="E1393" s="128">
        <f t="shared" si="386"/>
        <v>0</v>
      </c>
      <c r="F1393" s="128">
        <f t="shared" si="386"/>
        <v>319043.14999999997</v>
      </c>
      <c r="G1393" s="128">
        <f t="shared" si="386"/>
        <v>394353.85</v>
      </c>
      <c r="H1393" s="128">
        <f t="shared" si="386"/>
        <v>531.93999999999994</v>
      </c>
      <c r="I1393" s="128">
        <f t="shared" si="386"/>
        <v>-9276.9100000000035</v>
      </c>
      <c r="J1393" s="128">
        <f t="shared" si="386"/>
        <v>704120.09</v>
      </c>
      <c r="K1393" s="128">
        <f t="shared" si="386"/>
        <v>748127.59562500007</v>
      </c>
      <c r="L1393" s="128">
        <f t="shared" si="386"/>
        <v>800496.52731874993</v>
      </c>
      <c r="M1393" s="128">
        <f t="shared" si="386"/>
        <v>0</v>
      </c>
      <c r="N1393" s="128">
        <f t="shared" si="386"/>
        <v>0</v>
      </c>
      <c r="O1393" s="128">
        <f t="shared" si="386"/>
        <v>856531.28423106251</v>
      </c>
      <c r="P1393" s="123" t="str">
        <f t="shared" si="380"/>
        <v/>
      </c>
    </row>
    <row r="1394" spans="1:16" s="114" customFormat="1" ht="15" x14ac:dyDescent="0.25">
      <c r="A1394" s="118"/>
      <c r="B1394" s="117"/>
      <c r="C1394" s="128"/>
      <c r="D1394" s="128"/>
      <c r="E1394" s="128"/>
      <c r="F1394" s="128"/>
      <c r="G1394" s="128"/>
      <c r="H1394" s="128"/>
      <c r="I1394" s="129">
        <f>MM!J204</f>
        <v>0</v>
      </c>
      <c r="J1394" s="129"/>
      <c r="K1394" s="129"/>
      <c r="L1394" s="129"/>
      <c r="M1394" s="186"/>
      <c r="N1394" s="186"/>
      <c r="O1394" s="128"/>
      <c r="P1394" s="123" t="str">
        <f t="shared" si="380"/>
        <v/>
      </c>
    </row>
    <row r="1395" spans="1:16" s="114" customFormat="1" ht="15" x14ac:dyDescent="0.25">
      <c r="A1395" s="118"/>
      <c r="B1395" s="117" t="s">
        <v>178</v>
      </c>
      <c r="C1395" s="128">
        <f>C1393</f>
        <v>713397</v>
      </c>
      <c r="D1395" s="128">
        <f t="shared" ref="D1395:O1395" si="387">D1393</f>
        <v>55661.369999999995</v>
      </c>
      <c r="E1395" s="128">
        <f t="shared" si="387"/>
        <v>0</v>
      </c>
      <c r="F1395" s="128">
        <f t="shared" si="387"/>
        <v>319043.14999999997</v>
      </c>
      <c r="G1395" s="128">
        <f t="shared" si="387"/>
        <v>394353.85</v>
      </c>
      <c r="H1395" s="128">
        <f t="shared" si="387"/>
        <v>531.93999999999994</v>
      </c>
      <c r="I1395" s="128">
        <f t="shared" si="387"/>
        <v>-9276.9100000000035</v>
      </c>
      <c r="J1395" s="128">
        <f t="shared" si="387"/>
        <v>704120.09</v>
      </c>
      <c r="K1395" s="128">
        <f t="shared" si="387"/>
        <v>748127.59562500007</v>
      </c>
      <c r="L1395" s="128">
        <f t="shared" si="387"/>
        <v>800496.52731874993</v>
      </c>
      <c r="M1395" s="128">
        <f t="shared" si="387"/>
        <v>0</v>
      </c>
      <c r="N1395" s="128">
        <f t="shared" si="387"/>
        <v>0</v>
      </c>
      <c r="O1395" s="128">
        <f t="shared" si="387"/>
        <v>856531.28423106251</v>
      </c>
      <c r="P1395" s="123" t="str">
        <f t="shared" si="380"/>
        <v/>
      </c>
    </row>
    <row r="1396" spans="1:16" s="114" customFormat="1" ht="15" x14ac:dyDescent="0.25">
      <c r="A1396" s="118"/>
      <c r="B1396" s="117"/>
      <c r="C1396" s="128"/>
      <c r="D1396" s="128"/>
      <c r="E1396" s="128"/>
      <c r="F1396" s="128"/>
      <c r="G1396" s="128"/>
      <c r="H1396" s="128"/>
      <c r="I1396" s="129">
        <f>MM!J206</f>
        <v>0</v>
      </c>
      <c r="J1396" s="129"/>
      <c r="K1396" s="129"/>
      <c r="L1396" s="129"/>
      <c r="M1396" s="186"/>
      <c r="N1396" s="186"/>
      <c r="O1396" s="128"/>
      <c r="P1396" s="123" t="str">
        <f t="shared" si="380"/>
        <v/>
      </c>
    </row>
    <row r="1397" spans="1:16" s="114" customFormat="1" ht="15" x14ac:dyDescent="0.25">
      <c r="A1397" s="118"/>
      <c r="B1397" s="117" t="s">
        <v>241</v>
      </c>
      <c r="C1397" s="128"/>
      <c r="D1397" s="128"/>
      <c r="E1397" s="128"/>
      <c r="F1397" s="128"/>
      <c r="G1397" s="128"/>
      <c r="H1397" s="128"/>
      <c r="I1397" s="129">
        <f>MM!J207</f>
        <v>0</v>
      </c>
      <c r="J1397" s="129"/>
      <c r="K1397" s="129"/>
      <c r="L1397" s="129"/>
      <c r="M1397" s="186"/>
      <c r="N1397" s="186"/>
      <c r="O1397" s="128"/>
      <c r="P1397" s="123" t="str">
        <f t="shared" si="380"/>
        <v/>
      </c>
    </row>
    <row r="1398" spans="1:16" x14ac:dyDescent="0.2">
      <c r="A1398" s="119"/>
      <c r="B1398" s="120"/>
      <c r="C1398" s="129"/>
      <c r="D1398" s="129"/>
      <c r="E1398" s="129"/>
      <c r="F1398" s="129"/>
      <c r="G1398" s="129"/>
      <c r="H1398" s="129"/>
      <c r="I1398" s="129">
        <f>MM!J208</f>
        <v>0</v>
      </c>
      <c r="J1398" s="129"/>
      <c r="K1398" s="129"/>
      <c r="L1398" s="129"/>
      <c r="O1398" s="129"/>
      <c r="P1398" s="123" t="str">
        <f t="shared" si="380"/>
        <v/>
      </c>
    </row>
    <row r="1399" spans="1:16" x14ac:dyDescent="0.2">
      <c r="A1399" s="119" t="s">
        <v>659</v>
      </c>
      <c r="B1399" s="120" t="s">
        <v>242</v>
      </c>
      <c r="C1399" s="129">
        <v>521759</v>
      </c>
      <c r="D1399" s="129">
        <v>157835</v>
      </c>
      <c r="E1399" s="129">
        <v>57769.77</v>
      </c>
      <c r="F1399" s="129">
        <v>195163.8</v>
      </c>
      <c r="G1399" s="129">
        <v>326595.20000000001</v>
      </c>
      <c r="H1399" s="129">
        <v>37.4</v>
      </c>
      <c r="I1399" s="129">
        <f>MM!J209</f>
        <v>21280</v>
      </c>
      <c r="J1399" s="129">
        <f>MM!K209</f>
        <v>543039</v>
      </c>
      <c r="K1399" s="129">
        <f>MM!L209</f>
        <v>553064</v>
      </c>
      <c r="L1399" s="129">
        <f>MM!M209</f>
        <v>582929</v>
      </c>
      <c r="O1399" s="129">
        <f>MM!N209</f>
        <v>620819</v>
      </c>
      <c r="P1399" s="123" t="str">
        <f t="shared" si="380"/>
        <v>300</v>
      </c>
    </row>
    <row r="1400" spans="1:16" x14ac:dyDescent="0.2">
      <c r="A1400" s="119"/>
      <c r="B1400" s="183" t="s">
        <v>3054</v>
      </c>
      <c r="C1400" s="129">
        <f>MM!D210</f>
        <v>0</v>
      </c>
      <c r="D1400" s="129">
        <f>MM!E210</f>
        <v>0</v>
      </c>
      <c r="E1400" s="129">
        <f>MM!F210</f>
        <v>0</v>
      </c>
      <c r="F1400" s="129">
        <f>MM!G210</f>
        <v>0</v>
      </c>
      <c r="G1400" s="129">
        <f>MM!H210</f>
        <v>0</v>
      </c>
      <c r="H1400" s="129">
        <f>MM!I210</f>
        <v>0</v>
      </c>
      <c r="I1400" s="129">
        <f>MM!J210</f>
        <v>0</v>
      </c>
      <c r="J1400" s="129">
        <f>MM!K210</f>
        <v>0</v>
      </c>
      <c r="K1400" s="129">
        <f>MM!L210</f>
        <v>106000</v>
      </c>
      <c r="L1400" s="129">
        <f>MM!M210</f>
        <v>111724</v>
      </c>
      <c r="M1400" s="129">
        <f>MM!N210</f>
        <v>118986</v>
      </c>
      <c r="N1400" s="129">
        <f>MM!O210</f>
        <v>0</v>
      </c>
      <c r="O1400" s="129">
        <f>MM!N210</f>
        <v>118986</v>
      </c>
      <c r="P1400" s="123" t="str">
        <f t="shared" si="380"/>
        <v/>
      </c>
    </row>
    <row r="1401" spans="1:16" x14ac:dyDescent="0.2">
      <c r="A1401" s="119" t="s">
        <v>660</v>
      </c>
      <c r="B1401" s="120" t="s">
        <v>260</v>
      </c>
      <c r="C1401" s="129">
        <v>1101000</v>
      </c>
      <c r="D1401" s="129">
        <v>187687</v>
      </c>
      <c r="E1401" s="129">
        <v>258795.74</v>
      </c>
      <c r="F1401" s="129">
        <v>507187</v>
      </c>
      <c r="G1401" s="129">
        <v>593813</v>
      </c>
      <c r="H1401" s="129">
        <v>46.06</v>
      </c>
      <c r="I1401" s="129">
        <f>MM!J211</f>
        <v>100000</v>
      </c>
      <c r="J1401" s="129">
        <f>MM!K211</f>
        <v>1201000</v>
      </c>
      <c r="K1401" s="129">
        <f>MM!L211</f>
        <v>1167060</v>
      </c>
      <c r="L1401" s="129">
        <f>MM!M211</f>
        <v>1230081</v>
      </c>
      <c r="O1401" s="129">
        <f>MM!N211</f>
        <v>1310000</v>
      </c>
      <c r="P1401" s="123" t="str">
        <f t="shared" si="380"/>
        <v>304</v>
      </c>
    </row>
    <row r="1402" spans="1:16" x14ac:dyDescent="0.2">
      <c r="A1402" s="119" t="s">
        <v>661</v>
      </c>
      <c r="B1402" s="120" t="s">
        <v>265</v>
      </c>
      <c r="C1402" s="129">
        <v>0</v>
      </c>
      <c r="D1402" s="129">
        <v>463.1</v>
      </c>
      <c r="E1402" s="129">
        <v>0</v>
      </c>
      <c r="F1402" s="129">
        <v>2645.89</v>
      </c>
      <c r="G1402" s="129">
        <v>-2645.89</v>
      </c>
      <c r="H1402" s="129">
        <v>0</v>
      </c>
      <c r="I1402" s="129">
        <f>MM!J212</f>
        <v>6000</v>
      </c>
      <c r="J1402" s="129">
        <f>MM!K212</f>
        <v>6000</v>
      </c>
      <c r="K1402" s="129">
        <f>MM!L212</f>
        <v>6270</v>
      </c>
      <c r="L1402" s="129">
        <f>MM!M212</f>
        <v>6558.42</v>
      </c>
      <c r="O1402" s="129">
        <f>MM!N212</f>
        <v>6860.1073200000001</v>
      </c>
      <c r="P1402" s="123" t="str">
        <f t="shared" si="380"/>
        <v>305</v>
      </c>
    </row>
    <row r="1403" spans="1:16" x14ac:dyDescent="0.2">
      <c r="A1403" s="119" t="s">
        <v>662</v>
      </c>
      <c r="B1403" s="120" t="s">
        <v>268</v>
      </c>
      <c r="C1403" s="129">
        <v>0</v>
      </c>
      <c r="D1403" s="129">
        <v>1883.81</v>
      </c>
      <c r="E1403" s="129">
        <v>0</v>
      </c>
      <c r="F1403" s="129">
        <v>17025.11</v>
      </c>
      <c r="G1403" s="129">
        <v>-17025.11</v>
      </c>
      <c r="H1403" s="129">
        <v>0</v>
      </c>
      <c r="I1403" s="129">
        <f>MM!J213</f>
        <v>40000</v>
      </c>
      <c r="J1403" s="129">
        <f>MM!K213</f>
        <v>40000</v>
      </c>
      <c r="K1403" s="129">
        <f>MM!L213</f>
        <v>41800</v>
      </c>
      <c r="L1403" s="129">
        <f>MM!M213</f>
        <v>43722.8</v>
      </c>
      <c r="O1403" s="129">
        <f>MM!N213</f>
        <v>45734.048800000004</v>
      </c>
      <c r="P1403" s="123" t="str">
        <f t="shared" si="380"/>
        <v>305</v>
      </c>
    </row>
    <row r="1404" spans="1:16" x14ac:dyDescent="0.2">
      <c r="A1404" s="119"/>
      <c r="B1404" s="120"/>
      <c r="C1404" s="129"/>
      <c r="D1404" s="129"/>
      <c r="E1404" s="129"/>
      <c r="F1404" s="129"/>
      <c r="G1404" s="129"/>
      <c r="H1404" s="129"/>
      <c r="I1404" s="129">
        <f>MM!J214</f>
        <v>0</v>
      </c>
      <c r="J1404" s="129"/>
      <c r="K1404" s="129"/>
      <c r="L1404" s="129"/>
      <c r="O1404" s="129"/>
      <c r="P1404" s="123" t="str">
        <f t="shared" si="380"/>
        <v/>
      </c>
    </row>
    <row r="1405" spans="1:16" s="114" customFormat="1" ht="15" x14ac:dyDescent="0.25">
      <c r="A1405" s="118"/>
      <c r="B1405" s="117" t="s">
        <v>274</v>
      </c>
      <c r="C1405" s="128">
        <f>SUM(C1399:C1404)</f>
        <v>1622759</v>
      </c>
      <c r="D1405" s="128">
        <f t="shared" ref="D1405:O1405" si="388">SUM(D1399:D1404)</f>
        <v>347868.91</v>
      </c>
      <c r="E1405" s="128">
        <f t="shared" si="388"/>
        <v>316565.51</v>
      </c>
      <c r="F1405" s="128">
        <f t="shared" si="388"/>
        <v>722021.8</v>
      </c>
      <c r="G1405" s="128">
        <f t="shared" si="388"/>
        <v>900737.2</v>
      </c>
      <c r="H1405" s="128">
        <f t="shared" si="388"/>
        <v>83.460000000000008</v>
      </c>
      <c r="I1405" s="128">
        <f t="shared" si="388"/>
        <v>167280</v>
      </c>
      <c r="J1405" s="128">
        <f t="shared" si="388"/>
        <v>1790039</v>
      </c>
      <c r="K1405" s="128">
        <f t="shared" si="388"/>
        <v>1874194</v>
      </c>
      <c r="L1405" s="128">
        <f t="shared" si="388"/>
        <v>1975015.22</v>
      </c>
      <c r="M1405" s="128">
        <f t="shared" si="388"/>
        <v>118986</v>
      </c>
      <c r="N1405" s="128">
        <f t="shared" si="388"/>
        <v>0</v>
      </c>
      <c r="O1405" s="128">
        <f t="shared" si="388"/>
        <v>2102399.1561199999</v>
      </c>
      <c r="P1405" s="123" t="str">
        <f t="shared" si="380"/>
        <v/>
      </c>
    </row>
    <row r="1406" spans="1:16" s="114" customFormat="1" ht="15" x14ac:dyDescent="0.25">
      <c r="A1406" s="118"/>
      <c r="B1406" s="117"/>
      <c r="C1406" s="128"/>
      <c r="D1406" s="128"/>
      <c r="E1406" s="128"/>
      <c r="F1406" s="128"/>
      <c r="G1406" s="128"/>
      <c r="H1406" s="128"/>
      <c r="I1406" s="129">
        <f>MM!J216</f>
        <v>0</v>
      </c>
      <c r="J1406" s="129"/>
      <c r="K1406" s="129"/>
      <c r="L1406" s="129"/>
      <c r="M1406" s="186"/>
      <c r="N1406" s="186"/>
      <c r="O1406" s="128"/>
      <c r="P1406" s="123" t="str">
        <f t="shared" si="380"/>
        <v/>
      </c>
    </row>
    <row r="1407" spans="1:16" s="114" customFormat="1" ht="15" x14ac:dyDescent="0.25">
      <c r="A1407" s="118"/>
      <c r="B1407" s="117" t="s">
        <v>305</v>
      </c>
      <c r="C1407" s="128">
        <f>C1395+C1405</f>
        <v>2336156</v>
      </c>
      <c r="D1407" s="128">
        <f t="shared" ref="D1407:O1407" si="389">D1395+D1405</f>
        <v>403530.27999999997</v>
      </c>
      <c r="E1407" s="128">
        <f t="shared" si="389"/>
        <v>316565.51</v>
      </c>
      <c r="F1407" s="128">
        <f t="shared" si="389"/>
        <v>1041064.95</v>
      </c>
      <c r="G1407" s="128">
        <f t="shared" si="389"/>
        <v>1295091.0499999998</v>
      </c>
      <c r="H1407" s="128">
        <f t="shared" si="389"/>
        <v>615.4</v>
      </c>
      <c r="I1407" s="128">
        <f t="shared" si="389"/>
        <v>158003.09</v>
      </c>
      <c r="J1407" s="128">
        <f t="shared" si="389"/>
        <v>2494159.09</v>
      </c>
      <c r="K1407" s="128">
        <f t="shared" si="389"/>
        <v>2622321.5956250001</v>
      </c>
      <c r="L1407" s="128">
        <f t="shared" si="389"/>
        <v>2775511.7473187498</v>
      </c>
      <c r="M1407" s="128">
        <f t="shared" si="389"/>
        <v>118986</v>
      </c>
      <c r="N1407" s="128">
        <f t="shared" si="389"/>
        <v>0</v>
      </c>
      <c r="O1407" s="128">
        <f t="shared" si="389"/>
        <v>2958930.4403510625</v>
      </c>
      <c r="P1407" s="123" t="str">
        <f t="shared" si="380"/>
        <v/>
      </c>
    </row>
    <row r="1408" spans="1:16" s="114" customFormat="1" ht="15" x14ac:dyDescent="0.25">
      <c r="A1408" s="118"/>
      <c r="B1408" s="117"/>
      <c r="C1408" s="128"/>
      <c r="D1408" s="128"/>
      <c r="E1408" s="128"/>
      <c r="F1408" s="128"/>
      <c r="G1408" s="128"/>
      <c r="H1408" s="128"/>
      <c r="I1408" s="129">
        <f>MM!J218</f>
        <v>0</v>
      </c>
      <c r="J1408" s="129"/>
      <c r="K1408" s="129"/>
      <c r="L1408" s="129"/>
      <c r="M1408" s="186"/>
      <c r="N1408" s="186"/>
      <c r="O1408" s="128"/>
      <c r="P1408" s="123" t="str">
        <f t="shared" si="380"/>
        <v/>
      </c>
    </row>
    <row r="1409" spans="1:16" s="114" customFormat="1" ht="15" x14ac:dyDescent="0.25">
      <c r="A1409" s="118"/>
      <c r="B1409" s="117" t="s">
        <v>306</v>
      </c>
      <c r="C1409" s="128">
        <f>C1407</f>
        <v>2336156</v>
      </c>
      <c r="D1409" s="128">
        <f t="shared" ref="D1409:O1409" si="390">D1407</f>
        <v>403530.27999999997</v>
      </c>
      <c r="E1409" s="128">
        <f t="shared" si="390"/>
        <v>316565.51</v>
      </c>
      <c r="F1409" s="128">
        <f t="shared" si="390"/>
        <v>1041064.95</v>
      </c>
      <c r="G1409" s="128">
        <f t="shared" si="390"/>
        <v>1295091.0499999998</v>
      </c>
      <c r="H1409" s="128">
        <f t="shared" si="390"/>
        <v>615.4</v>
      </c>
      <c r="I1409" s="128">
        <f t="shared" si="390"/>
        <v>158003.09</v>
      </c>
      <c r="J1409" s="128">
        <f t="shared" si="390"/>
        <v>2494159.09</v>
      </c>
      <c r="K1409" s="128">
        <f t="shared" si="390"/>
        <v>2622321.5956250001</v>
      </c>
      <c r="L1409" s="128">
        <f t="shared" si="390"/>
        <v>2775511.7473187498</v>
      </c>
      <c r="M1409" s="128">
        <f t="shared" si="390"/>
        <v>118986</v>
      </c>
      <c r="N1409" s="128">
        <f t="shared" si="390"/>
        <v>0</v>
      </c>
      <c r="O1409" s="128">
        <f t="shared" si="390"/>
        <v>2958930.4403510625</v>
      </c>
      <c r="P1409" s="123" t="str">
        <f t="shared" si="380"/>
        <v/>
      </c>
    </row>
    <row r="1410" spans="1:16" s="114" customFormat="1" ht="15" x14ac:dyDescent="0.25">
      <c r="A1410" s="118"/>
      <c r="B1410" s="117"/>
      <c r="C1410" s="128"/>
      <c r="D1410" s="128"/>
      <c r="E1410" s="128"/>
      <c r="F1410" s="128"/>
      <c r="G1410" s="128"/>
      <c r="H1410" s="128"/>
      <c r="I1410" s="129"/>
      <c r="J1410" s="129"/>
      <c r="K1410" s="129"/>
      <c r="L1410" s="129"/>
      <c r="M1410" s="186"/>
      <c r="N1410" s="186"/>
      <c r="O1410" s="128"/>
      <c r="P1410" s="123" t="str">
        <f t="shared" si="380"/>
        <v/>
      </c>
    </row>
    <row r="1411" spans="1:16" s="114" customFormat="1" ht="15" x14ac:dyDescent="0.25">
      <c r="A1411" s="118"/>
      <c r="B1411" s="21" t="s">
        <v>308</v>
      </c>
      <c r="C1411" s="128"/>
      <c r="D1411" s="128"/>
      <c r="E1411" s="128"/>
      <c r="F1411" s="128"/>
      <c r="G1411" s="128"/>
      <c r="H1411" s="128"/>
      <c r="I1411" s="129"/>
      <c r="J1411" s="129"/>
      <c r="K1411" s="129"/>
      <c r="L1411" s="129"/>
      <c r="M1411" s="186"/>
      <c r="N1411" s="186"/>
      <c r="O1411" s="128"/>
      <c r="P1411" s="123" t="str">
        <f t="shared" si="380"/>
        <v/>
      </c>
    </row>
    <row r="1412" spans="1:16" s="114" customFormat="1" ht="15" x14ac:dyDescent="0.25">
      <c r="A1412" s="118"/>
      <c r="B1412" s="26"/>
      <c r="C1412" s="128"/>
      <c r="D1412" s="128"/>
      <c r="E1412" s="128"/>
      <c r="F1412" s="128"/>
      <c r="G1412" s="128"/>
      <c r="H1412" s="128"/>
      <c r="I1412" s="129"/>
      <c r="J1412" s="129"/>
      <c r="K1412" s="129"/>
      <c r="L1412" s="129"/>
      <c r="M1412" s="186"/>
      <c r="N1412" s="186"/>
      <c r="O1412" s="128"/>
      <c r="P1412" s="123" t="str">
        <f t="shared" si="380"/>
        <v/>
      </c>
    </row>
    <row r="1413" spans="1:16" x14ac:dyDescent="0.2">
      <c r="A1413" s="119"/>
      <c r="B1413" s="26" t="s">
        <v>1342</v>
      </c>
      <c r="C1413" s="129">
        <f>MM!D223</f>
        <v>150000</v>
      </c>
      <c r="D1413" s="129">
        <f>MM!E223</f>
        <v>91950.73</v>
      </c>
      <c r="E1413" s="129">
        <f>MM!F223</f>
        <v>0</v>
      </c>
      <c r="F1413" s="129">
        <f>MM!G223</f>
        <v>551704.38</v>
      </c>
      <c r="G1413" s="129">
        <f>MM!H223</f>
        <v>339403.62</v>
      </c>
      <c r="H1413" s="129">
        <f>MM!I223</f>
        <v>61.91</v>
      </c>
      <c r="I1413" s="129">
        <f>MM!J223</f>
        <v>0</v>
      </c>
      <c r="J1413" s="129">
        <f>MM!K223</f>
        <v>150000</v>
      </c>
      <c r="K1413" s="129">
        <f>MM!L223</f>
        <v>150000</v>
      </c>
      <c r="L1413" s="129">
        <f>MM!M223</f>
        <v>150000</v>
      </c>
      <c r="M1413" s="129">
        <f>MM!N223</f>
        <v>0</v>
      </c>
      <c r="N1413" s="129">
        <f>MM!O223</f>
        <v>0</v>
      </c>
      <c r="O1413" s="129">
        <f>MM!P223</f>
        <v>0</v>
      </c>
      <c r="P1413" s="123" t="str">
        <f t="shared" si="380"/>
        <v/>
      </c>
    </row>
    <row r="1414" spans="1:16" s="114" customFormat="1" ht="15" x14ac:dyDescent="0.25">
      <c r="A1414" s="118"/>
      <c r="B1414" s="26"/>
      <c r="C1414" s="128"/>
      <c r="D1414" s="128"/>
      <c r="E1414" s="128"/>
      <c r="F1414" s="128"/>
      <c r="G1414" s="128"/>
      <c r="H1414" s="128"/>
      <c r="I1414" s="129">
        <f>MM!J220</f>
        <v>0</v>
      </c>
      <c r="J1414" s="129"/>
      <c r="K1414" s="129"/>
      <c r="L1414" s="129"/>
      <c r="M1414" s="186"/>
      <c r="N1414" s="186"/>
      <c r="O1414" s="128"/>
      <c r="P1414" s="123" t="str">
        <f t="shared" si="380"/>
        <v/>
      </c>
    </row>
    <row r="1415" spans="1:16" s="114" customFormat="1" ht="15" x14ac:dyDescent="0.25">
      <c r="A1415" s="118"/>
      <c r="B1415" s="21" t="s">
        <v>320</v>
      </c>
      <c r="C1415" s="128">
        <f>C1413</f>
        <v>150000</v>
      </c>
      <c r="D1415" s="128">
        <f t="shared" ref="D1415:O1415" si="391">D1413</f>
        <v>91950.73</v>
      </c>
      <c r="E1415" s="128">
        <f t="shared" si="391"/>
        <v>0</v>
      </c>
      <c r="F1415" s="128">
        <f t="shared" si="391"/>
        <v>551704.38</v>
      </c>
      <c r="G1415" s="128">
        <f t="shared" si="391"/>
        <v>339403.62</v>
      </c>
      <c r="H1415" s="128">
        <f t="shared" si="391"/>
        <v>61.91</v>
      </c>
      <c r="I1415" s="128">
        <f t="shared" si="391"/>
        <v>0</v>
      </c>
      <c r="J1415" s="128">
        <f t="shared" si="391"/>
        <v>150000</v>
      </c>
      <c r="K1415" s="128">
        <f t="shared" si="391"/>
        <v>150000</v>
      </c>
      <c r="L1415" s="128">
        <f t="shared" si="391"/>
        <v>150000</v>
      </c>
      <c r="M1415" s="128">
        <f t="shared" si="391"/>
        <v>0</v>
      </c>
      <c r="N1415" s="128">
        <f t="shared" si="391"/>
        <v>0</v>
      </c>
      <c r="O1415" s="128">
        <f t="shared" si="391"/>
        <v>0</v>
      </c>
      <c r="P1415" s="123" t="str">
        <f t="shared" ref="P1415:P1478" si="392">MID(A1415,6,3)</f>
        <v/>
      </c>
    </row>
    <row r="1416" spans="1:16" s="114" customFormat="1" ht="15" x14ac:dyDescent="0.25">
      <c r="A1416" s="118"/>
      <c r="B1416" s="21"/>
      <c r="C1416" s="128"/>
      <c r="D1416" s="128"/>
      <c r="E1416" s="128"/>
      <c r="F1416" s="128"/>
      <c r="G1416" s="128"/>
      <c r="H1416" s="128"/>
      <c r="I1416" s="129"/>
      <c r="J1416" s="129"/>
      <c r="K1416" s="129"/>
      <c r="L1416" s="129"/>
      <c r="M1416" s="186"/>
      <c r="N1416" s="186"/>
      <c r="O1416" s="128"/>
      <c r="P1416" s="123" t="str">
        <f t="shared" si="392"/>
        <v/>
      </c>
    </row>
    <row r="1417" spans="1:16" s="114" customFormat="1" ht="15" x14ac:dyDescent="0.25">
      <c r="A1417" s="118"/>
      <c r="B1417" s="21"/>
      <c r="C1417" s="128"/>
      <c r="D1417" s="128"/>
      <c r="E1417" s="128"/>
      <c r="F1417" s="128"/>
      <c r="G1417" s="128"/>
      <c r="H1417" s="128"/>
      <c r="I1417" s="129"/>
      <c r="J1417" s="129"/>
      <c r="K1417" s="129"/>
      <c r="L1417" s="129"/>
      <c r="M1417" s="186"/>
      <c r="N1417" s="186"/>
      <c r="O1417" s="128"/>
      <c r="P1417" s="123" t="str">
        <f t="shared" si="392"/>
        <v/>
      </c>
    </row>
    <row r="1418" spans="1:16" s="114" customFormat="1" ht="15" x14ac:dyDescent="0.25">
      <c r="A1418" s="118"/>
      <c r="B1418" s="117" t="s">
        <v>96</v>
      </c>
      <c r="C1418" s="128"/>
      <c r="D1418" s="128"/>
      <c r="E1418" s="128"/>
      <c r="F1418" s="128"/>
      <c r="G1418" s="128"/>
      <c r="H1418" s="128"/>
      <c r="I1418" s="129">
        <f>MM!J228</f>
        <v>0</v>
      </c>
      <c r="J1418" s="129"/>
      <c r="K1418" s="129"/>
      <c r="L1418" s="129"/>
      <c r="M1418" s="186"/>
      <c r="N1418" s="186"/>
      <c r="O1418" s="128"/>
      <c r="P1418" s="123" t="str">
        <f t="shared" si="392"/>
        <v/>
      </c>
    </row>
    <row r="1419" spans="1:16" s="114" customFormat="1" ht="15" x14ac:dyDescent="0.25">
      <c r="A1419" s="118"/>
      <c r="B1419" s="117" t="s">
        <v>97</v>
      </c>
      <c r="C1419" s="128"/>
      <c r="D1419" s="128"/>
      <c r="E1419" s="128"/>
      <c r="F1419" s="128"/>
      <c r="G1419" s="128"/>
      <c r="H1419" s="128"/>
      <c r="I1419" s="129">
        <f>MM!J229</f>
        <v>0</v>
      </c>
      <c r="J1419" s="129"/>
      <c r="K1419" s="129"/>
      <c r="L1419" s="129"/>
      <c r="M1419" s="186"/>
      <c r="N1419" s="186"/>
      <c r="O1419" s="128"/>
      <c r="P1419" s="123" t="str">
        <f t="shared" si="392"/>
        <v/>
      </c>
    </row>
    <row r="1420" spans="1:16" s="114" customFormat="1" ht="15" x14ac:dyDescent="0.25">
      <c r="A1420" s="118"/>
      <c r="B1420" s="117" t="s">
        <v>148</v>
      </c>
      <c r="C1420" s="128"/>
      <c r="D1420" s="128"/>
      <c r="E1420" s="128"/>
      <c r="F1420" s="128"/>
      <c r="G1420" s="128"/>
      <c r="H1420" s="128"/>
      <c r="I1420" s="129">
        <f>MM!J230</f>
        <v>0</v>
      </c>
      <c r="J1420" s="129"/>
      <c r="K1420" s="129"/>
      <c r="L1420" s="129"/>
      <c r="M1420" s="186"/>
      <c r="N1420" s="186"/>
      <c r="O1420" s="128"/>
      <c r="P1420" s="123" t="str">
        <f t="shared" si="392"/>
        <v/>
      </c>
    </row>
    <row r="1421" spans="1:16" s="114" customFormat="1" ht="15" x14ac:dyDescent="0.25">
      <c r="A1421" s="118"/>
      <c r="B1421" s="117" t="s">
        <v>149</v>
      </c>
      <c r="C1421" s="128"/>
      <c r="D1421" s="128"/>
      <c r="E1421" s="128"/>
      <c r="F1421" s="128"/>
      <c r="G1421" s="128"/>
      <c r="H1421" s="128"/>
      <c r="I1421" s="129">
        <f>MM!J231</f>
        <v>0</v>
      </c>
      <c r="J1421" s="129"/>
      <c r="K1421" s="129"/>
      <c r="L1421" s="129"/>
      <c r="M1421" s="186"/>
      <c r="N1421" s="186"/>
      <c r="O1421" s="128"/>
      <c r="P1421" s="123" t="str">
        <f t="shared" si="392"/>
        <v/>
      </c>
    </row>
    <row r="1422" spans="1:16" x14ac:dyDescent="0.2">
      <c r="A1422" s="119"/>
      <c r="B1422" s="120"/>
      <c r="C1422" s="129"/>
      <c r="D1422" s="129"/>
      <c r="E1422" s="129"/>
      <c r="F1422" s="129"/>
      <c r="G1422" s="129"/>
      <c r="H1422" s="129"/>
      <c r="I1422" s="129">
        <f>MM!J232</f>
        <v>0</v>
      </c>
      <c r="J1422" s="129"/>
      <c r="K1422" s="129"/>
      <c r="L1422" s="129"/>
      <c r="O1422" s="129"/>
      <c r="P1422" s="123" t="str">
        <f t="shared" si="392"/>
        <v/>
      </c>
    </row>
    <row r="1423" spans="1:16" x14ac:dyDescent="0.2">
      <c r="A1423" s="119" t="s">
        <v>664</v>
      </c>
      <c r="B1423" s="120" t="s">
        <v>150</v>
      </c>
      <c r="C1423" s="129">
        <v>853944</v>
      </c>
      <c r="D1423" s="129">
        <v>52005.82</v>
      </c>
      <c r="E1423" s="129">
        <v>0</v>
      </c>
      <c r="F1423" s="129">
        <v>312034.92</v>
      </c>
      <c r="G1423" s="129">
        <v>541909.07999999996</v>
      </c>
      <c r="H1423" s="129">
        <v>36.54</v>
      </c>
      <c r="I1423" s="129">
        <f>MM!J233</f>
        <v>0</v>
      </c>
      <c r="J1423" s="129">
        <f>MM!K233</f>
        <v>853944</v>
      </c>
      <c r="K1423" s="129">
        <f>MM!L233</f>
        <v>907315.5</v>
      </c>
      <c r="L1423" s="129">
        <f>MM!M233</f>
        <v>970827.58499999996</v>
      </c>
      <c r="O1423" s="129">
        <f>MM!N233</f>
        <v>1038785.5159499999</v>
      </c>
      <c r="P1423" s="123" t="str">
        <f t="shared" si="392"/>
        <v>110</v>
      </c>
    </row>
    <row r="1424" spans="1:16" x14ac:dyDescent="0.2">
      <c r="A1424" s="119" t="s">
        <v>665</v>
      </c>
      <c r="B1424" s="120" t="s">
        <v>151</v>
      </c>
      <c r="C1424" s="129">
        <v>42697</v>
      </c>
      <c r="D1424" s="129">
        <v>60472.91</v>
      </c>
      <c r="E1424" s="129">
        <v>0</v>
      </c>
      <c r="F1424" s="129">
        <v>60472.91</v>
      </c>
      <c r="G1424" s="129">
        <v>-17775.91</v>
      </c>
      <c r="H1424" s="129">
        <v>141.63</v>
      </c>
      <c r="I1424" s="129">
        <f>MM!J234</f>
        <v>-34229.909999999996</v>
      </c>
      <c r="J1424" s="129">
        <f>MM!K234</f>
        <v>8467.0900000000038</v>
      </c>
      <c r="K1424" s="129">
        <f>MM!L234</f>
        <v>8996.2831250000036</v>
      </c>
      <c r="L1424" s="129">
        <f>MM!M234</f>
        <v>9626.0229437500038</v>
      </c>
      <c r="O1424" s="129">
        <f>MM!N234</f>
        <v>10299.844549812504</v>
      </c>
      <c r="P1424" s="123" t="str">
        <f t="shared" si="392"/>
        <v>110</v>
      </c>
    </row>
    <row r="1425" spans="1:16" x14ac:dyDescent="0.2">
      <c r="A1425" s="119" t="s">
        <v>666</v>
      </c>
      <c r="B1425" s="120" t="s">
        <v>152</v>
      </c>
      <c r="C1425" s="129">
        <v>24000</v>
      </c>
      <c r="D1425" s="129">
        <v>2000</v>
      </c>
      <c r="E1425" s="129">
        <v>0</v>
      </c>
      <c r="F1425" s="129">
        <v>12000</v>
      </c>
      <c r="G1425" s="129">
        <v>12000</v>
      </c>
      <c r="H1425" s="129">
        <v>50</v>
      </c>
      <c r="I1425" s="129">
        <f>MM!J235</f>
        <v>0</v>
      </c>
      <c r="J1425" s="129">
        <f>MM!K235</f>
        <v>24000</v>
      </c>
      <c r="K1425" s="129">
        <f>MM!L235</f>
        <v>25500</v>
      </c>
      <c r="L1425" s="129">
        <f>MM!M235</f>
        <v>27285</v>
      </c>
      <c r="O1425" s="129">
        <f>MM!N235</f>
        <v>29194.95</v>
      </c>
      <c r="P1425" s="123" t="str">
        <f t="shared" si="392"/>
        <v>110</v>
      </c>
    </row>
    <row r="1426" spans="1:16" x14ac:dyDescent="0.2">
      <c r="A1426" s="119" t="s">
        <v>667</v>
      </c>
      <c r="B1426" s="120" t="s">
        <v>153</v>
      </c>
      <c r="C1426" s="129">
        <v>21786</v>
      </c>
      <c r="D1426" s="129">
        <v>907.77</v>
      </c>
      <c r="E1426" s="129">
        <v>0</v>
      </c>
      <c r="F1426" s="129">
        <v>5446.62</v>
      </c>
      <c r="G1426" s="129">
        <v>16339.38</v>
      </c>
      <c r="H1426" s="129">
        <v>25</v>
      </c>
      <c r="I1426" s="129">
        <f>MM!J236</f>
        <v>0</v>
      </c>
      <c r="J1426" s="129">
        <f>MM!K236</f>
        <v>21786</v>
      </c>
      <c r="K1426" s="129">
        <f>MM!L236</f>
        <v>23147.625</v>
      </c>
      <c r="L1426" s="129">
        <f>MM!M236</f>
        <v>24767.958750000002</v>
      </c>
      <c r="O1426" s="129">
        <f>MM!N236</f>
        <v>26501.715862500001</v>
      </c>
      <c r="P1426" s="123" t="str">
        <f t="shared" si="392"/>
        <v>110</v>
      </c>
    </row>
    <row r="1427" spans="1:16" x14ac:dyDescent="0.2">
      <c r="A1427" s="119" t="s">
        <v>668</v>
      </c>
      <c r="B1427" s="120" t="s">
        <v>155</v>
      </c>
      <c r="C1427" s="129">
        <v>20806</v>
      </c>
      <c r="D1427" s="129">
        <v>0</v>
      </c>
      <c r="E1427" s="129">
        <v>0</v>
      </c>
      <c r="F1427" s="129">
        <v>0</v>
      </c>
      <c r="G1427" s="129">
        <v>20806</v>
      </c>
      <c r="H1427" s="129">
        <v>0</v>
      </c>
      <c r="I1427" s="129">
        <f>MM!J237</f>
        <v>0</v>
      </c>
      <c r="J1427" s="129">
        <f>MM!K237</f>
        <v>20806</v>
      </c>
      <c r="K1427" s="129">
        <f>MM!L237</f>
        <v>22106.375</v>
      </c>
      <c r="L1427" s="129">
        <f>MM!M237</f>
        <v>23653.821250000001</v>
      </c>
      <c r="O1427" s="129">
        <f>MM!N237</f>
        <v>25309.588737500002</v>
      </c>
      <c r="P1427" s="123" t="str">
        <f t="shared" si="392"/>
        <v>110</v>
      </c>
    </row>
    <row r="1428" spans="1:16" x14ac:dyDescent="0.2">
      <c r="A1428" s="119" t="s">
        <v>669</v>
      </c>
      <c r="B1428" s="120" t="s">
        <v>156</v>
      </c>
      <c r="C1428" s="129">
        <v>156750</v>
      </c>
      <c r="D1428" s="129">
        <v>13001.46</v>
      </c>
      <c r="E1428" s="129">
        <v>0</v>
      </c>
      <c r="F1428" s="129">
        <v>78008.759999999995</v>
      </c>
      <c r="G1428" s="129">
        <v>78741.240000000005</v>
      </c>
      <c r="H1428" s="129">
        <v>49.76</v>
      </c>
      <c r="I1428" s="129">
        <f>MM!J238</f>
        <v>0</v>
      </c>
      <c r="J1428" s="129">
        <f>MM!K238</f>
        <v>156750</v>
      </c>
      <c r="K1428" s="129">
        <f>MM!L238</f>
        <v>166546.875</v>
      </c>
      <c r="L1428" s="129">
        <f>MM!M238</f>
        <v>178205.15625</v>
      </c>
      <c r="O1428" s="129">
        <f>MM!N238</f>
        <v>190679.51718749999</v>
      </c>
      <c r="P1428" s="123" t="str">
        <f t="shared" si="392"/>
        <v>110</v>
      </c>
    </row>
    <row r="1429" spans="1:16" x14ac:dyDescent="0.2">
      <c r="A1429" s="119" t="s">
        <v>670</v>
      </c>
      <c r="B1429" s="120" t="s">
        <v>158</v>
      </c>
      <c r="C1429" s="129">
        <v>12540</v>
      </c>
      <c r="D1429" s="129">
        <v>0</v>
      </c>
      <c r="E1429" s="129">
        <v>0</v>
      </c>
      <c r="F1429" s="129">
        <v>0</v>
      </c>
      <c r="G1429" s="129">
        <v>12540</v>
      </c>
      <c r="H1429" s="129">
        <v>0</v>
      </c>
      <c r="I1429" s="129">
        <f>MM!J239</f>
        <v>0</v>
      </c>
      <c r="J1429" s="129">
        <f>MM!K239</f>
        <v>12540</v>
      </c>
      <c r="K1429" s="129">
        <f>MM!L239</f>
        <v>13323.75</v>
      </c>
      <c r="L1429" s="129">
        <f>MM!M239</f>
        <v>14256.4125</v>
      </c>
      <c r="O1429" s="129">
        <f>MM!N239</f>
        <v>15254.361375</v>
      </c>
      <c r="P1429" s="123" t="str">
        <f t="shared" si="392"/>
        <v>110</v>
      </c>
    </row>
    <row r="1430" spans="1:16" x14ac:dyDescent="0.2">
      <c r="A1430" s="119" t="s">
        <v>671</v>
      </c>
      <c r="B1430" s="120" t="s">
        <v>159</v>
      </c>
      <c r="C1430" s="129">
        <v>71162</v>
      </c>
      <c r="D1430" s="129">
        <v>0</v>
      </c>
      <c r="E1430" s="129">
        <v>0</v>
      </c>
      <c r="F1430" s="129">
        <v>0</v>
      </c>
      <c r="G1430" s="129">
        <v>71162</v>
      </c>
      <c r="H1430" s="129">
        <v>0</v>
      </c>
      <c r="I1430" s="129">
        <f>MM!J240</f>
        <v>0</v>
      </c>
      <c r="J1430" s="129">
        <f>MM!K240</f>
        <v>71162</v>
      </c>
      <c r="K1430" s="129">
        <f>MM!L240</f>
        <v>75609.625</v>
      </c>
      <c r="L1430" s="129">
        <f>MM!M240</f>
        <v>80902.298750000002</v>
      </c>
      <c r="O1430" s="129">
        <f>MM!N240</f>
        <v>86565.459662499998</v>
      </c>
      <c r="P1430" s="123" t="str">
        <f t="shared" si="392"/>
        <v>110</v>
      </c>
    </row>
    <row r="1431" spans="1:16" x14ac:dyDescent="0.2">
      <c r="A1431" s="119" t="s">
        <v>672</v>
      </c>
      <c r="B1431" s="120" t="s">
        <v>164</v>
      </c>
      <c r="C1431" s="129">
        <v>15692</v>
      </c>
      <c r="D1431" s="129">
        <v>1307.7</v>
      </c>
      <c r="E1431" s="129">
        <v>0</v>
      </c>
      <c r="F1431" s="129">
        <v>7846.2</v>
      </c>
      <c r="G1431" s="129">
        <v>7845.8</v>
      </c>
      <c r="H1431" s="129">
        <v>50</v>
      </c>
      <c r="I1431" s="129">
        <f>MM!J241</f>
        <v>0</v>
      </c>
      <c r="J1431" s="129">
        <f>MM!K241</f>
        <v>15692</v>
      </c>
      <c r="K1431" s="129">
        <f>MM!L241</f>
        <v>16672.75</v>
      </c>
      <c r="L1431" s="129">
        <f>MM!M241</f>
        <v>17839.842499999999</v>
      </c>
      <c r="O1431" s="129">
        <f>MM!N241</f>
        <v>19088.631474999998</v>
      </c>
      <c r="P1431" s="123" t="str">
        <f t="shared" si="392"/>
        <v>110</v>
      </c>
    </row>
    <row r="1432" spans="1:16" x14ac:dyDescent="0.2">
      <c r="A1432" s="119"/>
      <c r="B1432" s="120"/>
      <c r="C1432" s="129"/>
      <c r="D1432" s="129"/>
      <c r="E1432" s="129"/>
      <c r="F1432" s="129"/>
      <c r="G1432" s="129"/>
      <c r="H1432" s="129"/>
      <c r="I1432" s="129">
        <f>MM!J242</f>
        <v>0</v>
      </c>
      <c r="J1432" s="129"/>
      <c r="K1432" s="129"/>
      <c r="L1432" s="129"/>
      <c r="O1432" s="129"/>
      <c r="P1432" s="123" t="str">
        <f t="shared" si="392"/>
        <v/>
      </c>
    </row>
    <row r="1433" spans="1:16" s="114" customFormat="1" ht="15" x14ac:dyDescent="0.25">
      <c r="A1433" s="118"/>
      <c r="B1433" s="117" t="s">
        <v>165</v>
      </c>
      <c r="C1433" s="128">
        <f>SUM(C1423:C1432)</f>
        <v>1219377</v>
      </c>
      <c r="D1433" s="128">
        <f t="shared" ref="D1433:O1433" si="393">SUM(D1423:D1432)</f>
        <v>129695.66000000002</v>
      </c>
      <c r="E1433" s="128">
        <f t="shared" si="393"/>
        <v>0</v>
      </c>
      <c r="F1433" s="128">
        <f t="shared" si="393"/>
        <v>475809.41</v>
      </c>
      <c r="G1433" s="128">
        <f t="shared" si="393"/>
        <v>743567.59</v>
      </c>
      <c r="H1433" s="128">
        <f t="shared" si="393"/>
        <v>352.93</v>
      </c>
      <c r="I1433" s="128">
        <f t="shared" si="393"/>
        <v>-34229.909999999996</v>
      </c>
      <c r="J1433" s="128">
        <f t="shared" si="393"/>
        <v>1185147.0899999999</v>
      </c>
      <c r="K1433" s="128">
        <f t="shared" si="393"/>
        <v>1259218.7831250001</v>
      </c>
      <c r="L1433" s="128">
        <f t="shared" si="393"/>
        <v>1347364.0979437502</v>
      </c>
      <c r="M1433" s="128">
        <f t="shared" si="393"/>
        <v>0</v>
      </c>
      <c r="N1433" s="128">
        <f t="shared" si="393"/>
        <v>0</v>
      </c>
      <c r="O1433" s="128">
        <f t="shared" si="393"/>
        <v>1441679.5847998124</v>
      </c>
      <c r="P1433" s="123" t="str">
        <f t="shared" si="392"/>
        <v/>
      </c>
    </row>
    <row r="1434" spans="1:16" s="114" customFormat="1" ht="15" x14ac:dyDescent="0.25">
      <c r="A1434" s="118"/>
      <c r="B1434" s="117"/>
      <c r="C1434" s="128"/>
      <c r="D1434" s="128"/>
      <c r="E1434" s="128"/>
      <c r="F1434" s="128"/>
      <c r="G1434" s="128"/>
      <c r="H1434" s="128"/>
      <c r="I1434" s="129">
        <f>MM!J244</f>
        <v>0</v>
      </c>
      <c r="J1434" s="129"/>
      <c r="K1434" s="129"/>
      <c r="L1434" s="129"/>
      <c r="M1434" s="186"/>
      <c r="N1434" s="186"/>
      <c r="O1434" s="128"/>
      <c r="P1434" s="123" t="str">
        <f t="shared" si="392"/>
        <v/>
      </c>
    </row>
    <row r="1435" spans="1:16" s="114" customFormat="1" ht="15" x14ac:dyDescent="0.25">
      <c r="A1435" s="118"/>
      <c r="B1435" s="117" t="s">
        <v>166</v>
      </c>
      <c r="C1435" s="128"/>
      <c r="D1435" s="128"/>
      <c r="E1435" s="128"/>
      <c r="F1435" s="128"/>
      <c r="G1435" s="128"/>
      <c r="H1435" s="128"/>
      <c r="I1435" s="129">
        <f>MM!J245</f>
        <v>0</v>
      </c>
      <c r="J1435" s="129"/>
      <c r="K1435" s="129"/>
      <c r="L1435" s="129"/>
      <c r="M1435" s="186"/>
      <c r="N1435" s="186"/>
      <c r="O1435" s="128"/>
      <c r="P1435" s="123" t="str">
        <f t="shared" si="392"/>
        <v/>
      </c>
    </row>
    <row r="1436" spans="1:16" x14ac:dyDescent="0.2">
      <c r="A1436" s="119"/>
      <c r="B1436" s="120"/>
      <c r="C1436" s="129"/>
      <c r="D1436" s="129"/>
      <c r="E1436" s="129"/>
      <c r="F1436" s="129"/>
      <c r="G1436" s="129"/>
      <c r="H1436" s="129"/>
      <c r="I1436" s="129">
        <f>MM!J246</f>
        <v>0</v>
      </c>
      <c r="J1436" s="129"/>
      <c r="K1436" s="129"/>
      <c r="L1436" s="129"/>
      <c r="O1436" s="129"/>
      <c r="P1436" s="123" t="str">
        <f t="shared" si="392"/>
        <v/>
      </c>
    </row>
    <row r="1437" spans="1:16" x14ac:dyDescent="0.2">
      <c r="A1437" s="119" t="s">
        <v>673</v>
      </c>
      <c r="B1437" s="120" t="s">
        <v>167</v>
      </c>
      <c r="C1437" s="129">
        <v>224</v>
      </c>
      <c r="D1437" s="129">
        <v>9.32</v>
      </c>
      <c r="E1437" s="129">
        <v>0</v>
      </c>
      <c r="F1437" s="129">
        <v>55.92</v>
      </c>
      <c r="G1437" s="129">
        <v>168.08</v>
      </c>
      <c r="H1437" s="129">
        <v>24.96</v>
      </c>
      <c r="I1437" s="129">
        <f>MM!J247</f>
        <v>0</v>
      </c>
      <c r="J1437" s="129">
        <f>MM!K247</f>
        <v>224</v>
      </c>
      <c r="K1437" s="129">
        <f>MM!L247</f>
        <v>238</v>
      </c>
      <c r="L1437" s="129">
        <f>MM!M247</f>
        <v>254.66</v>
      </c>
      <c r="O1437" s="129">
        <f>MM!N247</f>
        <v>272.4862</v>
      </c>
      <c r="P1437" s="123" t="str">
        <f t="shared" si="392"/>
        <v>130</v>
      </c>
    </row>
    <row r="1438" spans="1:16" x14ac:dyDescent="0.2">
      <c r="A1438" s="119" t="s">
        <v>674</v>
      </c>
      <c r="B1438" s="120" t="s">
        <v>168</v>
      </c>
      <c r="C1438" s="129">
        <v>107816</v>
      </c>
      <c r="D1438" s="129">
        <v>2133.6</v>
      </c>
      <c r="E1438" s="129">
        <v>0</v>
      </c>
      <c r="F1438" s="129">
        <v>12801.6</v>
      </c>
      <c r="G1438" s="129">
        <v>95014.399999999994</v>
      </c>
      <c r="H1438" s="129">
        <v>11.87</v>
      </c>
      <c r="I1438" s="129">
        <f>MM!J248</f>
        <v>-60000</v>
      </c>
      <c r="J1438" s="129">
        <f>MM!K248</f>
        <v>47816</v>
      </c>
      <c r="K1438" s="129">
        <f>MM!L248</f>
        <v>50804.5</v>
      </c>
      <c r="L1438" s="129">
        <f>MM!M248</f>
        <v>54360.815000000002</v>
      </c>
      <c r="O1438" s="129">
        <f>MM!N248</f>
        <v>58166.072050000002</v>
      </c>
      <c r="P1438" s="123" t="str">
        <f t="shared" si="392"/>
        <v>130</v>
      </c>
    </row>
    <row r="1439" spans="1:16" x14ac:dyDescent="0.2">
      <c r="A1439" s="119" t="s">
        <v>675</v>
      </c>
      <c r="B1439" s="120" t="s">
        <v>169</v>
      </c>
      <c r="C1439" s="129">
        <v>187868</v>
      </c>
      <c r="D1439" s="129">
        <v>11441.28</v>
      </c>
      <c r="E1439" s="129">
        <v>0</v>
      </c>
      <c r="F1439" s="129">
        <v>68647.679999999993</v>
      </c>
      <c r="G1439" s="129">
        <v>119220.32</v>
      </c>
      <c r="H1439" s="129">
        <v>36.54</v>
      </c>
      <c r="I1439" s="129">
        <f>MM!J249</f>
        <v>0</v>
      </c>
      <c r="J1439" s="129">
        <f>MM!K249</f>
        <v>187868</v>
      </c>
      <c r="K1439" s="129">
        <f>MM!L249</f>
        <v>199609.75</v>
      </c>
      <c r="L1439" s="129">
        <f>MM!M249</f>
        <v>213582.4325</v>
      </c>
      <c r="O1439" s="129">
        <f>MM!N249</f>
        <v>228533.20277499998</v>
      </c>
      <c r="P1439" s="123" t="str">
        <f t="shared" si="392"/>
        <v>130</v>
      </c>
    </row>
    <row r="1440" spans="1:16" x14ac:dyDescent="0.2">
      <c r="A1440" s="119" t="s">
        <v>676</v>
      </c>
      <c r="B1440" s="120" t="s">
        <v>170</v>
      </c>
      <c r="C1440" s="129">
        <v>3570</v>
      </c>
      <c r="D1440" s="129">
        <v>148.72</v>
      </c>
      <c r="E1440" s="129">
        <v>0</v>
      </c>
      <c r="F1440" s="129">
        <v>892.32</v>
      </c>
      <c r="G1440" s="129">
        <v>2677.68</v>
      </c>
      <c r="H1440" s="129">
        <v>24.99</v>
      </c>
      <c r="I1440" s="129">
        <f>MM!J250</f>
        <v>0</v>
      </c>
      <c r="J1440" s="129">
        <f>MM!K250</f>
        <v>3570</v>
      </c>
      <c r="K1440" s="129">
        <f>MM!L250</f>
        <v>3793.125</v>
      </c>
      <c r="L1440" s="129">
        <f>MM!M250</f>
        <v>4058.6437500000002</v>
      </c>
      <c r="O1440" s="129">
        <f>MM!N250</f>
        <v>4342.7488125</v>
      </c>
      <c r="P1440" s="123" t="str">
        <f t="shared" si="392"/>
        <v>130</v>
      </c>
    </row>
    <row r="1441" spans="1:16" x14ac:dyDescent="0.2">
      <c r="A1441" s="119"/>
      <c r="B1441" s="120"/>
      <c r="C1441" s="129"/>
      <c r="D1441" s="129"/>
      <c r="E1441" s="129"/>
      <c r="F1441" s="129"/>
      <c r="G1441" s="129"/>
      <c r="H1441" s="129"/>
      <c r="I1441" s="129">
        <f>MM!J251</f>
        <v>0</v>
      </c>
      <c r="J1441" s="129"/>
      <c r="K1441" s="129"/>
      <c r="L1441" s="129"/>
      <c r="O1441" s="129"/>
      <c r="P1441" s="123" t="str">
        <f t="shared" si="392"/>
        <v/>
      </c>
    </row>
    <row r="1442" spans="1:16" s="114" customFormat="1" ht="15" x14ac:dyDescent="0.25">
      <c r="A1442" s="118"/>
      <c r="B1442" s="117" t="s">
        <v>171</v>
      </c>
      <c r="C1442" s="128">
        <f>SUM(C1437:C1441)</f>
        <v>299478</v>
      </c>
      <c r="D1442" s="128">
        <f t="shared" ref="D1442:O1442" si="394">SUM(D1437:D1441)</f>
        <v>13732.92</v>
      </c>
      <c r="E1442" s="128">
        <f t="shared" si="394"/>
        <v>0</v>
      </c>
      <c r="F1442" s="128">
        <f t="shared" si="394"/>
        <v>82397.52</v>
      </c>
      <c r="G1442" s="128">
        <f t="shared" si="394"/>
        <v>217080.47999999998</v>
      </c>
      <c r="H1442" s="128">
        <f t="shared" si="394"/>
        <v>98.36</v>
      </c>
      <c r="I1442" s="128">
        <f t="shared" si="394"/>
        <v>-60000</v>
      </c>
      <c r="J1442" s="128">
        <f t="shared" si="394"/>
        <v>239478</v>
      </c>
      <c r="K1442" s="128">
        <f t="shared" si="394"/>
        <v>254445.375</v>
      </c>
      <c r="L1442" s="128">
        <f t="shared" si="394"/>
        <v>272256.55124999996</v>
      </c>
      <c r="M1442" s="128">
        <f t="shared" si="394"/>
        <v>0</v>
      </c>
      <c r="N1442" s="128">
        <f t="shared" si="394"/>
        <v>0</v>
      </c>
      <c r="O1442" s="128">
        <f t="shared" si="394"/>
        <v>291314.50983749999</v>
      </c>
      <c r="P1442" s="123" t="str">
        <f t="shared" si="392"/>
        <v/>
      </c>
    </row>
    <row r="1443" spans="1:16" s="114" customFormat="1" ht="15" x14ac:dyDescent="0.25">
      <c r="A1443" s="118"/>
      <c r="B1443" s="117"/>
      <c r="C1443" s="128"/>
      <c r="D1443" s="128"/>
      <c r="E1443" s="128"/>
      <c r="F1443" s="128"/>
      <c r="G1443" s="128"/>
      <c r="H1443" s="128"/>
      <c r="I1443" s="129">
        <f>MM!J253</f>
        <v>0</v>
      </c>
      <c r="J1443" s="129"/>
      <c r="K1443" s="129"/>
      <c r="L1443" s="129"/>
      <c r="M1443" s="186"/>
      <c r="N1443" s="186"/>
      <c r="O1443" s="128"/>
      <c r="P1443" s="123" t="str">
        <f t="shared" si="392"/>
        <v/>
      </c>
    </row>
    <row r="1444" spans="1:16" s="114" customFormat="1" ht="15" x14ac:dyDescent="0.25">
      <c r="A1444" s="118"/>
      <c r="B1444" s="117" t="s">
        <v>172</v>
      </c>
      <c r="C1444" s="128"/>
      <c r="D1444" s="128"/>
      <c r="E1444" s="128"/>
      <c r="F1444" s="128"/>
      <c r="G1444" s="128"/>
      <c r="H1444" s="128"/>
      <c r="I1444" s="129">
        <f>MM!J254</f>
        <v>0</v>
      </c>
      <c r="J1444" s="129"/>
      <c r="K1444" s="129"/>
      <c r="L1444" s="129"/>
      <c r="M1444" s="186"/>
      <c r="N1444" s="186"/>
      <c r="O1444" s="128"/>
      <c r="P1444" s="123" t="str">
        <f t="shared" si="392"/>
        <v/>
      </c>
    </row>
    <row r="1445" spans="1:16" x14ac:dyDescent="0.2">
      <c r="A1445" s="119"/>
      <c r="B1445" s="120"/>
      <c r="C1445" s="129"/>
      <c r="D1445" s="129"/>
      <c r="E1445" s="129"/>
      <c r="F1445" s="129"/>
      <c r="G1445" s="129"/>
      <c r="H1445" s="129"/>
      <c r="I1445" s="129">
        <f>MM!J255</f>
        <v>0</v>
      </c>
      <c r="J1445" s="129"/>
      <c r="K1445" s="129"/>
      <c r="L1445" s="129"/>
      <c r="O1445" s="129"/>
      <c r="P1445" s="123" t="str">
        <f t="shared" si="392"/>
        <v/>
      </c>
    </row>
    <row r="1446" spans="1:16" x14ac:dyDescent="0.2">
      <c r="A1446" s="119" t="s">
        <v>677</v>
      </c>
      <c r="B1446" s="120" t="s">
        <v>173</v>
      </c>
      <c r="C1446" s="129">
        <v>20768</v>
      </c>
      <c r="D1446" s="129">
        <v>0</v>
      </c>
      <c r="E1446" s="129">
        <v>0</v>
      </c>
      <c r="F1446" s="129">
        <v>0</v>
      </c>
      <c r="G1446" s="129">
        <v>20768</v>
      </c>
      <c r="H1446" s="129">
        <v>0</v>
      </c>
      <c r="I1446" s="129">
        <f>MM!J256</f>
        <v>0</v>
      </c>
      <c r="J1446" s="129">
        <f>MM!K256</f>
        <v>20768</v>
      </c>
      <c r="K1446" s="129">
        <f>MM!L256</f>
        <v>22066</v>
      </c>
      <c r="L1446" s="129">
        <f>MM!M256</f>
        <v>23610.62</v>
      </c>
      <c r="O1446" s="129">
        <f>MM!N256</f>
        <v>25263.363399999998</v>
      </c>
      <c r="P1446" s="123" t="str">
        <f t="shared" si="392"/>
        <v>140</v>
      </c>
    </row>
    <row r="1447" spans="1:16" x14ac:dyDescent="0.2">
      <c r="A1447" s="119" t="s">
        <v>678</v>
      </c>
      <c r="B1447" s="120" t="s">
        <v>174</v>
      </c>
      <c r="C1447" s="129">
        <v>19770</v>
      </c>
      <c r="D1447" s="129">
        <v>0</v>
      </c>
      <c r="E1447" s="129">
        <v>0</v>
      </c>
      <c r="F1447" s="129">
        <v>0</v>
      </c>
      <c r="G1447" s="129">
        <v>19770</v>
      </c>
      <c r="H1447" s="129">
        <v>0</v>
      </c>
      <c r="I1447" s="129">
        <f>MM!J257</f>
        <v>0</v>
      </c>
      <c r="J1447" s="129">
        <f>MM!K257</f>
        <v>19770</v>
      </c>
      <c r="K1447" s="129">
        <f>MM!L257</f>
        <v>21005.625</v>
      </c>
      <c r="L1447" s="129">
        <f>MM!M257</f>
        <v>22476.018749999999</v>
      </c>
      <c r="O1447" s="129">
        <f>MM!N257</f>
        <v>24049.340062499999</v>
      </c>
      <c r="P1447" s="123" t="str">
        <f t="shared" si="392"/>
        <v>140</v>
      </c>
    </row>
    <row r="1448" spans="1:16" x14ac:dyDescent="0.2">
      <c r="A1448" s="119" t="s">
        <v>679</v>
      </c>
      <c r="B1448" s="120" t="s">
        <v>175</v>
      </c>
      <c r="C1448" s="129">
        <v>6053</v>
      </c>
      <c r="D1448" s="129">
        <v>0</v>
      </c>
      <c r="E1448" s="129">
        <v>0</v>
      </c>
      <c r="F1448" s="129">
        <v>0</v>
      </c>
      <c r="G1448" s="129">
        <v>6053</v>
      </c>
      <c r="H1448" s="129">
        <v>0</v>
      </c>
      <c r="I1448" s="129">
        <f>MM!J258</f>
        <v>0</v>
      </c>
      <c r="J1448" s="129">
        <f>MM!K258</f>
        <v>6053</v>
      </c>
      <c r="K1448" s="129">
        <f>MM!L258</f>
        <v>6431.3125</v>
      </c>
      <c r="L1448" s="129">
        <f>MM!M258</f>
        <v>6881.5043750000004</v>
      </c>
      <c r="O1448" s="129">
        <f>MM!N258</f>
        <v>7363.2096812500004</v>
      </c>
      <c r="P1448" s="123" t="str">
        <f t="shared" si="392"/>
        <v>142</v>
      </c>
    </row>
    <row r="1449" spans="1:16" x14ac:dyDescent="0.2">
      <c r="A1449" s="119"/>
      <c r="B1449" s="120"/>
      <c r="C1449" s="129"/>
      <c r="D1449" s="129"/>
      <c r="E1449" s="129"/>
      <c r="F1449" s="129"/>
      <c r="G1449" s="129"/>
      <c r="H1449" s="129"/>
      <c r="I1449" s="129">
        <f>MM!J259</f>
        <v>0</v>
      </c>
      <c r="J1449" s="129"/>
      <c r="K1449" s="129"/>
      <c r="L1449" s="129"/>
      <c r="O1449" s="129"/>
      <c r="P1449" s="123" t="str">
        <f t="shared" si="392"/>
        <v/>
      </c>
    </row>
    <row r="1450" spans="1:16" s="114" customFormat="1" ht="15" x14ac:dyDescent="0.25">
      <c r="A1450" s="118"/>
      <c r="B1450" s="117" t="s">
        <v>176</v>
      </c>
      <c r="C1450" s="128">
        <f>SUM(C1446:C1449)</f>
        <v>46591</v>
      </c>
      <c r="D1450" s="128">
        <f t="shared" ref="D1450:O1450" si="395">SUM(D1446:D1449)</f>
        <v>0</v>
      </c>
      <c r="E1450" s="128">
        <f t="shared" si="395"/>
        <v>0</v>
      </c>
      <c r="F1450" s="128">
        <f t="shared" si="395"/>
        <v>0</v>
      </c>
      <c r="G1450" s="128">
        <f t="shared" si="395"/>
        <v>46591</v>
      </c>
      <c r="H1450" s="128">
        <f t="shared" si="395"/>
        <v>0</v>
      </c>
      <c r="I1450" s="128">
        <f t="shared" si="395"/>
        <v>0</v>
      </c>
      <c r="J1450" s="128">
        <f t="shared" si="395"/>
        <v>46591</v>
      </c>
      <c r="K1450" s="128">
        <f t="shared" si="395"/>
        <v>49502.9375</v>
      </c>
      <c r="L1450" s="128">
        <f t="shared" si="395"/>
        <v>52968.143125000002</v>
      </c>
      <c r="M1450" s="128">
        <f t="shared" si="395"/>
        <v>0</v>
      </c>
      <c r="N1450" s="128">
        <f t="shared" si="395"/>
        <v>0</v>
      </c>
      <c r="O1450" s="128">
        <f t="shared" si="395"/>
        <v>56675.913143749996</v>
      </c>
      <c r="P1450" s="123" t="str">
        <f t="shared" si="392"/>
        <v/>
      </c>
    </row>
    <row r="1451" spans="1:16" s="114" customFormat="1" ht="15" x14ac:dyDescent="0.25">
      <c r="A1451" s="118"/>
      <c r="B1451" s="117"/>
      <c r="C1451" s="128"/>
      <c r="D1451" s="128"/>
      <c r="E1451" s="128"/>
      <c r="F1451" s="128"/>
      <c r="G1451" s="128"/>
      <c r="H1451" s="128"/>
      <c r="I1451" s="129">
        <f>MM!J261</f>
        <v>0</v>
      </c>
      <c r="J1451" s="129"/>
      <c r="K1451" s="129"/>
      <c r="L1451" s="129"/>
      <c r="M1451" s="186"/>
      <c r="N1451" s="186"/>
      <c r="O1451" s="128"/>
      <c r="P1451" s="123" t="str">
        <f t="shared" si="392"/>
        <v/>
      </c>
    </row>
    <row r="1452" spans="1:16" s="114" customFormat="1" ht="15" x14ac:dyDescent="0.25">
      <c r="A1452" s="118"/>
      <c r="B1452" s="117" t="s">
        <v>177</v>
      </c>
      <c r="C1452" s="128">
        <f>C1433+C1442+C1450</f>
        <v>1565446</v>
      </c>
      <c r="D1452" s="128">
        <f t="shared" ref="D1452:O1452" si="396">D1433+D1442+D1450</f>
        <v>143428.58000000002</v>
      </c>
      <c r="E1452" s="128">
        <f t="shared" si="396"/>
        <v>0</v>
      </c>
      <c r="F1452" s="128">
        <f t="shared" si="396"/>
        <v>558206.92999999993</v>
      </c>
      <c r="G1452" s="128">
        <f t="shared" si="396"/>
        <v>1007239.07</v>
      </c>
      <c r="H1452" s="128">
        <f t="shared" si="396"/>
        <v>451.29</v>
      </c>
      <c r="I1452" s="128">
        <f t="shared" si="396"/>
        <v>-94229.91</v>
      </c>
      <c r="J1452" s="128">
        <f t="shared" si="396"/>
        <v>1471216.0899999999</v>
      </c>
      <c r="K1452" s="128">
        <f t="shared" si="396"/>
        <v>1563167.0956250001</v>
      </c>
      <c r="L1452" s="128">
        <f t="shared" si="396"/>
        <v>1672588.7923187502</v>
      </c>
      <c r="M1452" s="128">
        <f t="shared" si="396"/>
        <v>0</v>
      </c>
      <c r="N1452" s="128">
        <f t="shared" si="396"/>
        <v>0</v>
      </c>
      <c r="O1452" s="128">
        <f t="shared" si="396"/>
        <v>1789670.0077810625</v>
      </c>
      <c r="P1452" s="123" t="str">
        <f t="shared" si="392"/>
        <v/>
      </c>
    </row>
    <row r="1453" spans="1:16" s="114" customFormat="1" ht="15" x14ac:dyDescent="0.25">
      <c r="A1453" s="118"/>
      <c r="B1453" s="117"/>
      <c r="C1453" s="128"/>
      <c r="D1453" s="128"/>
      <c r="E1453" s="128"/>
      <c r="F1453" s="128"/>
      <c r="G1453" s="128"/>
      <c r="H1453" s="128"/>
      <c r="I1453" s="129">
        <f>MM!J263</f>
        <v>0</v>
      </c>
      <c r="J1453" s="129"/>
      <c r="K1453" s="129"/>
      <c r="L1453" s="129"/>
      <c r="M1453" s="186"/>
      <c r="N1453" s="186"/>
      <c r="O1453" s="128"/>
      <c r="P1453" s="123" t="str">
        <f t="shared" si="392"/>
        <v/>
      </c>
    </row>
    <row r="1454" spans="1:16" s="114" customFormat="1" ht="15" x14ac:dyDescent="0.25">
      <c r="A1454" s="118"/>
      <c r="B1454" s="117" t="s">
        <v>178</v>
      </c>
      <c r="C1454" s="128">
        <f>C1452</f>
        <v>1565446</v>
      </c>
      <c r="D1454" s="128">
        <f t="shared" ref="D1454:O1454" si="397">D1452</f>
        <v>143428.58000000002</v>
      </c>
      <c r="E1454" s="128">
        <f t="shared" si="397"/>
        <v>0</v>
      </c>
      <c r="F1454" s="128">
        <f t="shared" si="397"/>
        <v>558206.92999999993</v>
      </c>
      <c r="G1454" s="128">
        <f t="shared" si="397"/>
        <v>1007239.07</v>
      </c>
      <c r="H1454" s="128">
        <f t="shared" si="397"/>
        <v>451.29</v>
      </c>
      <c r="I1454" s="128">
        <f t="shared" si="397"/>
        <v>-94229.91</v>
      </c>
      <c r="J1454" s="128">
        <f t="shared" si="397"/>
        <v>1471216.0899999999</v>
      </c>
      <c r="K1454" s="128">
        <f t="shared" si="397"/>
        <v>1563167.0956250001</v>
      </c>
      <c r="L1454" s="128">
        <f t="shared" si="397"/>
        <v>1672588.7923187502</v>
      </c>
      <c r="M1454" s="128">
        <f t="shared" si="397"/>
        <v>0</v>
      </c>
      <c r="N1454" s="128">
        <f t="shared" si="397"/>
        <v>0</v>
      </c>
      <c r="O1454" s="128">
        <f t="shared" si="397"/>
        <v>1789670.0077810625</v>
      </c>
      <c r="P1454" s="123" t="str">
        <f t="shared" si="392"/>
        <v/>
      </c>
    </row>
    <row r="1455" spans="1:16" x14ac:dyDescent="0.2">
      <c r="A1455" s="119"/>
      <c r="B1455" s="120"/>
      <c r="C1455" s="129"/>
      <c r="D1455" s="129"/>
      <c r="E1455" s="129"/>
      <c r="F1455" s="129"/>
      <c r="G1455" s="129"/>
      <c r="H1455" s="129"/>
      <c r="I1455" s="129">
        <f>MM!J265</f>
        <v>0</v>
      </c>
      <c r="J1455" s="129"/>
      <c r="K1455" s="129"/>
      <c r="L1455" s="129"/>
      <c r="O1455" s="129"/>
      <c r="P1455" s="123" t="str">
        <f t="shared" si="392"/>
        <v/>
      </c>
    </row>
    <row r="1456" spans="1:16" ht="15" x14ac:dyDescent="0.25">
      <c r="A1456" s="119"/>
      <c r="B1456" s="117" t="s">
        <v>208</v>
      </c>
      <c r="C1456" s="129"/>
      <c r="D1456" s="129"/>
      <c r="E1456" s="129"/>
      <c r="F1456" s="129"/>
      <c r="G1456" s="129"/>
      <c r="H1456" s="129"/>
      <c r="I1456" s="129">
        <f>MM!J266</f>
        <v>0</v>
      </c>
      <c r="J1456" s="129"/>
      <c r="K1456" s="129"/>
      <c r="L1456" s="129"/>
      <c r="O1456" s="129"/>
      <c r="P1456" s="123" t="str">
        <f t="shared" si="392"/>
        <v/>
      </c>
    </row>
    <row r="1457" spans="1:16" ht="15" x14ac:dyDescent="0.25">
      <c r="A1457" s="119"/>
      <c r="B1457" s="117"/>
      <c r="C1457" s="129"/>
      <c r="D1457" s="129"/>
      <c r="E1457" s="129"/>
      <c r="F1457" s="129"/>
      <c r="G1457" s="129"/>
      <c r="H1457" s="129"/>
      <c r="I1457" s="129">
        <f>MM!J267</f>
        <v>0</v>
      </c>
      <c r="J1457" s="129"/>
      <c r="K1457" s="129"/>
      <c r="L1457" s="129"/>
      <c r="O1457" s="129"/>
      <c r="P1457" s="123" t="str">
        <f t="shared" si="392"/>
        <v/>
      </c>
    </row>
    <row r="1458" spans="1:16" ht="15" x14ac:dyDescent="0.25">
      <c r="A1458" s="119"/>
      <c r="B1458" s="117" t="s">
        <v>218</v>
      </c>
      <c r="C1458" s="129"/>
      <c r="D1458" s="129"/>
      <c r="E1458" s="129"/>
      <c r="F1458" s="129"/>
      <c r="G1458" s="129"/>
      <c r="H1458" s="129"/>
      <c r="I1458" s="129">
        <f>MM!J268</f>
        <v>0</v>
      </c>
      <c r="J1458" s="129"/>
      <c r="K1458" s="129"/>
      <c r="L1458" s="129"/>
      <c r="O1458" s="129"/>
      <c r="P1458" s="123" t="str">
        <f t="shared" si="392"/>
        <v/>
      </c>
    </row>
    <row r="1459" spans="1:16" x14ac:dyDescent="0.2">
      <c r="A1459" s="119"/>
      <c r="B1459" s="120"/>
      <c r="C1459" s="129"/>
      <c r="D1459" s="129"/>
      <c r="E1459" s="129"/>
      <c r="F1459" s="129"/>
      <c r="G1459" s="129"/>
      <c r="H1459" s="129"/>
      <c r="I1459" s="129">
        <f>MM!J269</f>
        <v>0</v>
      </c>
      <c r="J1459" s="129"/>
      <c r="K1459" s="129"/>
      <c r="L1459" s="129"/>
      <c r="O1459" s="129"/>
      <c r="P1459" s="123" t="str">
        <f t="shared" si="392"/>
        <v/>
      </c>
    </row>
    <row r="1460" spans="1:16" x14ac:dyDescent="0.2">
      <c r="A1460" s="119" t="s">
        <v>680</v>
      </c>
      <c r="B1460" s="120" t="s">
        <v>221</v>
      </c>
      <c r="C1460" s="129">
        <v>400000</v>
      </c>
      <c r="D1460" s="129">
        <v>0</v>
      </c>
      <c r="E1460" s="129">
        <v>0</v>
      </c>
      <c r="F1460" s="129">
        <v>18671.25</v>
      </c>
      <c r="G1460" s="129">
        <v>381328.75</v>
      </c>
      <c r="H1460" s="129">
        <v>4.66</v>
      </c>
      <c r="I1460" s="129">
        <f>MM!J270</f>
        <v>0</v>
      </c>
      <c r="J1460" s="129">
        <f>MM!K270</f>
        <v>400000</v>
      </c>
      <c r="K1460" s="129">
        <f>MM!L270</f>
        <v>418000</v>
      </c>
      <c r="L1460" s="129">
        <f>MM!M270</f>
        <v>437228</v>
      </c>
      <c r="O1460" s="129">
        <f>MM!N270</f>
        <v>457340.48800000001</v>
      </c>
      <c r="P1460" s="123" t="str">
        <f t="shared" si="392"/>
        <v>270</v>
      </c>
    </row>
    <row r="1461" spans="1:16" x14ac:dyDescent="0.2">
      <c r="A1461" s="119"/>
      <c r="B1461" s="120"/>
      <c r="C1461" s="129"/>
      <c r="D1461" s="129"/>
      <c r="E1461" s="129"/>
      <c r="F1461" s="129"/>
      <c r="G1461" s="129"/>
      <c r="H1461" s="129"/>
      <c r="I1461" s="129">
        <f>MM!J271</f>
        <v>0</v>
      </c>
      <c r="J1461" s="129"/>
      <c r="K1461" s="129"/>
      <c r="L1461" s="129"/>
      <c r="O1461" s="129"/>
      <c r="P1461" s="123" t="str">
        <f t="shared" si="392"/>
        <v/>
      </c>
    </row>
    <row r="1462" spans="1:16" s="114" customFormat="1" ht="15" x14ac:dyDescent="0.25">
      <c r="A1462" s="118"/>
      <c r="B1462" s="117" t="s">
        <v>227</v>
      </c>
      <c r="C1462" s="128">
        <f>SUM(C1460:C1461)</f>
        <v>400000</v>
      </c>
      <c r="D1462" s="128">
        <f t="shared" ref="D1462:O1462" si="398">SUM(D1460:D1461)</f>
        <v>0</v>
      </c>
      <c r="E1462" s="128">
        <f t="shared" si="398"/>
        <v>0</v>
      </c>
      <c r="F1462" s="128">
        <f t="shared" si="398"/>
        <v>18671.25</v>
      </c>
      <c r="G1462" s="128">
        <f t="shared" si="398"/>
        <v>381328.75</v>
      </c>
      <c r="H1462" s="128">
        <f t="shared" si="398"/>
        <v>4.66</v>
      </c>
      <c r="I1462" s="128">
        <f t="shared" si="398"/>
        <v>0</v>
      </c>
      <c r="J1462" s="128">
        <f t="shared" si="398"/>
        <v>400000</v>
      </c>
      <c r="K1462" s="128">
        <f t="shared" si="398"/>
        <v>418000</v>
      </c>
      <c r="L1462" s="128">
        <f t="shared" si="398"/>
        <v>437228</v>
      </c>
      <c r="M1462" s="128">
        <f t="shared" si="398"/>
        <v>0</v>
      </c>
      <c r="N1462" s="128">
        <f t="shared" si="398"/>
        <v>0</v>
      </c>
      <c r="O1462" s="128">
        <f t="shared" si="398"/>
        <v>457340.48800000001</v>
      </c>
      <c r="P1462" s="123" t="str">
        <f t="shared" si="392"/>
        <v/>
      </c>
    </row>
    <row r="1463" spans="1:16" s="114" customFormat="1" ht="15" x14ac:dyDescent="0.25">
      <c r="A1463" s="118"/>
      <c r="B1463" s="117"/>
      <c r="C1463" s="128"/>
      <c r="D1463" s="128"/>
      <c r="E1463" s="128"/>
      <c r="F1463" s="128"/>
      <c r="G1463" s="128"/>
      <c r="H1463" s="128"/>
      <c r="I1463" s="129">
        <f>MM!J273</f>
        <v>0</v>
      </c>
      <c r="J1463" s="129"/>
      <c r="K1463" s="129"/>
      <c r="L1463" s="129"/>
      <c r="M1463" s="186"/>
      <c r="N1463" s="186"/>
      <c r="O1463" s="128"/>
      <c r="P1463" s="123" t="str">
        <f t="shared" si="392"/>
        <v/>
      </c>
    </row>
    <row r="1464" spans="1:16" s="114" customFormat="1" ht="15" x14ac:dyDescent="0.25">
      <c r="A1464" s="118"/>
      <c r="B1464" s="117" t="s">
        <v>228</v>
      </c>
      <c r="C1464" s="128"/>
      <c r="D1464" s="128"/>
      <c r="E1464" s="128"/>
      <c r="F1464" s="128"/>
      <c r="G1464" s="128"/>
      <c r="H1464" s="128"/>
      <c r="I1464" s="129">
        <f>MM!J274</f>
        <v>0</v>
      </c>
      <c r="J1464" s="129"/>
      <c r="K1464" s="129"/>
      <c r="L1464" s="129"/>
      <c r="M1464" s="186"/>
      <c r="N1464" s="186"/>
      <c r="O1464" s="128"/>
      <c r="P1464" s="123" t="str">
        <f t="shared" si="392"/>
        <v/>
      </c>
    </row>
    <row r="1465" spans="1:16" s="114" customFormat="1" ht="15" x14ac:dyDescent="0.25">
      <c r="A1465" s="118"/>
      <c r="B1465" s="117"/>
      <c r="C1465" s="128"/>
      <c r="D1465" s="128"/>
      <c r="E1465" s="128"/>
      <c r="F1465" s="128"/>
      <c r="G1465" s="128"/>
      <c r="H1465" s="128"/>
      <c r="I1465" s="129">
        <f>MM!J275</f>
        <v>0</v>
      </c>
      <c r="J1465" s="129"/>
      <c r="K1465" s="129"/>
      <c r="L1465" s="129"/>
      <c r="M1465" s="186"/>
      <c r="N1465" s="186"/>
      <c r="O1465" s="128"/>
      <c r="P1465" s="123" t="str">
        <f t="shared" si="392"/>
        <v/>
      </c>
    </row>
    <row r="1466" spans="1:16" s="114" customFormat="1" ht="15" x14ac:dyDescent="0.25">
      <c r="A1466" s="118"/>
      <c r="B1466" s="117" t="s">
        <v>240</v>
      </c>
      <c r="C1466" s="128">
        <f>C1462</f>
        <v>400000</v>
      </c>
      <c r="D1466" s="128">
        <f t="shared" ref="D1466:O1466" si="399">D1462</f>
        <v>0</v>
      </c>
      <c r="E1466" s="128">
        <f t="shared" si="399"/>
        <v>0</v>
      </c>
      <c r="F1466" s="128">
        <f t="shared" si="399"/>
        <v>18671.25</v>
      </c>
      <c r="G1466" s="128">
        <f t="shared" si="399"/>
        <v>381328.75</v>
      </c>
      <c r="H1466" s="128">
        <f t="shared" si="399"/>
        <v>4.66</v>
      </c>
      <c r="I1466" s="128">
        <f t="shared" si="399"/>
        <v>0</v>
      </c>
      <c r="J1466" s="128">
        <f t="shared" si="399"/>
        <v>400000</v>
      </c>
      <c r="K1466" s="128">
        <f t="shared" si="399"/>
        <v>418000</v>
      </c>
      <c r="L1466" s="128">
        <f t="shared" si="399"/>
        <v>437228</v>
      </c>
      <c r="M1466" s="128">
        <f t="shared" si="399"/>
        <v>0</v>
      </c>
      <c r="N1466" s="128">
        <f t="shared" si="399"/>
        <v>0</v>
      </c>
      <c r="O1466" s="128">
        <f t="shared" si="399"/>
        <v>457340.48800000001</v>
      </c>
      <c r="P1466" s="123" t="str">
        <f t="shared" si="392"/>
        <v/>
      </c>
    </row>
    <row r="1467" spans="1:16" s="114" customFormat="1" ht="15" x14ac:dyDescent="0.25">
      <c r="A1467" s="118"/>
      <c r="B1467" s="117"/>
      <c r="C1467" s="128"/>
      <c r="D1467" s="128"/>
      <c r="E1467" s="128"/>
      <c r="F1467" s="128"/>
      <c r="G1467" s="128"/>
      <c r="H1467" s="128"/>
      <c r="I1467" s="129">
        <f>MM!J277</f>
        <v>0</v>
      </c>
      <c r="J1467" s="129"/>
      <c r="K1467" s="129"/>
      <c r="L1467" s="129"/>
      <c r="M1467" s="186"/>
      <c r="N1467" s="186"/>
      <c r="O1467" s="128"/>
      <c r="P1467" s="123" t="str">
        <f t="shared" si="392"/>
        <v/>
      </c>
    </row>
    <row r="1468" spans="1:16" s="114" customFormat="1" ht="15" x14ac:dyDescent="0.25">
      <c r="A1468" s="118"/>
      <c r="B1468" s="117" t="s">
        <v>241</v>
      </c>
      <c r="C1468" s="128"/>
      <c r="D1468" s="128"/>
      <c r="E1468" s="128"/>
      <c r="F1468" s="128"/>
      <c r="G1468" s="128"/>
      <c r="H1468" s="128"/>
      <c r="I1468" s="129">
        <f>MM!J278</f>
        <v>0</v>
      </c>
      <c r="J1468" s="129"/>
      <c r="K1468" s="129"/>
      <c r="L1468" s="129"/>
      <c r="M1468" s="186"/>
      <c r="N1468" s="186"/>
      <c r="O1468" s="128"/>
      <c r="P1468" s="123" t="str">
        <f t="shared" si="392"/>
        <v/>
      </c>
    </row>
    <row r="1469" spans="1:16" x14ac:dyDescent="0.2">
      <c r="A1469" s="119"/>
      <c r="B1469" s="120"/>
      <c r="C1469" s="129"/>
      <c r="D1469" s="129"/>
      <c r="E1469" s="129"/>
      <c r="F1469" s="129"/>
      <c r="G1469" s="129"/>
      <c r="H1469" s="129"/>
      <c r="I1469" s="129">
        <f>MM!J279</f>
        <v>0</v>
      </c>
      <c r="J1469" s="129"/>
      <c r="K1469" s="129"/>
      <c r="L1469" s="129"/>
      <c r="O1469" s="129"/>
      <c r="P1469" s="123" t="str">
        <f t="shared" si="392"/>
        <v/>
      </c>
    </row>
    <row r="1470" spans="1:16" x14ac:dyDescent="0.2">
      <c r="A1470" s="119" t="s">
        <v>681</v>
      </c>
      <c r="B1470" s="120" t="s">
        <v>265</v>
      </c>
      <c r="C1470" s="129">
        <v>0</v>
      </c>
      <c r="D1470" s="129">
        <v>1253.29</v>
      </c>
      <c r="E1470" s="129">
        <v>0</v>
      </c>
      <c r="F1470" s="129">
        <v>4535.33</v>
      </c>
      <c r="G1470" s="129">
        <v>-4535.33</v>
      </c>
      <c r="H1470" s="129">
        <v>0</v>
      </c>
      <c r="I1470" s="129">
        <f>MM!J280</f>
        <v>10000</v>
      </c>
      <c r="J1470" s="129">
        <f>MM!K280</f>
        <v>10000</v>
      </c>
      <c r="K1470" s="129">
        <f>MM!L280</f>
        <v>10450</v>
      </c>
      <c r="L1470" s="129">
        <f>MM!M280</f>
        <v>10930.7</v>
      </c>
      <c r="O1470" s="129">
        <f>MM!N280</f>
        <v>11433.512200000001</v>
      </c>
      <c r="P1470" s="123" t="str">
        <f t="shared" si="392"/>
        <v>305</v>
      </c>
    </row>
    <row r="1471" spans="1:16" x14ac:dyDescent="0.2">
      <c r="A1471" s="119" t="s">
        <v>682</v>
      </c>
      <c r="B1471" s="120" t="s">
        <v>268</v>
      </c>
      <c r="C1471" s="129">
        <v>0</v>
      </c>
      <c r="D1471" s="129">
        <v>0</v>
      </c>
      <c r="E1471" s="129">
        <v>0</v>
      </c>
      <c r="F1471" s="129">
        <v>11224.32</v>
      </c>
      <c r="G1471" s="129">
        <v>-11224.32</v>
      </c>
      <c r="H1471" s="129">
        <v>0</v>
      </c>
      <c r="I1471" s="129">
        <f>MM!J281</f>
        <v>25000</v>
      </c>
      <c r="J1471" s="129">
        <f>MM!K281</f>
        <v>25000</v>
      </c>
      <c r="K1471" s="129">
        <f>MM!L281</f>
        <v>26125</v>
      </c>
      <c r="L1471" s="129">
        <f>MM!M281</f>
        <v>27326.75</v>
      </c>
      <c r="O1471" s="129">
        <f>MM!N281</f>
        <v>28583.780500000001</v>
      </c>
      <c r="P1471" s="123" t="str">
        <f t="shared" si="392"/>
        <v>305</v>
      </c>
    </row>
    <row r="1472" spans="1:16" x14ac:dyDescent="0.2">
      <c r="A1472" s="119"/>
      <c r="B1472" s="120"/>
      <c r="C1472" s="129"/>
      <c r="D1472" s="129"/>
      <c r="E1472" s="129"/>
      <c r="F1472" s="129"/>
      <c r="G1472" s="129"/>
      <c r="H1472" s="129"/>
      <c r="I1472" s="129">
        <f>MM!J282</f>
        <v>0</v>
      </c>
      <c r="J1472" s="129"/>
      <c r="K1472" s="129"/>
      <c r="L1472" s="129"/>
      <c r="O1472" s="129"/>
      <c r="P1472" s="123" t="str">
        <f t="shared" si="392"/>
        <v/>
      </c>
    </row>
    <row r="1473" spans="1:16" s="114" customFormat="1" ht="15" x14ac:dyDescent="0.25">
      <c r="A1473" s="118"/>
      <c r="B1473" s="117" t="s">
        <v>274</v>
      </c>
      <c r="C1473" s="128">
        <f>SUM(C1470:C1472)</f>
        <v>0</v>
      </c>
      <c r="D1473" s="128">
        <f t="shared" ref="D1473:O1473" si="400">SUM(D1470:D1472)</f>
        <v>1253.29</v>
      </c>
      <c r="E1473" s="128">
        <f t="shared" si="400"/>
        <v>0</v>
      </c>
      <c r="F1473" s="128">
        <f t="shared" si="400"/>
        <v>15759.65</v>
      </c>
      <c r="G1473" s="128">
        <f t="shared" si="400"/>
        <v>-15759.65</v>
      </c>
      <c r="H1473" s="128">
        <f t="shared" si="400"/>
        <v>0</v>
      </c>
      <c r="I1473" s="128">
        <f t="shared" si="400"/>
        <v>35000</v>
      </c>
      <c r="J1473" s="128">
        <f t="shared" si="400"/>
        <v>35000</v>
      </c>
      <c r="K1473" s="128">
        <f t="shared" si="400"/>
        <v>36575</v>
      </c>
      <c r="L1473" s="128">
        <f t="shared" si="400"/>
        <v>38257.449999999997</v>
      </c>
      <c r="M1473" s="128">
        <f t="shared" si="400"/>
        <v>0</v>
      </c>
      <c r="N1473" s="128">
        <f t="shared" si="400"/>
        <v>0</v>
      </c>
      <c r="O1473" s="128">
        <f t="shared" si="400"/>
        <v>40017.292700000005</v>
      </c>
      <c r="P1473" s="123" t="str">
        <f t="shared" si="392"/>
        <v/>
      </c>
    </row>
    <row r="1474" spans="1:16" s="114" customFormat="1" ht="15" x14ac:dyDescent="0.25">
      <c r="A1474" s="118"/>
      <c r="B1474" s="117"/>
      <c r="C1474" s="128"/>
      <c r="D1474" s="128"/>
      <c r="E1474" s="128"/>
      <c r="F1474" s="128"/>
      <c r="G1474" s="128"/>
      <c r="H1474" s="128"/>
      <c r="I1474" s="129">
        <f>MM!J284</f>
        <v>0</v>
      </c>
      <c r="J1474" s="129"/>
      <c r="K1474" s="129"/>
      <c r="L1474" s="129"/>
      <c r="M1474" s="186"/>
      <c r="N1474" s="186"/>
      <c r="O1474" s="128"/>
      <c r="P1474" s="123" t="str">
        <f t="shared" si="392"/>
        <v/>
      </c>
    </row>
    <row r="1475" spans="1:16" s="114" customFormat="1" ht="15" x14ac:dyDescent="0.25">
      <c r="A1475" s="118"/>
      <c r="B1475" s="117" t="s">
        <v>305</v>
      </c>
      <c r="C1475" s="128">
        <f>C1454+C1466+C1473</f>
        <v>1965446</v>
      </c>
      <c r="D1475" s="128">
        <f t="shared" ref="D1475:O1475" si="401">D1454+D1466+D1473</f>
        <v>144681.87000000002</v>
      </c>
      <c r="E1475" s="128">
        <f t="shared" si="401"/>
        <v>0</v>
      </c>
      <c r="F1475" s="128">
        <f t="shared" si="401"/>
        <v>592637.82999999996</v>
      </c>
      <c r="G1475" s="128">
        <f t="shared" si="401"/>
        <v>1372808.17</v>
      </c>
      <c r="H1475" s="128">
        <f t="shared" si="401"/>
        <v>455.95000000000005</v>
      </c>
      <c r="I1475" s="128">
        <f t="shared" si="401"/>
        <v>-59229.91</v>
      </c>
      <c r="J1475" s="128">
        <f t="shared" si="401"/>
        <v>1906216.0899999999</v>
      </c>
      <c r="K1475" s="128">
        <f t="shared" si="401"/>
        <v>2017742.0956250001</v>
      </c>
      <c r="L1475" s="128">
        <f t="shared" si="401"/>
        <v>2148074.2423187504</v>
      </c>
      <c r="M1475" s="128">
        <f t="shared" si="401"/>
        <v>0</v>
      </c>
      <c r="N1475" s="128">
        <f t="shared" si="401"/>
        <v>0</v>
      </c>
      <c r="O1475" s="128">
        <f t="shared" si="401"/>
        <v>2287027.7884810627</v>
      </c>
      <c r="P1475" s="123" t="str">
        <f t="shared" si="392"/>
        <v/>
      </c>
    </row>
    <row r="1476" spans="1:16" s="114" customFormat="1" ht="15" x14ac:dyDescent="0.25">
      <c r="A1476" s="118"/>
      <c r="B1476" s="117"/>
      <c r="C1476" s="128"/>
      <c r="D1476" s="128"/>
      <c r="E1476" s="128"/>
      <c r="F1476" s="128"/>
      <c r="G1476" s="128"/>
      <c r="H1476" s="128"/>
      <c r="I1476" s="129">
        <f>MM!J286</f>
        <v>0</v>
      </c>
      <c r="J1476" s="129"/>
      <c r="K1476" s="129"/>
      <c r="L1476" s="129"/>
      <c r="M1476" s="186"/>
      <c r="N1476" s="186"/>
      <c r="O1476" s="128"/>
      <c r="P1476" s="123" t="str">
        <f t="shared" si="392"/>
        <v/>
      </c>
    </row>
    <row r="1477" spans="1:16" s="114" customFormat="1" ht="15" x14ac:dyDescent="0.25">
      <c r="A1477" s="118"/>
      <c r="B1477" s="117" t="s">
        <v>306</v>
      </c>
      <c r="C1477" s="128">
        <f>C1475</f>
        <v>1965446</v>
      </c>
      <c r="D1477" s="128">
        <f t="shared" ref="D1477:O1477" si="402">D1475</f>
        <v>144681.87000000002</v>
      </c>
      <c r="E1477" s="128">
        <f t="shared" si="402"/>
        <v>0</v>
      </c>
      <c r="F1477" s="128">
        <f t="shared" si="402"/>
        <v>592637.82999999996</v>
      </c>
      <c r="G1477" s="128">
        <f t="shared" si="402"/>
        <v>1372808.17</v>
      </c>
      <c r="H1477" s="128">
        <f t="shared" si="402"/>
        <v>455.95000000000005</v>
      </c>
      <c r="I1477" s="128">
        <f t="shared" si="402"/>
        <v>-59229.91</v>
      </c>
      <c r="J1477" s="128">
        <f t="shared" si="402"/>
        <v>1906216.0899999999</v>
      </c>
      <c r="K1477" s="128">
        <f t="shared" si="402"/>
        <v>2017742.0956250001</v>
      </c>
      <c r="L1477" s="128">
        <f t="shared" si="402"/>
        <v>2148074.2423187504</v>
      </c>
      <c r="M1477" s="128">
        <f t="shared" si="402"/>
        <v>0</v>
      </c>
      <c r="N1477" s="128">
        <f t="shared" si="402"/>
        <v>0</v>
      </c>
      <c r="O1477" s="128">
        <f t="shared" si="402"/>
        <v>2287027.7884810627</v>
      </c>
      <c r="P1477" s="123" t="str">
        <f t="shared" si="392"/>
        <v/>
      </c>
    </row>
    <row r="1478" spans="1:16" s="114" customFormat="1" ht="15" x14ac:dyDescent="0.25">
      <c r="A1478" s="118"/>
      <c r="B1478" s="117"/>
      <c r="C1478" s="128"/>
      <c r="D1478" s="128"/>
      <c r="E1478" s="128"/>
      <c r="F1478" s="128"/>
      <c r="G1478" s="128"/>
      <c r="H1478" s="128"/>
      <c r="I1478" s="129"/>
      <c r="J1478" s="129"/>
      <c r="K1478" s="129"/>
      <c r="L1478" s="129"/>
      <c r="M1478" s="186"/>
      <c r="N1478" s="186"/>
      <c r="O1478" s="128"/>
      <c r="P1478" s="123" t="str">
        <f t="shared" si="392"/>
        <v/>
      </c>
    </row>
    <row r="1479" spans="1:16" s="114" customFormat="1" ht="15" x14ac:dyDescent="0.25">
      <c r="A1479" s="118"/>
      <c r="B1479" s="117" t="s">
        <v>308</v>
      </c>
      <c r="C1479" s="128"/>
      <c r="D1479" s="128"/>
      <c r="E1479" s="128"/>
      <c r="F1479" s="128"/>
      <c r="G1479" s="128"/>
      <c r="H1479" s="129" t="e">
        <f>'[2]municipal manager'!#REF!</f>
        <v>#REF!</v>
      </c>
      <c r="I1479" s="129"/>
      <c r="J1479" s="129"/>
      <c r="K1479" s="129"/>
      <c r="L1479" s="128"/>
      <c r="M1479" s="186"/>
      <c r="N1479" s="186"/>
      <c r="O1479" s="128"/>
      <c r="P1479" s="123" t="str">
        <f t="shared" ref="P1479:P1542" si="403">MID(A1479,6,3)</f>
        <v/>
      </c>
    </row>
    <row r="1480" spans="1:16" s="114" customFormat="1" ht="15" x14ac:dyDescent="0.25">
      <c r="A1480" s="118"/>
      <c r="B1480" s="117"/>
      <c r="C1480" s="128"/>
      <c r="D1480" s="128"/>
      <c r="E1480" s="128"/>
      <c r="F1480" s="128"/>
      <c r="G1480" s="128"/>
      <c r="H1480" s="129" t="e">
        <f>'[2]municipal manager'!#REF!</f>
        <v>#REF!</v>
      </c>
      <c r="I1480" s="129"/>
      <c r="J1480" s="129"/>
      <c r="K1480" s="129"/>
      <c r="L1480" s="128"/>
      <c r="M1480" s="186"/>
      <c r="N1480" s="186"/>
      <c r="O1480" s="128"/>
      <c r="P1480" s="123" t="str">
        <f t="shared" si="403"/>
        <v/>
      </c>
    </row>
    <row r="1481" spans="1:16" x14ac:dyDescent="0.2">
      <c r="A1481" s="119" t="s">
        <v>1343</v>
      </c>
      <c r="B1481" s="120" t="s">
        <v>1344</v>
      </c>
      <c r="C1481" s="129">
        <f>MM!D291</f>
        <v>0</v>
      </c>
      <c r="D1481" s="129">
        <f>MM!E291</f>
        <v>91950.73</v>
      </c>
      <c r="E1481" s="129">
        <f>MM!F291</f>
        <v>0</v>
      </c>
      <c r="F1481" s="129">
        <f>MM!G291</f>
        <v>551704.38</v>
      </c>
      <c r="G1481" s="129">
        <f>MM!H291</f>
        <v>339403.62</v>
      </c>
      <c r="H1481" s="129">
        <f>MM!I291</f>
        <v>61.91</v>
      </c>
      <c r="I1481" s="129">
        <f>MM!J291</f>
        <v>0</v>
      </c>
      <c r="J1481" s="129">
        <f>MM!K291</f>
        <v>0</v>
      </c>
      <c r="K1481" s="129">
        <f>MM!L291</f>
        <v>800000</v>
      </c>
      <c r="L1481" s="129">
        <f>MM!M291</f>
        <v>900000</v>
      </c>
      <c r="M1481" s="129">
        <f>MM!N291</f>
        <v>0</v>
      </c>
      <c r="N1481" s="129">
        <f>MM!O291</f>
        <v>0</v>
      </c>
      <c r="O1481" s="129">
        <f>MM!P291</f>
        <v>0</v>
      </c>
      <c r="P1481" s="123" t="str">
        <f t="shared" si="403"/>
        <v>470</v>
      </c>
    </row>
    <row r="1482" spans="1:16" x14ac:dyDescent="0.2">
      <c r="A1482" s="119"/>
      <c r="B1482" s="120"/>
      <c r="C1482" s="129"/>
      <c r="D1482" s="129"/>
      <c r="E1482" s="129"/>
      <c r="F1482" s="129"/>
      <c r="G1482" s="129"/>
      <c r="H1482" s="129" t="e">
        <f>'[2]municipal manager'!#REF!</f>
        <v>#REF!</v>
      </c>
      <c r="I1482" s="129"/>
      <c r="J1482" s="129"/>
      <c r="K1482" s="129"/>
      <c r="L1482" s="129"/>
      <c r="O1482" s="129"/>
      <c r="P1482" s="123" t="str">
        <f t="shared" si="403"/>
        <v/>
      </c>
    </row>
    <row r="1483" spans="1:16" s="114" customFormat="1" ht="15" x14ac:dyDescent="0.25">
      <c r="A1483" s="118"/>
      <c r="B1483" s="117" t="s">
        <v>320</v>
      </c>
      <c r="C1483" s="128">
        <f>SUM(C1481:C1482)</f>
        <v>0</v>
      </c>
      <c r="D1483" s="128">
        <f t="shared" ref="D1483:O1483" si="404">SUM(D1481:D1482)</f>
        <v>91950.73</v>
      </c>
      <c r="E1483" s="128">
        <f t="shared" si="404"/>
        <v>0</v>
      </c>
      <c r="F1483" s="128">
        <f t="shared" si="404"/>
        <v>551704.38</v>
      </c>
      <c r="G1483" s="128">
        <f t="shared" si="404"/>
        <v>339403.62</v>
      </c>
      <c r="H1483" s="128" t="e">
        <f t="shared" si="404"/>
        <v>#REF!</v>
      </c>
      <c r="I1483" s="128">
        <f t="shared" si="404"/>
        <v>0</v>
      </c>
      <c r="J1483" s="128">
        <f t="shared" si="404"/>
        <v>0</v>
      </c>
      <c r="K1483" s="128">
        <f t="shared" si="404"/>
        <v>800000</v>
      </c>
      <c r="L1483" s="128">
        <f t="shared" si="404"/>
        <v>900000</v>
      </c>
      <c r="M1483" s="128">
        <f t="shared" si="404"/>
        <v>0</v>
      </c>
      <c r="N1483" s="128">
        <f t="shared" si="404"/>
        <v>0</v>
      </c>
      <c r="O1483" s="128">
        <f t="shared" si="404"/>
        <v>0</v>
      </c>
      <c r="P1483" s="123" t="str">
        <f t="shared" si="403"/>
        <v/>
      </c>
    </row>
    <row r="1484" spans="1:16" s="114" customFormat="1" ht="15" x14ac:dyDescent="0.25">
      <c r="A1484" s="118"/>
      <c r="B1484" s="117"/>
      <c r="C1484" s="128"/>
      <c r="D1484" s="128"/>
      <c r="E1484" s="128"/>
      <c r="F1484" s="128"/>
      <c r="G1484" s="128"/>
      <c r="H1484" s="128"/>
      <c r="I1484" s="129">
        <f>MM!J288</f>
        <v>0</v>
      </c>
      <c r="J1484" s="129"/>
      <c r="K1484" s="129"/>
      <c r="L1484" s="129"/>
      <c r="M1484" s="186"/>
      <c r="N1484" s="186"/>
      <c r="O1484" s="128"/>
      <c r="P1484" s="123" t="str">
        <f t="shared" si="403"/>
        <v/>
      </c>
    </row>
    <row r="1485" spans="1:16" s="114" customFormat="1" ht="15" x14ac:dyDescent="0.25">
      <c r="A1485" s="118"/>
      <c r="B1485" s="117" t="s">
        <v>683</v>
      </c>
      <c r="C1485" s="128"/>
      <c r="D1485" s="128"/>
      <c r="E1485" s="128"/>
      <c r="F1485" s="128"/>
      <c r="G1485" s="128"/>
      <c r="H1485" s="128"/>
      <c r="I1485" s="129">
        <f>MM!J295</f>
        <v>0</v>
      </c>
      <c r="J1485" s="129"/>
      <c r="K1485" s="129"/>
      <c r="L1485" s="129"/>
      <c r="M1485" s="186"/>
      <c r="N1485" s="186"/>
      <c r="O1485" s="128"/>
      <c r="P1485" s="123" t="str">
        <f t="shared" si="403"/>
        <v/>
      </c>
    </row>
    <row r="1486" spans="1:16" s="114" customFormat="1" ht="15" x14ac:dyDescent="0.25">
      <c r="A1486" s="118"/>
      <c r="B1486" s="117"/>
      <c r="C1486" s="128"/>
      <c r="D1486" s="128"/>
      <c r="E1486" s="128"/>
      <c r="F1486" s="128"/>
      <c r="G1486" s="128"/>
      <c r="H1486" s="128"/>
      <c r="I1486" s="129">
        <f>MM!J296</f>
        <v>0</v>
      </c>
      <c r="J1486" s="129"/>
      <c r="K1486" s="129"/>
      <c r="L1486" s="129"/>
      <c r="M1486" s="186"/>
      <c r="N1486" s="186"/>
      <c r="O1486" s="128"/>
      <c r="P1486" s="123" t="str">
        <f t="shared" si="403"/>
        <v/>
      </c>
    </row>
    <row r="1487" spans="1:16" s="114" customFormat="1" ht="15" x14ac:dyDescent="0.25">
      <c r="A1487" s="118"/>
      <c r="B1487" s="117" t="s">
        <v>96</v>
      </c>
      <c r="C1487" s="128"/>
      <c r="D1487" s="128"/>
      <c r="E1487" s="128"/>
      <c r="F1487" s="128"/>
      <c r="G1487" s="128"/>
      <c r="H1487" s="128"/>
      <c r="I1487" s="129">
        <f>MM!J297</f>
        <v>0</v>
      </c>
      <c r="J1487" s="129"/>
      <c r="K1487" s="129"/>
      <c r="L1487" s="129"/>
      <c r="M1487" s="186"/>
      <c r="N1487" s="186"/>
      <c r="O1487" s="128"/>
      <c r="P1487" s="123" t="str">
        <f t="shared" si="403"/>
        <v/>
      </c>
    </row>
    <row r="1488" spans="1:16" s="114" customFormat="1" ht="15" x14ac:dyDescent="0.25">
      <c r="A1488" s="118"/>
      <c r="B1488" s="117" t="s">
        <v>97</v>
      </c>
      <c r="C1488" s="128"/>
      <c r="D1488" s="128"/>
      <c r="E1488" s="128"/>
      <c r="F1488" s="128"/>
      <c r="G1488" s="128"/>
      <c r="H1488" s="128"/>
      <c r="I1488" s="129">
        <f>MM!J298</f>
        <v>0</v>
      </c>
      <c r="J1488" s="129"/>
      <c r="K1488" s="129"/>
      <c r="L1488" s="129"/>
      <c r="M1488" s="186"/>
      <c r="N1488" s="186"/>
      <c r="O1488" s="128"/>
      <c r="P1488" s="123" t="str">
        <f t="shared" si="403"/>
        <v/>
      </c>
    </row>
    <row r="1489" spans="1:16" s="114" customFormat="1" ht="15" x14ac:dyDescent="0.25">
      <c r="A1489" s="118"/>
      <c r="B1489" s="117" t="s">
        <v>148</v>
      </c>
      <c r="C1489" s="128"/>
      <c r="D1489" s="128"/>
      <c r="E1489" s="128"/>
      <c r="F1489" s="128"/>
      <c r="G1489" s="128"/>
      <c r="H1489" s="128"/>
      <c r="I1489" s="129">
        <f>MM!J299</f>
        <v>0</v>
      </c>
      <c r="J1489" s="129"/>
      <c r="K1489" s="129"/>
      <c r="L1489" s="129"/>
      <c r="M1489" s="186"/>
      <c r="N1489" s="186"/>
      <c r="O1489" s="128"/>
      <c r="P1489" s="123" t="str">
        <f t="shared" si="403"/>
        <v/>
      </c>
    </row>
    <row r="1490" spans="1:16" s="114" customFormat="1" ht="15" x14ac:dyDescent="0.25">
      <c r="A1490" s="118"/>
      <c r="B1490" s="117" t="s">
        <v>149</v>
      </c>
      <c r="C1490" s="128"/>
      <c r="D1490" s="128"/>
      <c r="E1490" s="128"/>
      <c r="F1490" s="128"/>
      <c r="G1490" s="128"/>
      <c r="H1490" s="128"/>
      <c r="I1490" s="129">
        <f>MM!J300</f>
        <v>0</v>
      </c>
      <c r="J1490" s="129"/>
      <c r="K1490" s="129"/>
      <c r="L1490" s="129"/>
      <c r="M1490" s="186"/>
      <c r="N1490" s="186"/>
      <c r="O1490" s="128"/>
      <c r="P1490" s="123" t="str">
        <f t="shared" si="403"/>
        <v/>
      </c>
    </row>
    <row r="1491" spans="1:16" x14ac:dyDescent="0.2">
      <c r="A1491" s="119"/>
      <c r="B1491" s="120"/>
      <c r="C1491" s="129"/>
      <c r="D1491" s="129"/>
      <c r="E1491" s="129"/>
      <c r="F1491" s="129"/>
      <c r="G1491" s="129"/>
      <c r="H1491" s="129"/>
      <c r="I1491" s="129">
        <f>MM!J301</f>
        <v>0</v>
      </c>
      <c r="J1491" s="129"/>
      <c r="K1491" s="129"/>
      <c r="L1491" s="129"/>
      <c r="O1491" s="129"/>
      <c r="P1491" s="123" t="str">
        <f t="shared" si="403"/>
        <v/>
      </c>
    </row>
    <row r="1492" spans="1:16" x14ac:dyDescent="0.2">
      <c r="A1492" s="119" t="s">
        <v>684</v>
      </c>
      <c r="B1492" s="120" t="s">
        <v>150</v>
      </c>
      <c r="C1492" s="129">
        <v>1364454</v>
      </c>
      <c r="D1492" s="129">
        <v>107080.93</v>
      </c>
      <c r="E1492" s="129">
        <v>0</v>
      </c>
      <c r="F1492" s="129">
        <v>640736.37</v>
      </c>
      <c r="G1492" s="129">
        <v>723717.63</v>
      </c>
      <c r="H1492" s="129">
        <v>46.95</v>
      </c>
      <c r="I1492" s="129">
        <f>MM!J302</f>
        <v>0</v>
      </c>
      <c r="J1492" s="129">
        <f>MM!K302</f>
        <v>1364454</v>
      </c>
      <c r="K1492" s="129">
        <f>MM!L302</f>
        <v>1449732.375</v>
      </c>
      <c r="L1492" s="129">
        <f>MM!M302</f>
        <v>1551213.6412500001</v>
      </c>
      <c r="O1492" s="129">
        <f>MM!N302</f>
        <v>1659798.5961375001</v>
      </c>
      <c r="P1492" s="123" t="str">
        <f t="shared" si="403"/>
        <v>110</v>
      </c>
    </row>
    <row r="1493" spans="1:16" x14ac:dyDescent="0.2">
      <c r="A1493" s="119" t="s">
        <v>685</v>
      </c>
      <c r="B1493" s="120" t="s">
        <v>150</v>
      </c>
      <c r="C1493" s="129">
        <v>80600</v>
      </c>
      <c r="D1493" s="129">
        <v>6125</v>
      </c>
      <c r="E1493" s="129">
        <v>0</v>
      </c>
      <c r="F1493" s="129">
        <v>37980</v>
      </c>
      <c r="G1493" s="129">
        <v>42620</v>
      </c>
      <c r="H1493" s="129">
        <v>47.12</v>
      </c>
      <c r="I1493" s="129">
        <f>MM!J303</f>
        <v>0</v>
      </c>
      <c r="J1493" s="129">
        <f>MM!K303</f>
        <v>80600</v>
      </c>
      <c r="K1493" s="129">
        <f>MM!L303</f>
        <v>85637.5</v>
      </c>
      <c r="L1493" s="129">
        <f>MM!M303</f>
        <v>91632.125</v>
      </c>
      <c r="O1493" s="129">
        <f>MM!N303</f>
        <v>98046.373749999999</v>
      </c>
      <c r="P1493" s="123" t="str">
        <f t="shared" si="403"/>
        <v>110</v>
      </c>
    </row>
    <row r="1494" spans="1:16" x14ac:dyDescent="0.2">
      <c r="A1494" s="119" t="s">
        <v>686</v>
      </c>
      <c r="B1494" s="120" t="s">
        <v>151</v>
      </c>
      <c r="C1494" s="129">
        <v>66423</v>
      </c>
      <c r="D1494" s="129">
        <v>25401.27</v>
      </c>
      <c r="E1494" s="129">
        <v>0</v>
      </c>
      <c r="F1494" s="129">
        <v>49750.59</v>
      </c>
      <c r="G1494" s="129">
        <v>16672.41</v>
      </c>
      <c r="H1494" s="129">
        <v>74.89</v>
      </c>
      <c r="I1494" s="129">
        <f>MM!J304</f>
        <v>-41021.729999999996</v>
      </c>
      <c r="J1494" s="129">
        <f>MM!K304</f>
        <v>25401.270000000004</v>
      </c>
      <c r="K1494" s="129">
        <f>MM!L304</f>
        <v>26988.849375000005</v>
      </c>
      <c r="L1494" s="129">
        <f>MM!M304</f>
        <v>28878.068831250006</v>
      </c>
      <c r="O1494" s="129">
        <f>MM!N304</f>
        <v>30899.533649437508</v>
      </c>
      <c r="P1494" s="123" t="str">
        <f t="shared" si="403"/>
        <v>110</v>
      </c>
    </row>
    <row r="1495" spans="1:16" x14ac:dyDescent="0.2">
      <c r="A1495" s="119" t="s">
        <v>687</v>
      </c>
      <c r="B1495" s="120" t="s">
        <v>152</v>
      </c>
      <c r="C1495" s="129">
        <v>52200</v>
      </c>
      <c r="D1495" s="129">
        <v>4347.75</v>
      </c>
      <c r="E1495" s="129">
        <v>0</v>
      </c>
      <c r="F1495" s="129">
        <v>26086.5</v>
      </c>
      <c r="G1495" s="129">
        <v>26113.5</v>
      </c>
      <c r="H1495" s="129">
        <v>49.97</v>
      </c>
      <c r="I1495" s="129">
        <f>MM!J305</f>
        <v>0</v>
      </c>
      <c r="J1495" s="129">
        <f>MM!K305</f>
        <v>52200</v>
      </c>
      <c r="K1495" s="129">
        <f>MM!L305</f>
        <v>55462.5</v>
      </c>
      <c r="L1495" s="129">
        <f>MM!M305</f>
        <v>59344.875</v>
      </c>
      <c r="O1495" s="129">
        <f>MM!N305</f>
        <v>63499.016250000001</v>
      </c>
      <c r="P1495" s="123" t="str">
        <f t="shared" si="403"/>
        <v>110</v>
      </c>
    </row>
    <row r="1496" spans="1:16" x14ac:dyDescent="0.2">
      <c r="A1496" s="119" t="s">
        <v>688</v>
      </c>
      <c r="B1496" s="120" t="s">
        <v>153</v>
      </c>
      <c r="C1496" s="129">
        <v>21786</v>
      </c>
      <c r="D1496" s="129">
        <v>907.77</v>
      </c>
      <c r="E1496" s="129">
        <v>0</v>
      </c>
      <c r="F1496" s="129">
        <v>5446.62</v>
      </c>
      <c r="G1496" s="129">
        <v>16339.38</v>
      </c>
      <c r="H1496" s="129">
        <v>25</v>
      </c>
      <c r="I1496" s="129">
        <f>MM!J306</f>
        <v>0</v>
      </c>
      <c r="J1496" s="129">
        <f>MM!K306</f>
        <v>21786</v>
      </c>
      <c r="K1496" s="129">
        <f>MM!L306</f>
        <v>23147.625</v>
      </c>
      <c r="L1496" s="129">
        <f>MM!M306</f>
        <v>24767.958750000002</v>
      </c>
      <c r="O1496" s="129">
        <f>MM!N306</f>
        <v>26501.715862500001</v>
      </c>
      <c r="P1496" s="123" t="str">
        <f t="shared" si="403"/>
        <v>110</v>
      </c>
    </row>
    <row r="1497" spans="1:16" x14ac:dyDescent="0.2">
      <c r="A1497" s="119" t="s">
        <v>689</v>
      </c>
      <c r="B1497" s="120" t="s">
        <v>155</v>
      </c>
      <c r="C1497" s="129">
        <v>44083</v>
      </c>
      <c r="D1497" s="129">
        <v>0</v>
      </c>
      <c r="E1497" s="129">
        <v>0</v>
      </c>
      <c r="F1497" s="129">
        <v>0</v>
      </c>
      <c r="G1497" s="129">
        <v>44083</v>
      </c>
      <c r="H1497" s="129">
        <v>0</v>
      </c>
      <c r="I1497" s="129">
        <f>MM!J307</f>
        <v>0</v>
      </c>
      <c r="J1497" s="129">
        <f>MM!K307</f>
        <v>44083</v>
      </c>
      <c r="K1497" s="129">
        <f>MM!L307</f>
        <v>46838.1875</v>
      </c>
      <c r="L1497" s="129">
        <f>MM!M307</f>
        <v>50116.860625000001</v>
      </c>
      <c r="O1497" s="129">
        <f>MM!N307</f>
        <v>53625.040868750002</v>
      </c>
      <c r="P1497" s="123" t="str">
        <f t="shared" si="403"/>
        <v>110</v>
      </c>
    </row>
    <row r="1498" spans="1:16" x14ac:dyDescent="0.2">
      <c r="A1498" s="119" t="s">
        <v>690</v>
      </c>
      <c r="B1498" s="120" t="s">
        <v>156</v>
      </c>
      <c r="C1498" s="129">
        <v>332114</v>
      </c>
      <c r="D1498" s="129">
        <v>26770.240000000002</v>
      </c>
      <c r="E1498" s="129">
        <v>0</v>
      </c>
      <c r="F1498" s="129">
        <v>160184.13</v>
      </c>
      <c r="G1498" s="129">
        <v>171929.87</v>
      </c>
      <c r="H1498" s="129">
        <v>48.23</v>
      </c>
      <c r="I1498" s="129">
        <f>MM!J308</f>
        <v>0</v>
      </c>
      <c r="J1498" s="129">
        <f>MM!K308</f>
        <v>332114</v>
      </c>
      <c r="K1498" s="129">
        <f>MM!L308</f>
        <v>352871.125</v>
      </c>
      <c r="L1498" s="129">
        <f>MM!M308</f>
        <v>377572.10375000001</v>
      </c>
      <c r="O1498" s="129">
        <f>MM!N308</f>
        <v>404002.15101249999</v>
      </c>
      <c r="P1498" s="123" t="str">
        <f t="shared" si="403"/>
        <v>110</v>
      </c>
    </row>
    <row r="1499" spans="1:16" x14ac:dyDescent="0.2">
      <c r="A1499" s="119" t="s">
        <v>691</v>
      </c>
      <c r="B1499" s="120" t="s">
        <v>158</v>
      </c>
      <c r="C1499" s="129">
        <v>26569</v>
      </c>
      <c r="D1499" s="129">
        <v>0</v>
      </c>
      <c r="E1499" s="129">
        <v>0</v>
      </c>
      <c r="F1499" s="129">
        <v>0</v>
      </c>
      <c r="G1499" s="129">
        <v>26569</v>
      </c>
      <c r="H1499" s="129">
        <v>0</v>
      </c>
      <c r="I1499" s="129">
        <f>MM!J309</f>
        <v>26569</v>
      </c>
      <c r="J1499" s="129">
        <f>MM!K309</f>
        <v>53138</v>
      </c>
      <c r="K1499" s="129">
        <f>MM!L309</f>
        <v>56459.125</v>
      </c>
      <c r="L1499" s="129">
        <f>MM!M309</f>
        <v>60411.263749999998</v>
      </c>
      <c r="O1499" s="129">
        <f>MM!N309</f>
        <v>64640.052212499999</v>
      </c>
      <c r="P1499" s="123" t="str">
        <f t="shared" si="403"/>
        <v>110</v>
      </c>
    </row>
    <row r="1500" spans="1:16" x14ac:dyDescent="0.2">
      <c r="A1500" s="119" t="s">
        <v>692</v>
      </c>
      <c r="B1500" s="120" t="s">
        <v>159</v>
      </c>
      <c r="C1500" s="129">
        <v>110705</v>
      </c>
      <c r="D1500" s="129">
        <v>0</v>
      </c>
      <c r="E1500" s="129">
        <v>0</v>
      </c>
      <c r="F1500" s="129">
        <v>0</v>
      </c>
      <c r="G1500" s="129">
        <v>110705</v>
      </c>
      <c r="H1500" s="129">
        <v>0</v>
      </c>
      <c r="I1500" s="129">
        <f>MM!J310</f>
        <v>0</v>
      </c>
      <c r="J1500" s="129">
        <f>MM!K310</f>
        <v>110705</v>
      </c>
      <c r="K1500" s="129">
        <f>MM!L310</f>
        <v>117624.0625</v>
      </c>
      <c r="L1500" s="129">
        <f>MM!M310</f>
        <v>125857.746875</v>
      </c>
      <c r="O1500" s="129">
        <f>MM!N310</f>
        <v>134667.78915624999</v>
      </c>
      <c r="P1500" s="123" t="str">
        <f t="shared" si="403"/>
        <v>110</v>
      </c>
    </row>
    <row r="1501" spans="1:16" x14ac:dyDescent="0.2">
      <c r="A1501" s="119" t="s">
        <v>693</v>
      </c>
      <c r="B1501" s="120" t="s">
        <v>164</v>
      </c>
      <c r="C1501" s="129">
        <v>15692</v>
      </c>
      <c r="D1501" s="129">
        <v>1307.7</v>
      </c>
      <c r="E1501" s="129">
        <v>0</v>
      </c>
      <c r="F1501" s="129">
        <v>7846.2</v>
      </c>
      <c r="G1501" s="129">
        <v>7845.8</v>
      </c>
      <c r="H1501" s="129">
        <v>50</v>
      </c>
      <c r="I1501" s="129">
        <f>MM!J311</f>
        <v>0</v>
      </c>
      <c r="J1501" s="129">
        <f>MM!K311</f>
        <v>15692</v>
      </c>
      <c r="K1501" s="129">
        <f>MM!L311</f>
        <v>16672.75</v>
      </c>
      <c r="L1501" s="129">
        <f>MM!M311</f>
        <v>17839.842499999999</v>
      </c>
      <c r="O1501" s="129">
        <f>MM!N311</f>
        <v>19088.631474999998</v>
      </c>
      <c r="P1501" s="123" t="str">
        <f t="shared" si="403"/>
        <v>110</v>
      </c>
    </row>
    <row r="1502" spans="1:16" x14ac:dyDescent="0.2">
      <c r="A1502" s="119"/>
      <c r="B1502" s="120"/>
      <c r="C1502" s="129"/>
      <c r="D1502" s="129"/>
      <c r="E1502" s="129"/>
      <c r="F1502" s="129"/>
      <c r="G1502" s="129"/>
      <c r="H1502" s="129"/>
      <c r="I1502" s="129">
        <f>MM!J312</f>
        <v>0</v>
      </c>
      <c r="J1502" s="129"/>
      <c r="K1502" s="129"/>
      <c r="L1502" s="129"/>
      <c r="O1502" s="129"/>
      <c r="P1502" s="123" t="str">
        <f t="shared" si="403"/>
        <v/>
      </c>
    </row>
    <row r="1503" spans="1:16" s="114" customFormat="1" ht="15" x14ac:dyDescent="0.25">
      <c r="A1503" s="118"/>
      <c r="B1503" s="117" t="s">
        <v>165</v>
      </c>
      <c r="C1503" s="128">
        <f>SUM(C1492:C1502)</f>
        <v>2114626</v>
      </c>
      <c r="D1503" s="128">
        <f t="shared" ref="D1503:O1503" si="405">SUM(D1492:D1502)</f>
        <v>171940.65999999997</v>
      </c>
      <c r="E1503" s="128">
        <f t="shared" si="405"/>
        <v>0</v>
      </c>
      <c r="F1503" s="128">
        <f t="shared" si="405"/>
        <v>928030.40999999992</v>
      </c>
      <c r="G1503" s="128">
        <f t="shared" si="405"/>
        <v>1186595.5900000001</v>
      </c>
      <c r="H1503" s="128">
        <f t="shared" si="405"/>
        <v>342.15999999999997</v>
      </c>
      <c r="I1503" s="128">
        <f t="shared" si="405"/>
        <v>-14452.729999999996</v>
      </c>
      <c r="J1503" s="128">
        <f t="shared" si="405"/>
        <v>2100173.27</v>
      </c>
      <c r="K1503" s="128">
        <f t="shared" si="405"/>
        <v>2231434.0993750002</v>
      </c>
      <c r="L1503" s="128">
        <f t="shared" si="405"/>
        <v>2387634.4863312501</v>
      </c>
      <c r="M1503" s="128">
        <f t="shared" si="405"/>
        <v>0</v>
      </c>
      <c r="N1503" s="128">
        <f t="shared" si="405"/>
        <v>0</v>
      </c>
      <c r="O1503" s="128">
        <f t="shared" si="405"/>
        <v>2554768.9003744381</v>
      </c>
      <c r="P1503" s="123" t="str">
        <f t="shared" si="403"/>
        <v/>
      </c>
    </row>
    <row r="1504" spans="1:16" s="114" customFormat="1" ht="15" x14ac:dyDescent="0.25">
      <c r="A1504" s="118"/>
      <c r="B1504" s="117"/>
      <c r="C1504" s="128"/>
      <c r="D1504" s="128"/>
      <c r="E1504" s="128"/>
      <c r="F1504" s="128"/>
      <c r="G1504" s="128"/>
      <c r="H1504" s="128"/>
      <c r="I1504" s="129">
        <f>MM!J314</f>
        <v>0</v>
      </c>
      <c r="J1504" s="129"/>
      <c r="K1504" s="129"/>
      <c r="L1504" s="129"/>
      <c r="M1504" s="186"/>
      <c r="N1504" s="186"/>
      <c r="O1504" s="128"/>
      <c r="P1504" s="123" t="str">
        <f t="shared" si="403"/>
        <v/>
      </c>
    </row>
    <row r="1505" spans="1:16" s="114" customFormat="1" ht="15" x14ac:dyDescent="0.25">
      <c r="A1505" s="118"/>
      <c r="B1505" s="117" t="s">
        <v>166</v>
      </c>
      <c r="C1505" s="128"/>
      <c r="D1505" s="128"/>
      <c r="E1505" s="128"/>
      <c r="F1505" s="128"/>
      <c r="G1505" s="128"/>
      <c r="H1505" s="128"/>
      <c r="I1505" s="129">
        <f>MM!J315</f>
        <v>0</v>
      </c>
      <c r="J1505" s="129"/>
      <c r="K1505" s="129"/>
      <c r="L1505" s="129"/>
      <c r="M1505" s="186"/>
      <c r="N1505" s="186"/>
      <c r="O1505" s="128"/>
      <c r="P1505" s="123" t="str">
        <f t="shared" si="403"/>
        <v/>
      </c>
    </row>
    <row r="1506" spans="1:16" x14ac:dyDescent="0.2">
      <c r="A1506" s="119"/>
      <c r="B1506" s="120"/>
      <c r="C1506" s="129"/>
      <c r="D1506" s="129"/>
      <c r="E1506" s="129"/>
      <c r="F1506" s="129"/>
      <c r="G1506" s="129"/>
      <c r="H1506" s="129"/>
      <c r="I1506" s="129">
        <f>MM!J316</f>
        <v>0</v>
      </c>
      <c r="J1506" s="129"/>
      <c r="K1506" s="129"/>
      <c r="L1506" s="129"/>
      <c r="O1506" s="129"/>
      <c r="P1506" s="123" t="str">
        <f t="shared" si="403"/>
        <v/>
      </c>
    </row>
    <row r="1507" spans="1:16" x14ac:dyDescent="0.2">
      <c r="A1507" s="119" t="s">
        <v>694</v>
      </c>
      <c r="B1507" s="120" t="s">
        <v>167</v>
      </c>
      <c r="C1507" s="129">
        <v>337</v>
      </c>
      <c r="D1507" s="129">
        <v>27.96</v>
      </c>
      <c r="E1507" s="129">
        <v>0</v>
      </c>
      <c r="F1507" s="129">
        <v>167.76</v>
      </c>
      <c r="G1507" s="129">
        <v>169.24</v>
      </c>
      <c r="H1507" s="129">
        <v>49.78</v>
      </c>
      <c r="I1507" s="129">
        <f>MM!J317</f>
        <v>0</v>
      </c>
      <c r="J1507" s="129">
        <f>MM!K317</f>
        <v>337</v>
      </c>
      <c r="K1507" s="129">
        <f>MM!L317</f>
        <v>358.0625</v>
      </c>
      <c r="L1507" s="129">
        <f>MM!M317</f>
        <v>383.12687499999998</v>
      </c>
      <c r="O1507" s="129">
        <f>MM!N317</f>
        <v>409.94575624999999</v>
      </c>
      <c r="P1507" s="123" t="str">
        <f t="shared" si="403"/>
        <v>130</v>
      </c>
    </row>
    <row r="1508" spans="1:16" x14ac:dyDescent="0.2">
      <c r="A1508" s="119" t="s">
        <v>695</v>
      </c>
      <c r="B1508" s="120" t="s">
        <v>168</v>
      </c>
      <c r="C1508" s="129">
        <v>161725</v>
      </c>
      <c r="D1508" s="129">
        <v>9872.4</v>
      </c>
      <c r="E1508" s="129">
        <v>0</v>
      </c>
      <c r="F1508" s="129">
        <v>59234.400000000001</v>
      </c>
      <c r="G1508" s="129">
        <v>102490.6</v>
      </c>
      <c r="H1508" s="129">
        <v>36.619999999999997</v>
      </c>
      <c r="I1508" s="129">
        <f>MM!J318</f>
        <v>0</v>
      </c>
      <c r="J1508" s="129">
        <f>MM!K318</f>
        <v>161725</v>
      </c>
      <c r="K1508" s="129">
        <f>MM!L318</f>
        <v>171832.8125</v>
      </c>
      <c r="L1508" s="129">
        <f>MM!M318</f>
        <v>183861.109375</v>
      </c>
      <c r="O1508" s="129">
        <f>MM!N318</f>
        <v>196731.38703124999</v>
      </c>
      <c r="P1508" s="123" t="str">
        <f t="shared" si="403"/>
        <v>130</v>
      </c>
    </row>
    <row r="1509" spans="1:16" x14ac:dyDescent="0.2">
      <c r="A1509" s="119" t="s">
        <v>696</v>
      </c>
      <c r="B1509" s="120" t="s">
        <v>169</v>
      </c>
      <c r="C1509" s="129">
        <v>278128</v>
      </c>
      <c r="D1509" s="129">
        <v>20480.28</v>
      </c>
      <c r="E1509" s="129">
        <v>0</v>
      </c>
      <c r="F1509" s="129">
        <v>122566.83</v>
      </c>
      <c r="G1509" s="129">
        <v>155561.17000000001</v>
      </c>
      <c r="H1509" s="129">
        <v>44.06</v>
      </c>
      <c r="I1509" s="129">
        <f>MM!J319</f>
        <v>0</v>
      </c>
      <c r="J1509" s="129">
        <f>MM!K319</f>
        <v>278128</v>
      </c>
      <c r="K1509" s="129">
        <f>MM!L319</f>
        <v>295511</v>
      </c>
      <c r="L1509" s="129">
        <f>MM!M319</f>
        <v>316196.77</v>
      </c>
      <c r="O1509" s="129">
        <f>MM!N319</f>
        <v>338330.54390000005</v>
      </c>
      <c r="P1509" s="123" t="str">
        <f t="shared" si="403"/>
        <v>130</v>
      </c>
    </row>
    <row r="1510" spans="1:16" x14ac:dyDescent="0.2">
      <c r="A1510" s="119" t="s">
        <v>697</v>
      </c>
      <c r="B1510" s="120" t="s">
        <v>170</v>
      </c>
      <c r="C1510" s="129">
        <v>5355</v>
      </c>
      <c r="D1510" s="129">
        <v>446.16</v>
      </c>
      <c r="E1510" s="129">
        <v>0</v>
      </c>
      <c r="F1510" s="129">
        <v>2676.96</v>
      </c>
      <c r="G1510" s="129">
        <v>2678.04</v>
      </c>
      <c r="H1510" s="129">
        <v>49.98</v>
      </c>
      <c r="I1510" s="129">
        <f>MM!J320</f>
        <v>0</v>
      </c>
      <c r="J1510" s="129">
        <f>MM!K320</f>
        <v>5355</v>
      </c>
      <c r="K1510" s="129">
        <f>MM!L320</f>
        <v>5689.6875</v>
      </c>
      <c r="L1510" s="129">
        <f>MM!M320</f>
        <v>6087.9656249999998</v>
      </c>
      <c r="O1510" s="129">
        <f>MM!N320</f>
        <v>6514.12321875</v>
      </c>
      <c r="P1510" s="123" t="str">
        <f t="shared" si="403"/>
        <v>130</v>
      </c>
    </row>
    <row r="1511" spans="1:16" x14ac:dyDescent="0.2">
      <c r="A1511" s="119" t="s">
        <v>698</v>
      </c>
      <c r="B1511" s="120" t="s">
        <v>170</v>
      </c>
      <c r="C1511" s="129">
        <v>0</v>
      </c>
      <c r="D1511" s="129">
        <v>61.25</v>
      </c>
      <c r="E1511" s="129">
        <v>0</v>
      </c>
      <c r="F1511" s="129">
        <v>379.8</v>
      </c>
      <c r="G1511" s="129">
        <v>-379.8</v>
      </c>
      <c r="H1511" s="129">
        <v>0</v>
      </c>
      <c r="I1511" s="129">
        <f>MM!J321</f>
        <v>0</v>
      </c>
      <c r="J1511" s="129">
        <f>MM!K321</f>
        <v>0</v>
      </c>
      <c r="K1511" s="129">
        <f>MM!L321</f>
        <v>0</v>
      </c>
      <c r="L1511" s="129">
        <f>MM!M321</f>
        <v>0</v>
      </c>
      <c r="O1511" s="129"/>
      <c r="P1511" s="123" t="str">
        <f t="shared" si="403"/>
        <v>130</v>
      </c>
    </row>
    <row r="1512" spans="1:16" x14ac:dyDescent="0.2">
      <c r="A1512" s="119"/>
      <c r="B1512" s="120"/>
      <c r="C1512" s="129"/>
      <c r="D1512" s="129"/>
      <c r="E1512" s="129"/>
      <c r="F1512" s="129"/>
      <c r="G1512" s="129"/>
      <c r="H1512" s="129"/>
      <c r="I1512" s="129">
        <f>MM!J322</f>
        <v>0</v>
      </c>
      <c r="J1512" s="129"/>
      <c r="K1512" s="129"/>
      <c r="L1512" s="129"/>
      <c r="O1512" s="129"/>
      <c r="P1512" s="123" t="str">
        <f t="shared" si="403"/>
        <v/>
      </c>
    </row>
    <row r="1513" spans="1:16" s="114" customFormat="1" ht="15" x14ac:dyDescent="0.25">
      <c r="A1513" s="118"/>
      <c r="B1513" s="117" t="s">
        <v>171</v>
      </c>
      <c r="C1513" s="128">
        <f>SUM(C1507:C1512)</f>
        <v>445545</v>
      </c>
      <c r="D1513" s="128">
        <f t="shared" ref="D1513:O1513" si="406">SUM(D1507:D1512)</f>
        <v>30888.05</v>
      </c>
      <c r="E1513" s="128">
        <f t="shared" si="406"/>
        <v>0</v>
      </c>
      <c r="F1513" s="128">
        <f t="shared" si="406"/>
        <v>185025.74999999997</v>
      </c>
      <c r="G1513" s="128">
        <f t="shared" si="406"/>
        <v>260519.25000000003</v>
      </c>
      <c r="H1513" s="128">
        <f t="shared" si="406"/>
        <v>180.44</v>
      </c>
      <c r="I1513" s="128">
        <f t="shared" si="406"/>
        <v>0</v>
      </c>
      <c r="J1513" s="128">
        <f t="shared" si="406"/>
        <v>445545</v>
      </c>
      <c r="K1513" s="128">
        <f t="shared" si="406"/>
        <v>473391.5625</v>
      </c>
      <c r="L1513" s="128">
        <f t="shared" si="406"/>
        <v>506528.97187499999</v>
      </c>
      <c r="M1513" s="128">
        <f t="shared" si="406"/>
        <v>0</v>
      </c>
      <c r="N1513" s="128">
        <f t="shared" si="406"/>
        <v>0</v>
      </c>
      <c r="O1513" s="128">
        <f t="shared" si="406"/>
        <v>541985.99990625004</v>
      </c>
      <c r="P1513" s="123" t="str">
        <f t="shared" si="403"/>
        <v/>
      </c>
    </row>
    <row r="1514" spans="1:16" s="114" customFormat="1" ht="15" x14ac:dyDescent="0.25">
      <c r="A1514" s="118"/>
      <c r="B1514" s="117"/>
      <c r="C1514" s="128"/>
      <c r="D1514" s="128"/>
      <c r="E1514" s="128"/>
      <c r="F1514" s="128"/>
      <c r="G1514" s="128"/>
      <c r="H1514" s="128"/>
      <c r="I1514" s="129">
        <f>MM!J324</f>
        <v>0</v>
      </c>
      <c r="J1514" s="129"/>
      <c r="K1514" s="129"/>
      <c r="L1514" s="129"/>
      <c r="M1514" s="186"/>
      <c r="N1514" s="186"/>
      <c r="O1514" s="128"/>
      <c r="P1514" s="123" t="str">
        <f t="shared" si="403"/>
        <v/>
      </c>
    </row>
    <row r="1515" spans="1:16" s="114" customFormat="1" ht="15" x14ac:dyDescent="0.25">
      <c r="A1515" s="118"/>
      <c r="B1515" s="117" t="s">
        <v>172</v>
      </c>
      <c r="C1515" s="128"/>
      <c r="D1515" s="128"/>
      <c r="E1515" s="128"/>
      <c r="F1515" s="128"/>
      <c r="G1515" s="128"/>
      <c r="H1515" s="128"/>
      <c r="I1515" s="129">
        <f>MM!J325</f>
        <v>0</v>
      </c>
      <c r="J1515" s="129"/>
      <c r="K1515" s="129"/>
      <c r="L1515" s="129"/>
      <c r="M1515" s="186"/>
      <c r="N1515" s="186"/>
      <c r="O1515" s="128"/>
      <c r="P1515" s="123" t="str">
        <f t="shared" si="403"/>
        <v/>
      </c>
    </row>
    <row r="1516" spans="1:16" x14ac:dyDescent="0.2">
      <c r="A1516" s="119"/>
      <c r="B1516" s="120"/>
      <c r="C1516" s="129"/>
      <c r="D1516" s="129"/>
      <c r="E1516" s="129"/>
      <c r="F1516" s="129"/>
      <c r="G1516" s="129"/>
      <c r="H1516" s="129"/>
      <c r="I1516" s="129">
        <f>MM!J326</f>
        <v>0</v>
      </c>
      <c r="J1516" s="129"/>
      <c r="K1516" s="129"/>
      <c r="L1516" s="129"/>
      <c r="O1516" s="129"/>
      <c r="P1516" s="123" t="str">
        <f t="shared" si="403"/>
        <v/>
      </c>
    </row>
    <row r="1517" spans="1:16" x14ac:dyDescent="0.2">
      <c r="A1517" s="119" t="s">
        <v>699</v>
      </c>
      <c r="B1517" s="120" t="s">
        <v>173</v>
      </c>
      <c r="C1517" s="129">
        <v>8794</v>
      </c>
      <c r="D1517" s="129">
        <v>0</v>
      </c>
      <c r="E1517" s="129">
        <v>0</v>
      </c>
      <c r="F1517" s="129">
        <v>0</v>
      </c>
      <c r="G1517" s="129">
        <v>8794</v>
      </c>
      <c r="H1517" s="129">
        <v>0</v>
      </c>
      <c r="I1517" s="129">
        <f>MM!J327</f>
        <v>0</v>
      </c>
      <c r="J1517" s="129">
        <f>MM!K327</f>
        <v>8794</v>
      </c>
      <c r="K1517" s="129">
        <f>MM!L327</f>
        <v>9343.625</v>
      </c>
      <c r="L1517" s="129">
        <f>MM!M327</f>
        <v>9997.6787499999991</v>
      </c>
      <c r="O1517" s="129">
        <f>MM!N327</f>
        <v>10697.516262499999</v>
      </c>
      <c r="P1517" s="123" t="str">
        <f t="shared" si="403"/>
        <v>140</v>
      </c>
    </row>
    <row r="1518" spans="1:16" x14ac:dyDescent="0.2">
      <c r="A1518" s="119" t="s">
        <v>700</v>
      </c>
      <c r="B1518" s="120" t="s">
        <v>174</v>
      </c>
      <c r="C1518" s="129">
        <v>8346</v>
      </c>
      <c r="D1518" s="129">
        <v>0</v>
      </c>
      <c r="E1518" s="129">
        <v>0</v>
      </c>
      <c r="F1518" s="129">
        <v>0</v>
      </c>
      <c r="G1518" s="129">
        <v>8346</v>
      </c>
      <c r="H1518" s="129">
        <v>0</v>
      </c>
      <c r="I1518" s="129">
        <f>MM!J328</f>
        <v>0</v>
      </c>
      <c r="J1518" s="129">
        <f>MM!K328</f>
        <v>8346</v>
      </c>
      <c r="K1518" s="129">
        <f>MM!L328</f>
        <v>8867.625</v>
      </c>
      <c r="L1518" s="129">
        <f>MM!M328</f>
        <v>9488.3587499999994</v>
      </c>
      <c r="O1518" s="129">
        <f>MM!N328</f>
        <v>10152.543862499999</v>
      </c>
      <c r="P1518" s="123" t="str">
        <f t="shared" si="403"/>
        <v>140</v>
      </c>
    </row>
    <row r="1519" spans="1:16" x14ac:dyDescent="0.2">
      <c r="A1519" s="119" t="s">
        <v>701</v>
      </c>
      <c r="B1519" s="120" t="s">
        <v>175</v>
      </c>
      <c r="C1519" s="129">
        <v>11677</v>
      </c>
      <c r="D1519" s="129">
        <v>0</v>
      </c>
      <c r="E1519" s="129">
        <v>0</v>
      </c>
      <c r="F1519" s="129">
        <v>0</v>
      </c>
      <c r="G1519" s="129">
        <v>11677</v>
      </c>
      <c r="H1519" s="129">
        <v>0</v>
      </c>
      <c r="I1519" s="129">
        <f>MM!J329</f>
        <v>0</v>
      </c>
      <c r="J1519" s="129">
        <f>MM!K329</f>
        <v>11677</v>
      </c>
      <c r="K1519" s="129">
        <f>MM!L329</f>
        <v>12406.8125</v>
      </c>
      <c r="L1519" s="129">
        <f>MM!M329</f>
        <v>13275.289375</v>
      </c>
      <c r="O1519" s="129">
        <f>MM!N329</f>
        <v>14204.55963125</v>
      </c>
      <c r="P1519" s="123" t="str">
        <f t="shared" si="403"/>
        <v>142</v>
      </c>
    </row>
    <row r="1520" spans="1:16" x14ac:dyDescent="0.2">
      <c r="A1520" s="119"/>
      <c r="B1520" s="120"/>
      <c r="C1520" s="129"/>
      <c r="D1520" s="129"/>
      <c r="E1520" s="129"/>
      <c r="F1520" s="129"/>
      <c r="G1520" s="129"/>
      <c r="H1520" s="129"/>
      <c r="I1520" s="129">
        <f>MM!J330</f>
        <v>0</v>
      </c>
      <c r="J1520" s="129"/>
      <c r="K1520" s="129"/>
      <c r="L1520" s="129"/>
      <c r="O1520" s="129"/>
      <c r="P1520" s="123" t="str">
        <f t="shared" si="403"/>
        <v/>
      </c>
    </row>
    <row r="1521" spans="1:16" s="114" customFormat="1" ht="15" x14ac:dyDescent="0.25">
      <c r="A1521" s="118"/>
      <c r="B1521" s="117" t="s">
        <v>176</v>
      </c>
      <c r="C1521" s="128">
        <f>SUM(C1517:C1520)</f>
        <v>28817</v>
      </c>
      <c r="D1521" s="128">
        <f t="shared" ref="D1521:O1521" si="407">SUM(D1517:D1520)</f>
        <v>0</v>
      </c>
      <c r="E1521" s="128">
        <f t="shared" si="407"/>
        <v>0</v>
      </c>
      <c r="F1521" s="128">
        <f t="shared" si="407"/>
        <v>0</v>
      </c>
      <c r="G1521" s="128">
        <f t="shared" si="407"/>
        <v>28817</v>
      </c>
      <c r="H1521" s="128">
        <f t="shared" si="407"/>
        <v>0</v>
      </c>
      <c r="I1521" s="128">
        <f t="shared" si="407"/>
        <v>0</v>
      </c>
      <c r="J1521" s="128">
        <f t="shared" si="407"/>
        <v>28817</v>
      </c>
      <c r="K1521" s="128">
        <f t="shared" si="407"/>
        <v>30618.0625</v>
      </c>
      <c r="L1521" s="128">
        <f t="shared" si="407"/>
        <v>32761.326874999999</v>
      </c>
      <c r="M1521" s="128">
        <f t="shared" si="407"/>
        <v>0</v>
      </c>
      <c r="N1521" s="128">
        <f t="shared" si="407"/>
        <v>0</v>
      </c>
      <c r="O1521" s="128">
        <f t="shared" si="407"/>
        <v>35054.619756249995</v>
      </c>
      <c r="P1521" s="123" t="str">
        <f t="shared" si="403"/>
        <v/>
      </c>
    </row>
    <row r="1522" spans="1:16" s="114" customFormat="1" ht="15" x14ac:dyDescent="0.25">
      <c r="A1522" s="118"/>
      <c r="B1522" s="117"/>
      <c r="C1522" s="128"/>
      <c r="D1522" s="128"/>
      <c r="E1522" s="128"/>
      <c r="F1522" s="128"/>
      <c r="G1522" s="128"/>
      <c r="H1522" s="128"/>
      <c r="I1522" s="129">
        <f>MM!J332</f>
        <v>0</v>
      </c>
      <c r="J1522" s="129"/>
      <c r="K1522" s="129"/>
      <c r="L1522" s="129"/>
      <c r="M1522" s="186"/>
      <c r="N1522" s="186"/>
      <c r="O1522" s="128"/>
      <c r="P1522" s="123" t="str">
        <f t="shared" si="403"/>
        <v/>
      </c>
    </row>
    <row r="1523" spans="1:16" s="114" customFormat="1" ht="15" x14ac:dyDescent="0.25">
      <c r="A1523" s="118"/>
      <c r="B1523" s="117" t="s">
        <v>177</v>
      </c>
      <c r="C1523" s="128">
        <f>C1503+C1513+C1521</f>
        <v>2588988</v>
      </c>
      <c r="D1523" s="128">
        <f t="shared" ref="D1523:O1523" si="408">D1503+D1513+D1521</f>
        <v>202828.70999999996</v>
      </c>
      <c r="E1523" s="128">
        <f t="shared" si="408"/>
        <v>0</v>
      </c>
      <c r="F1523" s="128">
        <f t="shared" si="408"/>
        <v>1113056.1599999999</v>
      </c>
      <c r="G1523" s="128">
        <f t="shared" si="408"/>
        <v>1475931.84</v>
      </c>
      <c r="H1523" s="128">
        <f t="shared" si="408"/>
        <v>522.59999999999991</v>
      </c>
      <c r="I1523" s="128">
        <f t="shared" si="408"/>
        <v>-14452.729999999996</v>
      </c>
      <c r="J1523" s="128">
        <f t="shared" si="408"/>
        <v>2574535.27</v>
      </c>
      <c r="K1523" s="128">
        <f t="shared" si="408"/>
        <v>2735443.7243750002</v>
      </c>
      <c r="L1523" s="128">
        <f t="shared" si="408"/>
        <v>2926924.7850812497</v>
      </c>
      <c r="M1523" s="128">
        <f t="shared" si="408"/>
        <v>0</v>
      </c>
      <c r="N1523" s="128">
        <f t="shared" si="408"/>
        <v>0</v>
      </c>
      <c r="O1523" s="128">
        <f t="shared" si="408"/>
        <v>3131809.5200369381</v>
      </c>
      <c r="P1523" s="123" t="str">
        <f t="shared" si="403"/>
        <v/>
      </c>
    </row>
    <row r="1524" spans="1:16" s="114" customFormat="1" ht="15" x14ac:dyDescent="0.25">
      <c r="A1524" s="118"/>
      <c r="B1524" s="117"/>
      <c r="C1524" s="128"/>
      <c r="D1524" s="128"/>
      <c r="E1524" s="128"/>
      <c r="F1524" s="128"/>
      <c r="G1524" s="128"/>
      <c r="H1524" s="128"/>
      <c r="I1524" s="129">
        <f>MM!J334</f>
        <v>0</v>
      </c>
      <c r="J1524" s="129"/>
      <c r="K1524" s="129"/>
      <c r="L1524" s="129"/>
      <c r="M1524" s="186"/>
      <c r="N1524" s="186"/>
      <c r="O1524" s="128"/>
      <c r="P1524" s="123" t="str">
        <f t="shared" si="403"/>
        <v/>
      </c>
    </row>
    <row r="1525" spans="1:16" s="114" customFormat="1" ht="15" x14ac:dyDescent="0.25">
      <c r="A1525" s="118"/>
      <c r="B1525" s="117" t="s">
        <v>178</v>
      </c>
      <c r="C1525" s="128">
        <f>C1523</f>
        <v>2588988</v>
      </c>
      <c r="D1525" s="128">
        <f t="shared" ref="D1525:O1525" si="409">D1523</f>
        <v>202828.70999999996</v>
      </c>
      <c r="E1525" s="128">
        <f t="shared" si="409"/>
        <v>0</v>
      </c>
      <c r="F1525" s="128">
        <f t="shared" si="409"/>
        <v>1113056.1599999999</v>
      </c>
      <c r="G1525" s="128">
        <f t="shared" si="409"/>
        <v>1475931.84</v>
      </c>
      <c r="H1525" s="128">
        <f t="shared" si="409"/>
        <v>522.59999999999991</v>
      </c>
      <c r="I1525" s="128">
        <f t="shared" si="409"/>
        <v>-14452.729999999996</v>
      </c>
      <c r="J1525" s="128">
        <f t="shared" si="409"/>
        <v>2574535.27</v>
      </c>
      <c r="K1525" s="128">
        <f t="shared" si="409"/>
        <v>2735443.7243750002</v>
      </c>
      <c r="L1525" s="128">
        <f t="shared" si="409"/>
        <v>2926924.7850812497</v>
      </c>
      <c r="M1525" s="128">
        <f t="shared" si="409"/>
        <v>0</v>
      </c>
      <c r="N1525" s="128">
        <f t="shared" si="409"/>
        <v>0</v>
      </c>
      <c r="O1525" s="128">
        <f t="shared" si="409"/>
        <v>3131809.5200369381</v>
      </c>
      <c r="P1525" s="123" t="str">
        <f t="shared" si="403"/>
        <v/>
      </c>
    </row>
    <row r="1526" spans="1:16" s="114" customFormat="1" ht="15" x14ac:dyDescent="0.25">
      <c r="A1526" s="118"/>
      <c r="B1526" s="117"/>
      <c r="C1526" s="128"/>
      <c r="D1526" s="128"/>
      <c r="E1526" s="128"/>
      <c r="F1526" s="128"/>
      <c r="G1526" s="128"/>
      <c r="H1526" s="128"/>
      <c r="I1526" s="129">
        <f>MM!J336</f>
        <v>0</v>
      </c>
      <c r="J1526" s="129"/>
      <c r="K1526" s="129"/>
      <c r="L1526" s="129"/>
      <c r="M1526" s="186"/>
      <c r="N1526" s="186"/>
      <c r="O1526" s="128"/>
      <c r="P1526" s="123" t="str">
        <f t="shared" si="403"/>
        <v/>
      </c>
    </row>
    <row r="1527" spans="1:16" s="114" customFormat="1" ht="15" x14ac:dyDescent="0.25">
      <c r="A1527" s="118"/>
      <c r="B1527" s="117" t="s">
        <v>208</v>
      </c>
      <c r="C1527" s="128"/>
      <c r="D1527" s="128"/>
      <c r="E1527" s="128"/>
      <c r="F1527" s="128"/>
      <c r="G1527" s="128"/>
      <c r="H1527" s="128"/>
      <c r="I1527" s="129">
        <f>MM!J337</f>
        <v>0</v>
      </c>
      <c r="J1527" s="129"/>
      <c r="K1527" s="129"/>
      <c r="L1527" s="129"/>
      <c r="M1527" s="186"/>
      <c r="N1527" s="186"/>
      <c r="O1527" s="128"/>
      <c r="P1527" s="123" t="str">
        <f t="shared" si="403"/>
        <v/>
      </c>
    </row>
    <row r="1528" spans="1:16" s="114" customFormat="1" ht="15" x14ac:dyDescent="0.25">
      <c r="A1528" s="118"/>
      <c r="B1528" s="117"/>
      <c r="C1528" s="128"/>
      <c r="D1528" s="128"/>
      <c r="E1528" s="128"/>
      <c r="F1528" s="128"/>
      <c r="G1528" s="128"/>
      <c r="H1528" s="128"/>
      <c r="I1528" s="129">
        <f>MM!J338</f>
        <v>0</v>
      </c>
      <c r="J1528" s="129"/>
      <c r="K1528" s="129"/>
      <c r="L1528" s="129"/>
      <c r="M1528" s="186"/>
      <c r="N1528" s="186"/>
      <c r="O1528" s="128"/>
      <c r="P1528" s="123" t="str">
        <f t="shared" si="403"/>
        <v/>
      </c>
    </row>
    <row r="1529" spans="1:16" s="114" customFormat="1" ht="15" x14ac:dyDescent="0.25">
      <c r="A1529" s="118"/>
      <c r="B1529" s="117" t="s">
        <v>218</v>
      </c>
      <c r="C1529" s="128"/>
      <c r="D1529" s="128"/>
      <c r="E1529" s="128"/>
      <c r="F1529" s="128"/>
      <c r="G1529" s="128"/>
      <c r="H1529" s="128"/>
      <c r="I1529" s="129">
        <f>MM!J339</f>
        <v>0</v>
      </c>
      <c r="J1529" s="129"/>
      <c r="K1529" s="129"/>
      <c r="L1529" s="129"/>
      <c r="M1529" s="186"/>
      <c r="N1529" s="186"/>
      <c r="O1529" s="128"/>
      <c r="P1529" s="123" t="str">
        <f t="shared" si="403"/>
        <v/>
      </c>
    </row>
    <row r="1530" spans="1:16" x14ac:dyDescent="0.2">
      <c r="A1530" s="119"/>
      <c r="B1530" s="120"/>
      <c r="C1530" s="129"/>
      <c r="D1530" s="129"/>
      <c r="E1530" s="129"/>
      <c r="F1530" s="129"/>
      <c r="G1530" s="129"/>
      <c r="H1530" s="129"/>
      <c r="I1530" s="129">
        <f>MM!J340</f>
        <v>0</v>
      </c>
      <c r="J1530" s="129"/>
      <c r="K1530" s="129"/>
      <c r="L1530" s="129"/>
      <c r="O1530" s="129"/>
      <c r="P1530" s="123" t="str">
        <f t="shared" si="403"/>
        <v/>
      </c>
    </row>
    <row r="1531" spans="1:16" x14ac:dyDescent="0.2">
      <c r="A1531" s="119" t="s">
        <v>702</v>
      </c>
      <c r="B1531" s="120" t="s">
        <v>220</v>
      </c>
      <c r="C1531" s="129">
        <v>424278</v>
      </c>
      <c r="D1531" s="129">
        <v>23638.44</v>
      </c>
      <c r="E1531" s="129">
        <v>0</v>
      </c>
      <c r="F1531" s="129">
        <v>212544.28</v>
      </c>
      <c r="G1531" s="129">
        <v>211733.72</v>
      </c>
      <c r="H1531" s="129">
        <v>50.09</v>
      </c>
      <c r="I1531" s="129">
        <f>MM!J341</f>
        <v>0</v>
      </c>
      <c r="J1531" s="129">
        <f>MM!K341</f>
        <v>424278</v>
      </c>
      <c r="K1531" s="129">
        <f>MM!L341</f>
        <v>443370.51</v>
      </c>
      <c r="L1531" s="129">
        <f>MM!M341</f>
        <v>463765.55346000002</v>
      </c>
      <c r="O1531" s="129">
        <f>MM!N341</f>
        <v>485098.76891916001</v>
      </c>
      <c r="P1531" s="123" t="str">
        <f t="shared" si="403"/>
        <v>270</v>
      </c>
    </row>
    <row r="1532" spans="1:16" x14ac:dyDescent="0.2">
      <c r="A1532" s="119"/>
      <c r="B1532" s="120"/>
      <c r="C1532" s="129"/>
      <c r="D1532" s="129"/>
      <c r="E1532" s="129"/>
      <c r="F1532" s="129"/>
      <c r="G1532" s="129"/>
      <c r="H1532" s="129"/>
      <c r="I1532" s="129">
        <f>MM!J342</f>
        <v>0</v>
      </c>
      <c r="J1532" s="129"/>
      <c r="K1532" s="129"/>
      <c r="L1532" s="129"/>
      <c r="O1532" s="129"/>
      <c r="P1532" s="123" t="str">
        <f t="shared" si="403"/>
        <v/>
      </c>
    </row>
    <row r="1533" spans="1:16" s="114" customFormat="1" ht="15" x14ac:dyDescent="0.25">
      <c r="A1533" s="118"/>
      <c r="B1533" s="117" t="s">
        <v>227</v>
      </c>
      <c r="C1533" s="128">
        <f>SUM(C1531:C1532)</f>
        <v>424278</v>
      </c>
      <c r="D1533" s="128">
        <f t="shared" ref="D1533:O1533" si="410">SUM(D1531:D1532)</f>
        <v>23638.44</v>
      </c>
      <c r="E1533" s="128">
        <f t="shared" si="410"/>
        <v>0</v>
      </c>
      <c r="F1533" s="128">
        <f t="shared" si="410"/>
        <v>212544.28</v>
      </c>
      <c r="G1533" s="128">
        <f t="shared" si="410"/>
        <v>211733.72</v>
      </c>
      <c r="H1533" s="128">
        <f t="shared" si="410"/>
        <v>50.09</v>
      </c>
      <c r="I1533" s="128">
        <f t="shared" si="410"/>
        <v>0</v>
      </c>
      <c r="J1533" s="128">
        <f t="shared" si="410"/>
        <v>424278</v>
      </c>
      <c r="K1533" s="128">
        <f t="shared" si="410"/>
        <v>443370.51</v>
      </c>
      <c r="L1533" s="128">
        <f t="shared" si="410"/>
        <v>463765.55346000002</v>
      </c>
      <c r="M1533" s="128">
        <f t="shared" si="410"/>
        <v>0</v>
      </c>
      <c r="N1533" s="128">
        <f t="shared" si="410"/>
        <v>0</v>
      </c>
      <c r="O1533" s="128">
        <f t="shared" si="410"/>
        <v>485098.76891916001</v>
      </c>
      <c r="P1533" s="123" t="str">
        <f t="shared" si="403"/>
        <v/>
      </c>
    </row>
    <row r="1534" spans="1:16" s="114" customFormat="1" ht="15" x14ac:dyDescent="0.25">
      <c r="A1534" s="118"/>
      <c r="B1534" s="117"/>
      <c r="C1534" s="128"/>
      <c r="D1534" s="128"/>
      <c r="E1534" s="128"/>
      <c r="F1534" s="128"/>
      <c r="G1534" s="128"/>
      <c r="H1534" s="128"/>
      <c r="I1534" s="129">
        <f>MM!J344</f>
        <v>0</v>
      </c>
      <c r="J1534" s="129"/>
      <c r="K1534" s="129"/>
      <c r="L1534" s="129"/>
      <c r="M1534" s="186"/>
      <c r="N1534" s="186"/>
      <c r="O1534" s="128"/>
      <c r="P1534" s="123" t="str">
        <f t="shared" si="403"/>
        <v/>
      </c>
    </row>
    <row r="1535" spans="1:16" s="114" customFormat="1" ht="15" x14ac:dyDescent="0.25">
      <c r="A1535" s="118"/>
      <c r="B1535" s="117" t="s">
        <v>228</v>
      </c>
      <c r="C1535" s="128"/>
      <c r="D1535" s="128"/>
      <c r="E1535" s="128"/>
      <c r="F1535" s="128"/>
      <c r="G1535" s="128"/>
      <c r="H1535" s="128"/>
      <c r="I1535" s="129">
        <f>MM!J345</f>
        <v>0</v>
      </c>
      <c r="J1535" s="129"/>
      <c r="K1535" s="129"/>
      <c r="L1535" s="129"/>
      <c r="M1535" s="186"/>
      <c r="N1535" s="186"/>
      <c r="O1535" s="128"/>
      <c r="P1535" s="123" t="str">
        <f t="shared" si="403"/>
        <v/>
      </c>
    </row>
    <row r="1536" spans="1:16" s="114" customFormat="1" ht="15" x14ac:dyDescent="0.25">
      <c r="A1536" s="118"/>
      <c r="B1536" s="117"/>
      <c r="C1536" s="128"/>
      <c r="D1536" s="128"/>
      <c r="E1536" s="128"/>
      <c r="F1536" s="128"/>
      <c r="G1536" s="128"/>
      <c r="H1536" s="128"/>
      <c r="I1536" s="129">
        <f>MM!J346</f>
        <v>0</v>
      </c>
      <c r="J1536" s="129"/>
      <c r="K1536" s="129"/>
      <c r="L1536" s="129"/>
      <c r="M1536" s="186"/>
      <c r="N1536" s="186"/>
      <c r="O1536" s="128"/>
      <c r="P1536" s="123" t="str">
        <f t="shared" si="403"/>
        <v/>
      </c>
    </row>
    <row r="1537" spans="1:16" s="114" customFormat="1" ht="15" x14ac:dyDescent="0.25">
      <c r="A1537" s="118"/>
      <c r="B1537" s="117" t="s">
        <v>240</v>
      </c>
      <c r="C1537" s="128">
        <f>C1533</f>
        <v>424278</v>
      </c>
      <c r="D1537" s="128">
        <f t="shared" ref="D1537:O1537" si="411">D1533</f>
        <v>23638.44</v>
      </c>
      <c r="E1537" s="128">
        <f t="shared" si="411"/>
        <v>0</v>
      </c>
      <c r="F1537" s="128">
        <f t="shared" si="411"/>
        <v>212544.28</v>
      </c>
      <c r="G1537" s="128">
        <f t="shared" si="411"/>
        <v>211733.72</v>
      </c>
      <c r="H1537" s="128">
        <f t="shared" si="411"/>
        <v>50.09</v>
      </c>
      <c r="I1537" s="128">
        <f t="shared" si="411"/>
        <v>0</v>
      </c>
      <c r="J1537" s="128">
        <f t="shared" si="411"/>
        <v>424278</v>
      </c>
      <c r="K1537" s="128">
        <f t="shared" si="411"/>
        <v>443370.51</v>
      </c>
      <c r="L1537" s="128">
        <f t="shared" si="411"/>
        <v>463765.55346000002</v>
      </c>
      <c r="M1537" s="128">
        <f t="shared" si="411"/>
        <v>0</v>
      </c>
      <c r="N1537" s="128">
        <f t="shared" si="411"/>
        <v>0</v>
      </c>
      <c r="O1537" s="128">
        <f t="shared" si="411"/>
        <v>485098.76891916001</v>
      </c>
      <c r="P1537" s="123" t="str">
        <f t="shared" si="403"/>
        <v/>
      </c>
    </row>
    <row r="1538" spans="1:16" s="114" customFormat="1" ht="15" x14ac:dyDescent="0.25">
      <c r="A1538" s="118"/>
      <c r="B1538" s="117"/>
      <c r="C1538" s="128"/>
      <c r="D1538" s="128"/>
      <c r="E1538" s="128"/>
      <c r="F1538" s="128"/>
      <c r="G1538" s="128"/>
      <c r="H1538" s="128"/>
      <c r="I1538" s="129">
        <f>MM!J348</f>
        <v>0</v>
      </c>
      <c r="J1538" s="129"/>
      <c r="K1538" s="129"/>
      <c r="L1538" s="129"/>
      <c r="M1538" s="186"/>
      <c r="N1538" s="186"/>
      <c r="O1538" s="128"/>
      <c r="P1538" s="123" t="str">
        <f t="shared" si="403"/>
        <v/>
      </c>
    </row>
    <row r="1539" spans="1:16" s="114" customFormat="1" ht="15" x14ac:dyDescent="0.25">
      <c r="A1539" s="118"/>
      <c r="B1539" s="117" t="s">
        <v>241</v>
      </c>
      <c r="C1539" s="128"/>
      <c r="D1539" s="128"/>
      <c r="E1539" s="128"/>
      <c r="F1539" s="128"/>
      <c r="G1539" s="128"/>
      <c r="H1539" s="128"/>
      <c r="I1539" s="129">
        <f>MM!J349</f>
        <v>0</v>
      </c>
      <c r="J1539" s="129"/>
      <c r="K1539" s="129"/>
      <c r="L1539" s="129"/>
      <c r="M1539" s="186"/>
      <c r="N1539" s="186"/>
      <c r="O1539" s="128"/>
      <c r="P1539" s="123" t="str">
        <f t="shared" si="403"/>
        <v/>
      </c>
    </row>
    <row r="1540" spans="1:16" x14ac:dyDescent="0.2">
      <c r="A1540" s="119"/>
      <c r="B1540" s="120"/>
      <c r="C1540" s="129"/>
      <c r="D1540" s="129"/>
      <c r="E1540" s="129"/>
      <c r="F1540" s="129"/>
      <c r="G1540" s="129"/>
      <c r="H1540" s="129"/>
      <c r="I1540" s="129">
        <f>MM!J350</f>
        <v>0</v>
      </c>
      <c r="J1540" s="129"/>
      <c r="K1540" s="129"/>
      <c r="L1540" s="129"/>
      <c r="O1540" s="129"/>
      <c r="P1540" s="123" t="str">
        <f t="shared" si="403"/>
        <v/>
      </c>
    </row>
    <row r="1541" spans="1:16" x14ac:dyDescent="0.2">
      <c r="A1541" s="119" t="s">
        <v>703</v>
      </c>
      <c r="B1541" s="120" t="s">
        <v>244</v>
      </c>
      <c r="C1541" s="129">
        <v>3000000</v>
      </c>
      <c r="D1541" s="129">
        <v>738994.68</v>
      </c>
      <c r="E1541" s="129">
        <v>0</v>
      </c>
      <c r="F1541" s="129">
        <v>2642840.1800000002</v>
      </c>
      <c r="G1541" s="129">
        <v>357159.82</v>
      </c>
      <c r="H1541" s="129">
        <v>88.09</v>
      </c>
      <c r="I1541" s="129">
        <f>MM!J351</f>
        <v>0</v>
      </c>
      <c r="J1541" s="129">
        <f>MM!K351</f>
        <v>3000000</v>
      </c>
      <c r="K1541" s="129">
        <f>MM!L351</f>
        <v>3135000</v>
      </c>
      <c r="L1541" s="129">
        <f>MM!M351</f>
        <v>3279210</v>
      </c>
      <c r="O1541" s="129">
        <f>MM!N351</f>
        <v>3430053.66</v>
      </c>
      <c r="P1541" s="123" t="str">
        <f t="shared" si="403"/>
        <v>300</v>
      </c>
    </row>
    <row r="1542" spans="1:16" x14ac:dyDescent="0.2">
      <c r="A1542" s="119" t="s">
        <v>704</v>
      </c>
      <c r="B1542" s="120" t="s">
        <v>257</v>
      </c>
      <c r="C1542" s="129">
        <v>790000</v>
      </c>
      <c r="D1542" s="129">
        <v>607496.82999999996</v>
      </c>
      <c r="E1542" s="129">
        <v>0</v>
      </c>
      <c r="F1542" s="129">
        <v>607496.82999999996</v>
      </c>
      <c r="G1542" s="129">
        <v>182503.17</v>
      </c>
      <c r="H1542" s="129">
        <v>76.89</v>
      </c>
      <c r="I1542" s="129">
        <f>MM!J352</f>
        <v>0</v>
      </c>
      <c r="J1542" s="129">
        <f>MM!K352</f>
        <v>790000</v>
      </c>
      <c r="K1542" s="129">
        <f>MM!L352</f>
        <v>825550</v>
      </c>
      <c r="L1542" s="129">
        <f>MM!M352</f>
        <v>863525.3</v>
      </c>
      <c r="O1542" s="129">
        <f>MM!N352</f>
        <v>903247.46380000003</v>
      </c>
      <c r="P1542" s="123" t="str">
        <f t="shared" si="403"/>
        <v>302</v>
      </c>
    </row>
    <row r="1543" spans="1:16" x14ac:dyDescent="0.2">
      <c r="A1543" s="119" t="s">
        <v>705</v>
      </c>
      <c r="B1543" s="120" t="s">
        <v>265</v>
      </c>
      <c r="C1543" s="129">
        <v>0</v>
      </c>
      <c r="D1543" s="129">
        <v>1624.76</v>
      </c>
      <c r="E1543" s="129">
        <v>0</v>
      </c>
      <c r="F1543" s="129">
        <v>8716.91</v>
      </c>
      <c r="G1543" s="129">
        <v>-8716.91</v>
      </c>
      <c r="H1543" s="129">
        <v>0</v>
      </c>
      <c r="I1543" s="129">
        <f>MM!J353</f>
        <v>20000</v>
      </c>
      <c r="J1543" s="129">
        <f>MM!K353</f>
        <v>20000</v>
      </c>
      <c r="K1543" s="129">
        <f>MM!L353</f>
        <v>20900</v>
      </c>
      <c r="L1543" s="129">
        <f>MM!M353</f>
        <v>21861.4</v>
      </c>
      <c r="O1543" s="129">
        <f>MM!N353</f>
        <v>22867.024400000002</v>
      </c>
      <c r="P1543" s="123" t="str">
        <f t="shared" ref="P1543:P1606" si="412">MID(A1543,6,3)</f>
        <v>305</v>
      </c>
    </row>
    <row r="1544" spans="1:16" x14ac:dyDescent="0.2">
      <c r="A1544" s="119" t="s">
        <v>706</v>
      </c>
      <c r="B1544" s="120" t="s">
        <v>268</v>
      </c>
      <c r="C1544" s="129">
        <v>0</v>
      </c>
      <c r="D1544" s="129">
        <v>1184.68</v>
      </c>
      <c r="E1544" s="129">
        <v>0</v>
      </c>
      <c r="F1544" s="129">
        <v>17698.48</v>
      </c>
      <c r="G1544" s="129">
        <v>-17698.48</v>
      </c>
      <c r="H1544" s="129">
        <v>0</v>
      </c>
      <c r="I1544" s="129">
        <f>MM!J354</f>
        <v>40000</v>
      </c>
      <c r="J1544" s="129">
        <f>MM!K354</f>
        <v>40000</v>
      </c>
      <c r="K1544" s="129">
        <f>MM!L354</f>
        <v>41800</v>
      </c>
      <c r="L1544" s="129">
        <f>MM!M354</f>
        <v>43722.8</v>
      </c>
      <c r="O1544" s="129">
        <f>MM!N354</f>
        <v>45734.048800000004</v>
      </c>
      <c r="P1544" s="123" t="str">
        <f t="shared" si="412"/>
        <v>305</v>
      </c>
    </row>
    <row r="1545" spans="1:16" x14ac:dyDescent="0.2">
      <c r="A1545" s="119"/>
      <c r="B1545" s="120"/>
      <c r="C1545" s="129"/>
      <c r="D1545" s="129"/>
      <c r="E1545" s="129"/>
      <c r="F1545" s="129"/>
      <c r="G1545" s="129"/>
      <c r="H1545" s="129"/>
      <c r="I1545" s="129">
        <f>MM!J355</f>
        <v>0</v>
      </c>
      <c r="J1545" s="129"/>
      <c r="K1545" s="129"/>
      <c r="L1545" s="129"/>
      <c r="O1545" s="129"/>
      <c r="P1545" s="123" t="str">
        <f t="shared" si="412"/>
        <v/>
      </c>
    </row>
    <row r="1546" spans="1:16" s="114" customFormat="1" ht="15" x14ac:dyDescent="0.25">
      <c r="A1546" s="118"/>
      <c r="B1546" s="117" t="s">
        <v>274</v>
      </c>
      <c r="C1546" s="128">
        <f>SUM(C1541:C1545)</f>
        <v>3790000</v>
      </c>
      <c r="D1546" s="128">
        <f t="shared" ref="D1546:O1546" si="413">SUM(D1541:D1545)</f>
        <v>1349300.95</v>
      </c>
      <c r="E1546" s="128">
        <f t="shared" si="413"/>
        <v>0</v>
      </c>
      <c r="F1546" s="128">
        <f t="shared" si="413"/>
        <v>3276752.4000000004</v>
      </c>
      <c r="G1546" s="128">
        <f t="shared" si="413"/>
        <v>513247.6</v>
      </c>
      <c r="H1546" s="128">
        <f t="shared" si="413"/>
        <v>164.98000000000002</v>
      </c>
      <c r="I1546" s="128">
        <f t="shared" si="413"/>
        <v>60000</v>
      </c>
      <c r="J1546" s="128">
        <f t="shared" si="413"/>
        <v>3850000</v>
      </c>
      <c r="K1546" s="128">
        <f t="shared" si="413"/>
        <v>4023250</v>
      </c>
      <c r="L1546" s="128">
        <f t="shared" si="413"/>
        <v>4208319.5</v>
      </c>
      <c r="M1546" s="128">
        <f t="shared" si="413"/>
        <v>0</v>
      </c>
      <c r="N1546" s="128">
        <f t="shared" si="413"/>
        <v>0</v>
      </c>
      <c r="O1546" s="128">
        <f t="shared" si="413"/>
        <v>4401902.1970000006</v>
      </c>
      <c r="P1546" s="123" t="str">
        <f t="shared" si="412"/>
        <v/>
      </c>
    </row>
    <row r="1547" spans="1:16" x14ac:dyDescent="0.2">
      <c r="A1547" s="119"/>
      <c r="B1547" s="120"/>
      <c r="C1547" s="129"/>
      <c r="D1547" s="129"/>
      <c r="E1547" s="129"/>
      <c r="F1547" s="129"/>
      <c r="G1547" s="129"/>
      <c r="H1547" s="129"/>
      <c r="I1547" s="129">
        <f>MM!J357</f>
        <v>0</v>
      </c>
      <c r="J1547" s="129"/>
      <c r="K1547" s="129"/>
      <c r="L1547" s="129"/>
      <c r="O1547" s="129"/>
      <c r="P1547" s="123" t="str">
        <f t="shared" si="412"/>
        <v/>
      </c>
    </row>
    <row r="1548" spans="1:16" ht="15" x14ac:dyDescent="0.25">
      <c r="A1548" s="119"/>
      <c r="B1548" s="117" t="s">
        <v>290</v>
      </c>
      <c r="C1548" s="129"/>
      <c r="D1548" s="129"/>
      <c r="E1548" s="129"/>
      <c r="F1548" s="129"/>
      <c r="G1548" s="129"/>
      <c r="H1548" s="129"/>
      <c r="I1548" s="129">
        <f>MM!J358</f>
        <v>0</v>
      </c>
      <c r="J1548" s="129"/>
      <c r="K1548" s="129"/>
      <c r="L1548" s="129"/>
      <c r="O1548" s="129"/>
      <c r="P1548" s="123" t="str">
        <f t="shared" si="412"/>
        <v/>
      </c>
    </row>
    <row r="1549" spans="1:16" x14ac:dyDescent="0.2">
      <c r="A1549" s="119"/>
      <c r="B1549" s="120"/>
      <c r="C1549" s="129"/>
      <c r="D1549" s="129"/>
      <c r="E1549" s="129"/>
      <c r="F1549" s="129"/>
      <c r="G1549" s="129"/>
      <c r="H1549" s="129"/>
      <c r="I1549" s="129">
        <f>MM!J359</f>
        <v>0</v>
      </c>
      <c r="J1549" s="129"/>
      <c r="K1549" s="129"/>
      <c r="L1549" s="129"/>
      <c r="O1549" s="129"/>
      <c r="P1549" s="123" t="str">
        <f t="shared" si="412"/>
        <v/>
      </c>
    </row>
    <row r="1550" spans="1:16" x14ac:dyDescent="0.2">
      <c r="A1550" s="119" t="s">
        <v>707</v>
      </c>
      <c r="B1550" s="120" t="s">
        <v>292</v>
      </c>
      <c r="C1550" s="129">
        <v>11399</v>
      </c>
      <c r="D1550" s="129">
        <v>1667.9</v>
      </c>
      <c r="E1550" s="129">
        <v>0</v>
      </c>
      <c r="F1550" s="129">
        <v>4169.74</v>
      </c>
      <c r="G1550" s="129">
        <v>7229.26</v>
      </c>
      <c r="H1550" s="129">
        <v>36.57</v>
      </c>
      <c r="I1550" s="129">
        <f>MM!J360</f>
        <v>0</v>
      </c>
      <c r="J1550" s="129">
        <f>MM!K360</f>
        <v>11399</v>
      </c>
      <c r="K1550" s="129">
        <f>MM!L360</f>
        <v>11911.955</v>
      </c>
      <c r="L1550" s="129">
        <f>MM!M360</f>
        <v>12459.904930000001</v>
      </c>
      <c r="O1550" s="129">
        <f>MM!N360</f>
        <v>13033.060556780001</v>
      </c>
      <c r="P1550" s="123" t="str">
        <f t="shared" si="412"/>
        <v>720</v>
      </c>
    </row>
    <row r="1551" spans="1:16" x14ac:dyDescent="0.2">
      <c r="A1551" s="119" t="s">
        <v>708</v>
      </c>
      <c r="B1551" s="120" t="s">
        <v>293</v>
      </c>
      <c r="C1551" s="129">
        <v>2988</v>
      </c>
      <c r="D1551" s="129">
        <v>437.3</v>
      </c>
      <c r="E1551" s="129">
        <v>0</v>
      </c>
      <c r="F1551" s="129">
        <v>990.62</v>
      </c>
      <c r="G1551" s="129">
        <v>1997.38</v>
      </c>
      <c r="H1551" s="129">
        <v>33.15</v>
      </c>
      <c r="I1551" s="129">
        <f>MM!J361</f>
        <v>0</v>
      </c>
      <c r="J1551" s="129">
        <f>MM!K361</f>
        <v>2988</v>
      </c>
      <c r="K1551" s="129">
        <f>MM!L361</f>
        <v>3122.46</v>
      </c>
      <c r="L1551" s="129">
        <f>MM!M361</f>
        <v>3266.0931599999999</v>
      </c>
      <c r="O1551" s="129">
        <f>MM!N361</f>
        <v>3416.33344536</v>
      </c>
      <c r="P1551" s="123" t="str">
        <f t="shared" si="412"/>
        <v>721</v>
      </c>
    </row>
    <row r="1552" spans="1:16" x14ac:dyDescent="0.2">
      <c r="A1552" s="119"/>
      <c r="B1552" s="120"/>
      <c r="C1552" s="129"/>
      <c r="D1552" s="129"/>
      <c r="E1552" s="129"/>
      <c r="F1552" s="129"/>
      <c r="G1552" s="129"/>
      <c r="H1552" s="129"/>
      <c r="I1552" s="129">
        <f>MM!J362</f>
        <v>0</v>
      </c>
      <c r="J1552" s="129"/>
      <c r="K1552" s="129"/>
      <c r="L1552" s="129"/>
      <c r="O1552" s="129"/>
      <c r="P1552" s="123" t="str">
        <f t="shared" si="412"/>
        <v/>
      </c>
    </row>
    <row r="1553" spans="1:16" s="114" customFormat="1" ht="15" x14ac:dyDescent="0.25">
      <c r="A1553" s="118"/>
      <c r="B1553" s="117" t="s">
        <v>304</v>
      </c>
      <c r="C1553" s="128">
        <f>SUM(C1550:C1552)</f>
        <v>14387</v>
      </c>
      <c r="D1553" s="128">
        <f t="shared" ref="D1553:O1553" si="414">SUM(D1550:D1552)</f>
        <v>2105.2000000000003</v>
      </c>
      <c r="E1553" s="128">
        <f t="shared" si="414"/>
        <v>0</v>
      </c>
      <c r="F1553" s="128">
        <f t="shared" si="414"/>
        <v>5160.3599999999997</v>
      </c>
      <c r="G1553" s="128">
        <f t="shared" si="414"/>
        <v>9226.64</v>
      </c>
      <c r="H1553" s="128">
        <f t="shared" si="414"/>
        <v>69.72</v>
      </c>
      <c r="I1553" s="128">
        <f t="shared" si="414"/>
        <v>0</v>
      </c>
      <c r="J1553" s="128">
        <f t="shared" si="414"/>
        <v>14387</v>
      </c>
      <c r="K1553" s="128">
        <f t="shared" si="414"/>
        <v>15034.415000000001</v>
      </c>
      <c r="L1553" s="128">
        <f t="shared" si="414"/>
        <v>15725.998090000001</v>
      </c>
      <c r="M1553" s="128">
        <f t="shared" si="414"/>
        <v>0</v>
      </c>
      <c r="N1553" s="128">
        <f t="shared" si="414"/>
        <v>0</v>
      </c>
      <c r="O1553" s="128">
        <f t="shared" si="414"/>
        <v>16449.394002140001</v>
      </c>
      <c r="P1553" s="123" t="str">
        <f t="shared" si="412"/>
        <v/>
      </c>
    </row>
    <row r="1554" spans="1:16" s="114" customFormat="1" ht="15" x14ac:dyDescent="0.25">
      <c r="A1554" s="118"/>
      <c r="B1554" s="117"/>
      <c r="C1554" s="128"/>
      <c r="D1554" s="128"/>
      <c r="E1554" s="128"/>
      <c r="F1554" s="128"/>
      <c r="G1554" s="128"/>
      <c r="H1554" s="128"/>
      <c r="I1554" s="129">
        <f>MM!J364</f>
        <v>0</v>
      </c>
      <c r="J1554" s="129"/>
      <c r="K1554" s="129"/>
      <c r="L1554" s="129"/>
      <c r="M1554" s="186"/>
      <c r="N1554" s="186"/>
      <c r="O1554" s="128"/>
      <c r="P1554" s="123" t="str">
        <f t="shared" si="412"/>
        <v/>
      </c>
    </row>
    <row r="1555" spans="1:16" s="114" customFormat="1" ht="15" x14ac:dyDescent="0.25">
      <c r="A1555" s="118"/>
      <c r="B1555" s="117" t="s">
        <v>305</v>
      </c>
      <c r="C1555" s="128">
        <f>C1525+C1537+C1546+C1553</f>
        <v>6817653</v>
      </c>
      <c r="D1555" s="128">
        <f t="shared" ref="D1555:O1555" si="415">D1525+D1537+D1546+D1553</f>
        <v>1577873.2999999998</v>
      </c>
      <c r="E1555" s="128">
        <f t="shared" si="415"/>
        <v>0</v>
      </c>
      <c r="F1555" s="128">
        <f t="shared" si="415"/>
        <v>4607513.2</v>
      </c>
      <c r="G1555" s="128">
        <f t="shared" si="415"/>
        <v>2210139.8000000003</v>
      </c>
      <c r="H1555" s="128">
        <f t="shared" si="415"/>
        <v>807.39</v>
      </c>
      <c r="I1555" s="128">
        <f t="shared" si="415"/>
        <v>45547.270000000004</v>
      </c>
      <c r="J1555" s="128">
        <f t="shared" si="415"/>
        <v>6863200.2699999996</v>
      </c>
      <c r="K1555" s="128">
        <f t="shared" si="415"/>
        <v>7217098.649375</v>
      </c>
      <c r="L1555" s="128">
        <f t="shared" si="415"/>
        <v>7614735.8366312496</v>
      </c>
      <c r="M1555" s="128">
        <f t="shared" si="415"/>
        <v>0</v>
      </c>
      <c r="N1555" s="128">
        <f t="shared" si="415"/>
        <v>0</v>
      </c>
      <c r="O1555" s="128">
        <f t="shared" si="415"/>
        <v>8035259.8799582385</v>
      </c>
      <c r="P1555" s="123" t="str">
        <f t="shared" si="412"/>
        <v/>
      </c>
    </row>
    <row r="1556" spans="1:16" s="114" customFormat="1" ht="15" x14ac:dyDescent="0.25">
      <c r="A1556" s="118"/>
      <c r="B1556" s="117"/>
      <c r="C1556" s="128"/>
      <c r="D1556" s="128"/>
      <c r="E1556" s="128"/>
      <c r="F1556" s="128"/>
      <c r="G1556" s="128"/>
      <c r="H1556" s="128"/>
      <c r="I1556" s="129">
        <f>MM!J366</f>
        <v>0</v>
      </c>
      <c r="J1556" s="129"/>
      <c r="K1556" s="129"/>
      <c r="L1556" s="129"/>
      <c r="M1556" s="186"/>
      <c r="N1556" s="186"/>
      <c r="O1556" s="128"/>
      <c r="P1556" s="123" t="str">
        <f t="shared" si="412"/>
        <v/>
      </c>
    </row>
    <row r="1557" spans="1:16" s="114" customFormat="1" ht="15" x14ac:dyDescent="0.25">
      <c r="A1557" s="118"/>
      <c r="B1557" s="117" t="s">
        <v>306</v>
      </c>
      <c r="C1557" s="128">
        <f>C1555</f>
        <v>6817653</v>
      </c>
      <c r="D1557" s="128">
        <f t="shared" ref="D1557:O1557" si="416">D1555</f>
        <v>1577873.2999999998</v>
      </c>
      <c r="E1557" s="128">
        <f t="shared" si="416"/>
        <v>0</v>
      </c>
      <c r="F1557" s="128">
        <f t="shared" si="416"/>
        <v>4607513.2</v>
      </c>
      <c r="G1557" s="128">
        <f t="shared" si="416"/>
        <v>2210139.8000000003</v>
      </c>
      <c r="H1557" s="128">
        <f t="shared" si="416"/>
        <v>807.39</v>
      </c>
      <c r="I1557" s="128">
        <f t="shared" si="416"/>
        <v>45547.270000000004</v>
      </c>
      <c r="J1557" s="128">
        <f t="shared" si="416"/>
        <v>6863200.2699999996</v>
      </c>
      <c r="K1557" s="128">
        <f t="shared" si="416"/>
        <v>7217098.649375</v>
      </c>
      <c r="L1557" s="128">
        <f t="shared" si="416"/>
        <v>7614735.8366312496</v>
      </c>
      <c r="M1557" s="128">
        <f t="shared" si="416"/>
        <v>0</v>
      </c>
      <c r="N1557" s="128">
        <f t="shared" si="416"/>
        <v>0</v>
      </c>
      <c r="O1557" s="128">
        <f t="shared" si="416"/>
        <v>8035259.8799582385</v>
      </c>
      <c r="P1557" s="123" t="str">
        <f t="shared" si="412"/>
        <v/>
      </c>
    </row>
    <row r="1558" spans="1:16" x14ac:dyDescent="0.2">
      <c r="A1558" s="119"/>
      <c r="B1558" s="120"/>
      <c r="C1558" s="129"/>
      <c r="D1558" s="129"/>
      <c r="E1558" s="129"/>
      <c r="F1558" s="129"/>
      <c r="G1558" s="129"/>
      <c r="H1558" s="129"/>
      <c r="I1558" s="129"/>
      <c r="J1558" s="129"/>
      <c r="K1558" s="129"/>
      <c r="L1558" s="129"/>
      <c r="O1558" s="129"/>
      <c r="P1558" s="123" t="str">
        <f t="shared" si="412"/>
        <v/>
      </c>
    </row>
    <row r="1559" spans="1:16" s="114" customFormat="1" ht="15" x14ac:dyDescent="0.25">
      <c r="A1559" s="118"/>
      <c r="B1559" s="117" t="s">
        <v>709</v>
      </c>
      <c r="C1559" s="128"/>
      <c r="D1559" s="128"/>
      <c r="E1559" s="128"/>
      <c r="F1559" s="128"/>
      <c r="G1559" s="128"/>
      <c r="H1559" s="128"/>
      <c r="I1559" s="128"/>
      <c r="J1559" s="128"/>
      <c r="K1559" s="128"/>
      <c r="L1559" s="128"/>
      <c r="M1559" s="186"/>
      <c r="N1559" s="186"/>
      <c r="O1559" s="128"/>
      <c r="P1559" s="123" t="str">
        <f t="shared" si="412"/>
        <v/>
      </c>
    </row>
    <row r="1560" spans="1:16" s="114" customFormat="1" ht="15" x14ac:dyDescent="0.25">
      <c r="A1560" s="118"/>
      <c r="B1560" s="117" t="s">
        <v>96</v>
      </c>
      <c r="C1560" s="128"/>
      <c r="D1560" s="128"/>
      <c r="E1560" s="128"/>
      <c r="F1560" s="128"/>
      <c r="G1560" s="128"/>
      <c r="H1560" s="128"/>
      <c r="I1560" s="128"/>
      <c r="J1560" s="128"/>
      <c r="K1560" s="128"/>
      <c r="L1560" s="128"/>
      <c r="M1560" s="186"/>
      <c r="N1560" s="186"/>
      <c r="O1560" s="128"/>
      <c r="P1560" s="123" t="str">
        <f t="shared" si="412"/>
        <v/>
      </c>
    </row>
    <row r="1561" spans="1:16" s="114" customFormat="1" ht="15" x14ac:dyDescent="0.25">
      <c r="A1561" s="118"/>
      <c r="B1561" s="117" t="s">
        <v>97</v>
      </c>
      <c r="C1561" s="128"/>
      <c r="D1561" s="128"/>
      <c r="E1561" s="128"/>
      <c r="F1561" s="128"/>
      <c r="G1561" s="128"/>
      <c r="H1561" s="128"/>
      <c r="I1561" s="128"/>
      <c r="J1561" s="128"/>
      <c r="K1561" s="128"/>
      <c r="L1561" s="128"/>
      <c r="M1561" s="186"/>
      <c r="N1561" s="186"/>
      <c r="O1561" s="128"/>
      <c r="P1561" s="123" t="str">
        <f t="shared" si="412"/>
        <v/>
      </c>
    </row>
    <row r="1562" spans="1:16" s="114" customFormat="1" ht="15" x14ac:dyDescent="0.25">
      <c r="A1562" s="118"/>
      <c r="B1562" s="117" t="s">
        <v>148</v>
      </c>
      <c r="C1562" s="128"/>
      <c r="D1562" s="128"/>
      <c r="E1562" s="128"/>
      <c r="F1562" s="128"/>
      <c r="G1562" s="128"/>
      <c r="H1562" s="128"/>
      <c r="I1562" s="128"/>
      <c r="J1562" s="128"/>
      <c r="K1562" s="128"/>
      <c r="L1562" s="128"/>
      <c r="M1562" s="186"/>
      <c r="N1562" s="186"/>
      <c r="O1562" s="128"/>
      <c r="P1562" s="123" t="str">
        <f t="shared" si="412"/>
        <v/>
      </c>
    </row>
    <row r="1563" spans="1:16" s="114" customFormat="1" ht="15" x14ac:dyDescent="0.25">
      <c r="A1563" s="118"/>
      <c r="B1563" s="117" t="s">
        <v>149</v>
      </c>
      <c r="C1563" s="128"/>
      <c r="D1563" s="128"/>
      <c r="E1563" s="128"/>
      <c r="F1563" s="128"/>
      <c r="G1563" s="128"/>
      <c r="H1563" s="128"/>
      <c r="I1563" s="128"/>
      <c r="J1563" s="128"/>
      <c r="K1563" s="128"/>
      <c r="L1563" s="128"/>
      <c r="M1563" s="186"/>
      <c r="N1563" s="186"/>
      <c r="O1563" s="128"/>
      <c r="P1563" s="123" t="str">
        <f t="shared" si="412"/>
        <v/>
      </c>
    </row>
    <row r="1564" spans="1:16" x14ac:dyDescent="0.2">
      <c r="A1564" s="119"/>
      <c r="B1564" s="120"/>
      <c r="C1564" s="129"/>
      <c r="D1564" s="129"/>
      <c r="E1564" s="129"/>
      <c r="F1564" s="129"/>
      <c r="G1564" s="129"/>
      <c r="H1564" s="129"/>
      <c r="I1564" s="129"/>
      <c r="J1564" s="129"/>
      <c r="K1564" s="129"/>
      <c r="L1564" s="129"/>
      <c r="O1564" s="129"/>
      <c r="P1564" s="123" t="str">
        <f t="shared" si="412"/>
        <v/>
      </c>
    </row>
    <row r="1565" spans="1:16" x14ac:dyDescent="0.2">
      <c r="A1565" s="119" t="s">
        <v>710</v>
      </c>
      <c r="B1565" s="120" t="s">
        <v>150</v>
      </c>
      <c r="C1565" s="129">
        <v>1335043</v>
      </c>
      <c r="D1565" s="129">
        <v>65927.72</v>
      </c>
      <c r="E1565" s="129">
        <v>0</v>
      </c>
      <c r="F1565" s="129">
        <v>401539.33</v>
      </c>
      <c r="G1565" s="129">
        <v>933503.67</v>
      </c>
      <c r="H1565" s="129">
        <v>30.07</v>
      </c>
      <c r="I1565" s="129">
        <f>mayors!J9</f>
        <v>0</v>
      </c>
      <c r="J1565" s="129">
        <f>mayors!K9</f>
        <v>1335043</v>
      </c>
      <c r="K1565" s="129">
        <f>mayors!L9</f>
        <v>1418483.1875</v>
      </c>
      <c r="L1565" s="129">
        <f>mayors!M9</f>
        <v>1517777.0106250001</v>
      </c>
      <c r="O1565" s="129">
        <f>mayors!N9</f>
        <v>1624021.40136875</v>
      </c>
      <c r="P1565" s="123" t="str">
        <f t="shared" si="412"/>
        <v>110</v>
      </c>
    </row>
    <row r="1566" spans="1:16" x14ac:dyDescent="0.2">
      <c r="A1566" s="119" t="s">
        <v>711</v>
      </c>
      <c r="B1566" s="120" t="s">
        <v>151</v>
      </c>
      <c r="C1566" s="129">
        <v>66752</v>
      </c>
      <c r="D1566" s="129">
        <v>49750.59</v>
      </c>
      <c r="E1566" s="129">
        <v>0</v>
      </c>
      <c r="F1566" s="129">
        <v>84982.75</v>
      </c>
      <c r="G1566" s="129">
        <v>-18230.75</v>
      </c>
      <c r="H1566" s="129">
        <v>127.31</v>
      </c>
      <c r="I1566" s="129">
        <f>mayors!J10</f>
        <v>-41350.730000000003</v>
      </c>
      <c r="J1566" s="129">
        <f>mayors!K10</f>
        <v>25401.269999999997</v>
      </c>
      <c r="K1566" s="129">
        <f>mayors!L10</f>
        <v>26988.849374999998</v>
      </c>
      <c r="L1566" s="129">
        <f>mayors!M10</f>
        <v>28878.068831249999</v>
      </c>
      <c r="O1566" s="129">
        <f>mayors!N10</f>
        <v>30899.533649437497</v>
      </c>
      <c r="P1566" s="123" t="str">
        <f t="shared" si="412"/>
        <v>110</v>
      </c>
    </row>
    <row r="1567" spans="1:16" x14ac:dyDescent="0.2">
      <c r="A1567" s="119" t="s">
        <v>712</v>
      </c>
      <c r="B1567" s="120" t="s">
        <v>152</v>
      </c>
      <c r="C1567" s="129">
        <v>66300</v>
      </c>
      <c r="D1567" s="129">
        <v>0</v>
      </c>
      <c r="E1567" s="129">
        <v>0</v>
      </c>
      <c r="F1567" s="129">
        <v>0</v>
      </c>
      <c r="G1567" s="129">
        <v>66300</v>
      </c>
      <c r="H1567" s="129">
        <v>0</v>
      </c>
      <c r="I1567" s="129">
        <f>mayors!J11</f>
        <v>0</v>
      </c>
      <c r="J1567" s="129">
        <f>mayors!K11</f>
        <v>66300</v>
      </c>
      <c r="K1567" s="129">
        <f>mayors!L11</f>
        <v>70443.75</v>
      </c>
      <c r="L1567" s="129">
        <f>mayors!M11</f>
        <v>75374.8125</v>
      </c>
      <c r="O1567" s="129">
        <f>mayors!N11</f>
        <v>80651.049375000002</v>
      </c>
      <c r="P1567" s="123" t="str">
        <f t="shared" si="412"/>
        <v>110</v>
      </c>
    </row>
    <row r="1568" spans="1:16" x14ac:dyDescent="0.2">
      <c r="A1568" s="119" t="s">
        <v>713</v>
      </c>
      <c r="B1568" s="120" t="s">
        <v>153</v>
      </c>
      <c r="C1568" s="129">
        <v>10893</v>
      </c>
      <c r="D1568" s="129">
        <v>0</v>
      </c>
      <c r="E1568" s="129">
        <v>0</v>
      </c>
      <c r="F1568" s="129">
        <v>0</v>
      </c>
      <c r="G1568" s="129">
        <v>10893</v>
      </c>
      <c r="H1568" s="129">
        <v>0</v>
      </c>
      <c r="I1568" s="129">
        <f>mayors!J12</f>
        <v>0</v>
      </c>
      <c r="J1568" s="129">
        <f>mayors!K12</f>
        <v>10893</v>
      </c>
      <c r="K1568" s="129">
        <f>mayors!L12</f>
        <v>11573.8125</v>
      </c>
      <c r="L1568" s="129">
        <f>mayors!M12</f>
        <v>12383.979375000001</v>
      </c>
      <c r="O1568" s="129">
        <f>mayors!N12</f>
        <v>13250.857931250001</v>
      </c>
      <c r="P1568" s="123" t="str">
        <f t="shared" si="412"/>
        <v>110</v>
      </c>
    </row>
    <row r="1569" spans="1:16" x14ac:dyDescent="0.2">
      <c r="A1569" s="119" t="s">
        <v>714</v>
      </c>
      <c r="B1569" s="120" t="s">
        <v>154</v>
      </c>
      <c r="C1569" s="129">
        <v>6420</v>
      </c>
      <c r="D1569" s="129">
        <v>0</v>
      </c>
      <c r="E1569" s="129">
        <v>0</v>
      </c>
      <c r="F1569" s="129">
        <v>6000</v>
      </c>
      <c r="G1569" s="129">
        <v>420</v>
      </c>
      <c r="H1569" s="129">
        <v>93.45</v>
      </c>
      <c r="I1569" s="129">
        <f>mayors!J13</f>
        <v>0</v>
      </c>
      <c r="J1569" s="129">
        <f>mayors!K13</f>
        <v>6420</v>
      </c>
      <c r="K1569" s="129">
        <f>mayors!L13</f>
        <v>6821.25</v>
      </c>
      <c r="L1569" s="129">
        <f>mayors!M13</f>
        <v>7298.7375000000002</v>
      </c>
      <c r="O1569" s="129">
        <f>mayors!N13</f>
        <v>7809.6491249999999</v>
      </c>
      <c r="P1569" s="123" t="str">
        <f t="shared" si="412"/>
        <v>110</v>
      </c>
    </row>
    <row r="1570" spans="1:16" x14ac:dyDescent="0.2">
      <c r="A1570" s="119" t="s">
        <v>715</v>
      </c>
      <c r="B1570" s="120" t="s">
        <v>155</v>
      </c>
      <c r="C1570" s="129">
        <v>34278</v>
      </c>
      <c r="D1570" s="129">
        <v>0</v>
      </c>
      <c r="E1570" s="129">
        <v>0</v>
      </c>
      <c r="F1570" s="129">
        <v>0</v>
      </c>
      <c r="G1570" s="129">
        <v>34278</v>
      </c>
      <c r="H1570" s="129">
        <v>0</v>
      </c>
      <c r="I1570" s="129">
        <f>mayors!J14</f>
        <v>0</v>
      </c>
      <c r="J1570" s="129">
        <f>mayors!K14</f>
        <v>34278</v>
      </c>
      <c r="K1570" s="129">
        <f>mayors!L14</f>
        <v>36420.375</v>
      </c>
      <c r="L1570" s="129">
        <f>mayors!M14</f>
        <v>38969.801249999997</v>
      </c>
      <c r="O1570" s="129">
        <f>mayors!N14</f>
        <v>41697.6873375</v>
      </c>
      <c r="P1570" s="123" t="str">
        <f t="shared" si="412"/>
        <v>110</v>
      </c>
    </row>
    <row r="1571" spans="1:16" x14ac:dyDescent="0.2">
      <c r="A1571" s="119" t="s">
        <v>716</v>
      </c>
      <c r="B1571" s="120" t="s">
        <v>156</v>
      </c>
      <c r="C1571" s="129">
        <v>219886</v>
      </c>
      <c r="D1571" s="129">
        <v>6087.33</v>
      </c>
      <c r="E1571" s="129">
        <v>0</v>
      </c>
      <c r="F1571" s="129">
        <v>36523.980000000003</v>
      </c>
      <c r="G1571" s="129">
        <v>183362.02</v>
      </c>
      <c r="H1571" s="129">
        <v>16.61</v>
      </c>
      <c r="I1571" s="129">
        <f>mayors!J15</f>
        <v>0</v>
      </c>
      <c r="J1571" s="129">
        <f>mayors!K15</f>
        <v>219886</v>
      </c>
      <c r="K1571" s="129">
        <f>mayors!L15</f>
        <v>233628.875</v>
      </c>
      <c r="L1571" s="129">
        <f>mayors!M15</f>
        <v>249982.89624999999</v>
      </c>
      <c r="O1571" s="129">
        <f>mayors!N15</f>
        <v>267481.69898749999</v>
      </c>
      <c r="P1571" s="123" t="str">
        <f t="shared" si="412"/>
        <v>110</v>
      </c>
    </row>
    <row r="1572" spans="1:16" x14ac:dyDescent="0.2">
      <c r="A1572" s="119" t="s">
        <v>717</v>
      </c>
      <c r="B1572" s="120" t="s">
        <v>157</v>
      </c>
      <c r="C1572" s="129">
        <v>15152</v>
      </c>
      <c r="D1572" s="129">
        <v>0</v>
      </c>
      <c r="E1572" s="129">
        <v>0</v>
      </c>
      <c r="F1572" s="129">
        <v>0</v>
      </c>
      <c r="G1572" s="129">
        <v>15152</v>
      </c>
      <c r="H1572" s="129">
        <v>0</v>
      </c>
      <c r="I1572" s="129">
        <f>mayors!J16</f>
        <v>-5152</v>
      </c>
      <c r="J1572" s="129">
        <f>mayors!K16</f>
        <v>10000</v>
      </c>
      <c r="K1572" s="129">
        <f>mayors!L16</f>
        <v>10625</v>
      </c>
      <c r="L1572" s="129">
        <f>mayors!M16</f>
        <v>11368.75</v>
      </c>
      <c r="O1572" s="129">
        <f>mayors!N16</f>
        <v>12164.5625</v>
      </c>
      <c r="P1572" s="123" t="str">
        <f t="shared" si="412"/>
        <v>110</v>
      </c>
    </row>
    <row r="1573" spans="1:16" x14ac:dyDescent="0.2">
      <c r="A1573" s="119" t="s">
        <v>718</v>
      </c>
      <c r="B1573" s="120" t="s">
        <v>159</v>
      </c>
      <c r="C1573" s="129">
        <v>111254</v>
      </c>
      <c r="D1573" s="129">
        <v>0</v>
      </c>
      <c r="E1573" s="129">
        <v>0</v>
      </c>
      <c r="F1573" s="129">
        <v>0</v>
      </c>
      <c r="G1573" s="129">
        <v>111254</v>
      </c>
      <c r="H1573" s="129">
        <v>0</v>
      </c>
      <c r="I1573" s="129">
        <f>mayors!J17</f>
        <v>0</v>
      </c>
      <c r="J1573" s="129">
        <f>mayors!K17</f>
        <v>111254</v>
      </c>
      <c r="K1573" s="129">
        <f>mayors!L17</f>
        <v>118207.375</v>
      </c>
      <c r="L1573" s="129">
        <f>mayors!M17</f>
        <v>126481.89125</v>
      </c>
      <c r="O1573" s="129">
        <f>mayors!N17</f>
        <v>135335.62363749999</v>
      </c>
      <c r="P1573" s="123" t="str">
        <f t="shared" si="412"/>
        <v>110</v>
      </c>
    </row>
    <row r="1574" spans="1:16" x14ac:dyDescent="0.2">
      <c r="A1574" s="119" t="s">
        <v>719</v>
      </c>
      <c r="B1574" s="120" t="s">
        <v>162</v>
      </c>
      <c r="C1574" s="129">
        <v>50926</v>
      </c>
      <c r="D1574" s="129">
        <v>0</v>
      </c>
      <c r="E1574" s="129">
        <v>0</v>
      </c>
      <c r="F1574" s="129">
        <v>0</v>
      </c>
      <c r="G1574" s="129">
        <v>50926</v>
      </c>
      <c r="H1574" s="129">
        <v>0</v>
      </c>
      <c r="I1574" s="129">
        <f>mayors!J18</f>
        <v>-25000</v>
      </c>
      <c r="J1574" s="129">
        <f>mayors!K18</f>
        <v>25926</v>
      </c>
      <c r="K1574" s="129">
        <f>mayors!L18</f>
        <v>27546.375</v>
      </c>
      <c r="L1574" s="129">
        <f>mayors!M18</f>
        <v>29474.62125</v>
      </c>
      <c r="O1574" s="129">
        <f>mayors!N18</f>
        <v>31537.8447375</v>
      </c>
      <c r="P1574" s="123" t="str">
        <f t="shared" si="412"/>
        <v>110</v>
      </c>
    </row>
    <row r="1575" spans="1:16" x14ac:dyDescent="0.2">
      <c r="A1575" s="119" t="s">
        <v>720</v>
      </c>
      <c r="B1575" s="120" t="s">
        <v>164</v>
      </c>
      <c r="C1575" s="129">
        <v>15692</v>
      </c>
      <c r="D1575" s="129">
        <v>1030.3</v>
      </c>
      <c r="E1575" s="129">
        <v>0</v>
      </c>
      <c r="F1575" s="129">
        <v>6181.8</v>
      </c>
      <c r="G1575" s="129">
        <v>9510.2000000000007</v>
      </c>
      <c r="H1575" s="129">
        <v>39.39</v>
      </c>
      <c r="I1575" s="129">
        <f>mayors!J19</f>
        <v>0</v>
      </c>
      <c r="J1575" s="129">
        <f>mayors!K19</f>
        <v>15692</v>
      </c>
      <c r="K1575" s="129">
        <f>mayors!L19</f>
        <v>16672.75</v>
      </c>
      <c r="L1575" s="129">
        <f>mayors!M19</f>
        <v>17839.842499999999</v>
      </c>
      <c r="O1575" s="129">
        <f>mayors!N19</f>
        <v>19088.631474999998</v>
      </c>
      <c r="P1575" s="123" t="str">
        <f t="shared" si="412"/>
        <v>110</v>
      </c>
    </row>
    <row r="1576" spans="1:16" x14ac:dyDescent="0.2">
      <c r="A1576" s="119"/>
      <c r="B1576" s="120"/>
      <c r="C1576" s="129"/>
      <c r="D1576" s="129"/>
      <c r="E1576" s="129"/>
      <c r="F1576" s="129"/>
      <c r="G1576" s="129"/>
      <c r="H1576" s="129"/>
      <c r="I1576" s="129">
        <f>mayors!J20</f>
        <v>0</v>
      </c>
      <c r="J1576" s="129"/>
      <c r="K1576" s="129"/>
      <c r="L1576" s="129"/>
      <c r="O1576" s="129"/>
      <c r="P1576" s="123" t="str">
        <f t="shared" si="412"/>
        <v/>
      </c>
    </row>
    <row r="1577" spans="1:16" s="114" customFormat="1" ht="15" x14ac:dyDescent="0.25">
      <c r="A1577" s="118"/>
      <c r="B1577" s="117" t="s">
        <v>165</v>
      </c>
      <c r="C1577" s="128">
        <f>SUM(C1565:C1576)</f>
        <v>1932596</v>
      </c>
      <c r="D1577" s="128">
        <f t="shared" ref="D1577:O1577" si="417">SUM(D1565:D1576)</f>
        <v>122795.94</v>
      </c>
      <c r="E1577" s="128">
        <f t="shared" si="417"/>
        <v>0</v>
      </c>
      <c r="F1577" s="128">
        <f t="shared" si="417"/>
        <v>535227.8600000001</v>
      </c>
      <c r="G1577" s="128">
        <f t="shared" si="417"/>
        <v>1397368.14</v>
      </c>
      <c r="H1577" s="128">
        <f t="shared" si="417"/>
        <v>306.83</v>
      </c>
      <c r="I1577" s="128">
        <f t="shared" si="417"/>
        <v>-71502.73000000001</v>
      </c>
      <c r="J1577" s="128">
        <f t="shared" si="417"/>
        <v>1861093.27</v>
      </c>
      <c r="K1577" s="128">
        <f t="shared" si="417"/>
        <v>1977411.599375</v>
      </c>
      <c r="L1577" s="128">
        <f t="shared" si="417"/>
        <v>2115830.4113312503</v>
      </c>
      <c r="M1577" s="128">
        <f t="shared" si="417"/>
        <v>0</v>
      </c>
      <c r="N1577" s="128">
        <f t="shared" si="417"/>
        <v>0</v>
      </c>
      <c r="O1577" s="128">
        <f t="shared" si="417"/>
        <v>2263938.5401244378</v>
      </c>
      <c r="P1577" s="123" t="str">
        <f t="shared" si="412"/>
        <v/>
      </c>
    </row>
    <row r="1578" spans="1:16" s="114" customFormat="1" ht="15" x14ac:dyDescent="0.25">
      <c r="A1578" s="118"/>
      <c r="B1578" s="117"/>
      <c r="C1578" s="128"/>
      <c r="D1578" s="128"/>
      <c r="E1578" s="128"/>
      <c r="F1578" s="128"/>
      <c r="G1578" s="128"/>
      <c r="H1578" s="128"/>
      <c r="I1578" s="129">
        <f>mayors!J22</f>
        <v>0</v>
      </c>
      <c r="J1578" s="129"/>
      <c r="K1578" s="129"/>
      <c r="L1578" s="129"/>
      <c r="M1578" s="186"/>
      <c r="N1578" s="186"/>
      <c r="O1578" s="128"/>
      <c r="P1578" s="123" t="str">
        <f t="shared" si="412"/>
        <v/>
      </c>
    </row>
    <row r="1579" spans="1:16" s="114" customFormat="1" ht="15" x14ac:dyDescent="0.25">
      <c r="A1579" s="118"/>
      <c r="B1579" s="117" t="s">
        <v>166</v>
      </c>
      <c r="C1579" s="128"/>
      <c r="D1579" s="128"/>
      <c r="E1579" s="128"/>
      <c r="F1579" s="128"/>
      <c r="G1579" s="128"/>
      <c r="H1579" s="128"/>
      <c r="I1579" s="129">
        <f>mayors!J23</f>
        <v>0</v>
      </c>
      <c r="J1579" s="129"/>
      <c r="K1579" s="129"/>
      <c r="L1579" s="129"/>
      <c r="M1579" s="186"/>
      <c r="N1579" s="186"/>
      <c r="O1579" s="128"/>
      <c r="P1579" s="123" t="str">
        <f t="shared" si="412"/>
        <v/>
      </c>
    </row>
    <row r="1580" spans="1:16" x14ac:dyDescent="0.2">
      <c r="A1580" s="119"/>
      <c r="B1580" s="120"/>
      <c r="C1580" s="129"/>
      <c r="D1580" s="129"/>
      <c r="E1580" s="129"/>
      <c r="F1580" s="129"/>
      <c r="G1580" s="129"/>
      <c r="H1580" s="129"/>
      <c r="I1580" s="129">
        <f>mayors!J24</f>
        <v>0</v>
      </c>
      <c r="J1580" s="129"/>
      <c r="K1580" s="129"/>
      <c r="L1580" s="129"/>
      <c r="O1580" s="129"/>
      <c r="P1580" s="123" t="str">
        <f t="shared" si="412"/>
        <v/>
      </c>
    </row>
    <row r="1581" spans="1:16" x14ac:dyDescent="0.2">
      <c r="A1581" s="119" t="s">
        <v>721</v>
      </c>
      <c r="B1581" s="120" t="s">
        <v>167</v>
      </c>
      <c r="C1581" s="129">
        <v>449</v>
      </c>
      <c r="D1581" s="129">
        <v>27.96</v>
      </c>
      <c r="E1581" s="129">
        <v>0</v>
      </c>
      <c r="F1581" s="129">
        <v>167.76</v>
      </c>
      <c r="G1581" s="129">
        <v>281.24</v>
      </c>
      <c r="H1581" s="129">
        <v>37.36</v>
      </c>
      <c r="I1581" s="129">
        <f>mayors!J25</f>
        <v>0</v>
      </c>
      <c r="J1581" s="129">
        <f>mayors!K25</f>
        <v>449</v>
      </c>
      <c r="K1581" s="129">
        <f>mayors!L25</f>
        <v>477.0625</v>
      </c>
      <c r="L1581" s="129">
        <f>mayors!M25</f>
        <v>510.45687499999997</v>
      </c>
      <c r="O1581" s="129">
        <f>mayors!N25</f>
        <v>546.18885624999996</v>
      </c>
      <c r="P1581" s="123" t="str">
        <f t="shared" si="412"/>
        <v>130</v>
      </c>
    </row>
    <row r="1582" spans="1:16" x14ac:dyDescent="0.2">
      <c r="A1582" s="119" t="s">
        <v>722</v>
      </c>
      <c r="B1582" s="120" t="s">
        <v>168</v>
      </c>
      <c r="C1582" s="129">
        <v>107816</v>
      </c>
      <c r="D1582" s="129">
        <v>6502.8</v>
      </c>
      <c r="E1582" s="129">
        <v>0</v>
      </c>
      <c r="F1582" s="129">
        <v>39016.800000000003</v>
      </c>
      <c r="G1582" s="129">
        <v>68799.199999999997</v>
      </c>
      <c r="H1582" s="129">
        <v>36.18</v>
      </c>
      <c r="I1582" s="129">
        <f>mayors!J26</f>
        <v>0</v>
      </c>
      <c r="J1582" s="129">
        <f>mayors!K26</f>
        <v>107816</v>
      </c>
      <c r="K1582" s="129">
        <f>mayors!L26</f>
        <v>114554.5</v>
      </c>
      <c r="L1582" s="129">
        <f>mayors!M26</f>
        <v>122573.315</v>
      </c>
      <c r="O1582" s="129">
        <f>mayors!N26</f>
        <v>131153.44705000002</v>
      </c>
      <c r="P1582" s="123" t="str">
        <f t="shared" si="412"/>
        <v>130</v>
      </c>
    </row>
    <row r="1583" spans="1:16" x14ac:dyDescent="0.2">
      <c r="A1583" s="119" t="s">
        <v>723</v>
      </c>
      <c r="B1583" s="120" t="s">
        <v>169</v>
      </c>
      <c r="C1583" s="129">
        <v>293709</v>
      </c>
      <c r="D1583" s="129">
        <v>10876.65</v>
      </c>
      <c r="E1583" s="129">
        <v>0</v>
      </c>
      <c r="F1583" s="129">
        <v>66334.990000000005</v>
      </c>
      <c r="G1583" s="129">
        <v>227374.01</v>
      </c>
      <c r="H1583" s="129">
        <v>22.58</v>
      </c>
      <c r="I1583" s="129">
        <f>mayors!J27</f>
        <v>0</v>
      </c>
      <c r="J1583" s="129">
        <f>mayors!K27</f>
        <v>293709</v>
      </c>
      <c r="K1583" s="129">
        <f>mayors!L27</f>
        <v>312065.8125</v>
      </c>
      <c r="L1583" s="129">
        <f>mayors!M27</f>
        <v>333910.419375</v>
      </c>
      <c r="O1583" s="129">
        <f>mayors!N27</f>
        <v>357284.14873124997</v>
      </c>
      <c r="P1583" s="123" t="str">
        <f t="shared" si="412"/>
        <v>130</v>
      </c>
    </row>
    <row r="1584" spans="1:16" x14ac:dyDescent="0.2">
      <c r="A1584" s="119" t="s">
        <v>724</v>
      </c>
      <c r="B1584" s="120" t="s">
        <v>170</v>
      </c>
      <c r="C1584" s="129">
        <v>7140</v>
      </c>
      <c r="D1584" s="129">
        <v>446.16</v>
      </c>
      <c r="E1584" s="129">
        <v>0</v>
      </c>
      <c r="F1584" s="129">
        <v>2676.96</v>
      </c>
      <c r="G1584" s="129">
        <v>4463.04</v>
      </c>
      <c r="H1584" s="129">
        <v>37.49</v>
      </c>
      <c r="I1584" s="129">
        <f>mayors!J28</f>
        <v>0</v>
      </c>
      <c r="J1584" s="129">
        <f>mayors!K28</f>
        <v>7140</v>
      </c>
      <c r="K1584" s="129">
        <f>mayors!L28</f>
        <v>7586.25</v>
      </c>
      <c r="L1584" s="129">
        <f>mayors!M28</f>
        <v>8117.2875000000004</v>
      </c>
      <c r="O1584" s="129">
        <f>mayors!N28</f>
        <v>8685.497625</v>
      </c>
      <c r="P1584" s="123" t="str">
        <f t="shared" si="412"/>
        <v>130</v>
      </c>
    </row>
    <row r="1585" spans="1:16" x14ac:dyDescent="0.2">
      <c r="A1585" s="119"/>
      <c r="B1585" s="120"/>
      <c r="C1585" s="129"/>
      <c r="D1585" s="129"/>
      <c r="E1585" s="129"/>
      <c r="F1585" s="129"/>
      <c r="G1585" s="129"/>
      <c r="H1585" s="129"/>
      <c r="I1585" s="129">
        <f>mayors!J29</f>
        <v>0</v>
      </c>
      <c r="J1585" s="129"/>
      <c r="K1585" s="129"/>
      <c r="L1585" s="129"/>
      <c r="O1585" s="129"/>
      <c r="P1585" s="123" t="str">
        <f t="shared" si="412"/>
        <v/>
      </c>
    </row>
    <row r="1586" spans="1:16" s="114" customFormat="1" ht="15" x14ac:dyDescent="0.25">
      <c r="A1586" s="118"/>
      <c r="B1586" s="117" t="s">
        <v>171</v>
      </c>
      <c r="C1586" s="128">
        <f>SUM(C1581:C1585)</f>
        <v>409114</v>
      </c>
      <c r="D1586" s="128">
        <f t="shared" ref="D1586:O1586" si="418">SUM(D1581:D1585)</f>
        <v>17853.57</v>
      </c>
      <c r="E1586" s="128">
        <f t="shared" si="418"/>
        <v>0</v>
      </c>
      <c r="F1586" s="128">
        <f t="shared" si="418"/>
        <v>108196.51000000002</v>
      </c>
      <c r="G1586" s="128">
        <f t="shared" si="418"/>
        <v>300917.49</v>
      </c>
      <c r="H1586" s="128">
        <f t="shared" si="418"/>
        <v>133.60999999999999</v>
      </c>
      <c r="I1586" s="128">
        <f t="shared" si="418"/>
        <v>0</v>
      </c>
      <c r="J1586" s="128">
        <f t="shared" si="418"/>
        <v>409114</v>
      </c>
      <c r="K1586" s="128">
        <f t="shared" si="418"/>
        <v>434683.625</v>
      </c>
      <c r="L1586" s="128">
        <f t="shared" si="418"/>
        <v>465111.47875000001</v>
      </c>
      <c r="M1586" s="128">
        <f t="shared" si="418"/>
        <v>0</v>
      </c>
      <c r="N1586" s="128">
        <f t="shared" si="418"/>
        <v>0</v>
      </c>
      <c r="O1586" s="128">
        <f t="shared" si="418"/>
        <v>497669.28226249997</v>
      </c>
      <c r="P1586" s="123" t="str">
        <f t="shared" si="412"/>
        <v/>
      </c>
    </row>
    <row r="1587" spans="1:16" s="114" customFormat="1" ht="15" x14ac:dyDescent="0.25">
      <c r="A1587" s="118"/>
      <c r="B1587" s="117"/>
      <c r="C1587" s="128"/>
      <c r="D1587" s="128"/>
      <c r="E1587" s="128"/>
      <c r="F1587" s="128"/>
      <c r="G1587" s="128"/>
      <c r="H1587" s="128"/>
      <c r="I1587" s="129">
        <f>mayors!J31</f>
        <v>0</v>
      </c>
      <c r="J1587" s="129"/>
      <c r="K1587" s="129"/>
      <c r="L1587" s="129"/>
      <c r="M1587" s="186"/>
      <c r="N1587" s="186"/>
      <c r="O1587" s="128"/>
      <c r="P1587" s="123" t="str">
        <f t="shared" si="412"/>
        <v/>
      </c>
    </row>
    <row r="1588" spans="1:16" s="114" customFormat="1" ht="15" x14ac:dyDescent="0.25">
      <c r="A1588" s="118"/>
      <c r="B1588" s="117" t="s">
        <v>172</v>
      </c>
      <c r="C1588" s="128"/>
      <c r="D1588" s="128"/>
      <c r="E1588" s="128"/>
      <c r="F1588" s="128"/>
      <c r="G1588" s="128"/>
      <c r="H1588" s="128"/>
      <c r="I1588" s="129">
        <f>mayors!J32</f>
        <v>0</v>
      </c>
      <c r="J1588" s="129"/>
      <c r="K1588" s="129"/>
      <c r="L1588" s="129"/>
      <c r="M1588" s="186"/>
      <c r="N1588" s="186"/>
      <c r="O1588" s="128"/>
      <c r="P1588" s="123" t="str">
        <f t="shared" si="412"/>
        <v/>
      </c>
    </row>
    <row r="1589" spans="1:16" x14ac:dyDescent="0.2">
      <c r="A1589" s="119"/>
      <c r="B1589" s="120"/>
      <c r="C1589" s="129"/>
      <c r="D1589" s="129"/>
      <c r="E1589" s="129"/>
      <c r="F1589" s="129"/>
      <c r="G1589" s="129"/>
      <c r="H1589" s="129"/>
      <c r="I1589" s="129">
        <f>mayors!J33</f>
        <v>0</v>
      </c>
      <c r="J1589" s="129"/>
      <c r="K1589" s="129"/>
      <c r="L1589" s="129"/>
      <c r="O1589" s="129"/>
      <c r="P1589" s="123" t="str">
        <f t="shared" si="412"/>
        <v/>
      </c>
    </row>
    <row r="1590" spans="1:16" x14ac:dyDescent="0.2">
      <c r="A1590" s="119" t="s">
        <v>725</v>
      </c>
      <c r="B1590" s="120" t="s">
        <v>173</v>
      </c>
      <c r="C1590" s="129">
        <v>4606</v>
      </c>
      <c r="D1590" s="129">
        <v>0</v>
      </c>
      <c r="E1590" s="129">
        <v>0</v>
      </c>
      <c r="F1590" s="129">
        <v>0</v>
      </c>
      <c r="G1590" s="129">
        <v>4606</v>
      </c>
      <c r="H1590" s="129">
        <v>0</v>
      </c>
      <c r="I1590" s="129">
        <f>mayors!J34</f>
        <v>0</v>
      </c>
      <c r="J1590" s="129">
        <f>mayors!K34</f>
        <v>4606</v>
      </c>
      <c r="K1590" s="129">
        <f>mayors!L34</f>
        <v>4893.875</v>
      </c>
      <c r="L1590" s="129">
        <f>mayors!M34</f>
        <v>5236.44625</v>
      </c>
      <c r="O1590" s="129">
        <f>mayors!N34</f>
        <v>5602.9974874999998</v>
      </c>
      <c r="P1590" s="123" t="str">
        <f t="shared" si="412"/>
        <v>140</v>
      </c>
    </row>
    <row r="1591" spans="1:16" x14ac:dyDescent="0.2">
      <c r="A1591" s="119" t="s">
        <v>726</v>
      </c>
      <c r="B1591" s="120" t="s">
        <v>174</v>
      </c>
      <c r="C1591" s="129">
        <v>7357</v>
      </c>
      <c r="D1591" s="129">
        <v>0</v>
      </c>
      <c r="E1591" s="129">
        <v>0</v>
      </c>
      <c r="F1591" s="129">
        <v>0</v>
      </c>
      <c r="G1591" s="129">
        <v>7357</v>
      </c>
      <c r="H1591" s="129">
        <v>0</v>
      </c>
      <c r="I1591" s="129">
        <f>mayors!J35</f>
        <v>0</v>
      </c>
      <c r="J1591" s="129">
        <f>mayors!K35</f>
        <v>7357</v>
      </c>
      <c r="K1591" s="129">
        <f>mayors!L35</f>
        <v>7816.8125</v>
      </c>
      <c r="L1591" s="129">
        <f>mayors!M35</f>
        <v>8363.9893749999992</v>
      </c>
      <c r="O1591" s="129">
        <f>mayors!N35</f>
        <v>8949.4686312499998</v>
      </c>
      <c r="P1591" s="123" t="str">
        <f t="shared" si="412"/>
        <v>140</v>
      </c>
    </row>
    <row r="1592" spans="1:16" x14ac:dyDescent="0.2">
      <c r="A1592" s="119" t="s">
        <v>727</v>
      </c>
      <c r="B1592" s="120" t="s">
        <v>175</v>
      </c>
      <c r="C1592" s="129">
        <v>4920</v>
      </c>
      <c r="D1592" s="129">
        <v>0</v>
      </c>
      <c r="E1592" s="129">
        <v>0</v>
      </c>
      <c r="F1592" s="129">
        <v>0</v>
      </c>
      <c r="G1592" s="129">
        <v>4920</v>
      </c>
      <c r="H1592" s="129">
        <v>0</v>
      </c>
      <c r="I1592" s="129">
        <f>mayors!J36</f>
        <v>0</v>
      </c>
      <c r="J1592" s="129">
        <f>mayors!K36</f>
        <v>4920</v>
      </c>
      <c r="K1592" s="129">
        <f>mayors!L36</f>
        <v>5227.5</v>
      </c>
      <c r="L1592" s="129">
        <f>mayors!M36</f>
        <v>5593.4250000000002</v>
      </c>
      <c r="O1592" s="129">
        <f>mayors!N36</f>
        <v>5984.9647500000001</v>
      </c>
      <c r="P1592" s="123" t="str">
        <f t="shared" si="412"/>
        <v>142</v>
      </c>
    </row>
    <row r="1593" spans="1:16" x14ac:dyDescent="0.2">
      <c r="A1593" s="119"/>
      <c r="B1593" s="120"/>
      <c r="C1593" s="129"/>
      <c r="D1593" s="129"/>
      <c r="E1593" s="129"/>
      <c r="F1593" s="129"/>
      <c r="G1593" s="129"/>
      <c r="H1593" s="129"/>
      <c r="I1593" s="129">
        <f>mayors!J37</f>
        <v>0</v>
      </c>
      <c r="J1593" s="129"/>
      <c r="K1593" s="129"/>
      <c r="L1593" s="129"/>
      <c r="O1593" s="129"/>
      <c r="P1593" s="123" t="str">
        <f t="shared" si="412"/>
        <v/>
      </c>
    </row>
    <row r="1594" spans="1:16" s="114" customFormat="1" ht="15" x14ac:dyDescent="0.25">
      <c r="A1594" s="118"/>
      <c r="B1594" s="117" t="s">
        <v>176</v>
      </c>
      <c r="C1594" s="128">
        <f>SUM(C1590:C1593)</f>
        <v>16883</v>
      </c>
      <c r="D1594" s="128">
        <f t="shared" ref="D1594:O1594" si="419">SUM(D1590:D1593)</f>
        <v>0</v>
      </c>
      <c r="E1594" s="128">
        <f t="shared" si="419"/>
        <v>0</v>
      </c>
      <c r="F1594" s="128">
        <f t="shared" si="419"/>
        <v>0</v>
      </c>
      <c r="G1594" s="128">
        <f t="shared" si="419"/>
        <v>16883</v>
      </c>
      <c r="H1594" s="128">
        <f t="shared" si="419"/>
        <v>0</v>
      </c>
      <c r="I1594" s="128">
        <f t="shared" si="419"/>
        <v>0</v>
      </c>
      <c r="J1594" s="128">
        <f t="shared" si="419"/>
        <v>16883</v>
      </c>
      <c r="K1594" s="128">
        <f t="shared" si="419"/>
        <v>17938.1875</v>
      </c>
      <c r="L1594" s="128">
        <f t="shared" si="419"/>
        <v>19193.860624999998</v>
      </c>
      <c r="M1594" s="128">
        <f t="shared" si="419"/>
        <v>0</v>
      </c>
      <c r="N1594" s="128">
        <f t="shared" si="419"/>
        <v>0</v>
      </c>
      <c r="O1594" s="128">
        <f t="shared" si="419"/>
        <v>20537.430868749998</v>
      </c>
      <c r="P1594" s="123" t="str">
        <f t="shared" si="412"/>
        <v/>
      </c>
    </row>
    <row r="1595" spans="1:16" x14ac:dyDescent="0.2">
      <c r="A1595" s="119"/>
      <c r="B1595" s="120"/>
      <c r="C1595" s="129"/>
      <c r="D1595" s="129"/>
      <c r="E1595" s="129"/>
      <c r="F1595" s="129"/>
      <c r="G1595" s="129"/>
      <c r="H1595" s="129"/>
      <c r="I1595" s="129">
        <f>mayors!J39</f>
        <v>0</v>
      </c>
      <c r="J1595" s="129"/>
      <c r="K1595" s="129"/>
      <c r="L1595" s="129"/>
      <c r="O1595" s="129"/>
      <c r="P1595" s="123" t="str">
        <f t="shared" si="412"/>
        <v/>
      </c>
    </row>
    <row r="1596" spans="1:16" s="114" customFormat="1" ht="15" x14ac:dyDescent="0.25">
      <c r="A1596" s="118"/>
      <c r="B1596" s="117" t="s">
        <v>177</v>
      </c>
      <c r="C1596" s="128">
        <f>C1577+C1586+C1594</f>
        <v>2358593</v>
      </c>
      <c r="D1596" s="128">
        <f t="shared" ref="D1596:O1596" si="420">D1577+D1586+D1594</f>
        <v>140649.51</v>
      </c>
      <c r="E1596" s="128">
        <f t="shared" si="420"/>
        <v>0</v>
      </c>
      <c r="F1596" s="128">
        <f t="shared" si="420"/>
        <v>643424.37000000011</v>
      </c>
      <c r="G1596" s="128">
        <f t="shared" si="420"/>
        <v>1715168.63</v>
      </c>
      <c r="H1596" s="128">
        <f t="shared" si="420"/>
        <v>440.43999999999994</v>
      </c>
      <c r="I1596" s="128">
        <f t="shared" si="420"/>
        <v>-71502.73000000001</v>
      </c>
      <c r="J1596" s="128">
        <f t="shared" si="420"/>
        <v>2287090.27</v>
      </c>
      <c r="K1596" s="128">
        <f t="shared" si="420"/>
        <v>2430033.4118750002</v>
      </c>
      <c r="L1596" s="128">
        <f t="shared" si="420"/>
        <v>2600135.7507062503</v>
      </c>
      <c r="M1596" s="128">
        <f t="shared" si="420"/>
        <v>0</v>
      </c>
      <c r="N1596" s="128">
        <f t="shared" si="420"/>
        <v>0</v>
      </c>
      <c r="O1596" s="128">
        <f t="shared" si="420"/>
        <v>2782145.2532556877</v>
      </c>
      <c r="P1596" s="123" t="str">
        <f t="shared" si="412"/>
        <v/>
      </c>
    </row>
    <row r="1597" spans="1:16" s="114" customFormat="1" ht="15" x14ac:dyDescent="0.25">
      <c r="A1597" s="118"/>
      <c r="B1597" s="117"/>
      <c r="C1597" s="128"/>
      <c r="D1597" s="128"/>
      <c r="E1597" s="128"/>
      <c r="F1597" s="128"/>
      <c r="G1597" s="128"/>
      <c r="H1597" s="128"/>
      <c r="I1597" s="129">
        <f>mayors!J41</f>
        <v>0</v>
      </c>
      <c r="J1597" s="129"/>
      <c r="K1597" s="129"/>
      <c r="L1597" s="129"/>
      <c r="M1597" s="186"/>
      <c r="N1597" s="186"/>
      <c r="O1597" s="128"/>
      <c r="P1597" s="123" t="str">
        <f t="shared" si="412"/>
        <v/>
      </c>
    </row>
    <row r="1598" spans="1:16" s="114" customFormat="1" ht="15" x14ac:dyDescent="0.25">
      <c r="A1598" s="118"/>
      <c r="B1598" s="117" t="s">
        <v>178</v>
      </c>
      <c r="C1598" s="128">
        <f>C1596</f>
        <v>2358593</v>
      </c>
      <c r="D1598" s="128">
        <f t="shared" ref="D1598:O1598" si="421">D1596</f>
        <v>140649.51</v>
      </c>
      <c r="E1598" s="128">
        <f t="shared" si="421"/>
        <v>0</v>
      </c>
      <c r="F1598" s="128">
        <f t="shared" si="421"/>
        <v>643424.37000000011</v>
      </c>
      <c r="G1598" s="128">
        <f t="shared" si="421"/>
        <v>1715168.63</v>
      </c>
      <c r="H1598" s="128">
        <f t="shared" si="421"/>
        <v>440.43999999999994</v>
      </c>
      <c r="I1598" s="128">
        <f t="shared" si="421"/>
        <v>-71502.73000000001</v>
      </c>
      <c r="J1598" s="128">
        <f t="shared" si="421"/>
        <v>2287090.27</v>
      </c>
      <c r="K1598" s="128">
        <f t="shared" si="421"/>
        <v>2430033.4118750002</v>
      </c>
      <c r="L1598" s="128">
        <f t="shared" si="421"/>
        <v>2600135.7507062503</v>
      </c>
      <c r="M1598" s="128">
        <f t="shared" si="421"/>
        <v>0</v>
      </c>
      <c r="N1598" s="128">
        <f t="shared" si="421"/>
        <v>0</v>
      </c>
      <c r="O1598" s="128">
        <f t="shared" si="421"/>
        <v>2782145.2532556877</v>
      </c>
      <c r="P1598" s="123" t="str">
        <f t="shared" si="412"/>
        <v/>
      </c>
    </row>
    <row r="1599" spans="1:16" s="114" customFormat="1" ht="15" x14ac:dyDescent="0.25">
      <c r="A1599" s="118"/>
      <c r="B1599" s="117"/>
      <c r="C1599" s="128"/>
      <c r="D1599" s="128"/>
      <c r="E1599" s="128"/>
      <c r="F1599" s="128"/>
      <c r="G1599" s="128"/>
      <c r="H1599" s="128"/>
      <c r="I1599" s="129">
        <f>mayors!J43</f>
        <v>0</v>
      </c>
      <c r="J1599" s="129"/>
      <c r="K1599" s="129"/>
      <c r="L1599" s="129"/>
      <c r="M1599" s="186"/>
      <c r="N1599" s="186"/>
      <c r="O1599" s="128"/>
      <c r="P1599" s="123" t="str">
        <f t="shared" si="412"/>
        <v/>
      </c>
    </row>
    <row r="1600" spans="1:16" s="114" customFormat="1" ht="15" x14ac:dyDescent="0.25">
      <c r="A1600" s="118"/>
      <c r="B1600" s="117" t="s">
        <v>179</v>
      </c>
      <c r="C1600" s="128"/>
      <c r="D1600" s="128"/>
      <c r="E1600" s="128"/>
      <c r="F1600" s="128"/>
      <c r="G1600" s="128"/>
      <c r="H1600" s="128"/>
      <c r="I1600" s="129">
        <f>mayors!J44</f>
        <v>0</v>
      </c>
      <c r="J1600" s="129"/>
      <c r="K1600" s="129"/>
      <c r="L1600" s="129"/>
      <c r="M1600" s="186"/>
      <c r="N1600" s="186"/>
      <c r="O1600" s="128"/>
      <c r="P1600" s="123" t="str">
        <f t="shared" si="412"/>
        <v/>
      </c>
    </row>
    <row r="1601" spans="1:16" s="114" customFormat="1" ht="15" x14ac:dyDescent="0.25">
      <c r="A1601" s="118"/>
      <c r="B1601" s="117"/>
      <c r="C1601" s="128"/>
      <c r="D1601" s="128"/>
      <c r="E1601" s="128"/>
      <c r="F1601" s="128"/>
      <c r="G1601" s="128"/>
      <c r="H1601" s="128"/>
      <c r="I1601" s="129">
        <f>mayors!J45</f>
        <v>0</v>
      </c>
      <c r="J1601" s="129"/>
      <c r="K1601" s="129"/>
      <c r="L1601" s="129"/>
      <c r="M1601" s="186"/>
      <c r="N1601" s="186"/>
      <c r="O1601" s="128"/>
      <c r="P1601" s="123" t="str">
        <f t="shared" si="412"/>
        <v/>
      </c>
    </row>
    <row r="1602" spans="1:16" s="114" customFormat="1" ht="15" x14ac:dyDescent="0.25">
      <c r="A1602" s="118"/>
      <c r="B1602" s="117" t="s">
        <v>191</v>
      </c>
      <c r="C1602" s="128"/>
      <c r="D1602" s="128"/>
      <c r="E1602" s="128"/>
      <c r="F1602" s="128"/>
      <c r="G1602" s="128"/>
      <c r="H1602" s="128"/>
      <c r="I1602" s="129">
        <f>mayors!J46</f>
        <v>0</v>
      </c>
      <c r="J1602" s="129"/>
      <c r="K1602" s="129"/>
      <c r="L1602" s="129"/>
      <c r="M1602" s="186"/>
      <c r="N1602" s="186"/>
      <c r="O1602" s="128"/>
      <c r="P1602" s="123" t="str">
        <f t="shared" si="412"/>
        <v/>
      </c>
    </row>
    <row r="1603" spans="1:16" x14ac:dyDescent="0.2">
      <c r="A1603" s="119"/>
      <c r="B1603" s="120"/>
      <c r="C1603" s="129"/>
      <c r="D1603" s="129"/>
      <c r="E1603" s="129"/>
      <c r="F1603" s="129"/>
      <c r="G1603" s="129"/>
      <c r="H1603" s="129"/>
      <c r="I1603" s="129">
        <f>mayors!J47</f>
        <v>0</v>
      </c>
      <c r="J1603" s="129"/>
      <c r="K1603" s="129"/>
      <c r="L1603" s="129"/>
      <c r="O1603" s="129"/>
      <c r="P1603" s="123" t="str">
        <f t="shared" si="412"/>
        <v/>
      </c>
    </row>
    <row r="1604" spans="1:16" x14ac:dyDescent="0.2">
      <c r="A1604" s="119" t="s">
        <v>728</v>
      </c>
      <c r="B1604" s="120" t="s">
        <v>192</v>
      </c>
      <c r="C1604" s="129">
        <v>221423</v>
      </c>
      <c r="D1604" s="129">
        <v>0</v>
      </c>
      <c r="E1604" s="129">
        <v>0</v>
      </c>
      <c r="F1604" s="129">
        <v>0</v>
      </c>
      <c r="G1604" s="129">
        <v>221423</v>
      </c>
      <c r="H1604" s="129">
        <v>0</v>
      </c>
      <c r="I1604" s="129">
        <f>mayors!J48</f>
        <v>0</v>
      </c>
      <c r="J1604" s="129">
        <f>mayors!K48</f>
        <v>221423</v>
      </c>
      <c r="K1604" s="129">
        <f>mayors!L48</f>
        <v>235261.9375</v>
      </c>
      <c r="L1604" s="129">
        <f>mayors!M48</f>
        <v>251730.27312500001</v>
      </c>
      <c r="O1604" s="129">
        <f>mayors!N48</f>
        <v>269351.39224374999</v>
      </c>
      <c r="P1604" s="123" t="str">
        <f t="shared" si="412"/>
        <v>210</v>
      </c>
    </row>
    <row r="1605" spans="1:16" x14ac:dyDescent="0.2">
      <c r="A1605" s="119" t="s">
        <v>729</v>
      </c>
      <c r="B1605" s="120" t="s">
        <v>193</v>
      </c>
      <c r="C1605" s="129">
        <v>664269</v>
      </c>
      <c r="D1605" s="129">
        <v>0</v>
      </c>
      <c r="E1605" s="129">
        <v>0</v>
      </c>
      <c r="F1605" s="129">
        <v>0</v>
      </c>
      <c r="G1605" s="129">
        <v>664269</v>
      </c>
      <c r="H1605" s="129">
        <v>0</v>
      </c>
      <c r="I1605" s="129">
        <f>mayors!J49</f>
        <v>0</v>
      </c>
      <c r="J1605" s="129">
        <f>mayors!K49</f>
        <v>664269</v>
      </c>
      <c r="K1605" s="129">
        <f>mayors!L49</f>
        <v>705785.8125</v>
      </c>
      <c r="L1605" s="129">
        <f>mayors!M49</f>
        <v>755190.81937499996</v>
      </c>
      <c r="O1605" s="129">
        <f>mayors!N49</f>
        <v>808054.17673125002</v>
      </c>
      <c r="P1605" s="123" t="str">
        <f t="shared" si="412"/>
        <v>210</v>
      </c>
    </row>
    <row r="1606" spans="1:16" x14ac:dyDescent="0.2">
      <c r="A1606" s="119" t="s">
        <v>730</v>
      </c>
      <c r="B1606" s="120" t="s">
        <v>194</v>
      </c>
      <c r="C1606" s="129">
        <v>47508</v>
      </c>
      <c r="D1606" s="129">
        <v>0</v>
      </c>
      <c r="E1606" s="129">
        <v>0</v>
      </c>
      <c r="F1606" s="129">
        <v>0</v>
      </c>
      <c r="G1606" s="129">
        <v>47508</v>
      </c>
      <c r="H1606" s="129">
        <v>0</v>
      </c>
      <c r="I1606" s="129">
        <f>mayors!J50</f>
        <v>0</v>
      </c>
      <c r="J1606" s="129">
        <f>mayors!K50</f>
        <v>47508</v>
      </c>
      <c r="K1606" s="129">
        <f>mayors!L50</f>
        <v>50477.25</v>
      </c>
      <c r="L1606" s="129">
        <f>mayors!M50</f>
        <v>54010.657500000001</v>
      </c>
      <c r="O1606" s="129">
        <f>mayors!N50</f>
        <v>57791.403525000002</v>
      </c>
      <c r="P1606" s="123" t="str">
        <f t="shared" si="412"/>
        <v>210</v>
      </c>
    </row>
    <row r="1607" spans="1:16" x14ac:dyDescent="0.2">
      <c r="A1607" s="119"/>
      <c r="B1607" s="120"/>
      <c r="C1607" s="129"/>
      <c r="D1607" s="129"/>
      <c r="E1607" s="129"/>
      <c r="F1607" s="129"/>
      <c r="G1607" s="129"/>
      <c r="H1607" s="129"/>
      <c r="I1607" s="129">
        <f>mayors!J51</f>
        <v>0</v>
      </c>
      <c r="J1607" s="129"/>
      <c r="K1607" s="129"/>
      <c r="L1607" s="129"/>
      <c r="O1607" s="129"/>
      <c r="P1607" s="123" t="str">
        <f t="shared" ref="P1607:P1670" si="422">MID(A1607,6,3)</f>
        <v/>
      </c>
    </row>
    <row r="1608" spans="1:16" s="114" customFormat="1" ht="15" x14ac:dyDescent="0.25">
      <c r="A1608" s="118"/>
      <c r="B1608" s="117" t="s">
        <v>195</v>
      </c>
      <c r="C1608" s="128">
        <f>SUM(C1604:C1607)</f>
        <v>933200</v>
      </c>
      <c r="D1608" s="128">
        <f t="shared" ref="D1608:O1608" si="423">SUM(D1604:D1607)</f>
        <v>0</v>
      </c>
      <c r="E1608" s="128">
        <f t="shared" si="423"/>
        <v>0</v>
      </c>
      <c r="F1608" s="128">
        <f t="shared" si="423"/>
        <v>0</v>
      </c>
      <c r="G1608" s="128">
        <f t="shared" si="423"/>
        <v>933200</v>
      </c>
      <c r="H1608" s="128">
        <f t="shared" si="423"/>
        <v>0</v>
      </c>
      <c r="I1608" s="128">
        <f t="shared" si="423"/>
        <v>0</v>
      </c>
      <c r="J1608" s="128">
        <f t="shared" si="423"/>
        <v>933200</v>
      </c>
      <c r="K1608" s="128">
        <f t="shared" si="423"/>
        <v>991525</v>
      </c>
      <c r="L1608" s="128">
        <f t="shared" si="423"/>
        <v>1060931.75</v>
      </c>
      <c r="M1608" s="128">
        <f t="shared" si="423"/>
        <v>0</v>
      </c>
      <c r="N1608" s="128">
        <f t="shared" si="423"/>
        <v>0</v>
      </c>
      <c r="O1608" s="128">
        <f t="shared" si="423"/>
        <v>1135196.9724999999</v>
      </c>
      <c r="P1608" s="123" t="str">
        <f t="shared" si="422"/>
        <v/>
      </c>
    </row>
    <row r="1609" spans="1:16" s="114" customFormat="1" ht="15" x14ac:dyDescent="0.25">
      <c r="A1609" s="118"/>
      <c r="B1609" s="117"/>
      <c r="C1609" s="128"/>
      <c r="D1609" s="128"/>
      <c r="E1609" s="128"/>
      <c r="F1609" s="128"/>
      <c r="G1609" s="128"/>
      <c r="H1609" s="128"/>
      <c r="I1609" s="129">
        <f>mayors!J53</f>
        <v>0</v>
      </c>
      <c r="J1609" s="129"/>
      <c r="K1609" s="129"/>
      <c r="L1609" s="129"/>
      <c r="M1609" s="186"/>
      <c r="N1609" s="186"/>
      <c r="O1609" s="128"/>
      <c r="P1609" s="123" t="str">
        <f t="shared" si="422"/>
        <v/>
      </c>
    </row>
    <row r="1610" spans="1:16" s="114" customFormat="1" ht="15" x14ac:dyDescent="0.25">
      <c r="A1610" s="118"/>
      <c r="B1610" s="117" t="s">
        <v>201</v>
      </c>
      <c r="C1610" s="128"/>
      <c r="D1610" s="128"/>
      <c r="E1610" s="128"/>
      <c r="F1610" s="128"/>
      <c r="G1610" s="128"/>
      <c r="H1610" s="128"/>
      <c r="I1610" s="129">
        <f>mayors!J54</f>
        <v>0</v>
      </c>
      <c r="J1610" s="129"/>
      <c r="K1610" s="129"/>
      <c r="L1610" s="129"/>
      <c r="M1610" s="186"/>
      <c r="N1610" s="186"/>
      <c r="O1610" s="128"/>
      <c r="P1610" s="123" t="str">
        <f t="shared" si="422"/>
        <v/>
      </c>
    </row>
    <row r="1611" spans="1:16" s="114" customFormat="1" ht="15" x14ac:dyDescent="0.25">
      <c r="A1611" s="118"/>
      <c r="B1611" s="117"/>
      <c r="C1611" s="128"/>
      <c r="D1611" s="128"/>
      <c r="E1611" s="128"/>
      <c r="F1611" s="128"/>
      <c r="G1611" s="128"/>
      <c r="H1611" s="128"/>
      <c r="I1611" s="129">
        <f>mayors!J55</f>
        <v>0</v>
      </c>
      <c r="J1611" s="129"/>
      <c r="K1611" s="129"/>
      <c r="L1611" s="129"/>
      <c r="M1611" s="186"/>
      <c r="N1611" s="186"/>
      <c r="O1611" s="128"/>
      <c r="P1611" s="123" t="str">
        <f t="shared" si="422"/>
        <v/>
      </c>
    </row>
    <row r="1612" spans="1:16" x14ac:dyDescent="0.2">
      <c r="A1612" s="119" t="s">
        <v>731</v>
      </c>
      <c r="B1612" s="120" t="s">
        <v>202</v>
      </c>
      <c r="C1612" s="129">
        <v>0</v>
      </c>
      <c r="D1612" s="129">
        <v>17244.77</v>
      </c>
      <c r="E1612" s="129">
        <v>0</v>
      </c>
      <c r="F1612" s="129">
        <v>103468.62</v>
      </c>
      <c r="G1612" s="129">
        <v>-103468.62</v>
      </c>
      <c r="H1612" s="129">
        <v>0</v>
      </c>
      <c r="I1612" s="129">
        <f>mayors!J56</f>
        <v>0</v>
      </c>
      <c r="J1612" s="129">
        <f>mayors!K56</f>
        <v>0</v>
      </c>
      <c r="K1612" s="129">
        <f>mayors!L56</f>
        <v>0</v>
      </c>
      <c r="L1612" s="129">
        <f>mayors!M56</f>
        <v>0</v>
      </c>
      <c r="O1612" s="129">
        <f>mayors!N56</f>
        <v>0</v>
      </c>
      <c r="P1612" s="123" t="str">
        <f t="shared" si="422"/>
        <v>211</v>
      </c>
    </row>
    <row r="1613" spans="1:16" x14ac:dyDescent="0.2">
      <c r="A1613" s="119" t="s">
        <v>732</v>
      </c>
      <c r="B1613" s="120" t="s">
        <v>203</v>
      </c>
      <c r="C1613" s="129">
        <v>0</v>
      </c>
      <c r="D1613" s="129">
        <v>51734.31</v>
      </c>
      <c r="E1613" s="129">
        <v>0</v>
      </c>
      <c r="F1613" s="129">
        <v>310405.86</v>
      </c>
      <c r="G1613" s="129">
        <v>-310405.86</v>
      </c>
      <c r="H1613" s="129">
        <v>0</v>
      </c>
      <c r="I1613" s="129">
        <f>mayors!J57</f>
        <v>0</v>
      </c>
      <c r="J1613" s="129">
        <f>mayors!K57</f>
        <v>0</v>
      </c>
      <c r="K1613" s="129">
        <f>mayors!L57</f>
        <v>0</v>
      </c>
      <c r="L1613" s="129">
        <f>mayors!M57</f>
        <v>0</v>
      </c>
      <c r="O1613" s="129">
        <f>mayors!N57</f>
        <v>0</v>
      </c>
      <c r="P1613" s="123" t="str">
        <f t="shared" si="422"/>
        <v>211</v>
      </c>
    </row>
    <row r="1614" spans="1:16" x14ac:dyDescent="0.2">
      <c r="A1614" s="119" t="s">
        <v>733</v>
      </c>
      <c r="B1614" s="120" t="s">
        <v>204</v>
      </c>
      <c r="C1614" s="129">
        <v>0</v>
      </c>
      <c r="D1614" s="129">
        <v>3400</v>
      </c>
      <c r="E1614" s="129">
        <v>0</v>
      </c>
      <c r="F1614" s="129">
        <v>20400</v>
      </c>
      <c r="G1614" s="129">
        <v>-20400</v>
      </c>
      <c r="H1614" s="129">
        <v>0</v>
      </c>
      <c r="I1614" s="129">
        <f>mayors!J58</f>
        <v>0</v>
      </c>
      <c r="J1614" s="129">
        <f>mayors!K58</f>
        <v>0</v>
      </c>
      <c r="K1614" s="129">
        <f>mayors!L58</f>
        <v>0</v>
      </c>
      <c r="L1614" s="129">
        <f>mayors!M58</f>
        <v>0</v>
      </c>
      <c r="O1614" s="129">
        <f>mayors!N58</f>
        <v>0</v>
      </c>
      <c r="P1614" s="123" t="str">
        <f t="shared" si="422"/>
        <v>211</v>
      </c>
    </row>
    <row r="1615" spans="1:16" x14ac:dyDescent="0.2">
      <c r="A1615" s="119"/>
      <c r="B1615" s="120"/>
      <c r="C1615" s="129"/>
      <c r="D1615" s="129"/>
      <c r="E1615" s="129"/>
      <c r="F1615" s="129"/>
      <c r="G1615" s="129"/>
      <c r="H1615" s="129"/>
      <c r="I1615" s="129">
        <f>mayors!J59</f>
        <v>0</v>
      </c>
      <c r="J1615" s="129">
        <f>mayors!K59</f>
        <v>0</v>
      </c>
      <c r="K1615" s="129">
        <f>mayors!L59</f>
        <v>0</v>
      </c>
      <c r="L1615" s="129">
        <f>mayors!M59</f>
        <v>0</v>
      </c>
      <c r="O1615" s="129">
        <f>mayors!N59</f>
        <v>0</v>
      </c>
      <c r="P1615" s="123" t="str">
        <f t="shared" si="422"/>
        <v/>
      </c>
    </row>
    <row r="1616" spans="1:16" s="114" customFormat="1" ht="15" x14ac:dyDescent="0.25">
      <c r="A1616" s="118"/>
      <c r="B1616" s="117" t="s">
        <v>205</v>
      </c>
      <c r="C1616" s="128">
        <v>0</v>
      </c>
      <c r="D1616" s="128">
        <v>72379.08</v>
      </c>
      <c r="E1616" s="128">
        <v>0</v>
      </c>
      <c r="F1616" s="128">
        <v>434274.48</v>
      </c>
      <c r="G1616" s="128">
        <v>-434274.48</v>
      </c>
      <c r="H1616" s="128">
        <v>0</v>
      </c>
      <c r="I1616" s="129">
        <f>mayors!J60</f>
        <v>0</v>
      </c>
      <c r="J1616" s="129">
        <f>mayors!K60</f>
        <v>0</v>
      </c>
      <c r="K1616" s="129">
        <f>mayors!L60</f>
        <v>0</v>
      </c>
      <c r="L1616" s="129">
        <f>mayors!M60</f>
        <v>0</v>
      </c>
      <c r="M1616" s="186"/>
      <c r="N1616" s="186"/>
      <c r="O1616" s="129">
        <f>mayors!N60</f>
        <v>0</v>
      </c>
      <c r="P1616" s="123" t="str">
        <f t="shared" si="422"/>
        <v/>
      </c>
    </row>
    <row r="1617" spans="1:16" s="114" customFormat="1" ht="15" x14ac:dyDescent="0.25">
      <c r="A1617" s="118"/>
      <c r="B1617" s="117"/>
      <c r="C1617" s="128"/>
      <c r="D1617" s="128"/>
      <c r="E1617" s="128"/>
      <c r="F1617" s="128"/>
      <c r="G1617" s="128"/>
      <c r="H1617" s="128"/>
      <c r="I1617" s="129">
        <f>mayors!J61</f>
        <v>0</v>
      </c>
      <c r="J1617" s="129"/>
      <c r="K1617" s="129"/>
      <c r="L1617" s="129"/>
      <c r="M1617" s="186"/>
      <c r="N1617" s="186"/>
      <c r="O1617" s="128"/>
      <c r="P1617" s="123" t="str">
        <f t="shared" si="422"/>
        <v/>
      </c>
    </row>
    <row r="1618" spans="1:16" s="114" customFormat="1" ht="15" x14ac:dyDescent="0.25">
      <c r="A1618" s="118"/>
      <c r="B1618" s="117" t="s">
        <v>206</v>
      </c>
      <c r="C1618" s="128">
        <f>C1608+C1616</f>
        <v>933200</v>
      </c>
      <c r="D1618" s="128">
        <f t="shared" ref="D1618:O1618" si="424">D1608+D1616</f>
        <v>72379.08</v>
      </c>
      <c r="E1618" s="128">
        <f t="shared" si="424"/>
        <v>0</v>
      </c>
      <c r="F1618" s="128">
        <f t="shared" si="424"/>
        <v>434274.48</v>
      </c>
      <c r="G1618" s="128">
        <f t="shared" si="424"/>
        <v>498925.52</v>
      </c>
      <c r="H1618" s="128">
        <f t="shared" si="424"/>
        <v>0</v>
      </c>
      <c r="I1618" s="128">
        <f t="shared" si="424"/>
        <v>0</v>
      </c>
      <c r="J1618" s="128">
        <f t="shared" si="424"/>
        <v>933200</v>
      </c>
      <c r="K1618" s="128">
        <f t="shared" si="424"/>
        <v>991525</v>
      </c>
      <c r="L1618" s="128">
        <f t="shared" si="424"/>
        <v>1060931.75</v>
      </c>
      <c r="M1618" s="128">
        <f t="shared" si="424"/>
        <v>0</v>
      </c>
      <c r="N1618" s="128">
        <f t="shared" si="424"/>
        <v>0</v>
      </c>
      <c r="O1618" s="128">
        <f t="shared" si="424"/>
        <v>1135196.9724999999</v>
      </c>
      <c r="P1618" s="123" t="str">
        <f t="shared" si="422"/>
        <v/>
      </c>
    </row>
    <row r="1619" spans="1:16" s="114" customFormat="1" ht="15" x14ac:dyDescent="0.25">
      <c r="A1619" s="118"/>
      <c r="B1619" s="117"/>
      <c r="C1619" s="128"/>
      <c r="D1619" s="128"/>
      <c r="E1619" s="128"/>
      <c r="F1619" s="128"/>
      <c r="G1619" s="128"/>
      <c r="H1619" s="128"/>
      <c r="I1619" s="129">
        <f>mayors!J63</f>
        <v>0</v>
      </c>
      <c r="J1619" s="129"/>
      <c r="K1619" s="129"/>
      <c r="L1619" s="129"/>
      <c r="M1619" s="186"/>
      <c r="N1619" s="186"/>
      <c r="O1619" s="128"/>
      <c r="P1619" s="123" t="str">
        <f t="shared" si="422"/>
        <v/>
      </c>
    </row>
    <row r="1620" spans="1:16" s="114" customFormat="1" ht="15" x14ac:dyDescent="0.25">
      <c r="A1620" s="118"/>
      <c r="B1620" s="117" t="s">
        <v>207</v>
      </c>
      <c r="C1620" s="128">
        <f>C1618</f>
        <v>933200</v>
      </c>
      <c r="D1620" s="128">
        <f t="shared" ref="D1620:O1620" si="425">D1618</f>
        <v>72379.08</v>
      </c>
      <c r="E1620" s="128">
        <f t="shared" si="425"/>
        <v>0</v>
      </c>
      <c r="F1620" s="128">
        <f t="shared" si="425"/>
        <v>434274.48</v>
      </c>
      <c r="G1620" s="128">
        <f t="shared" si="425"/>
        <v>498925.52</v>
      </c>
      <c r="H1620" s="128">
        <f t="shared" si="425"/>
        <v>0</v>
      </c>
      <c r="I1620" s="128">
        <f t="shared" si="425"/>
        <v>0</v>
      </c>
      <c r="J1620" s="128">
        <f t="shared" si="425"/>
        <v>933200</v>
      </c>
      <c r="K1620" s="128">
        <f t="shared" si="425"/>
        <v>991525</v>
      </c>
      <c r="L1620" s="128">
        <f t="shared" si="425"/>
        <v>1060931.75</v>
      </c>
      <c r="M1620" s="128">
        <f t="shared" si="425"/>
        <v>0</v>
      </c>
      <c r="N1620" s="128">
        <f t="shared" si="425"/>
        <v>0</v>
      </c>
      <c r="O1620" s="128">
        <f t="shared" si="425"/>
        <v>1135196.9724999999</v>
      </c>
      <c r="P1620" s="123" t="str">
        <f t="shared" si="422"/>
        <v/>
      </c>
    </row>
    <row r="1621" spans="1:16" s="114" customFormat="1" ht="15" x14ac:dyDescent="0.25">
      <c r="A1621" s="118"/>
      <c r="B1621" s="117"/>
      <c r="C1621" s="128"/>
      <c r="D1621" s="128"/>
      <c r="E1621" s="128"/>
      <c r="F1621" s="128"/>
      <c r="G1621" s="128"/>
      <c r="H1621" s="128"/>
      <c r="I1621" s="129">
        <f>mayors!J65</f>
        <v>0</v>
      </c>
      <c r="J1621" s="129"/>
      <c r="K1621" s="129"/>
      <c r="L1621" s="129"/>
      <c r="M1621" s="186"/>
      <c r="N1621" s="186"/>
      <c r="O1621" s="128"/>
      <c r="P1621" s="123" t="str">
        <f t="shared" si="422"/>
        <v/>
      </c>
    </row>
    <row r="1622" spans="1:16" s="114" customFormat="1" ht="15" x14ac:dyDescent="0.25">
      <c r="A1622" s="118"/>
      <c r="B1622" s="117" t="s">
        <v>208</v>
      </c>
      <c r="C1622" s="128"/>
      <c r="D1622" s="128"/>
      <c r="E1622" s="128"/>
      <c r="F1622" s="128"/>
      <c r="G1622" s="128"/>
      <c r="H1622" s="128"/>
      <c r="I1622" s="129">
        <f>mayors!J66</f>
        <v>0</v>
      </c>
      <c r="J1622" s="129"/>
      <c r="K1622" s="129"/>
      <c r="L1622" s="129"/>
      <c r="M1622" s="186"/>
      <c r="N1622" s="186"/>
      <c r="O1622" s="128"/>
      <c r="P1622" s="123" t="str">
        <f t="shared" si="422"/>
        <v/>
      </c>
    </row>
    <row r="1623" spans="1:16" s="114" customFormat="1" ht="15" x14ac:dyDescent="0.25">
      <c r="A1623" s="118"/>
      <c r="B1623" s="117"/>
      <c r="C1623" s="128"/>
      <c r="D1623" s="128"/>
      <c r="E1623" s="128"/>
      <c r="F1623" s="128"/>
      <c r="G1623" s="128"/>
      <c r="H1623" s="128"/>
      <c r="I1623" s="129">
        <f>mayors!J67</f>
        <v>0</v>
      </c>
      <c r="J1623" s="129"/>
      <c r="K1623" s="129"/>
      <c r="L1623" s="129"/>
      <c r="M1623" s="186"/>
      <c r="N1623" s="186"/>
      <c r="O1623" s="128"/>
      <c r="P1623" s="123" t="str">
        <f t="shared" si="422"/>
        <v/>
      </c>
    </row>
    <row r="1624" spans="1:16" s="114" customFormat="1" ht="15" x14ac:dyDescent="0.25">
      <c r="A1624" s="118"/>
      <c r="B1624" s="117" t="s">
        <v>209</v>
      </c>
      <c r="C1624" s="128"/>
      <c r="D1624" s="128"/>
      <c r="E1624" s="128"/>
      <c r="F1624" s="128"/>
      <c r="G1624" s="128"/>
      <c r="H1624" s="128"/>
      <c r="I1624" s="129">
        <f>mayors!J68</f>
        <v>0</v>
      </c>
      <c r="J1624" s="129"/>
      <c r="K1624" s="129"/>
      <c r="L1624" s="129"/>
      <c r="M1624" s="186"/>
      <c r="N1624" s="186"/>
      <c r="O1624" s="128"/>
      <c r="P1624" s="123" t="str">
        <f t="shared" si="422"/>
        <v/>
      </c>
    </row>
    <row r="1625" spans="1:16" x14ac:dyDescent="0.2">
      <c r="A1625" s="119"/>
      <c r="B1625" s="120"/>
      <c r="C1625" s="129"/>
      <c r="D1625" s="129"/>
      <c r="E1625" s="129"/>
      <c r="F1625" s="129"/>
      <c r="G1625" s="129"/>
      <c r="H1625" s="129"/>
      <c r="I1625" s="129">
        <f>mayors!J69</f>
        <v>0</v>
      </c>
      <c r="J1625" s="129"/>
      <c r="K1625" s="129"/>
      <c r="L1625" s="129"/>
      <c r="O1625" s="129"/>
      <c r="P1625" s="123" t="str">
        <f t="shared" si="422"/>
        <v/>
      </c>
    </row>
    <row r="1626" spans="1:16" x14ac:dyDescent="0.2">
      <c r="A1626" s="119" t="s">
        <v>734</v>
      </c>
      <c r="B1626" s="120" t="s">
        <v>214</v>
      </c>
      <c r="C1626" s="129">
        <v>49290</v>
      </c>
      <c r="D1626" s="129">
        <v>5000</v>
      </c>
      <c r="E1626" s="129">
        <v>0</v>
      </c>
      <c r="F1626" s="129">
        <v>49100</v>
      </c>
      <c r="G1626" s="129">
        <v>190</v>
      </c>
      <c r="H1626" s="129">
        <v>99.61</v>
      </c>
      <c r="I1626" s="129">
        <f>mayors!J70</f>
        <v>0</v>
      </c>
      <c r="J1626" s="129">
        <f>mayors!K70</f>
        <v>49290</v>
      </c>
      <c r="K1626" s="129">
        <f>mayors!L70</f>
        <v>51508.05</v>
      </c>
      <c r="L1626" s="129">
        <f>mayors!M70</f>
        <v>53877.420300000005</v>
      </c>
      <c r="O1626" s="129">
        <f>mayors!N70</f>
        <v>56355.781633800005</v>
      </c>
      <c r="P1626" s="123" t="str">
        <f t="shared" si="422"/>
        <v>260</v>
      </c>
    </row>
    <row r="1627" spans="1:16" x14ac:dyDescent="0.2">
      <c r="A1627" s="119" t="s">
        <v>735</v>
      </c>
      <c r="B1627" s="120" t="s">
        <v>214</v>
      </c>
      <c r="C1627" s="129">
        <v>129198</v>
      </c>
      <c r="D1627" s="129">
        <v>0</v>
      </c>
      <c r="E1627" s="129">
        <v>0</v>
      </c>
      <c r="F1627" s="129">
        <v>30300</v>
      </c>
      <c r="G1627" s="129">
        <v>98898</v>
      </c>
      <c r="H1627" s="129">
        <v>23.45</v>
      </c>
      <c r="I1627" s="129">
        <f>mayors!J71</f>
        <v>-45000</v>
      </c>
      <c r="J1627" s="129">
        <f>mayors!K71</f>
        <v>84198</v>
      </c>
      <c r="K1627" s="129">
        <f>mayors!L71</f>
        <v>87986.91</v>
      </c>
      <c r="L1627" s="129">
        <f>mayors!M71</f>
        <v>92034.307860000001</v>
      </c>
      <c r="O1627" s="129">
        <f>mayors!N71</f>
        <v>96267.88602156</v>
      </c>
      <c r="P1627" s="123" t="str">
        <f t="shared" si="422"/>
        <v>260</v>
      </c>
    </row>
    <row r="1628" spans="1:16" x14ac:dyDescent="0.2">
      <c r="A1628" s="119" t="s">
        <v>736</v>
      </c>
      <c r="B1628" s="120" t="s">
        <v>214</v>
      </c>
      <c r="C1628" s="129">
        <v>142582</v>
      </c>
      <c r="D1628" s="129">
        <v>15000</v>
      </c>
      <c r="E1628" s="129">
        <v>0</v>
      </c>
      <c r="F1628" s="129">
        <v>141810</v>
      </c>
      <c r="G1628" s="129">
        <v>772</v>
      </c>
      <c r="H1628" s="129">
        <v>99.45</v>
      </c>
      <c r="I1628" s="129">
        <f>mayors!J72</f>
        <v>150000</v>
      </c>
      <c r="J1628" s="129">
        <f>mayors!K72</f>
        <v>292582</v>
      </c>
      <c r="K1628" s="129">
        <f>mayors!L72</f>
        <v>305748.19</v>
      </c>
      <c r="L1628" s="129">
        <f>mayors!M72</f>
        <v>319812.60674000002</v>
      </c>
      <c r="O1628" s="129">
        <f>mayors!N72</f>
        <v>334523.98665004002</v>
      </c>
      <c r="P1628" s="123" t="str">
        <f t="shared" si="422"/>
        <v>260</v>
      </c>
    </row>
    <row r="1629" spans="1:16" x14ac:dyDescent="0.2">
      <c r="A1629" s="119" t="s">
        <v>737</v>
      </c>
      <c r="B1629" s="120" t="s">
        <v>214</v>
      </c>
      <c r="C1629" s="129">
        <v>119582</v>
      </c>
      <c r="D1629" s="129">
        <v>35400</v>
      </c>
      <c r="E1629" s="129">
        <v>0</v>
      </c>
      <c r="F1629" s="129">
        <v>68400</v>
      </c>
      <c r="G1629" s="129">
        <v>51182</v>
      </c>
      <c r="H1629" s="129">
        <v>57.19</v>
      </c>
      <c r="I1629" s="129">
        <f>mayors!J73</f>
        <v>20000</v>
      </c>
      <c r="J1629" s="129">
        <f>mayors!K73</f>
        <v>169582</v>
      </c>
      <c r="K1629" s="129">
        <f>mayors!L73</f>
        <v>177213.19</v>
      </c>
      <c r="L1629" s="129">
        <f>mayors!M73</f>
        <v>185364.99674</v>
      </c>
      <c r="O1629" s="129">
        <f>mayors!N73</f>
        <v>193891.78659003999</v>
      </c>
      <c r="P1629" s="123" t="str">
        <f t="shared" si="422"/>
        <v>260</v>
      </c>
    </row>
    <row r="1630" spans="1:16" x14ac:dyDescent="0.2">
      <c r="A1630" s="119" t="s">
        <v>738</v>
      </c>
      <c r="B1630" s="120" t="s">
        <v>214</v>
      </c>
      <c r="C1630" s="129">
        <v>230689</v>
      </c>
      <c r="D1630" s="129">
        <v>100400</v>
      </c>
      <c r="E1630" s="129">
        <v>18000</v>
      </c>
      <c r="F1630" s="129">
        <v>202000</v>
      </c>
      <c r="G1630" s="129">
        <v>28689</v>
      </c>
      <c r="H1630" s="129">
        <v>87.56</v>
      </c>
      <c r="I1630" s="129">
        <f>mayors!J74</f>
        <v>30000</v>
      </c>
      <c r="J1630" s="129">
        <f>mayors!K74</f>
        <v>230689</v>
      </c>
      <c r="K1630" s="129">
        <f>mayors!L74</f>
        <v>241070.005</v>
      </c>
      <c r="L1630" s="129">
        <f>mayors!M74</f>
        <v>252159.22523000001</v>
      </c>
      <c r="O1630" s="129">
        <f>mayors!N74</f>
        <v>263758.54959057999</v>
      </c>
      <c r="P1630" s="123" t="str">
        <f t="shared" si="422"/>
        <v>260</v>
      </c>
    </row>
    <row r="1631" spans="1:16" x14ac:dyDescent="0.2">
      <c r="A1631" s="119" t="s">
        <v>739</v>
      </c>
      <c r="B1631" s="120" t="s">
        <v>214</v>
      </c>
      <c r="C1631" s="129">
        <v>100000</v>
      </c>
      <c r="D1631" s="129">
        <v>0</v>
      </c>
      <c r="E1631" s="129">
        <v>0</v>
      </c>
      <c r="F1631" s="129">
        <v>8000</v>
      </c>
      <c r="G1631" s="129">
        <v>92000</v>
      </c>
      <c r="H1631" s="129">
        <v>8</v>
      </c>
      <c r="I1631" s="129">
        <f>mayors!J75</f>
        <v>-22000</v>
      </c>
      <c r="J1631" s="129">
        <f>mayors!K75</f>
        <v>78000</v>
      </c>
      <c r="K1631" s="129">
        <f>mayors!L75</f>
        <v>81510</v>
      </c>
      <c r="L1631" s="129">
        <f>mayors!M75</f>
        <v>85259.46</v>
      </c>
      <c r="O1631" s="129">
        <f>mayors!N75</f>
        <v>89181.39516</v>
      </c>
      <c r="P1631" s="123" t="str">
        <f t="shared" si="422"/>
        <v>260</v>
      </c>
    </row>
    <row r="1632" spans="1:16" x14ac:dyDescent="0.2">
      <c r="A1632" s="119" t="s">
        <v>740</v>
      </c>
      <c r="B1632" s="120" t="s">
        <v>214</v>
      </c>
      <c r="C1632" s="129">
        <v>150406</v>
      </c>
      <c r="D1632" s="129">
        <v>12300</v>
      </c>
      <c r="E1632" s="129">
        <v>15000</v>
      </c>
      <c r="F1632" s="129">
        <v>83150</v>
      </c>
      <c r="G1632" s="129">
        <v>67256</v>
      </c>
      <c r="H1632" s="129">
        <v>55.28</v>
      </c>
      <c r="I1632" s="129">
        <f>mayors!J76</f>
        <v>-7256</v>
      </c>
      <c r="J1632" s="129">
        <f>mayors!K76</f>
        <v>143150</v>
      </c>
      <c r="K1632" s="129">
        <f>mayors!L76</f>
        <v>149591.75</v>
      </c>
      <c r="L1632" s="129">
        <f>mayors!M76</f>
        <v>156472.9705</v>
      </c>
      <c r="O1632" s="129">
        <f>mayors!N76</f>
        <v>163670.727143</v>
      </c>
      <c r="P1632" s="123" t="str">
        <f t="shared" si="422"/>
        <v>260</v>
      </c>
    </row>
    <row r="1633" spans="1:16" x14ac:dyDescent="0.2">
      <c r="A1633" s="119"/>
      <c r="B1633" s="120"/>
      <c r="C1633" s="129"/>
      <c r="D1633" s="129"/>
      <c r="E1633" s="129"/>
      <c r="F1633" s="129"/>
      <c r="G1633" s="129"/>
      <c r="H1633" s="129"/>
      <c r="I1633" s="129">
        <f>mayors!J77</f>
        <v>0</v>
      </c>
      <c r="J1633" s="129"/>
      <c r="K1633" s="129"/>
      <c r="L1633" s="129"/>
      <c r="O1633" s="129"/>
      <c r="P1633" s="123" t="str">
        <f t="shared" si="422"/>
        <v/>
      </c>
    </row>
    <row r="1634" spans="1:16" s="114" customFormat="1" ht="15" x14ac:dyDescent="0.25">
      <c r="A1634" s="118"/>
      <c r="B1634" s="117" t="s">
        <v>217</v>
      </c>
      <c r="C1634" s="128">
        <f>SUM(C1626:C1633)</f>
        <v>921747</v>
      </c>
      <c r="D1634" s="128">
        <f t="shared" ref="D1634:O1634" si="426">SUM(D1626:D1633)</f>
        <v>168100</v>
      </c>
      <c r="E1634" s="128">
        <f t="shared" si="426"/>
        <v>33000</v>
      </c>
      <c r="F1634" s="128">
        <f t="shared" si="426"/>
        <v>582760</v>
      </c>
      <c r="G1634" s="128">
        <f t="shared" si="426"/>
        <v>338987</v>
      </c>
      <c r="H1634" s="128">
        <f t="shared" si="426"/>
        <v>430.53999999999996</v>
      </c>
      <c r="I1634" s="128">
        <f t="shared" si="426"/>
        <v>125744</v>
      </c>
      <c r="J1634" s="128">
        <f t="shared" si="426"/>
        <v>1047491</v>
      </c>
      <c r="K1634" s="128">
        <f t="shared" si="426"/>
        <v>1094628.0950000002</v>
      </c>
      <c r="L1634" s="128">
        <f t="shared" si="426"/>
        <v>1144980.98737</v>
      </c>
      <c r="M1634" s="128">
        <f t="shared" si="426"/>
        <v>0</v>
      </c>
      <c r="N1634" s="128">
        <f t="shared" si="426"/>
        <v>0</v>
      </c>
      <c r="O1634" s="128">
        <f t="shared" si="426"/>
        <v>1197650.1127890199</v>
      </c>
      <c r="P1634" s="123" t="str">
        <f t="shared" si="422"/>
        <v/>
      </c>
    </row>
    <row r="1635" spans="1:16" s="114" customFormat="1" ht="15" x14ac:dyDescent="0.25">
      <c r="A1635" s="118"/>
      <c r="B1635" s="117"/>
      <c r="C1635" s="128"/>
      <c r="D1635" s="128"/>
      <c r="E1635" s="128"/>
      <c r="F1635" s="128"/>
      <c r="G1635" s="128"/>
      <c r="H1635" s="128"/>
      <c r="I1635" s="129">
        <f>mayors!J79</f>
        <v>0</v>
      </c>
      <c r="J1635" s="129"/>
      <c r="K1635" s="129"/>
      <c r="L1635" s="129"/>
      <c r="M1635" s="186"/>
      <c r="N1635" s="186"/>
      <c r="O1635" s="128"/>
      <c r="P1635" s="123" t="str">
        <f t="shared" si="422"/>
        <v/>
      </c>
    </row>
    <row r="1636" spans="1:16" s="114" customFormat="1" ht="15" x14ac:dyDescent="0.25">
      <c r="A1636" s="118"/>
      <c r="B1636" s="117" t="s">
        <v>240</v>
      </c>
      <c r="C1636" s="128">
        <f>C1634</f>
        <v>921747</v>
      </c>
      <c r="D1636" s="128">
        <f t="shared" ref="D1636:O1636" si="427">D1634</f>
        <v>168100</v>
      </c>
      <c r="E1636" s="128">
        <f t="shared" si="427"/>
        <v>33000</v>
      </c>
      <c r="F1636" s="128">
        <f t="shared" si="427"/>
        <v>582760</v>
      </c>
      <c r="G1636" s="128">
        <f t="shared" si="427"/>
        <v>338987</v>
      </c>
      <c r="H1636" s="128">
        <f t="shared" si="427"/>
        <v>430.53999999999996</v>
      </c>
      <c r="I1636" s="128">
        <f t="shared" si="427"/>
        <v>125744</v>
      </c>
      <c r="J1636" s="128">
        <f t="shared" si="427"/>
        <v>1047491</v>
      </c>
      <c r="K1636" s="128">
        <f t="shared" si="427"/>
        <v>1094628.0950000002</v>
      </c>
      <c r="L1636" s="128">
        <f t="shared" si="427"/>
        <v>1144980.98737</v>
      </c>
      <c r="M1636" s="128">
        <f t="shared" si="427"/>
        <v>0</v>
      </c>
      <c r="N1636" s="128">
        <f t="shared" si="427"/>
        <v>0</v>
      </c>
      <c r="O1636" s="128">
        <f t="shared" si="427"/>
        <v>1197650.1127890199</v>
      </c>
      <c r="P1636" s="123" t="str">
        <f t="shared" si="422"/>
        <v/>
      </c>
    </row>
    <row r="1637" spans="1:16" s="114" customFormat="1" ht="15" x14ac:dyDescent="0.25">
      <c r="A1637" s="118"/>
      <c r="B1637" s="117"/>
      <c r="C1637" s="128"/>
      <c r="D1637" s="128"/>
      <c r="E1637" s="128"/>
      <c r="F1637" s="128"/>
      <c r="G1637" s="128"/>
      <c r="H1637" s="128"/>
      <c r="I1637" s="129">
        <f>mayors!J81</f>
        <v>0</v>
      </c>
      <c r="J1637" s="129"/>
      <c r="K1637" s="129"/>
      <c r="L1637" s="129"/>
      <c r="M1637" s="186"/>
      <c r="N1637" s="186"/>
      <c r="O1637" s="128"/>
      <c r="P1637" s="123" t="str">
        <f t="shared" si="422"/>
        <v/>
      </c>
    </row>
    <row r="1638" spans="1:16" s="114" customFormat="1" ht="15" x14ac:dyDescent="0.25">
      <c r="A1638" s="118"/>
      <c r="B1638" s="117" t="s">
        <v>241</v>
      </c>
      <c r="C1638" s="128"/>
      <c r="D1638" s="128"/>
      <c r="E1638" s="128"/>
      <c r="F1638" s="128"/>
      <c r="G1638" s="128"/>
      <c r="H1638" s="128"/>
      <c r="I1638" s="129">
        <f>mayors!J82</f>
        <v>0</v>
      </c>
      <c r="J1638" s="129"/>
      <c r="K1638" s="129"/>
      <c r="L1638" s="129"/>
      <c r="M1638" s="186"/>
      <c r="N1638" s="186"/>
      <c r="O1638" s="128"/>
      <c r="P1638" s="123" t="str">
        <f t="shared" si="422"/>
        <v/>
      </c>
    </row>
    <row r="1639" spans="1:16" x14ac:dyDescent="0.2">
      <c r="A1639" s="119"/>
      <c r="B1639" s="120"/>
      <c r="C1639" s="129"/>
      <c r="D1639" s="129"/>
      <c r="E1639" s="129"/>
      <c r="F1639" s="129"/>
      <c r="G1639" s="129"/>
      <c r="H1639" s="129"/>
      <c r="I1639" s="129">
        <f>mayors!J83</f>
        <v>0</v>
      </c>
      <c r="J1639" s="129"/>
      <c r="K1639" s="129"/>
      <c r="L1639" s="129"/>
      <c r="O1639" s="129"/>
      <c r="P1639" s="123" t="str">
        <f t="shared" si="422"/>
        <v/>
      </c>
    </row>
    <row r="1640" spans="1:16" x14ac:dyDescent="0.2">
      <c r="A1640" s="119" t="s">
        <v>741</v>
      </c>
      <c r="B1640" s="120" t="s">
        <v>242</v>
      </c>
      <c r="C1640" s="129">
        <v>68920</v>
      </c>
      <c r="D1640" s="129">
        <v>0</v>
      </c>
      <c r="E1640" s="129">
        <v>0</v>
      </c>
      <c r="F1640" s="129">
        <v>0</v>
      </c>
      <c r="G1640" s="129">
        <v>68920</v>
      </c>
      <c r="H1640" s="129">
        <v>0</v>
      </c>
      <c r="I1640" s="129">
        <f>mayors!J84</f>
        <v>0</v>
      </c>
      <c r="J1640" s="129">
        <f>mayors!K84</f>
        <v>68920</v>
      </c>
      <c r="K1640" s="129">
        <f>mayors!L84</f>
        <v>72021.399999999994</v>
      </c>
      <c r="L1640" s="129">
        <f>mayors!M84</f>
        <v>75334.384399999995</v>
      </c>
      <c r="O1640" s="129">
        <f>mayors!N84</f>
        <v>78799.76608239999</v>
      </c>
      <c r="P1640" s="123" t="str">
        <f t="shared" si="422"/>
        <v>300</v>
      </c>
    </row>
    <row r="1641" spans="1:16" x14ac:dyDescent="0.2">
      <c r="A1641" s="119" t="s">
        <v>742</v>
      </c>
      <c r="B1641" s="120" t="s">
        <v>253</v>
      </c>
      <c r="C1641" s="129">
        <v>2000</v>
      </c>
      <c r="D1641" s="129">
        <v>0</v>
      </c>
      <c r="E1641" s="129">
        <v>0</v>
      </c>
      <c r="F1641" s="129">
        <v>0</v>
      </c>
      <c r="G1641" s="129">
        <v>2000</v>
      </c>
      <c r="H1641" s="129">
        <v>0</v>
      </c>
      <c r="I1641" s="129">
        <f>mayors!J85</f>
        <v>0</v>
      </c>
      <c r="J1641" s="129">
        <f>mayors!K85</f>
        <v>2000</v>
      </c>
      <c r="K1641" s="129">
        <f>mayors!L85</f>
        <v>2090</v>
      </c>
      <c r="L1641" s="129">
        <f>mayors!M85</f>
        <v>2186.14</v>
      </c>
      <c r="O1641" s="129">
        <f>mayors!N85</f>
        <v>2286.70244</v>
      </c>
      <c r="P1641" s="123" t="str">
        <f t="shared" si="422"/>
        <v>301</v>
      </c>
    </row>
    <row r="1642" spans="1:16" x14ac:dyDescent="0.2">
      <c r="A1642" s="119" t="s">
        <v>743</v>
      </c>
      <c r="B1642" s="120" t="s">
        <v>262</v>
      </c>
      <c r="C1642" s="129">
        <v>97801</v>
      </c>
      <c r="D1642" s="129">
        <v>0</v>
      </c>
      <c r="E1642" s="129">
        <v>0</v>
      </c>
      <c r="F1642" s="129">
        <v>0</v>
      </c>
      <c r="G1642" s="129">
        <v>97801</v>
      </c>
      <c r="H1642" s="129">
        <v>0</v>
      </c>
      <c r="I1642" s="129">
        <f>mayors!J86</f>
        <v>-97801</v>
      </c>
      <c r="J1642" s="129">
        <f>mayors!K86</f>
        <v>0</v>
      </c>
      <c r="K1642" s="129">
        <f>mayors!L86</f>
        <v>0</v>
      </c>
      <c r="L1642" s="129">
        <f>mayors!M86</f>
        <v>0</v>
      </c>
      <c r="O1642" s="129">
        <f>mayors!N86</f>
        <v>0</v>
      </c>
      <c r="P1642" s="123" t="str">
        <f t="shared" si="422"/>
        <v>304</v>
      </c>
    </row>
    <row r="1643" spans="1:16" x14ac:dyDescent="0.2">
      <c r="A1643" s="119" t="s">
        <v>744</v>
      </c>
      <c r="B1643" s="120" t="s">
        <v>265</v>
      </c>
      <c r="C1643" s="129">
        <v>60606</v>
      </c>
      <c r="D1643" s="129">
        <v>1719.29</v>
      </c>
      <c r="E1643" s="129">
        <v>0</v>
      </c>
      <c r="F1643" s="129">
        <v>8157.32</v>
      </c>
      <c r="G1643" s="129">
        <v>52448.68</v>
      </c>
      <c r="H1643" s="129">
        <v>13.45</v>
      </c>
      <c r="I1643" s="129">
        <f>mayors!J87</f>
        <v>-4000</v>
      </c>
      <c r="J1643" s="129">
        <f>mayors!K87</f>
        <v>56606</v>
      </c>
      <c r="K1643" s="129">
        <f>mayors!L87</f>
        <v>59153.27</v>
      </c>
      <c r="L1643" s="129">
        <f>mayors!M87</f>
        <v>61874.320419999996</v>
      </c>
      <c r="O1643" s="129">
        <f>mayors!N87</f>
        <v>64720.539159319997</v>
      </c>
      <c r="P1643" s="123" t="str">
        <f t="shared" si="422"/>
        <v>305</v>
      </c>
    </row>
    <row r="1644" spans="1:16" x14ac:dyDescent="0.2">
      <c r="A1644" s="119" t="s">
        <v>745</v>
      </c>
      <c r="B1644" s="120" t="s">
        <v>268</v>
      </c>
      <c r="C1644" s="129">
        <v>175152</v>
      </c>
      <c r="D1644" s="129">
        <v>10684.02</v>
      </c>
      <c r="E1644" s="129">
        <v>0</v>
      </c>
      <c r="F1644" s="129">
        <v>17445.95</v>
      </c>
      <c r="G1644" s="129">
        <v>157706.04999999999</v>
      </c>
      <c r="H1644" s="129">
        <v>9.9600000000000009</v>
      </c>
      <c r="I1644" s="129">
        <f>mayors!J88</f>
        <v>-80000</v>
      </c>
      <c r="J1644" s="129">
        <f>mayors!K88</f>
        <v>95152</v>
      </c>
      <c r="K1644" s="129">
        <f>mayors!L88</f>
        <v>99433.84</v>
      </c>
      <c r="L1644" s="129">
        <f>mayors!M88</f>
        <v>104007.79664</v>
      </c>
      <c r="O1644" s="129">
        <f>mayors!N88</f>
        <v>108792.15528544001</v>
      </c>
      <c r="P1644" s="123" t="str">
        <f t="shared" si="422"/>
        <v>305</v>
      </c>
    </row>
    <row r="1645" spans="1:16" x14ac:dyDescent="0.2">
      <c r="A1645" s="119" t="s">
        <v>746</v>
      </c>
      <c r="B1645" s="120" t="s">
        <v>268</v>
      </c>
      <c r="C1645" s="129">
        <v>100000</v>
      </c>
      <c r="D1645" s="129">
        <v>8260</v>
      </c>
      <c r="E1645" s="129">
        <v>1770</v>
      </c>
      <c r="F1645" s="129">
        <v>97748.01</v>
      </c>
      <c r="G1645" s="129">
        <v>2251.9899999999998</v>
      </c>
      <c r="H1645" s="129">
        <v>97.74</v>
      </c>
      <c r="I1645" s="129">
        <f>mayors!J89</f>
        <v>50000</v>
      </c>
      <c r="J1645" s="129">
        <f>mayors!K89</f>
        <v>150000</v>
      </c>
      <c r="K1645" s="129">
        <f>mayors!L89</f>
        <v>156750</v>
      </c>
      <c r="L1645" s="129">
        <f>mayors!M89</f>
        <v>163960.5</v>
      </c>
      <c r="O1645" s="129">
        <f>mayors!N89</f>
        <v>171502.68299999999</v>
      </c>
      <c r="P1645" s="123" t="str">
        <f t="shared" si="422"/>
        <v>305</v>
      </c>
    </row>
    <row r="1646" spans="1:16" x14ac:dyDescent="0.2">
      <c r="A1646" s="119" t="s">
        <v>747</v>
      </c>
      <c r="B1646" s="120" t="s">
        <v>269</v>
      </c>
      <c r="C1646" s="129">
        <v>76320</v>
      </c>
      <c r="D1646" s="129">
        <v>0</v>
      </c>
      <c r="E1646" s="129">
        <v>0</v>
      </c>
      <c r="F1646" s="129">
        <v>8260</v>
      </c>
      <c r="G1646" s="129">
        <v>68060</v>
      </c>
      <c r="H1646" s="129">
        <v>10.82</v>
      </c>
      <c r="I1646" s="129">
        <f>mayors!J90</f>
        <v>-20000</v>
      </c>
      <c r="J1646" s="129">
        <f>mayors!K90</f>
        <v>56320</v>
      </c>
      <c r="K1646" s="129">
        <f>mayors!L90</f>
        <v>58854.400000000001</v>
      </c>
      <c r="L1646" s="129">
        <f>mayors!M90</f>
        <v>61561.702400000002</v>
      </c>
      <c r="O1646" s="129">
        <f>mayors!N90</f>
        <v>64393.540710400004</v>
      </c>
      <c r="P1646" s="123" t="str">
        <f t="shared" si="422"/>
        <v>305</v>
      </c>
    </row>
    <row r="1647" spans="1:16" x14ac:dyDescent="0.2">
      <c r="A1647" s="119"/>
      <c r="B1647" s="120"/>
      <c r="C1647" s="129"/>
      <c r="D1647" s="129"/>
      <c r="E1647" s="129"/>
      <c r="F1647" s="129"/>
      <c r="G1647" s="129"/>
      <c r="H1647" s="129"/>
      <c r="I1647" s="129">
        <f>mayors!J91</f>
        <v>0</v>
      </c>
      <c r="J1647" s="129"/>
      <c r="K1647" s="129"/>
      <c r="L1647" s="129"/>
      <c r="O1647" s="129"/>
      <c r="P1647" s="123" t="str">
        <f t="shared" si="422"/>
        <v/>
      </c>
    </row>
    <row r="1648" spans="1:16" s="114" customFormat="1" ht="15" x14ac:dyDescent="0.25">
      <c r="A1648" s="118"/>
      <c r="B1648" s="117" t="s">
        <v>274</v>
      </c>
      <c r="C1648" s="128">
        <f>SUM(C1640:C1647)</f>
        <v>580799</v>
      </c>
      <c r="D1648" s="128">
        <f t="shared" ref="D1648:O1648" si="428">SUM(D1640:D1647)</f>
        <v>20663.310000000001</v>
      </c>
      <c r="E1648" s="128">
        <f t="shared" si="428"/>
        <v>1770</v>
      </c>
      <c r="F1648" s="128">
        <f t="shared" si="428"/>
        <v>131611.28</v>
      </c>
      <c r="G1648" s="128">
        <f t="shared" si="428"/>
        <v>449187.72</v>
      </c>
      <c r="H1648" s="128">
        <f t="shared" si="428"/>
        <v>131.97</v>
      </c>
      <c r="I1648" s="128">
        <f t="shared" si="428"/>
        <v>-151801</v>
      </c>
      <c r="J1648" s="128">
        <f t="shared" si="428"/>
        <v>428998</v>
      </c>
      <c r="K1648" s="128">
        <f t="shared" si="428"/>
        <v>448302.91000000003</v>
      </c>
      <c r="L1648" s="128">
        <f t="shared" si="428"/>
        <v>468924.84386000002</v>
      </c>
      <c r="M1648" s="128">
        <f t="shared" si="428"/>
        <v>0</v>
      </c>
      <c r="N1648" s="128">
        <f t="shared" si="428"/>
        <v>0</v>
      </c>
      <c r="O1648" s="128">
        <f t="shared" si="428"/>
        <v>490495.38667755993</v>
      </c>
      <c r="P1648" s="123" t="str">
        <f t="shared" si="422"/>
        <v/>
      </c>
    </row>
    <row r="1649" spans="1:16" x14ac:dyDescent="0.2">
      <c r="A1649" s="119"/>
      <c r="B1649" s="120"/>
      <c r="C1649" s="129"/>
      <c r="D1649" s="129"/>
      <c r="E1649" s="129"/>
      <c r="F1649" s="129"/>
      <c r="G1649" s="129"/>
      <c r="H1649" s="129"/>
      <c r="I1649" s="129">
        <f>mayors!J93</f>
        <v>0</v>
      </c>
      <c r="J1649" s="129"/>
      <c r="K1649" s="129"/>
      <c r="L1649" s="129"/>
      <c r="O1649" s="129"/>
      <c r="P1649" s="123" t="str">
        <f t="shared" si="422"/>
        <v/>
      </c>
    </row>
    <row r="1650" spans="1:16" s="114" customFormat="1" ht="15" x14ac:dyDescent="0.25">
      <c r="A1650" s="118"/>
      <c r="B1650" s="117" t="s">
        <v>305</v>
      </c>
      <c r="C1650" s="128">
        <f>C1598+C1620+C1636+C1648</f>
        <v>4794339</v>
      </c>
      <c r="D1650" s="128">
        <f t="shared" ref="D1650:O1650" si="429">D1598+D1620+D1636+D1648</f>
        <v>401791.9</v>
      </c>
      <c r="E1650" s="128">
        <f t="shared" si="429"/>
        <v>34770</v>
      </c>
      <c r="F1650" s="128">
        <f t="shared" si="429"/>
        <v>1792070.1300000001</v>
      </c>
      <c r="G1650" s="128">
        <f t="shared" si="429"/>
        <v>3002268.87</v>
      </c>
      <c r="H1650" s="128">
        <f t="shared" si="429"/>
        <v>1002.9499999999999</v>
      </c>
      <c r="I1650" s="128">
        <f t="shared" si="429"/>
        <v>-97559.73000000001</v>
      </c>
      <c r="J1650" s="128">
        <f t="shared" si="429"/>
        <v>4696779.2699999996</v>
      </c>
      <c r="K1650" s="128">
        <f t="shared" si="429"/>
        <v>4964489.416875001</v>
      </c>
      <c r="L1650" s="128">
        <f t="shared" si="429"/>
        <v>5274973.3319362504</v>
      </c>
      <c r="M1650" s="128">
        <f t="shared" si="429"/>
        <v>0</v>
      </c>
      <c r="N1650" s="128">
        <f t="shared" si="429"/>
        <v>0</v>
      </c>
      <c r="O1650" s="128">
        <f t="shared" si="429"/>
        <v>5605487.7252222672</v>
      </c>
      <c r="P1650" s="123" t="str">
        <f t="shared" si="422"/>
        <v/>
      </c>
    </row>
    <row r="1651" spans="1:16" s="114" customFormat="1" ht="15" x14ac:dyDescent="0.25">
      <c r="A1651" s="118"/>
      <c r="B1651" s="117"/>
      <c r="C1651" s="128"/>
      <c r="D1651" s="128"/>
      <c r="E1651" s="128"/>
      <c r="F1651" s="128"/>
      <c r="G1651" s="128"/>
      <c r="H1651" s="128"/>
      <c r="I1651" s="129">
        <f>mayors!J95</f>
        <v>0</v>
      </c>
      <c r="J1651" s="129"/>
      <c r="K1651" s="129"/>
      <c r="L1651" s="129"/>
      <c r="M1651" s="186"/>
      <c r="N1651" s="186"/>
      <c r="O1651" s="128"/>
      <c r="P1651" s="123" t="str">
        <f t="shared" si="422"/>
        <v/>
      </c>
    </row>
    <row r="1652" spans="1:16" s="114" customFormat="1" ht="15" x14ac:dyDescent="0.25">
      <c r="A1652" s="118"/>
      <c r="B1652" s="117" t="s">
        <v>306</v>
      </c>
      <c r="C1652" s="128">
        <f>C1650</f>
        <v>4794339</v>
      </c>
      <c r="D1652" s="128">
        <f t="shared" ref="D1652:O1652" si="430">D1650</f>
        <v>401791.9</v>
      </c>
      <c r="E1652" s="128">
        <f t="shared" si="430"/>
        <v>34770</v>
      </c>
      <c r="F1652" s="128">
        <f t="shared" si="430"/>
        <v>1792070.1300000001</v>
      </c>
      <c r="G1652" s="128">
        <f t="shared" si="430"/>
        <v>3002268.87</v>
      </c>
      <c r="H1652" s="128">
        <f t="shared" si="430"/>
        <v>1002.9499999999999</v>
      </c>
      <c r="I1652" s="128">
        <f t="shared" si="430"/>
        <v>-97559.73000000001</v>
      </c>
      <c r="J1652" s="128">
        <f t="shared" si="430"/>
        <v>4696779.2699999996</v>
      </c>
      <c r="K1652" s="128">
        <f t="shared" si="430"/>
        <v>4964489.416875001</v>
      </c>
      <c r="L1652" s="128">
        <f t="shared" si="430"/>
        <v>5274973.3319362504</v>
      </c>
      <c r="M1652" s="128">
        <f t="shared" si="430"/>
        <v>0</v>
      </c>
      <c r="N1652" s="128">
        <f t="shared" si="430"/>
        <v>0</v>
      </c>
      <c r="O1652" s="128">
        <f t="shared" si="430"/>
        <v>5605487.7252222672</v>
      </c>
      <c r="P1652" s="123" t="str">
        <f t="shared" si="422"/>
        <v/>
      </c>
    </row>
    <row r="1653" spans="1:16" s="114" customFormat="1" ht="15" x14ac:dyDescent="0.25">
      <c r="A1653" s="118"/>
      <c r="B1653" s="117"/>
      <c r="C1653" s="128"/>
      <c r="D1653" s="128"/>
      <c r="E1653" s="128"/>
      <c r="F1653" s="128"/>
      <c r="G1653" s="128"/>
      <c r="H1653" s="128"/>
      <c r="I1653" s="129">
        <f>mayors!J97</f>
        <v>0</v>
      </c>
      <c r="J1653" s="129"/>
      <c r="K1653" s="129"/>
      <c r="L1653" s="129"/>
      <c r="M1653" s="186"/>
      <c r="N1653" s="186"/>
      <c r="O1653" s="128"/>
      <c r="P1653" s="123" t="str">
        <f t="shared" si="422"/>
        <v/>
      </c>
    </row>
    <row r="1654" spans="1:16" s="114" customFormat="1" ht="15" x14ac:dyDescent="0.25">
      <c r="A1654" s="118"/>
      <c r="B1654" s="117" t="s">
        <v>748</v>
      </c>
      <c r="C1654" s="128"/>
      <c r="D1654" s="128"/>
      <c r="E1654" s="128"/>
      <c r="F1654" s="128"/>
      <c r="G1654" s="128"/>
      <c r="H1654" s="128"/>
      <c r="I1654" s="129">
        <f>mayors!J98</f>
        <v>0</v>
      </c>
      <c r="J1654" s="129"/>
      <c r="K1654" s="129"/>
      <c r="L1654" s="129"/>
      <c r="M1654" s="186"/>
      <c r="N1654" s="186"/>
      <c r="O1654" s="128"/>
      <c r="P1654" s="123" t="str">
        <f t="shared" si="422"/>
        <v/>
      </c>
    </row>
    <row r="1655" spans="1:16" s="114" customFormat="1" ht="15" x14ac:dyDescent="0.25">
      <c r="A1655" s="118"/>
      <c r="B1655" s="117" t="s">
        <v>96</v>
      </c>
      <c r="C1655" s="128"/>
      <c r="D1655" s="128"/>
      <c r="E1655" s="128"/>
      <c r="F1655" s="128"/>
      <c r="G1655" s="128"/>
      <c r="H1655" s="128"/>
      <c r="I1655" s="129">
        <f>mayors!J99</f>
        <v>0</v>
      </c>
      <c r="J1655" s="129"/>
      <c r="K1655" s="129"/>
      <c r="L1655" s="129"/>
      <c r="M1655" s="186"/>
      <c r="N1655" s="186"/>
      <c r="O1655" s="128"/>
      <c r="P1655" s="123" t="str">
        <f t="shared" si="422"/>
        <v/>
      </c>
    </row>
    <row r="1656" spans="1:16" s="114" customFormat="1" ht="15" x14ac:dyDescent="0.25">
      <c r="A1656" s="118"/>
      <c r="B1656" s="117" t="s">
        <v>179</v>
      </c>
      <c r="C1656" s="128"/>
      <c r="D1656" s="128"/>
      <c r="E1656" s="128"/>
      <c r="F1656" s="128"/>
      <c r="G1656" s="128"/>
      <c r="H1656" s="128"/>
      <c r="I1656" s="129">
        <f>mayors!J100</f>
        <v>0</v>
      </c>
      <c r="J1656" s="129"/>
      <c r="K1656" s="129"/>
      <c r="L1656" s="129"/>
      <c r="M1656" s="186"/>
      <c r="N1656" s="186"/>
      <c r="O1656" s="128"/>
      <c r="P1656" s="123" t="str">
        <f t="shared" si="422"/>
        <v/>
      </c>
    </row>
    <row r="1657" spans="1:16" s="114" customFormat="1" ht="15" x14ac:dyDescent="0.25">
      <c r="A1657" s="118"/>
      <c r="B1657" s="117" t="s">
        <v>180</v>
      </c>
      <c r="C1657" s="128"/>
      <c r="D1657" s="128"/>
      <c r="E1657" s="128"/>
      <c r="F1657" s="128"/>
      <c r="G1657" s="128"/>
      <c r="H1657" s="128"/>
      <c r="I1657" s="129">
        <f>mayors!J101</f>
        <v>0</v>
      </c>
      <c r="J1657" s="129"/>
      <c r="K1657" s="129"/>
      <c r="L1657" s="129"/>
      <c r="M1657" s="186"/>
      <c r="N1657" s="186"/>
      <c r="O1657" s="128"/>
      <c r="P1657" s="123" t="str">
        <f t="shared" si="422"/>
        <v/>
      </c>
    </row>
    <row r="1658" spans="1:16" s="114" customFormat="1" ht="15" x14ac:dyDescent="0.25">
      <c r="A1658" s="118"/>
      <c r="B1658" s="117" t="s">
        <v>201</v>
      </c>
      <c r="C1658" s="128"/>
      <c r="D1658" s="128"/>
      <c r="E1658" s="128"/>
      <c r="F1658" s="128"/>
      <c r="G1658" s="128"/>
      <c r="H1658" s="128"/>
      <c r="I1658" s="129">
        <f>mayors!J102</f>
        <v>0</v>
      </c>
      <c r="J1658" s="129"/>
      <c r="K1658" s="129"/>
      <c r="L1658" s="129"/>
      <c r="M1658" s="186"/>
      <c r="N1658" s="186"/>
      <c r="O1658" s="128"/>
      <c r="P1658" s="123" t="str">
        <f t="shared" si="422"/>
        <v/>
      </c>
    </row>
    <row r="1659" spans="1:16" s="114" customFormat="1" ht="15" x14ac:dyDescent="0.25">
      <c r="A1659" s="118"/>
      <c r="B1659" s="117"/>
      <c r="C1659" s="128"/>
      <c r="D1659" s="128"/>
      <c r="E1659" s="128"/>
      <c r="F1659" s="128"/>
      <c r="G1659" s="128"/>
      <c r="H1659" s="128"/>
      <c r="I1659" s="129">
        <f>mayors!J103</f>
        <v>0</v>
      </c>
      <c r="J1659" s="129"/>
      <c r="K1659" s="129"/>
      <c r="L1659" s="129"/>
      <c r="M1659" s="186"/>
      <c r="N1659" s="186"/>
      <c r="O1659" s="128"/>
      <c r="P1659" s="123" t="str">
        <f t="shared" si="422"/>
        <v/>
      </c>
    </row>
    <row r="1660" spans="1:16" x14ac:dyDescent="0.2">
      <c r="A1660" s="119" t="s">
        <v>749</v>
      </c>
      <c r="B1660" s="120" t="s">
        <v>202</v>
      </c>
      <c r="C1660" s="129">
        <v>269777</v>
      </c>
      <c r="D1660" s="129">
        <v>0</v>
      </c>
      <c r="E1660" s="129">
        <v>0</v>
      </c>
      <c r="F1660" s="129">
        <v>0</v>
      </c>
      <c r="G1660" s="129">
        <v>269777</v>
      </c>
      <c r="H1660" s="129">
        <v>0</v>
      </c>
      <c r="I1660" s="129">
        <f>mayors!J104</f>
        <v>0</v>
      </c>
      <c r="J1660" s="129">
        <f>mayors!K104</f>
        <v>269777</v>
      </c>
      <c r="K1660" s="129">
        <f>mayors!L104</f>
        <v>286638.0625</v>
      </c>
      <c r="L1660" s="129">
        <f>mayors!M104</f>
        <v>306702.72687499999</v>
      </c>
      <c r="O1660" s="129">
        <f>mayors!N104</f>
        <v>328171.91775625001</v>
      </c>
      <c r="P1660" s="123" t="str">
        <f t="shared" si="422"/>
        <v>211</v>
      </c>
    </row>
    <row r="1661" spans="1:16" x14ac:dyDescent="0.2">
      <c r="A1661" s="119" t="s">
        <v>750</v>
      </c>
      <c r="B1661" s="120" t="s">
        <v>203</v>
      </c>
      <c r="C1661" s="129">
        <v>809332</v>
      </c>
      <c r="D1661" s="129">
        <v>0</v>
      </c>
      <c r="E1661" s="129">
        <v>0</v>
      </c>
      <c r="F1661" s="129">
        <v>0</v>
      </c>
      <c r="G1661" s="129">
        <v>809332</v>
      </c>
      <c r="H1661" s="129">
        <v>0</v>
      </c>
      <c r="I1661" s="129">
        <f>mayors!J105</f>
        <v>0</v>
      </c>
      <c r="J1661" s="129">
        <f>mayors!K105</f>
        <v>809332</v>
      </c>
      <c r="K1661" s="129">
        <f>mayors!L105</f>
        <v>859915.25</v>
      </c>
      <c r="L1661" s="129">
        <f>mayors!M105</f>
        <v>920109.3175</v>
      </c>
      <c r="O1661" s="129">
        <f>mayors!N105</f>
        <v>984516.96972499997</v>
      </c>
      <c r="P1661" s="123" t="str">
        <f t="shared" si="422"/>
        <v>211</v>
      </c>
    </row>
    <row r="1662" spans="1:16" x14ac:dyDescent="0.2">
      <c r="A1662" s="119" t="s">
        <v>751</v>
      </c>
      <c r="B1662" s="120" t="s">
        <v>204</v>
      </c>
      <c r="C1662" s="129">
        <v>136308</v>
      </c>
      <c r="D1662" s="129">
        <v>0</v>
      </c>
      <c r="E1662" s="129">
        <v>0</v>
      </c>
      <c r="F1662" s="129">
        <v>0</v>
      </c>
      <c r="G1662" s="129">
        <v>136308</v>
      </c>
      <c r="H1662" s="129">
        <v>0</v>
      </c>
      <c r="I1662" s="129">
        <f>mayors!J106</f>
        <v>0</v>
      </c>
      <c r="J1662" s="129">
        <f>mayors!K106</f>
        <v>136308</v>
      </c>
      <c r="K1662" s="129">
        <f>mayors!L106</f>
        <v>144827.25</v>
      </c>
      <c r="L1662" s="129">
        <f>mayors!M106</f>
        <v>154965.1575</v>
      </c>
      <c r="O1662" s="129">
        <f>mayors!N106</f>
        <v>165812.718525</v>
      </c>
      <c r="P1662" s="123" t="str">
        <f t="shared" si="422"/>
        <v>211</v>
      </c>
    </row>
    <row r="1663" spans="1:16" x14ac:dyDescent="0.2">
      <c r="A1663" s="119"/>
      <c r="B1663" s="120"/>
      <c r="C1663" s="129"/>
      <c r="D1663" s="129"/>
      <c r="E1663" s="129"/>
      <c r="F1663" s="129"/>
      <c r="G1663" s="129"/>
      <c r="H1663" s="129"/>
      <c r="I1663" s="129">
        <f>mayors!J107</f>
        <v>0</v>
      </c>
      <c r="J1663" s="129"/>
      <c r="K1663" s="129"/>
      <c r="L1663" s="129"/>
      <c r="O1663" s="129"/>
      <c r="P1663" s="123" t="str">
        <f t="shared" si="422"/>
        <v/>
      </c>
    </row>
    <row r="1664" spans="1:16" s="114" customFormat="1" ht="15" x14ac:dyDescent="0.25">
      <c r="A1664" s="118"/>
      <c r="B1664" s="117" t="s">
        <v>205</v>
      </c>
      <c r="C1664" s="128">
        <f>SUM(C1660:C1663)</f>
        <v>1215417</v>
      </c>
      <c r="D1664" s="128">
        <f t="shared" ref="D1664:O1664" si="431">SUM(D1660:D1663)</f>
        <v>0</v>
      </c>
      <c r="E1664" s="128">
        <f t="shared" si="431"/>
        <v>0</v>
      </c>
      <c r="F1664" s="128">
        <f t="shared" si="431"/>
        <v>0</v>
      </c>
      <c r="G1664" s="128">
        <f t="shared" si="431"/>
        <v>1215417</v>
      </c>
      <c r="H1664" s="128">
        <f t="shared" si="431"/>
        <v>0</v>
      </c>
      <c r="I1664" s="128">
        <f t="shared" si="431"/>
        <v>0</v>
      </c>
      <c r="J1664" s="128">
        <f t="shared" si="431"/>
        <v>1215417</v>
      </c>
      <c r="K1664" s="128">
        <f t="shared" si="431"/>
        <v>1291380.5625</v>
      </c>
      <c r="L1664" s="128">
        <f t="shared" si="431"/>
        <v>1381777.201875</v>
      </c>
      <c r="M1664" s="128">
        <f t="shared" si="431"/>
        <v>0</v>
      </c>
      <c r="N1664" s="128">
        <f t="shared" si="431"/>
        <v>0</v>
      </c>
      <c r="O1664" s="128">
        <f t="shared" si="431"/>
        <v>1478501.6060062498</v>
      </c>
      <c r="P1664" s="123" t="str">
        <f t="shared" si="422"/>
        <v/>
      </c>
    </row>
    <row r="1665" spans="1:16" s="114" customFormat="1" ht="15" x14ac:dyDescent="0.25">
      <c r="A1665" s="118"/>
      <c r="B1665" s="117"/>
      <c r="C1665" s="128"/>
      <c r="D1665" s="128"/>
      <c r="E1665" s="128"/>
      <c r="F1665" s="128"/>
      <c r="G1665" s="128"/>
      <c r="H1665" s="128"/>
      <c r="I1665" s="129">
        <f>mayors!J109</f>
        <v>0</v>
      </c>
      <c r="J1665" s="129"/>
      <c r="K1665" s="129"/>
      <c r="L1665" s="129"/>
      <c r="M1665" s="186"/>
      <c r="N1665" s="186"/>
      <c r="O1665" s="128"/>
      <c r="P1665" s="123" t="str">
        <f t="shared" si="422"/>
        <v/>
      </c>
    </row>
    <row r="1666" spans="1:16" s="114" customFormat="1" ht="15" x14ac:dyDescent="0.25">
      <c r="A1666" s="118"/>
      <c r="B1666" s="117" t="s">
        <v>207</v>
      </c>
      <c r="C1666" s="128">
        <f>C1664</f>
        <v>1215417</v>
      </c>
      <c r="D1666" s="128">
        <f t="shared" ref="D1666:O1666" si="432">D1664</f>
        <v>0</v>
      </c>
      <c r="E1666" s="128">
        <f t="shared" si="432"/>
        <v>0</v>
      </c>
      <c r="F1666" s="128">
        <f t="shared" si="432"/>
        <v>0</v>
      </c>
      <c r="G1666" s="128">
        <f t="shared" si="432"/>
        <v>1215417</v>
      </c>
      <c r="H1666" s="128">
        <f t="shared" si="432"/>
        <v>0</v>
      </c>
      <c r="I1666" s="128">
        <f t="shared" si="432"/>
        <v>0</v>
      </c>
      <c r="J1666" s="128">
        <f t="shared" si="432"/>
        <v>1215417</v>
      </c>
      <c r="K1666" s="128">
        <f t="shared" si="432"/>
        <v>1291380.5625</v>
      </c>
      <c r="L1666" s="128">
        <f t="shared" si="432"/>
        <v>1381777.201875</v>
      </c>
      <c r="M1666" s="128">
        <f t="shared" si="432"/>
        <v>0</v>
      </c>
      <c r="N1666" s="128">
        <f t="shared" si="432"/>
        <v>0</v>
      </c>
      <c r="O1666" s="128">
        <f t="shared" si="432"/>
        <v>1478501.6060062498</v>
      </c>
      <c r="P1666" s="123" t="str">
        <f t="shared" si="422"/>
        <v/>
      </c>
    </row>
    <row r="1667" spans="1:16" s="114" customFormat="1" ht="15" x14ac:dyDescent="0.25">
      <c r="A1667" s="118"/>
      <c r="B1667" s="117"/>
      <c r="C1667" s="128"/>
      <c r="D1667" s="128"/>
      <c r="E1667" s="128"/>
      <c r="F1667" s="128"/>
      <c r="G1667" s="128"/>
      <c r="H1667" s="128"/>
      <c r="I1667" s="129">
        <f>mayors!J111</f>
        <v>0</v>
      </c>
      <c r="J1667" s="129"/>
      <c r="K1667" s="129"/>
      <c r="L1667" s="129"/>
      <c r="M1667" s="186"/>
      <c r="N1667" s="186"/>
      <c r="O1667" s="128"/>
      <c r="P1667" s="123" t="str">
        <f t="shared" si="422"/>
        <v/>
      </c>
    </row>
    <row r="1668" spans="1:16" s="114" customFormat="1" ht="15" x14ac:dyDescent="0.25">
      <c r="A1668" s="118"/>
      <c r="B1668" s="117" t="s">
        <v>241</v>
      </c>
      <c r="C1668" s="128"/>
      <c r="D1668" s="128"/>
      <c r="E1668" s="128"/>
      <c r="F1668" s="128"/>
      <c r="G1668" s="128"/>
      <c r="H1668" s="128"/>
      <c r="I1668" s="129">
        <f>mayors!J112</f>
        <v>0</v>
      </c>
      <c r="J1668" s="129"/>
      <c r="K1668" s="129"/>
      <c r="L1668" s="129"/>
      <c r="M1668" s="186"/>
      <c r="N1668" s="186"/>
      <c r="O1668" s="128"/>
      <c r="P1668" s="123" t="str">
        <f t="shared" si="422"/>
        <v/>
      </c>
    </row>
    <row r="1669" spans="1:16" x14ac:dyDescent="0.2">
      <c r="A1669" s="119"/>
      <c r="B1669" s="120"/>
      <c r="C1669" s="129"/>
      <c r="D1669" s="129"/>
      <c r="E1669" s="129"/>
      <c r="F1669" s="129"/>
      <c r="G1669" s="129"/>
      <c r="H1669" s="129"/>
      <c r="I1669" s="129">
        <f>mayors!J113</f>
        <v>0</v>
      </c>
      <c r="J1669" s="129"/>
      <c r="K1669" s="129"/>
      <c r="L1669" s="129"/>
      <c r="O1669" s="129"/>
      <c r="P1669" s="123" t="str">
        <f t="shared" si="422"/>
        <v/>
      </c>
    </row>
    <row r="1670" spans="1:16" x14ac:dyDescent="0.2">
      <c r="A1670" s="119" t="s">
        <v>752</v>
      </c>
      <c r="B1670" s="120" t="s">
        <v>268</v>
      </c>
      <c r="C1670" s="129">
        <v>50000</v>
      </c>
      <c r="D1670" s="129">
        <v>0</v>
      </c>
      <c r="E1670" s="129">
        <v>0</v>
      </c>
      <c r="F1670" s="129">
        <v>0</v>
      </c>
      <c r="G1670" s="129">
        <v>50000</v>
      </c>
      <c r="H1670" s="129">
        <v>0</v>
      </c>
      <c r="I1670" s="129">
        <f>mayors!J114</f>
        <v>-25000</v>
      </c>
      <c r="J1670" s="129">
        <f>mayors!K114</f>
        <v>25000</v>
      </c>
      <c r="K1670" s="129">
        <f>mayors!L114</f>
        <v>26125</v>
      </c>
      <c r="L1670" s="129">
        <f>mayors!M114</f>
        <v>27326.75</v>
      </c>
      <c r="O1670" s="129">
        <f>mayors!N114</f>
        <v>28583.780500000001</v>
      </c>
      <c r="P1670" s="123" t="str">
        <f t="shared" si="422"/>
        <v>305</v>
      </c>
    </row>
    <row r="1671" spans="1:16" x14ac:dyDescent="0.2">
      <c r="A1671" s="119"/>
      <c r="B1671" s="120"/>
      <c r="C1671" s="129"/>
      <c r="D1671" s="129"/>
      <c r="E1671" s="129"/>
      <c r="F1671" s="129"/>
      <c r="G1671" s="129"/>
      <c r="H1671" s="129"/>
      <c r="I1671" s="129">
        <f>mayors!J115</f>
        <v>0</v>
      </c>
      <c r="J1671" s="129"/>
      <c r="K1671" s="129"/>
      <c r="L1671" s="129"/>
      <c r="O1671" s="129"/>
      <c r="P1671" s="123" t="str">
        <f t="shared" ref="P1671:P1734" si="433">MID(A1671,6,3)</f>
        <v/>
      </c>
    </row>
    <row r="1672" spans="1:16" s="114" customFormat="1" ht="15" x14ac:dyDescent="0.25">
      <c r="A1672" s="118"/>
      <c r="B1672" s="117" t="s">
        <v>274</v>
      </c>
      <c r="C1672" s="128">
        <f>C1670</f>
        <v>50000</v>
      </c>
      <c r="D1672" s="128">
        <f t="shared" ref="D1672:O1672" si="434">D1670</f>
        <v>0</v>
      </c>
      <c r="E1672" s="128">
        <f t="shared" si="434"/>
        <v>0</v>
      </c>
      <c r="F1672" s="128">
        <f t="shared" si="434"/>
        <v>0</v>
      </c>
      <c r="G1672" s="128">
        <f t="shared" si="434"/>
        <v>50000</v>
      </c>
      <c r="H1672" s="128">
        <f t="shared" si="434"/>
        <v>0</v>
      </c>
      <c r="I1672" s="128">
        <f t="shared" si="434"/>
        <v>-25000</v>
      </c>
      <c r="J1672" s="128">
        <f t="shared" si="434"/>
        <v>25000</v>
      </c>
      <c r="K1672" s="128">
        <f t="shared" si="434"/>
        <v>26125</v>
      </c>
      <c r="L1672" s="128">
        <f t="shared" si="434"/>
        <v>27326.75</v>
      </c>
      <c r="M1672" s="128">
        <f t="shared" si="434"/>
        <v>0</v>
      </c>
      <c r="N1672" s="128">
        <f t="shared" si="434"/>
        <v>0</v>
      </c>
      <c r="O1672" s="128">
        <f t="shared" si="434"/>
        <v>28583.780500000001</v>
      </c>
      <c r="P1672" s="123" t="str">
        <f t="shared" si="433"/>
        <v/>
      </c>
    </row>
    <row r="1673" spans="1:16" s="114" customFormat="1" ht="15" x14ac:dyDescent="0.25">
      <c r="A1673" s="118"/>
      <c r="B1673" s="117"/>
      <c r="C1673" s="128"/>
      <c r="D1673" s="128"/>
      <c r="E1673" s="128"/>
      <c r="F1673" s="128"/>
      <c r="G1673" s="128"/>
      <c r="H1673" s="128"/>
      <c r="I1673" s="129">
        <f>mayors!J117</f>
        <v>0</v>
      </c>
      <c r="J1673" s="129"/>
      <c r="K1673" s="129"/>
      <c r="L1673" s="129"/>
      <c r="M1673" s="186"/>
      <c r="N1673" s="186"/>
      <c r="O1673" s="128"/>
      <c r="P1673" s="123" t="str">
        <f t="shared" si="433"/>
        <v/>
      </c>
    </row>
    <row r="1674" spans="1:16" s="114" customFormat="1" ht="15" x14ac:dyDescent="0.25">
      <c r="A1674" s="118"/>
      <c r="B1674" s="117" t="s">
        <v>305</v>
      </c>
      <c r="C1674" s="128">
        <f>C1666+C1672</f>
        <v>1265417</v>
      </c>
      <c r="D1674" s="128">
        <f t="shared" ref="D1674:O1674" si="435">D1666+D1672</f>
        <v>0</v>
      </c>
      <c r="E1674" s="128">
        <f t="shared" si="435"/>
        <v>0</v>
      </c>
      <c r="F1674" s="128">
        <f t="shared" si="435"/>
        <v>0</v>
      </c>
      <c r="G1674" s="128">
        <f t="shared" si="435"/>
        <v>1265417</v>
      </c>
      <c r="H1674" s="128">
        <f t="shared" si="435"/>
        <v>0</v>
      </c>
      <c r="I1674" s="128">
        <f t="shared" si="435"/>
        <v>-25000</v>
      </c>
      <c r="J1674" s="128">
        <f t="shared" si="435"/>
        <v>1240417</v>
      </c>
      <c r="K1674" s="128">
        <f t="shared" si="435"/>
        <v>1317505.5625</v>
      </c>
      <c r="L1674" s="128">
        <f t="shared" si="435"/>
        <v>1409103.951875</v>
      </c>
      <c r="M1674" s="128">
        <f t="shared" si="435"/>
        <v>0</v>
      </c>
      <c r="N1674" s="128">
        <f t="shared" si="435"/>
        <v>0</v>
      </c>
      <c r="O1674" s="128">
        <f t="shared" si="435"/>
        <v>1507085.3865062499</v>
      </c>
      <c r="P1674" s="123" t="str">
        <f t="shared" si="433"/>
        <v/>
      </c>
    </row>
    <row r="1675" spans="1:16" s="114" customFormat="1" ht="15" x14ac:dyDescent="0.25">
      <c r="A1675" s="118"/>
      <c r="B1675" s="117"/>
      <c r="C1675" s="128"/>
      <c r="D1675" s="128"/>
      <c r="E1675" s="128"/>
      <c r="F1675" s="128"/>
      <c r="G1675" s="128"/>
      <c r="H1675" s="128"/>
      <c r="I1675" s="129">
        <f>mayors!J119</f>
        <v>0</v>
      </c>
      <c r="J1675" s="129"/>
      <c r="K1675" s="129"/>
      <c r="L1675" s="129"/>
      <c r="M1675" s="186"/>
      <c r="N1675" s="186"/>
      <c r="O1675" s="128"/>
      <c r="P1675" s="123" t="str">
        <f t="shared" si="433"/>
        <v/>
      </c>
    </row>
    <row r="1676" spans="1:16" s="114" customFormat="1" ht="15" x14ac:dyDescent="0.25">
      <c r="A1676" s="118"/>
      <c r="B1676" s="117" t="s">
        <v>306</v>
      </c>
      <c r="C1676" s="128">
        <f>C1674</f>
        <v>1265417</v>
      </c>
      <c r="D1676" s="128">
        <f t="shared" ref="D1676:O1676" si="436">D1674</f>
        <v>0</v>
      </c>
      <c r="E1676" s="128">
        <f t="shared" si="436"/>
        <v>0</v>
      </c>
      <c r="F1676" s="128">
        <f t="shared" si="436"/>
        <v>0</v>
      </c>
      <c r="G1676" s="128">
        <f t="shared" si="436"/>
        <v>1265417</v>
      </c>
      <c r="H1676" s="128">
        <f t="shared" si="436"/>
        <v>0</v>
      </c>
      <c r="I1676" s="128">
        <f t="shared" si="436"/>
        <v>-25000</v>
      </c>
      <c r="J1676" s="128">
        <f t="shared" si="436"/>
        <v>1240417</v>
      </c>
      <c r="K1676" s="128">
        <f t="shared" si="436"/>
        <v>1317505.5625</v>
      </c>
      <c r="L1676" s="128">
        <f t="shared" si="436"/>
        <v>1409103.951875</v>
      </c>
      <c r="M1676" s="128">
        <f t="shared" si="436"/>
        <v>0</v>
      </c>
      <c r="N1676" s="128">
        <f t="shared" si="436"/>
        <v>0</v>
      </c>
      <c r="O1676" s="128">
        <f t="shared" si="436"/>
        <v>1507085.3865062499</v>
      </c>
      <c r="P1676" s="123" t="str">
        <f t="shared" si="433"/>
        <v/>
      </c>
    </row>
    <row r="1677" spans="1:16" s="114" customFormat="1" ht="15" x14ac:dyDescent="0.25">
      <c r="A1677" s="118"/>
      <c r="B1677" s="117"/>
      <c r="C1677" s="128"/>
      <c r="D1677" s="128"/>
      <c r="E1677" s="128"/>
      <c r="F1677" s="128"/>
      <c r="G1677" s="128"/>
      <c r="H1677" s="128"/>
      <c r="I1677" s="129">
        <f>mayors!J121</f>
        <v>0</v>
      </c>
      <c r="J1677" s="129"/>
      <c r="K1677" s="129"/>
      <c r="L1677" s="129"/>
      <c r="M1677" s="186"/>
      <c r="N1677" s="186"/>
      <c r="O1677" s="128"/>
      <c r="P1677" s="123" t="str">
        <f t="shared" si="433"/>
        <v/>
      </c>
    </row>
    <row r="1678" spans="1:16" s="114" customFormat="1" ht="15" x14ac:dyDescent="0.25">
      <c r="A1678" s="118"/>
      <c r="B1678" s="117" t="s">
        <v>753</v>
      </c>
      <c r="C1678" s="128"/>
      <c r="D1678" s="128"/>
      <c r="E1678" s="128"/>
      <c r="F1678" s="128"/>
      <c r="G1678" s="128"/>
      <c r="H1678" s="128"/>
      <c r="I1678" s="129">
        <f>mayors!J122</f>
        <v>0</v>
      </c>
      <c r="J1678" s="129"/>
      <c r="K1678" s="129"/>
      <c r="L1678" s="129"/>
      <c r="M1678" s="186"/>
      <c r="N1678" s="186"/>
      <c r="O1678" s="128"/>
      <c r="P1678" s="123" t="str">
        <f t="shared" si="433"/>
        <v/>
      </c>
    </row>
    <row r="1679" spans="1:16" s="114" customFormat="1" ht="15" x14ac:dyDescent="0.25">
      <c r="A1679" s="118"/>
      <c r="B1679" s="117" t="s">
        <v>96</v>
      </c>
      <c r="C1679" s="128"/>
      <c r="D1679" s="128"/>
      <c r="E1679" s="128"/>
      <c r="F1679" s="128"/>
      <c r="G1679" s="128"/>
      <c r="H1679" s="128"/>
      <c r="I1679" s="129">
        <f>mayors!J123</f>
        <v>0</v>
      </c>
      <c r="J1679" s="129"/>
      <c r="K1679" s="129"/>
      <c r="L1679" s="129"/>
      <c r="M1679" s="186"/>
      <c r="N1679" s="186"/>
      <c r="O1679" s="128"/>
      <c r="P1679" s="123" t="str">
        <f t="shared" si="433"/>
        <v/>
      </c>
    </row>
    <row r="1680" spans="1:16" s="114" customFormat="1" ht="15" x14ac:dyDescent="0.25">
      <c r="A1680" s="118"/>
      <c r="B1680" s="117" t="s">
        <v>97</v>
      </c>
      <c r="C1680" s="128"/>
      <c r="D1680" s="128"/>
      <c r="E1680" s="128"/>
      <c r="F1680" s="128"/>
      <c r="G1680" s="128"/>
      <c r="H1680" s="128"/>
      <c r="I1680" s="129">
        <f>mayors!J124</f>
        <v>0</v>
      </c>
      <c r="J1680" s="129"/>
      <c r="K1680" s="129"/>
      <c r="L1680" s="129"/>
      <c r="M1680" s="186"/>
      <c r="N1680" s="186"/>
      <c r="O1680" s="128"/>
      <c r="P1680" s="123" t="str">
        <f t="shared" si="433"/>
        <v/>
      </c>
    </row>
    <row r="1681" spans="1:16" s="114" customFormat="1" ht="15" x14ac:dyDescent="0.25">
      <c r="A1681" s="118"/>
      <c r="B1681" s="117" t="s">
        <v>148</v>
      </c>
      <c r="C1681" s="128"/>
      <c r="D1681" s="128"/>
      <c r="E1681" s="128"/>
      <c r="F1681" s="128"/>
      <c r="G1681" s="128"/>
      <c r="H1681" s="128"/>
      <c r="I1681" s="129">
        <f>mayors!J125</f>
        <v>0</v>
      </c>
      <c r="J1681" s="129"/>
      <c r="K1681" s="129"/>
      <c r="L1681" s="129"/>
      <c r="M1681" s="186"/>
      <c r="N1681" s="186"/>
      <c r="O1681" s="128"/>
      <c r="P1681" s="123" t="str">
        <f t="shared" si="433"/>
        <v/>
      </c>
    </row>
    <row r="1682" spans="1:16" s="114" customFormat="1" ht="15" x14ac:dyDescent="0.25">
      <c r="A1682" s="118"/>
      <c r="B1682" s="117" t="s">
        <v>149</v>
      </c>
      <c r="C1682" s="128"/>
      <c r="D1682" s="128"/>
      <c r="E1682" s="128"/>
      <c r="F1682" s="128"/>
      <c r="G1682" s="128"/>
      <c r="H1682" s="128"/>
      <c r="I1682" s="129">
        <f>mayors!J126</f>
        <v>0</v>
      </c>
      <c r="J1682" s="129"/>
      <c r="K1682" s="129"/>
      <c r="L1682" s="129"/>
      <c r="M1682" s="186"/>
      <c r="N1682" s="186"/>
      <c r="O1682" s="128"/>
      <c r="P1682" s="123" t="str">
        <f t="shared" si="433"/>
        <v/>
      </c>
    </row>
    <row r="1683" spans="1:16" x14ac:dyDescent="0.2">
      <c r="A1683" s="119"/>
      <c r="B1683" s="120"/>
      <c r="C1683" s="129"/>
      <c r="D1683" s="129"/>
      <c r="E1683" s="129"/>
      <c r="F1683" s="129"/>
      <c r="G1683" s="129"/>
      <c r="H1683" s="129"/>
      <c r="I1683" s="129">
        <f>mayors!J127</f>
        <v>0</v>
      </c>
      <c r="J1683" s="129"/>
      <c r="K1683" s="129"/>
      <c r="L1683" s="129"/>
      <c r="O1683" s="129"/>
      <c r="P1683" s="123" t="str">
        <f t="shared" si="433"/>
        <v/>
      </c>
    </row>
    <row r="1684" spans="1:16" x14ac:dyDescent="0.2">
      <c r="A1684" s="119" t="s">
        <v>754</v>
      </c>
      <c r="B1684" s="120" t="s">
        <v>150</v>
      </c>
      <c r="C1684" s="129">
        <v>200866</v>
      </c>
      <c r="D1684" s="129">
        <v>16270.6</v>
      </c>
      <c r="E1684" s="129">
        <v>0</v>
      </c>
      <c r="F1684" s="129">
        <v>98801.44</v>
      </c>
      <c r="G1684" s="129">
        <v>102064.56</v>
      </c>
      <c r="H1684" s="129">
        <v>49.18</v>
      </c>
      <c r="I1684" s="129">
        <f>mayors!J128</f>
        <v>0</v>
      </c>
      <c r="J1684" s="129">
        <f>mayors!K128</f>
        <v>200866</v>
      </c>
      <c r="K1684" s="129">
        <f>mayors!L128</f>
        <v>213420.125</v>
      </c>
      <c r="L1684" s="129">
        <f>mayors!M128</f>
        <v>228359.53375</v>
      </c>
      <c r="O1684" s="129">
        <f>mayors!N128</f>
        <v>244344.70111250001</v>
      </c>
      <c r="P1684" s="123" t="str">
        <f t="shared" si="433"/>
        <v>110</v>
      </c>
    </row>
    <row r="1685" spans="1:16" x14ac:dyDescent="0.2">
      <c r="A1685" s="119" t="s">
        <v>755</v>
      </c>
      <c r="B1685" s="120" t="s">
        <v>151</v>
      </c>
      <c r="C1685" s="129">
        <v>10043</v>
      </c>
      <c r="D1685" s="129">
        <v>8467.09</v>
      </c>
      <c r="E1685" s="129">
        <v>0</v>
      </c>
      <c r="F1685" s="129">
        <v>24355.49</v>
      </c>
      <c r="G1685" s="129">
        <v>-14312.49</v>
      </c>
      <c r="H1685" s="129">
        <v>242.51</v>
      </c>
      <c r="I1685" s="129">
        <f>mayors!J129</f>
        <v>-1575.9100000000017</v>
      </c>
      <c r="J1685" s="129">
        <f>mayors!K129</f>
        <v>8467.0899999999983</v>
      </c>
      <c r="K1685" s="129">
        <f>mayors!L129</f>
        <v>8996.2831249999981</v>
      </c>
      <c r="L1685" s="129">
        <f>mayors!M129</f>
        <v>9626.0229437499984</v>
      </c>
      <c r="O1685" s="129">
        <f>mayors!N129</f>
        <v>10299.844549812498</v>
      </c>
      <c r="P1685" s="123" t="str">
        <f t="shared" si="433"/>
        <v>110</v>
      </c>
    </row>
    <row r="1686" spans="1:16" x14ac:dyDescent="0.2">
      <c r="A1686" s="119" t="s">
        <v>756</v>
      </c>
      <c r="B1686" s="120" t="s">
        <v>155</v>
      </c>
      <c r="C1686" s="129">
        <v>6666</v>
      </c>
      <c r="D1686" s="129">
        <v>0</v>
      </c>
      <c r="E1686" s="129">
        <v>0</v>
      </c>
      <c r="F1686" s="129">
        <v>0</v>
      </c>
      <c r="G1686" s="129">
        <v>6666</v>
      </c>
      <c r="H1686" s="129">
        <v>0</v>
      </c>
      <c r="I1686" s="129">
        <f>mayors!J130</f>
        <v>0</v>
      </c>
      <c r="J1686" s="129">
        <f>mayors!K130</f>
        <v>6666</v>
      </c>
      <c r="K1686" s="129">
        <f>mayors!L130</f>
        <v>7082.625</v>
      </c>
      <c r="L1686" s="129">
        <f>mayors!M130</f>
        <v>7578.4087499999996</v>
      </c>
      <c r="O1686" s="129">
        <f>mayors!N130</f>
        <v>8108.8973624999999</v>
      </c>
      <c r="P1686" s="123" t="str">
        <f t="shared" si="433"/>
        <v>110</v>
      </c>
    </row>
    <row r="1687" spans="1:16" x14ac:dyDescent="0.2">
      <c r="A1687" s="119" t="s">
        <v>757</v>
      </c>
      <c r="B1687" s="120" t="s">
        <v>157</v>
      </c>
      <c r="C1687" s="129">
        <v>23939</v>
      </c>
      <c r="D1687" s="129">
        <v>0</v>
      </c>
      <c r="E1687" s="129">
        <v>0</v>
      </c>
      <c r="F1687" s="129">
        <v>0</v>
      </c>
      <c r="G1687" s="129">
        <v>23939</v>
      </c>
      <c r="H1687" s="129">
        <v>0</v>
      </c>
      <c r="I1687" s="129">
        <f>mayors!J131</f>
        <v>0</v>
      </c>
      <c r="J1687" s="129">
        <f>mayors!K131</f>
        <v>23939</v>
      </c>
      <c r="K1687" s="129">
        <f>mayors!L131</f>
        <v>25435.1875</v>
      </c>
      <c r="L1687" s="129">
        <f>mayors!M131</f>
        <v>27215.650624999998</v>
      </c>
      <c r="O1687" s="129">
        <f>mayors!N131</f>
        <v>29120.746168749996</v>
      </c>
      <c r="P1687" s="123" t="str">
        <f t="shared" si="433"/>
        <v>110</v>
      </c>
    </row>
    <row r="1688" spans="1:16" x14ac:dyDescent="0.2">
      <c r="A1688" s="119" t="s">
        <v>758</v>
      </c>
      <c r="B1688" s="120" t="s">
        <v>159</v>
      </c>
      <c r="C1688" s="129">
        <v>16739</v>
      </c>
      <c r="D1688" s="129">
        <v>0</v>
      </c>
      <c r="E1688" s="129">
        <v>0</v>
      </c>
      <c r="F1688" s="129">
        <v>0</v>
      </c>
      <c r="G1688" s="129">
        <v>16739</v>
      </c>
      <c r="H1688" s="129">
        <v>0</v>
      </c>
      <c r="I1688" s="129">
        <f>mayors!J132</f>
        <v>0</v>
      </c>
      <c r="J1688" s="129">
        <f>mayors!K132</f>
        <v>16739</v>
      </c>
      <c r="K1688" s="129">
        <f>mayors!L132</f>
        <v>17785.1875</v>
      </c>
      <c r="L1688" s="129">
        <f>mayors!M132</f>
        <v>19030.150624999998</v>
      </c>
      <c r="O1688" s="129">
        <f>mayors!N132</f>
        <v>20362.261168749999</v>
      </c>
      <c r="P1688" s="123" t="str">
        <f t="shared" si="433"/>
        <v>110</v>
      </c>
    </row>
    <row r="1689" spans="1:16" x14ac:dyDescent="0.2">
      <c r="A1689" s="119" t="s">
        <v>759</v>
      </c>
      <c r="B1689" s="120" t="s">
        <v>164</v>
      </c>
      <c r="C1689" s="129">
        <v>0</v>
      </c>
      <c r="D1689" s="129">
        <v>1030.3</v>
      </c>
      <c r="E1689" s="129">
        <v>0</v>
      </c>
      <c r="F1689" s="129">
        <v>6181.8</v>
      </c>
      <c r="G1689" s="129">
        <v>-6181.8</v>
      </c>
      <c r="H1689" s="129">
        <v>0</v>
      </c>
      <c r="I1689" s="129">
        <f>mayors!J133</f>
        <v>12363.6</v>
      </c>
      <c r="J1689" s="129">
        <f>mayors!K133</f>
        <v>12363.6</v>
      </c>
      <c r="K1689" s="129">
        <f>mayors!L133</f>
        <v>13136.325000000001</v>
      </c>
      <c r="L1689" s="129">
        <f>mayors!M133</f>
        <v>14055.867750000001</v>
      </c>
      <c r="O1689" s="129">
        <f>mayors!N133</f>
        <v>15039.778492500001</v>
      </c>
      <c r="P1689" s="123" t="str">
        <f t="shared" si="433"/>
        <v>110</v>
      </c>
    </row>
    <row r="1690" spans="1:16" x14ac:dyDescent="0.2">
      <c r="A1690" s="119"/>
      <c r="B1690" s="120"/>
      <c r="C1690" s="129"/>
      <c r="D1690" s="129"/>
      <c r="E1690" s="129"/>
      <c r="F1690" s="129"/>
      <c r="G1690" s="129"/>
      <c r="H1690" s="129"/>
      <c r="I1690" s="129">
        <f>mayors!J134</f>
        <v>0</v>
      </c>
      <c r="J1690" s="129"/>
      <c r="K1690" s="129"/>
      <c r="L1690" s="129"/>
      <c r="O1690" s="129"/>
      <c r="P1690" s="123" t="str">
        <f t="shared" si="433"/>
        <v/>
      </c>
    </row>
    <row r="1691" spans="1:16" s="114" customFormat="1" ht="15" x14ac:dyDescent="0.25">
      <c r="A1691" s="118"/>
      <c r="B1691" s="117" t="s">
        <v>165</v>
      </c>
      <c r="C1691" s="128">
        <f>SUM(C1684:C1690)</f>
        <v>258253</v>
      </c>
      <c r="D1691" s="128">
        <f t="shared" ref="D1691:O1691" si="437">SUM(D1684:D1690)</f>
        <v>25767.99</v>
      </c>
      <c r="E1691" s="128">
        <f t="shared" si="437"/>
        <v>0</v>
      </c>
      <c r="F1691" s="128">
        <f t="shared" si="437"/>
        <v>129338.73000000001</v>
      </c>
      <c r="G1691" s="128">
        <f t="shared" si="437"/>
        <v>128914.27</v>
      </c>
      <c r="H1691" s="128">
        <f t="shared" si="437"/>
        <v>291.69</v>
      </c>
      <c r="I1691" s="128">
        <f t="shared" si="437"/>
        <v>10787.689999999999</v>
      </c>
      <c r="J1691" s="128">
        <f t="shared" si="437"/>
        <v>269040.69</v>
      </c>
      <c r="K1691" s="128">
        <f t="shared" si="437"/>
        <v>285855.73312499997</v>
      </c>
      <c r="L1691" s="128">
        <f t="shared" si="437"/>
        <v>305865.63444374996</v>
      </c>
      <c r="M1691" s="128">
        <f t="shared" si="437"/>
        <v>0</v>
      </c>
      <c r="N1691" s="128">
        <f t="shared" si="437"/>
        <v>0</v>
      </c>
      <c r="O1691" s="128">
        <f t="shared" si="437"/>
        <v>327276.22885481251</v>
      </c>
      <c r="P1691" s="123" t="str">
        <f t="shared" si="433"/>
        <v/>
      </c>
    </row>
    <row r="1692" spans="1:16" s="114" customFormat="1" ht="15" x14ac:dyDescent="0.25">
      <c r="A1692" s="118"/>
      <c r="B1692" s="117"/>
      <c r="C1692" s="128"/>
      <c r="D1692" s="128"/>
      <c r="E1692" s="128"/>
      <c r="F1692" s="128"/>
      <c r="G1692" s="128"/>
      <c r="H1692" s="128"/>
      <c r="I1692" s="129">
        <f>mayors!J136</f>
        <v>0</v>
      </c>
      <c r="J1692" s="129"/>
      <c r="K1692" s="129"/>
      <c r="L1692" s="129"/>
      <c r="M1692" s="186"/>
      <c r="N1692" s="186"/>
      <c r="O1692" s="128"/>
      <c r="P1692" s="123" t="str">
        <f t="shared" si="433"/>
        <v/>
      </c>
    </row>
    <row r="1693" spans="1:16" s="114" customFormat="1" ht="15" x14ac:dyDescent="0.25">
      <c r="A1693" s="118"/>
      <c r="B1693" s="117" t="s">
        <v>166</v>
      </c>
      <c r="C1693" s="128"/>
      <c r="D1693" s="128"/>
      <c r="E1693" s="128"/>
      <c r="F1693" s="128"/>
      <c r="G1693" s="128"/>
      <c r="H1693" s="128"/>
      <c r="I1693" s="129">
        <f>mayors!J137</f>
        <v>0</v>
      </c>
      <c r="J1693" s="129"/>
      <c r="K1693" s="129"/>
      <c r="L1693" s="129"/>
      <c r="M1693" s="186"/>
      <c r="N1693" s="186"/>
      <c r="O1693" s="128"/>
      <c r="P1693" s="123" t="str">
        <f t="shared" si="433"/>
        <v/>
      </c>
    </row>
    <row r="1694" spans="1:16" x14ac:dyDescent="0.2">
      <c r="A1694" s="119"/>
      <c r="B1694" s="120"/>
      <c r="C1694" s="129"/>
      <c r="D1694" s="129"/>
      <c r="E1694" s="129"/>
      <c r="F1694" s="129"/>
      <c r="G1694" s="129"/>
      <c r="H1694" s="129"/>
      <c r="I1694" s="129">
        <f>mayors!J138</f>
        <v>0</v>
      </c>
      <c r="J1694" s="129"/>
      <c r="K1694" s="129"/>
      <c r="L1694" s="129"/>
      <c r="O1694" s="129"/>
      <c r="P1694" s="123" t="str">
        <f t="shared" si="433"/>
        <v/>
      </c>
    </row>
    <row r="1695" spans="1:16" x14ac:dyDescent="0.2">
      <c r="A1695" s="255" t="s">
        <v>760</v>
      </c>
      <c r="B1695" s="120" t="s">
        <v>167</v>
      </c>
      <c r="C1695" s="129">
        <v>112</v>
      </c>
      <c r="D1695" s="129">
        <v>9.32</v>
      </c>
      <c r="E1695" s="129">
        <v>0</v>
      </c>
      <c r="F1695" s="129">
        <v>55.92</v>
      </c>
      <c r="G1695" s="129">
        <v>56.08</v>
      </c>
      <c r="H1695" s="129">
        <v>49.92</v>
      </c>
      <c r="I1695" s="129">
        <f>mayors!J139</f>
        <v>0</v>
      </c>
      <c r="J1695" s="129">
        <f>mayors!K139</f>
        <v>112</v>
      </c>
      <c r="K1695" s="129">
        <f>mayors!L139</f>
        <v>119</v>
      </c>
      <c r="L1695" s="129">
        <f>mayors!M139</f>
        <v>127.33</v>
      </c>
      <c r="O1695" s="129">
        <f>mayors!N139</f>
        <v>136.2431</v>
      </c>
      <c r="P1695" s="123" t="str">
        <f t="shared" si="433"/>
        <v>130</v>
      </c>
    </row>
    <row r="1696" spans="1:16" x14ac:dyDescent="0.2">
      <c r="A1696" s="119" t="s">
        <v>761</v>
      </c>
      <c r="B1696" s="120" t="s">
        <v>168</v>
      </c>
      <c r="C1696" s="129">
        <v>0</v>
      </c>
      <c r="D1696" s="129">
        <v>1348.2</v>
      </c>
      <c r="E1696" s="129">
        <v>0</v>
      </c>
      <c r="F1696" s="129">
        <v>8089.2</v>
      </c>
      <c r="G1696" s="129">
        <v>-8089.2</v>
      </c>
      <c r="H1696" s="129">
        <v>0</v>
      </c>
      <c r="I1696" s="129">
        <f>mayors!J140</f>
        <v>0</v>
      </c>
      <c r="J1696" s="129">
        <f>mayors!K140</f>
        <v>0</v>
      </c>
      <c r="K1696" s="129">
        <f>mayors!L140</f>
        <v>0</v>
      </c>
      <c r="L1696" s="129">
        <f>mayors!M140</f>
        <v>0</v>
      </c>
      <c r="O1696" s="129">
        <f t="shared" ref="O1696" si="438">L1696</f>
        <v>0</v>
      </c>
      <c r="P1696" s="123" t="str">
        <f t="shared" si="433"/>
        <v>130</v>
      </c>
    </row>
    <row r="1697" spans="1:16" x14ac:dyDescent="0.2">
      <c r="A1697" s="255" t="s">
        <v>762</v>
      </c>
      <c r="B1697" s="120" t="s">
        <v>169</v>
      </c>
      <c r="C1697" s="129">
        <v>44190</v>
      </c>
      <c r="D1697" s="129">
        <v>2928.71</v>
      </c>
      <c r="E1697" s="129">
        <v>0</v>
      </c>
      <c r="F1697" s="129">
        <v>17784.259999999998</v>
      </c>
      <c r="G1697" s="129">
        <v>26405.74</v>
      </c>
      <c r="H1697" s="129">
        <v>40.24</v>
      </c>
      <c r="I1697" s="129">
        <f>mayors!J141</f>
        <v>0</v>
      </c>
      <c r="J1697" s="129">
        <f>mayors!K141</f>
        <v>44190</v>
      </c>
      <c r="K1697" s="129">
        <f>mayors!L141</f>
        <v>46951.875</v>
      </c>
      <c r="L1697" s="129">
        <f>mayors!M141</f>
        <v>50238.506249999999</v>
      </c>
      <c r="O1697" s="129">
        <f>mayors!N141</f>
        <v>53755.201687499997</v>
      </c>
      <c r="P1697" s="123" t="str">
        <f t="shared" si="433"/>
        <v>130</v>
      </c>
    </row>
    <row r="1698" spans="1:16" x14ac:dyDescent="0.2">
      <c r="A1698" s="255" t="s">
        <v>763</v>
      </c>
      <c r="B1698" s="120" t="s">
        <v>170</v>
      </c>
      <c r="C1698" s="129">
        <v>1785</v>
      </c>
      <c r="D1698" s="129">
        <v>148.72</v>
      </c>
      <c r="E1698" s="129">
        <v>0</v>
      </c>
      <c r="F1698" s="129">
        <v>892.32</v>
      </c>
      <c r="G1698" s="129">
        <v>892.68</v>
      </c>
      <c r="H1698" s="129">
        <v>49.98</v>
      </c>
      <c r="I1698" s="129">
        <f>mayors!J142</f>
        <v>0</v>
      </c>
      <c r="J1698" s="129">
        <f>mayors!K142</f>
        <v>1785</v>
      </c>
      <c r="K1698" s="129">
        <f>mayors!L142</f>
        <v>1896.5625</v>
      </c>
      <c r="L1698" s="129">
        <f>mayors!M142</f>
        <v>2029.3218750000001</v>
      </c>
      <c r="O1698" s="129">
        <f>mayors!N142</f>
        <v>2171.37440625</v>
      </c>
      <c r="P1698" s="123" t="str">
        <f t="shared" si="433"/>
        <v>130</v>
      </c>
    </row>
    <row r="1699" spans="1:16" x14ac:dyDescent="0.2">
      <c r="A1699" s="119"/>
      <c r="B1699" s="120"/>
      <c r="C1699" s="129"/>
      <c r="D1699" s="129"/>
      <c r="E1699" s="129"/>
      <c r="F1699" s="129"/>
      <c r="G1699" s="129"/>
      <c r="H1699" s="129"/>
      <c r="I1699" s="129">
        <f>mayors!J143</f>
        <v>0</v>
      </c>
      <c r="J1699" s="129"/>
      <c r="K1699" s="129"/>
      <c r="L1699" s="129"/>
      <c r="O1699" s="129"/>
      <c r="P1699" s="123" t="str">
        <f t="shared" si="433"/>
        <v/>
      </c>
    </row>
    <row r="1700" spans="1:16" s="114" customFormat="1" ht="15" x14ac:dyDescent="0.25">
      <c r="A1700" s="118"/>
      <c r="B1700" s="117" t="s">
        <v>171</v>
      </c>
      <c r="C1700" s="128">
        <f>SUM(C1695:C1699)</f>
        <v>46087</v>
      </c>
      <c r="D1700" s="128">
        <f t="shared" ref="D1700:O1700" si="439">SUM(D1695:D1699)</f>
        <v>4434.95</v>
      </c>
      <c r="E1700" s="128">
        <f t="shared" si="439"/>
        <v>0</v>
      </c>
      <c r="F1700" s="128">
        <f t="shared" si="439"/>
        <v>26821.699999999997</v>
      </c>
      <c r="G1700" s="128">
        <f t="shared" si="439"/>
        <v>19265.300000000003</v>
      </c>
      <c r="H1700" s="128">
        <f t="shared" si="439"/>
        <v>140.13999999999999</v>
      </c>
      <c r="I1700" s="128">
        <f t="shared" si="439"/>
        <v>0</v>
      </c>
      <c r="J1700" s="128">
        <f t="shared" si="439"/>
        <v>46087</v>
      </c>
      <c r="K1700" s="128">
        <f t="shared" si="439"/>
        <v>48967.4375</v>
      </c>
      <c r="L1700" s="128">
        <f t="shared" si="439"/>
        <v>52395.158125000002</v>
      </c>
      <c r="M1700" s="128">
        <f t="shared" si="439"/>
        <v>0</v>
      </c>
      <c r="N1700" s="128">
        <f t="shared" si="439"/>
        <v>0</v>
      </c>
      <c r="O1700" s="128">
        <f t="shared" si="439"/>
        <v>56062.819193749994</v>
      </c>
      <c r="P1700" s="123" t="str">
        <f t="shared" si="433"/>
        <v/>
      </c>
    </row>
    <row r="1701" spans="1:16" s="114" customFormat="1" ht="15" x14ac:dyDescent="0.25">
      <c r="A1701" s="118"/>
      <c r="B1701" s="117"/>
      <c r="C1701" s="128"/>
      <c r="D1701" s="128"/>
      <c r="E1701" s="128"/>
      <c r="F1701" s="128"/>
      <c r="G1701" s="128"/>
      <c r="H1701" s="128"/>
      <c r="I1701" s="129">
        <f>mayors!J145</f>
        <v>0</v>
      </c>
      <c r="J1701" s="129"/>
      <c r="K1701" s="129"/>
      <c r="L1701" s="129"/>
      <c r="M1701" s="186"/>
      <c r="N1701" s="186"/>
      <c r="O1701" s="128"/>
      <c r="P1701" s="123" t="str">
        <f t="shared" si="433"/>
        <v/>
      </c>
    </row>
    <row r="1702" spans="1:16" s="114" customFormat="1" ht="15" x14ac:dyDescent="0.25">
      <c r="A1702" s="118"/>
      <c r="B1702" s="117" t="s">
        <v>177</v>
      </c>
      <c r="C1702" s="128">
        <f>C1691+C1700</f>
        <v>304340</v>
      </c>
      <c r="D1702" s="128">
        <f t="shared" ref="D1702:O1702" si="440">D1691+D1700</f>
        <v>30202.940000000002</v>
      </c>
      <c r="E1702" s="128">
        <f t="shared" si="440"/>
        <v>0</v>
      </c>
      <c r="F1702" s="128">
        <f t="shared" si="440"/>
        <v>156160.43</v>
      </c>
      <c r="G1702" s="128">
        <f t="shared" si="440"/>
        <v>148179.57</v>
      </c>
      <c r="H1702" s="128">
        <f t="shared" si="440"/>
        <v>431.83</v>
      </c>
      <c r="I1702" s="128">
        <f t="shared" si="440"/>
        <v>10787.689999999999</v>
      </c>
      <c r="J1702" s="128">
        <f t="shared" si="440"/>
        <v>315127.69</v>
      </c>
      <c r="K1702" s="128">
        <f t="shared" si="440"/>
        <v>334823.17062499997</v>
      </c>
      <c r="L1702" s="128">
        <f t="shared" si="440"/>
        <v>358260.79256874998</v>
      </c>
      <c r="M1702" s="128">
        <f t="shared" si="440"/>
        <v>0</v>
      </c>
      <c r="N1702" s="128">
        <f t="shared" si="440"/>
        <v>0</v>
      </c>
      <c r="O1702" s="128">
        <f t="shared" si="440"/>
        <v>383339.04804856249</v>
      </c>
      <c r="P1702" s="123" t="str">
        <f t="shared" si="433"/>
        <v/>
      </c>
    </row>
    <row r="1703" spans="1:16" s="114" customFormat="1" ht="15" x14ac:dyDescent="0.25">
      <c r="A1703" s="118"/>
      <c r="B1703" s="117"/>
      <c r="C1703" s="128"/>
      <c r="D1703" s="128"/>
      <c r="E1703" s="128"/>
      <c r="F1703" s="128"/>
      <c r="G1703" s="128"/>
      <c r="H1703" s="128"/>
      <c r="I1703" s="129">
        <f>mayors!J147</f>
        <v>0</v>
      </c>
      <c r="J1703" s="129"/>
      <c r="K1703" s="129"/>
      <c r="L1703" s="129"/>
      <c r="M1703" s="186"/>
      <c r="N1703" s="186"/>
      <c r="O1703" s="128"/>
      <c r="P1703" s="123" t="str">
        <f t="shared" si="433"/>
        <v/>
      </c>
    </row>
    <row r="1704" spans="1:16" s="114" customFormat="1" ht="15" x14ac:dyDescent="0.25">
      <c r="A1704" s="118"/>
      <c r="B1704" s="117" t="s">
        <v>178</v>
      </c>
      <c r="C1704" s="128">
        <f>C1702</f>
        <v>304340</v>
      </c>
      <c r="D1704" s="128">
        <f t="shared" ref="D1704:O1704" si="441">D1702</f>
        <v>30202.940000000002</v>
      </c>
      <c r="E1704" s="128">
        <f t="shared" si="441"/>
        <v>0</v>
      </c>
      <c r="F1704" s="128">
        <f t="shared" si="441"/>
        <v>156160.43</v>
      </c>
      <c r="G1704" s="128">
        <f t="shared" si="441"/>
        <v>148179.57</v>
      </c>
      <c r="H1704" s="128">
        <f t="shared" si="441"/>
        <v>431.83</v>
      </c>
      <c r="I1704" s="128">
        <f t="shared" si="441"/>
        <v>10787.689999999999</v>
      </c>
      <c r="J1704" s="128">
        <f t="shared" si="441"/>
        <v>315127.69</v>
      </c>
      <c r="K1704" s="128">
        <f t="shared" si="441"/>
        <v>334823.17062499997</v>
      </c>
      <c r="L1704" s="128">
        <f t="shared" si="441"/>
        <v>358260.79256874998</v>
      </c>
      <c r="M1704" s="128">
        <f t="shared" si="441"/>
        <v>0</v>
      </c>
      <c r="N1704" s="128">
        <f t="shared" si="441"/>
        <v>0</v>
      </c>
      <c r="O1704" s="128">
        <f t="shared" si="441"/>
        <v>383339.04804856249</v>
      </c>
      <c r="P1704" s="123" t="str">
        <f t="shared" si="433"/>
        <v/>
      </c>
    </row>
    <row r="1705" spans="1:16" x14ac:dyDescent="0.2">
      <c r="A1705" s="119"/>
      <c r="B1705" s="120"/>
      <c r="C1705" s="129"/>
      <c r="D1705" s="129"/>
      <c r="E1705" s="129"/>
      <c r="F1705" s="129"/>
      <c r="G1705" s="129"/>
      <c r="H1705" s="129"/>
      <c r="I1705" s="129">
        <f>mayors!J149</f>
        <v>0</v>
      </c>
      <c r="J1705" s="129"/>
      <c r="K1705" s="129"/>
      <c r="L1705" s="129"/>
      <c r="O1705" s="129"/>
      <c r="P1705" s="123" t="str">
        <f t="shared" si="433"/>
        <v/>
      </c>
    </row>
    <row r="1706" spans="1:16" s="114" customFormat="1" ht="15" x14ac:dyDescent="0.25">
      <c r="A1706" s="118"/>
      <c r="B1706" s="117" t="s">
        <v>179</v>
      </c>
      <c r="C1706" s="128"/>
      <c r="D1706" s="128"/>
      <c r="E1706" s="128"/>
      <c r="F1706" s="128"/>
      <c r="G1706" s="128"/>
      <c r="H1706" s="128"/>
      <c r="I1706" s="129">
        <f>mayors!J150</f>
        <v>0</v>
      </c>
      <c r="J1706" s="129"/>
      <c r="K1706" s="129"/>
      <c r="L1706" s="129"/>
      <c r="M1706" s="186"/>
      <c r="N1706" s="186"/>
      <c r="O1706" s="128"/>
      <c r="P1706" s="123" t="str">
        <f t="shared" si="433"/>
        <v/>
      </c>
    </row>
    <row r="1707" spans="1:16" s="114" customFormat="1" ht="15" x14ac:dyDescent="0.25">
      <c r="A1707" s="118"/>
      <c r="B1707" s="117"/>
      <c r="C1707" s="128"/>
      <c r="D1707" s="128"/>
      <c r="E1707" s="128"/>
      <c r="F1707" s="128"/>
      <c r="G1707" s="128"/>
      <c r="H1707" s="128"/>
      <c r="I1707" s="129">
        <f>mayors!J151</f>
        <v>0</v>
      </c>
      <c r="J1707" s="129"/>
      <c r="K1707" s="129"/>
      <c r="L1707" s="129"/>
      <c r="M1707" s="186"/>
      <c r="N1707" s="186"/>
      <c r="O1707" s="128"/>
      <c r="P1707" s="123" t="str">
        <f t="shared" si="433"/>
        <v/>
      </c>
    </row>
    <row r="1708" spans="1:16" s="114" customFormat="1" ht="15" x14ac:dyDescent="0.25">
      <c r="A1708" s="118"/>
      <c r="B1708" s="117" t="s">
        <v>181</v>
      </c>
      <c r="C1708" s="128"/>
      <c r="D1708" s="128"/>
      <c r="E1708" s="128"/>
      <c r="F1708" s="128"/>
      <c r="G1708" s="128"/>
      <c r="H1708" s="128"/>
      <c r="I1708" s="129">
        <f>mayors!J152</f>
        <v>0</v>
      </c>
      <c r="J1708" s="129"/>
      <c r="K1708" s="129"/>
      <c r="L1708" s="129"/>
      <c r="M1708" s="186"/>
      <c r="N1708" s="186"/>
      <c r="O1708" s="128"/>
      <c r="P1708" s="123" t="str">
        <f t="shared" si="433"/>
        <v/>
      </c>
    </row>
    <row r="1709" spans="1:16" x14ac:dyDescent="0.2">
      <c r="A1709" s="119"/>
      <c r="B1709" s="120"/>
      <c r="C1709" s="129"/>
      <c r="D1709" s="129"/>
      <c r="E1709" s="129"/>
      <c r="F1709" s="129"/>
      <c r="G1709" s="129"/>
      <c r="H1709" s="129"/>
      <c r="I1709" s="129">
        <f>mayors!J153</f>
        <v>0</v>
      </c>
      <c r="J1709" s="129"/>
      <c r="K1709" s="129"/>
      <c r="L1709" s="129"/>
      <c r="O1709" s="129"/>
      <c r="P1709" s="123" t="str">
        <f t="shared" si="433"/>
        <v/>
      </c>
    </row>
    <row r="1710" spans="1:16" x14ac:dyDescent="0.2">
      <c r="A1710" s="119" t="s">
        <v>764</v>
      </c>
      <c r="B1710" s="120" t="s">
        <v>182</v>
      </c>
      <c r="C1710" s="129">
        <v>177139</v>
      </c>
      <c r="D1710" s="129">
        <v>0</v>
      </c>
      <c r="E1710" s="129">
        <v>0</v>
      </c>
      <c r="F1710" s="129">
        <v>0</v>
      </c>
      <c r="G1710" s="129">
        <v>177139</v>
      </c>
      <c r="H1710" s="129">
        <v>0</v>
      </c>
      <c r="I1710" s="129">
        <f>mayors!J154</f>
        <v>0</v>
      </c>
      <c r="J1710" s="129">
        <f>mayors!K154</f>
        <v>177139</v>
      </c>
      <c r="K1710" s="129">
        <f>mayors!L154</f>
        <v>188210.1875</v>
      </c>
      <c r="L1710" s="129">
        <f>mayors!M154</f>
        <v>201384.90062500001</v>
      </c>
      <c r="O1710" s="129">
        <f>mayors!N154</f>
        <v>215481.84366875002</v>
      </c>
      <c r="P1710" s="123" t="str">
        <f t="shared" si="433"/>
        <v>210</v>
      </c>
    </row>
    <row r="1711" spans="1:16" x14ac:dyDescent="0.2">
      <c r="A1711" s="119" t="s">
        <v>765</v>
      </c>
      <c r="B1711" s="120" t="s">
        <v>183</v>
      </c>
      <c r="C1711" s="129">
        <v>531416</v>
      </c>
      <c r="D1711" s="129">
        <v>0</v>
      </c>
      <c r="E1711" s="129">
        <v>0</v>
      </c>
      <c r="F1711" s="129">
        <v>0</v>
      </c>
      <c r="G1711" s="129">
        <v>531416</v>
      </c>
      <c r="H1711" s="129">
        <v>0</v>
      </c>
      <c r="I1711" s="129">
        <f>mayors!J155</f>
        <v>0</v>
      </c>
      <c r="J1711" s="129">
        <f>mayors!K155</f>
        <v>531416</v>
      </c>
      <c r="K1711" s="129">
        <f>mayors!L155</f>
        <v>564629.5</v>
      </c>
      <c r="L1711" s="129">
        <f>mayors!M155</f>
        <v>604153.56499999994</v>
      </c>
      <c r="O1711" s="129">
        <f>mayors!N155</f>
        <v>646444.31454999989</v>
      </c>
      <c r="P1711" s="123" t="str">
        <f t="shared" si="433"/>
        <v>210</v>
      </c>
    </row>
    <row r="1712" spans="1:16" x14ac:dyDescent="0.2">
      <c r="A1712" s="119" t="s">
        <v>766</v>
      </c>
      <c r="B1712" s="120" t="s">
        <v>184</v>
      </c>
      <c r="C1712" s="129">
        <v>47508</v>
      </c>
      <c r="D1712" s="129">
        <v>0</v>
      </c>
      <c r="E1712" s="129">
        <v>0</v>
      </c>
      <c r="F1712" s="129">
        <v>0</v>
      </c>
      <c r="G1712" s="129">
        <v>47508</v>
      </c>
      <c r="H1712" s="129">
        <v>0</v>
      </c>
      <c r="I1712" s="129">
        <f>mayors!J156</f>
        <v>0</v>
      </c>
      <c r="J1712" s="129">
        <f>mayors!K156</f>
        <v>47508</v>
      </c>
      <c r="K1712" s="129">
        <f>mayors!L156</f>
        <v>50477.25</v>
      </c>
      <c r="L1712" s="129">
        <f>mayors!M156</f>
        <v>54010.657500000001</v>
      </c>
      <c r="O1712" s="129">
        <f>mayors!N156</f>
        <v>57791.403525000002</v>
      </c>
      <c r="P1712" s="123" t="str">
        <f t="shared" si="433"/>
        <v>210</v>
      </c>
    </row>
    <row r="1713" spans="1:16" x14ac:dyDescent="0.2">
      <c r="A1713" s="119"/>
      <c r="B1713" s="120"/>
      <c r="C1713" s="129"/>
      <c r="D1713" s="129"/>
      <c r="E1713" s="129"/>
      <c r="F1713" s="129"/>
      <c r="G1713" s="129"/>
      <c r="H1713" s="129"/>
      <c r="I1713" s="129">
        <f>mayors!J157</f>
        <v>0</v>
      </c>
      <c r="J1713" s="129"/>
      <c r="K1713" s="129"/>
      <c r="L1713" s="129"/>
      <c r="O1713" s="129"/>
      <c r="P1713" s="123" t="str">
        <f t="shared" si="433"/>
        <v/>
      </c>
    </row>
    <row r="1714" spans="1:16" s="114" customFormat="1" ht="15" x14ac:dyDescent="0.25">
      <c r="A1714" s="118"/>
      <c r="B1714" s="117" t="s">
        <v>185</v>
      </c>
      <c r="C1714" s="128">
        <f>SUM(C1710:C1713)</f>
        <v>756063</v>
      </c>
      <c r="D1714" s="128">
        <f t="shared" ref="D1714:O1714" si="442">SUM(D1710:D1713)</f>
        <v>0</v>
      </c>
      <c r="E1714" s="128">
        <f t="shared" si="442"/>
        <v>0</v>
      </c>
      <c r="F1714" s="128">
        <f t="shared" si="442"/>
        <v>0</v>
      </c>
      <c r="G1714" s="128">
        <f t="shared" si="442"/>
        <v>756063</v>
      </c>
      <c r="H1714" s="128">
        <f t="shared" si="442"/>
        <v>0</v>
      </c>
      <c r="I1714" s="128">
        <f t="shared" si="442"/>
        <v>0</v>
      </c>
      <c r="J1714" s="128">
        <f t="shared" si="442"/>
        <v>756063</v>
      </c>
      <c r="K1714" s="128">
        <f t="shared" si="442"/>
        <v>803316.9375</v>
      </c>
      <c r="L1714" s="128">
        <f t="shared" si="442"/>
        <v>859549.12312499993</v>
      </c>
      <c r="M1714" s="128">
        <f t="shared" si="442"/>
        <v>0</v>
      </c>
      <c r="N1714" s="128">
        <f t="shared" si="442"/>
        <v>0</v>
      </c>
      <c r="O1714" s="128">
        <f t="shared" si="442"/>
        <v>919717.56174374989</v>
      </c>
      <c r="P1714" s="123" t="str">
        <f t="shared" si="433"/>
        <v/>
      </c>
    </row>
    <row r="1715" spans="1:16" x14ac:dyDescent="0.2">
      <c r="A1715" s="119"/>
      <c r="B1715" s="120"/>
      <c r="C1715" s="129"/>
      <c r="D1715" s="129"/>
      <c r="E1715" s="129"/>
      <c r="F1715" s="129"/>
      <c r="G1715" s="129"/>
      <c r="H1715" s="129"/>
      <c r="I1715" s="129">
        <f>mayors!J159</f>
        <v>0</v>
      </c>
      <c r="J1715" s="129"/>
      <c r="K1715" s="129"/>
      <c r="L1715" s="129"/>
      <c r="O1715" s="129"/>
      <c r="P1715" s="123" t="str">
        <f t="shared" si="433"/>
        <v/>
      </c>
    </row>
    <row r="1716" spans="1:16" s="114" customFormat="1" ht="15" x14ac:dyDescent="0.25">
      <c r="A1716" s="118"/>
      <c r="B1716" s="117" t="s">
        <v>201</v>
      </c>
      <c r="C1716" s="128"/>
      <c r="D1716" s="128"/>
      <c r="E1716" s="128"/>
      <c r="F1716" s="128"/>
      <c r="G1716" s="128"/>
      <c r="H1716" s="128"/>
      <c r="I1716" s="129">
        <f>mayors!J160</f>
        <v>0</v>
      </c>
      <c r="J1716" s="129"/>
      <c r="K1716" s="129"/>
      <c r="L1716" s="129"/>
      <c r="M1716" s="186"/>
      <c r="N1716" s="186"/>
      <c r="O1716" s="128"/>
      <c r="P1716" s="123" t="str">
        <f t="shared" si="433"/>
        <v/>
      </c>
    </row>
    <row r="1717" spans="1:16" x14ac:dyDescent="0.2">
      <c r="A1717" s="119"/>
      <c r="B1717" s="120"/>
      <c r="C1717" s="129"/>
      <c r="D1717" s="129"/>
      <c r="E1717" s="129"/>
      <c r="F1717" s="129"/>
      <c r="G1717" s="129"/>
      <c r="H1717" s="129"/>
      <c r="I1717" s="129">
        <f>mayors!J161</f>
        <v>0</v>
      </c>
      <c r="J1717" s="129"/>
      <c r="K1717" s="129"/>
      <c r="L1717" s="129"/>
      <c r="O1717" s="129"/>
      <c r="P1717" s="123" t="str">
        <f t="shared" si="433"/>
        <v/>
      </c>
    </row>
    <row r="1718" spans="1:16" x14ac:dyDescent="0.2">
      <c r="A1718" s="119" t="s">
        <v>767</v>
      </c>
      <c r="B1718" s="120" t="s">
        <v>202</v>
      </c>
      <c r="C1718" s="129">
        <v>0</v>
      </c>
      <c r="D1718" s="129">
        <v>13795.83</v>
      </c>
      <c r="E1718" s="129">
        <v>0</v>
      </c>
      <c r="F1718" s="129">
        <v>82774.98</v>
      </c>
      <c r="G1718" s="129">
        <v>-82774.98</v>
      </c>
      <c r="H1718" s="129">
        <v>0</v>
      </c>
      <c r="I1718" s="129">
        <f>mayors!J162</f>
        <v>0</v>
      </c>
      <c r="J1718" s="129">
        <f>mayors!K162</f>
        <v>0</v>
      </c>
      <c r="K1718" s="129">
        <f>mayors!L162</f>
        <v>0</v>
      </c>
      <c r="L1718" s="129">
        <f>mayors!M162</f>
        <v>0</v>
      </c>
      <c r="O1718" s="129"/>
      <c r="P1718" s="123" t="str">
        <f t="shared" si="433"/>
        <v>211</v>
      </c>
    </row>
    <row r="1719" spans="1:16" x14ac:dyDescent="0.2">
      <c r="A1719" s="119" t="s">
        <v>768</v>
      </c>
      <c r="B1719" s="120" t="s">
        <v>203</v>
      </c>
      <c r="C1719" s="129">
        <v>0</v>
      </c>
      <c r="D1719" s="129">
        <v>41387.5</v>
      </c>
      <c r="E1719" s="129">
        <v>0</v>
      </c>
      <c r="F1719" s="129">
        <v>248325</v>
      </c>
      <c r="G1719" s="129">
        <v>-248325</v>
      </c>
      <c r="H1719" s="129">
        <v>0</v>
      </c>
      <c r="I1719" s="129">
        <f>mayors!J163</f>
        <v>0</v>
      </c>
      <c r="J1719" s="129">
        <f>mayors!K163</f>
        <v>0</v>
      </c>
      <c r="K1719" s="129">
        <f>mayors!L163</f>
        <v>0</v>
      </c>
      <c r="L1719" s="129">
        <f>mayors!M163</f>
        <v>0</v>
      </c>
      <c r="O1719" s="129"/>
      <c r="P1719" s="123" t="str">
        <f t="shared" si="433"/>
        <v>211</v>
      </c>
    </row>
    <row r="1720" spans="1:16" x14ac:dyDescent="0.2">
      <c r="A1720" s="119" t="s">
        <v>769</v>
      </c>
      <c r="B1720" s="120" t="s">
        <v>204</v>
      </c>
      <c r="C1720" s="129">
        <v>0</v>
      </c>
      <c r="D1720" s="129">
        <v>3400</v>
      </c>
      <c r="E1720" s="129">
        <v>0</v>
      </c>
      <c r="F1720" s="129">
        <v>20400</v>
      </c>
      <c r="G1720" s="129">
        <v>-20400</v>
      </c>
      <c r="H1720" s="129">
        <v>0</v>
      </c>
      <c r="I1720" s="129">
        <f>mayors!J164</f>
        <v>0</v>
      </c>
      <c r="J1720" s="129">
        <f>mayors!K164</f>
        <v>0</v>
      </c>
      <c r="K1720" s="129">
        <f>mayors!L164</f>
        <v>0</v>
      </c>
      <c r="L1720" s="129">
        <f>mayors!M164</f>
        <v>0</v>
      </c>
      <c r="O1720" s="129"/>
      <c r="P1720" s="123" t="str">
        <f t="shared" si="433"/>
        <v>211</v>
      </c>
    </row>
    <row r="1721" spans="1:16" x14ac:dyDescent="0.2">
      <c r="A1721" s="119"/>
      <c r="B1721" s="120"/>
      <c r="C1721" s="129"/>
      <c r="D1721" s="129"/>
      <c r="E1721" s="129"/>
      <c r="F1721" s="129"/>
      <c r="G1721" s="129"/>
      <c r="H1721" s="129"/>
      <c r="I1721" s="129">
        <f>mayors!J165</f>
        <v>0</v>
      </c>
      <c r="J1721" s="129">
        <f>mayors!K165</f>
        <v>0</v>
      </c>
      <c r="K1721" s="129">
        <f>mayors!L165</f>
        <v>0</v>
      </c>
      <c r="L1721" s="129">
        <f>mayors!M165</f>
        <v>0</v>
      </c>
      <c r="O1721" s="129"/>
      <c r="P1721" s="123" t="str">
        <f t="shared" si="433"/>
        <v/>
      </c>
    </row>
    <row r="1722" spans="1:16" s="114" customFormat="1" ht="15" x14ac:dyDescent="0.25">
      <c r="A1722" s="118"/>
      <c r="B1722" s="117" t="s">
        <v>205</v>
      </c>
      <c r="C1722" s="128">
        <f>SUM(C1718:C1721)</f>
        <v>0</v>
      </c>
      <c r="D1722" s="128">
        <f t="shared" ref="D1722:O1722" si="443">SUM(D1718:D1721)</f>
        <v>58583.33</v>
      </c>
      <c r="E1722" s="128">
        <f t="shared" si="443"/>
        <v>0</v>
      </c>
      <c r="F1722" s="128">
        <f t="shared" si="443"/>
        <v>351499.98</v>
      </c>
      <c r="G1722" s="128">
        <f t="shared" si="443"/>
        <v>-351499.98</v>
      </c>
      <c r="H1722" s="128">
        <f t="shared" si="443"/>
        <v>0</v>
      </c>
      <c r="I1722" s="128">
        <f t="shared" si="443"/>
        <v>0</v>
      </c>
      <c r="J1722" s="128">
        <f t="shared" si="443"/>
        <v>0</v>
      </c>
      <c r="K1722" s="128">
        <f t="shared" si="443"/>
        <v>0</v>
      </c>
      <c r="L1722" s="128">
        <f t="shared" si="443"/>
        <v>0</v>
      </c>
      <c r="M1722" s="128">
        <f t="shared" si="443"/>
        <v>0</v>
      </c>
      <c r="N1722" s="128">
        <f t="shared" si="443"/>
        <v>0</v>
      </c>
      <c r="O1722" s="128">
        <f t="shared" si="443"/>
        <v>0</v>
      </c>
      <c r="P1722" s="123" t="str">
        <f t="shared" si="433"/>
        <v/>
      </c>
    </row>
    <row r="1723" spans="1:16" s="114" customFormat="1" ht="15" x14ac:dyDescent="0.25">
      <c r="A1723" s="118"/>
      <c r="B1723" s="117"/>
      <c r="C1723" s="128"/>
      <c r="D1723" s="128"/>
      <c r="E1723" s="128"/>
      <c r="F1723" s="128"/>
      <c r="G1723" s="128"/>
      <c r="H1723" s="128"/>
      <c r="I1723" s="129">
        <f>mayors!J167</f>
        <v>0</v>
      </c>
      <c r="J1723" s="129"/>
      <c r="K1723" s="129"/>
      <c r="L1723" s="129"/>
      <c r="M1723" s="186"/>
      <c r="N1723" s="186"/>
      <c r="O1723" s="128"/>
      <c r="P1723" s="123" t="str">
        <f t="shared" si="433"/>
        <v/>
      </c>
    </row>
    <row r="1724" spans="1:16" s="114" customFormat="1" ht="15" x14ac:dyDescent="0.25">
      <c r="A1724" s="118"/>
      <c r="B1724" s="117" t="s">
        <v>206</v>
      </c>
      <c r="C1724" s="128">
        <f>C1714+C1722</f>
        <v>756063</v>
      </c>
      <c r="D1724" s="128">
        <f t="shared" ref="D1724:O1724" si="444">D1714+D1722</f>
        <v>58583.33</v>
      </c>
      <c r="E1724" s="128">
        <f t="shared" si="444"/>
        <v>0</v>
      </c>
      <c r="F1724" s="128">
        <f t="shared" si="444"/>
        <v>351499.98</v>
      </c>
      <c r="G1724" s="128">
        <f t="shared" si="444"/>
        <v>404563.02</v>
      </c>
      <c r="H1724" s="128">
        <f t="shared" si="444"/>
        <v>0</v>
      </c>
      <c r="I1724" s="128">
        <f t="shared" si="444"/>
        <v>0</v>
      </c>
      <c r="J1724" s="128">
        <f t="shared" si="444"/>
        <v>756063</v>
      </c>
      <c r="K1724" s="128">
        <f t="shared" si="444"/>
        <v>803316.9375</v>
      </c>
      <c r="L1724" s="128">
        <f t="shared" si="444"/>
        <v>859549.12312499993</v>
      </c>
      <c r="M1724" s="128">
        <f t="shared" si="444"/>
        <v>0</v>
      </c>
      <c r="N1724" s="128">
        <f t="shared" si="444"/>
        <v>0</v>
      </c>
      <c r="O1724" s="128">
        <f t="shared" si="444"/>
        <v>919717.56174374989</v>
      </c>
      <c r="P1724" s="123" t="str">
        <f t="shared" si="433"/>
        <v/>
      </c>
    </row>
    <row r="1725" spans="1:16" s="114" customFormat="1" ht="15" x14ac:dyDescent="0.25">
      <c r="A1725" s="118"/>
      <c r="B1725" s="117"/>
      <c r="C1725" s="128"/>
      <c r="D1725" s="128"/>
      <c r="E1725" s="128"/>
      <c r="F1725" s="128"/>
      <c r="G1725" s="128"/>
      <c r="H1725" s="128"/>
      <c r="I1725" s="129">
        <f>mayors!J169</f>
        <v>0</v>
      </c>
      <c r="J1725" s="129"/>
      <c r="K1725" s="129"/>
      <c r="L1725" s="129"/>
      <c r="M1725" s="186"/>
      <c r="N1725" s="186"/>
      <c r="O1725" s="128"/>
      <c r="P1725" s="123" t="str">
        <f t="shared" si="433"/>
        <v/>
      </c>
    </row>
    <row r="1726" spans="1:16" s="114" customFormat="1" ht="15" x14ac:dyDescent="0.25">
      <c r="A1726" s="118"/>
      <c r="B1726" s="117" t="s">
        <v>207</v>
      </c>
      <c r="C1726" s="128">
        <f>C1724</f>
        <v>756063</v>
      </c>
      <c r="D1726" s="128">
        <f t="shared" ref="D1726:O1726" si="445">D1724</f>
        <v>58583.33</v>
      </c>
      <c r="E1726" s="128">
        <f t="shared" si="445"/>
        <v>0</v>
      </c>
      <c r="F1726" s="128">
        <f t="shared" si="445"/>
        <v>351499.98</v>
      </c>
      <c r="G1726" s="128">
        <f t="shared" si="445"/>
        <v>404563.02</v>
      </c>
      <c r="H1726" s="128">
        <f t="shared" si="445"/>
        <v>0</v>
      </c>
      <c r="I1726" s="128">
        <f t="shared" si="445"/>
        <v>0</v>
      </c>
      <c r="J1726" s="128">
        <f t="shared" si="445"/>
        <v>756063</v>
      </c>
      <c r="K1726" s="128">
        <f t="shared" si="445"/>
        <v>803316.9375</v>
      </c>
      <c r="L1726" s="128">
        <f t="shared" si="445"/>
        <v>859549.12312499993</v>
      </c>
      <c r="M1726" s="128">
        <f t="shared" si="445"/>
        <v>0</v>
      </c>
      <c r="N1726" s="128">
        <f t="shared" si="445"/>
        <v>0</v>
      </c>
      <c r="O1726" s="128">
        <f t="shared" si="445"/>
        <v>919717.56174374989</v>
      </c>
      <c r="P1726" s="123" t="str">
        <f t="shared" si="433"/>
        <v/>
      </c>
    </row>
    <row r="1727" spans="1:16" x14ac:dyDescent="0.2">
      <c r="A1727" s="119"/>
      <c r="B1727" s="120"/>
      <c r="C1727" s="129"/>
      <c r="D1727" s="129"/>
      <c r="E1727" s="129"/>
      <c r="F1727" s="129"/>
      <c r="G1727" s="129"/>
      <c r="H1727" s="129"/>
      <c r="I1727" s="129">
        <f>mayors!J171</f>
        <v>0</v>
      </c>
      <c r="J1727" s="129"/>
      <c r="K1727" s="129"/>
      <c r="L1727" s="129"/>
      <c r="O1727" s="129"/>
      <c r="P1727" s="123" t="str">
        <f t="shared" si="433"/>
        <v/>
      </c>
    </row>
    <row r="1728" spans="1:16" s="114" customFormat="1" ht="15" x14ac:dyDescent="0.25">
      <c r="A1728" s="118"/>
      <c r="B1728" s="117" t="s">
        <v>241</v>
      </c>
      <c r="C1728" s="128"/>
      <c r="D1728" s="128"/>
      <c r="E1728" s="128"/>
      <c r="F1728" s="128"/>
      <c r="G1728" s="128"/>
      <c r="H1728" s="128"/>
      <c r="I1728" s="129">
        <f>mayors!J172</f>
        <v>0</v>
      </c>
      <c r="J1728" s="129"/>
      <c r="K1728" s="129"/>
      <c r="L1728" s="129"/>
      <c r="M1728" s="186"/>
      <c r="N1728" s="186"/>
      <c r="O1728" s="128"/>
      <c r="P1728" s="123" t="str">
        <f t="shared" si="433"/>
        <v/>
      </c>
    </row>
    <row r="1729" spans="1:16" x14ac:dyDescent="0.2">
      <c r="A1729" s="119"/>
      <c r="B1729" s="120"/>
      <c r="C1729" s="129"/>
      <c r="D1729" s="129"/>
      <c r="E1729" s="129"/>
      <c r="F1729" s="129"/>
      <c r="G1729" s="129"/>
      <c r="H1729" s="129"/>
      <c r="I1729" s="129">
        <f>mayors!J173</f>
        <v>0</v>
      </c>
      <c r="J1729" s="129"/>
      <c r="K1729" s="129"/>
      <c r="L1729" s="129"/>
      <c r="O1729" s="129"/>
      <c r="P1729" s="123" t="str">
        <f t="shared" si="433"/>
        <v/>
      </c>
    </row>
    <row r="1730" spans="1:16" x14ac:dyDescent="0.2">
      <c r="A1730" s="119" t="s">
        <v>770</v>
      </c>
      <c r="B1730" s="120" t="s">
        <v>253</v>
      </c>
      <c r="C1730" s="129">
        <v>2000</v>
      </c>
      <c r="D1730" s="129">
        <v>0</v>
      </c>
      <c r="E1730" s="129">
        <v>0</v>
      </c>
      <c r="F1730" s="129">
        <v>842.46</v>
      </c>
      <c r="G1730" s="129">
        <v>1157.54</v>
      </c>
      <c r="H1730" s="129">
        <v>42.12</v>
      </c>
      <c r="I1730" s="129">
        <f>mayors!J174</f>
        <v>0</v>
      </c>
      <c r="J1730" s="129">
        <f>mayors!K174</f>
        <v>2000</v>
      </c>
      <c r="K1730" s="129">
        <f>mayors!L174</f>
        <v>2000</v>
      </c>
      <c r="L1730" s="129">
        <f>mayors!M174</f>
        <v>2000</v>
      </c>
      <c r="O1730" s="129">
        <f>mayors!N174</f>
        <v>2000</v>
      </c>
      <c r="P1730" s="123" t="str">
        <f t="shared" si="433"/>
        <v>301</v>
      </c>
    </row>
    <row r="1731" spans="1:16" x14ac:dyDescent="0.2">
      <c r="A1731" s="119" t="s">
        <v>771</v>
      </c>
      <c r="B1731" s="120" t="s">
        <v>265</v>
      </c>
      <c r="C1731" s="129">
        <v>0</v>
      </c>
      <c r="D1731" s="129">
        <v>641.42999999999995</v>
      </c>
      <c r="E1731" s="129">
        <v>0</v>
      </c>
      <c r="F1731" s="129">
        <v>3571.34</v>
      </c>
      <c r="G1731" s="129">
        <v>-3571.34</v>
      </c>
      <c r="H1731" s="129">
        <v>0</v>
      </c>
      <c r="I1731" s="129">
        <f>mayors!J175</f>
        <v>8000</v>
      </c>
      <c r="J1731" s="129">
        <f>mayors!K175</f>
        <v>8000</v>
      </c>
      <c r="K1731" s="129">
        <f>mayors!L175</f>
        <v>8360</v>
      </c>
      <c r="L1731" s="129">
        <f>mayors!M175</f>
        <v>8744.56</v>
      </c>
      <c r="O1731" s="129">
        <f>mayors!N175</f>
        <v>9146.8097600000001</v>
      </c>
      <c r="P1731" s="123" t="str">
        <f t="shared" si="433"/>
        <v>305</v>
      </c>
    </row>
    <row r="1732" spans="1:16" x14ac:dyDescent="0.2">
      <c r="A1732" s="119" t="s">
        <v>772</v>
      </c>
      <c r="B1732" s="120" t="s">
        <v>268</v>
      </c>
      <c r="C1732" s="129">
        <v>85032</v>
      </c>
      <c r="D1732" s="129">
        <v>2323.96</v>
      </c>
      <c r="E1732" s="129">
        <v>0</v>
      </c>
      <c r="F1732" s="129">
        <v>19031.96</v>
      </c>
      <c r="G1732" s="129">
        <v>66000.039999999994</v>
      </c>
      <c r="H1732" s="129">
        <v>22.38</v>
      </c>
      <c r="I1732" s="129">
        <f>mayors!J176</f>
        <v>0</v>
      </c>
      <c r="J1732" s="129">
        <f>mayors!K176</f>
        <v>85032</v>
      </c>
      <c r="K1732" s="129">
        <f>mayors!L176</f>
        <v>88858.44</v>
      </c>
      <c r="L1732" s="129">
        <f>mayors!M176</f>
        <v>92945.928240000008</v>
      </c>
      <c r="O1732" s="129">
        <f>mayors!N176</f>
        <v>97221.440939040011</v>
      </c>
      <c r="P1732" s="123" t="str">
        <f t="shared" si="433"/>
        <v>305</v>
      </c>
    </row>
    <row r="1733" spans="1:16" x14ac:dyDescent="0.2">
      <c r="A1733" s="119" t="s">
        <v>773</v>
      </c>
      <c r="B1733" s="120" t="s">
        <v>269</v>
      </c>
      <c r="C1733" s="129">
        <v>30000</v>
      </c>
      <c r="D1733" s="129">
        <v>0</v>
      </c>
      <c r="E1733" s="129">
        <v>0</v>
      </c>
      <c r="F1733" s="129">
        <v>0</v>
      </c>
      <c r="G1733" s="129">
        <v>30000</v>
      </c>
      <c r="H1733" s="129">
        <v>0</v>
      </c>
      <c r="I1733" s="129">
        <f>mayors!J177</f>
        <v>-15000</v>
      </c>
      <c r="J1733" s="129">
        <f>mayors!K177</f>
        <v>15000</v>
      </c>
      <c r="K1733" s="129">
        <f>mayors!L177</f>
        <v>15675</v>
      </c>
      <c r="L1733" s="129">
        <f>mayors!M177</f>
        <v>16396.05</v>
      </c>
      <c r="O1733" s="129">
        <f>mayors!N177</f>
        <v>17150.2683</v>
      </c>
      <c r="P1733" s="123" t="str">
        <f t="shared" si="433"/>
        <v>305</v>
      </c>
    </row>
    <row r="1734" spans="1:16" x14ac:dyDescent="0.2">
      <c r="A1734" s="119"/>
      <c r="B1734" s="120"/>
      <c r="C1734" s="129"/>
      <c r="D1734" s="129"/>
      <c r="E1734" s="129"/>
      <c r="F1734" s="129"/>
      <c r="G1734" s="129"/>
      <c r="H1734" s="129"/>
      <c r="I1734" s="129">
        <f>mayors!J178</f>
        <v>0</v>
      </c>
      <c r="J1734" s="129"/>
      <c r="K1734" s="129"/>
      <c r="L1734" s="129"/>
      <c r="O1734" s="129"/>
      <c r="P1734" s="123" t="str">
        <f t="shared" si="433"/>
        <v/>
      </c>
    </row>
    <row r="1735" spans="1:16" s="114" customFormat="1" ht="15" x14ac:dyDescent="0.25">
      <c r="A1735" s="118"/>
      <c r="B1735" s="117" t="s">
        <v>274</v>
      </c>
      <c r="C1735" s="128">
        <f>SUM(C1730:C1734)</f>
        <v>117032</v>
      </c>
      <c r="D1735" s="128">
        <f t="shared" ref="D1735:O1735" si="446">SUM(D1730:D1734)</f>
        <v>2965.39</v>
      </c>
      <c r="E1735" s="128">
        <f t="shared" si="446"/>
        <v>0</v>
      </c>
      <c r="F1735" s="128">
        <f t="shared" si="446"/>
        <v>23445.759999999998</v>
      </c>
      <c r="G1735" s="128">
        <f t="shared" si="446"/>
        <v>93586.239999999991</v>
      </c>
      <c r="H1735" s="128">
        <f t="shared" si="446"/>
        <v>64.5</v>
      </c>
      <c r="I1735" s="128">
        <f t="shared" si="446"/>
        <v>-7000</v>
      </c>
      <c r="J1735" s="128">
        <f t="shared" si="446"/>
        <v>110032</v>
      </c>
      <c r="K1735" s="128">
        <f t="shared" si="446"/>
        <v>114893.44</v>
      </c>
      <c r="L1735" s="128">
        <f t="shared" si="446"/>
        <v>120086.53824000001</v>
      </c>
      <c r="M1735" s="128">
        <f t="shared" si="446"/>
        <v>0</v>
      </c>
      <c r="N1735" s="128">
        <f t="shared" si="446"/>
        <v>0</v>
      </c>
      <c r="O1735" s="128">
        <f t="shared" si="446"/>
        <v>125518.51899904001</v>
      </c>
      <c r="P1735" s="123" t="str">
        <f t="shared" ref="P1735:P1798" si="447">MID(A1735,6,3)</f>
        <v/>
      </c>
    </row>
    <row r="1736" spans="1:16" s="114" customFormat="1" ht="15" x14ac:dyDescent="0.25">
      <c r="A1736" s="118"/>
      <c r="B1736" s="117"/>
      <c r="C1736" s="128"/>
      <c r="D1736" s="128"/>
      <c r="E1736" s="128"/>
      <c r="F1736" s="128"/>
      <c r="G1736" s="128"/>
      <c r="H1736" s="128"/>
      <c r="I1736" s="129">
        <f>mayors!J180</f>
        <v>0</v>
      </c>
      <c r="J1736" s="129"/>
      <c r="K1736" s="129"/>
      <c r="L1736" s="129"/>
      <c r="M1736" s="186"/>
      <c r="N1736" s="186"/>
      <c r="O1736" s="128"/>
      <c r="P1736" s="123" t="str">
        <f t="shared" si="447"/>
        <v/>
      </c>
    </row>
    <row r="1737" spans="1:16" s="114" customFormat="1" ht="15" x14ac:dyDescent="0.25">
      <c r="A1737" s="118">
        <v>4.5102999980000002E+19</v>
      </c>
      <c r="B1737" s="117" t="s">
        <v>305</v>
      </c>
      <c r="C1737" s="128">
        <f>C1704+C1726+C1735</f>
        <v>1177435</v>
      </c>
      <c r="D1737" s="128">
        <f t="shared" ref="D1737:O1737" si="448">D1704+D1726+D1735</f>
        <v>91751.66</v>
      </c>
      <c r="E1737" s="128">
        <f t="shared" si="448"/>
        <v>0</v>
      </c>
      <c r="F1737" s="128">
        <f t="shared" si="448"/>
        <v>531106.16999999993</v>
      </c>
      <c r="G1737" s="128">
        <f t="shared" si="448"/>
        <v>646328.83000000007</v>
      </c>
      <c r="H1737" s="128">
        <f t="shared" si="448"/>
        <v>496.33</v>
      </c>
      <c r="I1737" s="128">
        <f t="shared" si="448"/>
        <v>3787.6899999999987</v>
      </c>
      <c r="J1737" s="128">
        <f t="shared" si="448"/>
        <v>1181222.69</v>
      </c>
      <c r="K1737" s="128">
        <f t="shared" si="448"/>
        <v>1253033.548125</v>
      </c>
      <c r="L1737" s="128">
        <f t="shared" si="448"/>
        <v>1337896.4539337498</v>
      </c>
      <c r="M1737" s="128">
        <f t="shared" si="448"/>
        <v>0</v>
      </c>
      <c r="N1737" s="128">
        <f t="shared" si="448"/>
        <v>0</v>
      </c>
      <c r="O1737" s="128">
        <f t="shared" si="448"/>
        <v>1428575.1287913523</v>
      </c>
      <c r="P1737" s="123" t="str">
        <f t="shared" si="447"/>
        <v>999</v>
      </c>
    </row>
    <row r="1738" spans="1:16" s="114" customFormat="1" ht="15" x14ac:dyDescent="0.25">
      <c r="A1738" s="118"/>
      <c r="B1738" s="117"/>
      <c r="C1738" s="128"/>
      <c r="D1738" s="128"/>
      <c r="E1738" s="128"/>
      <c r="F1738" s="128"/>
      <c r="G1738" s="128"/>
      <c r="H1738" s="128"/>
      <c r="I1738" s="128">
        <f>mayors!J182</f>
        <v>0</v>
      </c>
      <c r="J1738" s="128"/>
      <c r="K1738" s="128"/>
      <c r="L1738" s="128"/>
      <c r="M1738" s="186"/>
      <c r="N1738" s="186"/>
      <c r="O1738" s="128"/>
      <c r="P1738" s="123" t="str">
        <f t="shared" si="447"/>
        <v/>
      </c>
    </row>
    <row r="1739" spans="1:16" s="114" customFormat="1" ht="15" x14ac:dyDescent="0.25">
      <c r="A1739" s="118">
        <v>4.5102999990000001E+19</v>
      </c>
      <c r="B1739" s="117" t="s">
        <v>306</v>
      </c>
      <c r="C1739" s="128">
        <f>C1737</f>
        <v>1177435</v>
      </c>
      <c r="D1739" s="128">
        <f t="shared" ref="D1739:O1739" si="449">D1737</f>
        <v>91751.66</v>
      </c>
      <c r="E1739" s="128">
        <f t="shared" si="449"/>
        <v>0</v>
      </c>
      <c r="F1739" s="128">
        <f t="shared" si="449"/>
        <v>531106.16999999993</v>
      </c>
      <c r="G1739" s="128">
        <f t="shared" si="449"/>
        <v>646328.83000000007</v>
      </c>
      <c r="H1739" s="128">
        <f t="shared" si="449"/>
        <v>496.33</v>
      </c>
      <c r="I1739" s="128">
        <f t="shared" si="449"/>
        <v>3787.6899999999987</v>
      </c>
      <c r="J1739" s="128">
        <f t="shared" si="449"/>
        <v>1181222.69</v>
      </c>
      <c r="K1739" s="128">
        <f t="shared" si="449"/>
        <v>1253033.548125</v>
      </c>
      <c r="L1739" s="128">
        <f t="shared" si="449"/>
        <v>1337896.4539337498</v>
      </c>
      <c r="M1739" s="128">
        <f t="shared" si="449"/>
        <v>0</v>
      </c>
      <c r="N1739" s="128">
        <f t="shared" si="449"/>
        <v>0</v>
      </c>
      <c r="O1739" s="128">
        <f t="shared" si="449"/>
        <v>1428575.1287913523</v>
      </c>
      <c r="P1739" s="123" t="str">
        <f t="shared" si="447"/>
        <v>999</v>
      </c>
    </row>
    <row r="1740" spans="1:16" x14ac:dyDescent="0.2">
      <c r="A1740" s="119"/>
      <c r="B1740" s="120"/>
      <c r="C1740" s="129"/>
      <c r="D1740" s="129"/>
      <c r="E1740" s="129"/>
      <c r="F1740" s="129"/>
      <c r="G1740" s="129"/>
      <c r="H1740" s="129"/>
      <c r="I1740" s="129">
        <f>mayors!J184</f>
        <v>0</v>
      </c>
      <c r="J1740" s="129"/>
      <c r="K1740" s="129"/>
      <c r="L1740" s="129"/>
      <c r="O1740" s="129"/>
      <c r="P1740" s="123" t="str">
        <f t="shared" si="447"/>
        <v/>
      </c>
    </row>
    <row r="1741" spans="1:16" s="114" customFormat="1" ht="15" x14ac:dyDescent="0.25">
      <c r="A1741" s="118"/>
      <c r="B1741" s="117" t="s">
        <v>774</v>
      </c>
      <c r="C1741" s="128"/>
      <c r="D1741" s="128"/>
      <c r="E1741" s="128"/>
      <c r="F1741" s="128"/>
      <c r="G1741" s="128"/>
      <c r="H1741" s="128"/>
      <c r="I1741" s="129">
        <f>mayors!J185</f>
        <v>0</v>
      </c>
      <c r="J1741" s="129"/>
      <c r="K1741" s="129"/>
      <c r="L1741" s="129"/>
      <c r="M1741" s="186"/>
      <c r="N1741" s="186"/>
      <c r="O1741" s="128"/>
      <c r="P1741" s="123" t="str">
        <f t="shared" si="447"/>
        <v/>
      </c>
    </row>
    <row r="1742" spans="1:16" s="114" customFormat="1" ht="15" x14ac:dyDescent="0.25">
      <c r="A1742" s="118"/>
      <c r="B1742" s="117" t="s">
        <v>96</v>
      </c>
      <c r="C1742" s="128"/>
      <c r="D1742" s="128"/>
      <c r="E1742" s="128"/>
      <c r="F1742" s="128"/>
      <c r="G1742" s="128"/>
      <c r="H1742" s="128"/>
      <c r="I1742" s="129">
        <f>mayors!J186</f>
        <v>0</v>
      </c>
      <c r="J1742" s="129"/>
      <c r="K1742" s="129"/>
      <c r="L1742" s="129"/>
      <c r="M1742" s="186"/>
      <c r="N1742" s="186"/>
      <c r="O1742" s="128"/>
      <c r="P1742" s="123" t="str">
        <f t="shared" si="447"/>
        <v/>
      </c>
    </row>
    <row r="1743" spans="1:16" s="114" customFormat="1" ht="15" x14ac:dyDescent="0.25">
      <c r="A1743" s="118"/>
      <c r="B1743" s="117" t="s">
        <v>97</v>
      </c>
      <c r="C1743" s="128"/>
      <c r="D1743" s="128"/>
      <c r="E1743" s="128"/>
      <c r="F1743" s="128"/>
      <c r="G1743" s="128"/>
      <c r="H1743" s="128"/>
      <c r="I1743" s="129">
        <f>mayors!J187</f>
        <v>0</v>
      </c>
      <c r="J1743" s="129"/>
      <c r="K1743" s="129"/>
      <c r="L1743" s="129"/>
      <c r="M1743" s="186"/>
      <c r="N1743" s="186"/>
      <c r="O1743" s="128"/>
      <c r="P1743" s="123" t="str">
        <f t="shared" si="447"/>
        <v/>
      </c>
    </row>
    <row r="1744" spans="1:16" s="114" customFormat="1" ht="15" x14ac:dyDescent="0.25">
      <c r="A1744" s="118"/>
      <c r="B1744" s="117" t="s">
        <v>148</v>
      </c>
      <c r="C1744" s="128"/>
      <c r="D1744" s="128"/>
      <c r="E1744" s="128"/>
      <c r="F1744" s="128"/>
      <c r="G1744" s="128"/>
      <c r="H1744" s="128"/>
      <c r="I1744" s="129">
        <f>mayors!J188</f>
        <v>0</v>
      </c>
      <c r="J1744" s="129"/>
      <c r="K1744" s="129"/>
      <c r="L1744" s="129"/>
      <c r="M1744" s="186"/>
      <c r="N1744" s="186"/>
      <c r="O1744" s="128"/>
      <c r="P1744" s="123" t="str">
        <f t="shared" si="447"/>
        <v/>
      </c>
    </row>
    <row r="1745" spans="1:16" s="114" customFormat="1" ht="15" x14ac:dyDescent="0.25">
      <c r="A1745" s="118"/>
      <c r="B1745" s="117"/>
      <c r="C1745" s="128"/>
      <c r="D1745" s="128"/>
      <c r="E1745" s="128"/>
      <c r="F1745" s="128"/>
      <c r="G1745" s="128"/>
      <c r="H1745" s="128"/>
      <c r="I1745" s="129">
        <f>mayors!J189</f>
        <v>0</v>
      </c>
      <c r="J1745" s="129"/>
      <c r="K1745" s="129"/>
      <c r="L1745" s="129"/>
      <c r="M1745" s="186"/>
      <c r="N1745" s="186"/>
      <c r="O1745" s="128"/>
      <c r="P1745" s="123" t="str">
        <f t="shared" si="447"/>
        <v/>
      </c>
    </row>
    <row r="1746" spans="1:16" s="114" customFormat="1" ht="15" x14ac:dyDescent="0.25">
      <c r="A1746" s="118"/>
      <c r="B1746" s="117" t="s">
        <v>149</v>
      </c>
      <c r="C1746" s="128"/>
      <c r="D1746" s="128"/>
      <c r="E1746" s="128"/>
      <c r="F1746" s="128"/>
      <c r="G1746" s="128"/>
      <c r="H1746" s="128"/>
      <c r="I1746" s="129">
        <f>mayors!J190</f>
        <v>0</v>
      </c>
      <c r="J1746" s="129"/>
      <c r="K1746" s="129"/>
      <c r="L1746" s="129"/>
      <c r="M1746" s="186"/>
      <c r="N1746" s="186"/>
      <c r="O1746" s="128"/>
      <c r="P1746" s="123" t="str">
        <f t="shared" si="447"/>
        <v/>
      </c>
    </row>
    <row r="1747" spans="1:16" x14ac:dyDescent="0.2">
      <c r="A1747" s="119"/>
      <c r="B1747" s="120"/>
      <c r="C1747" s="129"/>
      <c r="D1747" s="129"/>
      <c r="E1747" s="129"/>
      <c r="F1747" s="129"/>
      <c r="G1747" s="129"/>
      <c r="H1747" s="129"/>
      <c r="I1747" s="129">
        <f>mayors!J191</f>
        <v>0</v>
      </c>
      <c r="J1747" s="129"/>
      <c r="K1747" s="129"/>
      <c r="L1747" s="129"/>
      <c r="O1747" s="129"/>
      <c r="P1747" s="123" t="str">
        <f t="shared" si="447"/>
        <v/>
      </c>
    </row>
    <row r="1748" spans="1:16" x14ac:dyDescent="0.2">
      <c r="A1748" s="119" t="s">
        <v>775</v>
      </c>
      <c r="B1748" s="120" t="s">
        <v>164</v>
      </c>
      <c r="C1748" s="129">
        <v>0</v>
      </c>
      <c r="D1748" s="129">
        <v>1030.3</v>
      </c>
      <c r="E1748" s="129">
        <v>0</v>
      </c>
      <c r="F1748" s="129">
        <v>6181.8</v>
      </c>
      <c r="G1748" s="129">
        <v>-6181.8</v>
      </c>
      <c r="H1748" s="129">
        <v>0</v>
      </c>
      <c r="I1748" s="129">
        <f>mayors!J192</f>
        <v>15000</v>
      </c>
      <c r="J1748" s="129">
        <f>mayors!K192</f>
        <v>15000</v>
      </c>
      <c r="K1748" s="129">
        <f>mayors!L192</f>
        <v>15937.5</v>
      </c>
      <c r="L1748" s="129">
        <f>mayors!M192</f>
        <v>17053.125</v>
      </c>
      <c r="O1748" s="129">
        <f>mayors!N192</f>
        <v>18246.84375</v>
      </c>
      <c r="P1748" s="123" t="str">
        <f t="shared" si="447"/>
        <v>110</v>
      </c>
    </row>
    <row r="1749" spans="1:16" x14ac:dyDescent="0.2">
      <c r="A1749" s="119"/>
      <c r="B1749" s="120"/>
      <c r="C1749" s="129"/>
      <c r="D1749" s="129"/>
      <c r="E1749" s="129"/>
      <c r="F1749" s="129"/>
      <c r="G1749" s="129"/>
      <c r="H1749" s="129"/>
      <c r="I1749" s="129">
        <f>mayors!J193</f>
        <v>0</v>
      </c>
      <c r="J1749" s="129"/>
      <c r="K1749" s="129"/>
      <c r="L1749" s="129"/>
      <c r="O1749" s="129"/>
      <c r="P1749" s="123" t="str">
        <f t="shared" si="447"/>
        <v/>
      </c>
    </row>
    <row r="1750" spans="1:16" s="114" customFormat="1" ht="15" x14ac:dyDescent="0.25">
      <c r="A1750" s="118"/>
      <c r="B1750" s="117" t="s">
        <v>165</v>
      </c>
      <c r="C1750" s="128">
        <f>SUM(C1748:C1749)</f>
        <v>0</v>
      </c>
      <c r="D1750" s="128">
        <f t="shared" ref="D1750:O1750" si="450">SUM(D1748:D1749)</f>
        <v>1030.3</v>
      </c>
      <c r="E1750" s="128">
        <f t="shared" si="450"/>
        <v>0</v>
      </c>
      <c r="F1750" s="128">
        <f t="shared" si="450"/>
        <v>6181.8</v>
      </c>
      <c r="G1750" s="128">
        <f t="shared" si="450"/>
        <v>-6181.8</v>
      </c>
      <c r="H1750" s="128">
        <f t="shared" si="450"/>
        <v>0</v>
      </c>
      <c r="I1750" s="128">
        <f t="shared" si="450"/>
        <v>15000</v>
      </c>
      <c r="J1750" s="128">
        <f t="shared" si="450"/>
        <v>15000</v>
      </c>
      <c r="K1750" s="128">
        <f t="shared" si="450"/>
        <v>15937.5</v>
      </c>
      <c r="L1750" s="128">
        <f t="shared" si="450"/>
        <v>17053.125</v>
      </c>
      <c r="M1750" s="128">
        <f t="shared" si="450"/>
        <v>0</v>
      </c>
      <c r="N1750" s="128">
        <f t="shared" si="450"/>
        <v>0</v>
      </c>
      <c r="O1750" s="128">
        <f t="shared" si="450"/>
        <v>18246.84375</v>
      </c>
      <c r="P1750" s="123" t="str">
        <f t="shared" si="447"/>
        <v/>
      </c>
    </row>
    <row r="1751" spans="1:16" s="114" customFormat="1" ht="15" x14ac:dyDescent="0.25">
      <c r="A1751" s="118"/>
      <c r="B1751" s="117"/>
      <c r="C1751" s="128"/>
      <c r="D1751" s="128"/>
      <c r="E1751" s="128"/>
      <c r="F1751" s="128"/>
      <c r="G1751" s="128"/>
      <c r="H1751" s="128"/>
      <c r="I1751" s="129">
        <f>mayors!J195</f>
        <v>0</v>
      </c>
      <c r="J1751" s="129"/>
      <c r="K1751" s="129"/>
      <c r="L1751" s="129"/>
      <c r="M1751" s="186"/>
      <c r="N1751" s="186"/>
      <c r="O1751" s="128"/>
      <c r="P1751" s="123" t="str">
        <f t="shared" si="447"/>
        <v/>
      </c>
    </row>
    <row r="1752" spans="1:16" s="114" customFormat="1" ht="15" x14ac:dyDescent="0.25">
      <c r="A1752" s="118"/>
      <c r="B1752" s="117" t="s">
        <v>177</v>
      </c>
      <c r="C1752" s="128">
        <f>C1750</f>
        <v>0</v>
      </c>
      <c r="D1752" s="128">
        <f t="shared" ref="D1752:O1752" si="451">D1750</f>
        <v>1030.3</v>
      </c>
      <c r="E1752" s="128">
        <f t="shared" si="451"/>
        <v>0</v>
      </c>
      <c r="F1752" s="128">
        <f t="shared" si="451"/>
        <v>6181.8</v>
      </c>
      <c r="G1752" s="128">
        <f t="shared" si="451"/>
        <v>-6181.8</v>
      </c>
      <c r="H1752" s="128">
        <f t="shared" si="451"/>
        <v>0</v>
      </c>
      <c r="I1752" s="128">
        <f t="shared" si="451"/>
        <v>15000</v>
      </c>
      <c r="J1752" s="128">
        <f t="shared" si="451"/>
        <v>15000</v>
      </c>
      <c r="K1752" s="128">
        <f t="shared" si="451"/>
        <v>15937.5</v>
      </c>
      <c r="L1752" s="128">
        <f t="shared" si="451"/>
        <v>17053.125</v>
      </c>
      <c r="M1752" s="128">
        <f t="shared" si="451"/>
        <v>0</v>
      </c>
      <c r="N1752" s="128">
        <f t="shared" si="451"/>
        <v>0</v>
      </c>
      <c r="O1752" s="128">
        <f t="shared" si="451"/>
        <v>18246.84375</v>
      </c>
      <c r="P1752" s="123" t="str">
        <f t="shared" si="447"/>
        <v/>
      </c>
    </row>
    <row r="1753" spans="1:16" x14ac:dyDescent="0.2">
      <c r="A1753" s="119"/>
      <c r="B1753" s="120"/>
      <c r="C1753" s="129"/>
      <c r="D1753" s="129"/>
      <c r="E1753" s="129"/>
      <c r="F1753" s="129"/>
      <c r="G1753" s="129"/>
      <c r="H1753" s="129"/>
      <c r="I1753" s="129">
        <f>mayors!J197</f>
        <v>0</v>
      </c>
      <c r="J1753" s="129"/>
      <c r="K1753" s="129"/>
      <c r="L1753" s="129"/>
      <c r="O1753" s="129"/>
      <c r="P1753" s="123" t="str">
        <f t="shared" si="447"/>
        <v/>
      </c>
    </row>
    <row r="1754" spans="1:16" s="114" customFormat="1" ht="15" x14ac:dyDescent="0.25">
      <c r="A1754" s="118"/>
      <c r="B1754" s="117" t="s">
        <v>178</v>
      </c>
      <c r="C1754" s="128">
        <f>C1752</f>
        <v>0</v>
      </c>
      <c r="D1754" s="128">
        <f t="shared" ref="D1754:O1754" si="452">D1752</f>
        <v>1030.3</v>
      </c>
      <c r="E1754" s="128">
        <f t="shared" si="452"/>
        <v>0</v>
      </c>
      <c r="F1754" s="128">
        <f t="shared" si="452"/>
        <v>6181.8</v>
      </c>
      <c r="G1754" s="128">
        <f t="shared" si="452"/>
        <v>-6181.8</v>
      </c>
      <c r="H1754" s="128">
        <f t="shared" si="452"/>
        <v>0</v>
      </c>
      <c r="I1754" s="128">
        <f t="shared" si="452"/>
        <v>15000</v>
      </c>
      <c r="J1754" s="128">
        <f t="shared" si="452"/>
        <v>15000</v>
      </c>
      <c r="K1754" s="128">
        <f t="shared" si="452"/>
        <v>15937.5</v>
      </c>
      <c r="L1754" s="128">
        <f t="shared" si="452"/>
        <v>17053.125</v>
      </c>
      <c r="M1754" s="128">
        <f t="shared" si="452"/>
        <v>0</v>
      </c>
      <c r="N1754" s="128">
        <f t="shared" si="452"/>
        <v>0</v>
      </c>
      <c r="O1754" s="128">
        <f t="shared" si="452"/>
        <v>18246.84375</v>
      </c>
      <c r="P1754" s="123" t="str">
        <f t="shared" si="447"/>
        <v/>
      </c>
    </row>
    <row r="1755" spans="1:16" s="114" customFormat="1" ht="15" x14ac:dyDescent="0.25">
      <c r="A1755" s="118"/>
      <c r="B1755" s="117"/>
      <c r="C1755" s="128"/>
      <c r="D1755" s="128"/>
      <c r="E1755" s="128"/>
      <c r="F1755" s="128"/>
      <c r="G1755" s="128"/>
      <c r="H1755" s="128"/>
      <c r="I1755" s="129">
        <f>mayors!J199</f>
        <v>0</v>
      </c>
      <c r="J1755" s="129"/>
      <c r="K1755" s="129"/>
      <c r="L1755" s="129"/>
      <c r="M1755" s="186"/>
      <c r="N1755" s="186"/>
      <c r="O1755" s="128"/>
      <c r="P1755" s="123" t="str">
        <f t="shared" si="447"/>
        <v/>
      </c>
    </row>
    <row r="1756" spans="1:16" s="114" customFormat="1" ht="15" x14ac:dyDescent="0.25">
      <c r="A1756" s="118"/>
      <c r="B1756" s="117" t="s">
        <v>179</v>
      </c>
      <c r="C1756" s="128"/>
      <c r="D1756" s="128"/>
      <c r="E1756" s="128"/>
      <c r="F1756" s="128"/>
      <c r="G1756" s="128"/>
      <c r="H1756" s="128"/>
      <c r="I1756" s="129">
        <f>mayors!J200</f>
        <v>0</v>
      </c>
      <c r="J1756" s="129"/>
      <c r="K1756" s="129"/>
      <c r="L1756" s="129"/>
      <c r="M1756" s="186"/>
      <c r="N1756" s="186"/>
      <c r="O1756" s="128"/>
      <c r="P1756" s="123" t="str">
        <f t="shared" si="447"/>
        <v/>
      </c>
    </row>
    <row r="1757" spans="1:16" s="114" customFormat="1" ht="15" x14ac:dyDescent="0.25">
      <c r="A1757" s="118"/>
      <c r="B1757" s="117"/>
      <c r="C1757" s="128"/>
      <c r="D1757" s="128"/>
      <c r="E1757" s="128"/>
      <c r="F1757" s="128"/>
      <c r="G1757" s="128"/>
      <c r="H1757" s="128"/>
      <c r="I1757" s="129">
        <f>mayors!J201</f>
        <v>0</v>
      </c>
      <c r="J1757" s="129"/>
      <c r="K1757" s="129"/>
      <c r="L1757" s="129"/>
      <c r="M1757" s="186"/>
      <c r="N1757" s="186"/>
      <c r="O1757" s="128"/>
      <c r="P1757" s="123" t="str">
        <f t="shared" si="447"/>
        <v/>
      </c>
    </row>
    <row r="1758" spans="1:16" s="114" customFormat="1" ht="15" x14ac:dyDescent="0.25">
      <c r="A1758" s="118"/>
      <c r="B1758" s="117" t="s">
        <v>186</v>
      </c>
      <c r="C1758" s="128"/>
      <c r="D1758" s="128"/>
      <c r="E1758" s="128"/>
      <c r="F1758" s="128"/>
      <c r="G1758" s="128"/>
      <c r="H1758" s="128"/>
      <c r="I1758" s="129">
        <f>mayors!J202</f>
        <v>0</v>
      </c>
      <c r="J1758" s="129"/>
      <c r="K1758" s="129"/>
      <c r="L1758" s="129"/>
      <c r="M1758" s="186"/>
      <c r="N1758" s="186"/>
      <c r="O1758" s="128"/>
      <c r="P1758" s="123" t="str">
        <f t="shared" si="447"/>
        <v/>
      </c>
    </row>
    <row r="1759" spans="1:16" x14ac:dyDescent="0.2">
      <c r="A1759" s="119"/>
      <c r="B1759" s="120"/>
      <c r="C1759" s="129"/>
      <c r="D1759" s="129"/>
      <c r="E1759" s="129"/>
      <c r="F1759" s="129"/>
      <c r="G1759" s="129"/>
      <c r="H1759" s="129"/>
      <c r="I1759" s="129">
        <f>mayors!J203</f>
        <v>0</v>
      </c>
      <c r="J1759" s="129"/>
      <c r="K1759" s="129"/>
      <c r="L1759" s="129"/>
      <c r="O1759" s="129"/>
      <c r="P1759" s="123" t="str">
        <f t="shared" si="447"/>
        <v/>
      </c>
    </row>
    <row r="1760" spans="1:16" x14ac:dyDescent="0.2">
      <c r="A1760" s="119" t="s">
        <v>776</v>
      </c>
      <c r="B1760" s="120" t="s">
        <v>187</v>
      </c>
      <c r="C1760" s="129">
        <v>166067</v>
      </c>
      <c r="D1760" s="129">
        <v>0</v>
      </c>
      <c r="E1760" s="129">
        <v>0</v>
      </c>
      <c r="F1760" s="129">
        <v>0</v>
      </c>
      <c r="G1760" s="129">
        <v>166067</v>
      </c>
      <c r="H1760" s="129">
        <v>0</v>
      </c>
      <c r="I1760" s="129">
        <f>mayors!J204</f>
        <v>0</v>
      </c>
      <c r="J1760" s="129">
        <f>mayors!K204</f>
        <v>166067</v>
      </c>
      <c r="K1760" s="129">
        <f>mayors!L204</f>
        <v>176446.1875</v>
      </c>
      <c r="L1760" s="129">
        <f>mayors!M204</f>
        <v>188797.420625</v>
      </c>
      <c r="O1760" s="129">
        <f>mayors!N204</f>
        <v>202013.24006874999</v>
      </c>
      <c r="P1760" s="123" t="str">
        <f t="shared" si="447"/>
        <v>210</v>
      </c>
    </row>
    <row r="1761" spans="1:16" x14ac:dyDescent="0.2">
      <c r="A1761" s="119" t="s">
        <v>777</v>
      </c>
      <c r="B1761" s="120" t="s">
        <v>188</v>
      </c>
      <c r="C1761" s="129">
        <v>498202</v>
      </c>
      <c r="D1761" s="129">
        <v>0</v>
      </c>
      <c r="E1761" s="129">
        <v>0</v>
      </c>
      <c r="F1761" s="129">
        <v>0</v>
      </c>
      <c r="G1761" s="129">
        <v>498202</v>
      </c>
      <c r="H1761" s="129">
        <v>0</v>
      </c>
      <c r="I1761" s="129">
        <f>mayors!J205</f>
        <v>0</v>
      </c>
      <c r="J1761" s="129">
        <f>mayors!K205</f>
        <v>498202</v>
      </c>
      <c r="K1761" s="129">
        <f>mayors!L205</f>
        <v>529339.625</v>
      </c>
      <c r="L1761" s="129">
        <f>mayors!M205</f>
        <v>566393.39875000005</v>
      </c>
      <c r="O1761" s="129">
        <f>mayors!N205</f>
        <v>606040.93666250003</v>
      </c>
      <c r="P1761" s="123" t="str">
        <f t="shared" si="447"/>
        <v>210</v>
      </c>
    </row>
    <row r="1762" spans="1:16" x14ac:dyDescent="0.2">
      <c r="A1762" s="119" t="s">
        <v>778</v>
      </c>
      <c r="B1762" s="120" t="s">
        <v>189</v>
      </c>
      <c r="C1762" s="129">
        <v>47508</v>
      </c>
      <c r="D1762" s="129">
        <v>0</v>
      </c>
      <c r="E1762" s="129">
        <v>0</v>
      </c>
      <c r="F1762" s="129">
        <v>0</v>
      </c>
      <c r="G1762" s="129">
        <v>47508</v>
      </c>
      <c r="H1762" s="129">
        <v>0</v>
      </c>
      <c r="I1762" s="129">
        <f>mayors!J206</f>
        <v>0</v>
      </c>
      <c r="J1762" s="129">
        <f>mayors!K206</f>
        <v>47508</v>
      </c>
      <c r="K1762" s="129">
        <f>mayors!L206</f>
        <v>50477.25</v>
      </c>
      <c r="L1762" s="129">
        <f>mayors!M206</f>
        <v>54010.657500000001</v>
      </c>
      <c r="O1762" s="129">
        <f>mayors!N206</f>
        <v>57791.403525000002</v>
      </c>
      <c r="P1762" s="123" t="str">
        <f t="shared" si="447"/>
        <v>210</v>
      </c>
    </row>
    <row r="1763" spans="1:16" ht="15.75" customHeight="1" x14ac:dyDescent="0.2">
      <c r="A1763" s="119"/>
      <c r="B1763" s="120"/>
      <c r="C1763" s="129"/>
      <c r="D1763" s="129"/>
      <c r="E1763" s="129"/>
      <c r="F1763" s="129"/>
      <c r="G1763" s="129"/>
      <c r="H1763" s="129"/>
      <c r="I1763" s="129">
        <f>mayors!J207</f>
        <v>0</v>
      </c>
      <c r="J1763" s="129"/>
      <c r="K1763" s="129"/>
      <c r="L1763" s="129"/>
      <c r="O1763" s="129"/>
      <c r="P1763" s="123" t="str">
        <f t="shared" si="447"/>
        <v/>
      </c>
    </row>
    <row r="1764" spans="1:16" s="114" customFormat="1" ht="15" x14ac:dyDescent="0.25">
      <c r="A1764" s="118"/>
      <c r="B1764" s="117" t="s">
        <v>190</v>
      </c>
      <c r="C1764" s="128">
        <f>SUM(C1760:C1763)</f>
        <v>711777</v>
      </c>
      <c r="D1764" s="128">
        <f t="shared" ref="D1764:O1764" si="453">SUM(D1760:D1763)</f>
        <v>0</v>
      </c>
      <c r="E1764" s="128">
        <f t="shared" si="453"/>
        <v>0</v>
      </c>
      <c r="F1764" s="128">
        <f t="shared" si="453"/>
        <v>0</v>
      </c>
      <c r="G1764" s="128">
        <f t="shared" si="453"/>
        <v>711777</v>
      </c>
      <c r="H1764" s="128">
        <f t="shared" si="453"/>
        <v>0</v>
      </c>
      <c r="I1764" s="128">
        <f t="shared" si="453"/>
        <v>0</v>
      </c>
      <c r="J1764" s="128">
        <f t="shared" si="453"/>
        <v>711777</v>
      </c>
      <c r="K1764" s="128">
        <f t="shared" si="453"/>
        <v>756263.0625</v>
      </c>
      <c r="L1764" s="128">
        <f t="shared" si="453"/>
        <v>809201.47687500005</v>
      </c>
      <c r="M1764" s="128">
        <f t="shared" si="453"/>
        <v>0</v>
      </c>
      <c r="N1764" s="128">
        <f t="shared" si="453"/>
        <v>0</v>
      </c>
      <c r="O1764" s="128">
        <f t="shared" si="453"/>
        <v>865845.58025624999</v>
      </c>
      <c r="P1764" s="123" t="str">
        <f t="shared" si="447"/>
        <v/>
      </c>
    </row>
    <row r="1765" spans="1:16" s="114" customFormat="1" ht="15" x14ac:dyDescent="0.25">
      <c r="A1765" s="118"/>
      <c r="B1765" s="117"/>
      <c r="C1765" s="128"/>
      <c r="D1765" s="128"/>
      <c r="E1765" s="128"/>
      <c r="F1765" s="128"/>
      <c r="G1765" s="128"/>
      <c r="H1765" s="128"/>
      <c r="I1765" s="129">
        <f>mayors!J209</f>
        <v>0</v>
      </c>
      <c r="J1765" s="129"/>
      <c r="K1765" s="129"/>
      <c r="L1765" s="129"/>
      <c r="M1765" s="186"/>
      <c r="N1765" s="186"/>
      <c r="O1765" s="128"/>
      <c r="P1765" s="123" t="str">
        <f t="shared" si="447"/>
        <v/>
      </c>
    </row>
    <row r="1766" spans="1:16" s="114" customFormat="1" ht="15" x14ac:dyDescent="0.25">
      <c r="A1766" s="118"/>
      <c r="B1766" s="117" t="s">
        <v>201</v>
      </c>
      <c r="C1766" s="128"/>
      <c r="D1766" s="128"/>
      <c r="E1766" s="128"/>
      <c r="F1766" s="128"/>
      <c r="G1766" s="128"/>
      <c r="H1766" s="128"/>
      <c r="I1766" s="129">
        <f>mayors!J210</f>
        <v>0</v>
      </c>
      <c r="J1766" s="129"/>
      <c r="K1766" s="129"/>
      <c r="L1766" s="129"/>
      <c r="M1766" s="186"/>
      <c r="N1766" s="186"/>
      <c r="O1766" s="128"/>
      <c r="P1766" s="123" t="str">
        <f t="shared" si="447"/>
        <v/>
      </c>
    </row>
    <row r="1767" spans="1:16" x14ac:dyDescent="0.2">
      <c r="A1767" s="119"/>
      <c r="B1767" s="120"/>
      <c r="C1767" s="129"/>
      <c r="D1767" s="129"/>
      <c r="E1767" s="129"/>
      <c r="F1767" s="129"/>
      <c r="G1767" s="129"/>
      <c r="H1767" s="129"/>
      <c r="I1767" s="129">
        <f>mayors!J211</f>
        <v>0</v>
      </c>
      <c r="J1767" s="129"/>
      <c r="K1767" s="129"/>
      <c r="L1767" s="129"/>
      <c r="O1767" s="129"/>
      <c r="P1767" s="123" t="str">
        <f t="shared" si="447"/>
        <v/>
      </c>
    </row>
    <row r="1768" spans="1:16" x14ac:dyDescent="0.2">
      <c r="A1768" s="119" t="s">
        <v>779</v>
      </c>
      <c r="B1768" s="120" t="s">
        <v>202</v>
      </c>
      <c r="C1768" s="129">
        <v>0</v>
      </c>
      <c r="D1768" s="129">
        <v>12933.6</v>
      </c>
      <c r="E1768" s="129">
        <v>0</v>
      </c>
      <c r="F1768" s="129">
        <v>77601.600000000006</v>
      </c>
      <c r="G1768" s="129">
        <v>-77601.600000000006</v>
      </c>
      <c r="H1768" s="129">
        <v>0</v>
      </c>
      <c r="I1768" s="129">
        <f>mayors!J212</f>
        <v>0</v>
      </c>
      <c r="J1768" s="129">
        <f>mayors!K212</f>
        <v>0</v>
      </c>
      <c r="K1768" s="129">
        <f>mayors!L212</f>
        <v>0</v>
      </c>
      <c r="L1768" s="129">
        <f>mayors!M212</f>
        <v>0</v>
      </c>
      <c r="O1768" s="129"/>
      <c r="P1768" s="123" t="str">
        <f t="shared" si="447"/>
        <v>211</v>
      </c>
    </row>
    <row r="1769" spans="1:16" x14ac:dyDescent="0.2">
      <c r="A1769" s="119" t="s">
        <v>780</v>
      </c>
      <c r="B1769" s="120" t="s">
        <v>203</v>
      </c>
      <c r="C1769" s="129">
        <v>0</v>
      </c>
      <c r="D1769" s="129">
        <v>38800.81</v>
      </c>
      <c r="E1769" s="129">
        <v>0</v>
      </c>
      <c r="F1769" s="129">
        <v>232804.86</v>
      </c>
      <c r="G1769" s="129">
        <v>-232804.86</v>
      </c>
      <c r="H1769" s="129">
        <v>0</v>
      </c>
      <c r="I1769" s="129">
        <f>mayors!J213</f>
        <v>0</v>
      </c>
      <c r="J1769" s="129">
        <f>mayors!K213</f>
        <v>0</v>
      </c>
      <c r="K1769" s="129">
        <f>mayors!L213</f>
        <v>0</v>
      </c>
      <c r="L1769" s="129">
        <f>mayors!M213</f>
        <v>0</v>
      </c>
      <c r="O1769" s="129"/>
      <c r="P1769" s="123" t="str">
        <f t="shared" si="447"/>
        <v>211</v>
      </c>
    </row>
    <row r="1770" spans="1:16" x14ac:dyDescent="0.2">
      <c r="A1770" s="119" t="s">
        <v>781</v>
      </c>
      <c r="B1770" s="120" t="s">
        <v>204</v>
      </c>
      <c r="C1770" s="129">
        <v>0</v>
      </c>
      <c r="D1770" s="129">
        <v>3400</v>
      </c>
      <c r="E1770" s="129">
        <v>0</v>
      </c>
      <c r="F1770" s="129">
        <v>20400</v>
      </c>
      <c r="G1770" s="129">
        <v>-20400</v>
      </c>
      <c r="H1770" s="129">
        <v>0</v>
      </c>
      <c r="I1770" s="129">
        <f>mayors!J214</f>
        <v>0</v>
      </c>
      <c r="J1770" s="129">
        <f>mayors!K214</f>
        <v>0</v>
      </c>
      <c r="K1770" s="129">
        <f>mayors!L214</f>
        <v>0</v>
      </c>
      <c r="L1770" s="129">
        <f>mayors!M214</f>
        <v>0</v>
      </c>
      <c r="O1770" s="129"/>
      <c r="P1770" s="123" t="str">
        <f t="shared" si="447"/>
        <v>211</v>
      </c>
    </row>
    <row r="1771" spans="1:16" x14ac:dyDescent="0.2">
      <c r="A1771" s="119"/>
      <c r="B1771" s="120"/>
      <c r="C1771" s="129"/>
      <c r="D1771" s="129"/>
      <c r="E1771" s="129"/>
      <c r="F1771" s="129"/>
      <c r="G1771" s="129"/>
      <c r="H1771" s="129"/>
      <c r="I1771" s="129">
        <f>mayors!J215</f>
        <v>0</v>
      </c>
      <c r="J1771" s="129">
        <f>mayors!K215</f>
        <v>0</v>
      </c>
      <c r="K1771" s="129">
        <f>mayors!L215</f>
        <v>0</v>
      </c>
      <c r="L1771" s="129">
        <f>mayors!M215</f>
        <v>0</v>
      </c>
      <c r="O1771" s="129"/>
      <c r="P1771" s="123" t="str">
        <f t="shared" si="447"/>
        <v/>
      </c>
    </row>
    <row r="1772" spans="1:16" s="114" customFormat="1" ht="15" x14ac:dyDescent="0.25">
      <c r="A1772" s="118"/>
      <c r="B1772" s="117" t="s">
        <v>205</v>
      </c>
      <c r="C1772" s="128">
        <f>SUM(C1768:C1771)</f>
        <v>0</v>
      </c>
      <c r="D1772" s="128">
        <f t="shared" ref="D1772:O1772" si="454">SUM(D1768:D1771)</f>
        <v>55134.409999999996</v>
      </c>
      <c r="E1772" s="128">
        <f t="shared" si="454"/>
        <v>0</v>
      </c>
      <c r="F1772" s="128">
        <f t="shared" si="454"/>
        <v>330806.45999999996</v>
      </c>
      <c r="G1772" s="128">
        <f t="shared" si="454"/>
        <v>-330806.45999999996</v>
      </c>
      <c r="H1772" s="128">
        <f t="shared" si="454"/>
        <v>0</v>
      </c>
      <c r="I1772" s="128">
        <f t="shared" si="454"/>
        <v>0</v>
      </c>
      <c r="J1772" s="128">
        <f t="shared" si="454"/>
        <v>0</v>
      </c>
      <c r="K1772" s="128">
        <f t="shared" si="454"/>
        <v>0</v>
      </c>
      <c r="L1772" s="128">
        <f t="shared" si="454"/>
        <v>0</v>
      </c>
      <c r="M1772" s="128">
        <f t="shared" si="454"/>
        <v>0</v>
      </c>
      <c r="N1772" s="128">
        <f t="shared" si="454"/>
        <v>0</v>
      </c>
      <c r="O1772" s="128">
        <f t="shared" si="454"/>
        <v>0</v>
      </c>
      <c r="P1772" s="123" t="str">
        <f t="shared" si="447"/>
        <v/>
      </c>
    </row>
    <row r="1773" spans="1:16" s="114" customFormat="1" ht="15" x14ac:dyDescent="0.25">
      <c r="A1773" s="118"/>
      <c r="B1773" s="117"/>
      <c r="C1773" s="128"/>
      <c r="D1773" s="128"/>
      <c r="E1773" s="128"/>
      <c r="F1773" s="128"/>
      <c r="G1773" s="128"/>
      <c r="H1773" s="128"/>
      <c r="I1773" s="129">
        <f>mayors!J217</f>
        <v>0</v>
      </c>
      <c r="J1773" s="129"/>
      <c r="K1773" s="129"/>
      <c r="L1773" s="129"/>
      <c r="M1773" s="186"/>
      <c r="N1773" s="186"/>
      <c r="O1773" s="128"/>
      <c r="P1773" s="123" t="str">
        <f t="shared" si="447"/>
        <v/>
      </c>
    </row>
    <row r="1774" spans="1:16" s="114" customFormat="1" ht="15" x14ac:dyDescent="0.25">
      <c r="A1774" s="118"/>
      <c r="B1774" s="117" t="s">
        <v>206</v>
      </c>
      <c r="C1774" s="128">
        <f>C1764+C1772</f>
        <v>711777</v>
      </c>
      <c r="D1774" s="128">
        <f t="shared" ref="D1774:O1774" si="455">D1764+D1772</f>
        <v>55134.409999999996</v>
      </c>
      <c r="E1774" s="128">
        <f t="shared" si="455"/>
        <v>0</v>
      </c>
      <c r="F1774" s="128">
        <f t="shared" si="455"/>
        <v>330806.45999999996</v>
      </c>
      <c r="G1774" s="128">
        <f t="shared" si="455"/>
        <v>380970.54000000004</v>
      </c>
      <c r="H1774" s="128">
        <f t="shared" si="455"/>
        <v>0</v>
      </c>
      <c r="I1774" s="128">
        <f t="shared" si="455"/>
        <v>0</v>
      </c>
      <c r="J1774" s="128">
        <f t="shared" si="455"/>
        <v>711777</v>
      </c>
      <c r="K1774" s="128">
        <f t="shared" si="455"/>
        <v>756263.0625</v>
      </c>
      <c r="L1774" s="128">
        <f t="shared" si="455"/>
        <v>809201.47687500005</v>
      </c>
      <c r="M1774" s="128">
        <f t="shared" si="455"/>
        <v>0</v>
      </c>
      <c r="N1774" s="128">
        <f t="shared" si="455"/>
        <v>0</v>
      </c>
      <c r="O1774" s="128">
        <f t="shared" si="455"/>
        <v>865845.58025624999</v>
      </c>
      <c r="P1774" s="123" t="str">
        <f t="shared" si="447"/>
        <v/>
      </c>
    </row>
    <row r="1775" spans="1:16" s="114" customFormat="1" ht="15" x14ac:dyDescent="0.25">
      <c r="A1775" s="118"/>
      <c r="B1775" s="117"/>
      <c r="C1775" s="128"/>
      <c r="D1775" s="128"/>
      <c r="E1775" s="128"/>
      <c r="F1775" s="128"/>
      <c r="G1775" s="128"/>
      <c r="H1775" s="128"/>
      <c r="I1775" s="129">
        <f>mayors!J219</f>
        <v>0</v>
      </c>
      <c r="J1775" s="129"/>
      <c r="K1775" s="129"/>
      <c r="L1775" s="129"/>
      <c r="M1775" s="186"/>
      <c r="N1775" s="186"/>
      <c r="O1775" s="128"/>
      <c r="P1775" s="123" t="str">
        <f t="shared" si="447"/>
        <v/>
      </c>
    </row>
    <row r="1776" spans="1:16" s="114" customFormat="1" ht="15" x14ac:dyDescent="0.25">
      <c r="A1776" s="118"/>
      <c r="B1776" s="117" t="s">
        <v>207</v>
      </c>
      <c r="C1776" s="128">
        <f>C1774</f>
        <v>711777</v>
      </c>
      <c r="D1776" s="128">
        <f t="shared" ref="D1776:O1776" si="456">D1774</f>
        <v>55134.409999999996</v>
      </c>
      <c r="E1776" s="128">
        <f t="shared" si="456"/>
        <v>0</v>
      </c>
      <c r="F1776" s="128">
        <f t="shared" si="456"/>
        <v>330806.45999999996</v>
      </c>
      <c r="G1776" s="128">
        <f t="shared" si="456"/>
        <v>380970.54000000004</v>
      </c>
      <c r="H1776" s="128">
        <f t="shared" si="456"/>
        <v>0</v>
      </c>
      <c r="I1776" s="128">
        <f t="shared" si="456"/>
        <v>0</v>
      </c>
      <c r="J1776" s="128">
        <f t="shared" si="456"/>
        <v>711777</v>
      </c>
      <c r="K1776" s="128">
        <f t="shared" si="456"/>
        <v>756263.0625</v>
      </c>
      <c r="L1776" s="128">
        <f t="shared" si="456"/>
        <v>809201.47687500005</v>
      </c>
      <c r="M1776" s="128">
        <f t="shared" si="456"/>
        <v>0</v>
      </c>
      <c r="N1776" s="128">
        <f t="shared" si="456"/>
        <v>0</v>
      </c>
      <c r="O1776" s="128">
        <f t="shared" si="456"/>
        <v>865845.58025624999</v>
      </c>
      <c r="P1776" s="123" t="str">
        <f t="shared" si="447"/>
        <v/>
      </c>
    </row>
    <row r="1777" spans="1:16" s="114" customFormat="1" ht="15" x14ac:dyDescent="0.25">
      <c r="A1777" s="118"/>
      <c r="B1777" s="117"/>
      <c r="C1777" s="128"/>
      <c r="D1777" s="128"/>
      <c r="E1777" s="128"/>
      <c r="F1777" s="128"/>
      <c r="G1777" s="128"/>
      <c r="H1777" s="128"/>
      <c r="I1777" s="129">
        <f>mayors!J221</f>
        <v>0</v>
      </c>
      <c r="J1777" s="129"/>
      <c r="K1777" s="129"/>
      <c r="L1777" s="129"/>
      <c r="M1777" s="186"/>
      <c r="N1777" s="186"/>
      <c r="O1777" s="128"/>
      <c r="P1777" s="123" t="str">
        <f t="shared" si="447"/>
        <v/>
      </c>
    </row>
    <row r="1778" spans="1:16" s="114" customFormat="1" ht="15" x14ac:dyDescent="0.25">
      <c r="A1778" s="118"/>
      <c r="B1778" s="117" t="s">
        <v>241</v>
      </c>
      <c r="C1778" s="128"/>
      <c r="D1778" s="128"/>
      <c r="E1778" s="128"/>
      <c r="F1778" s="128"/>
      <c r="G1778" s="128"/>
      <c r="H1778" s="128"/>
      <c r="I1778" s="129">
        <f>mayors!J222</f>
        <v>0</v>
      </c>
      <c r="J1778" s="129"/>
      <c r="K1778" s="129"/>
      <c r="L1778" s="129"/>
      <c r="M1778" s="186"/>
      <c r="N1778" s="186"/>
      <c r="O1778" s="128"/>
      <c r="P1778" s="123" t="str">
        <f t="shared" si="447"/>
        <v/>
      </c>
    </row>
    <row r="1779" spans="1:16" x14ac:dyDescent="0.2">
      <c r="A1779" s="119"/>
      <c r="B1779" s="120"/>
      <c r="C1779" s="129"/>
      <c r="D1779" s="129"/>
      <c r="E1779" s="129"/>
      <c r="F1779" s="129"/>
      <c r="G1779" s="129"/>
      <c r="H1779" s="129"/>
      <c r="I1779" s="129">
        <f>mayors!J223</f>
        <v>0</v>
      </c>
      <c r="J1779" s="129"/>
      <c r="K1779" s="129"/>
      <c r="L1779" s="129"/>
      <c r="O1779" s="129"/>
      <c r="P1779" s="123" t="str">
        <f t="shared" si="447"/>
        <v/>
      </c>
    </row>
    <row r="1780" spans="1:16" x14ac:dyDescent="0.2">
      <c r="A1780" s="119" t="s">
        <v>782</v>
      </c>
      <c r="B1780" s="120" t="s">
        <v>253</v>
      </c>
      <c r="C1780" s="129">
        <v>2000</v>
      </c>
      <c r="D1780" s="129">
        <v>0</v>
      </c>
      <c r="E1780" s="129">
        <v>0</v>
      </c>
      <c r="F1780" s="129">
        <v>0</v>
      </c>
      <c r="G1780" s="129">
        <v>2000</v>
      </c>
      <c r="H1780" s="129">
        <v>0</v>
      </c>
      <c r="I1780" s="129">
        <f>mayors!J224</f>
        <v>0</v>
      </c>
      <c r="J1780" s="129">
        <f>mayors!K224</f>
        <v>2000</v>
      </c>
      <c r="K1780" s="129">
        <f>mayors!L224</f>
        <v>2000</v>
      </c>
      <c r="L1780" s="129">
        <f>mayors!M224</f>
        <v>2000</v>
      </c>
      <c r="O1780" s="129">
        <f>mayors!N224</f>
        <v>2000</v>
      </c>
      <c r="P1780" s="123" t="str">
        <f t="shared" si="447"/>
        <v>301</v>
      </c>
    </row>
    <row r="1781" spans="1:16" x14ac:dyDescent="0.2">
      <c r="A1781" s="119" t="s">
        <v>783</v>
      </c>
      <c r="B1781" s="120" t="s">
        <v>265</v>
      </c>
      <c r="C1781" s="129">
        <v>0</v>
      </c>
      <c r="D1781" s="129">
        <v>373</v>
      </c>
      <c r="E1781" s="129">
        <v>0</v>
      </c>
      <c r="F1781" s="129">
        <v>2221.09</v>
      </c>
      <c r="G1781" s="129">
        <v>-2221.09</v>
      </c>
      <c r="H1781" s="129">
        <v>0</v>
      </c>
      <c r="I1781" s="129">
        <f>mayors!J225</f>
        <v>0</v>
      </c>
      <c r="J1781" s="129">
        <f>mayors!K225</f>
        <v>0</v>
      </c>
      <c r="K1781" s="129">
        <f>mayors!L225</f>
        <v>0</v>
      </c>
      <c r="L1781" s="129">
        <f>mayors!M225</f>
        <v>0</v>
      </c>
      <c r="O1781" s="129">
        <f>mayors!N225</f>
        <v>0</v>
      </c>
      <c r="P1781" s="123" t="str">
        <f t="shared" si="447"/>
        <v>305</v>
      </c>
    </row>
    <row r="1782" spans="1:16" x14ac:dyDescent="0.2">
      <c r="A1782" s="119" t="s">
        <v>784</v>
      </c>
      <c r="B1782" s="120" t="s">
        <v>268</v>
      </c>
      <c r="C1782" s="129">
        <v>85032</v>
      </c>
      <c r="D1782" s="129">
        <v>5958.33</v>
      </c>
      <c r="E1782" s="129">
        <v>0</v>
      </c>
      <c r="F1782" s="129">
        <v>24071.06</v>
      </c>
      <c r="G1782" s="129">
        <v>60960.94</v>
      </c>
      <c r="H1782" s="129">
        <v>28.3</v>
      </c>
      <c r="I1782" s="129">
        <f>mayors!J226</f>
        <v>-10000</v>
      </c>
      <c r="J1782" s="129">
        <f>mayors!K226</f>
        <v>75032</v>
      </c>
      <c r="K1782" s="129">
        <f>mayors!L226</f>
        <v>78408.44</v>
      </c>
      <c r="L1782" s="129">
        <f>mayors!M226</f>
        <v>82015.228239999997</v>
      </c>
      <c r="O1782" s="129">
        <f>mayors!N226</f>
        <v>85787.928739039999</v>
      </c>
      <c r="P1782" s="123" t="str">
        <f t="shared" si="447"/>
        <v>305</v>
      </c>
    </row>
    <row r="1783" spans="1:16" x14ac:dyDescent="0.2">
      <c r="A1783" s="119" t="s">
        <v>785</v>
      </c>
      <c r="B1783" s="120" t="s">
        <v>269</v>
      </c>
      <c r="C1783" s="129">
        <v>30000</v>
      </c>
      <c r="D1783" s="129">
        <v>11894.4</v>
      </c>
      <c r="E1783" s="129">
        <v>0</v>
      </c>
      <c r="F1783" s="129">
        <v>27144</v>
      </c>
      <c r="G1783" s="129">
        <v>2856</v>
      </c>
      <c r="H1783" s="129">
        <v>90.48</v>
      </c>
      <c r="I1783" s="129">
        <f>mayors!J227</f>
        <v>0</v>
      </c>
      <c r="J1783" s="129">
        <f>mayors!K227</f>
        <v>30000</v>
      </c>
      <c r="K1783" s="129">
        <f>mayors!L227</f>
        <v>31350</v>
      </c>
      <c r="L1783" s="129">
        <f>mayors!M227</f>
        <v>32792.1</v>
      </c>
      <c r="O1783" s="129">
        <f>mayors!N227</f>
        <v>34300.536599999999</v>
      </c>
      <c r="P1783" s="123" t="str">
        <f t="shared" si="447"/>
        <v>305</v>
      </c>
    </row>
    <row r="1784" spans="1:16" x14ac:dyDescent="0.2">
      <c r="A1784" s="119"/>
      <c r="B1784" s="120"/>
      <c r="C1784" s="129"/>
      <c r="D1784" s="129"/>
      <c r="E1784" s="129"/>
      <c r="F1784" s="129"/>
      <c r="G1784" s="129"/>
      <c r="H1784" s="129"/>
      <c r="I1784" s="129">
        <f>mayors!J228</f>
        <v>0</v>
      </c>
      <c r="J1784" s="129"/>
      <c r="K1784" s="129"/>
      <c r="L1784" s="129"/>
      <c r="O1784" s="129"/>
      <c r="P1784" s="123" t="str">
        <f t="shared" si="447"/>
        <v/>
      </c>
    </row>
    <row r="1785" spans="1:16" s="114" customFormat="1" ht="15" x14ac:dyDescent="0.25">
      <c r="A1785" s="118"/>
      <c r="B1785" s="117" t="s">
        <v>274</v>
      </c>
      <c r="C1785" s="128">
        <f>SUM(C1780:C1784)</f>
        <v>117032</v>
      </c>
      <c r="D1785" s="128">
        <f t="shared" ref="D1785:O1785" si="457">SUM(D1780:D1784)</f>
        <v>18225.73</v>
      </c>
      <c r="E1785" s="128">
        <f t="shared" si="457"/>
        <v>0</v>
      </c>
      <c r="F1785" s="128">
        <f t="shared" si="457"/>
        <v>53436.15</v>
      </c>
      <c r="G1785" s="128">
        <f t="shared" si="457"/>
        <v>63595.850000000006</v>
      </c>
      <c r="H1785" s="128">
        <f t="shared" si="457"/>
        <v>118.78</v>
      </c>
      <c r="I1785" s="128">
        <f t="shared" si="457"/>
        <v>-10000</v>
      </c>
      <c r="J1785" s="128">
        <f t="shared" si="457"/>
        <v>107032</v>
      </c>
      <c r="K1785" s="128">
        <f t="shared" si="457"/>
        <v>111758.44</v>
      </c>
      <c r="L1785" s="128">
        <f t="shared" si="457"/>
        <v>116807.32824</v>
      </c>
      <c r="M1785" s="128">
        <f t="shared" si="457"/>
        <v>0</v>
      </c>
      <c r="N1785" s="128">
        <f t="shared" si="457"/>
        <v>0</v>
      </c>
      <c r="O1785" s="128">
        <f t="shared" si="457"/>
        <v>122088.46533904001</v>
      </c>
      <c r="P1785" s="123" t="str">
        <f t="shared" si="447"/>
        <v/>
      </c>
    </row>
    <row r="1786" spans="1:16" s="114" customFormat="1" ht="15" x14ac:dyDescent="0.25">
      <c r="A1786" s="118"/>
      <c r="B1786" s="117"/>
      <c r="C1786" s="128"/>
      <c r="D1786" s="128"/>
      <c r="E1786" s="128"/>
      <c r="F1786" s="128"/>
      <c r="G1786" s="128"/>
      <c r="H1786" s="128"/>
      <c r="I1786" s="129">
        <f>mayors!J230</f>
        <v>0</v>
      </c>
      <c r="J1786" s="129"/>
      <c r="K1786" s="129"/>
      <c r="L1786" s="129"/>
      <c r="M1786" s="186"/>
      <c r="N1786" s="186"/>
      <c r="O1786" s="128"/>
      <c r="P1786" s="123" t="str">
        <f t="shared" si="447"/>
        <v/>
      </c>
    </row>
    <row r="1787" spans="1:16" s="114" customFormat="1" ht="15" x14ac:dyDescent="0.25">
      <c r="A1787" s="118"/>
      <c r="B1787" s="117" t="s">
        <v>305</v>
      </c>
      <c r="C1787" s="128">
        <f>C1754+C1776+C1785</f>
        <v>828809</v>
      </c>
      <c r="D1787" s="128">
        <f t="shared" ref="D1787:O1787" si="458">D1754+D1776+D1785</f>
        <v>74390.44</v>
      </c>
      <c r="E1787" s="128">
        <f t="shared" si="458"/>
        <v>0</v>
      </c>
      <c r="F1787" s="128">
        <f t="shared" si="458"/>
        <v>390424.41</v>
      </c>
      <c r="G1787" s="128">
        <f t="shared" si="458"/>
        <v>438384.59000000008</v>
      </c>
      <c r="H1787" s="128">
        <f t="shared" si="458"/>
        <v>118.78</v>
      </c>
      <c r="I1787" s="128">
        <f t="shared" si="458"/>
        <v>5000</v>
      </c>
      <c r="J1787" s="128">
        <f t="shared" si="458"/>
        <v>833809</v>
      </c>
      <c r="K1787" s="128">
        <f t="shared" si="458"/>
        <v>883959.00249999994</v>
      </c>
      <c r="L1787" s="128">
        <f t="shared" si="458"/>
        <v>943061.93011500011</v>
      </c>
      <c r="M1787" s="128">
        <f t="shared" si="458"/>
        <v>0</v>
      </c>
      <c r="N1787" s="128">
        <f t="shared" si="458"/>
        <v>0</v>
      </c>
      <c r="O1787" s="128">
        <f t="shared" si="458"/>
        <v>1006180.88934529</v>
      </c>
      <c r="P1787" s="123" t="str">
        <f t="shared" si="447"/>
        <v/>
      </c>
    </row>
    <row r="1788" spans="1:16" s="114" customFormat="1" ht="15" x14ac:dyDescent="0.25">
      <c r="A1788" s="118"/>
      <c r="B1788" s="117"/>
      <c r="C1788" s="128"/>
      <c r="D1788" s="128"/>
      <c r="E1788" s="128"/>
      <c r="F1788" s="128"/>
      <c r="G1788" s="128"/>
      <c r="H1788" s="128"/>
      <c r="I1788" s="129">
        <f>mayors!J232</f>
        <v>0</v>
      </c>
      <c r="J1788" s="129"/>
      <c r="K1788" s="129"/>
      <c r="L1788" s="129"/>
      <c r="M1788" s="186"/>
      <c r="N1788" s="186"/>
      <c r="O1788" s="128"/>
      <c r="P1788" s="123" t="str">
        <f t="shared" si="447"/>
        <v/>
      </c>
    </row>
    <row r="1789" spans="1:16" s="114" customFormat="1" ht="15" x14ac:dyDescent="0.25">
      <c r="A1789" s="118"/>
      <c r="B1789" s="117" t="s">
        <v>306</v>
      </c>
      <c r="C1789" s="128">
        <f>C1787</f>
        <v>828809</v>
      </c>
      <c r="D1789" s="128">
        <f t="shared" ref="D1789:O1789" si="459">D1787</f>
        <v>74390.44</v>
      </c>
      <c r="E1789" s="128">
        <f t="shared" si="459"/>
        <v>0</v>
      </c>
      <c r="F1789" s="128">
        <f t="shared" si="459"/>
        <v>390424.41</v>
      </c>
      <c r="G1789" s="128">
        <f t="shared" si="459"/>
        <v>438384.59000000008</v>
      </c>
      <c r="H1789" s="128">
        <f t="shared" si="459"/>
        <v>118.78</v>
      </c>
      <c r="I1789" s="128">
        <f t="shared" si="459"/>
        <v>5000</v>
      </c>
      <c r="J1789" s="128">
        <f t="shared" si="459"/>
        <v>833809</v>
      </c>
      <c r="K1789" s="128">
        <f t="shared" si="459"/>
        <v>883959.00249999994</v>
      </c>
      <c r="L1789" s="128">
        <f t="shared" si="459"/>
        <v>943061.93011500011</v>
      </c>
      <c r="M1789" s="128">
        <f t="shared" si="459"/>
        <v>0</v>
      </c>
      <c r="N1789" s="128">
        <f t="shared" si="459"/>
        <v>0</v>
      </c>
      <c r="O1789" s="128">
        <f t="shared" si="459"/>
        <v>1006180.88934529</v>
      </c>
      <c r="P1789" s="123" t="str">
        <f t="shared" si="447"/>
        <v/>
      </c>
    </row>
    <row r="1790" spans="1:16" x14ac:dyDescent="0.2">
      <c r="A1790" s="119"/>
      <c r="B1790" s="120"/>
      <c r="C1790" s="129"/>
      <c r="D1790" s="129"/>
      <c r="E1790" s="129"/>
      <c r="F1790" s="129"/>
      <c r="G1790" s="129"/>
      <c r="H1790" s="129"/>
      <c r="I1790" s="129">
        <f>mayors!J234</f>
        <v>0</v>
      </c>
      <c r="J1790" s="129"/>
      <c r="K1790" s="129"/>
      <c r="L1790" s="129"/>
      <c r="O1790" s="129"/>
      <c r="P1790" s="123" t="str">
        <f t="shared" si="447"/>
        <v/>
      </c>
    </row>
    <row r="1791" spans="1:16" s="114" customFormat="1" ht="15" x14ac:dyDescent="0.25">
      <c r="A1791" s="118"/>
      <c r="B1791" s="117" t="s">
        <v>786</v>
      </c>
      <c r="C1791" s="128"/>
      <c r="D1791" s="128"/>
      <c r="E1791" s="128"/>
      <c r="F1791" s="128"/>
      <c r="G1791" s="128"/>
      <c r="H1791" s="128"/>
      <c r="I1791" s="129">
        <f>mayors!J235</f>
        <v>0</v>
      </c>
      <c r="J1791" s="129"/>
      <c r="K1791" s="129"/>
      <c r="L1791" s="129"/>
      <c r="M1791" s="186"/>
      <c r="N1791" s="186"/>
      <c r="O1791" s="128"/>
      <c r="P1791" s="123" t="str">
        <f t="shared" si="447"/>
        <v/>
      </c>
    </row>
    <row r="1792" spans="1:16" s="114" customFormat="1" ht="15" x14ac:dyDescent="0.25">
      <c r="A1792" s="118"/>
      <c r="B1792" s="117" t="s">
        <v>96</v>
      </c>
      <c r="C1792" s="128"/>
      <c r="D1792" s="128"/>
      <c r="E1792" s="128"/>
      <c r="F1792" s="128"/>
      <c r="G1792" s="128"/>
      <c r="H1792" s="128"/>
      <c r="I1792" s="129">
        <f>mayors!J236</f>
        <v>0</v>
      </c>
      <c r="J1792" s="129"/>
      <c r="K1792" s="129"/>
      <c r="L1792" s="129"/>
      <c r="M1792" s="186"/>
      <c r="N1792" s="186"/>
      <c r="O1792" s="128"/>
      <c r="P1792" s="123" t="str">
        <f t="shared" si="447"/>
        <v/>
      </c>
    </row>
    <row r="1793" spans="1:16" s="114" customFormat="1" ht="15" x14ac:dyDescent="0.25">
      <c r="A1793" s="118"/>
      <c r="B1793" s="117" t="s">
        <v>97</v>
      </c>
      <c r="C1793" s="128"/>
      <c r="D1793" s="128"/>
      <c r="E1793" s="128"/>
      <c r="F1793" s="128"/>
      <c r="G1793" s="128"/>
      <c r="H1793" s="128"/>
      <c r="I1793" s="129">
        <f>mayors!J237</f>
        <v>0</v>
      </c>
      <c r="J1793" s="129"/>
      <c r="K1793" s="129"/>
      <c r="L1793" s="129"/>
      <c r="M1793" s="186"/>
      <c r="N1793" s="186"/>
      <c r="O1793" s="128"/>
      <c r="P1793" s="123" t="str">
        <f t="shared" si="447"/>
        <v/>
      </c>
    </row>
    <row r="1794" spans="1:16" s="114" customFormat="1" ht="15" x14ac:dyDescent="0.25">
      <c r="A1794" s="118"/>
      <c r="B1794" s="117" t="s">
        <v>148</v>
      </c>
      <c r="C1794" s="128"/>
      <c r="D1794" s="128"/>
      <c r="E1794" s="128"/>
      <c r="F1794" s="128"/>
      <c r="G1794" s="128"/>
      <c r="H1794" s="128"/>
      <c r="I1794" s="129">
        <f>mayors!J238</f>
        <v>0</v>
      </c>
      <c r="J1794" s="129"/>
      <c r="K1794" s="129"/>
      <c r="L1794" s="129"/>
      <c r="M1794" s="186"/>
      <c r="N1794" s="186"/>
      <c r="O1794" s="128"/>
      <c r="P1794" s="123" t="str">
        <f t="shared" si="447"/>
        <v/>
      </c>
    </row>
    <row r="1795" spans="1:16" s="114" customFormat="1" ht="15" x14ac:dyDescent="0.25">
      <c r="A1795" s="118"/>
      <c r="B1795" s="117" t="s">
        <v>149</v>
      </c>
      <c r="C1795" s="128"/>
      <c r="D1795" s="128"/>
      <c r="E1795" s="128"/>
      <c r="F1795" s="128"/>
      <c r="G1795" s="128"/>
      <c r="H1795" s="128"/>
      <c r="I1795" s="129">
        <f>mayors!J239</f>
        <v>0</v>
      </c>
      <c r="J1795" s="129"/>
      <c r="K1795" s="129"/>
      <c r="L1795" s="129"/>
      <c r="M1795" s="186"/>
      <c r="N1795" s="186"/>
      <c r="O1795" s="128"/>
      <c r="P1795" s="123" t="str">
        <f t="shared" si="447"/>
        <v/>
      </c>
    </row>
    <row r="1796" spans="1:16" s="114" customFormat="1" ht="15" x14ac:dyDescent="0.25">
      <c r="A1796" s="118"/>
      <c r="B1796" s="117"/>
      <c r="C1796" s="128"/>
      <c r="D1796" s="128"/>
      <c r="E1796" s="128"/>
      <c r="F1796" s="128"/>
      <c r="G1796" s="128"/>
      <c r="H1796" s="128"/>
      <c r="I1796" s="129">
        <f>mayors!J240</f>
        <v>0</v>
      </c>
      <c r="J1796" s="129"/>
      <c r="K1796" s="129"/>
      <c r="L1796" s="129"/>
      <c r="M1796" s="186"/>
      <c r="N1796" s="186"/>
      <c r="O1796" s="128"/>
      <c r="P1796" s="123" t="str">
        <f t="shared" si="447"/>
        <v/>
      </c>
    </row>
    <row r="1797" spans="1:16" s="114" customFormat="1" ht="15" x14ac:dyDescent="0.25">
      <c r="A1797" s="118"/>
      <c r="B1797" s="117" t="s">
        <v>166</v>
      </c>
      <c r="C1797" s="128"/>
      <c r="D1797" s="128"/>
      <c r="E1797" s="128"/>
      <c r="F1797" s="128"/>
      <c r="G1797" s="128"/>
      <c r="H1797" s="128"/>
      <c r="I1797" s="129">
        <f>mayors!J241</f>
        <v>0</v>
      </c>
      <c r="J1797" s="129"/>
      <c r="K1797" s="129"/>
      <c r="L1797" s="129"/>
      <c r="M1797" s="186"/>
      <c r="N1797" s="186"/>
      <c r="O1797" s="128"/>
      <c r="P1797" s="123" t="str">
        <f t="shared" si="447"/>
        <v/>
      </c>
    </row>
    <row r="1798" spans="1:16" x14ac:dyDescent="0.2">
      <c r="A1798" s="119"/>
      <c r="B1798" s="120"/>
      <c r="C1798" s="129"/>
      <c r="D1798" s="129"/>
      <c r="E1798" s="129"/>
      <c r="F1798" s="129"/>
      <c r="G1798" s="129"/>
      <c r="H1798" s="129"/>
      <c r="I1798" s="129">
        <f>mayors!J242</f>
        <v>0</v>
      </c>
      <c r="J1798" s="129"/>
      <c r="K1798" s="129"/>
      <c r="L1798" s="129"/>
      <c r="O1798" s="129"/>
      <c r="P1798" s="123" t="str">
        <f t="shared" si="447"/>
        <v/>
      </c>
    </row>
    <row r="1799" spans="1:16" x14ac:dyDescent="0.2">
      <c r="A1799" s="119" t="s">
        <v>787</v>
      </c>
      <c r="B1799" s="120" t="s">
        <v>168</v>
      </c>
      <c r="C1799" s="129">
        <v>0</v>
      </c>
      <c r="D1799" s="129">
        <v>4995.6000000000004</v>
      </c>
      <c r="E1799" s="129">
        <v>0</v>
      </c>
      <c r="F1799" s="129">
        <v>29973.599999999999</v>
      </c>
      <c r="G1799" s="129">
        <v>-29973.599999999999</v>
      </c>
      <c r="H1799" s="129">
        <v>0</v>
      </c>
      <c r="I1799" s="129">
        <f>mayors!J243</f>
        <v>70000</v>
      </c>
      <c r="J1799" s="129">
        <f>mayors!K243</f>
        <v>70000</v>
      </c>
      <c r="K1799" s="129">
        <f>mayors!L243</f>
        <v>74375</v>
      </c>
      <c r="L1799" s="129">
        <f>mayors!M243</f>
        <v>79581.25</v>
      </c>
      <c r="O1799" s="129">
        <f>mayors!N243</f>
        <v>85151.9375</v>
      </c>
      <c r="P1799" s="123" t="str">
        <f t="shared" ref="P1799:P1862" si="460">MID(A1799,6,3)</f>
        <v>130</v>
      </c>
    </row>
    <row r="1800" spans="1:16" x14ac:dyDescent="0.2">
      <c r="A1800" s="119"/>
      <c r="B1800" s="120"/>
      <c r="C1800" s="129"/>
      <c r="D1800" s="129"/>
      <c r="E1800" s="129"/>
      <c r="F1800" s="129"/>
      <c r="G1800" s="129"/>
      <c r="H1800" s="129"/>
      <c r="I1800" s="129">
        <f>mayors!J244</f>
        <v>0</v>
      </c>
      <c r="J1800" s="129"/>
      <c r="K1800" s="129"/>
      <c r="L1800" s="129"/>
      <c r="O1800" s="129"/>
      <c r="P1800" s="123" t="str">
        <f t="shared" si="460"/>
        <v/>
      </c>
    </row>
    <row r="1801" spans="1:16" s="114" customFormat="1" ht="15" x14ac:dyDescent="0.25">
      <c r="A1801" s="118"/>
      <c r="B1801" s="117" t="s">
        <v>171</v>
      </c>
      <c r="C1801" s="128">
        <f>SUM(C1799:C1800)</f>
        <v>0</v>
      </c>
      <c r="D1801" s="128">
        <f t="shared" ref="D1801:O1801" si="461">SUM(D1799:D1800)</f>
        <v>4995.6000000000004</v>
      </c>
      <c r="E1801" s="128">
        <f t="shared" si="461"/>
        <v>0</v>
      </c>
      <c r="F1801" s="128">
        <f t="shared" si="461"/>
        <v>29973.599999999999</v>
      </c>
      <c r="G1801" s="128">
        <f t="shared" si="461"/>
        <v>-29973.599999999999</v>
      </c>
      <c r="H1801" s="128">
        <f t="shared" si="461"/>
        <v>0</v>
      </c>
      <c r="I1801" s="128">
        <f t="shared" si="461"/>
        <v>70000</v>
      </c>
      <c r="J1801" s="128">
        <f t="shared" si="461"/>
        <v>70000</v>
      </c>
      <c r="K1801" s="128">
        <f t="shared" si="461"/>
        <v>74375</v>
      </c>
      <c r="L1801" s="128">
        <f t="shared" si="461"/>
        <v>79581.25</v>
      </c>
      <c r="M1801" s="128">
        <f t="shared" si="461"/>
        <v>0</v>
      </c>
      <c r="N1801" s="128">
        <f t="shared" si="461"/>
        <v>0</v>
      </c>
      <c r="O1801" s="128">
        <f t="shared" si="461"/>
        <v>85151.9375</v>
      </c>
      <c r="P1801" s="123" t="str">
        <f t="shared" si="460"/>
        <v/>
      </c>
    </row>
    <row r="1802" spans="1:16" s="114" customFormat="1" ht="15" x14ac:dyDescent="0.25">
      <c r="A1802" s="118"/>
      <c r="B1802" s="117"/>
      <c r="C1802" s="128"/>
      <c r="D1802" s="128"/>
      <c r="E1802" s="128"/>
      <c r="F1802" s="128"/>
      <c r="G1802" s="128"/>
      <c r="H1802" s="128"/>
      <c r="I1802" s="129">
        <f>mayors!J246</f>
        <v>0</v>
      </c>
      <c r="J1802" s="129"/>
      <c r="K1802" s="129"/>
      <c r="L1802" s="129"/>
      <c r="M1802" s="186"/>
      <c r="N1802" s="186"/>
      <c r="O1802" s="128"/>
      <c r="P1802" s="123" t="str">
        <f t="shared" si="460"/>
        <v/>
      </c>
    </row>
    <row r="1803" spans="1:16" s="114" customFormat="1" ht="15" x14ac:dyDescent="0.25">
      <c r="A1803" s="118"/>
      <c r="B1803" s="117" t="s">
        <v>177</v>
      </c>
      <c r="C1803" s="128">
        <f>C1801</f>
        <v>0</v>
      </c>
      <c r="D1803" s="128">
        <f t="shared" ref="D1803:O1803" si="462">D1801</f>
        <v>4995.6000000000004</v>
      </c>
      <c r="E1803" s="128">
        <f t="shared" si="462"/>
        <v>0</v>
      </c>
      <c r="F1803" s="128">
        <f t="shared" si="462"/>
        <v>29973.599999999999</v>
      </c>
      <c r="G1803" s="128">
        <f t="shared" si="462"/>
        <v>-29973.599999999999</v>
      </c>
      <c r="H1803" s="128">
        <f t="shared" si="462"/>
        <v>0</v>
      </c>
      <c r="I1803" s="128">
        <f t="shared" si="462"/>
        <v>70000</v>
      </c>
      <c r="J1803" s="128">
        <f t="shared" si="462"/>
        <v>70000</v>
      </c>
      <c r="K1803" s="128">
        <f t="shared" si="462"/>
        <v>74375</v>
      </c>
      <c r="L1803" s="128">
        <f t="shared" si="462"/>
        <v>79581.25</v>
      </c>
      <c r="M1803" s="128">
        <f t="shared" si="462"/>
        <v>0</v>
      </c>
      <c r="N1803" s="128">
        <f t="shared" si="462"/>
        <v>0</v>
      </c>
      <c r="O1803" s="128">
        <f t="shared" si="462"/>
        <v>85151.9375</v>
      </c>
      <c r="P1803" s="123" t="str">
        <f t="shared" si="460"/>
        <v/>
      </c>
    </row>
    <row r="1804" spans="1:16" s="114" customFormat="1" ht="15" x14ac:dyDescent="0.25">
      <c r="A1804" s="118"/>
      <c r="B1804" s="117"/>
      <c r="C1804" s="128"/>
      <c r="D1804" s="128"/>
      <c r="E1804" s="128"/>
      <c r="F1804" s="128"/>
      <c r="G1804" s="128"/>
      <c r="H1804" s="128"/>
      <c r="I1804" s="129">
        <f>mayors!J248</f>
        <v>0</v>
      </c>
      <c r="J1804" s="129"/>
      <c r="K1804" s="129"/>
      <c r="L1804" s="129"/>
      <c r="M1804" s="186"/>
      <c r="N1804" s="186"/>
      <c r="O1804" s="128"/>
      <c r="P1804" s="123" t="str">
        <f t="shared" si="460"/>
        <v/>
      </c>
    </row>
    <row r="1805" spans="1:16" s="114" customFormat="1" ht="15" x14ac:dyDescent="0.25">
      <c r="A1805" s="118"/>
      <c r="B1805" s="117" t="s">
        <v>178</v>
      </c>
      <c r="C1805" s="128">
        <f>C1803</f>
        <v>0</v>
      </c>
      <c r="D1805" s="128">
        <f t="shared" ref="D1805:O1805" si="463">D1803</f>
        <v>4995.6000000000004</v>
      </c>
      <c r="E1805" s="128">
        <f t="shared" si="463"/>
        <v>0</v>
      </c>
      <c r="F1805" s="128">
        <f t="shared" si="463"/>
        <v>29973.599999999999</v>
      </c>
      <c r="G1805" s="128">
        <f t="shared" si="463"/>
        <v>-29973.599999999999</v>
      </c>
      <c r="H1805" s="128">
        <f t="shared" si="463"/>
        <v>0</v>
      </c>
      <c r="I1805" s="128">
        <f t="shared" si="463"/>
        <v>70000</v>
      </c>
      <c r="J1805" s="128">
        <f t="shared" si="463"/>
        <v>70000</v>
      </c>
      <c r="K1805" s="128">
        <f t="shared" si="463"/>
        <v>74375</v>
      </c>
      <c r="L1805" s="128">
        <f t="shared" si="463"/>
        <v>79581.25</v>
      </c>
      <c r="M1805" s="128">
        <f t="shared" si="463"/>
        <v>0</v>
      </c>
      <c r="N1805" s="128">
        <f t="shared" si="463"/>
        <v>0</v>
      </c>
      <c r="O1805" s="128">
        <f t="shared" si="463"/>
        <v>85151.9375</v>
      </c>
      <c r="P1805" s="123" t="str">
        <f t="shared" si="460"/>
        <v/>
      </c>
    </row>
    <row r="1806" spans="1:16" s="114" customFormat="1" ht="15" x14ac:dyDescent="0.25">
      <c r="A1806" s="118"/>
      <c r="B1806" s="117"/>
      <c r="C1806" s="128"/>
      <c r="D1806" s="128"/>
      <c r="E1806" s="128"/>
      <c r="F1806" s="128"/>
      <c r="G1806" s="128"/>
      <c r="H1806" s="128"/>
      <c r="I1806" s="129">
        <f>mayors!J250</f>
        <v>0</v>
      </c>
      <c r="J1806" s="129"/>
      <c r="K1806" s="129"/>
      <c r="L1806" s="129"/>
      <c r="M1806" s="186"/>
      <c r="N1806" s="186"/>
      <c r="O1806" s="128"/>
      <c r="P1806" s="123" t="str">
        <f t="shared" si="460"/>
        <v/>
      </c>
    </row>
    <row r="1807" spans="1:16" s="114" customFormat="1" ht="15" x14ac:dyDescent="0.25">
      <c r="A1807" s="118"/>
      <c r="B1807" s="117" t="s">
        <v>179</v>
      </c>
      <c r="C1807" s="128"/>
      <c r="D1807" s="128"/>
      <c r="E1807" s="128"/>
      <c r="F1807" s="128"/>
      <c r="G1807" s="128"/>
      <c r="H1807" s="128"/>
      <c r="I1807" s="129">
        <f>mayors!J251</f>
        <v>0</v>
      </c>
      <c r="J1807" s="129"/>
      <c r="K1807" s="129"/>
      <c r="L1807" s="129"/>
      <c r="M1807" s="186"/>
      <c r="N1807" s="186"/>
      <c r="O1807" s="128"/>
      <c r="P1807" s="123" t="str">
        <f t="shared" si="460"/>
        <v/>
      </c>
    </row>
    <row r="1808" spans="1:16" s="114" customFormat="1" ht="15" x14ac:dyDescent="0.25">
      <c r="A1808" s="118"/>
      <c r="B1808" s="117"/>
      <c r="C1808" s="128"/>
      <c r="D1808" s="128"/>
      <c r="E1808" s="128"/>
      <c r="F1808" s="128"/>
      <c r="G1808" s="128"/>
      <c r="H1808" s="128"/>
      <c r="I1808" s="129">
        <f>mayors!J252</f>
        <v>0</v>
      </c>
      <c r="J1808" s="129"/>
      <c r="K1808" s="129"/>
      <c r="L1808" s="129"/>
      <c r="M1808" s="186"/>
      <c r="N1808" s="186"/>
      <c r="O1808" s="128"/>
      <c r="P1808" s="123" t="str">
        <f t="shared" si="460"/>
        <v/>
      </c>
    </row>
    <row r="1809" spans="1:16" s="114" customFormat="1" ht="15" x14ac:dyDescent="0.25">
      <c r="A1809" s="118"/>
      <c r="B1809" s="117" t="s">
        <v>196</v>
      </c>
      <c r="C1809" s="128"/>
      <c r="D1809" s="128"/>
      <c r="E1809" s="128"/>
      <c r="F1809" s="128"/>
      <c r="G1809" s="128"/>
      <c r="H1809" s="128"/>
      <c r="I1809" s="129">
        <f>mayors!J253</f>
        <v>0</v>
      </c>
      <c r="J1809" s="129"/>
      <c r="K1809" s="129"/>
      <c r="L1809" s="129"/>
      <c r="M1809" s="186"/>
      <c r="N1809" s="186"/>
      <c r="O1809" s="128"/>
      <c r="P1809" s="123" t="str">
        <f t="shared" si="460"/>
        <v/>
      </c>
    </row>
    <row r="1810" spans="1:16" x14ac:dyDescent="0.2">
      <c r="A1810" s="119"/>
      <c r="B1810" s="120"/>
      <c r="C1810" s="129"/>
      <c r="D1810" s="129"/>
      <c r="E1810" s="129"/>
      <c r="F1810" s="129"/>
      <c r="G1810" s="129"/>
      <c r="H1810" s="129"/>
      <c r="I1810" s="129">
        <f>mayors!J254</f>
        <v>0</v>
      </c>
      <c r="J1810" s="129"/>
      <c r="K1810" s="129"/>
      <c r="L1810" s="129"/>
      <c r="O1810" s="129"/>
      <c r="P1810" s="123" t="str">
        <f t="shared" si="460"/>
        <v/>
      </c>
    </row>
    <row r="1811" spans="1:16" x14ac:dyDescent="0.2">
      <c r="A1811" s="119" t="s">
        <v>788</v>
      </c>
      <c r="B1811" s="120" t="s">
        <v>197</v>
      </c>
      <c r="C1811" s="129">
        <v>683494</v>
      </c>
      <c r="D1811" s="129">
        <v>0</v>
      </c>
      <c r="E1811" s="129">
        <v>0</v>
      </c>
      <c r="F1811" s="129">
        <v>0</v>
      </c>
      <c r="G1811" s="129">
        <v>683494</v>
      </c>
      <c r="H1811" s="129">
        <v>0</v>
      </c>
      <c r="I1811" s="129">
        <f>mayors!J255</f>
        <v>0</v>
      </c>
      <c r="J1811" s="129">
        <f>mayors!K255</f>
        <v>683494</v>
      </c>
      <c r="K1811" s="129">
        <f>mayors!L255</f>
        <v>726212.375</v>
      </c>
      <c r="L1811" s="129">
        <f>mayors!M255</f>
        <v>777047.24124999996</v>
      </c>
      <c r="O1811" s="129">
        <f>mayors!N255</f>
        <v>831440.54813749995</v>
      </c>
      <c r="P1811" s="123" t="str">
        <f t="shared" si="460"/>
        <v>211</v>
      </c>
    </row>
    <row r="1812" spans="1:16" x14ac:dyDescent="0.2">
      <c r="A1812" s="119" t="s">
        <v>789</v>
      </c>
      <c r="B1812" s="120" t="s">
        <v>198</v>
      </c>
      <c r="C1812" s="129">
        <v>2050481</v>
      </c>
      <c r="D1812" s="129">
        <v>0</v>
      </c>
      <c r="E1812" s="129">
        <v>0</v>
      </c>
      <c r="F1812" s="129">
        <v>0</v>
      </c>
      <c r="G1812" s="129">
        <v>2050481</v>
      </c>
      <c r="H1812" s="129">
        <v>0</v>
      </c>
      <c r="I1812" s="129">
        <f>mayors!J256</f>
        <v>0</v>
      </c>
      <c r="J1812" s="129">
        <f>mayors!K256</f>
        <v>2050481</v>
      </c>
      <c r="K1812" s="129">
        <f>mayors!L256</f>
        <v>2178636.0625</v>
      </c>
      <c r="L1812" s="129">
        <f>mayors!M256</f>
        <v>2331140.586875</v>
      </c>
      <c r="O1812" s="129">
        <f>mayors!N256</f>
        <v>2494320.42795625</v>
      </c>
      <c r="P1812" s="123" t="str">
        <f t="shared" si="460"/>
        <v>211</v>
      </c>
    </row>
    <row r="1813" spans="1:16" x14ac:dyDescent="0.2">
      <c r="A1813" s="119" t="s">
        <v>790</v>
      </c>
      <c r="B1813" s="120" t="s">
        <v>199</v>
      </c>
      <c r="C1813" s="129">
        <v>237540</v>
      </c>
      <c r="D1813" s="129">
        <v>0</v>
      </c>
      <c r="E1813" s="129">
        <v>0</v>
      </c>
      <c r="F1813" s="129">
        <v>0</v>
      </c>
      <c r="G1813" s="129">
        <v>237540</v>
      </c>
      <c r="H1813" s="129">
        <v>0</v>
      </c>
      <c r="I1813" s="129">
        <f>mayors!J257</f>
        <v>0</v>
      </c>
      <c r="J1813" s="129">
        <f>mayors!K257</f>
        <v>237540</v>
      </c>
      <c r="K1813" s="129">
        <f>mayors!L257</f>
        <v>252386.25</v>
      </c>
      <c r="L1813" s="129">
        <f>mayors!M257</f>
        <v>270053.28749999998</v>
      </c>
      <c r="O1813" s="129">
        <f>mayors!N257</f>
        <v>288957.01762499998</v>
      </c>
      <c r="P1813" s="123" t="str">
        <f t="shared" si="460"/>
        <v>211</v>
      </c>
    </row>
    <row r="1814" spans="1:16" x14ac:dyDescent="0.2">
      <c r="A1814" s="119"/>
      <c r="B1814" s="120"/>
      <c r="C1814" s="129"/>
      <c r="D1814" s="129"/>
      <c r="E1814" s="129"/>
      <c r="F1814" s="129"/>
      <c r="G1814" s="129"/>
      <c r="H1814" s="129"/>
      <c r="I1814" s="129">
        <f>mayors!J258</f>
        <v>0</v>
      </c>
      <c r="J1814" s="129"/>
      <c r="K1814" s="129"/>
      <c r="L1814" s="129"/>
      <c r="O1814" s="129"/>
      <c r="P1814" s="123" t="str">
        <f t="shared" si="460"/>
        <v/>
      </c>
    </row>
    <row r="1815" spans="1:16" s="114" customFormat="1" ht="15" x14ac:dyDescent="0.25">
      <c r="A1815" s="118"/>
      <c r="B1815" s="117" t="s">
        <v>200</v>
      </c>
      <c r="C1815" s="128">
        <f>SUM(C1811:C1814)</f>
        <v>2971515</v>
      </c>
      <c r="D1815" s="128">
        <f t="shared" ref="D1815:O1815" si="464">SUM(D1811:D1814)</f>
        <v>0</v>
      </c>
      <c r="E1815" s="128">
        <f t="shared" si="464"/>
        <v>0</v>
      </c>
      <c r="F1815" s="128">
        <f t="shared" si="464"/>
        <v>0</v>
      </c>
      <c r="G1815" s="128">
        <f t="shared" si="464"/>
        <v>2971515</v>
      </c>
      <c r="H1815" s="128">
        <f t="shared" si="464"/>
        <v>0</v>
      </c>
      <c r="I1815" s="128">
        <f t="shared" si="464"/>
        <v>0</v>
      </c>
      <c r="J1815" s="128">
        <f t="shared" si="464"/>
        <v>2971515</v>
      </c>
      <c r="K1815" s="128">
        <f t="shared" si="464"/>
        <v>3157234.6875</v>
      </c>
      <c r="L1815" s="128">
        <f t="shared" si="464"/>
        <v>3378241.1156250001</v>
      </c>
      <c r="M1815" s="128">
        <f t="shared" si="464"/>
        <v>0</v>
      </c>
      <c r="N1815" s="128">
        <f t="shared" si="464"/>
        <v>0</v>
      </c>
      <c r="O1815" s="128">
        <f t="shared" si="464"/>
        <v>3614717.9937187498</v>
      </c>
      <c r="P1815" s="123" t="str">
        <f t="shared" si="460"/>
        <v/>
      </c>
    </row>
    <row r="1816" spans="1:16" s="114" customFormat="1" ht="15" x14ac:dyDescent="0.25">
      <c r="A1816" s="118"/>
      <c r="B1816" s="117"/>
      <c r="C1816" s="128"/>
      <c r="D1816" s="128"/>
      <c r="E1816" s="128"/>
      <c r="F1816" s="128"/>
      <c r="G1816" s="128"/>
      <c r="H1816" s="128"/>
      <c r="I1816" s="129">
        <f>mayors!J260</f>
        <v>0</v>
      </c>
      <c r="J1816" s="129"/>
      <c r="K1816" s="129"/>
      <c r="L1816" s="129"/>
      <c r="M1816" s="186"/>
      <c r="N1816" s="186"/>
      <c r="O1816" s="128"/>
      <c r="P1816" s="123" t="str">
        <f t="shared" si="460"/>
        <v/>
      </c>
    </row>
    <row r="1817" spans="1:16" s="114" customFormat="1" ht="15" x14ac:dyDescent="0.25">
      <c r="A1817" s="118"/>
      <c r="B1817" s="117" t="s">
        <v>201</v>
      </c>
      <c r="C1817" s="128"/>
      <c r="D1817" s="128"/>
      <c r="E1817" s="128"/>
      <c r="F1817" s="128"/>
      <c r="G1817" s="128"/>
      <c r="H1817" s="128"/>
      <c r="I1817" s="129">
        <f>mayors!J261</f>
        <v>0</v>
      </c>
      <c r="J1817" s="129"/>
      <c r="K1817" s="129"/>
      <c r="L1817" s="129"/>
      <c r="M1817" s="186"/>
      <c r="N1817" s="186"/>
      <c r="O1817" s="128"/>
      <c r="P1817" s="123" t="str">
        <f t="shared" si="460"/>
        <v/>
      </c>
    </row>
    <row r="1818" spans="1:16" x14ac:dyDescent="0.2">
      <c r="A1818" s="119"/>
      <c r="B1818" s="120"/>
      <c r="C1818" s="129"/>
      <c r="D1818" s="129"/>
      <c r="E1818" s="129"/>
      <c r="F1818" s="129"/>
      <c r="G1818" s="129"/>
      <c r="H1818" s="129"/>
      <c r="I1818" s="129">
        <f>mayors!J262</f>
        <v>0</v>
      </c>
      <c r="J1818" s="129"/>
      <c r="K1818" s="129"/>
      <c r="L1818" s="129"/>
      <c r="O1818" s="129"/>
      <c r="P1818" s="123" t="str">
        <f t="shared" si="460"/>
        <v/>
      </c>
    </row>
    <row r="1819" spans="1:16" x14ac:dyDescent="0.2">
      <c r="A1819" s="119" t="s">
        <v>791</v>
      </c>
      <c r="B1819" s="120" t="s">
        <v>202</v>
      </c>
      <c r="C1819" s="129">
        <v>0</v>
      </c>
      <c r="D1819" s="129">
        <v>58477.09</v>
      </c>
      <c r="E1819" s="129">
        <v>0</v>
      </c>
      <c r="F1819" s="129">
        <v>350862.54</v>
      </c>
      <c r="G1819" s="129">
        <v>-350862.54</v>
      </c>
      <c r="H1819" s="129">
        <v>0</v>
      </c>
      <c r="I1819" s="129">
        <f>mayors!J263</f>
        <v>0</v>
      </c>
      <c r="J1819" s="129">
        <f>mayors!K263</f>
        <v>0</v>
      </c>
      <c r="K1819" s="129">
        <f>mayors!L263</f>
        <v>0</v>
      </c>
      <c r="L1819" s="129">
        <f>mayors!M263</f>
        <v>0</v>
      </c>
      <c r="O1819" s="129"/>
      <c r="P1819" s="123" t="str">
        <f t="shared" si="460"/>
        <v>211</v>
      </c>
    </row>
    <row r="1820" spans="1:16" x14ac:dyDescent="0.2">
      <c r="A1820" s="119" t="s">
        <v>792</v>
      </c>
      <c r="B1820" s="120" t="s">
        <v>203</v>
      </c>
      <c r="C1820" s="129">
        <v>0</v>
      </c>
      <c r="D1820" s="129">
        <v>175431.31</v>
      </c>
      <c r="E1820" s="129">
        <v>0</v>
      </c>
      <c r="F1820" s="129">
        <v>1052587.8600000001</v>
      </c>
      <c r="G1820" s="129">
        <v>-1052587.8600000001</v>
      </c>
      <c r="H1820" s="129">
        <v>0</v>
      </c>
      <c r="I1820" s="129">
        <f>mayors!J264</f>
        <v>0</v>
      </c>
      <c r="J1820" s="129">
        <f>mayors!K264</f>
        <v>0</v>
      </c>
      <c r="K1820" s="129">
        <f>mayors!L264</f>
        <v>0</v>
      </c>
      <c r="L1820" s="129">
        <f>mayors!M264</f>
        <v>0</v>
      </c>
      <c r="O1820" s="129"/>
      <c r="P1820" s="123" t="str">
        <f t="shared" si="460"/>
        <v>211</v>
      </c>
    </row>
    <row r="1821" spans="1:16" x14ac:dyDescent="0.2">
      <c r="A1821" s="119" t="s">
        <v>793</v>
      </c>
      <c r="B1821" s="120" t="s">
        <v>204</v>
      </c>
      <c r="C1821" s="129">
        <v>0</v>
      </c>
      <c r="D1821" s="129">
        <v>20400</v>
      </c>
      <c r="E1821" s="129">
        <v>0</v>
      </c>
      <c r="F1821" s="129">
        <v>122400</v>
      </c>
      <c r="G1821" s="129">
        <v>-122400</v>
      </c>
      <c r="H1821" s="129">
        <v>0</v>
      </c>
      <c r="I1821" s="129">
        <f>mayors!J265</f>
        <v>0</v>
      </c>
      <c r="J1821" s="129">
        <f>mayors!K265</f>
        <v>0</v>
      </c>
      <c r="K1821" s="129">
        <f>mayors!L265</f>
        <v>0</v>
      </c>
      <c r="L1821" s="129">
        <f>mayors!M265</f>
        <v>0</v>
      </c>
      <c r="O1821" s="129"/>
      <c r="P1821" s="123" t="str">
        <f t="shared" si="460"/>
        <v>211</v>
      </c>
    </row>
    <row r="1822" spans="1:16" x14ac:dyDescent="0.2">
      <c r="A1822" s="119"/>
      <c r="B1822" s="120"/>
      <c r="C1822" s="129"/>
      <c r="D1822" s="129"/>
      <c r="E1822" s="129"/>
      <c r="F1822" s="129"/>
      <c r="G1822" s="129"/>
      <c r="H1822" s="129"/>
      <c r="I1822" s="129">
        <f>mayors!J266</f>
        <v>0</v>
      </c>
      <c r="J1822" s="129">
        <f>mayors!K266</f>
        <v>0</v>
      </c>
      <c r="K1822" s="129">
        <f>mayors!L266</f>
        <v>0</v>
      </c>
      <c r="L1822" s="129">
        <f>mayors!M266</f>
        <v>0</v>
      </c>
      <c r="O1822" s="129"/>
      <c r="P1822" s="123" t="str">
        <f t="shared" si="460"/>
        <v/>
      </c>
    </row>
    <row r="1823" spans="1:16" s="114" customFormat="1" ht="15" x14ac:dyDescent="0.25">
      <c r="A1823" s="118"/>
      <c r="B1823" s="117" t="s">
        <v>205</v>
      </c>
      <c r="C1823" s="128">
        <f>SUM(C1819:C1822)</f>
        <v>0</v>
      </c>
      <c r="D1823" s="128">
        <f t="shared" ref="D1823:O1823" si="465">SUM(D1819:D1822)</f>
        <v>254308.4</v>
      </c>
      <c r="E1823" s="128">
        <f t="shared" si="465"/>
        <v>0</v>
      </c>
      <c r="F1823" s="128">
        <f t="shared" si="465"/>
        <v>1525850.4000000001</v>
      </c>
      <c r="G1823" s="128">
        <f t="shared" si="465"/>
        <v>-1525850.4000000001</v>
      </c>
      <c r="H1823" s="128">
        <f t="shared" si="465"/>
        <v>0</v>
      </c>
      <c r="I1823" s="128">
        <f t="shared" si="465"/>
        <v>0</v>
      </c>
      <c r="J1823" s="128">
        <f t="shared" si="465"/>
        <v>0</v>
      </c>
      <c r="K1823" s="128">
        <f t="shared" si="465"/>
        <v>0</v>
      </c>
      <c r="L1823" s="128">
        <f t="shared" si="465"/>
        <v>0</v>
      </c>
      <c r="M1823" s="128">
        <f t="shared" si="465"/>
        <v>0</v>
      </c>
      <c r="N1823" s="128">
        <f t="shared" si="465"/>
        <v>0</v>
      </c>
      <c r="O1823" s="128">
        <f t="shared" si="465"/>
        <v>0</v>
      </c>
      <c r="P1823" s="123" t="str">
        <f t="shared" si="460"/>
        <v/>
      </c>
    </row>
    <row r="1824" spans="1:16" s="114" customFormat="1" ht="15" x14ac:dyDescent="0.25">
      <c r="A1824" s="118"/>
      <c r="B1824" s="117"/>
      <c r="C1824" s="128"/>
      <c r="D1824" s="128"/>
      <c r="E1824" s="128"/>
      <c r="F1824" s="128"/>
      <c r="G1824" s="128"/>
      <c r="H1824" s="128"/>
      <c r="I1824" s="129">
        <f>mayors!J268</f>
        <v>0</v>
      </c>
      <c r="J1824" s="129"/>
      <c r="K1824" s="129"/>
      <c r="L1824" s="129"/>
      <c r="M1824" s="186"/>
      <c r="N1824" s="186"/>
      <c r="O1824" s="128"/>
      <c r="P1824" s="123" t="str">
        <f t="shared" si="460"/>
        <v/>
      </c>
    </row>
    <row r="1825" spans="1:16" s="114" customFormat="1" ht="15" x14ac:dyDescent="0.25">
      <c r="A1825" s="118"/>
      <c r="B1825" s="117" t="s">
        <v>206</v>
      </c>
      <c r="C1825" s="128">
        <f>C1815+C1823</f>
        <v>2971515</v>
      </c>
      <c r="D1825" s="128">
        <f t="shared" ref="D1825:O1825" si="466">D1815+D1823</f>
        <v>254308.4</v>
      </c>
      <c r="E1825" s="128">
        <f t="shared" si="466"/>
        <v>0</v>
      </c>
      <c r="F1825" s="128">
        <f t="shared" si="466"/>
        <v>1525850.4000000001</v>
      </c>
      <c r="G1825" s="128">
        <f t="shared" si="466"/>
        <v>1445664.5999999999</v>
      </c>
      <c r="H1825" s="128">
        <f t="shared" si="466"/>
        <v>0</v>
      </c>
      <c r="I1825" s="128">
        <f t="shared" si="466"/>
        <v>0</v>
      </c>
      <c r="J1825" s="128">
        <f t="shared" si="466"/>
        <v>2971515</v>
      </c>
      <c r="K1825" s="128">
        <f t="shared" si="466"/>
        <v>3157234.6875</v>
      </c>
      <c r="L1825" s="128">
        <f t="shared" si="466"/>
        <v>3378241.1156250001</v>
      </c>
      <c r="M1825" s="128">
        <f t="shared" si="466"/>
        <v>0</v>
      </c>
      <c r="N1825" s="128">
        <f t="shared" si="466"/>
        <v>0</v>
      </c>
      <c r="O1825" s="128">
        <f t="shared" si="466"/>
        <v>3614717.9937187498</v>
      </c>
      <c r="P1825" s="123" t="str">
        <f t="shared" si="460"/>
        <v/>
      </c>
    </row>
    <row r="1826" spans="1:16" s="114" customFormat="1" ht="15" x14ac:dyDescent="0.25">
      <c r="A1826" s="118"/>
      <c r="B1826" s="117"/>
      <c r="C1826" s="128"/>
      <c r="D1826" s="128"/>
      <c r="E1826" s="128"/>
      <c r="F1826" s="128"/>
      <c r="G1826" s="128"/>
      <c r="H1826" s="128"/>
      <c r="I1826" s="129">
        <f>mayors!J270</f>
        <v>0</v>
      </c>
      <c r="J1826" s="129"/>
      <c r="K1826" s="129"/>
      <c r="L1826" s="129"/>
      <c r="M1826" s="186"/>
      <c r="N1826" s="186"/>
      <c r="O1826" s="128"/>
      <c r="P1826" s="123" t="str">
        <f t="shared" si="460"/>
        <v/>
      </c>
    </row>
    <row r="1827" spans="1:16" s="114" customFormat="1" ht="15" x14ac:dyDescent="0.25">
      <c r="A1827" s="118"/>
      <c r="B1827" s="117" t="s">
        <v>207</v>
      </c>
      <c r="C1827" s="128">
        <f>C1825</f>
        <v>2971515</v>
      </c>
      <c r="D1827" s="128">
        <f t="shared" ref="D1827:O1827" si="467">D1825</f>
        <v>254308.4</v>
      </c>
      <c r="E1827" s="128">
        <f t="shared" si="467"/>
        <v>0</v>
      </c>
      <c r="F1827" s="128">
        <f t="shared" si="467"/>
        <v>1525850.4000000001</v>
      </c>
      <c r="G1827" s="128">
        <f t="shared" si="467"/>
        <v>1445664.5999999999</v>
      </c>
      <c r="H1827" s="128">
        <f t="shared" si="467"/>
        <v>0</v>
      </c>
      <c r="I1827" s="128">
        <f t="shared" si="467"/>
        <v>0</v>
      </c>
      <c r="J1827" s="128">
        <f t="shared" si="467"/>
        <v>2971515</v>
      </c>
      <c r="K1827" s="128">
        <f t="shared" si="467"/>
        <v>3157234.6875</v>
      </c>
      <c r="L1827" s="128">
        <f t="shared" si="467"/>
        <v>3378241.1156250001</v>
      </c>
      <c r="M1827" s="128">
        <f t="shared" si="467"/>
        <v>0</v>
      </c>
      <c r="N1827" s="128">
        <f t="shared" si="467"/>
        <v>0</v>
      </c>
      <c r="O1827" s="128">
        <f t="shared" si="467"/>
        <v>3614717.9937187498</v>
      </c>
      <c r="P1827" s="123" t="str">
        <f t="shared" si="460"/>
        <v/>
      </c>
    </row>
    <row r="1828" spans="1:16" s="114" customFormat="1" ht="15" x14ac:dyDescent="0.25">
      <c r="A1828" s="118"/>
      <c r="B1828" s="117"/>
      <c r="C1828" s="128"/>
      <c r="D1828" s="128"/>
      <c r="E1828" s="128"/>
      <c r="F1828" s="128"/>
      <c r="G1828" s="128"/>
      <c r="H1828" s="128"/>
      <c r="I1828" s="129">
        <f>mayors!J272</f>
        <v>0</v>
      </c>
      <c r="J1828" s="129"/>
      <c r="K1828" s="129"/>
      <c r="L1828" s="129"/>
      <c r="M1828" s="186"/>
      <c r="N1828" s="186"/>
      <c r="O1828" s="128"/>
      <c r="P1828" s="123" t="str">
        <f t="shared" si="460"/>
        <v/>
      </c>
    </row>
    <row r="1829" spans="1:16" s="114" customFormat="1" ht="15" x14ac:dyDescent="0.25">
      <c r="A1829" s="118"/>
      <c r="B1829" s="117" t="s">
        <v>241</v>
      </c>
      <c r="C1829" s="128"/>
      <c r="D1829" s="128"/>
      <c r="E1829" s="128"/>
      <c r="F1829" s="128"/>
      <c r="G1829" s="128"/>
      <c r="H1829" s="128"/>
      <c r="I1829" s="129">
        <f>mayors!J273</f>
        <v>0</v>
      </c>
      <c r="J1829" s="129"/>
      <c r="K1829" s="129"/>
      <c r="L1829" s="129"/>
      <c r="M1829" s="186"/>
      <c r="N1829" s="186"/>
      <c r="O1829" s="128"/>
      <c r="P1829" s="123" t="str">
        <f t="shared" si="460"/>
        <v/>
      </c>
    </row>
    <row r="1830" spans="1:16" x14ac:dyDescent="0.2">
      <c r="A1830" s="119"/>
      <c r="B1830" s="120"/>
      <c r="C1830" s="129"/>
      <c r="D1830" s="129"/>
      <c r="E1830" s="129"/>
      <c r="F1830" s="129"/>
      <c r="G1830" s="129"/>
      <c r="H1830" s="129"/>
      <c r="I1830" s="129">
        <f>mayors!J274</f>
        <v>0</v>
      </c>
      <c r="J1830" s="129"/>
      <c r="K1830" s="129"/>
      <c r="L1830" s="129"/>
      <c r="O1830" s="129"/>
      <c r="P1830" s="123" t="str">
        <f t="shared" si="460"/>
        <v/>
      </c>
    </row>
    <row r="1831" spans="1:16" x14ac:dyDescent="0.2">
      <c r="A1831" s="119" t="s">
        <v>794</v>
      </c>
      <c r="B1831" s="120" t="s">
        <v>265</v>
      </c>
      <c r="C1831" s="129">
        <v>0</v>
      </c>
      <c r="D1831" s="129">
        <v>1743.55</v>
      </c>
      <c r="E1831" s="129">
        <v>0</v>
      </c>
      <c r="F1831" s="129">
        <v>10314.42</v>
      </c>
      <c r="G1831" s="129">
        <v>-10314.42</v>
      </c>
      <c r="H1831" s="129">
        <v>0</v>
      </c>
      <c r="I1831" s="129">
        <f>mayors!J275</f>
        <v>25000</v>
      </c>
      <c r="J1831" s="129">
        <f>mayors!K275</f>
        <v>25000</v>
      </c>
      <c r="K1831" s="129">
        <f>mayors!L275</f>
        <v>26125</v>
      </c>
      <c r="L1831" s="129">
        <f>mayors!M275</f>
        <v>27326.75</v>
      </c>
      <c r="O1831" s="129">
        <f>mayors!N275</f>
        <v>28583.780500000001</v>
      </c>
      <c r="P1831" s="123" t="str">
        <f t="shared" si="460"/>
        <v>305</v>
      </c>
    </row>
    <row r="1832" spans="1:16" x14ac:dyDescent="0.2">
      <c r="A1832" s="119" t="s">
        <v>795</v>
      </c>
      <c r="B1832" s="120" t="s">
        <v>268</v>
      </c>
      <c r="C1832" s="129">
        <v>85032</v>
      </c>
      <c r="D1832" s="129">
        <v>44448.2</v>
      </c>
      <c r="E1832" s="129">
        <v>0</v>
      </c>
      <c r="F1832" s="129">
        <v>160631.98000000001</v>
      </c>
      <c r="G1832" s="129">
        <v>-75599.98</v>
      </c>
      <c r="H1832" s="129">
        <v>188.9</v>
      </c>
      <c r="I1832" s="129">
        <f>mayors!J276</f>
        <v>150000</v>
      </c>
      <c r="J1832" s="129">
        <f>mayors!K276</f>
        <v>235032</v>
      </c>
      <c r="K1832" s="129">
        <f>mayors!L276</f>
        <v>245608.44</v>
      </c>
      <c r="L1832" s="129">
        <f>mayors!M276</f>
        <v>256906.42824000001</v>
      </c>
      <c r="O1832" s="129">
        <f>mayors!N276</f>
        <v>268724.12393904</v>
      </c>
      <c r="P1832" s="123" t="str">
        <f t="shared" si="460"/>
        <v>305</v>
      </c>
    </row>
    <row r="1833" spans="1:16" x14ac:dyDescent="0.2">
      <c r="A1833" s="119" t="s">
        <v>796</v>
      </c>
      <c r="B1833" s="120" t="s">
        <v>269</v>
      </c>
      <c r="C1833" s="129">
        <v>75000</v>
      </c>
      <c r="D1833" s="129">
        <v>8496</v>
      </c>
      <c r="E1833" s="129">
        <v>0</v>
      </c>
      <c r="F1833" s="129">
        <v>27144</v>
      </c>
      <c r="G1833" s="129">
        <v>47856</v>
      </c>
      <c r="H1833" s="129">
        <v>36.19</v>
      </c>
      <c r="I1833" s="129">
        <f>mayors!J277</f>
        <v>-20000</v>
      </c>
      <c r="J1833" s="129">
        <f>mayors!K277</f>
        <v>55000</v>
      </c>
      <c r="K1833" s="129">
        <f>mayors!L277</f>
        <v>57475</v>
      </c>
      <c r="L1833" s="129">
        <f>mayors!M277</f>
        <v>60118.85</v>
      </c>
      <c r="O1833" s="129">
        <f>mayors!N277</f>
        <v>62884.3171</v>
      </c>
      <c r="P1833" s="123" t="str">
        <f t="shared" si="460"/>
        <v>305</v>
      </c>
    </row>
    <row r="1834" spans="1:16" x14ac:dyDescent="0.2">
      <c r="A1834" s="119"/>
      <c r="B1834" s="120"/>
      <c r="C1834" s="129"/>
      <c r="D1834" s="129"/>
      <c r="E1834" s="129"/>
      <c r="F1834" s="129"/>
      <c r="G1834" s="129"/>
      <c r="H1834" s="129"/>
      <c r="I1834" s="129">
        <f>mayors!J278</f>
        <v>0</v>
      </c>
      <c r="J1834" s="129"/>
      <c r="K1834" s="129"/>
      <c r="L1834" s="129"/>
      <c r="O1834" s="129"/>
      <c r="P1834" s="123" t="str">
        <f t="shared" si="460"/>
        <v/>
      </c>
    </row>
    <row r="1835" spans="1:16" s="114" customFormat="1" ht="15" x14ac:dyDescent="0.25">
      <c r="A1835" s="118"/>
      <c r="B1835" s="117" t="s">
        <v>274</v>
      </c>
      <c r="C1835" s="128">
        <f>SUM(C1831:C1834)</f>
        <v>160032</v>
      </c>
      <c r="D1835" s="128">
        <f t="shared" ref="D1835:O1835" si="468">SUM(D1831:D1834)</f>
        <v>54687.75</v>
      </c>
      <c r="E1835" s="128">
        <f t="shared" si="468"/>
        <v>0</v>
      </c>
      <c r="F1835" s="128">
        <f t="shared" si="468"/>
        <v>198090.40000000002</v>
      </c>
      <c r="G1835" s="128">
        <f t="shared" si="468"/>
        <v>-38058.399999999994</v>
      </c>
      <c r="H1835" s="128">
        <f t="shared" si="468"/>
        <v>225.09</v>
      </c>
      <c r="I1835" s="128">
        <f t="shared" si="468"/>
        <v>155000</v>
      </c>
      <c r="J1835" s="128">
        <f t="shared" si="468"/>
        <v>315032</v>
      </c>
      <c r="K1835" s="128">
        <f t="shared" si="468"/>
        <v>329208.44</v>
      </c>
      <c r="L1835" s="128">
        <f t="shared" si="468"/>
        <v>344352.02824000001</v>
      </c>
      <c r="M1835" s="128">
        <f t="shared" si="468"/>
        <v>0</v>
      </c>
      <c r="N1835" s="128">
        <f t="shared" si="468"/>
        <v>0</v>
      </c>
      <c r="O1835" s="128">
        <f t="shared" si="468"/>
        <v>360192.22153903998</v>
      </c>
      <c r="P1835" s="123" t="str">
        <f t="shared" si="460"/>
        <v/>
      </c>
    </row>
    <row r="1836" spans="1:16" x14ac:dyDescent="0.2">
      <c r="A1836" s="119"/>
      <c r="B1836" s="120"/>
      <c r="C1836" s="129"/>
      <c r="D1836" s="129"/>
      <c r="E1836" s="129"/>
      <c r="F1836" s="129"/>
      <c r="G1836" s="129"/>
      <c r="H1836" s="129"/>
      <c r="I1836" s="129">
        <f>mayors!J280</f>
        <v>0</v>
      </c>
      <c r="J1836" s="129"/>
      <c r="K1836" s="129"/>
      <c r="L1836" s="129"/>
      <c r="O1836" s="129"/>
      <c r="P1836" s="123" t="str">
        <f t="shared" si="460"/>
        <v/>
      </c>
    </row>
    <row r="1837" spans="1:16" s="114" customFormat="1" ht="15" x14ac:dyDescent="0.25">
      <c r="A1837" s="118"/>
      <c r="B1837" s="117" t="s">
        <v>305</v>
      </c>
      <c r="C1837" s="128">
        <f>C1805+C1827+C1835</f>
        <v>3131547</v>
      </c>
      <c r="D1837" s="128">
        <f t="shared" ref="D1837:O1837" si="469">D1805+D1827+D1835</f>
        <v>313991.75</v>
      </c>
      <c r="E1837" s="128">
        <f t="shared" si="469"/>
        <v>0</v>
      </c>
      <c r="F1837" s="128">
        <f t="shared" si="469"/>
        <v>1753914.4000000004</v>
      </c>
      <c r="G1837" s="128">
        <f t="shared" si="469"/>
        <v>1377632.5999999999</v>
      </c>
      <c r="H1837" s="128">
        <f t="shared" si="469"/>
        <v>225.09</v>
      </c>
      <c r="I1837" s="128">
        <f t="shared" si="469"/>
        <v>225000</v>
      </c>
      <c r="J1837" s="128">
        <f t="shared" si="469"/>
        <v>3356547</v>
      </c>
      <c r="K1837" s="128">
        <f t="shared" si="469"/>
        <v>3560818.1274999999</v>
      </c>
      <c r="L1837" s="128">
        <f t="shared" si="469"/>
        <v>3802174.393865</v>
      </c>
      <c r="M1837" s="128">
        <f t="shared" si="469"/>
        <v>0</v>
      </c>
      <c r="N1837" s="128">
        <f t="shared" si="469"/>
        <v>0</v>
      </c>
      <c r="O1837" s="128">
        <f t="shared" si="469"/>
        <v>4060062.1527577899</v>
      </c>
      <c r="P1837" s="123" t="str">
        <f t="shared" si="460"/>
        <v/>
      </c>
    </row>
    <row r="1838" spans="1:16" s="114" customFormat="1" ht="15" x14ac:dyDescent="0.25">
      <c r="A1838" s="118"/>
      <c r="B1838" s="117"/>
      <c r="C1838" s="128"/>
      <c r="D1838" s="128"/>
      <c r="E1838" s="128"/>
      <c r="F1838" s="128"/>
      <c r="G1838" s="128"/>
      <c r="H1838" s="128"/>
      <c r="I1838" s="129">
        <f>mayors!J282</f>
        <v>0</v>
      </c>
      <c r="J1838" s="129"/>
      <c r="K1838" s="129"/>
      <c r="L1838" s="129"/>
      <c r="M1838" s="186"/>
      <c r="N1838" s="186"/>
      <c r="O1838" s="128"/>
      <c r="P1838" s="123" t="str">
        <f t="shared" si="460"/>
        <v/>
      </c>
    </row>
    <row r="1839" spans="1:16" s="114" customFormat="1" ht="15" x14ac:dyDescent="0.25">
      <c r="A1839" s="118"/>
      <c r="B1839" s="117" t="s">
        <v>306</v>
      </c>
      <c r="C1839" s="128">
        <f>C1837</f>
        <v>3131547</v>
      </c>
      <c r="D1839" s="128">
        <f t="shared" ref="D1839:O1839" si="470">D1837</f>
        <v>313991.75</v>
      </c>
      <c r="E1839" s="128">
        <f t="shared" si="470"/>
        <v>0</v>
      </c>
      <c r="F1839" s="128">
        <f t="shared" si="470"/>
        <v>1753914.4000000004</v>
      </c>
      <c r="G1839" s="128">
        <f t="shared" si="470"/>
        <v>1377632.5999999999</v>
      </c>
      <c r="H1839" s="128">
        <f t="shared" si="470"/>
        <v>225.09</v>
      </c>
      <c r="I1839" s="128">
        <f t="shared" si="470"/>
        <v>225000</v>
      </c>
      <c r="J1839" s="128">
        <f t="shared" si="470"/>
        <v>3356547</v>
      </c>
      <c r="K1839" s="128">
        <f t="shared" si="470"/>
        <v>3560818.1274999999</v>
      </c>
      <c r="L1839" s="128">
        <f t="shared" si="470"/>
        <v>3802174.393865</v>
      </c>
      <c r="M1839" s="128">
        <f t="shared" si="470"/>
        <v>0</v>
      </c>
      <c r="N1839" s="128">
        <f t="shared" si="470"/>
        <v>0</v>
      </c>
      <c r="O1839" s="128">
        <f t="shared" si="470"/>
        <v>4060062.1527577899</v>
      </c>
      <c r="P1839" s="123" t="str">
        <f t="shared" si="460"/>
        <v/>
      </c>
    </row>
    <row r="1840" spans="1:16" x14ac:dyDescent="0.2">
      <c r="A1840" s="119"/>
      <c r="B1840" s="120"/>
      <c r="C1840" s="129"/>
      <c r="D1840" s="129"/>
      <c r="E1840" s="129"/>
      <c r="F1840" s="129"/>
      <c r="G1840" s="129"/>
      <c r="H1840" s="129"/>
      <c r="I1840" s="129">
        <f>mayors!J284</f>
        <v>0</v>
      </c>
      <c r="J1840" s="129"/>
      <c r="K1840" s="129"/>
      <c r="L1840" s="129"/>
      <c r="O1840" s="129"/>
      <c r="P1840" s="123" t="str">
        <f t="shared" si="460"/>
        <v/>
      </c>
    </row>
    <row r="1841" spans="1:16" x14ac:dyDescent="0.2">
      <c r="A1841" s="119"/>
      <c r="B1841" s="120" t="s">
        <v>797</v>
      </c>
      <c r="C1841" s="129"/>
      <c r="D1841" s="129"/>
      <c r="E1841" s="129"/>
      <c r="F1841" s="129"/>
      <c r="G1841" s="129"/>
      <c r="H1841" s="129"/>
      <c r="I1841" s="129">
        <f>mayors!J285</f>
        <v>0</v>
      </c>
      <c r="J1841" s="129"/>
      <c r="K1841" s="129"/>
      <c r="L1841" s="129"/>
      <c r="O1841" s="129"/>
      <c r="P1841" s="123" t="str">
        <f t="shared" si="460"/>
        <v/>
      </c>
    </row>
    <row r="1842" spans="1:16" x14ac:dyDescent="0.2">
      <c r="A1842" s="119"/>
      <c r="B1842" s="120"/>
      <c r="C1842" s="129"/>
      <c r="D1842" s="129"/>
      <c r="E1842" s="129"/>
      <c r="F1842" s="129"/>
      <c r="G1842" s="129"/>
      <c r="H1842" s="129"/>
      <c r="I1842" s="129">
        <f>mayors!J286</f>
        <v>0</v>
      </c>
      <c r="J1842" s="129"/>
      <c r="K1842" s="129"/>
      <c r="L1842" s="129"/>
      <c r="O1842" s="129"/>
      <c r="P1842" s="123" t="str">
        <f t="shared" si="460"/>
        <v/>
      </c>
    </row>
    <row r="1843" spans="1:16" s="114" customFormat="1" ht="15" x14ac:dyDescent="0.25">
      <c r="A1843" s="118"/>
      <c r="B1843" s="117" t="s">
        <v>96</v>
      </c>
      <c r="C1843" s="128"/>
      <c r="D1843" s="128"/>
      <c r="E1843" s="128"/>
      <c r="F1843" s="128"/>
      <c r="G1843" s="128"/>
      <c r="H1843" s="128"/>
      <c r="I1843" s="129">
        <f>mayors!J287</f>
        <v>0</v>
      </c>
      <c r="J1843" s="129"/>
      <c r="K1843" s="129"/>
      <c r="L1843" s="129"/>
      <c r="M1843" s="186"/>
      <c r="N1843" s="186"/>
      <c r="O1843" s="128"/>
      <c r="P1843" s="123" t="str">
        <f t="shared" si="460"/>
        <v/>
      </c>
    </row>
    <row r="1844" spans="1:16" s="114" customFormat="1" ht="15" x14ac:dyDescent="0.25">
      <c r="A1844" s="118"/>
      <c r="B1844" s="117" t="s">
        <v>97</v>
      </c>
      <c r="C1844" s="128"/>
      <c r="D1844" s="128"/>
      <c r="E1844" s="128"/>
      <c r="F1844" s="128"/>
      <c r="G1844" s="128"/>
      <c r="H1844" s="128"/>
      <c r="I1844" s="129">
        <f>mayors!J288</f>
        <v>0</v>
      </c>
      <c r="J1844" s="129"/>
      <c r="K1844" s="129"/>
      <c r="L1844" s="129"/>
      <c r="M1844" s="186"/>
      <c r="N1844" s="186"/>
      <c r="O1844" s="128"/>
      <c r="P1844" s="123" t="str">
        <f t="shared" si="460"/>
        <v/>
      </c>
    </row>
    <row r="1845" spans="1:16" s="114" customFormat="1" ht="15" x14ac:dyDescent="0.25">
      <c r="A1845" s="118"/>
      <c r="B1845" s="117" t="s">
        <v>148</v>
      </c>
      <c r="C1845" s="128"/>
      <c r="D1845" s="128"/>
      <c r="E1845" s="128"/>
      <c r="F1845" s="128"/>
      <c r="G1845" s="128"/>
      <c r="H1845" s="128"/>
      <c r="I1845" s="129">
        <f>mayors!J289</f>
        <v>0</v>
      </c>
      <c r="J1845" s="129"/>
      <c r="K1845" s="129"/>
      <c r="L1845" s="129"/>
      <c r="M1845" s="186"/>
      <c r="N1845" s="186"/>
      <c r="O1845" s="128"/>
      <c r="P1845" s="123" t="str">
        <f t="shared" si="460"/>
        <v/>
      </c>
    </row>
    <row r="1846" spans="1:16" s="114" customFormat="1" ht="15" x14ac:dyDescent="0.25">
      <c r="A1846" s="118"/>
      <c r="B1846" s="117" t="s">
        <v>149</v>
      </c>
      <c r="C1846" s="128"/>
      <c r="D1846" s="128"/>
      <c r="E1846" s="128"/>
      <c r="F1846" s="128"/>
      <c r="G1846" s="128"/>
      <c r="H1846" s="128"/>
      <c r="I1846" s="129">
        <f>mayors!J290</f>
        <v>0</v>
      </c>
      <c r="J1846" s="129"/>
      <c r="K1846" s="129"/>
      <c r="L1846" s="129"/>
      <c r="M1846" s="186"/>
      <c r="N1846" s="186"/>
      <c r="O1846" s="128"/>
      <c r="P1846" s="123" t="str">
        <f t="shared" si="460"/>
        <v/>
      </c>
    </row>
    <row r="1847" spans="1:16" x14ac:dyDescent="0.2">
      <c r="A1847" s="119"/>
      <c r="B1847" s="120"/>
      <c r="C1847" s="129"/>
      <c r="D1847" s="129"/>
      <c r="E1847" s="129"/>
      <c r="F1847" s="129"/>
      <c r="G1847" s="129"/>
      <c r="H1847" s="129"/>
      <c r="I1847" s="129">
        <f>mayors!J291</f>
        <v>0</v>
      </c>
      <c r="J1847" s="129"/>
      <c r="K1847" s="129"/>
      <c r="L1847" s="129"/>
      <c r="O1847" s="129"/>
      <c r="P1847" s="123" t="str">
        <f t="shared" si="460"/>
        <v/>
      </c>
    </row>
    <row r="1848" spans="1:16" x14ac:dyDescent="0.2">
      <c r="A1848" s="119" t="s">
        <v>798</v>
      </c>
      <c r="B1848" s="120" t="s">
        <v>150</v>
      </c>
      <c r="C1848" s="129">
        <v>0</v>
      </c>
      <c r="D1848" s="129">
        <v>0</v>
      </c>
      <c r="E1848" s="129">
        <v>0</v>
      </c>
      <c r="F1848" s="129">
        <v>35637.99</v>
      </c>
      <c r="G1848" s="129">
        <v>-35637.99</v>
      </c>
      <c r="H1848" s="129">
        <v>0</v>
      </c>
      <c r="I1848" s="129">
        <f>mayors!J292</f>
        <v>80000</v>
      </c>
      <c r="J1848" s="129">
        <f>mayors!K292</f>
        <v>80000</v>
      </c>
      <c r="K1848" s="129">
        <f>mayors!L292</f>
        <v>85000</v>
      </c>
      <c r="L1848" s="129">
        <f>mayors!M292</f>
        <v>90950</v>
      </c>
      <c r="O1848" s="129">
        <f>mayors!N292</f>
        <v>97316.5</v>
      </c>
      <c r="P1848" s="123" t="str">
        <f t="shared" si="460"/>
        <v>110</v>
      </c>
    </row>
    <row r="1849" spans="1:16" x14ac:dyDescent="0.2">
      <c r="A1849" s="119"/>
      <c r="B1849" s="120"/>
      <c r="C1849" s="129"/>
      <c r="D1849" s="129"/>
      <c r="E1849" s="129"/>
      <c r="F1849" s="129"/>
      <c r="G1849" s="129"/>
      <c r="H1849" s="129"/>
      <c r="I1849" s="129">
        <f>mayors!J293</f>
        <v>0</v>
      </c>
      <c r="J1849" s="129"/>
      <c r="K1849" s="129"/>
      <c r="L1849" s="129"/>
      <c r="O1849" s="129"/>
      <c r="P1849" s="123" t="str">
        <f t="shared" si="460"/>
        <v/>
      </c>
    </row>
    <row r="1850" spans="1:16" s="114" customFormat="1" ht="15" x14ac:dyDescent="0.25">
      <c r="A1850" s="118"/>
      <c r="B1850" s="117" t="s">
        <v>165</v>
      </c>
      <c r="C1850" s="128">
        <f>SUM(C1848:C1849)</f>
        <v>0</v>
      </c>
      <c r="D1850" s="128">
        <f t="shared" ref="D1850:O1850" si="471">SUM(D1848:D1849)</f>
        <v>0</v>
      </c>
      <c r="E1850" s="128">
        <f t="shared" si="471"/>
        <v>0</v>
      </c>
      <c r="F1850" s="128">
        <f t="shared" si="471"/>
        <v>35637.99</v>
      </c>
      <c r="G1850" s="128">
        <f t="shared" si="471"/>
        <v>-35637.99</v>
      </c>
      <c r="H1850" s="128">
        <f t="shared" si="471"/>
        <v>0</v>
      </c>
      <c r="I1850" s="128">
        <f t="shared" si="471"/>
        <v>80000</v>
      </c>
      <c r="J1850" s="128">
        <f t="shared" si="471"/>
        <v>80000</v>
      </c>
      <c r="K1850" s="128">
        <f t="shared" si="471"/>
        <v>85000</v>
      </c>
      <c r="L1850" s="128">
        <f t="shared" si="471"/>
        <v>90950</v>
      </c>
      <c r="M1850" s="128">
        <f t="shared" si="471"/>
        <v>0</v>
      </c>
      <c r="N1850" s="128">
        <f t="shared" si="471"/>
        <v>0</v>
      </c>
      <c r="O1850" s="128">
        <f t="shared" si="471"/>
        <v>97316.5</v>
      </c>
      <c r="P1850" s="123" t="str">
        <f t="shared" si="460"/>
        <v/>
      </c>
    </row>
    <row r="1851" spans="1:16" s="114" customFormat="1" ht="15" x14ac:dyDescent="0.25">
      <c r="A1851" s="118"/>
      <c r="B1851" s="117"/>
      <c r="C1851" s="128"/>
      <c r="D1851" s="128"/>
      <c r="E1851" s="128"/>
      <c r="F1851" s="128"/>
      <c r="G1851" s="128"/>
      <c r="H1851" s="128"/>
      <c r="I1851" s="129">
        <f>mayors!J295</f>
        <v>0</v>
      </c>
      <c r="J1851" s="129"/>
      <c r="K1851" s="129"/>
      <c r="L1851" s="129"/>
      <c r="M1851" s="186"/>
      <c r="N1851" s="186"/>
      <c r="O1851" s="128"/>
      <c r="P1851" s="123" t="str">
        <f t="shared" si="460"/>
        <v/>
      </c>
    </row>
    <row r="1852" spans="1:16" s="114" customFormat="1" ht="15" x14ac:dyDescent="0.25">
      <c r="A1852" s="118"/>
      <c r="B1852" s="117" t="s">
        <v>166</v>
      </c>
      <c r="C1852" s="128"/>
      <c r="D1852" s="128"/>
      <c r="E1852" s="128"/>
      <c r="F1852" s="128"/>
      <c r="G1852" s="128"/>
      <c r="H1852" s="128"/>
      <c r="I1852" s="129">
        <f>mayors!J296</f>
        <v>0</v>
      </c>
      <c r="J1852" s="129"/>
      <c r="K1852" s="129"/>
      <c r="L1852" s="129"/>
      <c r="M1852" s="186"/>
      <c r="N1852" s="186"/>
      <c r="O1852" s="128"/>
      <c r="P1852" s="123" t="str">
        <f t="shared" si="460"/>
        <v/>
      </c>
    </row>
    <row r="1853" spans="1:16" x14ac:dyDescent="0.2">
      <c r="A1853" s="119"/>
      <c r="B1853" s="120"/>
      <c r="C1853" s="129"/>
      <c r="D1853" s="129"/>
      <c r="E1853" s="129"/>
      <c r="F1853" s="129"/>
      <c r="G1853" s="129"/>
      <c r="H1853" s="129"/>
      <c r="I1853" s="129">
        <f>mayors!J297</f>
        <v>0</v>
      </c>
      <c r="J1853" s="129"/>
      <c r="K1853" s="129"/>
      <c r="L1853" s="129"/>
      <c r="O1853" s="129"/>
      <c r="P1853" s="123" t="str">
        <f t="shared" si="460"/>
        <v/>
      </c>
    </row>
    <row r="1854" spans="1:16" x14ac:dyDescent="0.2">
      <c r="A1854" s="119" t="s">
        <v>799</v>
      </c>
      <c r="B1854" s="120" t="s">
        <v>168</v>
      </c>
      <c r="C1854" s="129">
        <v>0</v>
      </c>
      <c r="D1854" s="129">
        <v>2199.6</v>
      </c>
      <c r="E1854" s="129">
        <v>0</v>
      </c>
      <c r="F1854" s="129">
        <v>13197.6</v>
      </c>
      <c r="G1854" s="129">
        <v>-13197.6</v>
      </c>
      <c r="H1854" s="129">
        <v>0</v>
      </c>
      <c r="I1854" s="129">
        <f>mayors!J298</f>
        <v>30000</v>
      </c>
      <c r="J1854" s="129">
        <f>mayors!K298</f>
        <v>30000</v>
      </c>
      <c r="K1854" s="129">
        <f>mayors!L298</f>
        <v>32100</v>
      </c>
      <c r="L1854" s="129">
        <f>mayors!M298</f>
        <v>34347</v>
      </c>
      <c r="O1854" s="129">
        <f>mayors!N298</f>
        <v>36751.29</v>
      </c>
      <c r="P1854" s="123" t="str">
        <f t="shared" si="460"/>
        <v>130</v>
      </c>
    </row>
    <row r="1855" spans="1:16" x14ac:dyDescent="0.2">
      <c r="A1855" s="119"/>
      <c r="B1855" s="120"/>
      <c r="C1855" s="129"/>
      <c r="D1855" s="129"/>
      <c r="E1855" s="129"/>
      <c r="F1855" s="129"/>
      <c r="G1855" s="129"/>
      <c r="H1855" s="129"/>
      <c r="I1855" s="129">
        <f>mayors!J299</f>
        <v>0</v>
      </c>
      <c r="J1855" s="129"/>
      <c r="K1855" s="129"/>
      <c r="L1855" s="129"/>
      <c r="O1855" s="129"/>
      <c r="P1855" s="123" t="str">
        <f t="shared" si="460"/>
        <v/>
      </c>
    </row>
    <row r="1856" spans="1:16" s="114" customFormat="1" ht="15" x14ac:dyDescent="0.25">
      <c r="A1856" s="118"/>
      <c r="B1856" s="117" t="s">
        <v>171</v>
      </c>
      <c r="C1856" s="128">
        <f>SUM(C1854:C1855)</f>
        <v>0</v>
      </c>
      <c r="D1856" s="128">
        <f t="shared" ref="D1856:O1856" si="472">SUM(D1854:D1855)</f>
        <v>2199.6</v>
      </c>
      <c r="E1856" s="128">
        <f t="shared" si="472"/>
        <v>0</v>
      </c>
      <c r="F1856" s="128">
        <f t="shared" si="472"/>
        <v>13197.6</v>
      </c>
      <c r="G1856" s="128">
        <f t="shared" si="472"/>
        <v>-13197.6</v>
      </c>
      <c r="H1856" s="128">
        <f t="shared" si="472"/>
        <v>0</v>
      </c>
      <c r="I1856" s="128">
        <f t="shared" si="472"/>
        <v>30000</v>
      </c>
      <c r="J1856" s="128">
        <f t="shared" si="472"/>
        <v>30000</v>
      </c>
      <c r="K1856" s="128">
        <f t="shared" si="472"/>
        <v>32100</v>
      </c>
      <c r="L1856" s="128">
        <f t="shared" si="472"/>
        <v>34347</v>
      </c>
      <c r="M1856" s="128">
        <f t="shared" si="472"/>
        <v>0</v>
      </c>
      <c r="N1856" s="128">
        <f t="shared" si="472"/>
        <v>0</v>
      </c>
      <c r="O1856" s="128">
        <f t="shared" si="472"/>
        <v>36751.29</v>
      </c>
      <c r="P1856" s="123" t="str">
        <f t="shared" si="460"/>
        <v/>
      </c>
    </row>
    <row r="1857" spans="1:16" x14ac:dyDescent="0.2">
      <c r="A1857" s="119"/>
      <c r="B1857" s="120"/>
      <c r="C1857" s="129"/>
      <c r="D1857" s="129"/>
      <c r="E1857" s="129"/>
      <c r="F1857" s="129"/>
      <c r="G1857" s="129"/>
      <c r="H1857" s="129"/>
      <c r="I1857" s="129">
        <f>mayors!J301</f>
        <v>0</v>
      </c>
      <c r="J1857" s="129"/>
      <c r="K1857" s="129"/>
      <c r="L1857" s="129"/>
      <c r="O1857" s="129"/>
      <c r="P1857" s="123" t="str">
        <f t="shared" si="460"/>
        <v/>
      </c>
    </row>
    <row r="1858" spans="1:16" s="114" customFormat="1" ht="15" x14ac:dyDescent="0.25">
      <c r="A1858" s="118"/>
      <c r="B1858" s="117" t="s">
        <v>178</v>
      </c>
      <c r="C1858" s="128">
        <f>C1850+C1856</f>
        <v>0</v>
      </c>
      <c r="D1858" s="128">
        <f t="shared" ref="D1858:O1858" si="473">D1850+D1856</f>
        <v>2199.6</v>
      </c>
      <c r="E1858" s="128">
        <f t="shared" si="473"/>
        <v>0</v>
      </c>
      <c r="F1858" s="128">
        <f t="shared" si="473"/>
        <v>48835.59</v>
      </c>
      <c r="G1858" s="128">
        <f t="shared" si="473"/>
        <v>-48835.59</v>
      </c>
      <c r="H1858" s="128">
        <f t="shared" si="473"/>
        <v>0</v>
      </c>
      <c r="I1858" s="128">
        <f t="shared" si="473"/>
        <v>110000</v>
      </c>
      <c r="J1858" s="128">
        <f t="shared" si="473"/>
        <v>110000</v>
      </c>
      <c r="K1858" s="128">
        <f t="shared" si="473"/>
        <v>117100</v>
      </c>
      <c r="L1858" s="128">
        <f t="shared" si="473"/>
        <v>125297</v>
      </c>
      <c r="M1858" s="128">
        <f t="shared" si="473"/>
        <v>0</v>
      </c>
      <c r="N1858" s="128">
        <f t="shared" si="473"/>
        <v>0</v>
      </c>
      <c r="O1858" s="128">
        <f t="shared" si="473"/>
        <v>134067.79</v>
      </c>
      <c r="P1858" s="123" t="str">
        <f t="shared" si="460"/>
        <v/>
      </c>
    </row>
    <row r="1859" spans="1:16" x14ac:dyDescent="0.2">
      <c r="A1859" s="119"/>
      <c r="B1859" s="120"/>
      <c r="C1859" s="129"/>
      <c r="D1859" s="129"/>
      <c r="E1859" s="129"/>
      <c r="F1859" s="129"/>
      <c r="G1859" s="129"/>
      <c r="H1859" s="129"/>
      <c r="I1859" s="129">
        <f>mayors!J303</f>
        <v>0</v>
      </c>
      <c r="J1859" s="129"/>
      <c r="K1859" s="129"/>
      <c r="L1859" s="129"/>
      <c r="O1859" s="129"/>
      <c r="P1859" s="123" t="str">
        <f t="shared" si="460"/>
        <v/>
      </c>
    </row>
    <row r="1860" spans="1:16" s="114" customFormat="1" ht="15" x14ac:dyDescent="0.25">
      <c r="A1860" s="118"/>
      <c r="B1860" s="117" t="s">
        <v>179</v>
      </c>
      <c r="C1860" s="128"/>
      <c r="D1860" s="128"/>
      <c r="E1860" s="128"/>
      <c r="F1860" s="128"/>
      <c r="G1860" s="128"/>
      <c r="H1860" s="128"/>
      <c r="I1860" s="129">
        <f>mayors!J304</f>
        <v>0</v>
      </c>
      <c r="J1860" s="129"/>
      <c r="K1860" s="129"/>
      <c r="L1860" s="129"/>
      <c r="M1860" s="186"/>
      <c r="N1860" s="186"/>
      <c r="O1860" s="128"/>
      <c r="P1860" s="123" t="str">
        <f t="shared" si="460"/>
        <v/>
      </c>
    </row>
    <row r="1861" spans="1:16" s="114" customFormat="1" ht="15" x14ac:dyDescent="0.25">
      <c r="A1861" s="118"/>
      <c r="B1861" s="117"/>
      <c r="C1861" s="128"/>
      <c r="D1861" s="128"/>
      <c r="E1861" s="128"/>
      <c r="F1861" s="128"/>
      <c r="G1861" s="128"/>
      <c r="H1861" s="128"/>
      <c r="I1861" s="129">
        <f>mayors!J305</f>
        <v>0</v>
      </c>
      <c r="J1861" s="129"/>
      <c r="K1861" s="129"/>
      <c r="L1861" s="129"/>
      <c r="M1861" s="186"/>
      <c r="N1861" s="186"/>
      <c r="O1861" s="128"/>
      <c r="P1861" s="123" t="str">
        <f t="shared" si="460"/>
        <v/>
      </c>
    </row>
    <row r="1862" spans="1:16" s="114" customFormat="1" ht="15" x14ac:dyDescent="0.25">
      <c r="A1862" s="118"/>
      <c r="B1862" s="117" t="s">
        <v>201</v>
      </c>
      <c r="C1862" s="128"/>
      <c r="D1862" s="128"/>
      <c r="E1862" s="128"/>
      <c r="F1862" s="128"/>
      <c r="G1862" s="128"/>
      <c r="H1862" s="128"/>
      <c r="I1862" s="129">
        <f>mayors!J306</f>
        <v>0</v>
      </c>
      <c r="J1862" s="129"/>
      <c r="K1862" s="129"/>
      <c r="L1862" s="129"/>
      <c r="M1862" s="186"/>
      <c r="N1862" s="186"/>
      <c r="O1862" s="128"/>
      <c r="P1862" s="123" t="str">
        <f t="shared" si="460"/>
        <v/>
      </c>
    </row>
    <row r="1863" spans="1:16" x14ac:dyDescent="0.2">
      <c r="A1863" s="119"/>
      <c r="B1863" s="120"/>
      <c r="C1863" s="129"/>
      <c r="D1863" s="129"/>
      <c r="E1863" s="129"/>
      <c r="F1863" s="129"/>
      <c r="G1863" s="129"/>
      <c r="H1863" s="129"/>
      <c r="I1863" s="129">
        <f>mayors!J307</f>
        <v>0</v>
      </c>
      <c r="J1863" s="129"/>
      <c r="K1863" s="129"/>
      <c r="L1863" s="129"/>
      <c r="O1863" s="129"/>
      <c r="P1863" s="123" t="str">
        <f t="shared" ref="P1863:P1926" si="474">MID(A1863,6,3)</f>
        <v/>
      </c>
    </row>
    <row r="1864" spans="1:16" x14ac:dyDescent="0.2">
      <c r="A1864" s="119" t="s">
        <v>800</v>
      </c>
      <c r="B1864" s="120" t="s">
        <v>202</v>
      </c>
      <c r="C1864" s="129">
        <v>1611660</v>
      </c>
      <c r="D1864" s="129">
        <v>128822.89</v>
      </c>
      <c r="E1864" s="129">
        <v>0</v>
      </c>
      <c r="F1864" s="129">
        <v>772937.34</v>
      </c>
      <c r="G1864" s="129">
        <v>838722.66</v>
      </c>
      <c r="H1864" s="129">
        <v>47.95</v>
      </c>
      <c r="I1864" s="129">
        <f>mayors!J308</f>
        <v>0</v>
      </c>
      <c r="J1864" s="129">
        <f>mayors!K308</f>
        <v>1611660</v>
      </c>
      <c r="K1864" s="129">
        <f>mayors!L308</f>
        <v>1712388.75</v>
      </c>
      <c r="L1864" s="129">
        <f>mayors!M308</f>
        <v>1832255.9624999999</v>
      </c>
      <c r="O1864" s="129">
        <f>mayors!N308</f>
        <v>1960513.8798749999</v>
      </c>
      <c r="P1864" s="123" t="str">
        <f t="shared" si="474"/>
        <v>211</v>
      </c>
    </row>
    <row r="1865" spans="1:16" x14ac:dyDescent="0.2">
      <c r="A1865" s="119" t="s">
        <v>801</v>
      </c>
      <c r="B1865" s="120" t="s">
        <v>203</v>
      </c>
      <c r="C1865" s="129">
        <v>4834979</v>
      </c>
      <c r="D1865" s="129">
        <v>385468.88</v>
      </c>
      <c r="E1865" s="129">
        <v>0</v>
      </c>
      <c r="F1865" s="129">
        <v>2319951.9700000002</v>
      </c>
      <c r="G1865" s="129">
        <v>2515027.0299999998</v>
      </c>
      <c r="H1865" s="129">
        <v>47.98</v>
      </c>
      <c r="I1865" s="129">
        <f>mayors!J309</f>
        <v>0</v>
      </c>
      <c r="J1865" s="129">
        <f>mayors!K309</f>
        <v>4834979</v>
      </c>
      <c r="K1865" s="129">
        <f>mayors!L309</f>
        <v>5137165.1875</v>
      </c>
      <c r="L1865" s="129">
        <f>mayors!M309</f>
        <v>5496766.7506250003</v>
      </c>
      <c r="O1865" s="129">
        <f>mayors!N309</f>
        <v>5881540.4231687505</v>
      </c>
      <c r="P1865" s="123" t="str">
        <f t="shared" si="474"/>
        <v>211</v>
      </c>
    </row>
    <row r="1866" spans="1:16" x14ac:dyDescent="0.2">
      <c r="A1866" s="119" t="s">
        <v>802</v>
      </c>
      <c r="B1866" s="120" t="s">
        <v>204</v>
      </c>
      <c r="C1866" s="129">
        <v>1092684</v>
      </c>
      <c r="D1866" s="129">
        <v>78200</v>
      </c>
      <c r="E1866" s="129">
        <v>0</v>
      </c>
      <c r="F1866" s="129">
        <v>469200</v>
      </c>
      <c r="G1866" s="129">
        <v>623484</v>
      </c>
      <c r="H1866" s="129">
        <v>42.94</v>
      </c>
      <c r="I1866" s="129">
        <f>mayors!J310</f>
        <v>0</v>
      </c>
      <c r="J1866" s="129">
        <f>mayors!K310</f>
        <v>1092684</v>
      </c>
      <c r="K1866" s="129">
        <f>mayors!L310</f>
        <v>1160976.75</v>
      </c>
      <c r="L1866" s="129">
        <f>mayors!M310</f>
        <v>1242245.1225000001</v>
      </c>
      <c r="O1866" s="129">
        <f>mayors!N310</f>
        <v>1329202.2810750001</v>
      </c>
      <c r="P1866" s="123" t="str">
        <f t="shared" si="474"/>
        <v>211</v>
      </c>
    </row>
    <row r="1867" spans="1:16" x14ac:dyDescent="0.2">
      <c r="A1867" s="119"/>
      <c r="B1867" s="120"/>
      <c r="C1867" s="129"/>
      <c r="D1867" s="129"/>
      <c r="E1867" s="129"/>
      <c r="F1867" s="129"/>
      <c r="G1867" s="129"/>
      <c r="H1867" s="129"/>
      <c r="I1867" s="129">
        <f>mayors!J311</f>
        <v>0</v>
      </c>
      <c r="J1867" s="129"/>
      <c r="K1867" s="129"/>
      <c r="L1867" s="129"/>
      <c r="O1867" s="129"/>
      <c r="P1867" s="123" t="str">
        <f t="shared" si="474"/>
        <v/>
      </c>
    </row>
    <row r="1868" spans="1:16" s="114" customFormat="1" ht="15" x14ac:dyDescent="0.25">
      <c r="A1868" s="118"/>
      <c r="B1868" s="117" t="s">
        <v>205</v>
      </c>
      <c r="C1868" s="128">
        <f>SUM(C1864:C1867)</f>
        <v>7539323</v>
      </c>
      <c r="D1868" s="128">
        <f t="shared" ref="D1868:O1868" si="475">SUM(D1864:D1867)</f>
        <v>592491.77</v>
      </c>
      <c r="E1868" s="128">
        <f t="shared" si="475"/>
        <v>0</v>
      </c>
      <c r="F1868" s="128">
        <f t="shared" si="475"/>
        <v>3562089.31</v>
      </c>
      <c r="G1868" s="128">
        <f t="shared" si="475"/>
        <v>3977233.69</v>
      </c>
      <c r="H1868" s="128">
        <f t="shared" si="475"/>
        <v>138.87</v>
      </c>
      <c r="I1868" s="128">
        <f t="shared" si="475"/>
        <v>0</v>
      </c>
      <c r="J1868" s="128">
        <f t="shared" si="475"/>
        <v>7539323</v>
      </c>
      <c r="K1868" s="128">
        <f t="shared" si="475"/>
        <v>8010530.6875</v>
      </c>
      <c r="L1868" s="128">
        <f t="shared" si="475"/>
        <v>8571267.8356250003</v>
      </c>
      <c r="M1868" s="128">
        <f t="shared" si="475"/>
        <v>0</v>
      </c>
      <c r="N1868" s="128">
        <f t="shared" si="475"/>
        <v>0</v>
      </c>
      <c r="O1868" s="128">
        <f t="shared" si="475"/>
        <v>9171256.5841187499</v>
      </c>
      <c r="P1868" s="123" t="str">
        <f t="shared" si="474"/>
        <v/>
      </c>
    </row>
    <row r="1869" spans="1:16" s="114" customFormat="1" ht="15" x14ac:dyDescent="0.25">
      <c r="A1869" s="118"/>
      <c r="B1869" s="117"/>
      <c r="C1869" s="128"/>
      <c r="D1869" s="128"/>
      <c r="E1869" s="128"/>
      <c r="F1869" s="128"/>
      <c r="G1869" s="128"/>
      <c r="H1869" s="128"/>
      <c r="I1869" s="129">
        <f>mayors!J313</f>
        <v>0</v>
      </c>
      <c r="J1869" s="129"/>
      <c r="K1869" s="129"/>
      <c r="L1869" s="129"/>
      <c r="M1869" s="186"/>
      <c r="N1869" s="186"/>
      <c r="O1869" s="128"/>
      <c r="P1869" s="123" t="str">
        <f t="shared" si="474"/>
        <v/>
      </c>
    </row>
    <row r="1870" spans="1:16" s="114" customFormat="1" ht="15" x14ac:dyDescent="0.25">
      <c r="A1870" s="118"/>
      <c r="B1870" s="117" t="s">
        <v>206</v>
      </c>
      <c r="C1870" s="128">
        <f>C1868</f>
        <v>7539323</v>
      </c>
      <c r="D1870" s="128">
        <f t="shared" ref="D1870:O1870" si="476">D1868</f>
        <v>592491.77</v>
      </c>
      <c r="E1870" s="128">
        <f t="shared" si="476"/>
        <v>0</v>
      </c>
      <c r="F1870" s="128">
        <f t="shared" si="476"/>
        <v>3562089.31</v>
      </c>
      <c r="G1870" s="128">
        <f t="shared" si="476"/>
        <v>3977233.69</v>
      </c>
      <c r="H1870" s="128">
        <f t="shared" si="476"/>
        <v>138.87</v>
      </c>
      <c r="I1870" s="128">
        <f t="shared" si="476"/>
        <v>0</v>
      </c>
      <c r="J1870" s="128">
        <f t="shared" si="476"/>
        <v>7539323</v>
      </c>
      <c r="K1870" s="128">
        <f t="shared" si="476"/>
        <v>8010530.6875</v>
      </c>
      <c r="L1870" s="128">
        <f t="shared" si="476"/>
        <v>8571267.8356250003</v>
      </c>
      <c r="M1870" s="128">
        <f t="shared" si="476"/>
        <v>0</v>
      </c>
      <c r="N1870" s="128">
        <f t="shared" si="476"/>
        <v>0</v>
      </c>
      <c r="O1870" s="128">
        <f t="shared" si="476"/>
        <v>9171256.5841187499</v>
      </c>
      <c r="P1870" s="123" t="str">
        <f t="shared" si="474"/>
        <v/>
      </c>
    </row>
    <row r="1871" spans="1:16" s="114" customFormat="1" ht="15" x14ac:dyDescent="0.25">
      <c r="A1871" s="118"/>
      <c r="B1871" s="117"/>
      <c r="C1871" s="128"/>
      <c r="D1871" s="128"/>
      <c r="E1871" s="128"/>
      <c r="F1871" s="128"/>
      <c r="G1871" s="128"/>
      <c r="H1871" s="128"/>
      <c r="I1871" s="129">
        <f>mayors!J315</f>
        <v>0</v>
      </c>
      <c r="J1871" s="129"/>
      <c r="K1871" s="129"/>
      <c r="L1871" s="129"/>
      <c r="M1871" s="186"/>
      <c r="N1871" s="186"/>
      <c r="O1871" s="128"/>
      <c r="P1871" s="123" t="str">
        <f t="shared" si="474"/>
        <v/>
      </c>
    </row>
    <row r="1872" spans="1:16" s="114" customFormat="1" ht="15" x14ac:dyDescent="0.25">
      <c r="A1872" s="118"/>
      <c r="B1872" s="117" t="s">
        <v>207</v>
      </c>
      <c r="C1872" s="128">
        <f>SUM(C1870:C1871)</f>
        <v>7539323</v>
      </c>
      <c r="D1872" s="128">
        <f t="shared" ref="D1872:O1872" si="477">SUM(D1870:D1871)</f>
        <v>592491.77</v>
      </c>
      <c r="E1872" s="128">
        <f t="shared" si="477"/>
        <v>0</v>
      </c>
      <c r="F1872" s="128">
        <f t="shared" si="477"/>
        <v>3562089.31</v>
      </c>
      <c r="G1872" s="128">
        <f t="shared" si="477"/>
        <v>3977233.69</v>
      </c>
      <c r="H1872" s="128">
        <f t="shared" si="477"/>
        <v>138.87</v>
      </c>
      <c r="I1872" s="128">
        <f t="shared" si="477"/>
        <v>0</v>
      </c>
      <c r="J1872" s="128">
        <f t="shared" si="477"/>
        <v>7539323</v>
      </c>
      <c r="K1872" s="128">
        <f t="shared" si="477"/>
        <v>8010530.6875</v>
      </c>
      <c r="L1872" s="128">
        <f t="shared" si="477"/>
        <v>8571267.8356250003</v>
      </c>
      <c r="M1872" s="128">
        <f t="shared" si="477"/>
        <v>0</v>
      </c>
      <c r="N1872" s="128">
        <f t="shared" si="477"/>
        <v>0</v>
      </c>
      <c r="O1872" s="128">
        <f t="shared" si="477"/>
        <v>9171256.5841187499</v>
      </c>
      <c r="P1872" s="123" t="str">
        <f t="shared" si="474"/>
        <v/>
      </c>
    </row>
    <row r="1873" spans="1:16" x14ac:dyDescent="0.2">
      <c r="A1873" s="119"/>
      <c r="B1873" s="120"/>
      <c r="C1873" s="129"/>
      <c r="D1873" s="129"/>
      <c r="E1873" s="129"/>
      <c r="F1873" s="129"/>
      <c r="G1873" s="129"/>
      <c r="H1873" s="129"/>
      <c r="I1873" s="129">
        <f>mayors!J317</f>
        <v>0</v>
      </c>
      <c r="J1873" s="129"/>
      <c r="K1873" s="129"/>
      <c r="L1873" s="129"/>
      <c r="O1873" s="129"/>
      <c r="P1873" s="123" t="str">
        <f t="shared" si="474"/>
        <v/>
      </c>
    </row>
    <row r="1874" spans="1:16" s="114" customFormat="1" ht="15" x14ac:dyDescent="0.25">
      <c r="A1874" s="118"/>
      <c r="B1874" s="117" t="s">
        <v>241</v>
      </c>
      <c r="C1874" s="128"/>
      <c r="D1874" s="128"/>
      <c r="E1874" s="128"/>
      <c r="F1874" s="128"/>
      <c r="G1874" s="128"/>
      <c r="H1874" s="128"/>
      <c r="I1874" s="129">
        <f>mayors!J318</f>
        <v>0</v>
      </c>
      <c r="J1874" s="129"/>
      <c r="K1874" s="129"/>
      <c r="L1874" s="129"/>
      <c r="M1874" s="186"/>
      <c r="N1874" s="186"/>
      <c r="O1874" s="128"/>
      <c r="P1874" s="123" t="str">
        <f t="shared" si="474"/>
        <v/>
      </c>
    </row>
    <row r="1875" spans="1:16" x14ac:dyDescent="0.2">
      <c r="A1875" s="119"/>
      <c r="B1875" s="120"/>
      <c r="C1875" s="129"/>
      <c r="D1875" s="129"/>
      <c r="E1875" s="129"/>
      <c r="F1875" s="129"/>
      <c r="G1875" s="129"/>
      <c r="H1875" s="129"/>
      <c r="I1875" s="129">
        <f>mayors!J319</f>
        <v>0</v>
      </c>
      <c r="J1875" s="129"/>
      <c r="K1875" s="129"/>
      <c r="L1875" s="129"/>
      <c r="O1875" s="129"/>
      <c r="P1875" s="123" t="str">
        <f t="shared" si="474"/>
        <v/>
      </c>
    </row>
    <row r="1876" spans="1:16" x14ac:dyDescent="0.2">
      <c r="A1876" s="119" t="s">
        <v>803</v>
      </c>
      <c r="B1876" s="120" t="s">
        <v>265</v>
      </c>
      <c r="C1876" s="129">
        <v>26435</v>
      </c>
      <c r="D1876" s="129">
        <v>3958.63</v>
      </c>
      <c r="E1876" s="129">
        <v>0</v>
      </c>
      <c r="F1876" s="129">
        <v>23902.7</v>
      </c>
      <c r="G1876" s="129">
        <v>2532.3000000000002</v>
      </c>
      <c r="H1876" s="129">
        <v>90.42</v>
      </c>
      <c r="I1876" s="129">
        <f>mayors!J320</f>
        <v>1565</v>
      </c>
      <c r="J1876" s="129">
        <f>mayors!K320</f>
        <v>28000</v>
      </c>
      <c r="K1876" s="129">
        <f>mayors!L320</f>
        <v>29260</v>
      </c>
      <c r="L1876" s="129">
        <f>mayors!M320</f>
        <v>30605.96</v>
      </c>
      <c r="O1876" s="129">
        <f>mayors!N320</f>
        <v>32013.834159999999</v>
      </c>
      <c r="P1876" s="123" t="str">
        <f t="shared" si="474"/>
        <v>305</v>
      </c>
    </row>
    <row r="1877" spans="1:16" x14ac:dyDescent="0.2">
      <c r="A1877" s="119" t="s">
        <v>804</v>
      </c>
      <c r="B1877" s="120" t="s">
        <v>268</v>
      </c>
      <c r="C1877" s="129">
        <v>744098</v>
      </c>
      <c r="D1877" s="129">
        <v>144150.1</v>
      </c>
      <c r="E1877" s="129">
        <v>0</v>
      </c>
      <c r="F1877" s="129">
        <v>612933.16</v>
      </c>
      <c r="G1877" s="129">
        <v>131164.84</v>
      </c>
      <c r="H1877" s="129">
        <v>82.37</v>
      </c>
      <c r="I1877" s="129">
        <f>mayors!J321</f>
        <v>0</v>
      </c>
      <c r="J1877" s="129">
        <f>mayors!K321</f>
        <v>744098</v>
      </c>
      <c r="K1877" s="129">
        <f>mayors!L321</f>
        <v>777582.41</v>
      </c>
      <c r="L1877" s="129">
        <f>mayors!M321</f>
        <v>813351.20085999998</v>
      </c>
      <c r="O1877" s="129">
        <f>mayors!N321</f>
        <v>850765.35609955993</v>
      </c>
      <c r="P1877" s="123" t="str">
        <f t="shared" si="474"/>
        <v>305</v>
      </c>
    </row>
    <row r="1878" spans="1:16" x14ac:dyDescent="0.2">
      <c r="A1878" s="119" t="s">
        <v>805</v>
      </c>
      <c r="B1878" s="120" t="s">
        <v>269</v>
      </c>
      <c r="C1878" s="129">
        <v>400000</v>
      </c>
      <c r="D1878" s="129">
        <v>0</v>
      </c>
      <c r="E1878" s="129">
        <v>0</v>
      </c>
      <c r="F1878" s="129">
        <v>19905.599999999999</v>
      </c>
      <c r="G1878" s="129">
        <v>380094.4</v>
      </c>
      <c r="H1878" s="129">
        <v>4.97</v>
      </c>
      <c r="I1878" s="129">
        <f>mayors!J322</f>
        <v>-300000</v>
      </c>
      <c r="J1878" s="129">
        <f>mayors!K322</f>
        <v>100000</v>
      </c>
      <c r="K1878" s="129">
        <f>mayors!L322</f>
        <v>104500</v>
      </c>
      <c r="L1878" s="129">
        <f>mayors!M322</f>
        <v>109307</v>
      </c>
      <c r="O1878" s="129">
        <f>mayors!N322</f>
        <v>114335.122</v>
      </c>
      <c r="P1878" s="123" t="str">
        <f t="shared" si="474"/>
        <v>305</v>
      </c>
    </row>
    <row r="1879" spans="1:16" x14ac:dyDescent="0.2">
      <c r="A1879" s="119"/>
      <c r="B1879" s="120"/>
      <c r="C1879" s="129"/>
      <c r="D1879" s="129"/>
      <c r="E1879" s="129"/>
      <c r="F1879" s="129"/>
      <c r="G1879" s="129"/>
      <c r="H1879" s="129"/>
      <c r="I1879" s="129">
        <f>mayors!J323</f>
        <v>0</v>
      </c>
      <c r="J1879" s="129"/>
      <c r="K1879" s="129"/>
      <c r="L1879" s="129"/>
      <c r="O1879" s="129"/>
      <c r="P1879" s="123" t="str">
        <f t="shared" si="474"/>
        <v/>
      </c>
    </row>
    <row r="1880" spans="1:16" s="114" customFormat="1" ht="15" x14ac:dyDescent="0.25">
      <c r="A1880" s="118"/>
      <c r="B1880" s="117" t="s">
        <v>274</v>
      </c>
      <c r="C1880" s="128">
        <f>SUM(C1876:C1879)</f>
        <v>1170533</v>
      </c>
      <c r="D1880" s="128">
        <f t="shared" ref="D1880:O1880" si="478">SUM(D1876:D1879)</f>
        <v>148108.73000000001</v>
      </c>
      <c r="E1880" s="128">
        <f t="shared" si="478"/>
        <v>0</v>
      </c>
      <c r="F1880" s="128">
        <f t="shared" si="478"/>
        <v>656741.46</v>
      </c>
      <c r="G1880" s="128">
        <f t="shared" si="478"/>
        <v>513791.54000000004</v>
      </c>
      <c r="H1880" s="128">
        <f t="shared" si="478"/>
        <v>177.76000000000002</v>
      </c>
      <c r="I1880" s="128">
        <f t="shared" si="478"/>
        <v>-298435</v>
      </c>
      <c r="J1880" s="128">
        <f t="shared" si="478"/>
        <v>872098</v>
      </c>
      <c r="K1880" s="128">
        <f t="shared" si="478"/>
        <v>911342.41</v>
      </c>
      <c r="L1880" s="128">
        <f t="shared" si="478"/>
        <v>953264.16085999995</v>
      </c>
      <c r="M1880" s="128">
        <f t="shared" si="478"/>
        <v>0</v>
      </c>
      <c r="N1880" s="128">
        <f t="shared" si="478"/>
        <v>0</v>
      </c>
      <c r="O1880" s="128">
        <f t="shared" si="478"/>
        <v>997114.31225955987</v>
      </c>
      <c r="P1880" s="123" t="str">
        <f t="shared" si="474"/>
        <v/>
      </c>
    </row>
    <row r="1881" spans="1:16" x14ac:dyDescent="0.2">
      <c r="A1881" s="119"/>
      <c r="B1881" s="120"/>
      <c r="C1881" s="129"/>
      <c r="D1881" s="129"/>
      <c r="E1881" s="129"/>
      <c r="F1881" s="129"/>
      <c r="G1881" s="129"/>
      <c r="H1881" s="129"/>
      <c r="I1881" s="129">
        <f>mayors!J325</f>
        <v>0</v>
      </c>
      <c r="J1881" s="129"/>
      <c r="K1881" s="129"/>
      <c r="L1881" s="129"/>
      <c r="O1881" s="129"/>
      <c r="P1881" s="123" t="str">
        <f t="shared" si="474"/>
        <v/>
      </c>
    </row>
    <row r="1882" spans="1:16" s="114" customFormat="1" ht="15" x14ac:dyDescent="0.25">
      <c r="A1882" s="118"/>
      <c r="B1882" s="117" t="s">
        <v>305</v>
      </c>
      <c r="C1882" s="128">
        <f>C1858+C1872+C1880</f>
        <v>8709856</v>
      </c>
      <c r="D1882" s="128">
        <f t="shared" ref="D1882:O1882" si="479">D1858+D1872+D1880</f>
        <v>742800.1</v>
      </c>
      <c r="E1882" s="128">
        <f t="shared" si="479"/>
        <v>0</v>
      </c>
      <c r="F1882" s="128">
        <f t="shared" si="479"/>
        <v>4267666.3599999994</v>
      </c>
      <c r="G1882" s="128">
        <f t="shared" si="479"/>
        <v>4442189.6400000006</v>
      </c>
      <c r="H1882" s="128">
        <f t="shared" si="479"/>
        <v>316.63</v>
      </c>
      <c r="I1882" s="128">
        <f t="shared" si="479"/>
        <v>-188435</v>
      </c>
      <c r="J1882" s="128">
        <f t="shared" si="479"/>
        <v>8521421</v>
      </c>
      <c r="K1882" s="128">
        <f t="shared" si="479"/>
        <v>9038973.0975000001</v>
      </c>
      <c r="L1882" s="128">
        <f t="shared" si="479"/>
        <v>9649828.9964850005</v>
      </c>
      <c r="M1882" s="128">
        <f t="shared" si="479"/>
        <v>0</v>
      </c>
      <c r="N1882" s="128">
        <f t="shared" si="479"/>
        <v>0</v>
      </c>
      <c r="O1882" s="128">
        <f t="shared" si="479"/>
        <v>10302438.68637831</v>
      </c>
      <c r="P1882" s="123" t="str">
        <f t="shared" si="474"/>
        <v/>
      </c>
    </row>
    <row r="1883" spans="1:16" s="114" customFormat="1" ht="15" x14ac:dyDescent="0.25">
      <c r="A1883" s="118"/>
      <c r="B1883" s="117"/>
      <c r="C1883" s="128"/>
      <c r="D1883" s="128"/>
      <c r="E1883" s="128"/>
      <c r="F1883" s="128"/>
      <c r="G1883" s="128"/>
      <c r="H1883" s="128"/>
      <c r="I1883" s="129">
        <f>mayors!J327</f>
        <v>0</v>
      </c>
      <c r="J1883" s="129"/>
      <c r="K1883" s="129"/>
      <c r="L1883" s="129"/>
      <c r="M1883" s="186"/>
      <c r="N1883" s="186"/>
      <c r="O1883" s="128"/>
      <c r="P1883" s="123" t="str">
        <f t="shared" si="474"/>
        <v/>
      </c>
    </row>
    <row r="1884" spans="1:16" s="114" customFormat="1" ht="15" x14ac:dyDescent="0.25">
      <c r="A1884" s="118"/>
      <c r="B1884" s="117" t="s">
        <v>306</v>
      </c>
      <c r="C1884" s="128">
        <f>C1882</f>
        <v>8709856</v>
      </c>
      <c r="D1884" s="128">
        <f t="shared" ref="D1884:O1884" si="480">D1882</f>
        <v>742800.1</v>
      </c>
      <c r="E1884" s="128">
        <f t="shared" si="480"/>
        <v>0</v>
      </c>
      <c r="F1884" s="128">
        <f t="shared" si="480"/>
        <v>4267666.3599999994</v>
      </c>
      <c r="G1884" s="128">
        <f t="shared" si="480"/>
        <v>4442189.6400000006</v>
      </c>
      <c r="H1884" s="128">
        <f t="shared" si="480"/>
        <v>316.63</v>
      </c>
      <c r="I1884" s="128">
        <f t="shared" si="480"/>
        <v>-188435</v>
      </c>
      <c r="J1884" s="128">
        <f t="shared" si="480"/>
        <v>8521421</v>
      </c>
      <c r="K1884" s="128">
        <f t="shared" si="480"/>
        <v>9038973.0975000001</v>
      </c>
      <c r="L1884" s="128">
        <f t="shared" si="480"/>
        <v>9649828.9964850005</v>
      </c>
      <c r="M1884" s="128">
        <f t="shared" si="480"/>
        <v>0</v>
      </c>
      <c r="N1884" s="128">
        <f t="shared" si="480"/>
        <v>0</v>
      </c>
      <c r="O1884" s="128">
        <f t="shared" si="480"/>
        <v>10302438.68637831</v>
      </c>
      <c r="P1884" s="123" t="str">
        <f t="shared" si="474"/>
        <v/>
      </c>
    </row>
    <row r="1885" spans="1:16" x14ac:dyDescent="0.2">
      <c r="A1885" s="119"/>
      <c r="B1885" s="120"/>
      <c r="C1885" s="129"/>
      <c r="D1885" s="129"/>
      <c r="E1885" s="129"/>
      <c r="F1885" s="129"/>
      <c r="G1885" s="129"/>
      <c r="H1885" s="129"/>
      <c r="I1885" s="129"/>
      <c r="J1885" s="129"/>
      <c r="K1885" s="129"/>
      <c r="L1885" s="129"/>
      <c r="O1885" s="129"/>
      <c r="P1885" s="123" t="str">
        <f t="shared" si="474"/>
        <v/>
      </c>
    </row>
    <row r="1886" spans="1:16" s="114" customFormat="1" ht="15" x14ac:dyDescent="0.25">
      <c r="A1886" s="118"/>
      <c r="B1886" s="117" t="s">
        <v>806</v>
      </c>
      <c r="C1886" s="128"/>
      <c r="D1886" s="128"/>
      <c r="E1886" s="128"/>
      <c r="F1886" s="128"/>
      <c r="G1886" s="128"/>
      <c r="H1886" s="128"/>
      <c r="I1886" s="128"/>
      <c r="J1886" s="128"/>
      <c r="K1886" s="128"/>
      <c r="L1886" s="128"/>
      <c r="M1886" s="186"/>
      <c r="N1886" s="186"/>
      <c r="O1886" s="128"/>
      <c r="P1886" s="123" t="str">
        <f t="shared" si="474"/>
        <v/>
      </c>
    </row>
    <row r="1887" spans="1:16" s="114" customFormat="1" ht="15" x14ac:dyDescent="0.25">
      <c r="A1887" s="118"/>
      <c r="B1887" s="117" t="s">
        <v>9</v>
      </c>
      <c r="C1887" s="128"/>
      <c r="D1887" s="128"/>
      <c r="E1887" s="128"/>
      <c r="F1887" s="128"/>
      <c r="G1887" s="128"/>
      <c r="H1887" s="128"/>
      <c r="I1887" s="128"/>
      <c r="J1887" s="128"/>
      <c r="K1887" s="128"/>
      <c r="L1887" s="128"/>
      <c r="M1887" s="186"/>
      <c r="N1887" s="186"/>
      <c r="O1887" s="128"/>
      <c r="P1887" s="123" t="str">
        <f t="shared" si="474"/>
        <v/>
      </c>
    </row>
    <row r="1888" spans="1:16" s="114" customFormat="1" ht="15" x14ac:dyDescent="0.25">
      <c r="A1888" s="118"/>
      <c r="B1888" s="117" t="s">
        <v>10</v>
      </c>
      <c r="C1888" s="128"/>
      <c r="D1888" s="128"/>
      <c r="E1888" s="128"/>
      <c r="F1888" s="128"/>
      <c r="G1888" s="128"/>
      <c r="H1888" s="128"/>
      <c r="I1888" s="128"/>
      <c r="J1888" s="128"/>
      <c r="K1888" s="128"/>
      <c r="L1888" s="128"/>
      <c r="M1888" s="186"/>
      <c r="N1888" s="186"/>
      <c r="O1888" s="128"/>
      <c r="P1888" s="123" t="str">
        <f t="shared" si="474"/>
        <v/>
      </c>
    </row>
    <row r="1889" spans="1:16" s="114" customFormat="1" ht="15" x14ac:dyDescent="0.25">
      <c r="A1889" s="118"/>
      <c r="B1889" s="117" t="s">
        <v>11</v>
      </c>
      <c r="C1889" s="128"/>
      <c r="D1889" s="128"/>
      <c r="E1889" s="128"/>
      <c r="F1889" s="128"/>
      <c r="G1889" s="128"/>
      <c r="H1889" s="128"/>
      <c r="I1889" s="128"/>
      <c r="J1889" s="128"/>
      <c r="K1889" s="128"/>
      <c r="L1889" s="128"/>
      <c r="M1889" s="186"/>
      <c r="N1889" s="186"/>
      <c r="O1889" s="128"/>
      <c r="P1889" s="123" t="str">
        <f t="shared" si="474"/>
        <v/>
      </c>
    </row>
    <row r="1890" spans="1:16" x14ac:dyDescent="0.2">
      <c r="A1890" s="119"/>
      <c r="B1890" s="120"/>
      <c r="C1890" s="129"/>
      <c r="D1890" s="129"/>
      <c r="E1890" s="129"/>
      <c r="F1890" s="129"/>
      <c r="G1890" s="129"/>
      <c r="H1890" s="129"/>
      <c r="I1890" s="129"/>
      <c r="J1890" s="129"/>
      <c r="K1890" s="129"/>
      <c r="L1890" s="129"/>
      <c r="O1890" s="129"/>
      <c r="P1890" s="123" t="str">
        <f t="shared" si="474"/>
        <v/>
      </c>
    </row>
    <row r="1891" spans="1:16" x14ac:dyDescent="0.2">
      <c r="A1891" s="119" t="s">
        <v>807</v>
      </c>
      <c r="B1891" s="120" t="s">
        <v>12</v>
      </c>
      <c r="C1891" s="129">
        <v>-1411279</v>
      </c>
      <c r="D1891" s="129">
        <v>-141346.4</v>
      </c>
      <c r="E1891" s="129">
        <v>0</v>
      </c>
      <c r="F1891" s="129">
        <v>-848078.4</v>
      </c>
      <c r="G1891" s="129">
        <v>-563200.6</v>
      </c>
      <c r="H1891" s="129">
        <v>60.09</v>
      </c>
      <c r="I1891" s="129">
        <f>'B&amp;T'!J8</f>
        <v>0</v>
      </c>
      <c r="J1891" s="129">
        <f>'B&amp;T'!K8</f>
        <v>-1696156</v>
      </c>
      <c r="K1891" s="129">
        <f>'B&amp;T'!L8</f>
        <v>-1772483.02</v>
      </c>
      <c r="L1891" s="129">
        <f>'B&amp;T'!M8</f>
        <v>-1854017.2389199999</v>
      </c>
      <c r="M1891" s="129">
        <f>'B&amp;T'!N8</f>
        <v>-1939302.0319103198</v>
      </c>
      <c r="N1891" s="129">
        <f>'B&amp;T'!O8</f>
        <v>0</v>
      </c>
      <c r="O1891" s="129">
        <f>'B&amp;T'!N8</f>
        <v>-1939302.0319103198</v>
      </c>
      <c r="P1891" s="123" t="str">
        <f t="shared" si="474"/>
        <v>020</v>
      </c>
    </row>
    <row r="1892" spans="1:16" x14ac:dyDescent="0.2">
      <c r="A1892" s="119" t="s">
        <v>808</v>
      </c>
      <c r="B1892" s="120" t="s">
        <v>13</v>
      </c>
      <c r="C1892" s="129">
        <v>0</v>
      </c>
      <c r="D1892" s="129">
        <v>-464849.13</v>
      </c>
      <c r="E1892" s="129">
        <v>0</v>
      </c>
      <c r="F1892" s="129">
        <v>-2748139.43</v>
      </c>
      <c r="G1892" s="129">
        <v>2748139.43</v>
      </c>
      <c r="H1892" s="129">
        <v>0</v>
      </c>
      <c r="I1892" s="129">
        <f>'B&amp;T'!J9</f>
        <v>-5496279</v>
      </c>
      <c r="J1892" s="129">
        <f>'B&amp;T'!K9</f>
        <v>-5496279</v>
      </c>
      <c r="K1892" s="129">
        <f>'B&amp;T'!L9</f>
        <v>-5743611.5549999997</v>
      </c>
      <c r="L1892" s="129">
        <f>'B&amp;T'!M9</f>
        <v>-6007817.6865299996</v>
      </c>
      <c r="M1892" s="129">
        <f>'B&amp;T'!N9</f>
        <v>-6284177.3001103792</v>
      </c>
      <c r="N1892" s="129">
        <f>'B&amp;T'!O9</f>
        <v>0</v>
      </c>
      <c r="O1892" s="129">
        <f>'B&amp;T'!N9</f>
        <v>-6284177.3001103792</v>
      </c>
      <c r="P1892" s="123" t="str">
        <f t="shared" si="474"/>
        <v>021</v>
      </c>
    </row>
    <row r="1893" spans="1:16" x14ac:dyDescent="0.2">
      <c r="A1893" s="119" t="s">
        <v>809</v>
      </c>
      <c r="B1893" s="120" t="s">
        <v>14</v>
      </c>
      <c r="C1893" s="129">
        <v>-7880</v>
      </c>
      <c r="D1893" s="129">
        <v>0</v>
      </c>
      <c r="E1893" s="129">
        <v>0</v>
      </c>
      <c r="F1893" s="129">
        <v>0</v>
      </c>
      <c r="G1893" s="129">
        <v>-7880</v>
      </c>
      <c r="H1893" s="129">
        <v>0</v>
      </c>
      <c r="I1893" s="129">
        <f>'B&amp;T'!J10</f>
        <v>7880</v>
      </c>
      <c r="J1893" s="129">
        <f>'B&amp;T'!K10</f>
        <v>0</v>
      </c>
      <c r="K1893" s="129">
        <f>'B&amp;T'!L10</f>
        <v>0</v>
      </c>
      <c r="L1893" s="129">
        <f>'B&amp;T'!M10</f>
        <v>0</v>
      </c>
      <c r="M1893" s="129">
        <f>'B&amp;T'!N10</f>
        <v>0</v>
      </c>
      <c r="N1893" s="129">
        <f>'B&amp;T'!O10</f>
        <v>0</v>
      </c>
      <c r="O1893" s="129">
        <f>'B&amp;T'!N10</f>
        <v>0</v>
      </c>
      <c r="P1893" s="123" t="str">
        <f t="shared" si="474"/>
        <v>023</v>
      </c>
    </row>
    <row r="1894" spans="1:16" x14ac:dyDescent="0.2">
      <c r="A1894" s="119" t="s">
        <v>810</v>
      </c>
      <c r="B1894" s="120" t="s">
        <v>15</v>
      </c>
      <c r="C1894" s="129">
        <v>-22835</v>
      </c>
      <c r="D1894" s="129">
        <v>-501.78</v>
      </c>
      <c r="E1894" s="129">
        <v>0</v>
      </c>
      <c r="F1894" s="129">
        <v>-3010.68</v>
      </c>
      <c r="G1894" s="129">
        <v>-19824.32</v>
      </c>
      <c r="H1894" s="129">
        <v>13.18</v>
      </c>
      <c r="I1894" s="129">
        <f>'B&amp;T'!J11</f>
        <v>16813</v>
      </c>
      <c r="J1894" s="129">
        <f>'B&amp;T'!K11</f>
        <v>-6022</v>
      </c>
      <c r="K1894" s="129">
        <f>'B&amp;T'!L11</f>
        <v>-6292.99</v>
      </c>
      <c r="L1894" s="129">
        <f>'B&amp;T'!M11</f>
        <v>-6582.4675399999996</v>
      </c>
      <c r="M1894" s="129">
        <f>'B&amp;T'!N11</f>
        <v>-6885.2610468399998</v>
      </c>
      <c r="N1894" s="129">
        <f>'B&amp;T'!O11</f>
        <v>0</v>
      </c>
      <c r="O1894" s="129">
        <f>'B&amp;T'!N11</f>
        <v>-6885.2610468399998</v>
      </c>
      <c r="P1894" s="123" t="str">
        <f t="shared" si="474"/>
        <v>024</v>
      </c>
    </row>
    <row r="1895" spans="1:16" x14ac:dyDescent="0.2">
      <c r="A1895" s="119" t="s">
        <v>811</v>
      </c>
      <c r="B1895" s="120" t="s">
        <v>16</v>
      </c>
      <c r="C1895" s="129">
        <v>-1954883</v>
      </c>
      <c r="D1895" s="129">
        <v>147245.66</v>
      </c>
      <c r="E1895" s="129">
        <v>0</v>
      </c>
      <c r="F1895" s="129">
        <v>862061.08</v>
      </c>
      <c r="G1895" s="129">
        <v>-2816944.08</v>
      </c>
      <c r="H1895" s="129">
        <v>-44.09</v>
      </c>
      <c r="I1895" s="129">
        <f>'B&amp;T'!J12</f>
        <v>3679005</v>
      </c>
      <c r="J1895" s="129">
        <f>'B&amp;T'!K12</f>
        <v>1724122</v>
      </c>
      <c r="K1895" s="129">
        <f>'B&amp;T'!L12</f>
        <v>1801707.49</v>
      </c>
      <c r="L1895" s="129">
        <f>'B&amp;T'!M12</f>
        <v>1884586.0345399999</v>
      </c>
      <c r="M1895" s="129">
        <f>'B&amp;T'!N12</f>
        <v>1971276.9921288399</v>
      </c>
      <c r="N1895" s="129">
        <f>'B&amp;T'!O12</f>
        <v>0</v>
      </c>
      <c r="O1895" s="129">
        <f>'B&amp;T'!N12</f>
        <v>1971276.9921288399</v>
      </c>
      <c r="P1895" s="123" t="str">
        <f t="shared" si="474"/>
        <v>025</v>
      </c>
    </row>
    <row r="1896" spans="1:16" x14ac:dyDescent="0.2">
      <c r="A1896" s="119" t="s">
        <v>812</v>
      </c>
      <c r="B1896" s="120" t="s">
        <v>16</v>
      </c>
      <c r="C1896" s="129">
        <v>0</v>
      </c>
      <c r="D1896" s="129">
        <v>-329137.84000000003</v>
      </c>
      <c r="E1896" s="129">
        <v>0</v>
      </c>
      <c r="F1896" s="129">
        <v>-1792403.36</v>
      </c>
      <c r="G1896" s="129">
        <v>1792403.36</v>
      </c>
      <c r="H1896" s="129">
        <v>0</v>
      </c>
      <c r="I1896" s="129">
        <f>'B&amp;T'!J13</f>
        <v>-3370188</v>
      </c>
      <c r="J1896" s="129">
        <f>'B&amp;T'!K13</f>
        <v>-3584807</v>
      </c>
      <c r="K1896" s="129">
        <f>'B&amp;T'!L13</f>
        <v>-3746123.3149999999</v>
      </c>
      <c r="L1896" s="129">
        <f>'B&amp;T'!M13</f>
        <v>-3918444.9874899997</v>
      </c>
      <c r="M1896" s="129">
        <f>'B&amp;T'!N13</f>
        <v>-4098693.4569145399</v>
      </c>
      <c r="N1896" s="129">
        <f>'B&amp;T'!O13</f>
        <v>0</v>
      </c>
      <c r="O1896" s="129">
        <f>'B&amp;T'!N13</f>
        <v>-4098693.4569145399</v>
      </c>
      <c r="P1896" s="123" t="str">
        <f t="shared" si="474"/>
        <v>025</v>
      </c>
    </row>
    <row r="1897" spans="1:16" x14ac:dyDescent="0.2">
      <c r="A1897" s="119" t="s">
        <v>813</v>
      </c>
      <c r="B1897" s="120" t="s">
        <v>17</v>
      </c>
      <c r="C1897" s="129">
        <v>-214619</v>
      </c>
      <c r="D1897" s="129">
        <v>-4726.59</v>
      </c>
      <c r="E1897" s="129">
        <v>0</v>
      </c>
      <c r="F1897" s="129">
        <v>-28359.54</v>
      </c>
      <c r="G1897" s="129">
        <v>-186259.46</v>
      </c>
      <c r="H1897" s="129">
        <v>13.21</v>
      </c>
      <c r="I1897" s="129">
        <f>'B&amp;T'!J14</f>
        <v>1270595</v>
      </c>
      <c r="J1897" s="129">
        <f>'B&amp;T'!K14</f>
        <v>-56720</v>
      </c>
      <c r="K1897" s="129">
        <f>'B&amp;T'!L14</f>
        <v>-59272.4</v>
      </c>
      <c r="L1897" s="129">
        <f>'B&amp;T'!M14</f>
        <v>-61998.930399999997</v>
      </c>
      <c r="M1897" s="129">
        <f>'B&amp;T'!N14</f>
        <v>-64850.881198399999</v>
      </c>
      <c r="N1897" s="129">
        <f>'B&amp;T'!O14</f>
        <v>0</v>
      </c>
      <c r="O1897" s="129">
        <f>'B&amp;T'!N14</f>
        <v>-64850.881198399999</v>
      </c>
      <c r="P1897" s="123" t="str">
        <f t="shared" si="474"/>
        <v>025</v>
      </c>
    </row>
    <row r="1898" spans="1:16" x14ac:dyDescent="0.2">
      <c r="A1898" s="119" t="s">
        <v>814</v>
      </c>
      <c r="B1898" s="120" t="s">
        <v>18</v>
      </c>
      <c r="C1898" s="129">
        <v>-1327315</v>
      </c>
      <c r="D1898" s="129">
        <v>0</v>
      </c>
      <c r="E1898" s="129">
        <v>0</v>
      </c>
      <c r="F1898" s="129">
        <v>0</v>
      </c>
      <c r="G1898" s="129">
        <v>-1327315</v>
      </c>
      <c r="H1898" s="129">
        <v>0</v>
      </c>
      <c r="I1898" s="129">
        <f>'B&amp;T'!J15</f>
        <v>10352372</v>
      </c>
      <c r="J1898" s="129">
        <f>'B&amp;T'!K15</f>
        <v>0</v>
      </c>
      <c r="K1898" s="129">
        <f>'B&amp;T'!L15</f>
        <v>0</v>
      </c>
      <c r="L1898" s="129">
        <f>'B&amp;T'!M15</f>
        <v>0</v>
      </c>
      <c r="M1898" s="129">
        <f>'B&amp;T'!N15</f>
        <v>0</v>
      </c>
      <c r="N1898" s="129">
        <f>'B&amp;T'!O15</f>
        <v>0</v>
      </c>
      <c r="O1898" s="129">
        <f>'B&amp;T'!N15</f>
        <v>0</v>
      </c>
      <c r="P1898" s="123" t="str">
        <f t="shared" si="474"/>
        <v>025</v>
      </c>
    </row>
    <row r="1899" spans="1:16" x14ac:dyDescent="0.2">
      <c r="A1899" s="119" t="s">
        <v>815</v>
      </c>
      <c r="B1899" s="120" t="s">
        <v>19</v>
      </c>
      <c r="C1899" s="129">
        <v>-10352372</v>
      </c>
      <c r="D1899" s="129">
        <v>-1236991.79</v>
      </c>
      <c r="E1899" s="129">
        <v>0</v>
      </c>
      <c r="F1899" s="129">
        <v>-7421950.7400000002</v>
      </c>
      <c r="G1899" s="129">
        <v>-2930421.26</v>
      </c>
      <c r="H1899" s="129">
        <v>71.69</v>
      </c>
      <c r="I1899" s="129">
        <f>'B&amp;T'!J16</f>
        <v>-10742205</v>
      </c>
      <c r="J1899" s="129">
        <f>'B&amp;T'!K16</f>
        <v>-10742205</v>
      </c>
      <c r="K1899" s="129">
        <f>'B&amp;T'!L16</f>
        <v>-11225604.225</v>
      </c>
      <c r="L1899" s="129">
        <f>'B&amp;T'!M16</f>
        <v>-11741982.01935</v>
      </c>
      <c r="M1899" s="129">
        <f>'B&amp;T'!N16</f>
        <v>-12282113.1922401</v>
      </c>
      <c r="N1899" s="129">
        <f>'B&amp;T'!O16</f>
        <v>0</v>
      </c>
      <c r="O1899" s="129">
        <f>'B&amp;T'!N16</f>
        <v>-12282113.1922401</v>
      </c>
      <c r="P1899" s="123" t="str">
        <f t="shared" si="474"/>
        <v>025</v>
      </c>
    </row>
    <row r="1900" spans="1:16" x14ac:dyDescent="0.2">
      <c r="A1900" s="119" t="s">
        <v>816</v>
      </c>
      <c r="B1900" s="120" t="s">
        <v>20</v>
      </c>
      <c r="C1900" s="129">
        <v>0</v>
      </c>
      <c r="D1900" s="129">
        <v>348636.42</v>
      </c>
      <c r="E1900" s="129">
        <v>0</v>
      </c>
      <c r="F1900" s="129">
        <v>2050848.2</v>
      </c>
      <c r="G1900" s="129">
        <v>-2050848.2</v>
      </c>
      <c r="H1900" s="129">
        <v>0</v>
      </c>
      <c r="I1900" s="129">
        <f>'B&amp;T'!J17</f>
        <v>0</v>
      </c>
      <c r="J1900" s="129">
        <f>'B&amp;T'!K17</f>
        <v>0</v>
      </c>
      <c r="K1900" s="129">
        <f>'B&amp;T'!L17</f>
        <v>0</v>
      </c>
      <c r="L1900" s="129">
        <f>'B&amp;T'!M17</f>
        <v>0</v>
      </c>
      <c r="M1900" s="129">
        <f>'B&amp;T'!N17</f>
        <v>0</v>
      </c>
      <c r="N1900" s="129">
        <f>'B&amp;T'!O17</f>
        <v>0</v>
      </c>
      <c r="O1900" s="129">
        <f>'B&amp;T'!P17</f>
        <v>0</v>
      </c>
      <c r="P1900" s="123" t="str">
        <f t="shared" si="474"/>
        <v>025</v>
      </c>
    </row>
    <row r="1901" spans="1:16" x14ac:dyDescent="0.2">
      <c r="A1901" s="119"/>
      <c r="B1901" s="120"/>
      <c r="C1901" s="129"/>
      <c r="D1901" s="129"/>
      <c r="E1901" s="129"/>
      <c r="F1901" s="129"/>
      <c r="G1901" s="129"/>
      <c r="H1901" s="129"/>
      <c r="I1901" s="129">
        <f>'B&amp;T'!J18</f>
        <v>0</v>
      </c>
      <c r="J1901" s="129"/>
      <c r="K1901" s="129"/>
      <c r="L1901" s="129"/>
      <c r="O1901" s="129"/>
      <c r="P1901" s="123" t="str">
        <f t="shared" si="474"/>
        <v/>
      </c>
    </row>
    <row r="1902" spans="1:16" s="114" customFormat="1" ht="15" x14ac:dyDescent="0.25">
      <c r="A1902" s="118"/>
      <c r="B1902" s="117" t="s">
        <v>21</v>
      </c>
      <c r="C1902" s="128">
        <f>SUM(C1891:C1901)</f>
        <v>-15291183</v>
      </c>
      <c r="D1902" s="128">
        <f t="shared" ref="D1902:O1902" si="481">SUM(D1891:D1901)</f>
        <v>-1681671.4500000002</v>
      </c>
      <c r="E1902" s="128">
        <f t="shared" si="481"/>
        <v>0</v>
      </c>
      <c r="F1902" s="128">
        <f t="shared" si="481"/>
        <v>-9929032.870000001</v>
      </c>
      <c r="G1902" s="128">
        <f t="shared" si="481"/>
        <v>-5362150.13</v>
      </c>
      <c r="H1902" s="128">
        <f t="shared" si="481"/>
        <v>114.08000000000001</v>
      </c>
      <c r="I1902" s="128">
        <f t="shared" si="481"/>
        <v>-4282007</v>
      </c>
      <c r="J1902" s="128">
        <f t="shared" si="481"/>
        <v>-19858067</v>
      </c>
      <c r="K1902" s="128">
        <f t="shared" si="481"/>
        <v>-20751680.015000001</v>
      </c>
      <c r="L1902" s="128">
        <f t="shared" si="481"/>
        <v>-21706257.29569</v>
      </c>
      <c r="M1902" s="128">
        <f t="shared" si="481"/>
        <v>-22704745.13129174</v>
      </c>
      <c r="N1902" s="128">
        <f t="shared" si="481"/>
        <v>0</v>
      </c>
      <c r="O1902" s="128">
        <f t="shared" si="481"/>
        <v>-22704745.13129174</v>
      </c>
      <c r="P1902" s="123" t="str">
        <f t="shared" si="474"/>
        <v/>
      </c>
    </row>
    <row r="1903" spans="1:16" s="114" customFormat="1" ht="15" x14ac:dyDescent="0.25">
      <c r="A1903" s="118"/>
      <c r="B1903" s="117"/>
      <c r="C1903" s="128"/>
      <c r="D1903" s="128"/>
      <c r="E1903" s="128"/>
      <c r="F1903" s="128"/>
      <c r="G1903" s="128"/>
      <c r="H1903" s="128"/>
      <c r="I1903" s="129">
        <f>'B&amp;T'!J20</f>
        <v>0</v>
      </c>
      <c r="J1903" s="129"/>
      <c r="K1903" s="129"/>
      <c r="L1903" s="129"/>
      <c r="M1903" s="186"/>
      <c r="N1903" s="186"/>
      <c r="O1903" s="128"/>
      <c r="P1903" s="123" t="str">
        <f t="shared" si="474"/>
        <v/>
      </c>
    </row>
    <row r="1904" spans="1:16" s="114" customFormat="1" ht="15" x14ac:dyDescent="0.25">
      <c r="A1904" s="118"/>
      <c r="B1904" s="117" t="s">
        <v>22</v>
      </c>
      <c r="C1904" s="128"/>
      <c r="D1904" s="128"/>
      <c r="E1904" s="128"/>
      <c r="F1904" s="128"/>
      <c r="G1904" s="128"/>
      <c r="H1904" s="128"/>
      <c r="I1904" s="129">
        <f>'B&amp;T'!J21</f>
        <v>0</v>
      </c>
      <c r="J1904" s="129"/>
      <c r="K1904" s="129"/>
      <c r="L1904" s="129"/>
      <c r="M1904" s="186"/>
      <c r="N1904" s="186"/>
      <c r="O1904" s="128"/>
      <c r="P1904" s="123" t="str">
        <f t="shared" si="474"/>
        <v/>
      </c>
    </row>
    <row r="1905" spans="1:16" x14ac:dyDescent="0.2">
      <c r="A1905" s="119"/>
      <c r="B1905" s="120"/>
      <c r="C1905" s="129"/>
      <c r="D1905" s="129"/>
      <c r="E1905" s="129"/>
      <c r="F1905" s="129"/>
      <c r="G1905" s="129"/>
      <c r="H1905" s="129"/>
      <c r="I1905" s="129">
        <f>'B&amp;T'!J22</f>
        <v>0</v>
      </c>
      <c r="J1905" s="129"/>
      <c r="K1905" s="129"/>
      <c r="L1905" s="129"/>
      <c r="O1905" s="129"/>
      <c r="P1905" s="123" t="str">
        <f t="shared" si="474"/>
        <v/>
      </c>
    </row>
    <row r="1906" spans="1:16" x14ac:dyDescent="0.2">
      <c r="A1906" s="119" t="s">
        <v>817</v>
      </c>
      <c r="B1906" s="120" t="s">
        <v>27</v>
      </c>
      <c r="C1906" s="129">
        <v>-3520000</v>
      </c>
      <c r="D1906" s="129">
        <v>0</v>
      </c>
      <c r="E1906" s="129">
        <v>0</v>
      </c>
      <c r="F1906" s="129">
        <v>0</v>
      </c>
      <c r="G1906" s="129">
        <v>-3520000</v>
      </c>
      <c r="H1906" s="129">
        <v>0</v>
      </c>
      <c r="I1906" s="129">
        <f>'B&amp;T'!J23</f>
        <v>0</v>
      </c>
      <c r="J1906" s="129">
        <f>'B&amp;T'!K23</f>
        <v>-3520000</v>
      </c>
      <c r="K1906" s="129">
        <f>'B&amp;T'!L23</f>
        <v>-3000000</v>
      </c>
      <c r="L1906" s="129">
        <f>'B&amp;T'!M23</f>
        <v>0</v>
      </c>
      <c r="M1906" s="129">
        <f>'B&amp;T'!N23</f>
        <v>0</v>
      </c>
      <c r="N1906" s="129">
        <f>'B&amp;T'!O23</f>
        <v>0</v>
      </c>
      <c r="O1906" s="129">
        <f>'B&amp;T'!P23</f>
        <v>0</v>
      </c>
      <c r="P1906" s="123" t="str">
        <f t="shared" si="474"/>
        <v>041</v>
      </c>
    </row>
    <row r="1907" spans="1:16" x14ac:dyDescent="0.2">
      <c r="A1907" s="119"/>
      <c r="B1907" s="120"/>
      <c r="C1907" s="129"/>
      <c r="D1907" s="129"/>
      <c r="E1907" s="129"/>
      <c r="F1907" s="129"/>
      <c r="G1907" s="129"/>
      <c r="H1907" s="129"/>
      <c r="I1907" s="129">
        <f>'B&amp;T'!J24</f>
        <v>0</v>
      </c>
      <c r="J1907" s="129"/>
      <c r="K1907" s="129"/>
      <c r="L1907" s="129"/>
      <c r="O1907" s="129"/>
      <c r="P1907" s="123" t="str">
        <f t="shared" si="474"/>
        <v/>
      </c>
    </row>
    <row r="1908" spans="1:16" s="114" customFormat="1" ht="15" x14ac:dyDescent="0.25">
      <c r="A1908" s="118"/>
      <c r="B1908" s="117" t="s">
        <v>28</v>
      </c>
      <c r="C1908" s="128">
        <f>SUM(C1906:C1907)</f>
        <v>-3520000</v>
      </c>
      <c r="D1908" s="128">
        <f t="shared" ref="D1908:O1908" si="482">SUM(D1906:D1907)</f>
        <v>0</v>
      </c>
      <c r="E1908" s="128">
        <f t="shared" si="482"/>
        <v>0</v>
      </c>
      <c r="F1908" s="128">
        <f t="shared" si="482"/>
        <v>0</v>
      </c>
      <c r="G1908" s="128">
        <f t="shared" si="482"/>
        <v>-3520000</v>
      </c>
      <c r="H1908" s="128">
        <f t="shared" si="482"/>
        <v>0</v>
      </c>
      <c r="I1908" s="128">
        <f t="shared" si="482"/>
        <v>0</v>
      </c>
      <c r="J1908" s="128">
        <f t="shared" si="482"/>
        <v>-3520000</v>
      </c>
      <c r="K1908" s="128">
        <f t="shared" si="482"/>
        <v>-3000000</v>
      </c>
      <c r="L1908" s="128">
        <f t="shared" si="482"/>
        <v>0</v>
      </c>
      <c r="M1908" s="128">
        <f t="shared" si="482"/>
        <v>0</v>
      </c>
      <c r="N1908" s="128">
        <f t="shared" si="482"/>
        <v>0</v>
      </c>
      <c r="O1908" s="128">
        <f t="shared" si="482"/>
        <v>0</v>
      </c>
      <c r="P1908" s="123" t="str">
        <f t="shared" si="474"/>
        <v/>
      </c>
    </row>
    <row r="1909" spans="1:16" s="114" customFormat="1" ht="15" x14ac:dyDescent="0.25">
      <c r="A1909" s="118"/>
      <c r="B1909" s="117"/>
      <c r="C1909" s="128"/>
      <c r="D1909" s="128"/>
      <c r="E1909" s="128"/>
      <c r="F1909" s="128"/>
      <c r="G1909" s="128"/>
      <c r="H1909" s="128"/>
      <c r="I1909" s="129">
        <f>'B&amp;T'!J26</f>
        <v>0</v>
      </c>
      <c r="J1909" s="129"/>
      <c r="K1909" s="129"/>
      <c r="L1909" s="129"/>
      <c r="M1909" s="186"/>
      <c r="N1909" s="186"/>
      <c r="O1909" s="128"/>
      <c r="P1909" s="123" t="str">
        <f t="shared" si="474"/>
        <v/>
      </c>
    </row>
    <row r="1910" spans="1:16" s="114" customFormat="1" ht="15" x14ac:dyDescent="0.25">
      <c r="A1910" s="118"/>
      <c r="B1910" s="117" t="s">
        <v>29</v>
      </c>
      <c r="C1910" s="128"/>
      <c r="D1910" s="128"/>
      <c r="E1910" s="128"/>
      <c r="F1910" s="128"/>
      <c r="G1910" s="128"/>
      <c r="H1910" s="128"/>
      <c r="I1910" s="129">
        <f>'B&amp;T'!J27</f>
        <v>0</v>
      </c>
      <c r="J1910" s="129"/>
      <c r="K1910" s="129"/>
      <c r="L1910" s="129"/>
      <c r="M1910" s="186"/>
      <c r="N1910" s="186"/>
      <c r="O1910" s="128"/>
      <c r="P1910" s="123" t="str">
        <f t="shared" si="474"/>
        <v/>
      </c>
    </row>
    <row r="1911" spans="1:16" s="114" customFormat="1" ht="15" x14ac:dyDescent="0.25">
      <c r="A1911" s="118"/>
      <c r="B1911" s="117"/>
      <c r="C1911" s="128"/>
      <c r="D1911" s="128"/>
      <c r="E1911" s="128"/>
      <c r="F1911" s="128"/>
      <c r="G1911" s="128"/>
      <c r="H1911" s="128"/>
      <c r="I1911" s="129">
        <f>'B&amp;T'!J28</f>
        <v>0</v>
      </c>
      <c r="J1911" s="129"/>
      <c r="K1911" s="129"/>
      <c r="L1911" s="129"/>
      <c r="M1911" s="186"/>
      <c r="N1911" s="186"/>
      <c r="O1911" s="128"/>
      <c r="P1911" s="123" t="str">
        <f t="shared" si="474"/>
        <v/>
      </c>
    </row>
    <row r="1912" spans="1:16" s="114" customFormat="1" ht="15" x14ac:dyDescent="0.25">
      <c r="A1912" s="118"/>
      <c r="B1912" s="117" t="s">
        <v>30</v>
      </c>
      <c r="C1912" s="128"/>
      <c r="D1912" s="128"/>
      <c r="E1912" s="128"/>
      <c r="F1912" s="128"/>
      <c r="G1912" s="128"/>
      <c r="H1912" s="128"/>
      <c r="I1912" s="129">
        <f>'B&amp;T'!J29</f>
        <v>0</v>
      </c>
      <c r="J1912" s="129"/>
      <c r="K1912" s="129"/>
      <c r="L1912" s="129"/>
      <c r="M1912" s="186"/>
      <c r="N1912" s="186"/>
      <c r="O1912" s="128"/>
      <c r="P1912" s="123" t="str">
        <f t="shared" si="474"/>
        <v/>
      </c>
    </row>
    <row r="1913" spans="1:16" x14ac:dyDescent="0.2">
      <c r="A1913" s="119"/>
      <c r="B1913" s="120"/>
      <c r="C1913" s="129"/>
      <c r="D1913" s="129"/>
      <c r="E1913" s="129"/>
      <c r="F1913" s="129"/>
      <c r="G1913" s="129"/>
      <c r="H1913" s="129"/>
      <c r="I1913" s="129">
        <f>'B&amp;T'!J30</f>
        <v>0</v>
      </c>
      <c r="J1913" s="129"/>
      <c r="K1913" s="129"/>
      <c r="L1913" s="129"/>
      <c r="O1913" s="129"/>
      <c r="P1913" s="123" t="str">
        <f t="shared" si="474"/>
        <v/>
      </c>
    </row>
    <row r="1914" spans="1:16" x14ac:dyDescent="0.2">
      <c r="A1914" s="119" t="s">
        <v>818</v>
      </c>
      <c r="B1914" s="120" t="s">
        <v>32</v>
      </c>
      <c r="C1914" s="129">
        <f>'B&amp;T'!D31</f>
        <v>-2403000</v>
      </c>
      <c r="D1914" s="129">
        <f>'B&amp;T'!E31</f>
        <v>-252538</v>
      </c>
      <c r="E1914" s="129">
        <f>'B&amp;T'!F31</f>
        <v>0</v>
      </c>
      <c r="F1914" s="129">
        <f>'B&amp;T'!G31</f>
        <v>-1159420.99</v>
      </c>
      <c r="G1914" s="129">
        <f>'B&amp;T'!H31</f>
        <v>-1243579.01</v>
      </c>
      <c r="H1914" s="129">
        <f>'B&amp;T'!I31</f>
        <v>48.24</v>
      </c>
      <c r="I1914" s="129">
        <f>'B&amp;T'!J31</f>
        <v>0</v>
      </c>
      <c r="J1914" s="129">
        <f>'B&amp;T'!K31</f>
        <v>-2403000</v>
      </c>
      <c r="K1914" s="129">
        <f>'B&amp;T'!L31</f>
        <v>-2400000</v>
      </c>
      <c r="L1914" s="129">
        <f>'B&amp;T'!M31</f>
        <v>-2400000</v>
      </c>
      <c r="M1914" s="129">
        <f>'B&amp;T'!N31</f>
        <v>-2400000</v>
      </c>
      <c r="N1914" s="129">
        <f>'B&amp;T'!O31</f>
        <v>0</v>
      </c>
      <c r="O1914" s="129">
        <f>'B&amp;T'!N31</f>
        <v>-2400000</v>
      </c>
      <c r="P1914" s="123" t="str">
        <f t="shared" si="474"/>
        <v>178</v>
      </c>
    </row>
    <row r="1915" spans="1:16" x14ac:dyDescent="0.2">
      <c r="A1915" s="119" t="s">
        <v>819</v>
      </c>
      <c r="B1915" s="120" t="s">
        <v>34</v>
      </c>
      <c r="C1915" s="129">
        <f>'B&amp;T'!D32</f>
        <v>-142578000</v>
      </c>
      <c r="D1915" s="129">
        <f>'B&amp;T'!E32</f>
        <v>-47017000</v>
      </c>
      <c r="E1915" s="129">
        <f>'B&amp;T'!F32</f>
        <v>0</v>
      </c>
      <c r="F1915" s="129">
        <f>'B&amp;T'!G32</f>
        <v>-106425000</v>
      </c>
      <c r="G1915" s="129">
        <f>'B&amp;T'!H32</f>
        <v>-36153000</v>
      </c>
      <c r="H1915" s="129">
        <f>'B&amp;T'!I32</f>
        <v>74.64</v>
      </c>
      <c r="I1915" s="129">
        <f>'B&amp;T'!J32</f>
        <v>0</v>
      </c>
      <c r="J1915" s="129">
        <f>'B&amp;T'!K32</f>
        <v>-142578000</v>
      </c>
      <c r="K1915" s="129">
        <f>'B&amp;T'!L32</f>
        <v>-150787000</v>
      </c>
      <c r="L1915" s="129">
        <f>'B&amp;T'!M32</f>
        <v>-159829000</v>
      </c>
      <c r="M1915" s="129">
        <f>'B&amp;T'!N32</f>
        <v>-167051000</v>
      </c>
      <c r="N1915" s="129">
        <f>'B&amp;T'!O32</f>
        <v>0</v>
      </c>
      <c r="O1915" s="129">
        <f>'B&amp;T'!N32</f>
        <v>-167051000</v>
      </c>
      <c r="P1915" s="123" t="str">
        <f t="shared" si="474"/>
        <v>179</v>
      </c>
    </row>
    <row r="1916" spans="1:16" x14ac:dyDescent="0.2">
      <c r="A1916" s="119"/>
      <c r="B1916" s="120"/>
      <c r="C1916" s="129"/>
      <c r="D1916" s="129"/>
      <c r="E1916" s="129"/>
      <c r="F1916" s="129"/>
      <c r="G1916" s="129"/>
      <c r="H1916" s="129"/>
      <c r="I1916" s="129">
        <f>'B&amp;T'!J33</f>
        <v>0</v>
      </c>
      <c r="J1916" s="129"/>
      <c r="K1916" s="129"/>
      <c r="L1916" s="129"/>
      <c r="O1916" s="129"/>
      <c r="P1916" s="123" t="str">
        <f t="shared" si="474"/>
        <v/>
      </c>
    </row>
    <row r="1917" spans="1:16" s="114" customFormat="1" ht="15" x14ac:dyDescent="0.25">
      <c r="A1917" s="118"/>
      <c r="B1917" s="117" t="s">
        <v>35</v>
      </c>
      <c r="C1917" s="128">
        <f>SUM(C1914:C1916)</f>
        <v>-144981000</v>
      </c>
      <c r="D1917" s="128">
        <f t="shared" ref="D1917:O1917" si="483">SUM(D1914:D1916)</f>
        <v>-47269538</v>
      </c>
      <c r="E1917" s="128">
        <f t="shared" si="483"/>
        <v>0</v>
      </c>
      <c r="F1917" s="128">
        <f t="shared" si="483"/>
        <v>-107584420.98999999</v>
      </c>
      <c r="G1917" s="128">
        <f t="shared" si="483"/>
        <v>-37396579.009999998</v>
      </c>
      <c r="H1917" s="128">
        <f t="shared" si="483"/>
        <v>122.88</v>
      </c>
      <c r="I1917" s="128">
        <f t="shared" si="483"/>
        <v>0</v>
      </c>
      <c r="J1917" s="128">
        <f t="shared" si="483"/>
        <v>-144981000</v>
      </c>
      <c r="K1917" s="128">
        <f t="shared" si="483"/>
        <v>-153187000</v>
      </c>
      <c r="L1917" s="128">
        <f t="shared" si="483"/>
        <v>-162229000</v>
      </c>
      <c r="M1917" s="128">
        <f t="shared" si="483"/>
        <v>-169451000</v>
      </c>
      <c r="N1917" s="128">
        <f t="shared" si="483"/>
        <v>0</v>
      </c>
      <c r="O1917" s="128">
        <f t="shared" si="483"/>
        <v>-169451000</v>
      </c>
      <c r="P1917" s="123" t="str">
        <f t="shared" si="474"/>
        <v/>
      </c>
    </row>
    <row r="1918" spans="1:16" s="114" customFormat="1" ht="15" x14ac:dyDescent="0.25">
      <c r="A1918" s="118"/>
      <c r="B1918" s="117"/>
      <c r="C1918" s="128"/>
      <c r="D1918" s="128"/>
      <c r="E1918" s="128"/>
      <c r="F1918" s="128"/>
      <c r="G1918" s="128"/>
      <c r="H1918" s="128"/>
      <c r="I1918" s="128">
        <f>'B&amp;T'!J35</f>
        <v>0</v>
      </c>
      <c r="J1918" s="128"/>
      <c r="K1918" s="128"/>
      <c r="L1918" s="128"/>
      <c r="M1918" s="186"/>
      <c r="N1918" s="186"/>
      <c r="O1918" s="128"/>
      <c r="P1918" s="123" t="str">
        <f t="shared" si="474"/>
        <v/>
      </c>
    </row>
    <row r="1919" spans="1:16" s="114" customFormat="1" ht="15" x14ac:dyDescent="0.25">
      <c r="A1919" s="118"/>
      <c r="B1919" s="117" t="s">
        <v>39</v>
      </c>
      <c r="C1919" s="128">
        <f>C1917</f>
        <v>-144981000</v>
      </c>
      <c r="D1919" s="128">
        <f t="shared" ref="D1919:O1919" si="484">D1917</f>
        <v>-47269538</v>
      </c>
      <c r="E1919" s="128">
        <f t="shared" si="484"/>
        <v>0</v>
      </c>
      <c r="F1919" s="128">
        <f t="shared" si="484"/>
        <v>-107584420.98999999</v>
      </c>
      <c r="G1919" s="128">
        <f t="shared" si="484"/>
        <v>-37396579.009999998</v>
      </c>
      <c r="H1919" s="128">
        <f t="shared" si="484"/>
        <v>122.88</v>
      </c>
      <c r="I1919" s="128">
        <f t="shared" si="484"/>
        <v>0</v>
      </c>
      <c r="J1919" s="128">
        <f t="shared" si="484"/>
        <v>-144981000</v>
      </c>
      <c r="K1919" s="128">
        <f t="shared" si="484"/>
        <v>-153187000</v>
      </c>
      <c r="L1919" s="128">
        <f t="shared" si="484"/>
        <v>-162229000</v>
      </c>
      <c r="M1919" s="128">
        <f t="shared" si="484"/>
        <v>-169451000</v>
      </c>
      <c r="N1919" s="128">
        <f t="shared" si="484"/>
        <v>0</v>
      </c>
      <c r="O1919" s="128">
        <f t="shared" si="484"/>
        <v>-169451000</v>
      </c>
      <c r="P1919" s="123" t="str">
        <f t="shared" si="474"/>
        <v/>
      </c>
    </row>
    <row r="1920" spans="1:16" s="114" customFormat="1" ht="15" x14ac:dyDescent="0.25">
      <c r="A1920" s="118"/>
      <c r="B1920" s="117"/>
      <c r="C1920" s="128"/>
      <c r="D1920" s="128"/>
      <c r="E1920" s="128"/>
      <c r="F1920" s="128"/>
      <c r="G1920" s="128"/>
      <c r="H1920" s="128"/>
      <c r="I1920" s="128">
        <f>'B&amp;T'!J37</f>
        <v>0</v>
      </c>
      <c r="J1920" s="128"/>
      <c r="K1920" s="128"/>
      <c r="L1920" s="128"/>
      <c r="M1920" s="186"/>
      <c r="N1920" s="186"/>
      <c r="O1920" s="128"/>
      <c r="P1920" s="123" t="str">
        <f t="shared" si="474"/>
        <v/>
      </c>
    </row>
    <row r="1921" spans="1:16" s="114" customFormat="1" ht="15" x14ac:dyDescent="0.25">
      <c r="A1921" s="118"/>
      <c r="B1921" s="117" t="s">
        <v>40</v>
      </c>
      <c r="C1921" s="128">
        <f>C1902+C1908+C1919</f>
        <v>-163792183</v>
      </c>
      <c r="D1921" s="128">
        <f t="shared" ref="D1921:O1921" si="485">D1902+D1908+D1919</f>
        <v>-48951209.450000003</v>
      </c>
      <c r="E1921" s="128">
        <f t="shared" si="485"/>
        <v>0</v>
      </c>
      <c r="F1921" s="128">
        <f t="shared" si="485"/>
        <v>-117513453.86</v>
      </c>
      <c r="G1921" s="128">
        <f t="shared" si="485"/>
        <v>-46278729.140000001</v>
      </c>
      <c r="H1921" s="128">
        <f t="shared" si="485"/>
        <v>236.96</v>
      </c>
      <c r="I1921" s="128">
        <f t="shared" si="485"/>
        <v>-4282007</v>
      </c>
      <c r="J1921" s="128">
        <f t="shared" si="485"/>
        <v>-168359067</v>
      </c>
      <c r="K1921" s="128">
        <f t="shared" si="485"/>
        <v>-176938680.01499999</v>
      </c>
      <c r="L1921" s="128">
        <f t="shared" si="485"/>
        <v>-183935257.29569</v>
      </c>
      <c r="M1921" s="128">
        <f t="shared" si="485"/>
        <v>-192155745.13129175</v>
      </c>
      <c r="N1921" s="128">
        <f t="shared" si="485"/>
        <v>0</v>
      </c>
      <c r="O1921" s="128">
        <f t="shared" si="485"/>
        <v>-192155745.13129175</v>
      </c>
      <c r="P1921" s="123" t="str">
        <f t="shared" si="474"/>
        <v/>
      </c>
    </row>
    <row r="1922" spans="1:16" s="114" customFormat="1" ht="15" x14ac:dyDescent="0.25">
      <c r="A1922" s="118"/>
      <c r="B1922" s="117"/>
      <c r="C1922" s="128"/>
      <c r="D1922" s="128"/>
      <c r="E1922" s="128"/>
      <c r="F1922" s="128"/>
      <c r="G1922" s="128"/>
      <c r="H1922" s="128"/>
      <c r="I1922" s="129">
        <f>'B&amp;T'!J39</f>
        <v>0</v>
      </c>
      <c r="J1922" s="129"/>
      <c r="K1922" s="129"/>
      <c r="L1922" s="129"/>
      <c r="M1922" s="186"/>
      <c r="N1922" s="186"/>
      <c r="O1922" s="128"/>
      <c r="P1922" s="123" t="str">
        <f t="shared" si="474"/>
        <v/>
      </c>
    </row>
    <row r="1923" spans="1:16" s="114" customFormat="1" ht="15" x14ac:dyDescent="0.25">
      <c r="A1923" s="118"/>
      <c r="B1923" s="117" t="s">
        <v>41</v>
      </c>
      <c r="C1923" s="128"/>
      <c r="D1923" s="128"/>
      <c r="E1923" s="128"/>
      <c r="F1923" s="128"/>
      <c r="G1923" s="128"/>
      <c r="H1923" s="128"/>
      <c r="I1923" s="129">
        <f>'B&amp;T'!J40</f>
        <v>0</v>
      </c>
      <c r="J1923" s="129"/>
      <c r="K1923" s="129"/>
      <c r="L1923" s="129"/>
      <c r="M1923" s="186"/>
      <c r="N1923" s="186"/>
      <c r="O1923" s="128"/>
      <c r="P1923" s="123" t="str">
        <f t="shared" si="474"/>
        <v/>
      </c>
    </row>
    <row r="1924" spans="1:16" s="114" customFormat="1" ht="15" x14ac:dyDescent="0.25">
      <c r="A1924" s="118"/>
      <c r="B1924" s="117"/>
      <c r="C1924" s="128"/>
      <c r="D1924" s="128"/>
      <c r="E1924" s="128"/>
      <c r="F1924" s="128"/>
      <c r="G1924" s="128"/>
      <c r="H1924" s="128"/>
      <c r="I1924" s="129">
        <f>'B&amp;T'!J41</f>
        <v>0</v>
      </c>
      <c r="J1924" s="129"/>
      <c r="K1924" s="129"/>
      <c r="L1924" s="129"/>
      <c r="M1924" s="186"/>
      <c r="N1924" s="186"/>
      <c r="O1924" s="128"/>
      <c r="P1924" s="123" t="str">
        <f t="shared" si="474"/>
        <v/>
      </c>
    </row>
    <row r="1925" spans="1:16" s="114" customFormat="1" ht="15" x14ac:dyDescent="0.25">
      <c r="A1925" s="118"/>
      <c r="B1925" s="117" t="s">
        <v>42</v>
      </c>
      <c r="C1925" s="128"/>
      <c r="D1925" s="128"/>
      <c r="E1925" s="128"/>
      <c r="F1925" s="128"/>
      <c r="G1925" s="128"/>
      <c r="H1925" s="128"/>
      <c r="I1925" s="129">
        <f>'B&amp;T'!J42</f>
        <v>0</v>
      </c>
      <c r="J1925" s="129"/>
      <c r="K1925" s="128"/>
      <c r="L1925" s="128"/>
      <c r="M1925" s="186"/>
      <c r="N1925" s="186"/>
      <c r="O1925" s="128"/>
      <c r="P1925" s="123" t="str">
        <f t="shared" si="474"/>
        <v/>
      </c>
    </row>
    <row r="1926" spans="1:16" s="114" customFormat="1" ht="15" x14ac:dyDescent="0.25">
      <c r="A1926" s="118"/>
      <c r="B1926" s="117"/>
      <c r="C1926" s="128"/>
      <c r="D1926" s="128"/>
      <c r="E1926" s="128"/>
      <c r="F1926" s="128"/>
      <c r="G1926" s="128"/>
      <c r="H1926" s="128"/>
      <c r="I1926" s="129">
        <f>'B&amp;T'!J43</f>
        <v>0</v>
      </c>
      <c r="J1926" s="129"/>
      <c r="K1926" s="128"/>
      <c r="L1926" s="128"/>
      <c r="M1926" s="186"/>
      <c r="N1926" s="186"/>
      <c r="O1926" s="128"/>
      <c r="P1926" s="123" t="str">
        <f t="shared" si="474"/>
        <v/>
      </c>
    </row>
    <row r="1927" spans="1:16" s="114" customFormat="1" ht="15" x14ac:dyDescent="0.25">
      <c r="A1927" s="118"/>
      <c r="B1927" s="117" t="s">
        <v>56</v>
      </c>
      <c r="C1927" s="128"/>
      <c r="D1927" s="128"/>
      <c r="E1927" s="128"/>
      <c r="F1927" s="128"/>
      <c r="G1927" s="128"/>
      <c r="H1927" s="128"/>
      <c r="I1927" s="129">
        <f>'B&amp;T'!J44</f>
        <v>0</v>
      </c>
      <c r="J1927" s="129"/>
      <c r="K1927" s="128"/>
      <c r="L1927" s="128"/>
      <c r="M1927" s="186"/>
      <c r="N1927" s="186"/>
      <c r="O1927" s="128"/>
      <c r="P1927" s="123" t="str">
        <f t="shared" ref="P1927:P1990" si="486">MID(A1927,6,3)</f>
        <v/>
      </c>
    </row>
    <row r="1928" spans="1:16" x14ac:dyDescent="0.2">
      <c r="A1928" s="119"/>
      <c r="B1928" s="120"/>
      <c r="C1928" s="129"/>
      <c r="D1928" s="129"/>
      <c r="E1928" s="129"/>
      <c r="F1928" s="129"/>
      <c r="G1928" s="129"/>
      <c r="H1928" s="129"/>
      <c r="I1928" s="129">
        <f>'B&amp;T'!J45</f>
        <v>0</v>
      </c>
      <c r="J1928" s="129"/>
      <c r="K1928" s="129"/>
      <c r="L1928" s="129"/>
      <c r="O1928" s="129"/>
      <c r="P1928" s="123" t="str">
        <f t="shared" si="486"/>
        <v/>
      </c>
    </row>
    <row r="1929" spans="1:16" x14ac:dyDescent="0.2">
      <c r="A1929" s="119" t="s">
        <v>820</v>
      </c>
      <c r="B1929" s="120" t="s">
        <v>65</v>
      </c>
      <c r="C1929" s="129">
        <v>-346932</v>
      </c>
      <c r="D1929" s="129">
        <v>-40547.550000000003</v>
      </c>
      <c r="E1929" s="129">
        <v>0</v>
      </c>
      <c r="F1929" s="129">
        <v>-228665.99</v>
      </c>
      <c r="G1929" s="129">
        <v>-118266.01</v>
      </c>
      <c r="H1929" s="129">
        <v>65.91</v>
      </c>
      <c r="I1929" s="129">
        <f>'B&amp;T'!J46</f>
        <v>0</v>
      </c>
      <c r="J1929" s="129">
        <f>'B&amp;T'!K46</f>
        <v>-457332</v>
      </c>
      <c r="K1929" s="129">
        <f>'B&amp;T'!L46</f>
        <v>-479741.26799999998</v>
      </c>
      <c r="L1929" s="129">
        <f>'B&amp;T'!M46</f>
        <v>-502768.848864</v>
      </c>
      <c r="M1929" s="129">
        <f>'B&amp;T'!N46</f>
        <v>-526901.75360947195</v>
      </c>
      <c r="N1929" s="129">
        <f>'B&amp;T'!O46</f>
        <v>0</v>
      </c>
      <c r="O1929" s="129">
        <f>'B&amp;T'!N46</f>
        <v>-526901.75360947195</v>
      </c>
      <c r="P1929" s="123" t="str">
        <f t="shared" si="486"/>
        <v>351</v>
      </c>
    </row>
    <row r="1930" spans="1:16" x14ac:dyDescent="0.2">
      <c r="A1930" s="119"/>
      <c r="B1930" s="120"/>
      <c r="C1930" s="129"/>
      <c r="D1930" s="129"/>
      <c r="E1930" s="129"/>
      <c r="F1930" s="129"/>
      <c r="G1930" s="129"/>
      <c r="H1930" s="129"/>
      <c r="I1930" s="129">
        <f>'B&amp;T'!J47</f>
        <v>0</v>
      </c>
      <c r="J1930" s="129"/>
      <c r="K1930" s="129"/>
      <c r="L1930" s="129"/>
      <c r="O1930" s="129"/>
      <c r="P1930" s="123" t="str">
        <f t="shared" si="486"/>
        <v/>
      </c>
    </row>
    <row r="1931" spans="1:16" s="114" customFormat="1" ht="15" x14ac:dyDescent="0.25">
      <c r="A1931" s="118"/>
      <c r="B1931" s="117" t="s">
        <v>66</v>
      </c>
      <c r="C1931" s="128">
        <f>SUM(C1929:C1930)</f>
        <v>-346932</v>
      </c>
      <c r="D1931" s="128">
        <f t="shared" ref="D1931:O1931" si="487">SUM(D1929:D1930)</f>
        <v>-40547.550000000003</v>
      </c>
      <c r="E1931" s="128">
        <f t="shared" si="487"/>
        <v>0</v>
      </c>
      <c r="F1931" s="128">
        <f t="shared" si="487"/>
        <v>-228665.99</v>
      </c>
      <c r="G1931" s="128">
        <f t="shared" si="487"/>
        <v>-118266.01</v>
      </c>
      <c r="H1931" s="128">
        <f t="shared" si="487"/>
        <v>65.91</v>
      </c>
      <c r="I1931" s="128">
        <f t="shared" si="487"/>
        <v>0</v>
      </c>
      <c r="J1931" s="128">
        <f t="shared" si="487"/>
        <v>-457332</v>
      </c>
      <c r="K1931" s="128">
        <f t="shared" si="487"/>
        <v>-479741.26799999998</v>
      </c>
      <c r="L1931" s="128">
        <f t="shared" si="487"/>
        <v>-502768.848864</v>
      </c>
      <c r="M1931" s="128">
        <f t="shared" si="487"/>
        <v>-526901.75360947195</v>
      </c>
      <c r="N1931" s="128">
        <f t="shared" si="487"/>
        <v>0</v>
      </c>
      <c r="O1931" s="128">
        <f t="shared" si="487"/>
        <v>-526901.75360947195</v>
      </c>
      <c r="P1931" s="123" t="str">
        <f t="shared" si="486"/>
        <v/>
      </c>
    </row>
    <row r="1932" spans="1:16" s="114" customFormat="1" ht="15" x14ac:dyDescent="0.25">
      <c r="A1932" s="118"/>
      <c r="B1932" s="117"/>
      <c r="C1932" s="128"/>
      <c r="D1932" s="128"/>
      <c r="E1932" s="128"/>
      <c r="F1932" s="128"/>
      <c r="G1932" s="128"/>
      <c r="H1932" s="128"/>
      <c r="I1932" s="129">
        <f>'B&amp;T'!J49</f>
        <v>0</v>
      </c>
      <c r="J1932" s="129"/>
      <c r="K1932" s="129"/>
      <c r="L1932" s="129"/>
      <c r="M1932" s="186"/>
      <c r="N1932" s="186"/>
      <c r="O1932" s="128"/>
      <c r="P1932" s="123" t="str">
        <f t="shared" si="486"/>
        <v/>
      </c>
    </row>
    <row r="1933" spans="1:16" s="114" customFormat="1" ht="15" x14ac:dyDescent="0.25">
      <c r="A1933" s="118"/>
      <c r="B1933" s="117" t="s">
        <v>70</v>
      </c>
      <c r="C1933" s="128"/>
      <c r="D1933" s="128"/>
      <c r="E1933" s="128"/>
      <c r="F1933" s="128"/>
      <c r="G1933" s="128"/>
      <c r="H1933" s="128"/>
      <c r="I1933" s="129">
        <f>'B&amp;T'!J50</f>
        <v>0</v>
      </c>
      <c r="J1933" s="129"/>
      <c r="K1933" s="129"/>
      <c r="L1933" s="129"/>
      <c r="M1933" s="186"/>
      <c r="N1933" s="186"/>
      <c r="O1933" s="128"/>
      <c r="P1933" s="123" t="str">
        <f t="shared" si="486"/>
        <v/>
      </c>
    </row>
    <row r="1934" spans="1:16" s="114" customFormat="1" ht="15" x14ac:dyDescent="0.25">
      <c r="A1934" s="118"/>
      <c r="B1934" s="117"/>
      <c r="C1934" s="128"/>
      <c r="D1934" s="128"/>
      <c r="E1934" s="128"/>
      <c r="F1934" s="128"/>
      <c r="G1934" s="128"/>
      <c r="H1934" s="128"/>
      <c r="I1934" s="129">
        <f>'B&amp;T'!J51</f>
        <v>0</v>
      </c>
      <c r="J1934" s="129"/>
      <c r="K1934" s="129"/>
      <c r="L1934" s="129"/>
      <c r="M1934" s="186"/>
      <c r="N1934" s="186"/>
      <c r="O1934" s="128"/>
      <c r="P1934" s="123" t="str">
        <f t="shared" si="486"/>
        <v/>
      </c>
    </row>
    <row r="1935" spans="1:16" x14ac:dyDescent="0.2">
      <c r="A1935" s="119" t="s">
        <v>821</v>
      </c>
      <c r="B1935" s="120" t="s">
        <v>72</v>
      </c>
      <c r="C1935" s="129">
        <v>-669425</v>
      </c>
      <c r="D1935" s="129">
        <v>0</v>
      </c>
      <c r="E1935" s="129">
        <v>0</v>
      </c>
      <c r="F1935" s="129">
        <v>0</v>
      </c>
      <c r="G1935" s="129">
        <v>-669425</v>
      </c>
      <c r="H1935" s="129">
        <v>0</v>
      </c>
      <c r="I1935" s="129">
        <f>'B&amp;T'!J52</f>
        <v>669425</v>
      </c>
      <c r="J1935" s="129">
        <f>'B&amp;T'!K52</f>
        <v>0</v>
      </c>
      <c r="K1935" s="129">
        <f>'B&amp;T'!L52</f>
        <v>0</v>
      </c>
      <c r="L1935" s="129">
        <f>'B&amp;T'!M52</f>
        <v>0</v>
      </c>
      <c r="M1935" s="129">
        <f>'B&amp;T'!N52</f>
        <v>0</v>
      </c>
      <c r="N1935" s="129">
        <f>'B&amp;T'!O52</f>
        <v>0</v>
      </c>
      <c r="O1935" s="129">
        <f>'B&amp;T'!P52</f>
        <v>0</v>
      </c>
      <c r="P1935" s="123" t="str">
        <f t="shared" si="486"/>
        <v>380</v>
      </c>
    </row>
    <row r="1936" spans="1:16" x14ac:dyDescent="0.2">
      <c r="A1936" s="119"/>
      <c r="B1936" s="120"/>
      <c r="C1936" s="129"/>
      <c r="D1936" s="129"/>
      <c r="E1936" s="129"/>
      <c r="F1936" s="129"/>
      <c r="G1936" s="129"/>
      <c r="H1936" s="129"/>
      <c r="I1936" s="129"/>
      <c r="J1936" s="129"/>
      <c r="K1936" s="129"/>
      <c r="L1936" s="129"/>
      <c r="O1936" s="129"/>
      <c r="P1936" s="123" t="str">
        <f t="shared" si="486"/>
        <v/>
      </c>
    </row>
    <row r="1937" spans="1:16" s="114" customFormat="1" ht="15" x14ac:dyDescent="0.25">
      <c r="A1937" s="118"/>
      <c r="B1937" s="117" t="s">
        <v>77</v>
      </c>
      <c r="C1937" s="128">
        <f>SUM(C1935:C1936)</f>
        <v>-669425</v>
      </c>
      <c r="D1937" s="128">
        <f t="shared" ref="D1937:O1937" si="488">SUM(D1935:D1936)</f>
        <v>0</v>
      </c>
      <c r="E1937" s="128">
        <f t="shared" si="488"/>
        <v>0</v>
      </c>
      <c r="F1937" s="128">
        <f t="shared" si="488"/>
        <v>0</v>
      </c>
      <c r="G1937" s="128">
        <f t="shared" si="488"/>
        <v>-669425</v>
      </c>
      <c r="H1937" s="128">
        <f t="shared" si="488"/>
        <v>0</v>
      </c>
      <c r="I1937" s="128">
        <f t="shared" si="488"/>
        <v>669425</v>
      </c>
      <c r="J1937" s="128">
        <f t="shared" si="488"/>
        <v>0</v>
      </c>
      <c r="K1937" s="128">
        <f t="shared" si="488"/>
        <v>0</v>
      </c>
      <c r="L1937" s="128">
        <f t="shared" si="488"/>
        <v>0</v>
      </c>
      <c r="M1937" s="128">
        <f t="shared" si="488"/>
        <v>0</v>
      </c>
      <c r="N1937" s="128">
        <f t="shared" si="488"/>
        <v>0</v>
      </c>
      <c r="O1937" s="128">
        <f t="shared" si="488"/>
        <v>0</v>
      </c>
      <c r="P1937" s="123" t="str">
        <f t="shared" si="486"/>
        <v/>
      </c>
    </row>
    <row r="1938" spans="1:16" s="114" customFormat="1" ht="15" x14ac:dyDescent="0.25">
      <c r="A1938" s="118"/>
      <c r="B1938" s="117"/>
      <c r="C1938" s="128"/>
      <c r="D1938" s="128"/>
      <c r="E1938" s="128"/>
      <c r="F1938" s="128"/>
      <c r="G1938" s="128"/>
      <c r="H1938" s="128"/>
      <c r="I1938" s="129">
        <f>'B&amp;T'!J55</f>
        <v>0</v>
      </c>
      <c r="J1938" s="129"/>
      <c r="K1938" s="129"/>
      <c r="L1938" s="129"/>
      <c r="M1938" s="186"/>
      <c r="N1938" s="186"/>
      <c r="O1938" s="128"/>
      <c r="P1938" s="123" t="str">
        <f t="shared" si="486"/>
        <v/>
      </c>
    </row>
    <row r="1939" spans="1:16" s="114" customFormat="1" ht="15" x14ac:dyDescent="0.25">
      <c r="A1939" s="118"/>
      <c r="B1939" s="117" t="s">
        <v>94</v>
      </c>
      <c r="C1939" s="128">
        <f>C1931+C1937</f>
        <v>-1016357</v>
      </c>
      <c r="D1939" s="128">
        <f t="shared" ref="D1939:O1939" si="489">D1931+D1937</f>
        <v>-40547.550000000003</v>
      </c>
      <c r="E1939" s="128">
        <f t="shared" si="489"/>
        <v>0</v>
      </c>
      <c r="F1939" s="128">
        <f t="shared" si="489"/>
        <v>-228665.99</v>
      </c>
      <c r="G1939" s="128">
        <f t="shared" si="489"/>
        <v>-787691.01</v>
      </c>
      <c r="H1939" s="128">
        <f t="shared" si="489"/>
        <v>65.91</v>
      </c>
      <c r="I1939" s="128">
        <f t="shared" si="489"/>
        <v>669425</v>
      </c>
      <c r="J1939" s="128">
        <f t="shared" si="489"/>
        <v>-457332</v>
      </c>
      <c r="K1939" s="128">
        <f t="shared" si="489"/>
        <v>-479741.26799999998</v>
      </c>
      <c r="L1939" s="128">
        <f t="shared" si="489"/>
        <v>-502768.848864</v>
      </c>
      <c r="M1939" s="128">
        <f t="shared" si="489"/>
        <v>-526901.75360947195</v>
      </c>
      <c r="N1939" s="128">
        <f t="shared" si="489"/>
        <v>0</v>
      </c>
      <c r="O1939" s="128">
        <f t="shared" si="489"/>
        <v>-526901.75360947195</v>
      </c>
      <c r="P1939" s="123" t="str">
        <f t="shared" si="486"/>
        <v/>
      </c>
    </row>
    <row r="1940" spans="1:16" s="114" customFormat="1" ht="15" x14ac:dyDescent="0.25">
      <c r="A1940" s="118"/>
      <c r="B1940" s="117"/>
      <c r="C1940" s="128"/>
      <c r="D1940" s="128"/>
      <c r="E1940" s="128"/>
      <c r="F1940" s="128"/>
      <c r="G1940" s="128"/>
      <c r="H1940" s="128"/>
      <c r="I1940" s="128">
        <f>'B&amp;T'!J57</f>
        <v>0</v>
      </c>
      <c r="J1940" s="128"/>
      <c r="K1940" s="128"/>
      <c r="L1940" s="128"/>
      <c r="M1940" s="186"/>
      <c r="N1940" s="186"/>
      <c r="O1940" s="128"/>
      <c r="P1940" s="123" t="str">
        <f t="shared" si="486"/>
        <v/>
      </c>
    </row>
    <row r="1941" spans="1:16" s="114" customFormat="1" ht="15" x14ac:dyDescent="0.25">
      <c r="A1941" s="118"/>
      <c r="B1941" s="117" t="s">
        <v>95</v>
      </c>
      <c r="C1941" s="128">
        <f>C1921+C1939</f>
        <v>-164808540</v>
      </c>
      <c r="D1941" s="128">
        <f t="shared" ref="D1941:O1941" si="490">D1921+D1939</f>
        <v>-48991757</v>
      </c>
      <c r="E1941" s="128">
        <f t="shared" si="490"/>
        <v>0</v>
      </c>
      <c r="F1941" s="128">
        <f t="shared" si="490"/>
        <v>-117742119.84999999</v>
      </c>
      <c r="G1941" s="128">
        <f t="shared" si="490"/>
        <v>-47066420.149999999</v>
      </c>
      <c r="H1941" s="128">
        <f t="shared" si="490"/>
        <v>302.87</v>
      </c>
      <c r="I1941" s="128">
        <f t="shared" si="490"/>
        <v>-3612582</v>
      </c>
      <c r="J1941" s="128">
        <f t="shared" si="490"/>
        <v>-168816399</v>
      </c>
      <c r="K1941" s="128">
        <f t="shared" si="490"/>
        <v>-177418421.28299999</v>
      </c>
      <c r="L1941" s="128">
        <f t="shared" si="490"/>
        <v>-184438026.14455399</v>
      </c>
      <c r="M1941" s="128">
        <f t="shared" si="490"/>
        <v>-192682646.88490123</v>
      </c>
      <c r="N1941" s="128">
        <f t="shared" si="490"/>
        <v>0</v>
      </c>
      <c r="O1941" s="128">
        <f t="shared" si="490"/>
        <v>-192682646.88490123</v>
      </c>
      <c r="P1941" s="123" t="str">
        <f t="shared" si="486"/>
        <v/>
      </c>
    </row>
    <row r="1942" spans="1:16" s="114" customFormat="1" ht="15" x14ac:dyDescent="0.25">
      <c r="A1942" s="118"/>
      <c r="B1942" s="117"/>
      <c r="C1942" s="128"/>
      <c r="D1942" s="128"/>
      <c r="E1942" s="128"/>
      <c r="F1942" s="128"/>
      <c r="G1942" s="128"/>
      <c r="H1942" s="128"/>
      <c r="I1942" s="129">
        <f>'B&amp;T'!J59</f>
        <v>0</v>
      </c>
      <c r="J1942" s="129"/>
      <c r="K1942" s="129"/>
      <c r="L1942" s="129"/>
      <c r="M1942" s="186"/>
      <c r="N1942" s="186"/>
      <c r="O1942" s="128"/>
      <c r="P1942" s="123" t="str">
        <f t="shared" si="486"/>
        <v/>
      </c>
    </row>
    <row r="1943" spans="1:16" s="114" customFormat="1" ht="15" x14ac:dyDescent="0.25">
      <c r="A1943" s="118"/>
      <c r="B1943" s="117" t="s">
        <v>96</v>
      </c>
      <c r="C1943" s="128"/>
      <c r="D1943" s="128"/>
      <c r="E1943" s="128"/>
      <c r="F1943" s="128"/>
      <c r="G1943" s="128"/>
      <c r="H1943" s="128"/>
      <c r="I1943" s="129">
        <f>'B&amp;T'!J60</f>
        <v>0</v>
      </c>
      <c r="J1943" s="129"/>
      <c r="K1943" s="129"/>
      <c r="L1943" s="129"/>
      <c r="M1943" s="186"/>
      <c r="N1943" s="186"/>
      <c r="O1943" s="128"/>
      <c r="P1943" s="123" t="str">
        <f t="shared" si="486"/>
        <v/>
      </c>
    </row>
    <row r="1944" spans="1:16" s="114" customFormat="1" ht="15" x14ac:dyDescent="0.25">
      <c r="A1944" s="118"/>
      <c r="B1944" s="117" t="s">
        <v>97</v>
      </c>
      <c r="C1944" s="128"/>
      <c r="D1944" s="128"/>
      <c r="E1944" s="128"/>
      <c r="F1944" s="128"/>
      <c r="G1944" s="128"/>
      <c r="H1944" s="128"/>
      <c r="I1944" s="129">
        <f>'B&amp;T'!J61</f>
        <v>0</v>
      </c>
      <c r="J1944" s="129"/>
      <c r="K1944" s="129"/>
      <c r="L1944" s="129"/>
      <c r="M1944" s="186"/>
      <c r="N1944" s="186"/>
      <c r="O1944" s="128"/>
      <c r="P1944" s="123" t="str">
        <f t="shared" si="486"/>
        <v/>
      </c>
    </row>
    <row r="1945" spans="1:16" s="114" customFormat="1" ht="15" x14ac:dyDescent="0.25">
      <c r="A1945" s="118"/>
      <c r="B1945" s="117" t="s">
        <v>98</v>
      </c>
      <c r="C1945" s="128"/>
      <c r="D1945" s="128"/>
      <c r="E1945" s="128"/>
      <c r="F1945" s="128"/>
      <c r="G1945" s="128"/>
      <c r="H1945" s="128"/>
      <c r="I1945" s="129">
        <f>'B&amp;T'!J62</f>
        <v>0</v>
      </c>
      <c r="J1945" s="129"/>
      <c r="K1945" s="129"/>
      <c r="L1945" s="129"/>
      <c r="M1945" s="186"/>
      <c r="N1945" s="186"/>
      <c r="O1945" s="128"/>
      <c r="P1945" s="123" t="str">
        <f t="shared" si="486"/>
        <v/>
      </c>
    </row>
    <row r="1946" spans="1:16" s="114" customFormat="1" ht="15" x14ac:dyDescent="0.25">
      <c r="A1946" s="118"/>
      <c r="B1946" s="117" t="s">
        <v>99</v>
      </c>
      <c r="C1946" s="128"/>
      <c r="D1946" s="128"/>
      <c r="E1946" s="128"/>
      <c r="F1946" s="128"/>
      <c r="G1946" s="128"/>
      <c r="H1946" s="128"/>
      <c r="I1946" s="129">
        <f>'B&amp;T'!J63</f>
        <v>0</v>
      </c>
      <c r="J1946" s="129"/>
      <c r="K1946" s="129"/>
      <c r="L1946" s="129"/>
      <c r="M1946" s="186"/>
      <c r="N1946" s="186"/>
      <c r="O1946" s="128"/>
      <c r="P1946" s="123" t="str">
        <f t="shared" si="486"/>
        <v/>
      </c>
    </row>
    <row r="1947" spans="1:16" s="114" customFormat="1" ht="15" x14ac:dyDescent="0.25">
      <c r="A1947" s="118"/>
      <c r="B1947" s="117" t="s">
        <v>107</v>
      </c>
      <c r="C1947" s="128"/>
      <c r="D1947" s="128"/>
      <c r="E1947" s="128"/>
      <c r="F1947" s="128"/>
      <c r="G1947" s="128"/>
      <c r="H1947" s="128"/>
      <c r="I1947" s="129">
        <f>'B&amp;T'!J64</f>
        <v>0</v>
      </c>
      <c r="J1947" s="129"/>
      <c r="K1947" s="129"/>
      <c r="L1947" s="129"/>
      <c r="M1947" s="186"/>
      <c r="N1947" s="186"/>
      <c r="O1947" s="128"/>
      <c r="P1947" s="123" t="str">
        <f t="shared" si="486"/>
        <v/>
      </c>
    </row>
    <row r="1948" spans="1:16" x14ac:dyDescent="0.2">
      <c r="A1948" s="119"/>
      <c r="B1948" s="120"/>
      <c r="C1948" s="129"/>
      <c r="D1948" s="129"/>
      <c r="E1948" s="129"/>
      <c r="F1948" s="129"/>
      <c r="G1948" s="129"/>
      <c r="H1948" s="129"/>
      <c r="I1948" s="129">
        <f>'B&amp;T'!J65</f>
        <v>0</v>
      </c>
      <c r="J1948" s="129"/>
      <c r="K1948" s="129"/>
      <c r="L1948" s="129"/>
      <c r="O1948" s="129"/>
      <c r="P1948" s="123" t="str">
        <f t="shared" si="486"/>
        <v/>
      </c>
    </row>
    <row r="1949" spans="1:16" x14ac:dyDescent="0.2">
      <c r="A1949" s="119" t="s">
        <v>822</v>
      </c>
      <c r="B1949" s="120" t="s">
        <v>108</v>
      </c>
      <c r="C1949" s="129">
        <v>601072</v>
      </c>
      <c r="D1949" s="129">
        <v>65133.61</v>
      </c>
      <c r="E1949" s="129">
        <v>0</v>
      </c>
      <c r="F1949" s="129">
        <v>390801.66</v>
      </c>
      <c r="G1949" s="129">
        <v>210270.34</v>
      </c>
      <c r="H1949" s="129">
        <v>65.010000000000005</v>
      </c>
      <c r="I1949" s="129">
        <f>'B&amp;T'!J66</f>
        <v>0</v>
      </c>
      <c r="J1949" s="129">
        <f>'B&amp;T'!K66</f>
        <v>601072</v>
      </c>
      <c r="K1949" s="129">
        <f>'B&amp;T'!L66</f>
        <v>638639</v>
      </c>
      <c r="L1949" s="129">
        <f>'B&amp;T'!M66</f>
        <v>683343.73</v>
      </c>
      <c r="M1949" s="129">
        <f>'B&amp;T'!N66</f>
        <v>731177.79110000003</v>
      </c>
      <c r="N1949" s="129">
        <f>'B&amp;T'!O66</f>
        <v>0</v>
      </c>
      <c r="O1949" s="129">
        <f>'B&amp;T'!N66</f>
        <v>731177.79110000003</v>
      </c>
      <c r="P1949" s="123" t="str">
        <f t="shared" si="486"/>
        <v>030</v>
      </c>
    </row>
    <row r="1950" spans="1:16" x14ac:dyDescent="0.2">
      <c r="A1950" s="119" t="s">
        <v>823</v>
      </c>
      <c r="B1950" s="120" t="s">
        <v>109</v>
      </c>
      <c r="C1950" s="129">
        <v>30054</v>
      </c>
      <c r="D1950" s="129">
        <v>0</v>
      </c>
      <c r="E1950" s="129">
        <v>0</v>
      </c>
      <c r="F1950" s="129">
        <v>0</v>
      </c>
      <c r="G1950" s="129">
        <v>30054</v>
      </c>
      <c r="H1950" s="129">
        <v>0</v>
      </c>
      <c r="I1950" s="129">
        <f>'B&amp;T'!J67</f>
        <v>0</v>
      </c>
      <c r="J1950" s="129">
        <f>'B&amp;T'!K67</f>
        <v>30054</v>
      </c>
      <c r="K1950" s="129">
        <f>'B&amp;T'!L67</f>
        <v>31932.375</v>
      </c>
      <c r="L1950" s="129">
        <f>'B&amp;T'!M67</f>
        <v>34167.641250000001</v>
      </c>
      <c r="M1950" s="129">
        <f>'B&amp;T'!N67</f>
        <v>36559.376137500003</v>
      </c>
      <c r="N1950" s="129">
        <f>'B&amp;T'!O67</f>
        <v>0</v>
      </c>
      <c r="O1950" s="129">
        <f>'B&amp;T'!N67</f>
        <v>36559.376137500003</v>
      </c>
      <c r="P1950" s="123" t="str">
        <f t="shared" si="486"/>
        <v>030</v>
      </c>
    </row>
    <row r="1951" spans="1:16" x14ac:dyDescent="0.2">
      <c r="A1951" s="119" t="s">
        <v>824</v>
      </c>
      <c r="B1951" s="120" t="s">
        <v>110</v>
      </c>
      <c r="C1951" s="129">
        <v>40000</v>
      </c>
      <c r="D1951" s="129">
        <v>3333.33</v>
      </c>
      <c r="E1951" s="129">
        <v>0</v>
      </c>
      <c r="F1951" s="129">
        <v>19999.98</v>
      </c>
      <c r="G1951" s="129">
        <v>20000.02</v>
      </c>
      <c r="H1951" s="129">
        <v>49.99</v>
      </c>
      <c r="I1951" s="129">
        <f>'B&amp;T'!J68</f>
        <v>0</v>
      </c>
      <c r="J1951" s="129">
        <f>'B&amp;T'!K68</f>
        <v>40000</v>
      </c>
      <c r="K1951" s="129">
        <f>'B&amp;T'!L68</f>
        <v>42500</v>
      </c>
      <c r="L1951" s="129">
        <f>'B&amp;T'!M68</f>
        <v>45475</v>
      </c>
      <c r="M1951" s="129">
        <f>'B&amp;T'!N68</f>
        <v>48658.25</v>
      </c>
      <c r="N1951" s="129">
        <f>'B&amp;T'!O68</f>
        <v>0</v>
      </c>
      <c r="O1951" s="129">
        <f>'B&amp;T'!N68</f>
        <v>48658.25</v>
      </c>
      <c r="P1951" s="123" t="str">
        <f t="shared" si="486"/>
        <v>030</v>
      </c>
    </row>
    <row r="1952" spans="1:16" x14ac:dyDescent="0.2">
      <c r="A1952" s="119" t="s">
        <v>825</v>
      </c>
      <c r="B1952" s="120" t="s">
        <v>111</v>
      </c>
      <c r="C1952" s="129">
        <v>205628</v>
      </c>
      <c r="D1952" s="129">
        <v>0</v>
      </c>
      <c r="E1952" s="129">
        <v>0</v>
      </c>
      <c r="F1952" s="129">
        <v>0</v>
      </c>
      <c r="G1952" s="129">
        <v>205628</v>
      </c>
      <c r="H1952" s="129">
        <v>0</v>
      </c>
      <c r="I1952" s="129">
        <f>'B&amp;T'!J69</f>
        <v>0</v>
      </c>
      <c r="J1952" s="129">
        <f>'B&amp;T'!K69</f>
        <v>205628</v>
      </c>
      <c r="K1952" s="129">
        <f>'B&amp;T'!L69</f>
        <v>218479.75</v>
      </c>
      <c r="L1952" s="129">
        <f>'B&amp;T'!M69</f>
        <v>233773.33249999999</v>
      </c>
      <c r="M1952" s="129">
        <f>'B&amp;T'!N69</f>
        <v>250137.46577499999</v>
      </c>
      <c r="N1952" s="129">
        <f>'B&amp;T'!O69</f>
        <v>0</v>
      </c>
      <c r="O1952" s="129">
        <f>'B&amp;T'!N69</f>
        <v>250137.46577499999</v>
      </c>
      <c r="P1952" s="123" t="str">
        <f t="shared" si="486"/>
        <v>030</v>
      </c>
    </row>
    <row r="1953" spans="1:16" x14ac:dyDescent="0.2">
      <c r="A1953" s="119" t="s">
        <v>826</v>
      </c>
      <c r="B1953" s="120" t="s">
        <v>112</v>
      </c>
      <c r="C1953" s="129">
        <v>17000</v>
      </c>
      <c r="D1953" s="129">
        <v>0</v>
      </c>
      <c r="E1953" s="129">
        <v>0</v>
      </c>
      <c r="F1953" s="129">
        <v>0</v>
      </c>
      <c r="G1953" s="129">
        <v>17000</v>
      </c>
      <c r="H1953" s="129">
        <v>0</v>
      </c>
      <c r="I1953" s="129">
        <f>'B&amp;T'!J70</f>
        <v>0</v>
      </c>
      <c r="J1953" s="129">
        <f>'B&amp;T'!K70</f>
        <v>17000</v>
      </c>
      <c r="K1953" s="129">
        <f>'B&amp;T'!L70</f>
        <v>18062.5</v>
      </c>
      <c r="L1953" s="129">
        <f>'B&amp;T'!M70</f>
        <v>19326.875</v>
      </c>
      <c r="M1953" s="129">
        <f>'B&amp;T'!N70</f>
        <v>20679.756249999999</v>
      </c>
      <c r="N1953" s="129">
        <f>'B&amp;T'!O70</f>
        <v>0</v>
      </c>
      <c r="O1953" s="129">
        <f>'B&amp;T'!N70</f>
        <v>20679.756249999999</v>
      </c>
      <c r="P1953" s="123" t="str">
        <f t="shared" si="486"/>
        <v>030</v>
      </c>
    </row>
    <row r="1954" spans="1:16" x14ac:dyDescent="0.2">
      <c r="A1954" s="119" t="s">
        <v>827</v>
      </c>
      <c r="B1954" s="120" t="s">
        <v>113</v>
      </c>
      <c r="C1954" s="129">
        <v>18580</v>
      </c>
      <c r="D1954" s="129">
        <v>0</v>
      </c>
      <c r="E1954" s="129">
        <v>0</v>
      </c>
      <c r="F1954" s="129">
        <v>0</v>
      </c>
      <c r="G1954" s="129">
        <v>18580</v>
      </c>
      <c r="H1954" s="129">
        <v>0</v>
      </c>
      <c r="I1954" s="129">
        <f>'B&amp;T'!J71</f>
        <v>-18580</v>
      </c>
      <c r="J1954" s="129">
        <f>'B&amp;T'!K71</f>
        <v>0</v>
      </c>
      <c r="K1954" s="129">
        <f>'B&amp;T'!L71</f>
        <v>0</v>
      </c>
      <c r="L1954" s="129">
        <f>'B&amp;T'!M71</f>
        <v>0</v>
      </c>
      <c r="M1954" s="129">
        <f>'B&amp;T'!N71</f>
        <v>0</v>
      </c>
      <c r="N1954" s="129">
        <f>'B&amp;T'!O71</f>
        <v>0</v>
      </c>
      <c r="O1954" s="129">
        <f>'B&amp;T'!P71</f>
        <v>0</v>
      </c>
      <c r="P1954" s="123" t="str">
        <f t="shared" si="486"/>
        <v>030</v>
      </c>
    </row>
    <row r="1955" spans="1:16" x14ac:dyDescent="0.2">
      <c r="A1955" s="119"/>
      <c r="B1955" s="120"/>
      <c r="C1955" s="129"/>
      <c r="D1955" s="129"/>
      <c r="E1955" s="129"/>
      <c r="F1955" s="129"/>
      <c r="G1955" s="129"/>
      <c r="H1955" s="129"/>
      <c r="I1955" s="129">
        <f>'B&amp;T'!J72</f>
        <v>0</v>
      </c>
      <c r="J1955" s="129"/>
      <c r="K1955" s="129"/>
      <c r="L1955" s="129"/>
      <c r="O1955" s="129"/>
      <c r="P1955" s="123" t="str">
        <f t="shared" si="486"/>
        <v/>
      </c>
    </row>
    <row r="1956" spans="1:16" s="114" customFormat="1" ht="15" x14ac:dyDescent="0.25">
      <c r="A1956" s="118"/>
      <c r="B1956" s="117" t="s">
        <v>114</v>
      </c>
      <c r="C1956" s="128">
        <f>SUM(C1949:C1955)</f>
        <v>912334</v>
      </c>
      <c r="D1956" s="128">
        <f t="shared" ref="D1956:O1956" si="491">SUM(D1949:D1955)</f>
        <v>68466.94</v>
      </c>
      <c r="E1956" s="128">
        <f t="shared" si="491"/>
        <v>0</v>
      </c>
      <c r="F1956" s="128">
        <f t="shared" si="491"/>
        <v>410801.63999999996</v>
      </c>
      <c r="G1956" s="128">
        <f t="shared" si="491"/>
        <v>501532.36</v>
      </c>
      <c r="H1956" s="128">
        <f t="shared" si="491"/>
        <v>115</v>
      </c>
      <c r="I1956" s="128">
        <f t="shared" si="491"/>
        <v>-18580</v>
      </c>
      <c r="J1956" s="128">
        <f t="shared" si="491"/>
        <v>893754</v>
      </c>
      <c r="K1956" s="128">
        <f t="shared" si="491"/>
        <v>949613.625</v>
      </c>
      <c r="L1956" s="128">
        <f t="shared" si="491"/>
        <v>1016086.57875</v>
      </c>
      <c r="M1956" s="128">
        <f t="shared" si="491"/>
        <v>1087212.6392625002</v>
      </c>
      <c r="N1956" s="128">
        <f t="shared" si="491"/>
        <v>0</v>
      </c>
      <c r="O1956" s="128">
        <f t="shared" si="491"/>
        <v>1087212.6392625002</v>
      </c>
      <c r="P1956" s="123" t="str">
        <f t="shared" si="486"/>
        <v/>
      </c>
    </row>
    <row r="1957" spans="1:16" s="114" customFormat="1" ht="15" x14ac:dyDescent="0.25">
      <c r="A1957" s="118"/>
      <c r="B1957" s="117"/>
      <c r="C1957" s="128"/>
      <c r="D1957" s="128"/>
      <c r="E1957" s="128"/>
      <c r="F1957" s="128"/>
      <c r="G1957" s="128"/>
      <c r="H1957" s="128"/>
      <c r="I1957" s="128">
        <f>'B&amp;T'!J74</f>
        <v>0</v>
      </c>
      <c r="J1957" s="128"/>
      <c r="K1957" s="128"/>
      <c r="L1957" s="128"/>
      <c r="M1957" s="186"/>
      <c r="N1957" s="186"/>
      <c r="O1957" s="128"/>
      <c r="P1957" s="123" t="str">
        <f t="shared" si="486"/>
        <v/>
      </c>
    </row>
    <row r="1958" spans="1:16" s="114" customFormat="1" ht="15" x14ac:dyDescent="0.25">
      <c r="A1958" s="118"/>
      <c r="B1958" s="117" t="s">
        <v>146</v>
      </c>
      <c r="C1958" s="128">
        <f>C1956</f>
        <v>912334</v>
      </c>
      <c r="D1958" s="128">
        <f t="shared" ref="D1958:O1958" si="492">D1956</f>
        <v>68466.94</v>
      </c>
      <c r="E1958" s="128">
        <f t="shared" si="492"/>
        <v>0</v>
      </c>
      <c r="F1958" s="128">
        <f t="shared" si="492"/>
        <v>410801.63999999996</v>
      </c>
      <c r="G1958" s="128">
        <f t="shared" si="492"/>
        <v>501532.36</v>
      </c>
      <c r="H1958" s="128">
        <f t="shared" si="492"/>
        <v>115</v>
      </c>
      <c r="I1958" s="128">
        <f t="shared" si="492"/>
        <v>-18580</v>
      </c>
      <c r="J1958" s="128">
        <f t="shared" si="492"/>
        <v>893754</v>
      </c>
      <c r="K1958" s="128">
        <f t="shared" si="492"/>
        <v>949613.625</v>
      </c>
      <c r="L1958" s="128">
        <f t="shared" si="492"/>
        <v>1016086.57875</v>
      </c>
      <c r="M1958" s="128">
        <f t="shared" si="492"/>
        <v>1087212.6392625002</v>
      </c>
      <c r="N1958" s="128">
        <f t="shared" si="492"/>
        <v>0</v>
      </c>
      <c r="O1958" s="128">
        <f t="shared" si="492"/>
        <v>1087212.6392625002</v>
      </c>
      <c r="P1958" s="123" t="str">
        <f t="shared" si="486"/>
        <v/>
      </c>
    </row>
    <row r="1959" spans="1:16" s="114" customFormat="1" ht="15" x14ac:dyDescent="0.25">
      <c r="A1959" s="118"/>
      <c r="B1959" s="117"/>
      <c r="C1959" s="128"/>
      <c r="D1959" s="128"/>
      <c r="E1959" s="128"/>
      <c r="F1959" s="128"/>
      <c r="G1959" s="128"/>
      <c r="H1959" s="128"/>
      <c r="I1959" s="128">
        <f>'B&amp;T'!J76</f>
        <v>0</v>
      </c>
      <c r="J1959" s="128"/>
      <c r="K1959" s="128"/>
      <c r="L1959" s="215"/>
      <c r="M1959" s="186"/>
      <c r="N1959" s="186"/>
      <c r="O1959" s="128"/>
      <c r="P1959" s="123" t="str">
        <f t="shared" si="486"/>
        <v/>
      </c>
    </row>
    <row r="1960" spans="1:16" s="114" customFormat="1" ht="15" x14ac:dyDescent="0.25">
      <c r="A1960" s="118"/>
      <c r="B1960" s="117" t="s">
        <v>147</v>
      </c>
      <c r="C1960" s="128">
        <f>C1958</f>
        <v>912334</v>
      </c>
      <c r="D1960" s="128">
        <f t="shared" ref="D1960:O1960" si="493">D1958</f>
        <v>68466.94</v>
      </c>
      <c r="E1960" s="128">
        <f t="shared" si="493"/>
        <v>0</v>
      </c>
      <c r="F1960" s="128">
        <f t="shared" si="493"/>
        <v>410801.63999999996</v>
      </c>
      <c r="G1960" s="128">
        <f t="shared" si="493"/>
        <v>501532.36</v>
      </c>
      <c r="H1960" s="128">
        <f t="shared" si="493"/>
        <v>115</v>
      </c>
      <c r="I1960" s="128">
        <f t="shared" si="493"/>
        <v>-18580</v>
      </c>
      <c r="J1960" s="128">
        <f t="shared" si="493"/>
        <v>893754</v>
      </c>
      <c r="K1960" s="128">
        <f t="shared" si="493"/>
        <v>949613.625</v>
      </c>
      <c r="L1960" s="215">
        <f t="shared" si="493"/>
        <v>1016086.57875</v>
      </c>
      <c r="M1960" s="128">
        <f t="shared" si="493"/>
        <v>1087212.6392625002</v>
      </c>
      <c r="N1960" s="128">
        <f t="shared" si="493"/>
        <v>0</v>
      </c>
      <c r="O1960" s="128">
        <f t="shared" si="493"/>
        <v>1087212.6392625002</v>
      </c>
      <c r="P1960" s="123" t="str">
        <f t="shared" si="486"/>
        <v/>
      </c>
    </row>
    <row r="1961" spans="1:16" s="114" customFormat="1" ht="15" x14ac:dyDescent="0.25">
      <c r="A1961" s="118"/>
      <c r="B1961" s="117"/>
      <c r="C1961" s="128"/>
      <c r="D1961" s="128"/>
      <c r="E1961" s="128"/>
      <c r="F1961" s="128"/>
      <c r="G1961" s="128"/>
      <c r="H1961" s="128"/>
      <c r="I1961" s="129">
        <f>'B&amp;T'!J78</f>
        <v>0</v>
      </c>
      <c r="J1961" s="129"/>
      <c r="K1961" s="128"/>
      <c r="L1961" s="186"/>
      <c r="M1961" s="186"/>
      <c r="N1961" s="186"/>
      <c r="O1961" s="128"/>
      <c r="P1961" s="123" t="str">
        <f t="shared" si="486"/>
        <v/>
      </c>
    </row>
    <row r="1962" spans="1:16" s="114" customFormat="1" ht="15" x14ac:dyDescent="0.25">
      <c r="A1962" s="118"/>
      <c r="B1962" s="117" t="s">
        <v>148</v>
      </c>
      <c r="C1962" s="128"/>
      <c r="D1962" s="128"/>
      <c r="E1962" s="128"/>
      <c r="F1962" s="128"/>
      <c r="G1962" s="128"/>
      <c r="H1962" s="128"/>
      <c r="I1962" s="129">
        <f>'B&amp;T'!J79</f>
        <v>0</v>
      </c>
      <c r="J1962" s="129"/>
      <c r="K1962" s="129"/>
      <c r="L1962" s="213"/>
      <c r="M1962" s="186"/>
      <c r="N1962" s="186"/>
      <c r="O1962" s="128"/>
      <c r="P1962" s="123" t="str">
        <f t="shared" si="486"/>
        <v/>
      </c>
    </row>
    <row r="1963" spans="1:16" s="114" customFormat="1" ht="15" x14ac:dyDescent="0.25">
      <c r="A1963" s="118"/>
      <c r="B1963" s="117" t="s">
        <v>149</v>
      </c>
      <c r="C1963" s="128"/>
      <c r="D1963" s="128"/>
      <c r="E1963" s="128"/>
      <c r="F1963" s="128"/>
      <c r="G1963" s="128"/>
      <c r="H1963" s="128"/>
      <c r="I1963" s="129">
        <f>'B&amp;T'!J80</f>
        <v>0</v>
      </c>
      <c r="J1963" s="129"/>
      <c r="K1963" s="129"/>
      <c r="L1963" s="129"/>
      <c r="M1963" s="186"/>
      <c r="N1963" s="186"/>
      <c r="O1963" s="128"/>
      <c r="P1963" s="123" t="str">
        <f t="shared" si="486"/>
        <v/>
      </c>
    </row>
    <row r="1964" spans="1:16" x14ac:dyDescent="0.2">
      <c r="A1964" s="119"/>
      <c r="B1964" s="120"/>
      <c r="C1964" s="129"/>
      <c r="D1964" s="129"/>
      <c r="E1964" s="129"/>
      <c r="F1964" s="129"/>
      <c r="G1964" s="129"/>
      <c r="H1964" s="129"/>
      <c r="I1964" s="129">
        <f>'B&amp;T'!J81</f>
        <v>0</v>
      </c>
      <c r="J1964" s="129"/>
      <c r="K1964" s="129"/>
      <c r="L1964" s="129"/>
      <c r="O1964" s="129"/>
      <c r="P1964" s="123" t="str">
        <f t="shared" si="486"/>
        <v/>
      </c>
    </row>
    <row r="1965" spans="1:16" x14ac:dyDescent="0.2">
      <c r="A1965" s="119" t="s">
        <v>828</v>
      </c>
      <c r="B1965" s="120" t="s">
        <v>150</v>
      </c>
      <c r="C1965" s="129">
        <v>514319</v>
      </c>
      <c r="D1965" s="129">
        <v>43685.279999999999</v>
      </c>
      <c r="E1965" s="129">
        <v>0</v>
      </c>
      <c r="F1965" s="129">
        <v>260582.88</v>
      </c>
      <c r="G1965" s="129">
        <v>253736.12</v>
      </c>
      <c r="H1965" s="129">
        <v>50.66</v>
      </c>
      <c r="I1965" s="129">
        <f>'B&amp;T'!J82</f>
        <v>0</v>
      </c>
      <c r="J1965" s="129">
        <f>'B&amp;T'!K82</f>
        <v>514319</v>
      </c>
      <c r="K1965" s="129">
        <f>'B&amp;T'!L82</f>
        <v>546463.9375</v>
      </c>
      <c r="L1965" s="129">
        <f>'B&amp;T'!M82</f>
        <v>584716.41312499996</v>
      </c>
      <c r="M1965" s="129">
        <f>'B&amp;T'!N82</f>
        <v>625646.56204374996</v>
      </c>
      <c r="N1965" s="129">
        <f>'B&amp;T'!O82</f>
        <v>0</v>
      </c>
      <c r="O1965" s="129">
        <f>'B&amp;T'!N82</f>
        <v>625646.56204374996</v>
      </c>
      <c r="P1965" s="123" t="str">
        <f t="shared" si="486"/>
        <v>110</v>
      </c>
    </row>
    <row r="1966" spans="1:16" x14ac:dyDescent="0.2">
      <c r="A1966" s="119" t="s">
        <v>829</v>
      </c>
      <c r="B1966" s="120" t="s">
        <v>151</v>
      </c>
      <c r="C1966" s="129">
        <v>25716</v>
      </c>
      <c r="D1966" s="129">
        <v>8467.09</v>
      </c>
      <c r="E1966" s="129">
        <v>0</v>
      </c>
      <c r="F1966" s="129">
        <v>71167.95</v>
      </c>
      <c r="G1966" s="129">
        <v>-45451.95</v>
      </c>
      <c r="H1966" s="129">
        <v>276.74</v>
      </c>
      <c r="I1966" s="129">
        <f>'B&amp;T'!J83</f>
        <v>-17248.910000000003</v>
      </c>
      <c r="J1966" s="129">
        <f>'B&amp;T'!K83</f>
        <v>8467.0899999999965</v>
      </c>
      <c r="K1966" s="129">
        <f>'B&amp;T'!L83</f>
        <v>8996.2831249999963</v>
      </c>
      <c r="L1966" s="129">
        <f>'B&amp;T'!M83</f>
        <v>9626.0229437499966</v>
      </c>
      <c r="M1966" s="129">
        <f>'B&amp;T'!N83</f>
        <v>10299.844549812497</v>
      </c>
      <c r="N1966" s="129">
        <f>'B&amp;T'!O83</f>
        <v>0</v>
      </c>
      <c r="O1966" s="129">
        <f>'B&amp;T'!N83</f>
        <v>10299.844549812497</v>
      </c>
      <c r="P1966" s="123" t="str">
        <f t="shared" si="486"/>
        <v>110</v>
      </c>
    </row>
    <row r="1967" spans="1:16" x14ac:dyDescent="0.2">
      <c r="A1967" s="119" t="s">
        <v>830</v>
      </c>
      <c r="B1967" s="120" t="s">
        <v>153</v>
      </c>
      <c r="C1967" s="129">
        <v>0</v>
      </c>
      <c r="D1967" s="129">
        <v>907.77</v>
      </c>
      <c r="E1967" s="129">
        <v>0</v>
      </c>
      <c r="F1967" s="129">
        <v>5446.62</v>
      </c>
      <c r="G1967" s="129">
        <v>-5446.62</v>
      </c>
      <c r="H1967" s="129">
        <v>0</v>
      </c>
      <c r="I1967" s="129">
        <f>'B&amp;T'!J84</f>
        <v>10893.24</v>
      </c>
      <c r="J1967" s="129">
        <f>'B&amp;T'!K84</f>
        <v>10893.24</v>
      </c>
      <c r="K1967" s="129">
        <f>'B&amp;T'!L84</f>
        <v>11574.067499999999</v>
      </c>
      <c r="L1967" s="129">
        <f>'B&amp;T'!M84</f>
        <v>12384.252224999998</v>
      </c>
      <c r="M1967" s="129">
        <f>'B&amp;T'!N84</f>
        <v>13251.149880749997</v>
      </c>
      <c r="N1967" s="129">
        <f>'B&amp;T'!O84</f>
        <v>0</v>
      </c>
      <c r="O1967" s="129">
        <f>'B&amp;T'!N84</f>
        <v>13251.149880749997</v>
      </c>
      <c r="P1967" s="123" t="str">
        <f t="shared" si="486"/>
        <v>110</v>
      </c>
    </row>
    <row r="1968" spans="1:16" x14ac:dyDescent="0.2">
      <c r="A1968" s="119" t="s">
        <v>831</v>
      </c>
      <c r="B1968" s="120" t="s">
        <v>155</v>
      </c>
      <c r="C1968" s="129">
        <v>17067</v>
      </c>
      <c r="D1968" s="129">
        <v>0</v>
      </c>
      <c r="E1968" s="129">
        <v>0</v>
      </c>
      <c r="F1968" s="129">
        <v>0</v>
      </c>
      <c r="G1968" s="129">
        <v>17067</v>
      </c>
      <c r="H1968" s="129">
        <v>0</v>
      </c>
      <c r="I1968" s="129">
        <f>'B&amp;T'!J85</f>
        <v>0</v>
      </c>
      <c r="J1968" s="129">
        <f>'B&amp;T'!K85</f>
        <v>17067</v>
      </c>
      <c r="K1968" s="129">
        <f>'B&amp;T'!L85</f>
        <v>18133.6875</v>
      </c>
      <c r="L1968" s="129">
        <f>'B&amp;T'!M85</f>
        <v>19403.045624999999</v>
      </c>
      <c r="M1968" s="129">
        <f>'B&amp;T'!N85</f>
        <v>20761.258818750001</v>
      </c>
      <c r="N1968" s="129">
        <f>'B&amp;T'!O85</f>
        <v>0</v>
      </c>
      <c r="O1968" s="129">
        <f>'B&amp;T'!N85</f>
        <v>20761.258818750001</v>
      </c>
      <c r="P1968" s="123" t="str">
        <f t="shared" si="486"/>
        <v>110</v>
      </c>
    </row>
    <row r="1969" spans="1:16" x14ac:dyDescent="0.2">
      <c r="A1969" s="119" t="s">
        <v>832</v>
      </c>
      <c r="B1969" s="120" t="s">
        <v>157</v>
      </c>
      <c r="C1969" s="129">
        <v>27826</v>
      </c>
      <c r="D1969" s="129">
        <v>0</v>
      </c>
      <c r="E1969" s="129">
        <v>0</v>
      </c>
      <c r="F1969" s="129">
        <v>11582.92</v>
      </c>
      <c r="G1969" s="129">
        <v>16243.08</v>
      </c>
      <c r="H1969" s="129">
        <v>41.62</v>
      </c>
      <c r="I1969" s="129">
        <f>'B&amp;T'!J86</f>
        <v>0</v>
      </c>
      <c r="J1969" s="129">
        <f>'B&amp;T'!K86</f>
        <v>27826</v>
      </c>
      <c r="K1969" s="129">
        <f>'B&amp;T'!L86</f>
        <v>29565.125</v>
      </c>
      <c r="L1969" s="129">
        <f>'B&amp;T'!M86</f>
        <v>31634.68375</v>
      </c>
      <c r="M1969" s="129">
        <f>'B&amp;T'!N86</f>
        <v>33849.111612499997</v>
      </c>
      <c r="N1969" s="129">
        <f>'B&amp;T'!O86</f>
        <v>0</v>
      </c>
      <c r="O1969" s="129">
        <f>'B&amp;T'!N86</f>
        <v>33849.111612499997</v>
      </c>
      <c r="P1969" s="123" t="str">
        <f t="shared" si="486"/>
        <v>110</v>
      </c>
    </row>
    <row r="1970" spans="1:16" x14ac:dyDescent="0.2">
      <c r="A1970" s="119" t="s">
        <v>833</v>
      </c>
      <c r="B1970" s="120" t="s">
        <v>159</v>
      </c>
      <c r="C1970" s="129">
        <v>42860</v>
      </c>
      <c r="D1970" s="129">
        <v>0</v>
      </c>
      <c r="E1970" s="129">
        <v>0</v>
      </c>
      <c r="F1970" s="129">
        <v>0</v>
      </c>
      <c r="G1970" s="129">
        <v>42860</v>
      </c>
      <c r="H1970" s="129">
        <v>0</v>
      </c>
      <c r="I1970" s="129">
        <f>'B&amp;T'!J87</f>
        <v>27140</v>
      </c>
      <c r="J1970" s="129">
        <f>'B&amp;T'!K87</f>
        <v>70000</v>
      </c>
      <c r="K1970" s="129">
        <f>'B&amp;T'!L87</f>
        <v>74375</v>
      </c>
      <c r="L1970" s="129">
        <f>'B&amp;T'!M87</f>
        <v>79581.25</v>
      </c>
      <c r="M1970" s="129">
        <f>'B&amp;T'!N87</f>
        <v>85151.9375</v>
      </c>
      <c r="N1970" s="129">
        <f>'B&amp;T'!O87</f>
        <v>0</v>
      </c>
      <c r="O1970" s="129">
        <f>'B&amp;T'!N87</f>
        <v>85151.9375</v>
      </c>
      <c r="P1970" s="123" t="str">
        <f t="shared" si="486"/>
        <v>110</v>
      </c>
    </row>
    <row r="1971" spans="1:16" x14ac:dyDescent="0.2">
      <c r="A1971" s="119" t="s">
        <v>834</v>
      </c>
      <c r="B1971" s="120" t="s">
        <v>164</v>
      </c>
      <c r="C1971" s="129">
        <v>32457</v>
      </c>
      <c r="D1971" s="129">
        <v>0</v>
      </c>
      <c r="E1971" s="129">
        <v>0</v>
      </c>
      <c r="F1971" s="129">
        <v>0</v>
      </c>
      <c r="G1971" s="129">
        <v>32457</v>
      </c>
      <c r="H1971" s="129">
        <v>0</v>
      </c>
      <c r="I1971" s="129">
        <f>'B&amp;T'!J88</f>
        <v>0</v>
      </c>
      <c r="J1971" s="129">
        <f>'B&amp;T'!K88</f>
        <v>32457</v>
      </c>
      <c r="K1971" s="129">
        <f>'B&amp;T'!L88</f>
        <v>34485.5625</v>
      </c>
      <c r="L1971" s="129">
        <f>'B&amp;T'!M88</f>
        <v>36899.551874999997</v>
      </c>
      <c r="M1971" s="129">
        <f>'B&amp;T'!N88</f>
        <v>39482.520506249995</v>
      </c>
      <c r="N1971" s="129">
        <f>'B&amp;T'!O88</f>
        <v>0</v>
      </c>
      <c r="O1971" s="129">
        <f>'B&amp;T'!N88</f>
        <v>39482.520506249995</v>
      </c>
      <c r="P1971" s="123" t="str">
        <f t="shared" si="486"/>
        <v>110</v>
      </c>
    </row>
    <row r="1972" spans="1:16" x14ac:dyDescent="0.2">
      <c r="A1972" s="119"/>
      <c r="B1972" s="120"/>
      <c r="C1972" s="129"/>
      <c r="D1972" s="129"/>
      <c r="E1972" s="129"/>
      <c r="F1972" s="129"/>
      <c r="G1972" s="129"/>
      <c r="H1972" s="129"/>
      <c r="I1972" s="129">
        <f>'B&amp;T'!J89</f>
        <v>0</v>
      </c>
      <c r="J1972" s="129"/>
      <c r="K1972" s="129"/>
      <c r="L1972" s="129"/>
      <c r="O1972" s="129"/>
      <c r="P1972" s="123" t="str">
        <f t="shared" si="486"/>
        <v/>
      </c>
    </row>
    <row r="1973" spans="1:16" s="114" customFormat="1" ht="15" x14ac:dyDescent="0.25">
      <c r="A1973" s="118"/>
      <c r="B1973" s="117" t="s">
        <v>165</v>
      </c>
      <c r="C1973" s="128">
        <f>SUM(C1965:C1972)</f>
        <v>660245</v>
      </c>
      <c r="D1973" s="128">
        <f t="shared" ref="D1973:O1973" si="494">SUM(D1965:D1972)</f>
        <v>53060.139999999992</v>
      </c>
      <c r="E1973" s="128">
        <f t="shared" si="494"/>
        <v>0</v>
      </c>
      <c r="F1973" s="128">
        <f t="shared" si="494"/>
        <v>348780.37</v>
      </c>
      <c r="G1973" s="128">
        <f t="shared" si="494"/>
        <v>311464.63</v>
      </c>
      <c r="H1973" s="128">
        <f t="shared" si="494"/>
        <v>369.02</v>
      </c>
      <c r="I1973" s="128">
        <f t="shared" si="494"/>
        <v>20784.329999999994</v>
      </c>
      <c r="J1973" s="128">
        <f t="shared" si="494"/>
        <v>681029.33</v>
      </c>
      <c r="K1973" s="128">
        <f t="shared" si="494"/>
        <v>723593.66312499996</v>
      </c>
      <c r="L1973" s="128">
        <f t="shared" si="494"/>
        <v>774245.21954374993</v>
      </c>
      <c r="M1973" s="128">
        <f t="shared" si="494"/>
        <v>828442.38491181249</v>
      </c>
      <c r="N1973" s="128">
        <f t="shared" si="494"/>
        <v>0</v>
      </c>
      <c r="O1973" s="128">
        <f t="shared" si="494"/>
        <v>828442.38491181249</v>
      </c>
      <c r="P1973" s="123" t="str">
        <f t="shared" si="486"/>
        <v/>
      </c>
    </row>
    <row r="1974" spans="1:16" s="114" customFormat="1" ht="15" x14ac:dyDescent="0.25">
      <c r="A1974" s="118"/>
      <c r="B1974" s="117"/>
      <c r="C1974" s="128"/>
      <c r="D1974" s="128"/>
      <c r="E1974" s="128"/>
      <c r="F1974" s="128"/>
      <c r="G1974" s="128"/>
      <c r="H1974" s="128"/>
      <c r="I1974" s="129">
        <f>'B&amp;T'!J91</f>
        <v>0</v>
      </c>
      <c r="J1974" s="129"/>
      <c r="K1974" s="129"/>
      <c r="L1974" s="129"/>
      <c r="M1974" s="186"/>
      <c r="N1974" s="186"/>
      <c r="O1974" s="128"/>
      <c r="P1974" s="123" t="str">
        <f t="shared" si="486"/>
        <v/>
      </c>
    </row>
    <row r="1975" spans="1:16" s="114" customFormat="1" ht="15" x14ac:dyDescent="0.25">
      <c r="A1975" s="118"/>
      <c r="B1975" s="117" t="s">
        <v>166</v>
      </c>
      <c r="C1975" s="128"/>
      <c r="D1975" s="128"/>
      <c r="E1975" s="128"/>
      <c r="F1975" s="128"/>
      <c r="G1975" s="128"/>
      <c r="H1975" s="128"/>
      <c r="I1975" s="129">
        <f>'B&amp;T'!J92</f>
        <v>0</v>
      </c>
      <c r="J1975" s="129"/>
      <c r="K1975" s="129"/>
      <c r="L1975" s="129"/>
      <c r="M1975" s="186"/>
      <c r="N1975" s="186"/>
      <c r="O1975" s="128"/>
      <c r="P1975" s="123" t="str">
        <f t="shared" si="486"/>
        <v/>
      </c>
    </row>
    <row r="1976" spans="1:16" x14ac:dyDescent="0.2">
      <c r="A1976" s="119"/>
      <c r="B1976" s="120"/>
      <c r="C1976" s="129"/>
      <c r="D1976" s="129"/>
      <c r="E1976" s="129"/>
      <c r="F1976" s="129"/>
      <c r="G1976" s="129"/>
      <c r="H1976" s="129"/>
      <c r="I1976" s="129">
        <f>'B&amp;T'!J93</f>
        <v>0</v>
      </c>
      <c r="J1976" s="129"/>
      <c r="K1976" s="129"/>
      <c r="L1976" s="129"/>
      <c r="O1976" s="129"/>
      <c r="P1976" s="123" t="str">
        <f t="shared" si="486"/>
        <v/>
      </c>
    </row>
    <row r="1977" spans="1:16" x14ac:dyDescent="0.2">
      <c r="A1977" s="119" t="s">
        <v>835</v>
      </c>
      <c r="B1977" s="120" t="s">
        <v>167</v>
      </c>
      <c r="C1977" s="129">
        <v>225</v>
      </c>
      <c r="D1977" s="129">
        <v>18.64</v>
      </c>
      <c r="E1977" s="129">
        <v>0</v>
      </c>
      <c r="F1977" s="129">
        <v>111.84</v>
      </c>
      <c r="G1977" s="129">
        <v>113.16</v>
      </c>
      <c r="H1977" s="129">
        <v>49.7</v>
      </c>
      <c r="I1977" s="129">
        <f>'B&amp;T'!J94</f>
        <v>0</v>
      </c>
      <c r="J1977" s="129">
        <f>'B&amp;T'!K94</f>
        <v>225</v>
      </c>
      <c r="K1977" s="129">
        <f>'B&amp;T'!L94</f>
        <v>239.0625</v>
      </c>
      <c r="L1977" s="129">
        <f>'B&amp;T'!M94</f>
        <v>255.796875</v>
      </c>
      <c r="M1977" s="129">
        <f>'B&amp;T'!N94</f>
        <v>273.70265625000002</v>
      </c>
      <c r="N1977" s="129">
        <f>'B&amp;T'!O94</f>
        <v>0</v>
      </c>
      <c r="O1977" s="129">
        <f>'B&amp;T'!N94</f>
        <v>273.70265625000002</v>
      </c>
      <c r="P1977" s="123" t="str">
        <f t="shared" si="486"/>
        <v>130</v>
      </c>
    </row>
    <row r="1978" spans="1:16" x14ac:dyDescent="0.2">
      <c r="A1978" s="119" t="s">
        <v>836</v>
      </c>
      <c r="B1978" s="120" t="s">
        <v>168</v>
      </c>
      <c r="C1978" s="129">
        <v>107816</v>
      </c>
      <c r="D1978" s="129">
        <v>2627.4</v>
      </c>
      <c r="E1978" s="129">
        <v>0</v>
      </c>
      <c r="F1978" s="129">
        <v>15764.4</v>
      </c>
      <c r="G1978" s="129">
        <v>92051.6</v>
      </c>
      <c r="H1978" s="129">
        <v>14.62</v>
      </c>
      <c r="I1978" s="129">
        <f>'B&amp;T'!J95</f>
        <v>-60000</v>
      </c>
      <c r="J1978" s="129">
        <f>'B&amp;T'!K95</f>
        <v>47816</v>
      </c>
      <c r="K1978" s="129">
        <f>'B&amp;T'!L95</f>
        <v>50804.5</v>
      </c>
      <c r="L1978" s="129">
        <f>'B&amp;T'!M95</f>
        <v>54360.815000000002</v>
      </c>
      <c r="M1978" s="129">
        <f>'B&amp;T'!N95</f>
        <v>58166.072050000002</v>
      </c>
      <c r="N1978" s="129">
        <f>'B&amp;T'!O95</f>
        <v>0</v>
      </c>
      <c r="O1978" s="129">
        <f>'B&amp;T'!N95</f>
        <v>58166.072050000002</v>
      </c>
      <c r="P1978" s="123" t="str">
        <f t="shared" si="486"/>
        <v>130</v>
      </c>
    </row>
    <row r="1979" spans="1:16" x14ac:dyDescent="0.2">
      <c r="A1979" s="119" t="s">
        <v>837</v>
      </c>
      <c r="B1979" s="120" t="s">
        <v>169</v>
      </c>
      <c r="C1979" s="129">
        <v>113150</v>
      </c>
      <c r="D1979" s="129">
        <v>7863.35</v>
      </c>
      <c r="E1979" s="129">
        <v>0</v>
      </c>
      <c r="F1979" s="129">
        <v>46904.9</v>
      </c>
      <c r="G1979" s="129">
        <v>66245.100000000006</v>
      </c>
      <c r="H1979" s="129">
        <v>41.45</v>
      </c>
      <c r="I1979" s="129">
        <f>'B&amp;T'!J96</f>
        <v>0</v>
      </c>
      <c r="J1979" s="129">
        <f>'B&amp;T'!K96</f>
        <v>113150</v>
      </c>
      <c r="K1979" s="129">
        <f>'B&amp;T'!L96</f>
        <v>120221.875</v>
      </c>
      <c r="L1979" s="129">
        <f>'B&amp;T'!M96</f>
        <v>128637.40625</v>
      </c>
      <c r="M1979" s="129">
        <f>'B&amp;T'!N96</f>
        <v>137642.0246875</v>
      </c>
      <c r="N1979" s="129">
        <f>'B&amp;T'!O96</f>
        <v>0</v>
      </c>
      <c r="O1979" s="129">
        <f>'B&amp;T'!N96</f>
        <v>137642.0246875</v>
      </c>
      <c r="P1979" s="123" t="str">
        <f t="shared" si="486"/>
        <v>130</v>
      </c>
    </row>
    <row r="1980" spans="1:16" x14ac:dyDescent="0.2">
      <c r="A1980" s="119" t="s">
        <v>838</v>
      </c>
      <c r="B1980" s="120" t="s">
        <v>170</v>
      </c>
      <c r="C1980" s="129">
        <v>3570</v>
      </c>
      <c r="D1980" s="129">
        <v>297.44</v>
      </c>
      <c r="E1980" s="129">
        <v>0</v>
      </c>
      <c r="F1980" s="129">
        <v>1784.64</v>
      </c>
      <c r="G1980" s="129">
        <v>1785.36</v>
      </c>
      <c r="H1980" s="129">
        <v>49.98</v>
      </c>
      <c r="I1980" s="129">
        <f>'B&amp;T'!J97</f>
        <v>0</v>
      </c>
      <c r="J1980" s="129">
        <f>'B&amp;T'!K97</f>
        <v>3570</v>
      </c>
      <c r="K1980" s="129">
        <f>'B&amp;T'!L97</f>
        <v>3793.125</v>
      </c>
      <c r="L1980" s="129">
        <f>'B&amp;T'!M97</f>
        <v>4058.6437500000002</v>
      </c>
      <c r="M1980" s="129">
        <f>'B&amp;T'!N97</f>
        <v>4342.7488125</v>
      </c>
      <c r="N1980" s="129">
        <f>'B&amp;T'!O97</f>
        <v>0</v>
      </c>
      <c r="O1980" s="129">
        <f>'B&amp;T'!N97</f>
        <v>4342.7488125</v>
      </c>
      <c r="P1980" s="123" t="str">
        <f t="shared" si="486"/>
        <v>130</v>
      </c>
    </row>
    <row r="1981" spans="1:16" x14ac:dyDescent="0.2">
      <c r="A1981" s="119"/>
      <c r="B1981" s="120"/>
      <c r="C1981" s="129"/>
      <c r="D1981" s="129"/>
      <c r="E1981" s="129"/>
      <c r="F1981" s="129"/>
      <c r="G1981" s="129"/>
      <c r="H1981" s="129"/>
      <c r="I1981" s="129">
        <f>'B&amp;T'!J98</f>
        <v>0</v>
      </c>
      <c r="J1981" s="129"/>
      <c r="K1981" s="129"/>
      <c r="L1981" s="129"/>
      <c r="O1981" s="129"/>
      <c r="P1981" s="123" t="str">
        <f t="shared" si="486"/>
        <v/>
      </c>
    </row>
    <row r="1982" spans="1:16" s="114" customFormat="1" ht="15" x14ac:dyDescent="0.25">
      <c r="A1982" s="118"/>
      <c r="B1982" s="117" t="s">
        <v>171</v>
      </c>
      <c r="C1982" s="128">
        <f>SUM(C1977:C1981)</f>
        <v>224761</v>
      </c>
      <c r="D1982" s="128">
        <f t="shared" ref="D1982:O1982" si="495">SUM(D1977:D1981)</f>
        <v>10806.83</v>
      </c>
      <c r="E1982" s="128">
        <f t="shared" si="495"/>
        <v>0</v>
      </c>
      <c r="F1982" s="128">
        <f t="shared" si="495"/>
        <v>64565.78</v>
      </c>
      <c r="G1982" s="128">
        <f t="shared" si="495"/>
        <v>160195.22</v>
      </c>
      <c r="H1982" s="128">
        <f t="shared" si="495"/>
        <v>155.75</v>
      </c>
      <c r="I1982" s="128">
        <f t="shared" si="495"/>
        <v>-60000</v>
      </c>
      <c r="J1982" s="128">
        <f t="shared" si="495"/>
        <v>164761</v>
      </c>
      <c r="K1982" s="128">
        <f t="shared" si="495"/>
        <v>175058.5625</v>
      </c>
      <c r="L1982" s="128">
        <f t="shared" si="495"/>
        <v>187312.66187499999</v>
      </c>
      <c r="M1982" s="128">
        <f t="shared" si="495"/>
        <v>200424.54820625001</v>
      </c>
      <c r="N1982" s="128">
        <f t="shared" si="495"/>
        <v>0</v>
      </c>
      <c r="O1982" s="128">
        <f t="shared" si="495"/>
        <v>200424.54820625001</v>
      </c>
      <c r="P1982" s="123" t="str">
        <f t="shared" si="486"/>
        <v/>
      </c>
    </row>
    <row r="1983" spans="1:16" s="114" customFormat="1" ht="15" x14ac:dyDescent="0.25">
      <c r="A1983" s="118"/>
      <c r="B1983" s="117"/>
      <c r="C1983" s="128"/>
      <c r="D1983" s="128"/>
      <c r="E1983" s="128"/>
      <c r="F1983" s="128"/>
      <c r="G1983" s="128"/>
      <c r="H1983" s="128"/>
      <c r="I1983" s="129">
        <f>'B&amp;T'!J100</f>
        <v>0</v>
      </c>
      <c r="J1983" s="129"/>
      <c r="K1983" s="129"/>
      <c r="L1983" s="129"/>
      <c r="M1983" s="186"/>
      <c r="N1983" s="186"/>
      <c r="O1983" s="128"/>
      <c r="P1983" s="123" t="str">
        <f t="shared" si="486"/>
        <v/>
      </c>
    </row>
    <row r="1984" spans="1:16" s="114" customFormat="1" ht="15" x14ac:dyDescent="0.25">
      <c r="A1984" s="118"/>
      <c r="B1984" s="117" t="s">
        <v>172</v>
      </c>
      <c r="C1984" s="128"/>
      <c r="D1984" s="128"/>
      <c r="E1984" s="128"/>
      <c r="F1984" s="128"/>
      <c r="G1984" s="128"/>
      <c r="H1984" s="128"/>
      <c r="I1984" s="129">
        <f>'B&amp;T'!J101</f>
        <v>0</v>
      </c>
      <c r="J1984" s="129"/>
      <c r="K1984" s="129"/>
      <c r="L1984" s="129"/>
      <c r="M1984" s="186"/>
      <c r="N1984" s="186"/>
      <c r="O1984" s="128"/>
      <c r="P1984" s="123" t="str">
        <f t="shared" si="486"/>
        <v/>
      </c>
    </row>
    <row r="1985" spans="1:16" x14ac:dyDescent="0.2">
      <c r="A1985" s="119"/>
      <c r="B1985" s="120"/>
      <c r="C1985" s="129"/>
      <c r="D1985" s="129"/>
      <c r="E1985" s="129"/>
      <c r="F1985" s="129"/>
      <c r="G1985" s="129"/>
      <c r="H1985" s="129"/>
      <c r="I1985" s="129">
        <f>'B&amp;T'!J102</f>
        <v>0</v>
      </c>
      <c r="J1985" s="129"/>
      <c r="K1985" s="129"/>
      <c r="L1985" s="129"/>
      <c r="O1985" s="129"/>
      <c r="P1985" s="123" t="str">
        <f t="shared" si="486"/>
        <v/>
      </c>
    </row>
    <row r="1986" spans="1:16" x14ac:dyDescent="0.2">
      <c r="A1986" s="119" t="s">
        <v>839</v>
      </c>
      <c r="B1986" s="120" t="s">
        <v>173</v>
      </c>
      <c r="C1986" s="129">
        <v>6657</v>
      </c>
      <c r="D1986" s="129">
        <v>0</v>
      </c>
      <c r="E1986" s="129">
        <v>0</v>
      </c>
      <c r="F1986" s="129">
        <v>0</v>
      </c>
      <c r="G1986" s="129">
        <v>6657</v>
      </c>
      <c r="H1986" s="129">
        <v>0</v>
      </c>
      <c r="I1986" s="129">
        <f>'B&amp;T'!J103</f>
        <v>0</v>
      </c>
      <c r="J1986" s="129">
        <f>'B&amp;T'!K103</f>
        <v>6657</v>
      </c>
      <c r="K1986" s="129">
        <f>'B&amp;T'!L103</f>
        <v>7073.0625</v>
      </c>
      <c r="L1986" s="129">
        <f>'B&amp;T'!M103</f>
        <v>7568.1768750000001</v>
      </c>
      <c r="M1986" s="129">
        <f>'B&amp;T'!N103</f>
        <v>8097.94925625</v>
      </c>
      <c r="N1986" s="129">
        <f>'B&amp;T'!O103</f>
        <v>0</v>
      </c>
      <c r="O1986" s="129">
        <f>'B&amp;T'!N103</f>
        <v>8097.94925625</v>
      </c>
      <c r="P1986" s="123" t="str">
        <f t="shared" si="486"/>
        <v>140</v>
      </c>
    </row>
    <row r="1987" spans="1:16" x14ac:dyDescent="0.2">
      <c r="A1987" s="119" t="s">
        <v>840</v>
      </c>
      <c r="B1987" s="120" t="s">
        <v>174</v>
      </c>
      <c r="C1987" s="129">
        <v>6718</v>
      </c>
      <c r="D1987" s="129">
        <v>0</v>
      </c>
      <c r="E1987" s="129">
        <v>0</v>
      </c>
      <c r="F1987" s="129">
        <v>0</v>
      </c>
      <c r="G1987" s="129">
        <v>6718</v>
      </c>
      <c r="H1987" s="129">
        <v>0</v>
      </c>
      <c r="I1987" s="129">
        <f>'B&amp;T'!J104</f>
        <v>0</v>
      </c>
      <c r="J1987" s="129">
        <f>'B&amp;T'!K104</f>
        <v>6718</v>
      </c>
      <c r="K1987" s="129">
        <f>'B&amp;T'!L104</f>
        <v>7137.875</v>
      </c>
      <c r="L1987" s="129">
        <f>'B&amp;T'!M104</f>
        <v>7637.5262499999999</v>
      </c>
      <c r="M1987" s="129">
        <f>'B&amp;T'!N104</f>
        <v>8172.1530874999999</v>
      </c>
      <c r="N1987" s="129">
        <f>'B&amp;T'!O104</f>
        <v>0</v>
      </c>
      <c r="O1987" s="129">
        <f>'B&amp;T'!N104</f>
        <v>8172.1530874999999</v>
      </c>
      <c r="P1987" s="123" t="str">
        <f t="shared" si="486"/>
        <v>140</v>
      </c>
    </row>
    <row r="1988" spans="1:16" x14ac:dyDescent="0.2">
      <c r="A1988" s="119" t="s">
        <v>1393</v>
      </c>
      <c r="B1988" s="120" t="s">
        <v>1392</v>
      </c>
      <c r="C1988" s="129">
        <f>'B&amp;T'!D105</f>
        <v>0</v>
      </c>
      <c r="D1988" s="129">
        <f>'B&amp;T'!E105</f>
        <v>-141346.4</v>
      </c>
      <c r="E1988" s="129">
        <f>'B&amp;T'!F105</f>
        <v>0</v>
      </c>
      <c r="F1988" s="129">
        <f>'B&amp;T'!G105</f>
        <v>-848078.4</v>
      </c>
      <c r="G1988" s="129">
        <f>'B&amp;T'!H105</f>
        <v>-563200.6</v>
      </c>
      <c r="H1988" s="129"/>
      <c r="I1988" s="129">
        <f>'B&amp;T'!J105</f>
        <v>150000</v>
      </c>
      <c r="J1988" s="129">
        <f>'B&amp;T'!K105</f>
        <v>150000</v>
      </c>
      <c r="K1988" s="129">
        <f>'B&amp;T'!L105</f>
        <v>159375</v>
      </c>
      <c r="L1988" s="129">
        <f>'B&amp;T'!M105</f>
        <v>170531.25</v>
      </c>
      <c r="M1988" s="129">
        <f>'B&amp;T'!N105</f>
        <v>182468.4375</v>
      </c>
      <c r="N1988" s="129">
        <f>'B&amp;T'!O105</f>
        <v>0</v>
      </c>
      <c r="O1988" s="129">
        <f>'B&amp;T'!N105</f>
        <v>182468.4375</v>
      </c>
      <c r="P1988" s="123" t="str">
        <f t="shared" si="486"/>
        <v>140</v>
      </c>
    </row>
    <row r="1989" spans="1:16" x14ac:dyDescent="0.2">
      <c r="A1989" s="119" t="s">
        <v>841</v>
      </c>
      <c r="B1989" s="120" t="s">
        <v>175</v>
      </c>
      <c r="C1989" s="129">
        <v>9290</v>
      </c>
      <c r="D1989" s="129">
        <v>0</v>
      </c>
      <c r="E1989" s="129">
        <v>0</v>
      </c>
      <c r="F1989" s="129">
        <v>0</v>
      </c>
      <c r="G1989" s="129">
        <v>9290</v>
      </c>
      <c r="H1989" s="129">
        <v>0</v>
      </c>
      <c r="I1989" s="129">
        <f>'B&amp;T'!J106</f>
        <v>0</v>
      </c>
      <c r="J1989" s="129">
        <f>'B&amp;T'!K106</f>
        <v>9290</v>
      </c>
      <c r="K1989" s="129">
        <f>'B&amp;T'!L106</f>
        <v>9870.625</v>
      </c>
      <c r="L1989" s="129">
        <f>'B&amp;T'!M106</f>
        <v>10561.56875</v>
      </c>
      <c r="M1989" s="129">
        <f>'B&amp;T'!N106</f>
        <v>11300.8785625</v>
      </c>
      <c r="N1989" s="129">
        <f>'B&amp;T'!O106</f>
        <v>0</v>
      </c>
      <c r="O1989" s="129">
        <f>'B&amp;T'!N106</f>
        <v>11300.8785625</v>
      </c>
      <c r="P1989" s="123" t="str">
        <f t="shared" si="486"/>
        <v>142</v>
      </c>
    </row>
    <row r="1990" spans="1:16" x14ac:dyDescent="0.2">
      <c r="A1990" s="119"/>
      <c r="B1990" s="120"/>
      <c r="C1990" s="129"/>
      <c r="D1990" s="129"/>
      <c r="E1990" s="129"/>
      <c r="F1990" s="129"/>
      <c r="G1990" s="129"/>
      <c r="H1990" s="129"/>
      <c r="I1990" s="129">
        <f>'B&amp;T'!J107</f>
        <v>0</v>
      </c>
      <c r="J1990" s="129"/>
      <c r="K1990" s="129"/>
      <c r="L1990" s="129"/>
      <c r="O1990" s="129"/>
      <c r="P1990" s="123" t="str">
        <f t="shared" si="486"/>
        <v/>
      </c>
    </row>
    <row r="1991" spans="1:16" s="114" customFormat="1" ht="15" x14ac:dyDescent="0.25">
      <c r="A1991" s="118"/>
      <c r="B1991" s="117" t="s">
        <v>176</v>
      </c>
      <c r="C1991" s="128">
        <f>SUM(C1986:C1990)</f>
        <v>22665</v>
      </c>
      <c r="D1991" s="128">
        <f t="shared" ref="D1991:O1991" si="496">SUM(D1986:D1990)</f>
        <v>-141346.4</v>
      </c>
      <c r="E1991" s="128">
        <f t="shared" si="496"/>
        <v>0</v>
      </c>
      <c r="F1991" s="128">
        <f t="shared" si="496"/>
        <v>-848078.4</v>
      </c>
      <c r="G1991" s="128">
        <f t="shared" si="496"/>
        <v>-540535.6</v>
      </c>
      <c r="H1991" s="128">
        <f t="shared" si="496"/>
        <v>0</v>
      </c>
      <c r="I1991" s="128">
        <f t="shared" si="496"/>
        <v>150000</v>
      </c>
      <c r="J1991" s="128">
        <f t="shared" si="496"/>
        <v>172665</v>
      </c>
      <c r="K1991" s="128">
        <f t="shared" si="496"/>
        <v>183456.5625</v>
      </c>
      <c r="L1991" s="128">
        <f t="shared" si="496"/>
        <v>196298.52187500001</v>
      </c>
      <c r="M1991" s="128">
        <f t="shared" si="496"/>
        <v>210039.41840625001</v>
      </c>
      <c r="N1991" s="128">
        <f t="shared" si="496"/>
        <v>0</v>
      </c>
      <c r="O1991" s="128">
        <f t="shared" si="496"/>
        <v>210039.41840625001</v>
      </c>
      <c r="P1991" s="123" t="str">
        <f t="shared" ref="P1991:P2054" si="497">MID(A1991,6,3)</f>
        <v/>
      </c>
    </row>
    <row r="1992" spans="1:16" s="114" customFormat="1" ht="15" x14ac:dyDescent="0.25">
      <c r="A1992" s="118"/>
      <c r="B1992" s="117"/>
      <c r="C1992" s="128"/>
      <c r="D1992" s="128"/>
      <c r="E1992" s="128"/>
      <c r="F1992" s="128"/>
      <c r="G1992" s="128"/>
      <c r="H1992" s="128"/>
      <c r="I1992" s="128">
        <f>'B&amp;T'!J109</f>
        <v>0</v>
      </c>
      <c r="J1992" s="128"/>
      <c r="K1992" s="128"/>
      <c r="L1992" s="128"/>
      <c r="M1992" s="186"/>
      <c r="N1992" s="186"/>
      <c r="O1992" s="128"/>
      <c r="P1992" s="123" t="str">
        <f t="shared" si="497"/>
        <v/>
      </c>
    </row>
    <row r="1993" spans="1:16" s="114" customFormat="1" ht="15" x14ac:dyDescent="0.25">
      <c r="A1993" s="118"/>
      <c r="B1993" s="117" t="s">
        <v>177</v>
      </c>
      <c r="C1993" s="128">
        <f>C1973+C1982+C1991</f>
        <v>907671</v>
      </c>
      <c r="D1993" s="128">
        <f t="shared" ref="D1993:O1993" si="498">D1973+D1982+D1991</f>
        <v>-77479.429999999993</v>
      </c>
      <c r="E1993" s="128">
        <f t="shared" si="498"/>
        <v>0</v>
      </c>
      <c r="F1993" s="128">
        <f t="shared" si="498"/>
        <v>-434732.25</v>
      </c>
      <c r="G1993" s="128">
        <f t="shared" si="498"/>
        <v>-68875.75</v>
      </c>
      <c r="H1993" s="128">
        <f t="shared" si="498"/>
        <v>524.77</v>
      </c>
      <c r="I1993" s="128">
        <f t="shared" si="498"/>
        <v>110784.32999999999</v>
      </c>
      <c r="J1993" s="128">
        <f t="shared" si="498"/>
        <v>1018455.33</v>
      </c>
      <c r="K1993" s="128">
        <f t="shared" si="498"/>
        <v>1082108.788125</v>
      </c>
      <c r="L1993" s="128">
        <f t="shared" si="498"/>
        <v>1157856.40329375</v>
      </c>
      <c r="M1993" s="128">
        <f t="shared" si="498"/>
        <v>1238906.3515243125</v>
      </c>
      <c r="N1993" s="128">
        <f t="shared" si="498"/>
        <v>0</v>
      </c>
      <c r="O1993" s="128">
        <f t="shared" si="498"/>
        <v>1238906.3515243125</v>
      </c>
      <c r="P1993" s="123" t="str">
        <f t="shared" si="497"/>
        <v/>
      </c>
    </row>
    <row r="1994" spans="1:16" s="114" customFormat="1" ht="15" x14ac:dyDescent="0.25">
      <c r="A1994" s="118"/>
      <c r="B1994" s="117"/>
      <c r="C1994" s="128"/>
      <c r="D1994" s="128"/>
      <c r="E1994" s="128"/>
      <c r="F1994" s="128"/>
      <c r="G1994" s="128"/>
      <c r="H1994" s="128"/>
      <c r="I1994" s="128">
        <f>'B&amp;T'!J111</f>
        <v>0</v>
      </c>
      <c r="J1994" s="128"/>
      <c r="K1994" s="128"/>
      <c r="L1994" s="128"/>
      <c r="M1994" s="186"/>
      <c r="N1994" s="186"/>
      <c r="O1994" s="128"/>
      <c r="P1994" s="123" t="str">
        <f t="shared" si="497"/>
        <v/>
      </c>
    </row>
    <row r="1995" spans="1:16" s="114" customFormat="1" ht="15" x14ac:dyDescent="0.25">
      <c r="A1995" s="118"/>
      <c r="B1995" s="117" t="s">
        <v>178</v>
      </c>
      <c r="C1995" s="128">
        <f>C1960+C1993</f>
        <v>1820005</v>
      </c>
      <c r="D1995" s="128">
        <f t="shared" ref="D1995:O1995" si="499">D1960+D1993</f>
        <v>-9012.4899999999907</v>
      </c>
      <c r="E1995" s="128">
        <f t="shared" si="499"/>
        <v>0</v>
      </c>
      <c r="F1995" s="128">
        <f t="shared" si="499"/>
        <v>-23930.610000000044</v>
      </c>
      <c r="G1995" s="128">
        <f t="shared" si="499"/>
        <v>432656.61</v>
      </c>
      <c r="H1995" s="128">
        <f t="shared" si="499"/>
        <v>639.77</v>
      </c>
      <c r="I1995" s="128">
        <f t="shared" si="499"/>
        <v>92204.329999999987</v>
      </c>
      <c r="J1995" s="128">
        <f t="shared" si="499"/>
        <v>1912209.33</v>
      </c>
      <c r="K1995" s="128">
        <f t="shared" si="499"/>
        <v>2031722.413125</v>
      </c>
      <c r="L1995" s="128">
        <f t="shared" si="499"/>
        <v>2173942.9820437501</v>
      </c>
      <c r="M1995" s="128">
        <f t="shared" si="499"/>
        <v>2326118.9907868127</v>
      </c>
      <c r="N1995" s="128">
        <f t="shared" si="499"/>
        <v>0</v>
      </c>
      <c r="O1995" s="128">
        <f t="shared" si="499"/>
        <v>2326118.9907868127</v>
      </c>
      <c r="P1995" s="123" t="str">
        <f t="shared" si="497"/>
        <v/>
      </c>
    </row>
    <row r="1996" spans="1:16" s="114" customFormat="1" ht="15" x14ac:dyDescent="0.25">
      <c r="A1996" s="118"/>
      <c r="B1996" s="117"/>
      <c r="C1996" s="128"/>
      <c r="D1996" s="128"/>
      <c r="E1996" s="128"/>
      <c r="F1996" s="128"/>
      <c r="G1996" s="128"/>
      <c r="H1996" s="128"/>
      <c r="I1996" s="129">
        <f>'B&amp;T'!J113</f>
        <v>0</v>
      </c>
      <c r="J1996" s="129"/>
      <c r="K1996" s="129"/>
      <c r="L1996" s="129"/>
      <c r="M1996" s="186"/>
      <c r="N1996" s="186"/>
      <c r="O1996" s="128"/>
      <c r="P1996" s="123" t="str">
        <f t="shared" si="497"/>
        <v/>
      </c>
    </row>
    <row r="1997" spans="1:16" s="114" customFormat="1" ht="15" x14ac:dyDescent="0.25">
      <c r="A1997" s="118"/>
      <c r="B1997" s="117" t="s">
        <v>208</v>
      </c>
      <c r="C1997" s="128"/>
      <c r="D1997" s="128"/>
      <c r="E1997" s="128"/>
      <c r="F1997" s="128"/>
      <c r="G1997" s="128"/>
      <c r="H1997" s="128"/>
      <c r="I1997" s="129">
        <f>'B&amp;T'!J114</f>
        <v>0</v>
      </c>
      <c r="J1997" s="129"/>
      <c r="K1997" s="129"/>
      <c r="L1997" s="129"/>
      <c r="M1997" s="186"/>
      <c r="N1997" s="186"/>
      <c r="O1997" s="128"/>
      <c r="P1997" s="123" t="str">
        <f t="shared" si="497"/>
        <v/>
      </c>
    </row>
    <row r="1998" spans="1:16" s="114" customFormat="1" ht="15" x14ac:dyDescent="0.25">
      <c r="A1998" s="118"/>
      <c r="B1998" s="117"/>
      <c r="C1998" s="128"/>
      <c r="D1998" s="128"/>
      <c r="E1998" s="128"/>
      <c r="F1998" s="128"/>
      <c r="G1998" s="128"/>
      <c r="H1998" s="128"/>
      <c r="I1998" s="129">
        <f>'B&amp;T'!J115</f>
        <v>0</v>
      </c>
      <c r="J1998" s="129"/>
      <c r="K1998" s="129"/>
      <c r="L1998" s="129"/>
      <c r="M1998" s="186"/>
      <c r="N1998" s="186"/>
      <c r="O1998" s="128"/>
      <c r="P1998" s="123" t="str">
        <f t="shared" si="497"/>
        <v/>
      </c>
    </row>
    <row r="1999" spans="1:16" s="114" customFormat="1" ht="15" x14ac:dyDescent="0.25">
      <c r="A1999" s="118"/>
      <c r="B1999" s="117" t="s">
        <v>209</v>
      </c>
      <c r="C1999" s="128"/>
      <c r="D1999" s="128"/>
      <c r="E1999" s="128"/>
      <c r="F1999" s="128"/>
      <c r="G1999" s="128"/>
      <c r="H1999" s="128"/>
      <c r="I1999" s="129">
        <f>'B&amp;T'!J116</f>
        <v>0</v>
      </c>
      <c r="J1999" s="129"/>
      <c r="K1999" s="129"/>
      <c r="L1999" s="129"/>
      <c r="M1999" s="186"/>
      <c r="N1999" s="186"/>
      <c r="O1999" s="128"/>
      <c r="P1999" s="123" t="str">
        <f t="shared" si="497"/>
        <v/>
      </c>
    </row>
    <row r="2000" spans="1:16" x14ac:dyDescent="0.2">
      <c r="A2000" s="119"/>
      <c r="B2000" s="120"/>
      <c r="C2000" s="129"/>
      <c r="D2000" s="129"/>
      <c r="E2000" s="129"/>
      <c r="F2000" s="129"/>
      <c r="G2000" s="129"/>
      <c r="H2000" s="129"/>
      <c r="I2000" s="129">
        <f>'B&amp;T'!J117</f>
        <v>0</v>
      </c>
      <c r="J2000" s="129"/>
      <c r="K2000" s="129"/>
      <c r="L2000" s="129"/>
      <c r="O2000" s="129"/>
      <c r="P2000" s="123" t="str">
        <f t="shared" si="497"/>
        <v/>
      </c>
    </row>
    <row r="2001" spans="1:16" x14ac:dyDescent="0.2">
      <c r="A2001" s="119" t="s">
        <v>842</v>
      </c>
      <c r="B2001" s="120" t="s">
        <v>213</v>
      </c>
      <c r="C2001" s="129">
        <v>1000000</v>
      </c>
      <c r="D2001" s="129">
        <v>324757.39</v>
      </c>
      <c r="E2001" s="129">
        <v>0</v>
      </c>
      <c r="F2001" s="129">
        <v>324757.39</v>
      </c>
      <c r="G2001" s="129">
        <v>675242.61</v>
      </c>
      <c r="H2001" s="129">
        <v>32.47</v>
      </c>
      <c r="I2001" s="129">
        <f>'B&amp;T'!J118</f>
        <v>150000</v>
      </c>
      <c r="J2001" s="129">
        <f>'B&amp;T'!K118</f>
        <v>1150000</v>
      </c>
      <c r="K2001" s="129">
        <f>'B&amp;T'!L118</f>
        <v>800000</v>
      </c>
      <c r="L2001" s="129">
        <f>'B&amp;T'!M118</f>
        <v>848000</v>
      </c>
      <c r="M2001" s="129">
        <f>'B&amp;T'!N118</f>
        <v>898880</v>
      </c>
      <c r="N2001" s="129">
        <f>'B&amp;T'!O118</f>
        <v>0</v>
      </c>
      <c r="O2001" s="129">
        <f>'B&amp;T'!N118</f>
        <v>898880</v>
      </c>
      <c r="P2001" s="123" t="str">
        <f t="shared" si="497"/>
        <v>260</v>
      </c>
    </row>
    <row r="2002" spans="1:16" x14ac:dyDescent="0.2">
      <c r="A2002" s="119"/>
      <c r="B2002" s="120"/>
      <c r="C2002" s="129"/>
      <c r="D2002" s="129"/>
      <c r="E2002" s="129"/>
      <c r="F2002" s="129"/>
      <c r="G2002" s="129"/>
      <c r="H2002" s="129"/>
      <c r="I2002" s="129">
        <f>'B&amp;T'!J120</f>
        <v>0</v>
      </c>
      <c r="J2002" s="129"/>
      <c r="K2002" s="129"/>
      <c r="L2002" s="129"/>
      <c r="O2002" s="129"/>
      <c r="P2002" s="123" t="str">
        <f t="shared" si="497"/>
        <v/>
      </c>
    </row>
    <row r="2003" spans="1:16" s="114" customFormat="1" ht="15" x14ac:dyDescent="0.25">
      <c r="A2003" s="118"/>
      <c r="B2003" s="117" t="s">
        <v>217</v>
      </c>
      <c r="C2003" s="128">
        <f>SUM(C2001:C2002)</f>
        <v>1000000</v>
      </c>
      <c r="D2003" s="128">
        <f t="shared" ref="D2003:O2003" si="500">SUM(D2001:D2002)</f>
        <v>324757.39</v>
      </c>
      <c r="E2003" s="128">
        <f t="shared" si="500"/>
        <v>0</v>
      </c>
      <c r="F2003" s="128">
        <f t="shared" si="500"/>
        <v>324757.39</v>
      </c>
      <c r="G2003" s="128">
        <f t="shared" si="500"/>
        <v>675242.61</v>
      </c>
      <c r="H2003" s="128">
        <f t="shared" si="500"/>
        <v>32.47</v>
      </c>
      <c r="I2003" s="128">
        <f t="shared" si="500"/>
        <v>150000</v>
      </c>
      <c r="J2003" s="128">
        <f t="shared" si="500"/>
        <v>1150000</v>
      </c>
      <c r="K2003" s="128">
        <f t="shared" si="500"/>
        <v>800000</v>
      </c>
      <c r="L2003" s="128">
        <f t="shared" si="500"/>
        <v>848000</v>
      </c>
      <c r="M2003" s="128">
        <f t="shared" si="500"/>
        <v>898880</v>
      </c>
      <c r="N2003" s="128">
        <f t="shared" si="500"/>
        <v>0</v>
      </c>
      <c r="O2003" s="128">
        <f t="shared" si="500"/>
        <v>898880</v>
      </c>
      <c r="P2003" s="123" t="str">
        <f t="shared" si="497"/>
        <v/>
      </c>
    </row>
    <row r="2004" spans="1:16" s="114" customFormat="1" ht="15" x14ac:dyDescent="0.25">
      <c r="A2004" s="118"/>
      <c r="B2004" s="117"/>
      <c r="C2004" s="128"/>
      <c r="D2004" s="128"/>
      <c r="E2004" s="128"/>
      <c r="F2004" s="128"/>
      <c r="G2004" s="128"/>
      <c r="H2004" s="128"/>
      <c r="I2004" s="129">
        <f>'B&amp;T'!J122</f>
        <v>0</v>
      </c>
      <c r="J2004" s="129"/>
      <c r="K2004" s="129"/>
      <c r="L2004" s="129"/>
      <c r="M2004" s="186"/>
      <c r="N2004" s="186"/>
      <c r="O2004" s="128"/>
      <c r="P2004" s="123" t="str">
        <f t="shared" si="497"/>
        <v/>
      </c>
    </row>
    <row r="2005" spans="1:16" s="114" customFormat="1" ht="15" x14ac:dyDescent="0.25">
      <c r="A2005" s="118"/>
      <c r="B2005" s="117" t="s">
        <v>218</v>
      </c>
      <c r="C2005" s="128"/>
      <c r="D2005" s="128"/>
      <c r="E2005" s="128"/>
      <c r="F2005" s="128"/>
      <c r="G2005" s="128"/>
      <c r="H2005" s="128"/>
      <c r="I2005" s="129">
        <f>'B&amp;T'!J123</f>
        <v>0</v>
      </c>
      <c r="J2005" s="129"/>
      <c r="K2005" s="129"/>
      <c r="L2005" s="129"/>
      <c r="M2005" s="186"/>
      <c r="N2005" s="186"/>
      <c r="O2005" s="128"/>
      <c r="P2005" s="123" t="str">
        <f t="shared" si="497"/>
        <v/>
      </c>
    </row>
    <row r="2006" spans="1:16" x14ac:dyDescent="0.2">
      <c r="A2006" s="119"/>
      <c r="B2006" s="120"/>
      <c r="C2006" s="129"/>
      <c r="D2006" s="129"/>
      <c r="E2006" s="129"/>
      <c r="F2006" s="129"/>
      <c r="G2006" s="129"/>
      <c r="H2006" s="129"/>
      <c r="I2006" s="129">
        <f>'B&amp;T'!J124</f>
        <v>0</v>
      </c>
      <c r="J2006" s="129"/>
      <c r="K2006" s="129"/>
      <c r="L2006" s="129"/>
      <c r="O2006" s="129"/>
      <c r="P2006" s="123" t="str">
        <f t="shared" si="497"/>
        <v/>
      </c>
    </row>
    <row r="2007" spans="1:16" x14ac:dyDescent="0.2">
      <c r="A2007" s="119" t="s">
        <v>843</v>
      </c>
      <c r="B2007" s="120" t="s">
        <v>219</v>
      </c>
      <c r="C2007" s="129">
        <v>2650000</v>
      </c>
      <c r="D2007" s="129">
        <v>119480</v>
      </c>
      <c r="E2007" s="129">
        <v>0</v>
      </c>
      <c r="F2007" s="129">
        <v>2112177.62</v>
      </c>
      <c r="G2007" s="129">
        <v>537822.38</v>
      </c>
      <c r="H2007" s="129">
        <v>79.7</v>
      </c>
      <c r="I2007" s="129">
        <f>'B&amp;T'!J125</f>
        <v>300000</v>
      </c>
      <c r="J2007" s="129">
        <f>'B&amp;T'!K125</f>
        <v>2950000</v>
      </c>
      <c r="K2007" s="129">
        <f>'B&amp;T'!L125</f>
        <v>3000000</v>
      </c>
      <c r="L2007" s="129">
        <f>'B&amp;T'!M125</f>
        <v>3180000</v>
      </c>
      <c r="M2007" s="129">
        <f>'B&amp;T'!N125</f>
        <v>3370800</v>
      </c>
      <c r="N2007" s="129">
        <f>'B&amp;T'!O125</f>
        <v>0</v>
      </c>
      <c r="O2007" s="129">
        <f>'B&amp;T'!N125</f>
        <v>3370800</v>
      </c>
      <c r="P2007" s="123" t="str">
        <f t="shared" si="497"/>
        <v>270</v>
      </c>
    </row>
    <row r="2008" spans="1:16" x14ac:dyDescent="0.2">
      <c r="A2008" s="119"/>
      <c r="B2008" s="120"/>
      <c r="C2008" s="129"/>
      <c r="D2008" s="129"/>
      <c r="E2008" s="129"/>
      <c r="F2008" s="129"/>
      <c r="G2008" s="129"/>
      <c r="H2008" s="129"/>
      <c r="I2008" s="129" t="e">
        <f>'B&amp;T'!#REF!</f>
        <v>#REF!</v>
      </c>
      <c r="J2008" s="129"/>
      <c r="K2008" s="129"/>
      <c r="L2008" s="129"/>
      <c r="O2008" s="129"/>
      <c r="P2008" s="123" t="str">
        <f t="shared" si="497"/>
        <v/>
      </c>
    </row>
    <row r="2009" spans="1:16" s="114" customFormat="1" ht="15" x14ac:dyDescent="0.25">
      <c r="A2009" s="118"/>
      <c r="B2009" s="117" t="s">
        <v>227</v>
      </c>
      <c r="C2009" s="128">
        <f>SUM(C2007:C2008)</f>
        <v>2650000</v>
      </c>
      <c r="D2009" s="128">
        <f t="shared" ref="D2009:O2009" si="501">SUM(D2007:D2008)</f>
        <v>119480</v>
      </c>
      <c r="E2009" s="128">
        <f t="shared" si="501"/>
        <v>0</v>
      </c>
      <c r="F2009" s="128">
        <f t="shared" si="501"/>
        <v>2112177.62</v>
      </c>
      <c r="G2009" s="128">
        <f t="shared" si="501"/>
        <v>537822.38</v>
      </c>
      <c r="H2009" s="128">
        <f t="shared" si="501"/>
        <v>79.7</v>
      </c>
      <c r="I2009" s="128" t="e">
        <f t="shared" si="501"/>
        <v>#REF!</v>
      </c>
      <c r="J2009" s="128">
        <f t="shared" si="501"/>
        <v>2950000</v>
      </c>
      <c r="K2009" s="128">
        <f t="shared" si="501"/>
        <v>3000000</v>
      </c>
      <c r="L2009" s="128">
        <f t="shared" si="501"/>
        <v>3180000</v>
      </c>
      <c r="M2009" s="128">
        <f t="shared" si="501"/>
        <v>3370800</v>
      </c>
      <c r="N2009" s="128">
        <f t="shared" si="501"/>
        <v>0</v>
      </c>
      <c r="O2009" s="128">
        <f t="shared" si="501"/>
        <v>3370800</v>
      </c>
      <c r="P2009" s="123" t="str">
        <f t="shared" si="497"/>
        <v/>
      </c>
    </row>
    <row r="2010" spans="1:16" s="114" customFormat="1" ht="15" x14ac:dyDescent="0.25">
      <c r="A2010" s="118"/>
      <c r="B2010" s="117"/>
      <c r="C2010" s="128"/>
      <c r="D2010" s="128"/>
      <c r="E2010" s="128"/>
      <c r="F2010" s="128"/>
      <c r="G2010" s="128"/>
      <c r="H2010" s="128"/>
      <c r="I2010" s="129">
        <f>'B&amp;T'!J128</f>
        <v>0</v>
      </c>
      <c r="J2010" s="129"/>
      <c r="K2010" s="129"/>
      <c r="L2010" s="129"/>
      <c r="M2010" s="186"/>
      <c r="N2010" s="186"/>
      <c r="O2010" s="128"/>
      <c r="P2010" s="123" t="str">
        <f t="shared" si="497"/>
        <v/>
      </c>
    </row>
    <row r="2011" spans="1:16" s="114" customFormat="1" ht="15" x14ac:dyDescent="0.25">
      <c r="A2011" s="118"/>
      <c r="B2011" s="117" t="s">
        <v>228</v>
      </c>
      <c r="C2011" s="128"/>
      <c r="D2011" s="128"/>
      <c r="E2011" s="128"/>
      <c r="F2011" s="128"/>
      <c r="G2011" s="128"/>
      <c r="H2011" s="128"/>
      <c r="I2011" s="129">
        <f>'B&amp;T'!J129</f>
        <v>0</v>
      </c>
      <c r="J2011" s="129"/>
      <c r="K2011" s="129"/>
      <c r="L2011" s="129"/>
      <c r="M2011" s="186"/>
      <c r="N2011" s="186"/>
      <c r="O2011" s="128"/>
      <c r="P2011" s="123" t="str">
        <f t="shared" si="497"/>
        <v/>
      </c>
    </row>
    <row r="2012" spans="1:16" x14ac:dyDescent="0.2">
      <c r="A2012" s="119"/>
      <c r="B2012" s="120"/>
      <c r="C2012" s="129"/>
      <c r="D2012" s="129"/>
      <c r="E2012" s="129"/>
      <c r="F2012" s="129"/>
      <c r="G2012" s="129"/>
      <c r="H2012" s="129"/>
      <c r="I2012" s="129">
        <f>'B&amp;T'!J130</f>
        <v>0</v>
      </c>
      <c r="J2012" s="129"/>
      <c r="K2012" s="129"/>
      <c r="L2012" s="129"/>
      <c r="O2012" s="129"/>
      <c r="P2012" s="123" t="str">
        <f t="shared" si="497"/>
        <v/>
      </c>
    </row>
    <row r="2013" spans="1:16" x14ac:dyDescent="0.2">
      <c r="A2013" s="119" t="s">
        <v>844</v>
      </c>
      <c r="B2013" s="120" t="s">
        <v>229</v>
      </c>
      <c r="C2013" s="129">
        <v>600000</v>
      </c>
      <c r="D2013" s="129">
        <v>142000</v>
      </c>
      <c r="E2013" s="129">
        <v>171304.35</v>
      </c>
      <c r="F2013" s="129">
        <v>142000</v>
      </c>
      <c r="G2013" s="129">
        <v>458000</v>
      </c>
      <c r="H2013" s="129">
        <v>23.66</v>
      </c>
      <c r="I2013" s="129">
        <f>'B&amp;T'!J131</f>
        <v>300000</v>
      </c>
      <c r="J2013" s="129">
        <f>'B&amp;T'!K131</f>
        <v>900000</v>
      </c>
      <c r="K2013" s="129">
        <f>'B&amp;T'!L131</f>
        <v>400000</v>
      </c>
      <c r="L2013" s="129">
        <f>'B&amp;T'!M131</f>
        <v>424000</v>
      </c>
      <c r="M2013" s="129">
        <f>'B&amp;T'!N131</f>
        <v>449440</v>
      </c>
      <c r="N2013" s="129">
        <f>'B&amp;T'!O131</f>
        <v>0</v>
      </c>
      <c r="O2013" s="129">
        <f>'B&amp;T'!N131</f>
        <v>449440</v>
      </c>
      <c r="P2013" s="123" t="str">
        <f t="shared" si="497"/>
        <v>280</v>
      </c>
    </row>
    <row r="2014" spans="1:16" x14ac:dyDescent="0.2">
      <c r="A2014" s="119"/>
      <c r="B2014" s="120"/>
      <c r="C2014" s="129"/>
      <c r="D2014" s="129"/>
      <c r="E2014" s="129"/>
      <c r="F2014" s="129"/>
      <c r="G2014" s="129"/>
      <c r="H2014" s="129"/>
      <c r="I2014" s="129">
        <f>'B&amp;T'!J132</f>
        <v>0</v>
      </c>
      <c r="J2014" s="129"/>
      <c r="K2014" s="129"/>
      <c r="L2014" s="129"/>
      <c r="O2014" s="129"/>
      <c r="P2014" s="123" t="str">
        <f t="shared" si="497"/>
        <v/>
      </c>
    </row>
    <row r="2015" spans="1:16" s="114" customFormat="1" ht="15" x14ac:dyDescent="0.25">
      <c r="A2015" s="118"/>
      <c r="B2015" s="117" t="s">
        <v>239</v>
      </c>
      <c r="C2015" s="128">
        <f>SUM(C2013:C2014)</f>
        <v>600000</v>
      </c>
      <c r="D2015" s="128">
        <f t="shared" ref="D2015:O2015" si="502">SUM(D2013:D2014)</f>
        <v>142000</v>
      </c>
      <c r="E2015" s="128">
        <f t="shared" si="502"/>
        <v>171304.35</v>
      </c>
      <c r="F2015" s="128">
        <f t="shared" si="502"/>
        <v>142000</v>
      </c>
      <c r="G2015" s="128">
        <f t="shared" si="502"/>
        <v>458000</v>
      </c>
      <c r="H2015" s="128">
        <f t="shared" si="502"/>
        <v>23.66</v>
      </c>
      <c r="I2015" s="128">
        <f t="shared" si="502"/>
        <v>300000</v>
      </c>
      <c r="J2015" s="128">
        <f t="shared" si="502"/>
        <v>900000</v>
      </c>
      <c r="K2015" s="128">
        <f t="shared" si="502"/>
        <v>400000</v>
      </c>
      <c r="L2015" s="128">
        <f t="shared" si="502"/>
        <v>424000</v>
      </c>
      <c r="M2015" s="128">
        <f t="shared" si="502"/>
        <v>449440</v>
      </c>
      <c r="N2015" s="128">
        <f t="shared" si="502"/>
        <v>0</v>
      </c>
      <c r="O2015" s="128">
        <f t="shared" si="502"/>
        <v>449440</v>
      </c>
      <c r="P2015" s="123" t="str">
        <f t="shared" si="497"/>
        <v/>
      </c>
    </row>
    <row r="2016" spans="1:16" s="114" customFormat="1" ht="15" x14ac:dyDescent="0.25">
      <c r="A2016" s="118"/>
      <c r="B2016" s="117"/>
      <c r="C2016" s="128"/>
      <c r="D2016" s="128"/>
      <c r="E2016" s="128"/>
      <c r="F2016" s="128"/>
      <c r="G2016" s="128"/>
      <c r="H2016" s="128"/>
      <c r="I2016" s="129">
        <f>'B&amp;T'!J134</f>
        <v>0</v>
      </c>
      <c r="J2016" s="129"/>
      <c r="K2016" s="129"/>
      <c r="L2016" s="129"/>
      <c r="M2016" s="186"/>
      <c r="N2016" s="186"/>
      <c r="O2016" s="128"/>
      <c r="P2016" s="123" t="str">
        <f t="shared" si="497"/>
        <v/>
      </c>
    </row>
    <row r="2017" spans="1:16" s="114" customFormat="1" ht="15" x14ac:dyDescent="0.25">
      <c r="A2017" s="118"/>
      <c r="B2017" s="117" t="s">
        <v>240</v>
      </c>
      <c r="C2017" s="128">
        <f>C2003+C2009+C2015</f>
        <v>4250000</v>
      </c>
      <c r="D2017" s="128">
        <f t="shared" ref="D2017:O2017" si="503">D2003+D2009+D2015</f>
        <v>586237.39</v>
      </c>
      <c r="E2017" s="128">
        <f t="shared" si="503"/>
        <v>171304.35</v>
      </c>
      <c r="F2017" s="128">
        <f t="shared" si="503"/>
        <v>2578935.0100000002</v>
      </c>
      <c r="G2017" s="128">
        <f t="shared" si="503"/>
        <v>1671064.99</v>
      </c>
      <c r="H2017" s="128">
        <f t="shared" si="503"/>
        <v>135.83000000000001</v>
      </c>
      <c r="I2017" s="128" t="e">
        <f t="shared" si="503"/>
        <v>#REF!</v>
      </c>
      <c r="J2017" s="128">
        <f t="shared" si="503"/>
        <v>5000000</v>
      </c>
      <c r="K2017" s="128">
        <f t="shared" si="503"/>
        <v>4200000</v>
      </c>
      <c r="L2017" s="128">
        <f t="shared" si="503"/>
        <v>4452000</v>
      </c>
      <c r="M2017" s="128">
        <f t="shared" si="503"/>
        <v>4719120</v>
      </c>
      <c r="N2017" s="128">
        <f t="shared" si="503"/>
        <v>0</v>
      </c>
      <c r="O2017" s="128">
        <f t="shared" si="503"/>
        <v>4719120</v>
      </c>
      <c r="P2017" s="123" t="str">
        <f t="shared" si="497"/>
        <v/>
      </c>
    </row>
    <row r="2018" spans="1:16" s="114" customFormat="1" ht="15" x14ac:dyDescent="0.25">
      <c r="A2018" s="118"/>
      <c r="B2018" s="117"/>
      <c r="C2018" s="128"/>
      <c r="D2018" s="128"/>
      <c r="E2018" s="128"/>
      <c r="F2018" s="128"/>
      <c r="G2018" s="128"/>
      <c r="H2018" s="128"/>
      <c r="I2018" s="129">
        <f>'B&amp;T'!J136</f>
        <v>0</v>
      </c>
      <c r="J2018" s="129"/>
      <c r="K2018" s="129"/>
      <c r="L2018" s="129"/>
      <c r="M2018" s="186"/>
      <c r="N2018" s="186"/>
      <c r="O2018" s="128"/>
      <c r="P2018" s="123" t="str">
        <f t="shared" si="497"/>
        <v/>
      </c>
    </row>
    <row r="2019" spans="1:16" s="114" customFormat="1" ht="15" x14ac:dyDescent="0.25">
      <c r="A2019" s="118"/>
      <c r="B2019" s="117" t="s">
        <v>241</v>
      </c>
      <c r="C2019" s="128"/>
      <c r="D2019" s="128"/>
      <c r="E2019" s="128"/>
      <c r="F2019" s="128"/>
      <c r="G2019" s="128"/>
      <c r="H2019" s="128"/>
      <c r="I2019" s="129">
        <f>'B&amp;T'!J137</f>
        <v>0</v>
      </c>
      <c r="J2019" s="129"/>
      <c r="K2019" s="129"/>
      <c r="L2019" s="129"/>
      <c r="M2019" s="186"/>
      <c r="N2019" s="186"/>
      <c r="O2019" s="128"/>
      <c r="P2019" s="123" t="str">
        <f t="shared" si="497"/>
        <v/>
      </c>
    </row>
    <row r="2020" spans="1:16" x14ac:dyDescent="0.2">
      <c r="A2020" s="119"/>
      <c r="B2020" s="120"/>
      <c r="C2020" s="129"/>
      <c r="D2020" s="129"/>
      <c r="E2020" s="129"/>
      <c r="F2020" s="129"/>
      <c r="G2020" s="129"/>
      <c r="H2020" s="129"/>
      <c r="I2020" s="129">
        <f>'B&amp;T'!J138</f>
        <v>0</v>
      </c>
      <c r="J2020" s="129"/>
      <c r="K2020" s="129"/>
      <c r="L2020" s="129"/>
      <c r="O2020" s="129"/>
      <c r="P2020" s="123" t="str">
        <f t="shared" si="497"/>
        <v/>
      </c>
    </row>
    <row r="2021" spans="1:16" x14ac:dyDescent="0.2">
      <c r="A2021" s="119" t="s">
        <v>845</v>
      </c>
      <c r="B2021" s="120" t="s">
        <v>242</v>
      </c>
      <c r="C2021" s="129">
        <v>55809</v>
      </c>
      <c r="D2021" s="129">
        <v>0</v>
      </c>
      <c r="E2021" s="129">
        <v>0</v>
      </c>
      <c r="F2021" s="129">
        <v>0</v>
      </c>
      <c r="G2021" s="129">
        <v>55809</v>
      </c>
      <c r="H2021" s="129">
        <v>0</v>
      </c>
      <c r="I2021" s="129">
        <f>'B&amp;T'!J139</f>
        <v>-30000</v>
      </c>
      <c r="J2021" s="129">
        <f>'B&amp;T'!K139</f>
        <v>25809</v>
      </c>
      <c r="K2021" s="129">
        <f>'B&amp;T'!L139</f>
        <v>26970.404999999999</v>
      </c>
      <c r="L2021" s="129">
        <f>'B&amp;T'!M139</f>
        <v>28211.04363</v>
      </c>
      <c r="M2021" s="129">
        <f>'B&amp;T'!N139</f>
        <v>29508.75163698</v>
      </c>
      <c r="N2021" s="129">
        <f>'B&amp;T'!O139</f>
        <v>0</v>
      </c>
      <c r="O2021" s="129">
        <f>'B&amp;T'!N139</f>
        <v>29508.75163698</v>
      </c>
      <c r="P2021" s="123" t="str">
        <f t="shared" si="497"/>
        <v>300</v>
      </c>
    </row>
    <row r="2022" spans="1:16" x14ac:dyDescent="0.2">
      <c r="A2022" s="119" t="s">
        <v>846</v>
      </c>
      <c r="B2022" s="120" t="s">
        <v>253</v>
      </c>
      <c r="C2022" s="129">
        <v>2000</v>
      </c>
      <c r="D2022" s="129">
        <v>0</v>
      </c>
      <c r="E2022" s="129">
        <v>0</v>
      </c>
      <c r="F2022" s="129">
        <v>535.87</v>
      </c>
      <c r="G2022" s="129">
        <v>1464.13</v>
      </c>
      <c r="H2022" s="129">
        <v>26.79</v>
      </c>
      <c r="I2022" s="129">
        <f>'B&amp;T'!J140</f>
        <v>0</v>
      </c>
      <c r="J2022" s="129">
        <f>'B&amp;T'!K140</f>
        <v>2000</v>
      </c>
      <c r="K2022" s="129">
        <f>'B&amp;T'!L140</f>
        <v>2000</v>
      </c>
      <c r="L2022" s="129">
        <f>'B&amp;T'!M140</f>
        <v>2000</v>
      </c>
      <c r="M2022" s="129">
        <f>'B&amp;T'!N140</f>
        <v>2000</v>
      </c>
      <c r="N2022" s="129">
        <f>'B&amp;T'!O140</f>
        <v>0</v>
      </c>
      <c r="O2022" s="129">
        <f>'B&amp;T'!N140</f>
        <v>2000</v>
      </c>
      <c r="P2022" s="123" t="str">
        <f t="shared" si="497"/>
        <v>301</v>
      </c>
    </row>
    <row r="2023" spans="1:16" x14ac:dyDescent="0.2">
      <c r="A2023" s="119" t="s">
        <v>847</v>
      </c>
      <c r="B2023" s="120" t="s">
        <v>263</v>
      </c>
      <c r="C2023" s="129">
        <v>403000</v>
      </c>
      <c r="D2023" s="129">
        <v>0</v>
      </c>
      <c r="E2023" s="129">
        <v>0</v>
      </c>
      <c r="F2023" s="129">
        <v>62281.04</v>
      </c>
      <c r="G2023" s="129">
        <v>340718.96</v>
      </c>
      <c r="H2023" s="129">
        <v>15.45</v>
      </c>
      <c r="I2023" s="129">
        <f>'B&amp;T'!J141</f>
        <v>-300000</v>
      </c>
      <c r="J2023" s="129">
        <f>'B&amp;T'!K141</f>
        <v>103000</v>
      </c>
      <c r="K2023" s="129">
        <f>'B&amp;T'!L141</f>
        <v>200000</v>
      </c>
      <c r="L2023" s="129">
        <f>'B&amp;T'!M141</f>
        <v>209200</v>
      </c>
      <c r="M2023" s="129">
        <f>'B&amp;T'!N141</f>
        <v>218823.2</v>
      </c>
      <c r="N2023" s="129">
        <f>'B&amp;T'!O141</f>
        <v>0</v>
      </c>
      <c r="O2023" s="129">
        <f>'B&amp;T'!N141</f>
        <v>218823.2</v>
      </c>
      <c r="P2023" s="123" t="str">
        <f t="shared" si="497"/>
        <v>305</v>
      </c>
    </row>
    <row r="2024" spans="1:16" x14ac:dyDescent="0.2">
      <c r="A2024" s="119" t="s">
        <v>848</v>
      </c>
      <c r="B2024" s="120" t="s">
        <v>265</v>
      </c>
      <c r="C2024" s="129">
        <v>132699</v>
      </c>
      <c r="D2024" s="129">
        <v>1131.6099999999999</v>
      </c>
      <c r="E2024" s="129">
        <v>0</v>
      </c>
      <c r="F2024" s="129">
        <v>7170.84</v>
      </c>
      <c r="G2024" s="129">
        <v>125528.16</v>
      </c>
      <c r="H2024" s="129">
        <v>5.4</v>
      </c>
      <c r="I2024" s="129">
        <f>'B&amp;T'!J142</f>
        <v>-115000</v>
      </c>
      <c r="J2024" s="129">
        <f>'B&amp;T'!K142</f>
        <v>17699</v>
      </c>
      <c r="K2024" s="129">
        <f>'B&amp;T'!L142</f>
        <v>18495.455000000002</v>
      </c>
      <c r="L2024" s="129">
        <f>'B&amp;T'!M142</f>
        <v>19346.245930000001</v>
      </c>
      <c r="M2024" s="129">
        <f>'B&amp;T'!N142</f>
        <v>20236.173242780002</v>
      </c>
      <c r="N2024" s="129">
        <f>'B&amp;T'!O142</f>
        <v>0</v>
      </c>
      <c r="O2024" s="129">
        <f>'B&amp;T'!N142</f>
        <v>20236.173242780002</v>
      </c>
      <c r="P2024" s="123" t="str">
        <f t="shared" si="497"/>
        <v>305</v>
      </c>
    </row>
    <row r="2025" spans="1:16" x14ac:dyDescent="0.2">
      <c r="A2025" s="119" t="s">
        <v>849</v>
      </c>
      <c r="B2025" s="120" t="s">
        <v>268</v>
      </c>
      <c r="C2025" s="129">
        <v>384808</v>
      </c>
      <c r="D2025" s="129">
        <v>0</v>
      </c>
      <c r="E2025" s="129">
        <v>0</v>
      </c>
      <c r="F2025" s="129">
        <v>24019.43</v>
      </c>
      <c r="G2025" s="129">
        <v>360788.57</v>
      </c>
      <c r="H2025" s="129">
        <v>6.24</v>
      </c>
      <c r="I2025" s="129">
        <f>'B&amp;T'!J143</f>
        <v>-200000</v>
      </c>
      <c r="J2025" s="129">
        <f>'B&amp;T'!K143</f>
        <v>184808</v>
      </c>
      <c r="K2025" s="129">
        <f>'B&amp;T'!L143</f>
        <v>193124.36</v>
      </c>
      <c r="L2025" s="129">
        <f>'B&amp;T'!M143</f>
        <v>202008.08055999997</v>
      </c>
      <c r="M2025" s="129">
        <f>'B&amp;T'!N143</f>
        <v>211300.45226575996</v>
      </c>
      <c r="N2025" s="129">
        <f>'B&amp;T'!O143</f>
        <v>0</v>
      </c>
      <c r="O2025" s="129">
        <f>'B&amp;T'!N143</f>
        <v>211300.45226575996</v>
      </c>
      <c r="P2025" s="123" t="str">
        <f t="shared" si="497"/>
        <v>305</v>
      </c>
    </row>
    <row r="2026" spans="1:16" x14ac:dyDescent="0.2">
      <c r="A2026" s="119" t="s">
        <v>850</v>
      </c>
      <c r="B2026" s="120" t="s">
        <v>268</v>
      </c>
      <c r="C2026" s="129">
        <v>343818</v>
      </c>
      <c r="D2026" s="129">
        <v>0</v>
      </c>
      <c r="E2026" s="129">
        <v>27052.799999999999</v>
      </c>
      <c r="F2026" s="129">
        <v>70351.210000000006</v>
      </c>
      <c r="G2026" s="129">
        <v>273466.78999999998</v>
      </c>
      <c r="H2026" s="129">
        <v>20.46</v>
      </c>
      <c r="I2026" s="129">
        <f>'B&amp;T'!J144</f>
        <v>-200000</v>
      </c>
      <c r="J2026" s="129">
        <f>'B&amp;T'!K144</f>
        <v>143818</v>
      </c>
      <c r="K2026" s="129">
        <f>'B&amp;T'!L144</f>
        <v>150289.81</v>
      </c>
      <c r="L2026" s="129">
        <f>'B&amp;T'!M144</f>
        <v>157203.14126</v>
      </c>
      <c r="M2026" s="129">
        <f>'B&amp;T'!N144</f>
        <v>164434.48575796001</v>
      </c>
      <c r="N2026" s="129">
        <f>'B&amp;T'!O144</f>
        <v>0</v>
      </c>
      <c r="O2026" s="129">
        <f>'B&amp;T'!N144</f>
        <v>164434.48575796001</v>
      </c>
      <c r="P2026" s="123" t="str">
        <f t="shared" si="497"/>
        <v>305</v>
      </c>
    </row>
    <row r="2027" spans="1:16" x14ac:dyDescent="0.2">
      <c r="A2027" s="119" t="s">
        <v>851</v>
      </c>
      <c r="B2027" s="120" t="s">
        <v>269</v>
      </c>
      <c r="C2027" s="129">
        <v>60000</v>
      </c>
      <c r="D2027" s="129">
        <v>0</v>
      </c>
      <c r="E2027" s="129">
        <v>0</v>
      </c>
      <c r="F2027" s="129">
        <v>0</v>
      </c>
      <c r="G2027" s="129">
        <v>60000</v>
      </c>
      <c r="H2027" s="129">
        <v>0</v>
      </c>
      <c r="I2027" s="129">
        <f>'B&amp;T'!J145</f>
        <v>-40000</v>
      </c>
      <c r="J2027" s="129">
        <f>'B&amp;T'!K145</f>
        <v>20000</v>
      </c>
      <c r="K2027" s="129">
        <f>'B&amp;T'!L145</f>
        <v>20900</v>
      </c>
      <c r="L2027" s="129">
        <f>'B&amp;T'!M145</f>
        <v>21861.4</v>
      </c>
      <c r="M2027" s="129">
        <f>'B&amp;T'!N145</f>
        <v>22867.024400000002</v>
      </c>
      <c r="N2027" s="129">
        <f>'B&amp;T'!O145</f>
        <v>0</v>
      </c>
      <c r="O2027" s="129">
        <f>'B&amp;T'!N145</f>
        <v>22867.024400000002</v>
      </c>
      <c r="P2027" s="123" t="str">
        <f t="shared" si="497"/>
        <v>305</v>
      </c>
    </row>
    <row r="2028" spans="1:16" x14ac:dyDescent="0.2">
      <c r="A2028" s="119"/>
      <c r="B2028" s="120"/>
      <c r="C2028" s="129"/>
      <c r="D2028" s="129"/>
      <c r="E2028" s="129"/>
      <c r="F2028" s="129"/>
      <c r="G2028" s="129"/>
      <c r="H2028" s="129"/>
      <c r="I2028" s="129">
        <f>'B&amp;T'!J146</f>
        <v>0</v>
      </c>
      <c r="J2028" s="129"/>
      <c r="K2028" s="129"/>
      <c r="L2028" s="129"/>
      <c r="O2028" s="129"/>
      <c r="P2028" s="123" t="str">
        <f t="shared" si="497"/>
        <v/>
      </c>
    </row>
    <row r="2029" spans="1:16" s="114" customFormat="1" ht="15" x14ac:dyDescent="0.25">
      <c r="A2029" s="118"/>
      <c r="B2029" s="117" t="s">
        <v>274</v>
      </c>
      <c r="C2029" s="128">
        <f>SUM(C2021:C2028)</f>
        <v>1382134</v>
      </c>
      <c r="D2029" s="128">
        <f t="shared" ref="D2029:O2029" si="504">SUM(D2021:D2028)</f>
        <v>1131.6099999999999</v>
      </c>
      <c r="E2029" s="128">
        <f t="shared" si="504"/>
        <v>27052.799999999999</v>
      </c>
      <c r="F2029" s="128">
        <f t="shared" si="504"/>
        <v>164358.39000000001</v>
      </c>
      <c r="G2029" s="128">
        <f t="shared" si="504"/>
        <v>1217775.6100000001</v>
      </c>
      <c r="H2029" s="128">
        <f t="shared" si="504"/>
        <v>74.34</v>
      </c>
      <c r="I2029" s="128">
        <f t="shared" si="504"/>
        <v>-885000</v>
      </c>
      <c r="J2029" s="128">
        <f t="shared" si="504"/>
        <v>497134</v>
      </c>
      <c r="K2029" s="128">
        <f t="shared" si="504"/>
        <v>611780.03</v>
      </c>
      <c r="L2029" s="128">
        <f t="shared" si="504"/>
        <v>639829.91138000006</v>
      </c>
      <c r="M2029" s="128">
        <f t="shared" si="504"/>
        <v>669170.0873034799</v>
      </c>
      <c r="N2029" s="128">
        <f t="shared" si="504"/>
        <v>0</v>
      </c>
      <c r="O2029" s="128">
        <f t="shared" si="504"/>
        <v>669170.0873034799</v>
      </c>
      <c r="P2029" s="123" t="str">
        <f t="shared" si="497"/>
        <v/>
      </c>
    </row>
    <row r="2030" spans="1:16" s="114" customFormat="1" ht="15" x14ac:dyDescent="0.25">
      <c r="A2030" s="118"/>
      <c r="B2030" s="117"/>
      <c r="C2030" s="128"/>
      <c r="D2030" s="128"/>
      <c r="E2030" s="128"/>
      <c r="F2030" s="128"/>
      <c r="G2030" s="128"/>
      <c r="H2030" s="128"/>
      <c r="I2030" s="128">
        <f>'B&amp;T'!J148</f>
        <v>0</v>
      </c>
      <c r="J2030" s="128"/>
      <c r="K2030" s="128"/>
      <c r="L2030" s="128"/>
      <c r="M2030" s="186"/>
      <c r="N2030" s="186"/>
      <c r="O2030" s="128"/>
      <c r="P2030" s="123" t="str">
        <f t="shared" si="497"/>
        <v/>
      </c>
    </row>
    <row r="2031" spans="1:16" s="114" customFormat="1" ht="15" x14ac:dyDescent="0.25">
      <c r="A2031" s="118"/>
      <c r="B2031" s="117" t="s">
        <v>305</v>
      </c>
      <c r="C2031" s="128">
        <f>C1995+C2017+C2029</f>
        <v>7452139</v>
      </c>
      <c r="D2031" s="128">
        <f t="shared" ref="D2031:O2031" si="505">D1995+D2017+D2029</f>
        <v>578356.51</v>
      </c>
      <c r="E2031" s="128">
        <f t="shared" si="505"/>
        <v>198357.15</v>
      </c>
      <c r="F2031" s="128">
        <f t="shared" si="505"/>
        <v>2719362.7900000005</v>
      </c>
      <c r="G2031" s="128">
        <f t="shared" si="505"/>
        <v>3321497.21</v>
      </c>
      <c r="H2031" s="128">
        <f t="shared" si="505"/>
        <v>849.94</v>
      </c>
      <c r="I2031" s="128" t="e">
        <f t="shared" si="505"/>
        <v>#REF!</v>
      </c>
      <c r="J2031" s="128">
        <f t="shared" si="505"/>
        <v>7409343.3300000001</v>
      </c>
      <c r="K2031" s="128">
        <f t="shared" si="505"/>
        <v>6843502.4431250002</v>
      </c>
      <c r="L2031" s="128">
        <f t="shared" si="505"/>
        <v>7265772.893423751</v>
      </c>
      <c r="M2031" s="128">
        <f t="shared" si="505"/>
        <v>7714409.0780902933</v>
      </c>
      <c r="N2031" s="128">
        <f t="shared" si="505"/>
        <v>0</v>
      </c>
      <c r="O2031" s="128">
        <f t="shared" si="505"/>
        <v>7714409.0780902933</v>
      </c>
      <c r="P2031" s="123" t="str">
        <f t="shared" si="497"/>
        <v/>
      </c>
    </row>
    <row r="2032" spans="1:16" s="114" customFormat="1" ht="15" x14ac:dyDescent="0.25">
      <c r="A2032" s="118"/>
      <c r="B2032" s="117"/>
      <c r="C2032" s="128"/>
      <c r="D2032" s="128"/>
      <c r="E2032" s="128"/>
      <c r="F2032" s="128"/>
      <c r="G2032" s="128"/>
      <c r="H2032" s="128"/>
      <c r="I2032" s="128">
        <f>'B&amp;T'!J150</f>
        <v>0</v>
      </c>
      <c r="J2032" s="128"/>
      <c r="K2032" s="128"/>
      <c r="L2032" s="128"/>
      <c r="M2032" s="186"/>
      <c r="N2032" s="186"/>
      <c r="O2032" s="128"/>
      <c r="P2032" s="123" t="str">
        <f t="shared" si="497"/>
        <v/>
      </c>
    </row>
    <row r="2033" spans="1:16" s="114" customFormat="1" ht="15" x14ac:dyDescent="0.25">
      <c r="A2033" s="118"/>
      <c r="B2033" s="117" t="s">
        <v>306</v>
      </c>
      <c r="C2033" s="128">
        <f>C1941+C2031</f>
        <v>-157356401</v>
      </c>
      <c r="D2033" s="128">
        <f t="shared" ref="D2033:O2033" si="506">D1941+D2031</f>
        <v>-48413400.490000002</v>
      </c>
      <c r="E2033" s="128">
        <f t="shared" si="506"/>
        <v>198357.15</v>
      </c>
      <c r="F2033" s="128">
        <f t="shared" si="506"/>
        <v>-115022757.05999999</v>
      </c>
      <c r="G2033" s="128">
        <f t="shared" si="506"/>
        <v>-43744922.939999998</v>
      </c>
      <c r="H2033" s="128">
        <f t="shared" si="506"/>
        <v>1152.81</v>
      </c>
      <c r="I2033" s="128" t="e">
        <f t="shared" si="506"/>
        <v>#REF!</v>
      </c>
      <c r="J2033" s="128">
        <f t="shared" si="506"/>
        <v>-161407055.66999999</v>
      </c>
      <c r="K2033" s="128">
        <f t="shared" si="506"/>
        <v>-170574918.83987498</v>
      </c>
      <c r="L2033" s="128">
        <f t="shared" si="506"/>
        <v>-177172253.25113022</v>
      </c>
      <c r="M2033" s="128">
        <f t="shared" si="506"/>
        <v>-184968237.80681095</v>
      </c>
      <c r="N2033" s="128">
        <f t="shared" si="506"/>
        <v>0</v>
      </c>
      <c r="O2033" s="128">
        <f t="shared" si="506"/>
        <v>-184968237.80681095</v>
      </c>
      <c r="P2033" s="123" t="str">
        <f t="shared" si="497"/>
        <v/>
      </c>
    </row>
    <row r="2034" spans="1:16" s="114" customFormat="1" ht="15" x14ac:dyDescent="0.25">
      <c r="A2034" s="118"/>
      <c r="B2034" s="117"/>
      <c r="C2034" s="128"/>
      <c r="D2034" s="128"/>
      <c r="E2034" s="128"/>
      <c r="F2034" s="128"/>
      <c r="G2034" s="128"/>
      <c r="H2034" s="128"/>
      <c r="I2034" s="129">
        <f>'B&amp;T'!J152</f>
        <v>0</v>
      </c>
      <c r="J2034" s="129"/>
      <c r="K2034" s="129"/>
      <c r="L2034" s="129"/>
      <c r="M2034" s="186"/>
      <c r="N2034" s="186"/>
      <c r="O2034" s="128"/>
      <c r="P2034" s="123" t="str">
        <f t="shared" si="497"/>
        <v/>
      </c>
    </row>
    <row r="2035" spans="1:16" s="114" customFormat="1" ht="15" x14ac:dyDescent="0.25">
      <c r="A2035" s="118"/>
      <c r="B2035" s="117" t="s">
        <v>852</v>
      </c>
      <c r="C2035" s="128"/>
      <c r="D2035" s="128"/>
      <c r="E2035" s="128"/>
      <c r="F2035" s="128"/>
      <c r="G2035" s="128"/>
      <c r="H2035" s="128"/>
      <c r="I2035" s="129">
        <f>'B&amp;T'!J153</f>
        <v>0</v>
      </c>
      <c r="J2035" s="129"/>
      <c r="K2035" s="129"/>
      <c r="L2035" s="129"/>
      <c r="M2035" s="186"/>
      <c r="N2035" s="186"/>
      <c r="O2035" s="128"/>
      <c r="P2035" s="123" t="str">
        <f t="shared" si="497"/>
        <v/>
      </c>
    </row>
    <row r="2036" spans="1:16" s="114" customFormat="1" ht="15" x14ac:dyDescent="0.25">
      <c r="A2036" s="118"/>
      <c r="B2036" s="117" t="s">
        <v>96</v>
      </c>
      <c r="C2036" s="128"/>
      <c r="D2036" s="128"/>
      <c r="E2036" s="128"/>
      <c r="F2036" s="128"/>
      <c r="G2036" s="128"/>
      <c r="H2036" s="128"/>
      <c r="I2036" s="129">
        <f>'B&amp;T'!J154</f>
        <v>0</v>
      </c>
      <c r="J2036" s="129"/>
      <c r="K2036" s="129"/>
      <c r="L2036" s="129"/>
      <c r="M2036" s="186"/>
      <c r="N2036" s="186"/>
      <c r="O2036" s="128"/>
      <c r="P2036" s="123" t="str">
        <f t="shared" si="497"/>
        <v/>
      </c>
    </row>
    <row r="2037" spans="1:16" s="114" customFormat="1" ht="15" x14ac:dyDescent="0.25">
      <c r="A2037" s="118"/>
      <c r="B2037" s="117"/>
      <c r="C2037" s="128"/>
      <c r="D2037" s="128"/>
      <c r="E2037" s="128"/>
      <c r="F2037" s="128"/>
      <c r="G2037" s="128"/>
      <c r="H2037" s="128"/>
      <c r="I2037" s="129">
        <f>'B&amp;T'!J155</f>
        <v>0</v>
      </c>
      <c r="J2037" s="129"/>
      <c r="K2037" s="129"/>
      <c r="L2037" s="129"/>
      <c r="M2037" s="186"/>
      <c r="N2037" s="186"/>
      <c r="O2037" s="128"/>
      <c r="P2037" s="123" t="str">
        <f t="shared" si="497"/>
        <v/>
      </c>
    </row>
    <row r="2038" spans="1:16" s="114" customFormat="1" ht="15" x14ac:dyDescent="0.25">
      <c r="A2038" s="118"/>
      <c r="B2038" s="117" t="s">
        <v>290</v>
      </c>
      <c r="C2038" s="128"/>
      <c r="D2038" s="128"/>
      <c r="E2038" s="128"/>
      <c r="F2038" s="128"/>
      <c r="G2038" s="128"/>
      <c r="H2038" s="128"/>
      <c r="I2038" s="129">
        <f>'B&amp;T'!J156</f>
        <v>0</v>
      </c>
      <c r="J2038" s="129"/>
      <c r="K2038" s="129"/>
      <c r="L2038" s="129"/>
      <c r="M2038" s="186"/>
      <c r="N2038" s="186"/>
      <c r="O2038" s="128"/>
      <c r="P2038" s="123" t="str">
        <f t="shared" si="497"/>
        <v/>
      </c>
    </row>
    <row r="2039" spans="1:16" x14ac:dyDescent="0.2">
      <c r="A2039" s="119"/>
      <c r="B2039" s="120"/>
      <c r="C2039" s="129"/>
      <c r="D2039" s="129"/>
      <c r="E2039" s="129"/>
      <c r="F2039" s="129"/>
      <c r="G2039" s="129"/>
      <c r="H2039" s="129"/>
      <c r="I2039" s="129">
        <f>'B&amp;T'!J157</f>
        <v>0</v>
      </c>
      <c r="J2039" s="129"/>
      <c r="K2039" s="129"/>
      <c r="L2039" s="129"/>
      <c r="O2039" s="129"/>
      <c r="P2039" s="123" t="str">
        <f t="shared" si="497"/>
        <v/>
      </c>
    </row>
    <row r="2040" spans="1:16" x14ac:dyDescent="0.2">
      <c r="A2040" s="119" t="s">
        <v>853</v>
      </c>
      <c r="B2040" s="120" t="s">
        <v>291</v>
      </c>
      <c r="C2040" s="129">
        <v>0</v>
      </c>
      <c r="D2040" s="129">
        <v>170608.2</v>
      </c>
      <c r="E2040" s="129">
        <v>0</v>
      </c>
      <c r="F2040" s="129">
        <v>343563.99</v>
      </c>
      <c r="G2040" s="129">
        <v>-343563.99</v>
      </c>
      <c r="H2040" s="129">
        <v>0</v>
      </c>
      <c r="I2040" s="129">
        <f>'B&amp;T'!J158</f>
        <v>0</v>
      </c>
      <c r="J2040" s="129">
        <f>'B&amp;T'!K158</f>
        <v>0</v>
      </c>
      <c r="K2040" s="129">
        <f>'B&amp;T'!L158</f>
        <v>0</v>
      </c>
      <c r="L2040" s="129">
        <f>'B&amp;T'!M158</f>
        <v>0</v>
      </c>
      <c r="O2040" s="129"/>
      <c r="P2040" s="123" t="str">
        <f t="shared" si="497"/>
        <v>720</v>
      </c>
    </row>
    <row r="2041" spans="1:16" x14ac:dyDescent="0.2">
      <c r="A2041" s="119" t="s">
        <v>854</v>
      </c>
      <c r="B2041" s="120" t="s">
        <v>292</v>
      </c>
      <c r="C2041" s="129">
        <v>0</v>
      </c>
      <c r="D2041" s="129">
        <v>207.62</v>
      </c>
      <c r="E2041" s="129">
        <v>0</v>
      </c>
      <c r="F2041" s="129">
        <v>519.04999999999995</v>
      </c>
      <c r="G2041" s="129">
        <v>-519.04999999999995</v>
      </c>
      <c r="H2041" s="129">
        <v>0</v>
      </c>
      <c r="I2041" s="129">
        <f>'B&amp;T'!J159</f>
        <v>0</v>
      </c>
      <c r="J2041" s="129">
        <f>'B&amp;T'!K159</f>
        <v>0</v>
      </c>
      <c r="K2041" s="129">
        <f>'B&amp;T'!L159</f>
        <v>0</v>
      </c>
      <c r="L2041" s="129">
        <f>'B&amp;T'!M159</f>
        <v>0</v>
      </c>
      <c r="O2041" s="129"/>
      <c r="P2041" s="123" t="str">
        <f t="shared" si="497"/>
        <v>720</v>
      </c>
    </row>
    <row r="2042" spans="1:16" x14ac:dyDescent="0.2">
      <c r="A2042" s="119" t="s">
        <v>855</v>
      </c>
      <c r="B2042" s="120" t="s">
        <v>293</v>
      </c>
      <c r="C2042" s="129">
        <v>0</v>
      </c>
      <c r="D2042" s="129">
        <v>553.6</v>
      </c>
      <c r="E2042" s="129">
        <v>0</v>
      </c>
      <c r="F2042" s="129">
        <v>1107.2</v>
      </c>
      <c r="G2042" s="129">
        <v>-1107.2</v>
      </c>
      <c r="H2042" s="129">
        <v>0</v>
      </c>
      <c r="I2042" s="129">
        <f>'B&amp;T'!J160</f>
        <v>0</v>
      </c>
      <c r="J2042" s="129">
        <f>'B&amp;T'!K160</f>
        <v>0</v>
      </c>
      <c r="K2042" s="129">
        <f>'B&amp;T'!L160</f>
        <v>0</v>
      </c>
      <c r="L2042" s="129">
        <f>'B&amp;T'!M160</f>
        <v>0</v>
      </c>
      <c r="O2042" s="129"/>
      <c r="P2042" s="123" t="str">
        <f t="shared" si="497"/>
        <v>721</v>
      </c>
    </row>
    <row r="2043" spans="1:16" x14ac:dyDescent="0.2">
      <c r="A2043" s="119"/>
      <c r="B2043" s="120"/>
      <c r="C2043" s="129"/>
      <c r="D2043" s="129"/>
      <c r="E2043" s="129"/>
      <c r="F2043" s="129"/>
      <c r="G2043" s="129"/>
      <c r="H2043" s="129"/>
      <c r="I2043" s="129">
        <f>'B&amp;T'!J161</f>
        <v>0</v>
      </c>
      <c r="J2043" s="129">
        <f>'B&amp;T'!K161</f>
        <v>0</v>
      </c>
      <c r="K2043" s="129">
        <f>'B&amp;T'!L161</f>
        <v>0</v>
      </c>
      <c r="L2043" s="129">
        <f>'B&amp;T'!M161</f>
        <v>0</v>
      </c>
      <c r="O2043" s="129"/>
      <c r="P2043" s="123" t="str">
        <f t="shared" si="497"/>
        <v/>
      </c>
    </row>
    <row r="2044" spans="1:16" s="114" customFormat="1" ht="15" x14ac:dyDescent="0.25">
      <c r="A2044" s="118"/>
      <c r="B2044" s="117" t="s">
        <v>304</v>
      </c>
      <c r="C2044" s="128">
        <v>0</v>
      </c>
      <c r="D2044" s="128">
        <v>171369.42</v>
      </c>
      <c r="E2044" s="128">
        <v>0</v>
      </c>
      <c r="F2044" s="128">
        <v>345190.24</v>
      </c>
      <c r="G2044" s="128">
        <v>-345190.24</v>
      </c>
      <c r="H2044" s="128">
        <v>0</v>
      </c>
      <c r="I2044" s="129">
        <f>'B&amp;T'!J162</f>
        <v>0</v>
      </c>
      <c r="J2044" s="129">
        <f>'B&amp;T'!K162</f>
        <v>0</v>
      </c>
      <c r="K2044" s="129">
        <f>'B&amp;T'!L162</f>
        <v>0</v>
      </c>
      <c r="L2044" s="129">
        <f>'B&amp;T'!M162</f>
        <v>0</v>
      </c>
      <c r="M2044" s="186"/>
      <c r="N2044" s="186"/>
      <c r="O2044" s="128"/>
      <c r="P2044" s="123" t="str">
        <f t="shared" si="497"/>
        <v/>
      </c>
    </row>
    <row r="2045" spans="1:16" x14ac:dyDescent="0.2">
      <c r="A2045" s="119"/>
      <c r="B2045" s="120"/>
      <c r="C2045" s="129"/>
      <c r="D2045" s="129"/>
      <c r="E2045" s="129"/>
      <c r="F2045" s="129"/>
      <c r="G2045" s="129"/>
      <c r="H2045" s="129"/>
      <c r="I2045" s="129">
        <f>'B&amp;T'!J163</f>
        <v>0</v>
      </c>
      <c r="J2045" s="129">
        <f>'B&amp;T'!K163</f>
        <v>0</v>
      </c>
      <c r="K2045" s="129">
        <f>'B&amp;T'!L163</f>
        <v>0</v>
      </c>
      <c r="L2045" s="129">
        <f>'B&amp;T'!M163</f>
        <v>0</v>
      </c>
      <c r="O2045" s="129"/>
      <c r="P2045" s="123" t="str">
        <f t="shared" si="497"/>
        <v/>
      </c>
    </row>
    <row r="2046" spans="1:16" s="114" customFormat="1" ht="15" x14ac:dyDescent="0.25">
      <c r="A2046" s="118"/>
      <c r="B2046" s="117" t="s">
        <v>305</v>
      </c>
      <c r="C2046" s="128">
        <v>0</v>
      </c>
      <c r="D2046" s="128">
        <v>171369.42</v>
      </c>
      <c r="E2046" s="128">
        <v>0</v>
      </c>
      <c r="F2046" s="128">
        <v>345190.24</v>
      </c>
      <c r="G2046" s="128">
        <v>-345190.24</v>
      </c>
      <c r="H2046" s="128">
        <v>0</v>
      </c>
      <c r="I2046" s="129">
        <f>'B&amp;T'!J164</f>
        <v>0</v>
      </c>
      <c r="J2046" s="129">
        <f>'B&amp;T'!K164</f>
        <v>0</v>
      </c>
      <c r="K2046" s="129">
        <f>'B&amp;T'!L164</f>
        <v>0</v>
      </c>
      <c r="L2046" s="129">
        <f>'B&amp;T'!M164</f>
        <v>0</v>
      </c>
      <c r="M2046" s="186"/>
      <c r="N2046" s="186"/>
      <c r="O2046" s="128"/>
      <c r="P2046" s="123" t="str">
        <f t="shared" si="497"/>
        <v/>
      </c>
    </row>
    <row r="2047" spans="1:16" s="114" customFormat="1" ht="15" x14ac:dyDescent="0.25">
      <c r="A2047" s="118"/>
      <c r="B2047" s="117"/>
      <c r="C2047" s="128"/>
      <c r="D2047" s="128"/>
      <c r="E2047" s="128"/>
      <c r="F2047" s="128"/>
      <c r="G2047" s="128"/>
      <c r="H2047" s="128"/>
      <c r="I2047" s="129">
        <f>'B&amp;T'!J165</f>
        <v>0</v>
      </c>
      <c r="J2047" s="129"/>
      <c r="K2047" s="129"/>
      <c r="L2047" s="129"/>
      <c r="M2047" s="186"/>
      <c r="N2047" s="186"/>
      <c r="O2047" s="128"/>
      <c r="P2047" s="123" t="str">
        <f t="shared" si="497"/>
        <v/>
      </c>
    </row>
    <row r="2048" spans="1:16" s="114" customFormat="1" ht="15" x14ac:dyDescent="0.25">
      <c r="A2048" s="118"/>
      <c r="B2048" s="117" t="s">
        <v>306</v>
      </c>
      <c r="C2048" s="128">
        <v>0</v>
      </c>
      <c r="D2048" s="128">
        <v>171369.42</v>
      </c>
      <c r="E2048" s="128">
        <v>0</v>
      </c>
      <c r="F2048" s="128">
        <v>345190.24</v>
      </c>
      <c r="G2048" s="128">
        <v>-345190.24</v>
      </c>
      <c r="H2048" s="128">
        <v>0</v>
      </c>
      <c r="I2048" s="129">
        <f>'B&amp;T'!J166</f>
        <v>0</v>
      </c>
      <c r="J2048" s="129">
        <f>'B&amp;T'!K166</f>
        <v>0</v>
      </c>
      <c r="K2048" s="129">
        <f>'B&amp;T'!L166</f>
        <v>0</v>
      </c>
      <c r="L2048" s="129">
        <f>'B&amp;T'!M166</f>
        <v>0</v>
      </c>
      <c r="M2048" s="186"/>
      <c r="N2048" s="186"/>
      <c r="O2048" s="128"/>
      <c r="P2048" s="123" t="str">
        <f t="shared" si="497"/>
        <v/>
      </c>
    </row>
    <row r="2049" spans="1:16" s="114" customFormat="1" ht="15" x14ac:dyDescent="0.25">
      <c r="A2049" s="118"/>
      <c r="B2049" s="117"/>
      <c r="C2049" s="128"/>
      <c r="D2049" s="128"/>
      <c r="E2049" s="128"/>
      <c r="F2049" s="128"/>
      <c r="G2049" s="128"/>
      <c r="H2049" s="128"/>
      <c r="I2049" s="129">
        <f>'B&amp;T'!J167</f>
        <v>0</v>
      </c>
      <c r="J2049" s="129"/>
      <c r="K2049" s="129"/>
      <c r="L2049" s="129"/>
      <c r="M2049" s="186"/>
      <c r="N2049" s="186"/>
      <c r="O2049" s="128"/>
      <c r="P2049" s="123" t="str">
        <f t="shared" si="497"/>
        <v/>
      </c>
    </row>
    <row r="2050" spans="1:16" s="114" customFormat="1" ht="15" x14ac:dyDescent="0.25">
      <c r="A2050" s="118"/>
      <c r="B2050" s="117" t="s">
        <v>856</v>
      </c>
      <c r="C2050" s="128"/>
      <c r="D2050" s="128"/>
      <c r="E2050" s="128"/>
      <c r="F2050" s="128"/>
      <c r="G2050" s="128"/>
      <c r="H2050" s="128"/>
      <c r="I2050" s="129">
        <f>'B&amp;T'!J168</f>
        <v>0</v>
      </c>
      <c r="J2050" s="129"/>
      <c r="K2050" s="129"/>
      <c r="L2050" s="129"/>
      <c r="M2050" s="186"/>
      <c r="N2050" s="186"/>
      <c r="O2050" s="128"/>
      <c r="P2050" s="123" t="str">
        <f t="shared" si="497"/>
        <v/>
      </c>
    </row>
    <row r="2051" spans="1:16" s="114" customFormat="1" ht="15" x14ac:dyDescent="0.25">
      <c r="A2051" s="118"/>
      <c r="B2051" s="117" t="s">
        <v>9</v>
      </c>
      <c r="C2051" s="128"/>
      <c r="D2051" s="128"/>
      <c r="E2051" s="128"/>
      <c r="F2051" s="128"/>
      <c r="G2051" s="128"/>
      <c r="H2051" s="128"/>
      <c r="I2051" s="129">
        <f>'B&amp;T'!J169</f>
        <v>0</v>
      </c>
      <c r="J2051" s="129"/>
      <c r="K2051" s="129"/>
      <c r="L2051" s="129"/>
      <c r="M2051" s="186"/>
      <c r="N2051" s="186"/>
      <c r="O2051" s="128"/>
      <c r="P2051" s="123" t="str">
        <f t="shared" si="497"/>
        <v/>
      </c>
    </row>
    <row r="2052" spans="1:16" s="114" customFormat="1" ht="15" x14ac:dyDescent="0.25">
      <c r="A2052" s="118"/>
      <c r="B2052" s="117"/>
      <c r="C2052" s="128"/>
      <c r="D2052" s="128"/>
      <c r="E2052" s="128"/>
      <c r="F2052" s="128"/>
      <c r="G2052" s="128"/>
      <c r="H2052" s="128"/>
      <c r="I2052" s="129">
        <f>'B&amp;T'!J170</f>
        <v>0</v>
      </c>
      <c r="J2052" s="129"/>
      <c r="K2052" s="129"/>
      <c r="L2052" s="129"/>
      <c r="M2052" s="186"/>
      <c r="N2052" s="186"/>
      <c r="O2052" s="128"/>
      <c r="P2052" s="123" t="str">
        <f t="shared" si="497"/>
        <v/>
      </c>
    </row>
    <row r="2053" spans="1:16" s="114" customFormat="1" ht="15" x14ac:dyDescent="0.25">
      <c r="A2053" s="118"/>
      <c r="B2053" s="117" t="s">
        <v>56</v>
      </c>
      <c r="C2053" s="128"/>
      <c r="D2053" s="128"/>
      <c r="E2053" s="128"/>
      <c r="F2053" s="128"/>
      <c r="G2053" s="128"/>
      <c r="H2053" s="128"/>
      <c r="I2053" s="129">
        <f>'B&amp;T'!J171</f>
        <v>0</v>
      </c>
      <c r="J2053" s="129"/>
      <c r="K2053" s="129"/>
      <c r="L2053" s="129"/>
      <c r="M2053" s="186"/>
      <c r="N2053" s="186"/>
      <c r="O2053" s="128"/>
      <c r="P2053" s="123" t="str">
        <f t="shared" si="497"/>
        <v/>
      </c>
    </row>
    <row r="2054" spans="1:16" x14ac:dyDescent="0.2">
      <c r="A2054" s="119"/>
      <c r="B2054" s="120"/>
      <c r="C2054" s="129"/>
      <c r="D2054" s="129"/>
      <c r="E2054" s="129"/>
      <c r="F2054" s="129"/>
      <c r="G2054" s="129"/>
      <c r="H2054" s="129"/>
      <c r="I2054" s="129">
        <f>'B&amp;T'!J172</f>
        <v>0</v>
      </c>
      <c r="J2054" s="129"/>
      <c r="K2054" s="129"/>
      <c r="L2054" s="129"/>
      <c r="O2054" s="129"/>
      <c r="P2054" s="123" t="str">
        <f t="shared" si="497"/>
        <v/>
      </c>
    </row>
    <row r="2055" spans="1:16" x14ac:dyDescent="0.2">
      <c r="A2055" s="119" t="s">
        <v>857</v>
      </c>
      <c r="B2055" s="120" t="s">
        <v>62</v>
      </c>
      <c r="C2055" s="129">
        <v>-2112000</v>
      </c>
      <c r="D2055" s="129">
        <v>-158518.66</v>
      </c>
      <c r="E2055" s="129">
        <v>0</v>
      </c>
      <c r="F2055" s="129">
        <v>-1057902.8999999999</v>
      </c>
      <c r="G2055" s="129">
        <v>-1054097.1000000001</v>
      </c>
      <c r="H2055" s="129">
        <v>50.09</v>
      </c>
      <c r="I2055" s="129">
        <f>'B&amp;T'!J173</f>
        <v>0</v>
      </c>
      <c r="J2055" s="129">
        <f>'B&amp;T'!K173</f>
        <v>-2112000</v>
      </c>
      <c r="K2055" s="129">
        <f>'B&amp;T'!L173</f>
        <v>-2215488</v>
      </c>
      <c r="L2055" s="129">
        <f>'B&amp;T'!M173</f>
        <v>-2321831.4240000001</v>
      </c>
      <c r="O2055" s="129">
        <f>'B&amp;T'!N173</f>
        <v>-2433279.3323520003</v>
      </c>
      <c r="P2055" s="123" t="str">
        <f t="shared" ref="P2055:P2118" si="507">MID(A2055,6,3)</f>
        <v>341</v>
      </c>
    </row>
    <row r="2056" spans="1:16" x14ac:dyDescent="0.2">
      <c r="A2056" s="119"/>
      <c r="B2056" s="120"/>
      <c r="C2056" s="129"/>
      <c r="D2056" s="129"/>
      <c r="E2056" s="129"/>
      <c r="F2056" s="129"/>
      <c r="G2056" s="129"/>
      <c r="H2056" s="129"/>
      <c r="I2056" s="129">
        <f>'B&amp;T'!J174</f>
        <v>0</v>
      </c>
      <c r="J2056" s="129"/>
      <c r="K2056" s="129"/>
      <c r="L2056" s="129"/>
      <c r="O2056" s="129"/>
      <c r="P2056" s="123" t="str">
        <f t="shared" si="507"/>
        <v/>
      </c>
    </row>
    <row r="2057" spans="1:16" s="114" customFormat="1" ht="15" x14ac:dyDescent="0.25">
      <c r="A2057" s="118"/>
      <c r="B2057" s="117" t="s">
        <v>64</v>
      </c>
      <c r="C2057" s="128">
        <f>SUM(C2055:C2056)</f>
        <v>-2112000</v>
      </c>
      <c r="D2057" s="128">
        <f t="shared" ref="D2057:O2057" si="508">SUM(D2055:D2056)</f>
        <v>-158518.66</v>
      </c>
      <c r="E2057" s="128">
        <f t="shared" si="508"/>
        <v>0</v>
      </c>
      <c r="F2057" s="128">
        <f t="shared" si="508"/>
        <v>-1057902.8999999999</v>
      </c>
      <c r="G2057" s="128">
        <f t="shared" si="508"/>
        <v>-1054097.1000000001</v>
      </c>
      <c r="H2057" s="128">
        <f t="shared" si="508"/>
        <v>50.09</v>
      </c>
      <c r="I2057" s="128">
        <f t="shared" si="508"/>
        <v>0</v>
      </c>
      <c r="J2057" s="128">
        <f t="shared" si="508"/>
        <v>-2112000</v>
      </c>
      <c r="K2057" s="128">
        <f t="shared" si="508"/>
        <v>-2215488</v>
      </c>
      <c r="L2057" s="128">
        <f t="shared" si="508"/>
        <v>-2321831.4240000001</v>
      </c>
      <c r="M2057" s="128">
        <f t="shared" si="508"/>
        <v>0</v>
      </c>
      <c r="N2057" s="128">
        <f t="shared" si="508"/>
        <v>0</v>
      </c>
      <c r="O2057" s="128">
        <f t="shared" si="508"/>
        <v>-2433279.3323520003</v>
      </c>
      <c r="P2057" s="123" t="str">
        <f t="shared" si="507"/>
        <v/>
      </c>
    </row>
    <row r="2058" spans="1:16" s="114" customFormat="1" ht="15" x14ac:dyDescent="0.25">
      <c r="A2058" s="118"/>
      <c r="B2058" s="117"/>
      <c r="C2058" s="128"/>
      <c r="D2058" s="128"/>
      <c r="E2058" s="128"/>
      <c r="F2058" s="128"/>
      <c r="G2058" s="128"/>
      <c r="H2058" s="128"/>
      <c r="I2058" s="129">
        <f>'B&amp;T'!J176</f>
        <v>0</v>
      </c>
      <c r="J2058" s="129"/>
      <c r="K2058" s="129"/>
      <c r="L2058" s="213"/>
      <c r="M2058" s="186"/>
      <c r="N2058" s="186"/>
      <c r="O2058" s="128"/>
      <c r="P2058" s="123" t="str">
        <f t="shared" si="507"/>
        <v/>
      </c>
    </row>
    <row r="2059" spans="1:16" s="114" customFormat="1" ht="15" x14ac:dyDescent="0.25">
      <c r="A2059" s="118"/>
      <c r="B2059" s="117" t="s">
        <v>81</v>
      </c>
      <c r="C2059" s="128"/>
      <c r="D2059" s="128"/>
      <c r="E2059" s="128"/>
      <c r="F2059" s="128"/>
      <c r="G2059" s="128"/>
      <c r="H2059" s="128"/>
      <c r="I2059" s="129">
        <f>'B&amp;T'!J177</f>
        <v>0</v>
      </c>
      <c r="J2059" s="129"/>
      <c r="K2059" s="128"/>
      <c r="L2059" s="186"/>
      <c r="M2059" s="186"/>
      <c r="N2059" s="186"/>
      <c r="O2059" s="128"/>
      <c r="P2059" s="123" t="str">
        <f t="shared" si="507"/>
        <v/>
      </c>
    </row>
    <row r="2060" spans="1:16" s="114" customFormat="1" ht="15" x14ac:dyDescent="0.25">
      <c r="A2060" s="118"/>
      <c r="B2060" s="117"/>
      <c r="C2060" s="128"/>
      <c r="D2060" s="128"/>
      <c r="E2060" s="128"/>
      <c r="F2060" s="128"/>
      <c r="G2060" s="128"/>
      <c r="H2060" s="128"/>
      <c r="I2060" s="129">
        <f>'B&amp;T'!J178</f>
        <v>0</v>
      </c>
      <c r="J2060" s="129"/>
      <c r="K2060" s="129"/>
      <c r="L2060" s="213"/>
      <c r="M2060" s="186"/>
      <c r="N2060" s="186"/>
      <c r="O2060" s="128"/>
      <c r="P2060" s="123" t="str">
        <f t="shared" si="507"/>
        <v/>
      </c>
    </row>
    <row r="2061" spans="1:16" s="114" customFormat="1" ht="15" x14ac:dyDescent="0.25">
      <c r="A2061" s="118"/>
      <c r="B2061" s="117" t="s">
        <v>94</v>
      </c>
      <c r="C2061" s="128">
        <f>C2057</f>
        <v>-2112000</v>
      </c>
      <c r="D2061" s="128">
        <f t="shared" ref="D2061:O2061" si="509">D2057</f>
        <v>-158518.66</v>
      </c>
      <c r="E2061" s="128">
        <f t="shared" si="509"/>
        <v>0</v>
      </c>
      <c r="F2061" s="128">
        <f t="shared" si="509"/>
        <v>-1057902.8999999999</v>
      </c>
      <c r="G2061" s="128">
        <f t="shared" si="509"/>
        <v>-1054097.1000000001</v>
      </c>
      <c r="H2061" s="128">
        <f t="shared" si="509"/>
        <v>50.09</v>
      </c>
      <c r="I2061" s="128">
        <f t="shared" si="509"/>
        <v>0</v>
      </c>
      <c r="J2061" s="128">
        <f t="shared" si="509"/>
        <v>-2112000</v>
      </c>
      <c r="K2061" s="128">
        <f t="shared" si="509"/>
        <v>-2215488</v>
      </c>
      <c r="L2061" s="128">
        <f t="shared" si="509"/>
        <v>-2321831.4240000001</v>
      </c>
      <c r="M2061" s="128">
        <f t="shared" si="509"/>
        <v>0</v>
      </c>
      <c r="N2061" s="128">
        <f t="shared" si="509"/>
        <v>0</v>
      </c>
      <c r="O2061" s="128">
        <f t="shared" si="509"/>
        <v>-2433279.3323520003</v>
      </c>
      <c r="P2061" s="123" t="str">
        <f t="shared" si="507"/>
        <v/>
      </c>
    </row>
    <row r="2062" spans="1:16" s="114" customFormat="1" ht="15" x14ac:dyDescent="0.25">
      <c r="A2062" s="118"/>
      <c r="B2062" s="117"/>
      <c r="C2062" s="128"/>
      <c r="D2062" s="128"/>
      <c r="E2062" s="128"/>
      <c r="F2062" s="128"/>
      <c r="G2062" s="128"/>
      <c r="H2062" s="128"/>
      <c r="I2062" s="129">
        <f>'B&amp;T'!J180</f>
        <v>0</v>
      </c>
      <c r="J2062" s="129"/>
      <c r="K2062" s="129"/>
      <c r="L2062" s="129"/>
      <c r="M2062" s="186"/>
      <c r="N2062" s="186"/>
      <c r="O2062" s="128"/>
      <c r="P2062" s="123" t="str">
        <f t="shared" si="507"/>
        <v/>
      </c>
    </row>
    <row r="2063" spans="1:16" s="114" customFormat="1" ht="15" x14ac:dyDescent="0.25">
      <c r="A2063" s="118"/>
      <c r="B2063" s="117" t="s">
        <v>95</v>
      </c>
      <c r="C2063" s="128">
        <f>C2061</f>
        <v>-2112000</v>
      </c>
      <c r="D2063" s="128">
        <f t="shared" ref="D2063:O2063" si="510">D2061</f>
        <v>-158518.66</v>
      </c>
      <c r="E2063" s="128">
        <f t="shared" si="510"/>
        <v>0</v>
      </c>
      <c r="F2063" s="128">
        <f t="shared" si="510"/>
        <v>-1057902.8999999999</v>
      </c>
      <c r="G2063" s="128">
        <f t="shared" si="510"/>
        <v>-1054097.1000000001</v>
      </c>
      <c r="H2063" s="128">
        <f t="shared" si="510"/>
        <v>50.09</v>
      </c>
      <c r="I2063" s="128">
        <f t="shared" si="510"/>
        <v>0</v>
      </c>
      <c r="J2063" s="128">
        <f t="shared" si="510"/>
        <v>-2112000</v>
      </c>
      <c r="K2063" s="128">
        <f t="shared" si="510"/>
        <v>-2215488</v>
      </c>
      <c r="L2063" s="128">
        <f t="shared" si="510"/>
        <v>-2321831.4240000001</v>
      </c>
      <c r="M2063" s="128">
        <f t="shared" si="510"/>
        <v>0</v>
      </c>
      <c r="N2063" s="128">
        <f t="shared" si="510"/>
        <v>0</v>
      </c>
      <c r="O2063" s="128">
        <f t="shared" si="510"/>
        <v>-2433279.3323520003</v>
      </c>
      <c r="P2063" s="123" t="str">
        <f t="shared" si="507"/>
        <v/>
      </c>
    </row>
    <row r="2064" spans="1:16" s="114" customFormat="1" ht="15" x14ac:dyDescent="0.25">
      <c r="A2064" s="118"/>
      <c r="B2064" s="117"/>
      <c r="C2064" s="128"/>
      <c r="D2064" s="128"/>
      <c r="E2064" s="128"/>
      <c r="F2064" s="128"/>
      <c r="G2064" s="128"/>
      <c r="H2064" s="128"/>
      <c r="I2064" s="129">
        <f>'B&amp;T'!J182</f>
        <v>0</v>
      </c>
      <c r="J2064" s="129"/>
      <c r="K2064" s="129"/>
      <c r="L2064" s="129"/>
      <c r="M2064" s="186"/>
      <c r="N2064" s="186"/>
      <c r="O2064" s="128"/>
      <c r="P2064" s="123" t="str">
        <f t="shared" si="507"/>
        <v/>
      </c>
    </row>
    <row r="2065" spans="1:16" s="114" customFormat="1" ht="15" x14ac:dyDescent="0.25">
      <c r="A2065" s="118"/>
      <c r="B2065" s="117" t="s">
        <v>96</v>
      </c>
      <c r="C2065" s="128"/>
      <c r="D2065" s="128"/>
      <c r="E2065" s="128"/>
      <c r="F2065" s="128"/>
      <c r="G2065" s="128"/>
      <c r="H2065" s="128"/>
      <c r="I2065" s="129">
        <f>'B&amp;T'!J183</f>
        <v>0</v>
      </c>
      <c r="J2065" s="129"/>
      <c r="K2065" s="129"/>
      <c r="L2065" s="129"/>
      <c r="M2065" s="186"/>
      <c r="N2065" s="186"/>
      <c r="O2065" s="128"/>
      <c r="P2065" s="123" t="str">
        <f t="shared" si="507"/>
        <v/>
      </c>
    </row>
    <row r="2066" spans="1:16" s="114" customFormat="1" ht="15" x14ac:dyDescent="0.25">
      <c r="A2066" s="118"/>
      <c r="B2066" s="117" t="s">
        <v>97</v>
      </c>
      <c r="C2066" s="128"/>
      <c r="D2066" s="128"/>
      <c r="E2066" s="128"/>
      <c r="F2066" s="128"/>
      <c r="G2066" s="128"/>
      <c r="H2066" s="128"/>
      <c r="I2066" s="129">
        <f>'B&amp;T'!J184</f>
        <v>0</v>
      </c>
      <c r="J2066" s="129"/>
      <c r="K2066" s="129"/>
      <c r="L2066" s="129"/>
      <c r="M2066" s="186"/>
      <c r="N2066" s="186"/>
      <c r="O2066" s="128"/>
      <c r="P2066" s="123" t="str">
        <f t="shared" si="507"/>
        <v/>
      </c>
    </row>
    <row r="2067" spans="1:16" s="114" customFormat="1" ht="15" x14ac:dyDescent="0.25">
      <c r="A2067" s="118"/>
      <c r="B2067" s="117" t="s">
        <v>148</v>
      </c>
      <c r="C2067" s="128"/>
      <c r="D2067" s="128"/>
      <c r="E2067" s="128"/>
      <c r="F2067" s="128"/>
      <c r="G2067" s="128"/>
      <c r="H2067" s="128"/>
      <c r="I2067" s="129">
        <f>'B&amp;T'!J185</f>
        <v>0</v>
      </c>
      <c r="J2067" s="129"/>
      <c r="K2067" s="129"/>
      <c r="L2067" s="129"/>
      <c r="M2067" s="186"/>
      <c r="N2067" s="186"/>
      <c r="O2067" s="128"/>
      <c r="P2067" s="123" t="str">
        <f t="shared" si="507"/>
        <v/>
      </c>
    </row>
    <row r="2068" spans="1:16" s="114" customFormat="1" ht="15" x14ac:dyDescent="0.25">
      <c r="A2068" s="118"/>
      <c r="B2068" s="117" t="s">
        <v>149</v>
      </c>
      <c r="C2068" s="128"/>
      <c r="D2068" s="128"/>
      <c r="E2068" s="128"/>
      <c r="F2068" s="128"/>
      <c r="G2068" s="128"/>
      <c r="H2068" s="128"/>
      <c r="I2068" s="129">
        <f>'B&amp;T'!J186</f>
        <v>0</v>
      </c>
      <c r="J2068" s="129"/>
      <c r="K2068" s="129"/>
      <c r="L2068" s="129"/>
      <c r="M2068" s="186"/>
      <c r="N2068" s="186"/>
      <c r="O2068" s="128"/>
      <c r="P2068" s="123" t="str">
        <f t="shared" si="507"/>
        <v/>
      </c>
    </row>
    <row r="2069" spans="1:16" x14ac:dyDescent="0.2">
      <c r="A2069" s="119"/>
      <c r="B2069" s="120"/>
      <c r="C2069" s="129"/>
      <c r="D2069" s="129"/>
      <c r="E2069" s="129"/>
      <c r="F2069" s="129"/>
      <c r="G2069" s="129"/>
      <c r="H2069" s="129"/>
      <c r="I2069" s="129">
        <f>'B&amp;T'!J187</f>
        <v>0</v>
      </c>
      <c r="J2069" s="129"/>
      <c r="K2069" s="129"/>
      <c r="L2069" s="129"/>
      <c r="O2069" s="129"/>
      <c r="P2069" s="123" t="str">
        <f t="shared" si="507"/>
        <v/>
      </c>
    </row>
    <row r="2070" spans="1:16" x14ac:dyDescent="0.2">
      <c r="A2070" s="119" t="s">
        <v>858</v>
      </c>
      <c r="B2070" s="120" t="s">
        <v>150</v>
      </c>
      <c r="C2070" s="129">
        <v>1243618</v>
      </c>
      <c r="D2070" s="129">
        <v>104144.25</v>
      </c>
      <c r="E2070" s="129">
        <v>0</v>
      </c>
      <c r="F2070" s="129">
        <v>620890.9</v>
      </c>
      <c r="G2070" s="129">
        <v>622727.1</v>
      </c>
      <c r="H2070" s="129">
        <v>49.92</v>
      </c>
      <c r="I2070" s="129">
        <f>'B&amp;T'!J188</f>
        <v>0</v>
      </c>
      <c r="J2070" s="129">
        <f>'B&amp;T'!K188</f>
        <v>1243618</v>
      </c>
      <c r="K2070" s="129">
        <f>'B&amp;T'!L188</f>
        <v>1321344.125</v>
      </c>
      <c r="L2070" s="129">
        <f>'B&amp;T'!M188</f>
        <v>1413838.2137500001</v>
      </c>
      <c r="O2070" s="129">
        <f>'B&amp;T'!N188</f>
        <v>1512806.8887125002</v>
      </c>
      <c r="P2070" s="123" t="str">
        <f t="shared" si="507"/>
        <v>110</v>
      </c>
    </row>
    <row r="2071" spans="1:16" x14ac:dyDescent="0.2">
      <c r="A2071" s="119" t="s">
        <v>859</v>
      </c>
      <c r="B2071" s="120" t="s">
        <v>150</v>
      </c>
      <c r="C2071" s="129">
        <v>80600</v>
      </c>
      <c r="D2071" s="129">
        <v>8333.33</v>
      </c>
      <c r="E2071" s="129">
        <v>0</v>
      </c>
      <c r="F2071" s="129">
        <v>56241.64</v>
      </c>
      <c r="G2071" s="129">
        <v>24358.36</v>
      </c>
      <c r="H2071" s="129">
        <v>69.77</v>
      </c>
      <c r="I2071" s="129">
        <f>'B&amp;T'!J189</f>
        <v>0</v>
      </c>
      <c r="J2071" s="129">
        <f>'B&amp;T'!K189</f>
        <v>80600</v>
      </c>
      <c r="K2071" s="129">
        <f>'B&amp;T'!L189</f>
        <v>85637.5</v>
      </c>
      <c r="L2071" s="129">
        <f>'B&amp;T'!M189</f>
        <v>91632.125</v>
      </c>
      <c r="O2071" s="129">
        <f>'B&amp;T'!N189</f>
        <v>98046.373749999999</v>
      </c>
      <c r="P2071" s="123" t="str">
        <f t="shared" si="507"/>
        <v>110</v>
      </c>
    </row>
    <row r="2072" spans="1:16" x14ac:dyDescent="0.2">
      <c r="A2072" s="119" t="s">
        <v>860</v>
      </c>
      <c r="B2072" s="120" t="s">
        <v>151</v>
      </c>
      <c r="C2072" s="129">
        <v>58113</v>
      </c>
      <c r="D2072" s="129">
        <v>39852.53</v>
      </c>
      <c r="E2072" s="129">
        <v>0</v>
      </c>
      <c r="F2072" s="129">
        <v>128551.87</v>
      </c>
      <c r="G2072" s="129">
        <v>-70438.87</v>
      </c>
      <c r="H2072" s="129">
        <v>221.21</v>
      </c>
      <c r="I2072" s="129">
        <f>'B&amp;T'!J190</f>
        <v>-32711.729999999996</v>
      </c>
      <c r="J2072" s="129">
        <f>'B&amp;T'!K190</f>
        <v>25401.270000000004</v>
      </c>
      <c r="K2072" s="129">
        <f>'B&amp;T'!L190</f>
        <v>26988.849375000005</v>
      </c>
      <c r="L2072" s="129">
        <f>'B&amp;T'!M190</f>
        <v>28878.068831250006</v>
      </c>
      <c r="O2072" s="129">
        <f>'B&amp;T'!N190</f>
        <v>30899.533649437508</v>
      </c>
      <c r="P2072" s="123" t="str">
        <f t="shared" si="507"/>
        <v>110</v>
      </c>
    </row>
    <row r="2073" spans="1:16" x14ac:dyDescent="0.2">
      <c r="A2073" s="119" t="s">
        <v>861</v>
      </c>
      <c r="B2073" s="120" t="s">
        <v>152</v>
      </c>
      <c r="C2073" s="129">
        <v>38100</v>
      </c>
      <c r="D2073" s="129">
        <v>3172.75</v>
      </c>
      <c r="E2073" s="129">
        <v>0</v>
      </c>
      <c r="F2073" s="129">
        <v>19036.5</v>
      </c>
      <c r="G2073" s="129">
        <v>19063.5</v>
      </c>
      <c r="H2073" s="129">
        <v>49.96</v>
      </c>
      <c r="I2073" s="129">
        <f>'B&amp;T'!J191</f>
        <v>0</v>
      </c>
      <c r="J2073" s="129">
        <f>'B&amp;T'!K191</f>
        <v>38100</v>
      </c>
      <c r="K2073" s="129">
        <f>'B&amp;T'!L191</f>
        <v>40481.25</v>
      </c>
      <c r="L2073" s="129">
        <f>'B&amp;T'!M191</f>
        <v>43314.9375</v>
      </c>
      <c r="O2073" s="129">
        <f>'B&amp;T'!N191</f>
        <v>46346.983124999999</v>
      </c>
      <c r="P2073" s="123" t="str">
        <f t="shared" si="507"/>
        <v>110</v>
      </c>
    </row>
    <row r="2074" spans="1:16" x14ac:dyDescent="0.2">
      <c r="A2074" s="119" t="s">
        <v>862</v>
      </c>
      <c r="B2074" s="120" t="s">
        <v>153</v>
      </c>
      <c r="C2074" s="129">
        <v>10893</v>
      </c>
      <c r="D2074" s="129">
        <v>907.77</v>
      </c>
      <c r="E2074" s="129">
        <v>0</v>
      </c>
      <c r="F2074" s="129">
        <v>5446.62</v>
      </c>
      <c r="G2074" s="129">
        <v>5446.38</v>
      </c>
      <c r="H2074" s="129">
        <v>50</v>
      </c>
      <c r="I2074" s="129">
        <f>'B&amp;T'!J192</f>
        <v>0</v>
      </c>
      <c r="J2074" s="129">
        <f>'B&amp;T'!K192</f>
        <v>10893</v>
      </c>
      <c r="K2074" s="129">
        <f>'B&amp;T'!L192</f>
        <v>11573.8125</v>
      </c>
      <c r="L2074" s="129">
        <f>'B&amp;T'!M192</f>
        <v>12383.979375000001</v>
      </c>
      <c r="O2074" s="129">
        <f>'B&amp;T'!N192</f>
        <v>13250.857931250001</v>
      </c>
      <c r="P2074" s="123" t="str">
        <f t="shared" si="507"/>
        <v>110</v>
      </c>
    </row>
    <row r="2075" spans="1:16" x14ac:dyDescent="0.2">
      <c r="A2075" s="119" t="s">
        <v>863</v>
      </c>
      <c r="B2075" s="120" t="s">
        <v>155</v>
      </c>
      <c r="C2075" s="129">
        <v>41268</v>
      </c>
      <c r="D2075" s="129">
        <v>0</v>
      </c>
      <c r="E2075" s="129">
        <v>0</v>
      </c>
      <c r="F2075" s="129">
        <v>0</v>
      </c>
      <c r="G2075" s="129">
        <v>41268</v>
      </c>
      <c r="H2075" s="129">
        <v>0</v>
      </c>
      <c r="I2075" s="129">
        <f>'B&amp;T'!J193</f>
        <v>0</v>
      </c>
      <c r="J2075" s="129">
        <f>'B&amp;T'!K193</f>
        <v>41268</v>
      </c>
      <c r="K2075" s="129">
        <f>'B&amp;T'!L193</f>
        <v>43847.25</v>
      </c>
      <c r="L2075" s="129">
        <f>'B&amp;T'!M193</f>
        <v>46916.557500000003</v>
      </c>
      <c r="O2075" s="129">
        <f>'B&amp;T'!N193</f>
        <v>50200.716525000003</v>
      </c>
      <c r="P2075" s="123" t="str">
        <f t="shared" si="507"/>
        <v>110</v>
      </c>
    </row>
    <row r="2076" spans="1:16" x14ac:dyDescent="0.2">
      <c r="A2076" s="119" t="s">
        <v>864</v>
      </c>
      <c r="B2076" s="120" t="s">
        <v>156</v>
      </c>
      <c r="C2076" s="129">
        <v>267347</v>
      </c>
      <c r="D2076" s="129">
        <v>22423.25</v>
      </c>
      <c r="E2076" s="129">
        <v>0</v>
      </c>
      <c r="F2076" s="129">
        <v>134851.01999999999</v>
      </c>
      <c r="G2076" s="129">
        <v>132495.98000000001</v>
      </c>
      <c r="H2076" s="129">
        <v>50.44</v>
      </c>
      <c r="I2076" s="129">
        <f>'B&amp;T'!J194</f>
        <v>0</v>
      </c>
      <c r="J2076" s="129">
        <f>'B&amp;T'!K194</f>
        <v>267347</v>
      </c>
      <c r="K2076" s="129">
        <f>'B&amp;T'!L194</f>
        <v>284056.1875</v>
      </c>
      <c r="L2076" s="129">
        <f>'B&amp;T'!M194</f>
        <v>303940.12062499998</v>
      </c>
      <c r="O2076" s="129">
        <f>'B&amp;T'!N194</f>
        <v>325215.92906875</v>
      </c>
      <c r="P2076" s="123" t="str">
        <f t="shared" si="507"/>
        <v>110</v>
      </c>
    </row>
    <row r="2077" spans="1:16" x14ac:dyDescent="0.2">
      <c r="A2077" s="119" t="s">
        <v>865</v>
      </c>
      <c r="B2077" s="120" t="s">
        <v>157</v>
      </c>
      <c r="C2077" s="129">
        <v>20000</v>
      </c>
      <c r="D2077" s="129">
        <v>0</v>
      </c>
      <c r="E2077" s="129">
        <v>0</v>
      </c>
      <c r="F2077" s="129">
        <v>11012.5</v>
      </c>
      <c r="G2077" s="129">
        <v>8987.5</v>
      </c>
      <c r="H2077" s="129">
        <v>55.06</v>
      </c>
      <c r="I2077" s="129">
        <f>'B&amp;T'!J195</f>
        <v>0</v>
      </c>
      <c r="J2077" s="129">
        <f>'B&amp;T'!K195</f>
        <v>20000</v>
      </c>
      <c r="K2077" s="129">
        <f>'B&amp;T'!L195</f>
        <v>21250</v>
      </c>
      <c r="L2077" s="129">
        <f>'B&amp;T'!M195</f>
        <v>22737.5</v>
      </c>
      <c r="O2077" s="129">
        <f>'B&amp;T'!N195</f>
        <v>24329.125</v>
      </c>
      <c r="P2077" s="123" t="str">
        <f t="shared" si="507"/>
        <v>110</v>
      </c>
    </row>
    <row r="2078" spans="1:16" x14ac:dyDescent="0.2">
      <c r="A2078" s="119" t="s">
        <v>866</v>
      </c>
      <c r="B2078" s="120" t="s">
        <v>158</v>
      </c>
      <c r="C2078" s="129">
        <v>12841</v>
      </c>
      <c r="D2078" s="129">
        <v>0</v>
      </c>
      <c r="E2078" s="129">
        <v>0</v>
      </c>
      <c r="F2078" s="129">
        <v>0</v>
      </c>
      <c r="G2078" s="129">
        <v>12841</v>
      </c>
      <c r="H2078" s="129">
        <v>0</v>
      </c>
      <c r="I2078" s="129">
        <f>'B&amp;T'!J196</f>
        <v>-12841</v>
      </c>
      <c r="J2078" s="129">
        <f>'B&amp;T'!K196</f>
        <v>0</v>
      </c>
      <c r="K2078" s="129">
        <f>'B&amp;T'!L196</f>
        <v>0</v>
      </c>
      <c r="L2078" s="129">
        <f>'B&amp;T'!M196</f>
        <v>0</v>
      </c>
      <c r="O2078" s="129">
        <f>'B&amp;T'!N196</f>
        <v>0</v>
      </c>
      <c r="P2078" s="123" t="str">
        <f t="shared" si="507"/>
        <v>110</v>
      </c>
    </row>
    <row r="2079" spans="1:16" x14ac:dyDescent="0.2">
      <c r="A2079" s="119" t="s">
        <v>867</v>
      </c>
      <c r="B2079" s="120" t="s">
        <v>159</v>
      </c>
      <c r="C2079" s="129">
        <v>103635</v>
      </c>
      <c r="D2079" s="129">
        <v>0</v>
      </c>
      <c r="E2079" s="129">
        <v>0</v>
      </c>
      <c r="F2079" s="129">
        <v>0</v>
      </c>
      <c r="G2079" s="129">
        <v>103635</v>
      </c>
      <c r="H2079" s="129">
        <v>0</v>
      </c>
      <c r="I2079" s="129">
        <f>'B&amp;T'!J197</f>
        <v>16365</v>
      </c>
      <c r="J2079" s="129">
        <f>'B&amp;T'!K197</f>
        <v>120000</v>
      </c>
      <c r="K2079" s="129">
        <f>'B&amp;T'!L197</f>
        <v>127500</v>
      </c>
      <c r="L2079" s="129">
        <f>'B&amp;T'!M197</f>
        <v>136425</v>
      </c>
      <c r="O2079" s="129">
        <f>'B&amp;T'!N197</f>
        <v>145974.75</v>
      </c>
      <c r="P2079" s="123" t="str">
        <f t="shared" si="507"/>
        <v>110</v>
      </c>
    </row>
    <row r="2080" spans="1:16" x14ac:dyDescent="0.2">
      <c r="A2080" s="119" t="s">
        <v>868</v>
      </c>
      <c r="B2080" s="120" t="s">
        <v>164</v>
      </c>
      <c r="C2080" s="129">
        <v>15692</v>
      </c>
      <c r="D2080" s="129">
        <v>1307.7</v>
      </c>
      <c r="E2080" s="129">
        <v>0</v>
      </c>
      <c r="F2080" s="129">
        <v>7846.2</v>
      </c>
      <c r="G2080" s="129">
        <v>7845.8</v>
      </c>
      <c r="H2080" s="129">
        <v>50</v>
      </c>
      <c r="I2080" s="129">
        <f>'B&amp;T'!J198</f>
        <v>0</v>
      </c>
      <c r="J2080" s="129">
        <f>'B&amp;T'!K198</f>
        <v>15692</v>
      </c>
      <c r="K2080" s="129">
        <f>'B&amp;T'!L198</f>
        <v>16672.75</v>
      </c>
      <c r="L2080" s="129">
        <f>'B&amp;T'!M198</f>
        <v>17839.842499999999</v>
      </c>
      <c r="O2080" s="129">
        <f>'B&amp;T'!N198</f>
        <v>19088.631474999998</v>
      </c>
      <c r="P2080" s="123" t="str">
        <f t="shared" si="507"/>
        <v>110</v>
      </c>
    </row>
    <row r="2081" spans="1:16" x14ac:dyDescent="0.2">
      <c r="A2081" s="119"/>
      <c r="B2081" s="120"/>
      <c r="C2081" s="129"/>
      <c r="D2081" s="129"/>
      <c r="E2081" s="129"/>
      <c r="F2081" s="129"/>
      <c r="G2081" s="129"/>
      <c r="H2081" s="129"/>
      <c r="I2081" s="129">
        <f>'B&amp;T'!J199</f>
        <v>0</v>
      </c>
      <c r="J2081" s="129"/>
      <c r="K2081" s="129"/>
      <c r="L2081" s="129"/>
      <c r="O2081" s="129"/>
      <c r="P2081" s="123" t="str">
        <f t="shared" si="507"/>
        <v/>
      </c>
    </row>
    <row r="2082" spans="1:16" s="114" customFormat="1" ht="15" x14ac:dyDescent="0.25">
      <c r="A2082" s="118"/>
      <c r="B2082" s="117" t="s">
        <v>165</v>
      </c>
      <c r="C2082" s="128">
        <f>SUM(C2070:C2081)</f>
        <v>1892107</v>
      </c>
      <c r="D2082" s="128">
        <f t="shared" ref="D2082:O2082" si="511">SUM(D2070:D2081)</f>
        <v>180141.58</v>
      </c>
      <c r="E2082" s="128">
        <f t="shared" si="511"/>
        <v>0</v>
      </c>
      <c r="F2082" s="128">
        <f t="shared" si="511"/>
        <v>983877.25</v>
      </c>
      <c r="G2082" s="128">
        <f t="shared" si="511"/>
        <v>908229.75</v>
      </c>
      <c r="H2082" s="128">
        <f t="shared" si="511"/>
        <v>596.3599999999999</v>
      </c>
      <c r="I2082" s="128">
        <f t="shared" si="511"/>
        <v>-29187.729999999996</v>
      </c>
      <c r="J2082" s="128">
        <f t="shared" si="511"/>
        <v>1862919.27</v>
      </c>
      <c r="K2082" s="128">
        <f t="shared" si="511"/>
        <v>1979351.724375</v>
      </c>
      <c r="L2082" s="128">
        <f t="shared" si="511"/>
        <v>2117906.3450812502</v>
      </c>
      <c r="M2082" s="128">
        <f t="shared" si="511"/>
        <v>0</v>
      </c>
      <c r="N2082" s="128">
        <f t="shared" si="511"/>
        <v>0</v>
      </c>
      <c r="O2082" s="128">
        <f t="shared" si="511"/>
        <v>2266159.7892369381</v>
      </c>
      <c r="P2082" s="123" t="str">
        <f t="shared" si="507"/>
        <v/>
      </c>
    </row>
    <row r="2083" spans="1:16" s="114" customFormat="1" ht="15" x14ac:dyDescent="0.25">
      <c r="A2083" s="118"/>
      <c r="B2083" s="117"/>
      <c r="C2083" s="128"/>
      <c r="D2083" s="128"/>
      <c r="E2083" s="128"/>
      <c r="F2083" s="128"/>
      <c r="G2083" s="128"/>
      <c r="H2083" s="128"/>
      <c r="I2083" s="129">
        <f>'B&amp;T'!J201</f>
        <v>0</v>
      </c>
      <c r="J2083" s="129"/>
      <c r="K2083" s="129"/>
      <c r="L2083" s="129"/>
      <c r="M2083" s="186"/>
      <c r="N2083" s="186"/>
      <c r="O2083" s="128"/>
      <c r="P2083" s="123" t="str">
        <f t="shared" si="507"/>
        <v/>
      </c>
    </row>
    <row r="2084" spans="1:16" s="114" customFormat="1" ht="15" x14ac:dyDescent="0.25">
      <c r="A2084" s="118"/>
      <c r="B2084" s="117" t="s">
        <v>166</v>
      </c>
      <c r="C2084" s="128"/>
      <c r="D2084" s="128"/>
      <c r="E2084" s="128"/>
      <c r="F2084" s="128"/>
      <c r="G2084" s="128"/>
      <c r="H2084" s="128"/>
      <c r="I2084" s="129">
        <f>'B&amp;T'!J202</f>
        <v>0</v>
      </c>
      <c r="J2084" s="129"/>
      <c r="K2084" s="129"/>
      <c r="L2084" s="129"/>
      <c r="M2084" s="186"/>
      <c r="N2084" s="186"/>
      <c r="O2084" s="128"/>
      <c r="P2084" s="123" t="str">
        <f t="shared" si="507"/>
        <v/>
      </c>
    </row>
    <row r="2085" spans="1:16" x14ac:dyDescent="0.2">
      <c r="A2085" s="119"/>
      <c r="B2085" s="120"/>
      <c r="C2085" s="129"/>
      <c r="D2085" s="129"/>
      <c r="E2085" s="129"/>
      <c r="F2085" s="129"/>
      <c r="G2085" s="129"/>
      <c r="H2085" s="129"/>
      <c r="I2085" s="129">
        <f>'B&amp;T'!J203</f>
        <v>0</v>
      </c>
      <c r="J2085" s="129"/>
      <c r="K2085" s="129"/>
      <c r="L2085" s="129"/>
      <c r="O2085" s="129"/>
      <c r="P2085" s="123" t="str">
        <f t="shared" si="507"/>
        <v/>
      </c>
    </row>
    <row r="2086" spans="1:16" x14ac:dyDescent="0.2">
      <c r="A2086" s="119" t="s">
        <v>869</v>
      </c>
      <c r="B2086" s="120" t="s">
        <v>167</v>
      </c>
      <c r="C2086" s="129">
        <v>337</v>
      </c>
      <c r="D2086" s="129">
        <v>27.96</v>
      </c>
      <c r="E2086" s="129">
        <v>0</v>
      </c>
      <c r="F2086" s="129">
        <v>167.76</v>
      </c>
      <c r="G2086" s="129">
        <v>169.24</v>
      </c>
      <c r="H2086" s="129">
        <v>49.78</v>
      </c>
      <c r="I2086" s="129">
        <f>'B&amp;T'!J204</f>
        <v>0</v>
      </c>
      <c r="J2086" s="129">
        <f>'B&amp;T'!K204</f>
        <v>337</v>
      </c>
      <c r="K2086" s="129">
        <f>'B&amp;T'!L204</f>
        <v>358.0625</v>
      </c>
      <c r="L2086" s="129">
        <f>'B&amp;T'!M204</f>
        <v>383.12687499999998</v>
      </c>
      <c r="O2086" s="129">
        <f>'B&amp;T'!N204</f>
        <v>409.94575624999999</v>
      </c>
      <c r="P2086" s="123" t="str">
        <f t="shared" si="507"/>
        <v>130</v>
      </c>
    </row>
    <row r="2087" spans="1:16" x14ac:dyDescent="0.2">
      <c r="A2087" s="119" t="s">
        <v>870</v>
      </c>
      <c r="B2087" s="120" t="s">
        <v>168</v>
      </c>
      <c r="C2087" s="129">
        <v>161725</v>
      </c>
      <c r="D2087" s="129">
        <v>8790.75</v>
      </c>
      <c r="E2087" s="129">
        <v>0</v>
      </c>
      <c r="F2087" s="129">
        <v>52744.5</v>
      </c>
      <c r="G2087" s="129">
        <v>108980.5</v>
      </c>
      <c r="H2087" s="129">
        <v>32.61</v>
      </c>
      <c r="I2087" s="129">
        <f>'B&amp;T'!J205</f>
        <v>-40000</v>
      </c>
      <c r="J2087" s="129">
        <f>'B&amp;T'!K205</f>
        <v>121725</v>
      </c>
      <c r="K2087" s="129">
        <f>'B&amp;T'!L205</f>
        <v>129332.8125</v>
      </c>
      <c r="L2087" s="129">
        <f>'B&amp;T'!M205</f>
        <v>138386.109375</v>
      </c>
      <c r="O2087" s="129">
        <f>'B&amp;T'!N205</f>
        <v>148073.13703124999</v>
      </c>
      <c r="P2087" s="123" t="str">
        <f t="shared" si="507"/>
        <v>130</v>
      </c>
    </row>
    <row r="2088" spans="1:16" x14ac:dyDescent="0.2">
      <c r="A2088" s="119" t="s">
        <v>871</v>
      </c>
      <c r="B2088" s="120" t="s">
        <v>169</v>
      </c>
      <c r="C2088" s="129">
        <v>273596</v>
      </c>
      <c r="D2088" s="129">
        <v>20876.12</v>
      </c>
      <c r="E2088" s="129">
        <v>0</v>
      </c>
      <c r="F2088" s="129">
        <v>124541.32</v>
      </c>
      <c r="G2088" s="129">
        <v>149054.68</v>
      </c>
      <c r="H2088" s="129">
        <v>45.52</v>
      </c>
      <c r="I2088" s="129">
        <f>'B&amp;T'!J206</f>
        <v>0</v>
      </c>
      <c r="J2088" s="129">
        <f>'B&amp;T'!K206</f>
        <v>273596</v>
      </c>
      <c r="K2088" s="129">
        <f>'B&amp;T'!L206</f>
        <v>290695.75</v>
      </c>
      <c r="L2088" s="129">
        <f>'B&amp;T'!M206</f>
        <v>311044.45250000001</v>
      </c>
      <c r="O2088" s="129">
        <f>'B&amp;T'!N206</f>
        <v>332817.56417500001</v>
      </c>
      <c r="P2088" s="123" t="str">
        <f t="shared" si="507"/>
        <v>130</v>
      </c>
    </row>
    <row r="2089" spans="1:16" x14ac:dyDescent="0.2">
      <c r="A2089" s="119" t="s">
        <v>872</v>
      </c>
      <c r="B2089" s="120" t="s">
        <v>170</v>
      </c>
      <c r="C2089" s="129">
        <v>5355</v>
      </c>
      <c r="D2089" s="129">
        <v>529.49</v>
      </c>
      <c r="E2089" s="129">
        <v>0</v>
      </c>
      <c r="F2089" s="129">
        <v>3071.03</v>
      </c>
      <c r="G2089" s="129">
        <v>2283.9699999999998</v>
      </c>
      <c r="H2089" s="129">
        <v>57.34</v>
      </c>
      <c r="I2089" s="129">
        <f>'B&amp;T'!J207</f>
        <v>0</v>
      </c>
      <c r="J2089" s="129">
        <f>'B&amp;T'!K207</f>
        <v>5355</v>
      </c>
      <c r="K2089" s="129">
        <f>'B&amp;T'!L207</f>
        <v>5689.6875</v>
      </c>
      <c r="L2089" s="129">
        <f>'B&amp;T'!M207</f>
        <v>6087.9656249999998</v>
      </c>
      <c r="O2089" s="129">
        <f>'B&amp;T'!N207</f>
        <v>6514.12321875</v>
      </c>
      <c r="P2089" s="123" t="str">
        <f t="shared" si="507"/>
        <v>130</v>
      </c>
    </row>
    <row r="2090" spans="1:16" x14ac:dyDescent="0.2">
      <c r="A2090" s="119"/>
      <c r="B2090" s="120"/>
      <c r="C2090" s="129"/>
      <c r="D2090" s="129"/>
      <c r="E2090" s="129"/>
      <c r="F2090" s="129"/>
      <c r="G2090" s="129"/>
      <c r="H2090" s="129"/>
      <c r="I2090" s="129">
        <f>'B&amp;T'!J208</f>
        <v>0</v>
      </c>
      <c r="J2090" s="129"/>
      <c r="K2090" s="129"/>
      <c r="L2090" s="129"/>
      <c r="O2090" s="129"/>
      <c r="P2090" s="123" t="str">
        <f t="shared" si="507"/>
        <v/>
      </c>
    </row>
    <row r="2091" spans="1:16" s="114" customFormat="1" ht="15" x14ac:dyDescent="0.25">
      <c r="A2091" s="118"/>
      <c r="B2091" s="117" t="s">
        <v>171</v>
      </c>
      <c r="C2091" s="128">
        <f>SUM(C2086:C2090)</f>
        <v>441013</v>
      </c>
      <c r="D2091" s="128">
        <f t="shared" ref="D2091:O2091" si="512">SUM(D2086:D2090)</f>
        <v>30224.32</v>
      </c>
      <c r="E2091" s="128">
        <f t="shared" si="512"/>
        <v>0</v>
      </c>
      <c r="F2091" s="128">
        <f t="shared" si="512"/>
        <v>180524.61000000002</v>
      </c>
      <c r="G2091" s="128">
        <f t="shared" si="512"/>
        <v>260488.38999999998</v>
      </c>
      <c r="H2091" s="128">
        <f t="shared" si="512"/>
        <v>185.25</v>
      </c>
      <c r="I2091" s="128">
        <f t="shared" si="512"/>
        <v>-40000</v>
      </c>
      <c r="J2091" s="128">
        <f t="shared" si="512"/>
        <v>401013</v>
      </c>
      <c r="K2091" s="128">
        <f t="shared" si="512"/>
        <v>426076.3125</v>
      </c>
      <c r="L2091" s="128">
        <f t="shared" si="512"/>
        <v>455901.65437499998</v>
      </c>
      <c r="M2091" s="128">
        <f t="shared" si="512"/>
        <v>0</v>
      </c>
      <c r="N2091" s="128">
        <f t="shared" si="512"/>
        <v>0</v>
      </c>
      <c r="O2091" s="128">
        <f t="shared" si="512"/>
        <v>487814.77018125</v>
      </c>
      <c r="P2091" s="123" t="str">
        <f t="shared" si="507"/>
        <v/>
      </c>
    </row>
    <row r="2092" spans="1:16" s="114" customFormat="1" ht="15" x14ac:dyDescent="0.25">
      <c r="A2092" s="118"/>
      <c r="B2092" s="117"/>
      <c r="C2092" s="128"/>
      <c r="D2092" s="128"/>
      <c r="E2092" s="128"/>
      <c r="F2092" s="128"/>
      <c r="G2092" s="128"/>
      <c r="H2092" s="128"/>
      <c r="I2092" s="129">
        <f>'B&amp;T'!J210</f>
        <v>0</v>
      </c>
      <c r="J2092" s="129"/>
      <c r="K2092" s="129"/>
      <c r="L2092" s="129"/>
      <c r="M2092" s="186"/>
      <c r="N2092" s="186"/>
      <c r="O2092" s="128"/>
      <c r="P2092" s="123" t="str">
        <f t="shared" si="507"/>
        <v/>
      </c>
    </row>
    <row r="2093" spans="1:16" s="114" customFormat="1" ht="15" x14ac:dyDescent="0.25">
      <c r="A2093" s="118"/>
      <c r="B2093" s="117" t="s">
        <v>172</v>
      </c>
      <c r="C2093" s="128"/>
      <c r="D2093" s="128"/>
      <c r="E2093" s="128"/>
      <c r="F2093" s="128"/>
      <c r="G2093" s="128"/>
      <c r="H2093" s="128"/>
      <c r="I2093" s="129">
        <f>'B&amp;T'!J211</f>
        <v>0</v>
      </c>
      <c r="J2093" s="129"/>
      <c r="K2093" s="129"/>
      <c r="L2093" s="129"/>
      <c r="M2093" s="186"/>
      <c r="N2093" s="186"/>
      <c r="O2093" s="128"/>
      <c r="P2093" s="123" t="str">
        <f t="shared" si="507"/>
        <v/>
      </c>
    </row>
    <row r="2094" spans="1:16" x14ac:dyDescent="0.2">
      <c r="A2094" s="119"/>
      <c r="B2094" s="120"/>
      <c r="C2094" s="129"/>
      <c r="D2094" s="129"/>
      <c r="E2094" s="129"/>
      <c r="F2094" s="129"/>
      <c r="G2094" s="129"/>
      <c r="H2094" s="129"/>
      <c r="I2094" s="129">
        <f>'B&amp;T'!J212</f>
        <v>0</v>
      </c>
      <c r="J2094" s="129"/>
      <c r="K2094" s="129"/>
      <c r="L2094" s="129"/>
      <c r="O2094" s="129"/>
      <c r="P2094" s="123" t="str">
        <f t="shared" si="507"/>
        <v/>
      </c>
    </row>
    <row r="2095" spans="1:16" x14ac:dyDescent="0.2">
      <c r="A2095" s="119" t="s">
        <v>873</v>
      </c>
      <c r="B2095" s="120" t="s">
        <v>173</v>
      </c>
      <c r="C2095" s="129">
        <v>11813</v>
      </c>
      <c r="D2095" s="129">
        <v>0</v>
      </c>
      <c r="E2095" s="129">
        <v>0</v>
      </c>
      <c r="F2095" s="129">
        <v>0</v>
      </c>
      <c r="G2095" s="129">
        <v>11813</v>
      </c>
      <c r="H2095" s="129">
        <v>0</v>
      </c>
      <c r="I2095" s="129">
        <f>'B&amp;T'!J213</f>
        <v>0</v>
      </c>
      <c r="J2095" s="129">
        <f>'B&amp;T'!K213</f>
        <v>11813</v>
      </c>
      <c r="K2095" s="129">
        <f>'B&amp;T'!L213</f>
        <v>12551.3125</v>
      </c>
      <c r="L2095" s="129">
        <f>'B&amp;T'!M213</f>
        <v>13429.904375</v>
      </c>
      <c r="O2095" s="129">
        <f>'B&amp;T'!N213</f>
        <v>14369.997681250001</v>
      </c>
      <c r="P2095" s="123" t="str">
        <f t="shared" si="507"/>
        <v>140</v>
      </c>
    </row>
    <row r="2096" spans="1:16" x14ac:dyDescent="0.2">
      <c r="A2096" s="119" t="s">
        <v>874</v>
      </c>
      <c r="B2096" s="120" t="s">
        <v>174</v>
      </c>
      <c r="C2096" s="129">
        <v>13427</v>
      </c>
      <c r="D2096" s="129">
        <v>0</v>
      </c>
      <c r="E2096" s="129">
        <v>0</v>
      </c>
      <c r="F2096" s="129">
        <v>0</v>
      </c>
      <c r="G2096" s="129">
        <v>13427</v>
      </c>
      <c r="H2096" s="129">
        <v>0</v>
      </c>
      <c r="I2096" s="129">
        <f>'B&amp;T'!J214</f>
        <v>0</v>
      </c>
      <c r="J2096" s="129">
        <f>'B&amp;T'!K214</f>
        <v>13427</v>
      </c>
      <c r="K2096" s="129">
        <f>'B&amp;T'!L214</f>
        <v>14266.1875</v>
      </c>
      <c r="L2096" s="129">
        <f>'B&amp;T'!M214</f>
        <v>15264.820625</v>
      </c>
      <c r="O2096" s="129">
        <f>'B&amp;T'!N214</f>
        <v>16333.35806875</v>
      </c>
      <c r="P2096" s="123" t="str">
        <f t="shared" si="507"/>
        <v>140</v>
      </c>
    </row>
    <row r="2097" spans="1:16" x14ac:dyDescent="0.2">
      <c r="A2097" s="119" t="s">
        <v>875</v>
      </c>
      <c r="B2097" s="120" t="s">
        <v>175</v>
      </c>
      <c r="C2097" s="129">
        <v>20916</v>
      </c>
      <c r="D2097" s="129">
        <v>0</v>
      </c>
      <c r="E2097" s="129">
        <v>0</v>
      </c>
      <c r="F2097" s="129">
        <v>0</v>
      </c>
      <c r="G2097" s="129">
        <v>20916</v>
      </c>
      <c r="H2097" s="129">
        <v>0</v>
      </c>
      <c r="I2097" s="129">
        <f>'B&amp;T'!J215</f>
        <v>0</v>
      </c>
      <c r="J2097" s="129">
        <f>'B&amp;T'!K215</f>
        <v>20916</v>
      </c>
      <c r="K2097" s="129">
        <f>'B&amp;T'!L215</f>
        <v>22223.25</v>
      </c>
      <c r="L2097" s="129">
        <f>'B&amp;T'!M215</f>
        <v>23778.877499999999</v>
      </c>
      <c r="O2097" s="129">
        <f>'B&amp;T'!N215</f>
        <v>25443.398924999998</v>
      </c>
      <c r="P2097" s="123" t="str">
        <f t="shared" si="507"/>
        <v>142</v>
      </c>
    </row>
    <row r="2098" spans="1:16" x14ac:dyDescent="0.2">
      <c r="A2098" s="119"/>
      <c r="B2098" s="120"/>
      <c r="C2098" s="129"/>
      <c r="D2098" s="129"/>
      <c r="E2098" s="129"/>
      <c r="F2098" s="129"/>
      <c r="G2098" s="129"/>
      <c r="H2098" s="129"/>
      <c r="I2098" s="129">
        <f>'B&amp;T'!J216</f>
        <v>0</v>
      </c>
      <c r="J2098" s="129"/>
      <c r="K2098" s="129"/>
      <c r="L2098" s="129"/>
      <c r="O2098" s="129"/>
      <c r="P2098" s="123" t="str">
        <f t="shared" si="507"/>
        <v/>
      </c>
    </row>
    <row r="2099" spans="1:16" s="114" customFormat="1" ht="15" x14ac:dyDescent="0.25">
      <c r="A2099" s="118"/>
      <c r="B2099" s="117" t="s">
        <v>176</v>
      </c>
      <c r="C2099" s="128">
        <f>SUM(C2095:C2098)</f>
        <v>46156</v>
      </c>
      <c r="D2099" s="128">
        <f t="shared" ref="D2099:O2099" si="513">SUM(D2095:D2098)</f>
        <v>0</v>
      </c>
      <c r="E2099" s="128">
        <f t="shared" si="513"/>
        <v>0</v>
      </c>
      <c r="F2099" s="128">
        <f t="shared" si="513"/>
        <v>0</v>
      </c>
      <c r="G2099" s="128">
        <f t="shared" si="513"/>
        <v>46156</v>
      </c>
      <c r="H2099" s="128">
        <f t="shared" si="513"/>
        <v>0</v>
      </c>
      <c r="I2099" s="128">
        <f t="shared" si="513"/>
        <v>0</v>
      </c>
      <c r="J2099" s="128">
        <f t="shared" si="513"/>
        <v>46156</v>
      </c>
      <c r="K2099" s="128">
        <f t="shared" si="513"/>
        <v>49040.75</v>
      </c>
      <c r="L2099" s="128">
        <f t="shared" si="513"/>
        <v>52473.602499999994</v>
      </c>
      <c r="M2099" s="128">
        <f t="shared" si="513"/>
        <v>0</v>
      </c>
      <c r="N2099" s="128">
        <f t="shared" si="513"/>
        <v>0</v>
      </c>
      <c r="O2099" s="128">
        <f t="shared" si="513"/>
        <v>56146.754675000004</v>
      </c>
      <c r="P2099" s="123" t="str">
        <f t="shared" si="507"/>
        <v/>
      </c>
    </row>
    <row r="2100" spans="1:16" s="114" customFormat="1" ht="15" x14ac:dyDescent="0.25">
      <c r="A2100" s="118"/>
      <c r="B2100" s="117"/>
      <c r="C2100" s="128"/>
      <c r="D2100" s="128"/>
      <c r="E2100" s="128"/>
      <c r="F2100" s="128"/>
      <c r="G2100" s="128"/>
      <c r="H2100" s="128"/>
      <c r="I2100" s="129">
        <f>'B&amp;T'!J218</f>
        <v>0</v>
      </c>
      <c r="J2100" s="129"/>
      <c r="K2100" s="129"/>
      <c r="L2100" s="129"/>
      <c r="M2100" s="186"/>
      <c r="N2100" s="186"/>
      <c r="O2100" s="128"/>
      <c r="P2100" s="123" t="str">
        <f t="shared" si="507"/>
        <v/>
      </c>
    </row>
    <row r="2101" spans="1:16" s="114" customFormat="1" ht="15" x14ac:dyDescent="0.25">
      <c r="A2101" s="118"/>
      <c r="B2101" s="117" t="s">
        <v>177</v>
      </c>
      <c r="C2101" s="128">
        <f>C2082+C2091+C2099</f>
        <v>2379276</v>
      </c>
      <c r="D2101" s="128">
        <f t="shared" ref="D2101:O2101" si="514">D2082+D2091+D2099</f>
        <v>210365.9</v>
      </c>
      <c r="E2101" s="128">
        <f t="shared" si="514"/>
        <v>0</v>
      </c>
      <c r="F2101" s="128">
        <f t="shared" si="514"/>
        <v>1164401.8600000001</v>
      </c>
      <c r="G2101" s="128">
        <f t="shared" si="514"/>
        <v>1214874.1399999999</v>
      </c>
      <c r="H2101" s="128">
        <f t="shared" si="514"/>
        <v>781.6099999999999</v>
      </c>
      <c r="I2101" s="128">
        <f t="shared" si="514"/>
        <v>-69187.73</v>
      </c>
      <c r="J2101" s="128">
        <f t="shared" si="514"/>
        <v>2310088.27</v>
      </c>
      <c r="K2101" s="128">
        <f t="shared" si="514"/>
        <v>2454468.7868750002</v>
      </c>
      <c r="L2101" s="128">
        <f t="shared" si="514"/>
        <v>2626281.6019562501</v>
      </c>
      <c r="M2101" s="128">
        <f t="shared" si="514"/>
        <v>0</v>
      </c>
      <c r="N2101" s="128">
        <f t="shared" si="514"/>
        <v>0</v>
      </c>
      <c r="O2101" s="128">
        <f t="shared" si="514"/>
        <v>2810121.3140931879</v>
      </c>
      <c r="P2101" s="123" t="str">
        <f t="shared" si="507"/>
        <v/>
      </c>
    </row>
    <row r="2102" spans="1:16" s="114" customFormat="1" ht="15" x14ac:dyDescent="0.25">
      <c r="A2102" s="118"/>
      <c r="B2102" s="117"/>
      <c r="C2102" s="128"/>
      <c r="D2102" s="128"/>
      <c r="E2102" s="128"/>
      <c r="F2102" s="128"/>
      <c r="G2102" s="128"/>
      <c r="H2102" s="128"/>
      <c r="I2102" s="129">
        <f>'B&amp;T'!J220</f>
        <v>0</v>
      </c>
      <c r="J2102" s="129"/>
      <c r="K2102" s="129"/>
      <c r="L2102" s="129"/>
      <c r="M2102" s="186"/>
      <c r="N2102" s="186"/>
      <c r="O2102" s="128"/>
      <c r="P2102" s="123" t="str">
        <f t="shared" si="507"/>
        <v/>
      </c>
    </row>
    <row r="2103" spans="1:16" s="114" customFormat="1" ht="15" x14ac:dyDescent="0.25">
      <c r="A2103" s="118"/>
      <c r="B2103" s="117" t="s">
        <v>178</v>
      </c>
      <c r="C2103" s="128">
        <f>C2101</f>
        <v>2379276</v>
      </c>
      <c r="D2103" s="128">
        <f t="shared" ref="D2103:O2103" si="515">D2101</f>
        <v>210365.9</v>
      </c>
      <c r="E2103" s="128">
        <f t="shared" si="515"/>
        <v>0</v>
      </c>
      <c r="F2103" s="128">
        <f t="shared" si="515"/>
        <v>1164401.8600000001</v>
      </c>
      <c r="G2103" s="128">
        <f t="shared" si="515"/>
        <v>1214874.1399999999</v>
      </c>
      <c r="H2103" s="128">
        <f t="shared" si="515"/>
        <v>781.6099999999999</v>
      </c>
      <c r="I2103" s="128">
        <f t="shared" si="515"/>
        <v>-69187.73</v>
      </c>
      <c r="J2103" s="128">
        <f t="shared" si="515"/>
        <v>2310088.27</v>
      </c>
      <c r="K2103" s="128">
        <f t="shared" si="515"/>
        <v>2454468.7868750002</v>
      </c>
      <c r="L2103" s="128">
        <f t="shared" si="515"/>
        <v>2626281.6019562501</v>
      </c>
      <c r="M2103" s="128">
        <f t="shared" si="515"/>
        <v>0</v>
      </c>
      <c r="N2103" s="128">
        <f t="shared" si="515"/>
        <v>0</v>
      </c>
      <c r="O2103" s="128">
        <f t="shared" si="515"/>
        <v>2810121.3140931879</v>
      </c>
      <c r="P2103" s="123" t="str">
        <f t="shared" si="507"/>
        <v/>
      </c>
    </row>
    <row r="2104" spans="1:16" x14ac:dyDescent="0.2">
      <c r="A2104" s="119"/>
      <c r="B2104" s="120"/>
      <c r="C2104" s="129"/>
      <c r="D2104" s="129"/>
      <c r="E2104" s="129"/>
      <c r="F2104" s="129"/>
      <c r="G2104" s="129"/>
      <c r="H2104" s="129"/>
      <c r="I2104" s="129">
        <f>'B&amp;T'!J222</f>
        <v>0</v>
      </c>
      <c r="J2104" s="129"/>
      <c r="K2104" s="129"/>
      <c r="L2104" s="129"/>
      <c r="O2104" s="129"/>
      <c r="P2104" s="123" t="str">
        <f t="shared" si="507"/>
        <v/>
      </c>
    </row>
    <row r="2105" spans="1:16" s="114" customFormat="1" ht="15" x14ac:dyDescent="0.25">
      <c r="A2105" s="118"/>
      <c r="B2105" s="117" t="s">
        <v>241</v>
      </c>
      <c r="C2105" s="128"/>
      <c r="D2105" s="128"/>
      <c r="E2105" s="128"/>
      <c r="F2105" s="128"/>
      <c r="G2105" s="128"/>
      <c r="H2105" s="128"/>
      <c r="I2105" s="129">
        <f>'B&amp;T'!J223</f>
        <v>0</v>
      </c>
      <c r="J2105" s="129"/>
      <c r="K2105" s="129"/>
      <c r="L2105" s="129"/>
      <c r="M2105" s="186"/>
      <c r="N2105" s="186"/>
      <c r="O2105" s="128"/>
      <c r="P2105" s="123" t="str">
        <f t="shared" si="507"/>
        <v/>
      </c>
    </row>
    <row r="2106" spans="1:16" x14ac:dyDescent="0.2">
      <c r="A2106" s="119"/>
      <c r="B2106" s="120"/>
      <c r="C2106" s="129"/>
      <c r="D2106" s="129"/>
      <c r="E2106" s="129"/>
      <c r="F2106" s="129"/>
      <c r="G2106" s="129"/>
      <c r="H2106" s="129"/>
      <c r="I2106" s="129">
        <f>'B&amp;T'!J224</f>
        <v>0</v>
      </c>
      <c r="J2106" s="129"/>
      <c r="K2106" s="129"/>
      <c r="L2106" s="129"/>
      <c r="O2106" s="129"/>
      <c r="P2106" s="123" t="str">
        <f t="shared" si="507"/>
        <v/>
      </c>
    </row>
    <row r="2107" spans="1:16" x14ac:dyDescent="0.2">
      <c r="A2107" s="119" t="s">
        <v>876</v>
      </c>
      <c r="B2107" s="120" t="s">
        <v>265</v>
      </c>
      <c r="C2107" s="129">
        <v>0</v>
      </c>
      <c r="D2107" s="129">
        <v>1697.8</v>
      </c>
      <c r="E2107" s="129">
        <v>0</v>
      </c>
      <c r="F2107" s="129">
        <v>9135.0400000000009</v>
      </c>
      <c r="G2107" s="129">
        <v>-9135.0400000000009</v>
      </c>
      <c r="H2107" s="129">
        <v>0</v>
      </c>
      <c r="I2107" s="129">
        <f>'B&amp;T'!J225</f>
        <v>20000</v>
      </c>
      <c r="J2107" s="129">
        <f>'B&amp;T'!K225</f>
        <v>20000</v>
      </c>
      <c r="K2107" s="129">
        <f>'B&amp;T'!L225</f>
        <v>20900</v>
      </c>
      <c r="L2107" s="129">
        <f>'B&amp;T'!M225</f>
        <v>21861.4</v>
      </c>
      <c r="O2107" s="129">
        <f>'B&amp;T'!N225</f>
        <v>22867.024400000002</v>
      </c>
      <c r="P2107" s="123" t="str">
        <f t="shared" si="507"/>
        <v>305</v>
      </c>
    </row>
    <row r="2108" spans="1:16" x14ac:dyDescent="0.2">
      <c r="A2108" s="119" t="s">
        <v>877</v>
      </c>
      <c r="B2108" s="120" t="s">
        <v>268</v>
      </c>
      <c r="C2108" s="129">
        <v>0</v>
      </c>
      <c r="D2108" s="129">
        <v>4674.95</v>
      </c>
      <c r="E2108" s="129">
        <v>0</v>
      </c>
      <c r="F2108" s="129">
        <v>21609.25</v>
      </c>
      <c r="G2108" s="129">
        <v>-21609.25</v>
      </c>
      <c r="H2108" s="129">
        <v>0</v>
      </c>
      <c r="I2108" s="129">
        <f>'B&amp;T'!J226</f>
        <v>50000</v>
      </c>
      <c r="J2108" s="129">
        <f>'B&amp;T'!K226</f>
        <v>50000</v>
      </c>
      <c r="K2108" s="129">
        <f>'B&amp;T'!L226</f>
        <v>52250</v>
      </c>
      <c r="L2108" s="129">
        <f>'B&amp;T'!M226</f>
        <v>54653.5</v>
      </c>
      <c r="O2108" s="129">
        <f>'B&amp;T'!N226</f>
        <v>57167.561000000002</v>
      </c>
      <c r="P2108" s="123" t="str">
        <f t="shared" si="507"/>
        <v>305</v>
      </c>
    </row>
    <row r="2109" spans="1:16" x14ac:dyDescent="0.2">
      <c r="A2109" s="119"/>
      <c r="B2109" s="120"/>
      <c r="C2109" s="129"/>
      <c r="D2109" s="129"/>
      <c r="E2109" s="129"/>
      <c r="F2109" s="129"/>
      <c r="G2109" s="129"/>
      <c r="H2109" s="129"/>
      <c r="I2109" s="129">
        <f>'B&amp;T'!J227</f>
        <v>0</v>
      </c>
      <c r="J2109" s="129"/>
      <c r="K2109" s="129"/>
      <c r="L2109" s="129"/>
      <c r="O2109" s="129"/>
      <c r="P2109" s="123" t="str">
        <f t="shared" si="507"/>
        <v/>
      </c>
    </row>
    <row r="2110" spans="1:16" s="114" customFormat="1" ht="15" x14ac:dyDescent="0.25">
      <c r="A2110" s="118"/>
      <c r="B2110" s="117" t="s">
        <v>274</v>
      </c>
      <c r="C2110" s="128">
        <f>SUM(C2107:C2109)</f>
        <v>0</v>
      </c>
      <c r="D2110" s="128">
        <f t="shared" ref="D2110:O2110" si="516">SUM(D2107:D2109)</f>
        <v>6372.75</v>
      </c>
      <c r="E2110" s="128">
        <f t="shared" si="516"/>
        <v>0</v>
      </c>
      <c r="F2110" s="128">
        <f t="shared" si="516"/>
        <v>30744.29</v>
      </c>
      <c r="G2110" s="128">
        <f t="shared" si="516"/>
        <v>-30744.29</v>
      </c>
      <c r="H2110" s="128">
        <f t="shared" si="516"/>
        <v>0</v>
      </c>
      <c r="I2110" s="128">
        <f t="shared" si="516"/>
        <v>70000</v>
      </c>
      <c r="J2110" s="128">
        <f t="shared" si="516"/>
        <v>70000</v>
      </c>
      <c r="K2110" s="128">
        <f t="shared" si="516"/>
        <v>73150</v>
      </c>
      <c r="L2110" s="128">
        <f t="shared" si="516"/>
        <v>76514.899999999994</v>
      </c>
      <c r="M2110" s="128">
        <f t="shared" si="516"/>
        <v>0</v>
      </c>
      <c r="N2110" s="128">
        <f t="shared" si="516"/>
        <v>0</v>
      </c>
      <c r="O2110" s="128">
        <f t="shared" si="516"/>
        <v>80034.585400000011</v>
      </c>
      <c r="P2110" s="123" t="str">
        <f t="shared" si="507"/>
        <v/>
      </c>
    </row>
    <row r="2111" spans="1:16" x14ac:dyDescent="0.2">
      <c r="A2111" s="119"/>
      <c r="B2111" s="120"/>
      <c r="C2111" s="129"/>
      <c r="D2111" s="129"/>
      <c r="E2111" s="129"/>
      <c r="F2111" s="129"/>
      <c r="G2111" s="129"/>
      <c r="H2111" s="129"/>
      <c r="I2111" s="129">
        <f>'B&amp;T'!J229</f>
        <v>0</v>
      </c>
      <c r="J2111" s="129">
        <f>'B&amp;T'!K229</f>
        <v>0</v>
      </c>
      <c r="K2111" s="129">
        <f>'B&amp;T'!L229</f>
        <v>0</v>
      </c>
      <c r="L2111" s="129">
        <f>'B&amp;T'!M229</f>
        <v>0</v>
      </c>
      <c r="O2111" s="129"/>
      <c r="P2111" s="123" t="str">
        <f t="shared" si="507"/>
        <v/>
      </c>
    </row>
    <row r="2112" spans="1:16" s="114" customFormat="1" ht="15" x14ac:dyDescent="0.25">
      <c r="A2112" s="118"/>
      <c r="B2112" s="117" t="s">
        <v>56</v>
      </c>
      <c r="C2112" s="128"/>
      <c r="D2112" s="128"/>
      <c r="E2112" s="128"/>
      <c r="F2112" s="128"/>
      <c r="G2112" s="128"/>
      <c r="H2112" s="128"/>
      <c r="I2112" s="129">
        <f>'B&amp;T'!J230</f>
        <v>0</v>
      </c>
      <c r="J2112" s="129">
        <f>'B&amp;T'!K230</f>
        <v>0</v>
      </c>
      <c r="K2112" s="129">
        <f>'B&amp;T'!L230</f>
        <v>0</v>
      </c>
      <c r="L2112" s="129">
        <f>'B&amp;T'!M230</f>
        <v>0</v>
      </c>
      <c r="M2112" s="186"/>
      <c r="N2112" s="186"/>
      <c r="O2112" s="128"/>
      <c r="P2112" s="123" t="str">
        <f t="shared" si="507"/>
        <v/>
      </c>
    </row>
    <row r="2113" spans="1:16" x14ac:dyDescent="0.2">
      <c r="A2113" s="119"/>
      <c r="B2113" s="120"/>
      <c r="C2113" s="129"/>
      <c r="D2113" s="129"/>
      <c r="E2113" s="129"/>
      <c r="F2113" s="129"/>
      <c r="G2113" s="129"/>
      <c r="H2113" s="129"/>
      <c r="I2113" s="129">
        <f>'B&amp;T'!J231</f>
        <v>0</v>
      </c>
      <c r="J2113" s="129">
        <f>'B&amp;T'!K231</f>
        <v>0</v>
      </c>
      <c r="K2113" s="129">
        <f>'B&amp;T'!L231</f>
        <v>0</v>
      </c>
      <c r="L2113" s="129">
        <f>'B&amp;T'!M231</f>
        <v>0</v>
      </c>
      <c r="O2113" s="129"/>
      <c r="P2113" s="123" t="str">
        <f t="shared" si="507"/>
        <v/>
      </c>
    </row>
    <row r="2114" spans="1:16" x14ac:dyDescent="0.2">
      <c r="A2114" s="119" t="s">
        <v>878</v>
      </c>
      <c r="B2114" s="120" t="s">
        <v>283</v>
      </c>
      <c r="C2114" s="129">
        <v>0</v>
      </c>
      <c r="D2114" s="129">
        <v>1251.27</v>
      </c>
      <c r="E2114" s="129">
        <v>0</v>
      </c>
      <c r="F2114" s="129">
        <v>7507.95</v>
      </c>
      <c r="G2114" s="129">
        <v>-7507.95</v>
      </c>
      <c r="H2114" s="129">
        <v>0</v>
      </c>
      <c r="I2114" s="129">
        <f>'B&amp;T'!J232</f>
        <v>0</v>
      </c>
      <c r="J2114" s="129">
        <f>'B&amp;T'!K232</f>
        <v>0</v>
      </c>
      <c r="K2114" s="129">
        <f>'B&amp;T'!L232</f>
        <v>0</v>
      </c>
      <c r="L2114" s="129">
        <f>'B&amp;T'!M232</f>
        <v>0</v>
      </c>
      <c r="O2114" s="129"/>
      <c r="P2114" s="123" t="str">
        <f t="shared" si="507"/>
        <v>362</v>
      </c>
    </row>
    <row r="2115" spans="1:16" x14ac:dyDescent="0.2">
      <c r="A2115" s="119"/>
      <c r="B2115" s="120"/>
      <c r="C2115" s="129"/>
      <c r="D2115" s="129"/>
      <c r="E2115" s="129"/>
      <c r="F2115" s="129"/>
      <c r="G2115" s="129"/>
      <c r="H2115" s="129"/>
      <c r="I2115" s="129">
        <f>'B&amp;T'!J233</f>
        <v>0</v>
      </c>
      <c r="J2115" s="129"/>
      <c r="K2115" s="129"/>
      <c r="L2115" s="129"/>
      <c r="O2115" s="129"/>
      <c r="P2115" s="123" t="str">
        <f t="shared" si="507"/>
        <v/>
      </c>
    </row>
    <row r="2116" spans="1:16" s="114" customFormat="1" ht="15" x14ac:dyDescent="0.25">
      <c r="A2116" s="118"/>
      <c r="B2116" s="117" t="s">
        <v>284</v>
      </c>
      <c r="C2116" s="128">
        <v>0</v>
      </c>
      <c r="D2116" s="128">
        <v>1251.27</v>
      </c>
      <c r="E2116" s="128">
        <v>0</v>
      </c>
      <c r="F2116" s="128">
        <v>7507.95</v>
      </c>
      <c r="G2116" s="128">
        <v>-7507.95</v>
      </c>
      <c r="H2116" s="128">
        <v>0</v>
      </c>
      <c r="I2116" s="129">
        <f>'B&amp;T'!J234</f>
        <v>0</v>
      </c>
      <c r="J2116" s="129">
        <f>'B&amp;T'!K234</f>
        <v>0</v>
      </c>
      <c r="K2116" s="129">
        <f>'B&amp;T'!L234</f>
        <v>0</v>
      </c>
      <c r="L2116" s="129">
        <f>'B&amp;T'!M234</f>
        <v>0</v>
      </c>
      <c r="M2116" s="186"/>
      <c r="N2116" s="186"/>
      <c r="O2116" s="128"/>
      <c r="P2116" s="123" t="str">
        <f t="shared" si="507"/>
        <v/>
      </c>
    </row>
    <row r="2117" spans="1:16" x14ac:dyDescent="0.2">
      <c r="A2117" s="119"/>
      <c r="B2117" s="120"/>
      <c r="C2117" s="129"/>
      <c r="D2117" s="129"/>
      <c r="E2117" s="129"/>
      <c r="F2117" s="129"/>
      <c r="G2117" s="129"/>
      <c r="H2117" s="129"/>
      <c r="I2117" s="129">
        <f>'B&amp;T'!J235</f>
        <v>0</v>
      </c>
      <c r="J2117" s="129"/>
      <c r="K2117" s="129"/>
      <c r="L2117" s="129"/>
      <c r="O2117" s="129"/>
      <c r="P2117" s="123" t="str">
        <f t="shared" si="507"/>
        <v/>
      </c>
    </row>
    <row r="2118" spans="1:16" s="114" customFormat="1" ht="15" x14ac:dyDescent="0.25">
      <c r="A2118" s="118"/>
      <c r="B2118" s="117" t="s">
        <v>290</v>
      </c>
      <c r="C2118" s="128"/>
      <c r="D2118" s="128"/>
      <c r="E2118" s="128"/>
      <c r="F2118" s="128"/>
      <c r="G2118" s="128"/>
      <c r="H2118" s="128"/>
      <c r="I2118" s="129">
        <f>'B&amp;T'!J236</f>
        <v>0</v>
      </c>
      <c r="J2118" s="129"/>
      <c r="K2118" s="129"/>
      <c r="L2118" s="129"/>
      <c r="M2118" s="186"/>
      <c r="N2118" s="186"/>
      <c r="O2118" s="128"/>
      <c r="P2118" s="123" t="str">
        <f t="shared" si="507"/>
        <v/>
      </c>
    </row>
    <row r="2119" spans="1:16" x14ac:dyDescent="0.2">
      <c r="A2119" s="119"/>
      <c r="B2119" s="120"/>
      <c r="C2119" s="129"/>
      <c r="D2119" s="129"/>
      <c r="E2119" s="129"/>
      <c r="F2119" s="129"/>
      <c r="G2119" s="129"/>
      <c r="H2119" s="129"/>
      <c r="I2119" s="129">
        <f>'B&amp;T'!J237</f>
        <v>0</v>
      </c>
      <c r="J2119" s="129"/>
      <c r="K2119" s="129"/>
      <c r="L2119" s="129"/>
      <c r="O2119" s="129"/>
      <c r="P2119" s="123" t="str">
        <f t="shared" ref="P2119:P2182" si="517">MID(A2119,6,3)</f>
        <v/>
      </c>
    </row>
    <row r="2120" spans="1:16" x14ac:dyDescent="0.2">
      <c r="A2120" s="119" t="s">
        <v>879</v>
      </c>
      <c r="B2120" s="120" t="s">
        <v>291</v>
      </c>
      <c r="C2120" s="129">
        <v>0</v>
      </c>
      <c r="D2120" s="129">
        <v>99597.95</v>
      </c>
      <c r="E2120" s="129">
        <v>0</v>
      </c>
      <c r="F2120" s="129">
        <v>249494.45</v>
      </c>
      <c r="G2120" s="129">
        <v>-249494.45</v>
      </c>
      <c r="H2120" s="129">
        <v>0</v>
      </c>
      <c r="I2120" s="129">
        <f>'B&amp;T'!J238</f>
        <v>0</v>
      </c>
      <c r="J2120" s="129">
        <f>'B&amp;T'!K238</f>
        <v>0</v>
      </c>
      <c r="K2120" s="129">
        <f>'B&amp;T'!L238</f>
        <v>0</v>
      </c>
      <c r="L2120" s="129">
        <f>'B&amp;T'!M238</f>
        <v>0</v>
      </c>
      <c r="O2120" s="129">
        <f>'B&amp;T'!N238</f>
        <v>0</v>
      </c>
      <c r="P2120" s="123" t="str">
        <f t="shared" si="517"/>
        <v>720</v>
      </c>
    </row>
    <row r="2121" spans="1:16" x14ac:dyDescent="0.2">
      <c r="A2121" s="119" t="s">
        <v>880</v>
      </c>
      <c r="B2121" s="120" t="s">
        <v>292</v>
      </c>
      <c r="C2121" s="129">
        <v>3371</v>
      </c>
      <c r="D2121" s="129">
        <v>780.88</v>
      </c>
      <c r="E2121" s="129">
        <v>0</v>
      </c>
      <c r="F2121" s="129">
        <v>2252.52</v>
      </c>
      <c r="G2121" s="129">
        <v>1118.48</v>
      </c>
      <c r="H2121" s="129">
        <v>66.819999999999993</v>
      </c>
      <c r="I2121" s="129">
        <f>'B&amp;T'!J239</f>
        <v>0</v>
      </c>
      <c r="J2121" s="129">
        <f>'B&amp;T'!K239</f>
        <v>3371</v>
      </c>
      <c r="K2121" s="129">
        <f>'B&amp;T'!L239</f>
        <v>3522.6950000000002</v>
      </c>
      <c r="L2121" s="129">
        <f>'B&amp;T'!M239</f>
        <v>3684.7389700000003</v>
      </c>
      <c r="O2121" s="129">
        <f>'B&amp;T'!N239</f>
        <v>3854.2369626200002</v>
      </c>
      <c r="P2121" s="123" t="str">
        <f t="shared" si="517"/>
        <v>720</v>
      </c>
    </row>
    <row r="2122" spans="1:16" x14ac:dyDescent="0.2">
      <c r="A2122" s="119" t="s">
        <v>881</v>
      </c>
      <c r="B2122" s="120" t="s">
        <v>293</v>
      </c>
      <c r="C2122" s="129">
        <v>268</v>
      </c>
      <c r="D2122" s="129">
        <v>1116.18</v>
      </c>
      <c r="E2122" s="129">
        <v>0</v>
      </c>
      <c r="F2122" s="129">
        <v>2752.65</v>
      </c>
      <c r="G2122" s="129">
        <v>-2484.65</v>
      </c>
      <c r="H2122" s="129">
        <v>999.99</v>
      </c>
      <c r="I2122" s="129">
        <f>'B&amp;T'!J240</f>
        <v>0</v>
      </c>
      <c r="J2122" s="129">
        <f>'B&amp;T'!K240</f>
        <v>268</v>
      </c>
      <c r="K2122" s="129">
        <f>'B&amp;T'!L240</f>
        <v>280.06</v>
      </c>
      <c r="L2122" s="129">
        <f>'B&amp;T'!M240</f>
        <v>292.94276000000002</v>
      </c>
      <c r="O2122" s="129">
        <f>'B&amp;T'!N240</f>
        <v>306.41812696</v>
      </c>
      <c r="P2122" s="123" t="str">
        <f t="shared" si="517"/>
        <v>721</v>
      </c>
    </row>
    <row r="2123" spans="1:16" x14ac:dyDescent="0.2">
      <c r="A2123" s="119"/>
      <c r="B2123" s="120"/>
      <c r="C2123" s="129"/>
      <c r="D2123" s="129"/>
      <c r="E2123" s="129"/>
      <c r="F2123" s="129"/>
      <c r="G2123" s="129"/>
      <c r="H2123" s="129"/>
      <c r="I2123" s="129">
        <f>'B&amp;T'!J241</f>
        <v>0</v>
      </c>
      <c r="J2123" s="129"/>
      <c r="K2123" s="129"/>
      <c r="L2123" s="129"/>
      <c r="O2123" s="129"/>
      <c r="P2123" s="123" t="str">
        <f t="shared" si="517"/>
        <v/>
      </c>
    </row>
    <row r="2124" spans="1:16" s="114" customFormat="1" ht="15" x14ac:dyDescent="0.25">
      <c r="A2124" s="118"/>
      <c r="B2124" s="117" t="s">
        <v>304</v>
      </c>
      <c r="C2124" s="128">
        <f>SUM(C2120:C2123)</f>
        <v>3639</v>
      </c>
      <c r="D2124" s="128">
        <f t="shared" ref="D2124:O2124" si="518">SUM(D2120:D2123)</f>
        <v>101495.01</v>
      </c>
      <c r="E2124" s="128">
        <f t="shared" si="518"/>
        <v>0</v>
      </c>
      <c r="F2124" s="128">
        <f t="shared" si="518"/>
        <v>254499.62</v>
      </c>
      <c r="G2124" s="128">
        <f t="shared" si="518"/>
        <v>-250860.62</v>
      </c>
      <c r="H2124" s="128">
        <f t="shared" si="518"/>
        <v>1066.81</v>
      </c>
      <c r="I2124" s="128">
        <f t="shared" si="518"/>
        <v>0</v>
      </c>
      <c r="J2124" s="128">
        <f t="shared" si="518"/>
        <v>3639</v>
      </c>
      <c r="K2124" s="128">
        <f t="shared" si="518"/>
        <v>3802.7550000000001</v>
      </c>
      <c r="L2124" s="128">
        <f t="shared" si="518"/>
        <v>3977.6817300000002</v>
      </c>
      <c r="M2124" s="128">
        <f t="shared" si="518"/>
        <v>0</v>
      </c>
      <c r="N2124" s="128">
        <f t="shared" si="518"/>
        <v>0</v>
      </c>
      <c r="O2124" s="128">
        <f t="shared" si="518"/>
        <v>4160.6550895800001</v>
      </c>
      <c r="P2124" s="123" t="str">
        <f t="shared" si="517"/>
        <v/>
      </c>
    </row>
    <row r="2125" spans="1:16" s="114" customFormat="1" ht="15" x14ac:dyDescent="0.25">
      <c r="A2125" s="118"/>
      <c r="B2125" s="117"/>
      <c r="C2125" s="128"/>
      <c r="D2125" s="128"/>
      <c r="E2125" s="128"/>
      <c r="F2125" s="128"/>
      <c r="G2125" s="128"/>
      <c r="H2125" s="128"/>
      <c r="I2125" s="129">
        <f>'B&amp;T'!J243</f>
        <v>0</v>
      </c>
      <c r="J2125" s="129"/>
      <c r="K2125" s="129"/>
      <c r="L2125" s="129"/>
      <c r="M2125" s="186"/>
      <c r="N2125" s="186"/>
      <c r="O2125" s="128"/>
      <c r="P2125" s="123" t="str">
        <f t="shared" si="517"/>
        <v/>
      </c>
    </row>
    <row r="2126" spans="1:16" s="114" customFormat="1" ht="15" x14ac:dyDescent="0.25">
      <c r="A2126" s="118"/>
      <c r="B2126" s="117" t="s">
        <v>305</v>
      </c>
      <c r="C2126" s="128">
        <f>C2103+C2110+C2116+C2124</f>
        <v>2382915</v>
      </c>
      <c r="D2126" s="128">
        <f t="shared" ref="D2126:O2126" si="519">D2103+D2110+D2116+D2124</f>
        <v>319484.93</v>
      </c>
      <c r="E2126" s="128">
        <f t="shared" si="519"/>
        <v>0</v>
      </c>
      <c r="F2126" s="128">
        <f t="shared" si="519"/>
        <v>1457153.7200000002</v>
      </c>
      <c r="G2126" s="128">
        <f t="shared" si="519"/>
        <v>925761.27999999991</v>
      </c>
      <c r="H2126" s="128">
        <f t="shared" si="519"/>
        <v>1848.4199999999998</v>
      </c>
      <c r="I2126" s="128">
        <f t="shared" si="519"/>
        <v>812.27000000000407</v>
      </c>
      <c r="J2126" s="128">
        <f t="shared" si="519"/>
        <v>2383727.27</v>
      </c>
      <c r="K2126" s="128">
        <f t="shared" si="519"/>
        <v>2531421.5418750001</v>
      </c>
      <c r="L2126" s="128">
        <f t="shared" si="519"/>
        <v>2706774.1836862499</v>
      </c>
      <c r="M2126" s="128">
        <f t="shared" si="519"/>
        <v>0</v>
      </c>
      <c r="N2126" s="128">
        <f t="shared" si="519"/>
        <v>0</v>
      </c>
      <c r="O2126" s="128">
        <f t="shared" si="519"/>
        <v>2894316.5545827681</v>
      </c>
      <c r="P2126" s="123" t="str">
        <f t="shared" si="517"/>
        <v/>
      </c>
    </row>
    <row r="2127" spans="1:16" s="114" customFormat="1" ht="15" x14ac:dyDescent="0.25">
      <c r="A2127" s="118"/>
      <c r="B2127" s="117"/>
      <c r="C2127" s="128"/>
      <c r="D2127" s="128"/>
      <c r="E2127" s="128"/>
      <c r="F2127" s="128"/>
      <c r="G2127" s="128"/>
      <c r="H2127" s="128"/>
      <c r="I2127" s="129">
        <f>'B&amp;T'!J245</f>
        <v>0</v>
      </c>
      <c r="J2127" s="129"/>
      <c r="K2127" s="129"/>
      <c r="L2127" s="129"/>
      <c r="M2127" s="186"/>
      <c r="N2127" s="186"/>
      <c r="O2127" s="128"/>
      <c r="P2127" s="123" t="str">
        <f t="shared" si="517"/>
        <v/>
      </c>
    </row>
    <row r="2128" spans="1:16" s="114" customFormat="1" ht="15" x14ac:dyDescent="0.25">
      <c r="A2128" s="118"/>
      <c r="B2128" s="117" t="s">
        <v>306</v>
      </c>
      <c r="C2128" s="128">
        <f>C2063+C2126</f>
        <v>270915</v>
      </c>
      <c r="D2128" s="128">
        <f t="shared" ref="D2128:O2128" si="520">D2063+D2126</f>
        <v>160966.26999999999</v>
      </c>
      <c r="E2128" s="128">
        <f t="shared" si="520"/>
        <v>0</v>
      </c>
      <c r="F2128" s="128">
        <f t="shared" si="520"/>
        <v>399250.8200000003</v>
      </c>
      <c r="G2128" s="128">
        <f t="shared" si="520"/>
        <v>-128335.82000000018</v>
      </c>
      <c r="H2128" s="128">
        <f t="shared" si="520"/>
        <v>1898.5099999999998</v>
      </c>
      <c r="I2128" s="128">
        <f t="shared" si="520"/>
        <v>812.27000000000407</v>
      </c>
      <c r="J2128" s="128">
        <f t="shared" si="520"/>
        <v>271727.27</v>
      </c>
      <c r="K2128" s="128">
        <f t="shared" si="520"/>
        <v>315933.54187500011</v>
      </c>
      <c r="L2128" s="128">
        <f t="shared" si="520"/>
        <v>384942.75968624977</v>
      </c>
      <c r="M2128" s="128">
        <f t="shared" si="520"/>
        <v>0</v>
      </c>
      <c r="N2128" s="128">
        <f t="shared" si="520"/>
        <v>0</v>
      </c>
      <c r="O2128" s="128">
        <f t="shared" si="520"/>
        <v>461037.22223076783</v>
      </c>
      <c r="P2128" s="123" t="str">
        <f t="shared" si="517"/>
        <v/>
      </c>
    </row>
    <row r="2129" spans="1:16" x14ac:dyDescent="0.2">
      <c r="A2129" s="119"/>
      <c r="B2129" s="120"/>
      <c r="C2129" s="129"/>
      <c r="D2129" s="129"/>
      <c r="E2129" s="129"/>
      <c r="F2129" s="129"/>
      <c r="G2129" s="129"/>
      <c r="H2129" s="129"/>
      <c r="I2129" s="129">
        <f>'B&amp;T'!J247</f>
        <v>0</v>
      </c>
      <c r="J2129" s="129"/>
      <c r="K2129" s="129"/>
      <c r="L2129" s="129"/>
      <c r="O2129" s="129"/>
      <c r="P2129" s="123" t="str">
        <f t="shared" si="517"/>
        <v/>
      </c>
    </row>
    <row r="2130" spans="1:16" ht="15" x14ac:dyDescent="0.25">
      <c r="A2130" s="119"/>
      <c r="B2130" s="117" t="s">
        <v>308</v>
      </c>
      <c r="C2130" s="129"/>
      <c r="D2130" s="129"/>
      <c r="E2130" s="129"/>
      <c r="F2130" s="129"/>
      <c r="G2130" s="129"/>
      <c r="H2130" s="129"/>
      <c r="I2130" s="129">
        <f>'B&amp;T'!J248</f>
        <v>0</v>
      </c>
      <c r="J2130" s="129"/>
      <c r="K2130" s="129"/>
      <c r="L2130" s="129"/>
      <c r="O2130" s="129"/>
      <c r="P2130" s="123" t="str">
        <f t="shared" si="517"/>
        <v/>
      </c>
    </row>
    <row r="2131" spans="1:16" x14ac:dyDescent="0.2">
      <c r="A2131" s="119"/>
      <c r="B2131" s="120"/>
      <c r="C2131" s="129"/>
      <c r="D2131" s="129"/>
      <c r="E2131" s="129"/>
      <c r="F2131" s="129"/>
      <c r="G2131" s="129"/>
      <c r="H2131" s="129"/>
      <c r="I2131" s="129">
        <f>'B&amp;T'!J249</f>
        <v>0</v>
      </c>
      <c r="J2131" s="129"/>
      <c r="K2131" s="129"/>
      <c r="L2131" s="129"/>
      <c r="O2131" s="129"/>
      <c r="P2131" s="123" t="str">
        <f t="shared" si="517"/>
        <v/>
      </c>
    </row>
    <row r="2132" spans="1:16" x14ac:dyDescent="0.2">
      <c r="A2132" s="119" t="s">
        <v>882</v>
      </c>
      <c r="B2132" s="120" t="s">
        <v>883</v>
      </c>
      <c r="C2132" s="129">
        <v>350000</v>
      </c>
      <c r="D2132" s="129">
        <v>0</v>
      </c>
      <c r="E2132" s="129">
        <v>0</v>
      </c>
      <c r="F2132" s="129">
        <v>0</v>
      </c>
      <c r="G2132" s="129">
        <v>350000</v>
      </c>
      <c r="H2132" s="129">
        <v>0</v>
      </c>
      <c r="I2132" s="129">
        <f>'B&amp;T'!J250</f>
        <v>-350000</v>
      </c>
      <c r="J2132" s="129">
        <f>'B&amp;T'!K250</f>
        <v>0</v>
      </c>
      <c r="K2132" s="129">
        <f>'B&amp;T'!L250</f>
        <v>350000</v>
      </c>
      <c r="L2132" s="129">
        <f>'B&amp;T'!M250</f>
        <v>0</v>
      </c>
      <c r="O2132" s="129">
        <f>'B&amp;T'!N250</f>
        <v>0</v>
      </c>
      <c r="P2132" s="123" t="str">
        <f t="shared" si="517"/>
        <v>151</v>
      </c>
    </row>
    <row r="2133" spans="1:16" x14ac:dyDescent="0.2">
      <c r="A2133" s="119"/>
      <c r="B2133" s="120"/>
      <c r="C2133" s="129"/>
      <c r="D2133" s="129"/>
      <c r="E2133" s="129"/>
      <c r="F2133" s="129"/>
      <c r="G2133" s="129"/>
      <c r="H2133" s="129"/>
      <c r="I2133" s="129">
        <f>'B&amp;T'!J251</f>
        <v>0</v>
      </c>
      <c r="J2133" s="129"/>
      <c r="K2133" s="129"/>
      <c r="L2133" s="129"/>
      <c r="O2133" s="129"/>
      <c r="P2133" s="123" t="str">
        <f t="shared" si="517"/>
        <v/>
      </c>
    </row>
    <row r="2134" spans="1:16" s="114" customFormat="1" ht="15" x14ac:dyDescent="0.25">
      <c r="A2134" s="118"/>
      <c r="B2134" s="117" t="s">
        <v>320</v>
      </c>
      <c r="C2134" s="128">
        <f>SUM(C2132:C2133)</f>
        <v>350000</v>
      </c>
      <c r="D2134" s="128">
        <f t="shared" ref="D2134:O2134" si="521">SUM(D2132:D2133)</f>
        <v>0</v>
      </c>
      <c r="E2134" s="128">
        <f t="shared" si="521"/>
        <v>0</v>
      </c>
      <c r="F2134" s="128">
        <f t="shared" si="521"/>
        <v>0</v>
      </c>
      <c r="G2134" s="128">
        <f t="shared" si="521"/>
        <v>350000</v>
      </c>
      <c r="H2134" s="128">
        <f t="shared" si="521"/>
        <v>0</v>
      </c>
      <c r="I2134" s="128">
        <f t="shared" si="521"/>
        <v>-350000</v>
      </c>
      <c r="J2134" s="128">
        <f t="shared" si="521"/>
        <v>0</v>
      </c>
      <c r="K2134" s="128">
        <f t="shared" si="521"/>
        <v>350000</v>
      </c>
      <c r="L2134" s="128">
        <f t="shared" si="521"/>
        <v>0</v>
      </c>
      <c r="M2134" s="128">
        <f t="shared" si="521"/>
        <v>0</v>
      </c>
      <c r="N2134" s="128">
        <f t="shared" si="521"/>
        <v>0</v>
      </c>
      <c r="O2134" s="128">
        <f t="shared" si="521"/>
        <v>0</v>
      </c>
      <c r="P2134" s="123" t="str">
        <f t="shared" si="517"/>
        <v/>
      </c>
    </row>
    <row r="2135" spans="1:16" x14ac:dyDescent="0.2">
      <c r="A2135" s="119"/>
      <c r="B2135" s="120"/>
      <c r="C2135" s="129"/>
      <c r="D2135" s="129"/>
      <c r="E2135" s="129"/>
      <c r="F2135" s="129"/>
      <c r="G2135" s="129"/>
      <c r="H2135" s="129"/>
      <c r="I2135" s="129">
        <f>'B&amp;T'!J253</f>
        <v>0</v>
      </c>
      <c r="J2135" s="129"/>
      <c r="K2135" s="129"/>
      <c r="L2135" s="129"/>
      <c r="O2135" s="129"/>
      <c r="P2135" s="123" t="str">
        <f t="shared" si="517"/>
        <v/>
      </c>
    </row>
    <row r="2136" spans="1:16" s="114" customFormat="1" ht="15" x14ac:dyDescent="0.25">
      <c r="A2136" s="118"/>
      <c r="B2136" s="117" t="s">
        <v>884</v>
      </c>
      <c r="C2136" s="128"/>
      <c r="D2136" s="128"/>
      <c r="E2136" s="128"/>
      <c r="F2136" s="128"/>
      <c r="G2136" s="128"/>
      <c r="H2136" s="128"/>
      <c r="I2136" s="129">
        <f>'B&amp;T'!J254</f>
        <v>0</v>
      </c>
      <c r="J2136" s="129"/>
      <c r="K2136" s="129"/>
      <c r="L2136" s="129"/>
      <c r="M2136" s="186"/>
      <c r="N2136" s="186"/>
      <c r="O2136" s="128"/>
      <c r="P2136" s="123" t="str">
        <f t="shared" si="517"/>
        <v/>
      </c>
    </row>
    <row r="2137" spans="1:16" s="114" customFormat="1" ht="15" x14ac:dyDescent="0.25">
      <c r="A2137" s="118"/>
      <c r="B2137" s="117" t="s">
        <v>9</v>
      </c>
      <c r="C2137" s="128"/>
      <c r="D2137" s="128"/>
      <c r="E2137" s="128"/>
      <c r="F2137" s="128"/>
      <c r="G2137" s="128"/>
      <c r="H2137" s="128"/>
      <c r="I2137" s="129">
        <f>'B&amp;T'!J255</f>
        <v>0</v>
      </c>
      <c r="J2137" s="129"/>
      <c r="K2137" s="129"/>
      <c r="L2137" s="129"/>
      <c r="M2137" s="186"/>
      <c r="N2137" s="186"/>
      <c r="O2137" s="128"/>
      <c r="P2137" s="123" t="str">
        <f t="shared" si="517"/>
        <v/>
      </c>
    </row>
    <row r="2138" spans="1:16" s="114" customFormat="1" ht="15" x14ac:dyDescent="0.25">
      <c r="A2138" s="118"/>
      <c r="B2138" s="117" t="s">
        <v>56</v>
      </c>
      <c r="C2138" s="128"/>
      <c r="D2138" s="128"/>
      <c r="E2138" s="128"/>
      <c r="F2138" s="128"/>
      <c r="G2138" s="128"/>
      <c r="H2138" s="128"/>
      <c r="I2138" s="129">
        <f>'B&amp;T'!J256</f>
        <v>0</v>
      </c>
      <c r="J2138" s="129"/>
      <c r="K2138" s="129"/>
      <c r="L2138" s="129"/>
      <c r="M2138" s="186"/>
      <c r="N2138" s="186"/>
      <c r="O2138" s="128"/>
      <c r="P2138" s="123" t="str">
        <f t="shared" si="517"/>
        <v/>
      </c>
    </row>
    <row r="2139" spans="1:16" x14ac:dyDescent="0.2">
      <c r="A2139" s="119"/>
      <c r="B2139" s="120"/>
      <c r="C2139" s="129"/>
      <c r="D2139" s="129"/>
      <c r="E2139" s="129"/>
      <c r="F2139" s="129"/>
      <c r="G2139" s="129"/>
      <c r="H2139" s="129"/>
      <c r="I2139" s="129">
        <f>'B&amp;T'!J257</f>
        <v>0</v>
      </c>
      <c r="J2139" s="129"/>
      <c r="K2139" s="129"/>
      <c r="L2139" s="129"/>
      <c r="O2139" s="129"/>
      <c r="P2139" s="123" t="str">
        <f t="shared" si="517"/>
        <v/>
      </c>
    </row>
    <row r="2140" spans="1:16" x14ac:dyDescent="0.2">
      <c r="A2140" s="119" t="s">
        <v>885</v>
      </c>
      <c r="B2140" s="120" t="s">
        <v>58</v>
      </c>
      <c r="C2140" s="129">
        <v>-18666</v>
      </c>
      <c r="D2140" s="129">
        <v>-2474.44</v>
      </c>
      <c r="E2140" s="129">
        <v>0</v>
      </c>
      <c r="F2140" s="129">
        <v>-14202.7</v>
      </c>
      <c r="G2140" s="129">
        <v>-4463.3</v>
      </c>
      <c r="H2140" s="129">
        <v>76.08</v>
      </c>
      <c r="I2140" s="129">
        <f>'B&amp;T'!J258</f>
        <v>0</v>
      </c>
      <c r="J2140" s="129">
        <f>'B&amp;T'!K258</f>
        <v>-28405</v>
      </c>
      <c r="K2140" s="129">
        <f>'B&amp;T'!L258</f>
        <v>-29796.845000000001</v>
      </c>
      <c r="L2140" s="129">
        <f>'B&amp;T'!M258</f>
        <v>-31227.093560000001</v>
      </c>
      <c r="O2140" s="129">
        <f>'B&amp;T'!N258</f>
        <v>-32725.994050880003</v>
      </c>
      <c r="P2140" s="123" t="str">
        <f t="shared" si="517"/>
        <v>341</v>
      </c>
    </row>
    <row r="2141" spans="1:16" x14ac:dyDescent="0.2">
      <c r="A2141" s="119"/>
      <c r="B2141" s="120"/>
      <c r="C2141" s="129"/>
      <c r="D2141" s="129"/>
      <c r="E2141" s="129"/>
      <c r="F2141" s="129"/>
      <c r="G2141" s="129"/>
      <c r="H2141" s="129"/>
      <c r="I2141" s="129">
        <f>'B&amp;T'!J259</f>
        <v>0</v>
      </c>
      <c r="J2141" s="129"/>
      <c r="K2141" s="129"/>
      <c r="L2141" s="129"/>
      <c r="O2141" s="129"/>
      <c r="P2141" s="123" t="str">
        <f t="shared" si="517"/>
        <v/>
      </c>
    </row>
    <row r="2142" spans="1:16" s="114" customFormat="1" ht="15" x14ac:dyDescent="0.25">
      <c r="A2142" s="118"/>
      <c r="B2142" s="117" t="s">
        <v>64</v>
      </c>
      <c r="C2142" s="128">
        <f>SUM(C2140:C2141)</f>
        <v>-18666</v>
      </c>
      <c r="D2142" s="128">
        <f t="shared" ref="D2142:O2142" si="522">SUM(D2140:D2141)</f>
        <v>-2474.44</v>
      </c>
      <c r="E2142" s="128">
        <f t="shared" si="522"/>
        <v>0</v>
      </c>
      <c r="F2142" s="128">
        <f t="shared" si="522"/>
        <v>-14202.7</v>
      </c>
      <c r="G2142" s="128">
        <f t="shared" si="522"/>
        <v>-4463.3</v>
      </c>
      <c r="H2142" s="128">
        <f t="shared" si="522"/>
        <v>76.08</v>
      </c>
      <c r="I2142" s="128">
        <f t="shared" si="522"/>
        <v>0</v>
      </c>
      <c r="J2142" s="128">
        <f t="shared" si="522"/>
        <v>-28405</v>
      </c>
      <c r="K2142" s="128">
        <f t="shared" si="522"/>
        <v>-29796.845000000001</v>
      </c>
      <c r="L2142" s="128">
        <f t="shared" si="522"/>
        <v>-31227.093560000001</v>
      </c>
      <c r="M2142" s="128">
        <f t="shared" si="522"/>
        <v>0</v>
      </c>
      <c r="N2142" s="128">
        <f t="shared" si="522"/>
        <v>0</v>
      </c>
      <c r="O2142" s="128">
        <f t="shared" si="522"/>
        <v>-32725.994050880003</v>
      </c>
      <c r="P2142" s="123" t="str">
        <f t="shared" si="517"/>
        <v/>
      </c>
    </row>
    <row r="2143" spans="1:16" s="114" customFormat="1" ht="15" x14ac:dyDescent="0.25">
      <c r="A2143" s="118"/>
      <c r="B2143" s="117"/>
      <c r="C2143" s="128"/>
      <c r="D2143" s="128"/>
      <c r="E2143" s="128"/>
      <c r="F2143" s="128"/>
      <c r="G2143" s="128"/>
      <c r="H2143" s="128"/>
      <c r="I2143" s="129">
        <f>'B&amp;T'!J261</f>
        <v>0</v>
      </c>
      <c r="J2143" s="129"/>
      <c r="K2143" s="129"/>
      <c r="L2143" s="129"/>
      <c r="M2143" s="186"/>
      <c r="N2143" s="186"/>
      <c r="O2143" s="128"/>
      <c r="P2143" s="123" t="str">
        <f t="shared" si="517"/>
        <v/>
      </c>
    </row>
    <row r="2144" spans="1:16" s="114" customFormat="1" ht="15" x14ac:dyDescent="0.25">
      <c r="A2144" s="118"/>
      <c r="B2144" s="117" t="s">
        <v>70</v>
      </c>
      <c r="C2144" s="128"/>
      <c r="D2144" s="128"/>
      <c r="E2144" s="128"/>
      <c r="F2144" s="128"/>
      <c r="G2144" s="128"/>
      <c r="H2144" s="128"/>
      <c r="I2144" s="129">
        <f>'B&amp;T'!J262</f>
        <v>0</v>
      </c>
      <c r="J2144" s="129"/>
      <c r="K2144" s="129"/>
      <c r="L2144" s="129"/>
      <c r="M2144" s="186"/>
      <c r="N2144" s="186"/>
      <c r="O2144" s="128"/>
      <c r="P2144" s="123" t="str">
        <f t="shared" si="517"/>
        <v/>
      </c>
    </row>
    <row r="2145" spans="1:16" x14ac:dyDescent="0.2">
      <c r="A2145" s="119"/>
      <c r="B2145" s="120"/>
      <c r="C2145" s="129"/>
      <c r="D2145" s="129"/>
      <c r="E2145" s="129"/>
      <c r="F2145" s="129"/>
      <c r="G2145" s="129"/>
      <c r="H2145" s="129"/>
      <c r="I2145" s="129">
        <f>'B&amp;T'!J263</f>
        <v>0</v>
      </c>
      <c r="J2145" s="129"/>
      <c r="K2145" s="129"/>
      <c r="L2145" s="129"/>
      <c r="O2145" s="129"/>
      <c r="P2145" s="123" t="str">
        <f t="shared" si="517"/>
        <v/>
      </c>
    </row>
    <row r="2146" spans="1:16" x14ac:dyDescent="0.2">
      <c r="A2146" s="119" t="s">
        <v>886</v>
      </c>
      <c r="B2146" s="120" t="s">
        <v>74</v>
      </c>
      <c r="C2146" s="129">
        <v>-18426329</v>
      </c>
      <c r="D2146" s="129">
        <v>0</v>
      </c>
      <c r="E2146" s="129">
        <v>0</v>
      </c>
      <c r="F2146" s="129">
        <v>0</v>
      </c>
      <c r="G2146" s="129">
        <v>-18426329</v>
      </c>
      <c r="H2146" s="129">
        <v>0</v>
      </c>
      <c r="I2146" s="129">
        <f>'B&amp;T'!J264</f>
        <v>0</v>
      </c>
      <c r="J2146" s="129">
        <f>'B&amp;T'!K264</f>
        <v>-20255136</v>
      </c>
      <c r="K2146" s="129">
        <f>'B&amp;T'!L264</f>
        <v>-18926671</v>
      </c>
      <c r="L2146" s="129">
        <f>'B&amp;T'!M264</f>
        <v>-23910527</v>
      </c>
      <c r="O2146" s="129">
        <f>'B&amp;T'!N264</f>
        <v>-28167984</v>
      </c>
      <c r="P2146" s="123" t="str">
        <f t="shared" si="517"/>
        <v>382</v>
      </c>
    </row>
    <row r="2147" spans="1:16" x14ac:dyDescent="0.2">
      <c r="A2147" s="119"/>
      <c r="B2147" s="120"/>
      <c r="C2147" s="129"/>
      <c r="D2147" s="129"/>
      <c r="E2147" s="129"/>
      <c r="F2147" s="129"/>
      <c r="G2147" s="129"/>
      <c r="H2147" s="129"/>
      <c r="I2147" s="129">
        <f>'B&amp;T'!J265</f>
        <v>0</v>
      </c>
      <c r="J2147" s="129"/>
      <c r="K2147" s="129"/>
      <c r="L2147" s="129"/>
      <c r="O2147" s="129"/>
      <c r="P2147" s="123" t="str">
        <f t="shared" si="517"/>
        <v/>
      </c>
    </row>
    <row r="2148" spans="1:16" s="114" customFormat="1" ht="15" x14ac:dyDescent="0.25">
      <c r="A2148" s="118"/>
      <c r="B2148" s="117" t="s">
        <v>77</v>
      </c>
      <c r="C2148" s="128">
        <f>SUM(C2146:C2147)</f>
        <v>-18426329</v>
      </c>
      <c r="D2148" s="128">
        <f t="shared" ref="D2148:O2148" si="523">SUM(D2146:D2147)</f>
        <v>0</v>
      </c>
      <c r="E2148" s="128">
        <f t="shared" si="523"/>
        <v>0</v>
      </c>
      <c r="F2148" s="128">
        <f t="shared" si="523"/>
        <v>0</v>
      </c>
      <c r="G2148" s="128">
        <f t="shared" si="523"/>
        <v>-18426329</v>
      </c>
      <c r="H2148" s="128">
        <f t="shared" si="523"/>
        <v>0</v>
      </c>
      <c r="I2148" s="128">
        <f t="shared" si="523"/>
        <v>0</v>
      </c>
      <c r="J2148" s="128">
        <f t="shared" si="523"/>
        <v>-20255136</v>
      </c>
      <c r="K2148" s="128">
        <f t="shared" si="523"/>
        <v>-18926671</v>
      </c>
      <c r="L2148" s="128">
        <f t="shared" si="523"/>
        <v>-23910527</v>
      </c>
      <c r="M2148" s="128">
        <f t="shared" si="523"/>
        <v>0</v>
      </c>
      <c r="N2148" s="128">
        <f t="shared" si="523"/>
        <v>0</v>
      </c>
      <c r="O2148" s="128">
        <f t="shared" si="523"/>
        <v>-28167984</v>
      </c>
      <c r="P2148" s="123" t="str">
        <f t="shared" si="517"/>
        <v/>
      </c>
    </row>
    <row r="2149" spans="1:16" s="114" customFormat="1" ht="15" x14ac:dyDescent="0.25">
      <c r="A2149" s="118"/>
      <c r="B2149" s="117"/>
      <c r="C2149" s="128"/>
      <c r="D2149" s="128"/>
      <c r="E2149" s="128"/>
      <c r="F2149" s="128"/>
      <c r="G2149" s="128"/>
      <c r="H2149" s="128"/>
      <c r="I2149" s="129">
        <f>'B&amp;T'!J267</f>
        <v>0</v>
      </c>
      <c r="J2149" s="129"/>
      <c r="K2149" s="129"/>
      <c r="L2149" s="129"/>
      <c r="M2149" s="186"/>
      <c r="N2149" s="186"/>
      <c r="O2149" s="128"/>
      <c r="P2149" s="123" t="str">
        <f t="shared" si="517"/>
        <v/>
      </c>
    </row>
    <row r="2150" spans="1:16" s="114" customFormat="1" ht="15" x14ac:dyDescent="0.25">
      <c r="A2150" s="118"/>
      <c r="B2150" s="117" t="s">
        <v>81</v>
      </c>
      <c r="C2150" s="128"/>
      <c r="D2150" s="128"/>
      <c r="E2150" s="128"/>
      <c r="F2150" s="128"/>
      <c r="G2150" s="128"/>
      <c r="H2150" s="128"/>
      <c r="I2150" s="129">
        <f>'B&amp;T'!J268</f>
        <v>0</v>
      </c>
      <c r="J2150" s="129"/>
      <c r="K2150" s="129"/>
      <c r="L2150" s="129"/>
      <c r="M2150" s="186"/>
      <c r="N2150" s="186"/>
      <c r="O2150" s="128"/>
      <c r="P2150" s="123" t="str">
        <f t="shared" si="517"/>
        <v/>
      </c>
    </row>
    <row r="2151" spans="1:16" s="114" customFormat="1" ht="15" x14ac:dyDescent="0.25">
      <c r="A2151" s="118"/>
      <c r="B2151" s="117"/>
      <c r="C2151" s="128"/>
      <c r="D2151" s="128"/>
      <c r="E2151" s="128"/>
      <c r="F2151" s="128"/>
      <c r="G2151" s="128"/>
      <c r="H2151" s="128"/>
      <c r="I2151" s="129">
        <f>'B&amp;T'!J269</f>
        <v>0</v>
      </c>
      <c r="J2151" s="129"/>
      <c r="K2151" s="129"/>
      <c r="L2151" s="129"/>
      <c r="M2151" s="186"/>
      <c r="N2151" s="186"/>
      <c r="O2151" s="128"/>
      <c r="P2151" s="123" t="str">
        <f t="shared" si="517"/>
        <v/>
      </c>
    </row>
    <row r="2152" spans="1:16" s="114" customFormat="1" ht="15" x14ac:dyDescent="0.25">
      <c r="A2152" s="118"/>
      <c r="B2152" s="117" t="s">
        <v>94</v>
      </c>
      <c r="C2152" s="128">
        <f>C2142+C2148</f>
        <v>-18444995</v>
      </c>
      <c r="D2152" s="128">
        <f t="shared" ref="D2152:O2152" si="524">D2142+D2148</f>
        <v>-2474.44</v>
      </c>
      <c r="E2152" s="128">
        <f t="shared" si="524"/>
        <v>0</v>
      </c>
      <c r="F2152" s="128">
        <f t="shared" si="524"/>
        <v>-14202.7</v>
      </c>
      <c r="G2152" s="128">
        <f t="shared" si="524"/>
        <v>-18430792.300000001</v>
      </c>
      <c r="H2152" s="128">
        <f t="shared" si="524"/>
        <v>76.08</v>
      </c>
      <c r="I2152" s="128">
        <f t="shared" si="524"/>
        <v>0</v>
      </c>
      <c r="J2152" s="128">
        <f t="shared" si="524"/>
        <v>-20283541</v>
      </c>
      <c r="K2152" s="128">
        <f t="shared" si="524"/>
        <v>-18956467.844999999</v>
      </c>
      <c r="L2152" s="128">
        <f t="shared" si="524"/>
        <v>-23941754.093559999</v>
      </c>
      <c r="M2152" s="128">
        <f t="shared" si="524"/>
        <v>0</v>
      </c>
      <c r="N2152" s="128">
        <f t="shared" si="524"/>
        <v>0</v>
      </c>
      <c r="O2152" s="128">
        <f t="shared" si="524"/>
        <v>-28200709.994050879</v>
      </c>
      <c r="P2152" s="123" t="str">
        <f t="shared" si="517"/>
        <v/>
      </c>
    </row>
    <row r="2153" spans="1:16" s="114" customFormat="1" ht="15" x14ac:dyDescent="0.25">
      <c r="A2153" s="118"/>
      <c r="B2153" s="117"/>
      <c r="C2153" s="128"/>
      <c r="D2153" s="128"/>
      <c r="E2153" s="128"/>
      <c r="F2153" s="128"/>
      <c r="G2153" s="128"/>
      <c r="H2153" s="128"/>
      <c r="I2153" s="129">
        <f>'B&amp;T'!J271</f>
        <v>0</v>
      </c>
      <c r="J2153" s="129"/>
      <c r="K2153" s="129"/>
      <c r="L2153" s="129"/>
      <c r="M2153" s="186"/>
      <c r="N2153" s="186"/>
      <c r="O2153" s="128"/>
      <c r="P2153" s="123" t="str">
        <f t="shared" si="517"/>
        <v/>
      </c>
    </row>
    <row r="2154" spans="1:16" s="114" customFormat="1" ht="15" x14ac:dyDescent="0.25">
      <c r="A2154" s="118"/>
      <c r="B2154" s="117" t="s">
        <v>95</v>
      </c>
      <c r="C2154" s="128">
        <f>C2152</f>
        <v>-18444995</v>
      </c>
      <c r="D2154" s="128">
        <f t="shared" ref="D2154:O2154" si="525">D2152</f>
        <v>-2474.44</v>
      </c>
      <c r="E2154" s="128">
        <f t="shared" si="525"/>
        <v>0</v>
      </c>
      <c r="F2154" s="128">
        <f t="shared" si="525"/>
        <v>-14202.7</v>
      </c>
      <c r="G2154" s="128">
        <f t="shared" si="525"/>
        <v>-18430792.300000001</v>
      </c>
      <c r="H2154" s="128">
        <f t="shared" si="525"/>
        <v>76.08</v>
      </c>
      <c r="I2154" s="128">
        <f t="shared" si="525"/>
        <v>0</v>
      </c>
      <c r="J2154" s="128">
        <f t="shared" si="525"/>
        <v>-20283541</v>
      </c>
      <c r="K2154" s="128">
        <f t="shared" si="525"/>
        <v>-18956467.844999999</v>
      </c>
      <c r="L2154" s="128">
        <f t="shared" si="525"/>
        <v>-23941754.093559999</v>
      </c>
      <c r="M2154" s="128">
        <f t="shared" si="525"/>
        <v>0</v>
      </c>
      <c r="N2154" s="128">
        <f t="shared" si="525"/>
        <v>0</v>
      </c>
      <c r="O2154" s="128">
        <f t="shared" si="525"/>
        <v>-28200709.994050879</v>
      </c>
      <c r="P2154" s="123" t="str">
        <f t="shared" si="517"/>
        <v/>
      </c>
    </row>
    <row r="2155" spans="1:16" s="114" customFormat="1" ht="15" x14ac:dyDescent="0.25">
      <c r="A2155" s="118"/>
      <c r="B2155" s="117"/>
      <c r="C2155" s="128"/>
      <c r="D2155" s="128"/>
      <c r="E2155" s="128"/>
      <c r="F2155" s="128"/>
      <c r="G2155" s="128"/>
      <c r="H2155" s="128"/>
      <c r="I2155" s="129">
        <f>'B&amp;T'!J273</f>
        <v>0</v>
      </c>
      <c r="J2155" s="129"/>
      <c r="K2155" s="129"/>
      <c r="L2155" s="129"/>
      <c r="M2155" s="186"/>
      <c r="N2155" s="186"/>
      <c r="O2155" s="128"/>
      <c r="P2155" s="123" t="str">
        <f t="shared" si="517"/>
        <v/>
      </c>
    </row>
    <row r="2156" spans="1:16" s="114" customFormat="1" ht="15" x14ac:dyDescent="0.25">
      <c r="A2156" s="118"/>
      <c r="B2156" s="117" t="s">
        <v>96</v>
      </c>
      <c r="C2156" s="128"/>
      <c r="D2156" s="128"/>
      <c r="E2156" s="128"/>
      <c r="F2156" s="128"/>
      <c r="G2156" s="128"/>
      <c r="H2156" s="128"/>
      <c r="I2156" s="129">
        <f>'B&amp;T'!J274</f>
        <v>0</v>
      </c>
      <c r="J2156" s="129"/>
      <c r="K2156" s="129"/>
      <c r="L2156" s="129"/>
      <c r="M2156" s="186"/>
      <c r="N2156" s="186"/>
      <c r="O2156" s="128"/>
      <c r="P2156" s="123" t="str">
        <f t="shared" si="517"/>
        <v/>
      </c>
    </row>
    <row r="2157" spans="1:16" s="114" customFormat="1" ht="15" x14ac:dyDescent="0.25">
      <c r="A2157" s="118"/>
      <c r="B2157" s="117" t="s">
        <v>97</v>
      </c>
      <c r="C2157" s="128"/>
      <c r="D2157" s="128"/>
      <c r="E2157" s="128"/>
      <c r="F2157" s="128"/>
      <c r="G2157" s="128"/>
      <c r="H2157" s="128"/>
      <c r="I2157" s="129">
        <f>'B&amp;T'!J275</f>
        <v>0</v>
      </c>
      <c r="J2157" s="129"/>
      <c r="K2157" s="129"/>
      <c r="L2157" s="129"/>
      <c r="M2157" s="186"/>
      <c r="N2157" s="186"/>
      <c r="O2157" s="128"/>
      <c r="P2157" s="123" t="str">
        <f t="shared" si="517"/>
        <v/>
      </c>
    </row>
    <row r="2158" spans="1:16" s="114" customFormat="1" ht="15" x14ac:dyDescent="0.25">
      <c r="A2158" s="118"/>
      <c r="B2158" s="117" t="s">
        <v>148</v>
      </c>
      <c r="C2158" s="128"/>
      <c r="D2158" s="128"/>
      <c r="E2158" s="128"/>
      <c r="F2158" s="128"/>
      <c r="G2158" s="128"/>
      <c r="H2158" s="128"/>
      <c r="I2158" s="129">
        <f>'B&amp;T'!J276</f>
        <v>0</v>
      </c>
      <c r="J2158" s="129"/>
      <c r="K2158" s="129"/>
      <c r="L2158" s="129"/>
      <c r="M2158" s="186"/>
      <c r="N2158" s="186"/>
      <c r="O2158" s="128"/>
      <c r="P2158" s="123" t="str">
        <f t="shared" si="517"/>
        <v/>
      </c>
    </row>
    <row r="2159" spans="1:16" s="114" customFormat="1" ht="15" x14ac:dyDescent="0.25">
      <c r="A2159" s="118"/>
      <c r="B2159" s="117" t="s">
        <v>149</v>
      </c>
      <c r="C2159" s="128"/>
      <c r="D2159" s="128"/>
      <c r="E2159" s="128"/>
      <c r="F2159" s="128"/>
      <c r="G2159" s="128"/>
      <c r="H2159" s="128"/>
      <c r="I2159" s="129">
        <f>'B&amp;T'!J277</f>
        <v>0</v>
      </c>
      <c r="J2159" s="129"/>
      <c r="K2159" s="129"/>
      <c r="L2159" s="129"/>
      <c r="M2159" s="186"/>
      <c r="N2159" s="186"/>
      <c r="O2159" s="128"/>
      <c r="P2159" s="123" t="str">
        <f t="shared" si="517"/>
        <v/>
      </c>
    </row>
    <row r="2160" spans="1:16" x14ac:dyDescent="0.2">
      <c r="A2160" s="119"/>
      <c r="B2160" s="120"/>
      <c r="C2160" s="129"/>
      <c r="D2160" s="129"/>
      <c r="E2160" s="129"/>
      <c r="F2160" s="129"/>
      <c r="G2160" s="129"/>
      <c r="H2160" s="129"/>
      <c r="I2160" s="129">
        <f>'B&amp;T'!J278</f>
        <v>0</v>
      </c>
      <c r="J2160" s="129"/>
      <c r="K2160" s="129"/>
      <c r="L2160" s="129"/>
      <c r="O2160" s="129"/>
      <c r="P2160" s="123" t="str">
        <f t="shared" si="517"/>
        <v/>
      </c>
    </row>
    <row r="2161" spans="1:16" x14ac:dyDescent="0.2">
      <c r="A2161" s="119" t="s">
        <v>887</v>
      </c>
      <c r="B2161" s="120" t="s">
        <v>150</v>
      </c>
      <c r="C2161" s="129">
        <v>2395771</v>
      </c>
      <c r="D2161" s="129">
        <v>202138.29</v>
      </c>
      <c r="E2161" s="129">
        <v>0</v>
      </c>
      <c r="F2161" s="129">
        <v>1198107.6000000001</v>
      </c>
      <c r="G2161" s="129">
        <v>1197663.3999999999</v>
      </c>
      <c r="H2161" s="129">
        <v>50</v>
      </c>
      <c r="I2161" s="129">
        <f>'B&amp;T'!J279</f>
        <v>0</v>
      </c>
      <c r="J2161" s="129">
        <f>'B&amp;T'!K279</f>
        <v>2395771</v>
      </c>
      <c r="K2161" s="129">
        <f>'B&amp;T'!L279</f>
        <v>2545506.6875</v>
      </c>
      <c r="L2161" s="129">
        <f>'B&amp;T'!M279</f>
        <v>2723692.1556250001</v>
      </c>
      <c r="O2161" s="129">
        <f>'B&amp;T'!N279</f>
        <v>2914350.6065187501</v>
      </c>
      <c r="P2161" s="123" t="str">
        <f t="shared" si="517"/>
        <v>110</v>
      </c>
    </row>
    <row r="2162" spans="1:16" x14ac:dyDescent="0.2">
      <c r="A2162" s="119" t="s">
        <v>888</v>
      </c>
      <c r="B2162" s="120" t="s">
        <v>150</v>
      </c>
      <c r="C2162" s="129">
        <v>80600</v>
      </c>
      <c r="D2162" s="129">
        <v>5000</v>
      </c>
      <c r="E2162" s="129">
        <v>0</v>
      </c>
      <c r="F2162" s="129">
        <v>31575</v>
      </c>
      <c r="G2162" s="129">
        <v>49025</v>
      </c>
      <c r="H2162" s="129">
        <v>39.17</v>
      </c>
      <c r="I2162" s="129">
        <f>'B&amp;T'!J280</f>
        <v>0</v>
      </c>
      <c r="J2162" s="129">
        <f>'B&amp;T'!K280</f>
        <v>80600</v>
      </c>
      <c r="K2162" s="129">
        <f>'B&amp;T'!L280</f>
        <v>85637.5</v>
      </c>
      <c r="L2162" s="129">
        <f>'B&amp;T'!M280</f>
        <v>91632.125</v>
      </c>
      <c r="O2162" s="129">
        <f>'B&amp;T'!N280</f>
        <v>98046.373749999999</v>
      </c>
      <c r="P2162" s="123" t="str">
        <f t="shared" si="517"/>
        <v>110</v>
      </c>
    </row>
    <row r="2163" spans="1:16" x14ac:dyDescent="0.2">
      <c r="A2163" s="119" t="s">
        <v>889</v>
      </c>
      <c r="B2163" s="120" t="s">
        <v>151</v>
      </c>
      <c r="C2163" s="129">
        <v>119789</v>
      </c>
      <c r="D2163" s="129">
        <v>119742.54</v>
      </c>
      <c r="E2163" s="129">
        <v>0</v>
      </c>
      <c r="F2163" s="129">
        <v>136403.15</v>
      </c>
      <c r="G2163" s="129">
        <v>-16614.150000000001</v>
      </c>
      <c r="H2163" s="129">
        <v>113.86</v>
      </c>
      <c r="I2163" s="129">
        <f>'B&amp;T'!J281</f>
        <v>-52052.280000000013</v>
      </c>
      <c r="J2163" s="129">
        <f>'B&amp;T'!K281</f>
        <v>67736.719999999987</v>
      </c>
      <c r="K2163" s="129">
        <f>'B&amp;T'!L281</f>
        <v>71970.264999999985</v>
      </c>
      <c r="L2163" s="129">
        <f>'B&amp;T'!M281</f>
        <v>77008.183549999987</v>
      </c>
      <c r="O2163" s="129">
        <f>'B&amp;T'!N281</f>
        <v>82398.756398499987</v>
      </c>
      <c r="P2163" s="123" t="str">
        <f t="shared" si="517"/>
        <v>110</v>
      </c>
    </row>
    <row r="2164" spans="1:16" x14ac:dyDescent="0.2">
      <c r="A2164" s="119" t="s">
        <v>890</v>
      </c>
      <c r="B2164" s="120" t="s">
        <v>152</v>
      </c>
      <c r="C2164" s="129">
        <v>38100</v>
      </c>
      <c r="D2164" s="129">
        <v>3172.75</v>
      </c>
      <c r="E2164" s="129">
        <v>0</v>
      </c>
      <c r="F2164" s="129">
        <v>19036.5</v>
      </c>
      <c r="G2164" s="129">
        <v>19063.5</v>
      </c>
      <c r="H2164" s="129">
        <v>49.96</v>
      </c>
      <c r="I2164" s="129">
        <f>'B&amp;T'!J282</f>
        <v>0</v>
      </c>
      <c r="J2164" s="129">
        <f>'B&amp;T'!K282</f>
        <v>38100</v>
      </c>
      <c r="K2164" s="129">
        <f>'B&amp;T'!L282</f>
        <v>40481.25</v>
      </c>
      <c r="L2164" s="129">
        <f>'B&amp;T'!M282</f>
        <v>43314.9375</v>
      </c>
      <c r="O2164" s="129">
        <f>'B&amp;T'!N282</f>
        <v>46346.983124999999</v>
      </c>
      <c r="P2164" s="123" t="str">
        <f t="shared" si="517"/>
        <v>110</v>
      </c>
    </row>
    <row r="2165" spans="1:16" x14ac:dyDescent="0.2">
      <c r="A2165" s="119" t="s">
        <v>891</v>
      </c>
      <c r="B2165" s="120" t="s">
        <v>153</v>
      </c>
      <c r="C2165" s="129">
        <v>10893</v>
      </c>
      <c r="D2165" s="129">
        <v>907.77</v>
      </c>
      <c r="E2165" s="129">
        <v>0</v>
      </c>
      <c r="F2165" s="129">
        <v>5446.62</v>
      </c>
      <c r="G2165" s="129">
        <v>5446.38</v>
      </c>
      <c r="H2165" s="129">
        <v>50</v>
      </c>
      <c r="I2165" s="129">
        <f>'B&amp;T'!J283</f>
        <v>0</v>
      </c>
      <c r="J2165" s="129">
        <f>'B&amp;T'!K283</f>
        <v>10893</v>
      </c>
      <c r="K2165" s="129">
        <f>'B&amp;T'!L283</f>
        <v>11573.8125</v>
      </c>
      <c r="L2165" s="129">
        <f>'B&amp;T'!M283</f>
        <v>12383.979375000001</v>
      </c>
      <c r="O2165" s="129">
        <f>'B&amp;T'!N283</f>
        <v>13250.857931250001</v>
      </c>
      <c r="P2165" s="123" t="str">
        <f t="shared" si="517"/>
        <v>110</v>
      </c>
    </row>
    <row r="2166" spans="1:16" x14ac:dyDescent="0.2">
      <c r="A2166" s="119" t="s">
        <v>892</v>
      </c>
      <c r="B2166" s="120" t="s">
        <v>155</v>
      </c>
      <c r="C2166" s="129">
        <v>83636</v>
      </c>
      <c r="D2166" s="129">
        <v>0</v>
      </c>
      <c r="E2166" s="129">
        <v>0</v>
      </c>
      <c r="F2166" s="129">
        <v>0</v>
      </c>
      <c r="G2166" s="129">
        <v>83636</v>
      </c>
      <c r="H2166" s="129">
        <v>0</v>
      </c>
      <c r="I2166" s="129">
        <f>'B&amp;T'!J284</f>
        <v>0</v>
      </c>
      <c r="J2166" s="129">
        <f>'B&amp;T'!K284</f>
        <v>83636</v>
      </c>
      <c r="K2166" s="129">
        <f>'B&amp;T'!L284</f>
        <v>88863.25</v>
      </c>
      <c r="L2166" s="129">
        <f>'B&amp;T'!M284</f>
        <v>95083.677500000005</v>
      </c>
      <c r="O2166" s="129">
        <f>'B&amp;T'!N284</f>
        <v>101739.534925</v>
      </c>
      <c r="P2166" s="123" t="str">
        <f t="shared" si="517"/>
        <v>110</v>
      </c>
    </row>
    <row r="2167" spans="1:16" x14ac:dyDescent="0.2">
      <c r="A2167" s="119" t="s">
        <v>893</v>
      </c>
      <c r="B2167" s="120" t="s">
        <v>156</v>
      </c>
      <c r="C2167" s="129">
        <v>277507</v>
      </c>
      <c r="D2167" s="129">
        <v>23017.51</v>
      </c>
      <c r="E2167" s="129">
        <v>0</v>
      </c>
      <c r="F2167" s="129">
        <v>138105.06</v>
      </c>
      <c r="G2167" s="129">
        <v>139401.94</v>
      </c>
      <c r="H2167" s="129">
        <v>49.76</v>
      </c>
      <c r="I2167" s="129">
        <f>'B&amp;T'!J285</f>
        <v>0</v>
      </c>
      <c r="J2167" s="129">
        <f>'B&amp;T'!K285</f>
        <v>277507</v>
      </c>
      <c r="K2167" s="129">
        <f>'B&amp;T'!L285</f>
        <v>294851.1875</v>
      </c>
      <c r="L2167" s="129">
        <f>'B&amp;T'!M285</f>
        <v>315490.770625</v>
      </c>
      <c r="O2167" s="129">
        <f>'B&amp;T'!N285</f>
        <v>337575.12456875003</v>
      </c>
      <c r="P2167" s="123" t="str">
        <f t="shared" si="517"/>
        <v>110</v>
      </c>
    </row>
    <row r="2168" spans="1:16" x14ac:dyDescent="0.2">
      <c r="A2168" s="119" t="s">
        <v>894</v>
      </c>
      <c r="B2168" s="120" t="s">
        <v>157</v>
      </c>
      <c r="C2168" s="129">
        <v>59936</v>
      </c>
      <c r="D2168" s="129">
        <v>5495.53</v>
      </c>
      <c r="E2168" s="129">
        <v>0</v>
      </c>
      <c r="F2168" s="129">
        <v>19942.95</v>
      </c>
      <c r="G2168" s="129">
        <v>39993.050000000003</v>
      </c>
      <c r="H2168" s="129">
        <v>33.270000000000003</v>
      </c>
      <c r="I2168" s="129">
        <f>'B&amp;T'!J286</f>
        <v>0</v>
      </c>
      <c r="J2168" s="129">
        <f>'B&amp;T'!K286</f>
        <v>59936</v>
      </c>
      <c r="K2168" s="129">
        <f>'B&amp;T'!L286</f>
        <v>63682</v>
      </c>
      <c r="L2168" s="129">
        <f>'B&amp;T'!M286</f>
        <v>68139.740000000005</v>
      </c>
      <c r="O2168" s="129">
        <f>'B&amp;T'!N286</f>
        <v>72909.521800000002</v>
      </c>
      <c r="P2168" s="123" t="str">
        <f t="shared" si="517"/>
        <v>110</v>
      </c>
    </row>
    <row r="2169" spans="1:16" x14ac:dyDescent="0.2">
      <c r="A2169" s="119" t="s">
        <v>895</v>
      </c>
      <c r="B2169" s="120" t="s">
        <v>158</v>
      </c>
      <c r="C2169" s="129">
        <v>12540</v>
      </c>
      <c r="D2169" s="129">
        <v>0</v>
      </c>
      <c r="E2169" s="129">
        <v>0</v>
      </c>
      <c r="F2169" s="129">
        <v>0</v>
      </c>
      <c r="G2169" s="129">
        <v>12540</v>
      </c>
      <c r="H2169" s="129">
        <v>0</v>
      </c>
      <c r="I2169" s="129">
        <f>'B&amp;T'!J287</f>
        <v>0</v>
      </c>
      <c r="J2169" s="129">
        <f>'B&amp;T'!K287</f>
        <v>12540</v>
      </c>
      <c r="K2169" s="129">
        <f>'B&amp;T'!L287</f>
        <v>13323.75</v>
      </c>
      <c r="L2169" s="129">
        <f>'B&amp;T'!M287</f>
        <v>14256.4125</v>
      </c>
      <c r="O2169" s="129">
        <f>'B&amp;T'!N287</f>
        <v>15254.361375</v>
      </c>
      <c r="P2169" s="123" t="str">
        <f t="shared" si="517"/>
        <v>110</v>
      </c>
    </row>
    <row r="2170" spans="1:16" x14ac:dyDescent="0.2">
      <c r="A2170" s="119" t="s">
        <v>896</v>
      </c>
      <c r="B2170" s="120" t="s">
        <v>159</v>
      </c>
      <c r="C2170" s="129">
        <v>199648</v>
      </c>
      <c r="D2170" s="129">
        <v>0</v>
      </c>
      <c r="E2170" s="129">
        <v>0</v>
      </c>
      <c r="F2170" s="129">
        <v>0</v>
      </c>
      <c r="G2170" s="129">
        <v>199648</v>
      </c>
      <c r="H2170" s="129">
        <v>0</v>
      </c>
      <c r="I2170" s="129">
        <f>'B&amp;T'!J288</f>
        <v>0</v>
      </c>
      <c r="J2170" s="129">
        <f>'B&amp;T'!K288</f>
        <v>199648</v>
      </c>
      <c r="K2170" s="129">
        <f>'B&amp;T'!L288</f>
        <v>212126</v>
      </c>
      <c r="L2170" s="129">
        <f>'B&amp;T'!M288</f>
        <v>226974.82</v>
      </c>
      <c r="O2170" s="129">
        <f>'B&amp;T'!N288</f>
        <v>242863.05740000002</v>
      </c>
      <c r="P2170" s="123" t="str">
        <f t="shared" si="517"/>
        <v>110</v>
      </c>
    </row>
    <row r="2171" spans="1:16" x14ac:dyDescent="0.2">
      <c r="A2171" s="119" t="s">
        <v>897</v>
      </c>
      <c r="B2171" s="120" t="s">
        <v>161</v>
      </c>
      <c r="C2171" s="129">
        <v>21018</v>
      </c>
      <c r="D2171" s="129">
        <v>0</v>
      </c>
      <c r="E2171" s="129">
        <v>0</v>
      </c>
      <c r="F2171" s="129">
        <v>16247.92</v>
      </c>
      <c r="G2171" s="129">
        <v>4770.08</v>
      </c>
      <c r="H2171" s="129">
        <v>77.3</v>
      </c>
      <c r="I2171" s="129">
        <f>'B&amp;T'!J289</f>
        <v>0</v>
      </c>
      <c r="J2171" s="129">
        <f>'B&amp;T'!K289</f>
        <v>21018</v>
      </c>
      <c r="K2171" s="129">
        <f>'B&amp;T'!L289</f>
        <v>22331.625</v>
      </c>
      <c r="L2171" s="129">
        <f>'B&amp;T'!M289</f>
        <v>23894.838749999999</v>
      </c>
      <c r="O2171" s="129">
        <f>'B&amp;T'!N289</f>
        <v>25567.477462499999</v>
      </c>
      <c r="P2171" s="123" t="str">
        <f t="shared" si="517"/>
        <v>110</v>
      </c>
    </row>
    <row r="2172" spans="1:16" x14ac:dyDescent="0.2">
      <c r="A2172" s="119" t="s">
        <v>898</v>
      </c>
      <c r="B2172" s="120" t="s">
        <v>164</v>
      </c>
      <c r="C2172" s="129">
        <v>15692</v>
      </c>
      <c r="D2172" s="129">
        <v>1307.7</v>
      </c>
      <c r="E2172" s="129">
        <v>0</v>
      </c>
      <c r="F2172" s="129">
        <v>7846.2</v>
      </c>
      <c r="G2172" s="129">
        <v>7845.8</v>
      </c>
      <c r="H2172" s="129">
        <v>50</v>
      </c>
      <c r="I2172" s="129">
        <f>'B&amp;T'!J290</f>
        <v>0</v>
      </c>
      <c r="J2172" s="129">
        <f>'B&amp;T'!K290</f>
        <v>15692</v>
      </c>
      <c r="K2172" s="129">
        <f>'B&amp;T'!L290</f>
        <v>16672.75</v>
      </c>
      <c r="L2172" s="129">
        <f>'B&amp;T'!M290</f>
        <v>17839.842499999999</v>
      </c>
      <c r="O2172" s="129">
        <f>'B&amp;T'!N290</f>
        <v>19088.631474999998</v>
      </c>
      <c r="P2172" s="123" t="str">
        <f t="shared" si="517"/>
        <v>110</v>
      </c>
    </row>
    <row r="2173" spans="1:16" x14ac:dyDescent="0.2">
      <c r="A2173" s="119"/>
      <c r="B2173" s="120"/>
      <c r="C2173" s="129"/>
      <c r="D2173" s="129"/>
      <c r="E2173" s="129"/>
      <c r="F2173" s="129"/>
      <c r="G2173" s="129"/>
      <c r="H2173" s="129"/>
      <c r="I2173" s="129">
        <f>'B&amp;T'!J291</f>
        <v>0</v>
      </c>
      <c r="J2173" s="129"/>
      <c r="K2173" s="129"/>
      <c r="L2173" s="129"/>
      <c r="O2173" s="129"/>
      <c r="P2173" s="123" t="str">
        <f t="shared" si="517"/>
        <v/>
      </c>
    </row>
    <row r="2174" spans="1:16" s="114" customFormat="1" ht="15" x14ac:dyDescent="0.25">
      <c r="A2174" s="118"/>
      <c r="B2174" s="117" t="s">
        <v>165</v>
      </c>
      <c r="C2174" s="128">
        <f>SUM(C2161:C2173)</f>
        <v>3315130</v>
      </c>
      <c r="D2174" s="128">
        <f t="shared" ref="D2174:O2174" si="526">SUM(D2161:D2173)</f>
        <v>360782.09000000008</v>
      </c>
      <c r="E2174" s="128">
        <f t="shared" si="526"/>
        <v>0</v>
      </c>
      <c r="F2174" s="128">
        <f t="shared" si="526"/>
        <v>1572711</v>
      </c>
      <c r="G2174" s="128">
        <f t="shared" si="526"/>
        <v>1742419</v>
      </c>
      <c r="H2174" s="128">
        <f t="shared" si="526"/>
        <v>513.31999999999994</v>
      </c>
      <c r="I2174" s="128">
        <f t="shared" si="526"/>
        <v>-52052.280000000013</v>
      </c>
      <c r="J2174" s="128">
        <f t="shared" si="526"/>
        <v>3263077.72</v>
      </c>
      <c r="K2174" s="128">
        <f t="shared" si="526"/>
        <v>3467020.0775000001</v>
      </c>
      <c r="L2174" s="128">
        <f t="shared" si="526"/>
        <v>3709711.4829250006</v>
      </c>
      <c r="M2174" s="128">
        <f t="shared" si="526"/>
        <v>0</v>
      </c>
      <c r="N2174" s="128">
        <f t="shared" si="526"/>
        <v>0</v>
      </c>
      <c r="O2174" s="128">
        <f t="shared" si="526"/>
        <v>3969391.2867297493</v>
      </c>
      <c r="P2174" s="123" t="str">
        <f t="shared" si="517"/>
        <v/>
      </c>
    </row>
    <row r="2175" spans="1:16" s="114" customFormat="1" ht="15" x14ac:dyDescent="0.25">
      <c r="A2175" s="118"/>
      <c r="B2175" s="117"/>
      <c r="C2175" s="128"/>
      <c r="D2175" s="128"/>
      <c r="E2175" s="128"/>
      <c r="F2175" s="128"/>
      <c r="G2175" s="128"/>
      <c r="H2175" s="128"/>
      <c r="I2175" s="129">
        <f>'B&amp;T'!J293</f>
        <v>0</v>
      </c>
      <c r="J2175" s="129"/>
      <c r="K2175" s="129"/>
      <c r="L2175" s="129"/>
      <c r="M2175" s="186"/>
      <c r="N2175" s="186"/>
      <c r="O2175" s="128"/>
      <c r="P2175" s="123" t="str">
        <f t="shared" si="517"/>
        <v/>
      </c>
    </row>
    <row r="2176" spans="1:16" s="114" customFormat="1" ht="15" x14ac:dyDescent="0.25">
      <c r="A2176" s="118"/>
      <c r="B2176" s="117" t="s">
        <v>166</v>
      </c>
      <c r="C2176" s="128"/>
      <c r="D2176" s="128"/>
      <c r="E2176" s="128"/>
      <c r="F2176" s="128"/>
      <c r="G2176" s="128"/>
      <c r="H2176" s="128"/>
      <c r="I2176" s="129">
        <f>'B&amp;T'!J294</f>
        <v>0</v>
      </c>
      <c r="J2176" s="129"/>
      <c r="K2176" s="129"/>
      <c r="L2176" s="129"/>
      <c r="M2176" s="186"/>
      <c r="N2176" s="186"/>
      <c r="O2176" s="128"/>
      <c r="P2176" s="123" t="str">
        <f t="shared" si="517"/>
        <v/>
      </c>
    </row>
    <row r="2177" spans="1:16" x14ac:dyDescent="0.2">
      <c r="A2177" s="119"/>
      <c r="B2177" s="120"/>
      <c r="C2177" s="129"/>
      <c r="D2177" s="129"/>
      <c r="E2177" s="129"/>
      <c r="F2177" s="129"/>
      <c r="G2177" s="129"/>
      <c r="H2177" s="129"/>
      <c r="I2177" s="129">
        <f>'B&amp;T'!J295</f>
        <v>0</v>
      </c>
      <c r="J2177" s="129"/>
      <c r="K2177" s="129"/>
      <c r="L2177" s="129"/>
      <c r="O2177" s="129"/>
      <c r="P2177" s="123" t="str">
        <f t="shared" si="517"/>
        <v/>
      </c>
    </row>
    <row r="2178" spans="1:16" x14ac:dyDescent="0.2">
      <c r="A2178" s="119" t="s">
        <v>899</v>
      </c>
      <c r="B2178" s="120" t="s">
        <v>167</v>
      </c>
      <c r="C2178" s="129">
        <v>1011</v>
      </c>
      <c r="D2178" s="129">
        <v>74.56</v>
      </c>
      <c r="E2178" s="129">
        <v>0</v>
      </c>
      <c r="F2178" s="129">
        <v>447.36</v>
      </c>
      <c r="G2178" s="129">
        <v>563.64</v>
      </c>
      <c r="H2178" s="129">
        <v>44.24</v>
      </c>
      <c r="I2178" s="129">
        <f>'B&amp;T'!J296</f>
        <v>0</v>
      </c>
      <c r="J2178" s="129">
        <f>'B&amp;T'!K296</f>
        <v>1011</v>
      </c>
      <c r="K2178" s="129">
        <f>'B&amp;T'!L296</f>
        <v>1074.1875</v>
      </c>
      <c r="L2178" s="129">
        <f>'B&amp;T'!M296</f>
        <v>1149.380625</v>
      </c>
      <c r="O2178" s="129">
        <f>'B&amp;T'!N296</f>
        <v>1229.83726875</v>
      </c>
      <c r="P2178" s="123" t="str">
        <f t="shared" si="517"/>
        <v>130</v>
      </c>
    </row>
    <row r="2179" spans="1:16" x14ac:dyDescent="0.2">
      <c r="A2179" s="119" t="s">
        <v>900</v>
      </c>
      <c r="B2179" s="120" t="s">
        <v>168</v>
      </c>
      <c r="C2179" s="129">
        <v>431265</v>
      </c>
      <c r="D2179" s="129">
        <v>17901.599999999999</v>
      </c>
      <c r="E2179" s="129">
        <v>0</v>
      </c>
      <c r="F2179" s="129">
        <v>107409.60000000001</v>
      </c>
      <c r="G2179" s="129">
        <v>323855.40000000002</v>
      </c>
      <c r="H2179" s="129">
        <v>24.9</v>
      </c>
      <c r="I2179" s="129">
        <f>'B&amp;T'!J297</f>
        <v>-200000</v>
      </c>
      <c r="J2179" s="129">
        <f>'B&amp;T'!K297</f>
        <v>231265</v>
      </c>
      <c r="K2179" s="129">
        <f>'B&amp;T'!L297</f>
        <v>245719.0625</v>
      </c>
      <c r="L2179" s="129">
        <f>'B&amp;T'!M297</f>
        <v>262919.39687499998</v>
      </c>
      <c r="O2179" s="129">
        <f>'B&amp;T'!N297</f>
        <v>281323.75465624995</v>
      </c>
      <c r="P2179" s="123" t="str">
        <f t="shared" si="517"/>
        <v>130</v>
      </c>
    </row>
    <row r="2180" spans="1:16" x14ac:dyDescent="0.2">
      <c r="A2180" s="119" t="s">
        <v>901</v>
      </c>
      <c r="B2180" s="120" t="s">
        <v>169</v>
      </c>
      <c r="C2180" s="129">
        <v>527070</v>
      </c>
      <c r="D2180" s="129">
        <v>42390.19</v>
      </c>
      <c r="E2180" s="129">
        <v>0</v>
      </c>
      <c r="F2180" s="129">
        <v>251102.26</v>
      </c>
      <c r="G2180" s="129">
        <v>275967.74</v>
      </c>
      <c r="H2180" s="129">
        <v>47.64</v>
      </c>
      <c r="I2180" s="129">
        <f>'B&amp;T'!J298</f>
        <v>0</v>
      </c>
      <c r="J2180" s="129">
        <f>'B&amp;T'!K298</f>
        <v>527070</v>
      </c>
      <c r="K2180" s="129">
        <f>'B&amp;T'!L298</f>
        <v>560011.875</v>
      </c>
      <c r="L2180" s="129">
        <f>'B&amp;T'!M298</f>
        <v>599212.70625000005</v>
      </c>
      <c r="O2180" s="129">
        <f>'B&amp;T'!N298</f>
        <v>641157.59568750008</v>
      </c>
      <c r="P2180" s="123" t="str">
        <f t="shared" si="517"/>
        <v>130</v>
      </c>
    </row>
    <row r="2181" spans="1:16" x14ac:dyDescent="0.2">
      <c r="A2181" s="119" t="s">
        <v>902</v>
      </c>
      <c r="B2181" s="120" t="s">
        <v>170</v>
      </c>
      <c r="C2181" s="129">
        <v>14280</v>
      </c>
      <c r="D2181" s="129">
        <v>1189.76</v>
      </c>
      <c r="E2181" s="129">
        <v>0</v>
      </c>
      <c r="F2181" s="129">
        <v>7138.56</v>
      </c>
      <c r="G2181" s="129">
        <v>7141.44</v>
      </c>
      <c r="H2181" s="129">
        <v>49.98</v>
      </c>
      <c r="I2181" s="129">
        <f>'B&amp;T'!J299</f>
        <v>0</v>
      </c>
      <c r="J2181" s="129">
        <f>'B&amp;T'!K299</f>
        <v>14280</v>
      </c>
      <c r="K2181" s="129">
        <f>'B&amp;T'!L299</f>
        <v>15172.5</v>
      </c>
      <c r="L2181" s="129">
        <f>'B&amp;T'!M299</f>
        <v>16234.575000000001</v>
      </c>
      <c r="O2181" s="129">
        <f>'B&amp;T'!N299</f>
        <v>17370.99525</v>
      </c>
      <c r="P2181" s="123" t="str">
        <f t="shared" si="517"/>
        <v>130</v>
      </c>
    </row>
    <row r="2182" spans="1:16" x14ac:dyDescent="0.2">
      <c r="A2182" s="119" t="s">
        <v>903</v>
      </c>
      <c r="B2182" s="120" t="s">
        <v>170</v>
      </c>
      <c r="C2182" s="129">
        <v>0</v>
      </c>
      <c r="D2182" s="129">
        <v>50</v>
      </c>
      <c r="E2182" s="129">
        <v>0</v>
      </c>
      <c r="F2182" s="129">
        <v>315.75</v>
      </c>
      <c r="G2182" s="129">
        <v>-315.75</v>
      </c>
      <c r="H2182" s="129">
        <v>0</v>
      </c>
      <c r="I2182" s="129">
        <f>'B&amp;T'!J300</f>
        <v>0</v>
      </c>
      <c r="J2182" s="129">
        <f>'B&amp;T'!K300</f>
        <v>0</v>
      </c>
      <c r="K2182" s="129">
        <f>'B&amp;T'!L300</f>
        <v>0</v>
      </c>
      <c r="L2182" s="129">
        <f>'B&amp;T'!M300</f>
        <v>0</v>
      </c>
      <c r="O2182" s="129">
        <f>'B&amp;T'!N300</f>
        <v>0</v>
      </c>
      <c r="P2182" s="123" t="str">
        <f t="shared" si="517"/>
        <v>130</v>
      </c>
    </row>
    <row r="2183" spans="1:16" x14ac:dyDescent="0.2">
      <c r="A2183" s="119"/>
      <c r="B2183" s="120"/>
      <c r="C2183" s="129"/>
      <c r="D2183" s="129"/>
      <c r="E2183" s="129"/>
      <c r="F2183" s="129"/>
      <c r="G2183" s="129"/>
      <c r="H2183" s="129"/>
      <c r="I2183" s="129">
        <f>'B&amp;T'!J301</f>
        <v>0</v>
      </c>
      <c r="J2183" s="129"/>
      <c r="K2183" s="129"/>
      <c r="L2183" s="129"/>
      <c r="O2183" s="129"/>
      <c r="P2183" s="123" t="str">
        <f t="shared" ref="P2183:P2246" si="527">MID(A2183,6,3)</f>
        <v/>
      </c>
    </row>
    <row r="2184" spans="1:16" s="114" customFormat="1" ht="15" x14ac:dyDescent="0.25">
      <c r="A2184" s="118"/>
      <c r="B2184" s="117" t="s">
        <v>171</v>
      </c>
      <c r="C2184" s="128">
        <f>SUM(C2178:C2183)</f>
        <v>973626</v>
      </c>
      <c r="D2184" s="128">
        <f t="shared" ref="D2184:O2184" si="528">SUM(D2178:D2183)</f>
        <v>61606.110000000008</v>
      </c>
      <c r="E2184" s="128">
        <f t="shared" si="528"/>
        <v>0</v>
      </c>
      <c r="F2184" s="128">
        <f t="shared" si="528"/>
        <v>366413.53</v>
      </c>
      <c r="G2184" s="128">
        <f t="shared" si="528"/>
        <v>607212.47</v>
      </c>
      <c r="H2184" s="128">
        <f t="shared" si="528"/>
        <v>166.76</v>
      </c>
      <c r="I2184" s="128">
        <f t="shared" si="528"/>
        <v>-200000</v>
      </c>
      <c r="J2184" s="128">
        <f t="shared" si="528"/>
        <v>773626</v>
      </c>
      <c r="K2184" s="128">
        <f t="shared" si="528"/>
        <v>821977.625</v>
      </c>
      <c r="L2184" s="128">
        <f t="shared" si="528"/>
        <v>879516.05874999997</v>
      </c>
      <c r="M2184" s="128">
        <f t="shared" si="528"/>
        <v>0</v>
      </c>
      <c r="N2184" s="128">
        <f t="shared" si="528"/>
        <v>0</v>
      </c>
      <c r="O2184" s="128">
        <f t="shared" si="528"/>
        <v>941082.18286250008</v>
      </c>
      <c r="P2184" s="123" t="str">
        <f t="shared" si="527"/>
        <v/>
      </c>
    </row>
    <row r="2185" spans="1:16" s="114" customFormat="1" ht="15" x14ac:dyDescent="0.25">
      <c r="A2185" s="118"/>
      <c r="B2185" s="117"/>
      <c r="C2185" s="128"/>
      <c r="D2185" s="128"/>
      <c r="E2185" s="128"/>
      <c r="F2185" s="128"/>
      <c r="G2185" s="128"/>
      <c r="H2185" s="128"/>
      <c r="I2185" s="129">
        <f>'B&amp;T'!J303</f>
        <v>0</v>
      </c>
      <c r="J2185" s="129"/>
      <c r="K2185" s="129"/>
      <c r="L2185" s="129"/>
      <c r="M2185" s="186"/>
      <c r="N2185" s="186"/>
      <c r="O2185" s="128"/>
      <c r="P2185" s="123" t="str">
        <f t="shared" si="527"/>
        <v/>
      </c>
    </row>
    <row r="2186" spans="1:16" s="114" customFormat="1" ht="15" x14ac:dyDescent="0.25">
      <c r="A2186" s="118"/>
      <c r="B2186" s="117" t="s">
        <v>172</v>
      </c>
      <c r="C2186" s="128"/>
      <c r="D2186" s="128"/>
      <c r="E2186" s="128"/>
      <c r="F2186" s="128"/>
      <c r="G2186" s="128"/>
      <c r="H2186" s="128"/>
      <c r="I2186" s="129">
        <f>'B&amp;T'!J304</f>
        <v>0</v>
      </c>
      <c r="J2186" s="129"/>
      <c r="K2186" s="129"/>
      <c r="L2186" s="129"/>
      <c r="M2186" s="186"/>
      <c r="N2186" s="186"/>
      <c r="O2186" s="128"/>
      <c r="P2186" s="123" t="str">
        <f t="shared" si="527"/>
        <v/>
      </c>
    </row>
    <row r="2187" spans="1:16" x14ac:dyDescent="0.2">
      <c r="A2187" s="119"/>
      <c r="B2187" s="120"/>
      <c r="C2187" s="129"/>
      <c r="D2187" s="129"/>
      <c r="E2187" s="129"/>
      <c r="F2187" s="129"/>
      <c r="G2187" s="129"/>
      <c r="H2187" s="129"/>
      <c r="I2187" s="129">
        <f>'B&amp;T'!J305</f>
        <v>0</v>
      </c>
      <c r="J2187" s="129"/>
      <c r="K2187" s="129"/>
      <c r="L2187" s="129"/>
      <c r="O2187" s="129"/>
      <c r="P2187" s="123" t="str">
        <f t="shared" si="527"/>
        <v/>
      </c>
    </row>
    <row r="2188" spans="1:16" x14ac:dyDescent="0.2">
      <c r="A2188" s="119" t="s">
        <v>904</v>
      </c>
      <c r="B2188" s="120" t="s">
        <v>173</v>
      </c>
      <c r="C2188" s="129">
        <v>41616</v>
      </c>
      <c r="D2188" s="129">
        <v>0</v>
      </c>
      <c r="E2188" s="129">
        <v>0</v>
      </c>
      <c r="F2188" s="129">
        <v>0</v>
      </c>
      <c r="G2188" s="129">
        <v>41616</v>
      </c>
      <c r="H2188" s="129">
        <v>0</v>
      </c>
      <c r="I2188" s="129">
        <f>'B&amp;T'!J306</f>
        <v>0</v>
      </c>
      <c r="J2188" s="129">
        <f>'B&amp;T'!K306</f>
        <v>41616</v>
      </c>
      <c r="K2188" s="129">
        <f>'B&amp;T'!L306</f>
        <v>44217</v>
      </c>
      <c r="L2188" s="129">
        <f>'B&amp;T'!M306</f>
        <v>47312.19</v>
      </c>
      <c r="O2188" s="129">
        <f>'B&amp;T'!N306</f>
        <v>50624.043300000005</v>
      </c>
      <c r="P2188" s="123" t="str">
        <f t="shared" si="527"/>
        <v>140</v>
      </c>
    </row>
    <row r="2189" spans="1:16" x14ac:dyDescent="0.2">
      <c r="A2189" s="119" t="s">
        <v>905</v>
      </c>
      <c r="B2189" s="120" t="s">
        <v>174</v>
      </c>
      <c r="C2189" s="129">
        <v>54019</v>
      </c>
      <c r="D2189" s="129">
        <v>0</v>
      </c>
      <c r="E2189" s="129">
        <v>0</v>
      </c>
      <c r="F2189" s="129">
        <v>0</v>
      </c>
      <c r="G2189" s="129">
        <v>54019</v>
      </c>
      <c r="H2189" s="129">
        <v>0</v>
      </c>
      <c r="I2189" s="129">
        <f>'B&amp;T'!J307</f>
        <v>0</v>
      </c>
      <c r="J2189" s="129">
        <f>'B&amp;T'!K307</f>
        <v>54019</v>
      </c>
      <c r="K2189" s="129">
        <f>'B&amp;T'!L307</f>
        <v>57395.1875</v>
      </c>
      <c r="L2189" s="129">
        <f>'B&amp;T'!M307</f>
        <v>61412.850624999999</v>
      </c>
      <c r="O2189" s="129">
        <f>'B&amp;T'!N307</f>
        <v>65711.750168750004</v>
      </c>
      <c r="P2189" s="123" t="str">
        <f t="shared" si="527"/>
        <v>140</v>
      </c>
    </row>
    <row r="2190" spans="1:16" x14ac:dyDescent="0.2">
      <c r="A2190" s="119" t="s">
        <v>906</v>
      </c>
      <c r="B2190" s="120" t="s">
        <v>175</v>
      </c>
      <c r="C2190" s="129">
        <v>39314</v>
      </c>
      <c r="D2190" s="129">
        <v>0</v>
      </c>
      <c r="E2190" s="129">
        <v>0</v>
      </c>
      <c r="F2190" s="129">
        <v>0</v>
      </c>
      <c r="G2190" s="129">
        <v>39314</v>
      </c>
      <c r="H2190" s="129">
        <v>0</v>
      </c>
      <c r="I2190" s="129">
        <f>'B&amp;T'!J308</f>
        <v>0</v>
      </c>
      <c r="J2190" s="129">
        <f>'B&amp;T'!K308</f>
        <v>39314</v>
      </c>
      <c r="K2190" s="129">
        <f>'B&amp;T'!L308</f>
        <v>41771.125</v>
      </c>
      <c r="L2190" s="129">
        <f>'B&amp;T'!M308</f>
        <v>44695.103750000002</v>
      </c>
      <c r="O2190" s="129">
        <f>'B&amp;T'!N308</f>
        <v>47823.761012499999</v>
      </c>
      <c r="P2190" s="123" t="str">
        <f t="shared" si="527"/>
        <v>142</v>
      </c>
    </row>
    <row r="2191" spans="1:16" x14ac:dyDescent="0.2">
      <c r="A2191" s="119"/>
      <c r="B2191" s="120"/>
      <c r="C2191" s="129"/>
      <c r="D2191" s="129"/>
      <c r="E2191" s="129"/>
      <c r="F2191" s="129"/>
      <c r="G2191" s="129"/>
      <c r="H2191" s="129"/>
      <c r="I2191" s="129">
        <f>'B&amp;T'!J309</f>
        <v>0</v>
      </c>
      <c r="J2191" s="129"/>
      <c r="K2191" s="129"/>
      <c r="L2191" s="129"/>
      <c r="O2191" s="129"/>
      <c r="P2191" s="123" t="str">
        <f t="shared" si="527"/>
        <v/>
      </c>
    </row>
    <row r="2192" spans="1:16" s="114" customFormat="1" ht="15" x14ac:dyDescent="0.25">
      <c r="A2192" s="118"/>
      <c r="B2192" s="117" t="s">
        <v>176</v>
      </c>
      <c r="C2192" s="128">
        <f>SUM(C2188:C2191)</f>
        <v>134949</v>
      </c>
      <c r="D2192" s="128">
        <f t="shared" ref="D2192:O2192" si="529">SUM(D2188:D2191)</f>
        <v>0</v>
      </c>
      <c r="E2192" s="128">
        <f t="shared" si="529"/>
        <v>0</v>
      </c>
      <c r="F2192" s="128">
        <f t="shared" si="529"/>
        <v>0</v>
      </c>
      <c r="G2192" s="128">
        <f t="shared" si="529"/>
        <v>134949</v>
      </c>
      <c r="H2192" s="128">
        <f t="shared" si="529"/>
        <v>0</v>
      </c>
      <c r="I2192" s="128">
        <f t="shared" si="529"/>
        <v>0</v>
      </c>
      <c r="J2192" s="128">
        <f t="shared" si="529"/>
        <v>134949</v>
      </c>
      <c r="K2192" s="128">
        <f t="shared" si="529"/>
        <v>143383.3125</v>
      </c>
      <c r="L2192" s="128">
        <f t="shared" si="529"/>
        <v>153420.144375</v>
      </c>
      <c r="M2192" s="128">
        <f t="shared" si="529"/>
        <v>0</v>
      </c>
      <c r="N2192" s="128">
        <f t="shared" si="529"/>
        <v>0</v>
      </c>
      <c r="O2192" s="128">
        <f t="shared" si="529"/>
        <v>164159.55448125</v>
      </c>
      <c r="P2192" s="123" t="str">
        <f t="shared" si="527"/>
        <v/>
      </c>
    </row>
    <row r="2193" spans="1:16" s="114" customFormat="1" ht="15" x14ac:dyDescent="0.25">
      <c r="A2193" s="118"/>
      <c r="B2193" s="117"/>
      <c r="C2193" s="128"/>
      <c r="D2193" s="128"/>
      <c r="E2193" s="128"/>
      <c r="F2193" s="128"/>
      <c r="G2193" s="128"/>
      <c r="H2193" s="128"/>
      <c r="I2193" s="129">
        <f>'B&amp;T'!J311</f>
        <v>0</v>
      </c>
      <c r="J2193" s="129"/>
      <c r="K2193" s="129"/>
      <c r="L2193" s="129"/>
      <c r="M2193" s="186"/>
      <c r="N2193" s="186"/>
      <c r="O2193" s="128"/>
      <c r="P2193" s="123" t="str">
        <f t="shared" si="527"/>
        <v/>
      </c>
    </row>
    <row r="2194" spans="1:16" s="114" customFormat="1" ht="15" x14ac:dyDescent="0.25">
      <c r="A2194" s="118"/>
      <c r="B2194" s="117" t="s">
        <v>177</v>
      </c>
      <c r="C2194" s="128">
        <f>C2174+C2184+C2192</f>
        <v>4423705</v>
      </c>
      <c r="D2194" s="128">
        <f t="shared" ref="D2194:O2194" si="530">D2174+D2184+D2192</f>
        <v>422388.20000000007</v>
      </c>
      <c r="E2194" s="128">
        <f t="shared" si="530"/>
        <v>0</v>
      </c>
      <c r="F2194" s="128">
        <f t="shared" si="530"/>
        <v>1939124.53</v>
      </c>
      <c r="G2194" s="128">
        <f t="shared" si="530"/>
        <v>2484580.4699999997</v>
      </c>
      <c r="H2194" s="128">
        <f t="shared" si="530"/>
        <v>680.07999999999993</v>
      </c>
      <c r="I2194" s="128">
        <f t="shared" si="530"/>
        <v>-252052.28000000003</v>
      </c>
      <c r="J2194" s="128">
        <f t="shared" si="530"/>
        <v>4171652.72</v>
      </c>
      <c r="K2194" s="128">
        <f t="shared" si="530"/>
        <v>4432381.0150000006</v>
      </c>
      <c r="L2194" s="128">
        <f t="shared" si="530"/>
        <v>4742647.6860500006</v>
      </c>
      <c r="M2194" s="128">
        <f t="shared" si="530"/>
        <v>0</v>
      </c>
      <c r="N2194" s="128">
        <f t="shared" si="530"/>
        <v>0</v>
      </c>
      <c r="O2194" s="128">
        <f t="shared" si="530"/>
        <v>5074633.0240734993</v>
      </c>
      <c r="P2194" s="123" t="str">
        <f t="shared" si="527"/>
        <v/>
      </c>
    </row>
    <row r="2195" spans="1:16" s="114" customFormat="1" ht="15" x14ac:dyDescent="0.25">
      <c r="A2195" s="118"/>
      <c r="B2195" s="117"/>
      <c r="C2195" s="128"/>
      <c r="D2195" s="128"/>
      <c r="E2195" s="128"/>
      <c r="F2195" s="128"/>
      <c r="G2195" s="128"/>
      <c r="H2195" s="128"/>
      <c r="I2195" s="129">
        <f>'B&amp;T'!J313</f>
        <v>0</v>
      </c>
      <c r="J2195" s="129"/>
      <c r="K2195" s="129"/>
      <c r="L2195" s="129"/>
      <c r="M2195" s="186"/>
      <c r="N2195" s="186"/>
      <c r="O2195" s="128"/>
      <c r="P2195" s="123" t="str">
        <f t="shared" si="527"/>
        <v/>
      </c>
    </row>
    <row r="2196" spans="1:16" s="114" customFormat="1" ht="15" x14ac:dyDescent="0.25">
      <c r="A2196" s="118"/>
      <c r="B2196" s="117" t="s">
        <v>178</v>
      </c>
      <c r="C2196" s="128">
        <f>C2194</f>
        <v>4423705</v>
      </c>
      <c r="D2196" s="128">
        <f t="shared" ref="D2196:O2196" si="531">D2194</f>
        <v>422388.20000000007</v>
      </c>
      <c r="E2196" s="128">
        <f t="shared" si="531"/>
        <v>0</v>
      </c>
      <c r="F2196" s="128">
        <f t="shared" si="531"/>
        <v>1939124.53</v>
      </c>
      <c r="G2196" s="128">
        <f t="shared" si="531"/>
        <v>2484580.4699999997</v>
      </c>
      <c r="H2196" s="128">
        <f t="shared" si="531"/>
        <v>680.07999999999993</v>
      </c>
      <c r="I2196" s="128">
        <f t="shared" si="531"/>
        <v>-252052.28000000003</v>
      </c>
      <c r="J2196" s="128">
        <f t="shared" si="531"/>
        <v>4171652.72</v>
      </c>
      <c r="K2196" s="128">
        <f t="shared" si="531"/>
        <v>4432381.0150000006</v>
      </c>
      <c r="L2196" s="128">
        <f t="shared" si="531"/>
        <v>4742647.6860500006</v>
      </c>
      <c r="M2196" s="128">
        <f t="shared" si="531"/>
        <v>0</v>
      </c>
      <c r="N2196" s="128">
        <f t="shared" si="531"/>
        <v>0</v>
      </c>
      <c r="O2196" s="128">
        <f t="shared" si="531"/>
        <v>5074633.0240734993</v>
      </c>
      <c r="P2196" s="123" t="str">
        <f t="shared" si="527"/>
        <v/>
      </c>
    </row>
    <row r="2197" spans="1:16" s="114" customFormat="1" ht="15" x14ac:dyDescent="0.25">
      <c r="A2197" s="118"/>
      <c r="B2197" s="117"/>
      <c r="C2197" s="128"/>
      <c r="D2197" s="128"/>
      <c r="E2197" s="128"/>
      <c r="F2197" s="128"/>
      <c r="G2197" s="128"/>
      <c r="H2197" s="128"/>
      <c r="I2197" s="129">
        <f>'B&amp;T'!J315</f>
        <v>0</v>
      </c>
      <c r="J2197" s="129"/>
      <c r="K2197" s="129"/>
      <c r="L2197" s="129"/>
      <c r="M2197" s="186"/>
      <c r="N2197" s="186"/>
      <c r="O2197" s="128"/>
      <c r="P2197" s="123" t="str">
        <f t="shared" si="527"/>
        <v/>
      </c>
    </row>
    <row r="2198" spans="1:16" s="114" customFormat="1" ht="15" x14ac:dyDescent="0.25">
      <c r="A2198" s="118"/>
      <c r="B2198" s="117" t="s">
        <v>208</v>
      </c>
      <c r="C2198" s="128"/>
      <c r="D2198" s="128"/>
      <c r="E2198" s="128"/>
      <c r="F2198" s="128"/>
      <c r="G2198" s="128"/>
      <c r="H2198" s="128"/>
      <c r="I2198" s="129">
        <f>'B&amp;T'!J316</f>
        <v>0</v>
      </c>
      <c r="J2198" s="129"/>
      <c r="K2198" s="129"/>
      <c r="L2198" s="129"/>
      <c r="M2198" s="186"/>
      <c r="N2198" s="186"/>
      <c r="O2198" s="128"/>
      <c r="P2198" s="123" t="str">
        <f t="shared" si="527"/>
        <v/>
      </c>
    </row>
    <row r="2199" spans="1:16" s="114" customFormat="1" ht="15" x14ac:dyDescent="0.25">
      <c r="A2199" s="118"/>
      <c r="B2199" s="117"/>
      <c r="C2199" s="128"/>
      <c r="D2199" s="128"/>
      <c r="E2199" s="128"/>
      <c r="F2199" s="128"/>
      <c r="G2199" s="128"/>
      <c r="H2199" s="128"/>
      <c r="I2199" s="129">
        <f>'B&amp;T'!J317</f>
        <v>0</v>
      </c>
      <c r="J2199" s="129"/>
      <c r="K2199" s="129"/>
      <c r="L2199" s="129"/>
      <c r="M2199" s="186"/>
      <c r="N2199" s="186"/>
      <c r="O2199" s="128"/>
      <c r="P2199" s="123" t="str">
        <f t="shared" si="527"/>
        <v/>
      </c>
    </row>
    <row r="2200" spans="1:16" s="114" customFormat="1" ht="15" x14ac:dyDescent="0.25">
      <c r="A2200" s="118"/>
      <c r="B2200" s="117" t="s">
        <v>209</v>
      </c>
      <c r="C2200" s="128"/>
      <c r="D2200" s="128"/>
      <c r="E2200" s="128"/>
      <c r="F2200" s="128"/>
      <c r="G2200" s="128"/>
      <c r="H2200" s="128"/>
      <c r="I2200" s="129">
        <f>'B&amp;T'!J318</f>
        <v>0</v>
      </c>
      <c r="J2200" s="129"/>
      <c r="K2200" s="129"/>
      <c r="L2200" s="129"/>
      <c r="M2200" s="186"/>
      <c r="N2200" s="186"/>
      <c r="O2200" s="128"/>
      <c r="P2200" s="123" t="str">
        <f t="shared" si="527"/>
        <v/>
      </c>
    </row>
    <row r="2201" spans="1:16" s="114" customFormat="1" ht="15" x14ac:dyDescent="0.25">
      <c r="A2201" s="118"/>
      <c r="B2201" s="117"/>
      <c r="C2201" s="128"/>
      <c r="D2201" s="128"/>
      <c r="E2201" s="128"/>
      <c r="F2201" s="128"/>
      <c r="G2201" s="128"/>
      <c r="H2201" s="128"/>
      <c r="I2201" s="129">
        <f>'B&amp;T'!J319</f>
        <v>0</v>
      </c>
      <c r="J2201" s="129"/>
      <c r="K2201" s="129"/>
      <c r="L2201" s="129"/>
      <c r="M2201" s="186"/>
      <c r="N2201" s="186"/>
      <c r="O2201" s="128"/>
      <c r="P2201" s="123" t="str">
        <f t="shared" si="527"/>
        <v/>
      </c>
    </row>
    <row r="2202" spans="1:16" x14ac:dyDescent="0.2">
      <c r="A2202" s="119" t="s">
        <v>907</v>
      </c>
      <c r="B2202" s="120" t="s">
        <v>212</v>
      </c>
      <c r="C2202" s="129">
        <v>205000</v>
      </c>
      <c r="D2202" s="129">
        <v>0</v>
      </c>
      <c r="E2202" s="129">
        <v>0</v>
      </c>
      <c r="F2202" s="129">
        <v>138000</v>
      </c>
      <c r="G2202" s="129">
        <v>67000</v>
      </c>
      <c r="H2202" s="129">
        <v>67.31</v>
      </c>
      <c r="I2202" s="129">
        <f>'B&amp;T'!J320</f>
        <v>200000</v>
      </c>
      <c r="J2202" s="129">
        <f>'B&amp;T'!K320</f>
        <v>405000</v>
      </c>
      <c r="K2202" s="129">
        <f>'B&amp;T'!L320</f>
        <v>200000</v>
      </c>
      <c r="L2202" s="129">
        <f>'B&amp;T'!M320</f>
        <v>209200</v>
      </c>
      <c r="O2202" s="129">
        <f>'B&amp;T'!N320</f>
        <v>218823.2</v>
      </c>
      <c r="P2202" s="123" t="str">
        <f t="shared" si="527"/>
        <v>260</v>
      </c>
    </row>
    <row r="2203" spans="1:16" x14ac:dyDescent="0.2">
      <c r="A2203" s="119"/>
      <c r="B2203" s="120" t="s">
        <v>3063</v>
      </c>
      <c r="C2203" s="129">
        <f>'B&amp;T'!D321</f>
        <v>0</v>
      </c>
      <c r="D2203" s="129">
        <f>'B&amp;T'!E321</f>
        <v>0</v>
      </c>
      <c r="E2203" s="129">
        <f>'B&amp;T'!F321</f>
        <v>0</v>
      </c>
      <c r="F2203" s="129">
        <f>'B&amp;T'!G321</f>
        <v>0</v>
      </c>
      <c r="G2203" s="129">
        <f>'B&amp;T'!H321</f>
        <v>0</v>
      </c>
      <c r="H2203" s="129">
        <f>'B&amp;T'!I321</f>
        <v>0</v>
      </c>
      <c r="I2203" s="129">
        <f>'B&amp;T'!J321</f>
        <v>0</v>
      </c>
      <c r="J2203" s="129">
        <f>'B&amp;T'!K321</f>
        <v>0</v>
      </c>
      <c r="K2203" s="129">
        <f>'B&amp;T'!L321</f>
        <v>800000</v>
      </c>
      <c r="L2203" s="129">
        <f>'B&amp;T'!M321</f>
        <v>0</v>
      </c>
      <c r="M2203" s="129">
        <f>'B&amp;T'!N321</f>
        <v>0</v>
      </c>
      <c r="N2203" s="129">
        <f>'B&amp;T'!O321</f>
        <v>0</v>
      </c>
      <c r="O2203" s="129">
        <f>'B&amp;T'!P321</f>
        <v>0</v>
      </c>
      <c r="P2203" s="123" t="str">
        <f t="shared" si="527"/>
        <v/>
      </c>
    </row>
    <row r="2204" spans="1:16" x14ac:dyDescent="0.2">
      <c r="A2204" s="119" t="s">
        <v>908</v>
      </c>
      <c r="B2204" s="120" t="s">
        <v>213</v>
      </c>
      <c r="C2204" s="129">
        <v>300000</v>
      </c>
      <c r="D2204" s="129">
        <v>0</v>
      </c>
      <c r="E2204" s="129">
        <v>0</v>
      </c>
      <c r="F2204" s="129">
        <v>56869.56</v>
      </c>
      <c r="G2204" s="129">
        <v>243130.44</v>
      </c>
      <c r="H2204" s="129">
        <v>18.95</v>
      </c>
      <c r="I2204" s="129">
        <f>'B&amp;T'!J322</f>
        <v>168000</v>
      </c>
      <c r="J2204" s="129">
        <f>'B&amp;T'!K322</f>
        <v>468000</v>
      </c>
      <c r="K2204" s="129">
        <f>'B&amp;T'!L322</f>
        <v>300000</v>
      </c>
      <c r="L2204" s="129">
        <f>'B&amp;T'!M322</f>
        <v>0</v>
      </c>
      <c r="O2204" s="129">
        <f>'B&amp;T'!N322</f>
        <v>300000</v>
      </c>
      <c r="P2204" s="123" t="str">
        <f t="shared" si="527"/>
        <v>260</v>
      </c>
    </row>
    <row r="2205" spans="1:16" x14ac:dyDescent="0.2">
      <c r="A2205" s="119" t="s">
        <v>909</v>
      </c>
      <c r="B2205" s="120" t="s">
        <v>216</v>
      </c>
      <c r="C2205" s="129">
        <v>162340</v>
      </c>
      <c r="D2205" s="129">
        <v>0</v>
      </c>
      <c r="E2205" s="129">
        <v>0</v>
      </c>
      <c r="F2205" s="129">
        <v>1116.43</v>
      </c>
      <c r="G2205" s="129">
        <v>161223.57</v>
      </c>
      <c r="H2205" s="129">
        <v>0.68</v>
      </c>
      <c r="I2205" s="129">
        <f>'B&amp;T'!J323</f>
        <v>0</v>
      </c>
      <c r="J2205" s="129">
        <f>'B&amp;T'!K323</f>
        <v>162340</v>
      </c>
      <c r="K2205" s="129">
        <f>'B&amp;T'!L323</f>
        <v>169645.3</v>
      </c>
      <c r="L2205" s="129">
        <f>'B&amp;T'!M323</f>
        <v>177448.98379999999</v>
      </c>
      <c r="O2205" s="129">
        <f>'B&amp;T'!N323</f>
        <v>185611.6370548</v>
      </c>
      <c r="P2205" s="123" t="str">
        <f t="shared" si="527"/>
        <v>265</v>
      </c>
    </row>
    <row r="2206" spans="1:16" x14ac:dyDescent="0.2">
      <c r="A2206" s="119"/>
      <c r="B2206" s="120"/>
      <c r="C2206" s="129"/>
      <c r="D2206" s="129"/>
      <c r="E2206" s="129"/>
      <c r="F2206" s="129"/>
      <c r="G2206" s="129"/>
      <c r="H2206" s="129"/>
      <c r="I2206" s="129">
        <f>'B&amp;T'!J324</f>
        <v>0</v>
      </c>
      <c r="J2206" s="129"/>
      <c r="K2206" s="129"/>
      <c r="L2206" s="129"/>
      <c r="O2206" s="129"/>
      <c r="P2206" s="123" t="str">
        <f t="shared" si="527"/>
        <v/>
      </c>
    </row>
    <row r="2207" spans="1:16" s="114" customFormat="1" ht="15" x14ac:dyDescent="0.25">
      <c r="A2207" s="118"/>
      <c r="B2207" s="117" t="s">
        <v>217</v>
      </c>
      <c r="C2207" s="128">
        <f>SUM(C2202:C2206)</f>
        <v>667340</v>
      </c>
      <c r="D2207" s="128">
        <f t="shared" ref="D2207:O2207" si="532">SUM(D2202:D2206)</f>
        <v>0</v>
      </c>
      <c r="E2207" s="128">
        <f t="shared" si="532"/>
        <v>0</v>
      </c>
      <c r="F2207" s="128">
        <f t="shared" si="532"/>
        <v>195985.99</v>
      </c>
      <c r="G2207" s="128">
        <f t="shared" si="532"/>
        <v>471354.01</v>
      </c>
      <c r="H2207" s="128">
        <f t="shared" si="532"/>
        <v>86.940000000000012</v>
      </c>
      <c r="I2207" s="128">
        <f t="shared" si="532"/>
        <v>368000</v>
      </c>
      <c r="J2207" s="128">
        <f t="shared" si="532"/>
        <v>1035340</v>
      </c>
      <c r="K2207" s="128">
        <f t="shared" si="532"/>
        <v>1469645.3</v>
      </c>
      <c r="L2207" s="128">
        <f t="shared" si="532"/>
        <v>386648.98379999999</v>
      </c>
      <c r="M2207" s="128">
        <f t="shared" si="532"/>
        <v>0</v>
      </c>
      <c r="N2207" s="128">
        <f t="shared" si="532"/>
        <v>0</v>
      </c>
      <c r="O2207" s="128">
        <f t="shared" si="532"/>
        <v>704434.83705480001</v>
      </c>
      <c r="P2207" s="123" t="str">
        <f t="shared" si="527"/>
        <v/>
      </c>
    </row>
    <row r="2208" spans="1:16" s="114" customFormat="1" ht="15" x14ac:dyDescent="0.25">
      <c r="A2208" s="118"/>
      <c r="B2208" s="117"/>
      <c r="C2208" s="128"/>
      <c r="D2208" s="128"/>
      <c r="E2208" s="128"/>
      <c r="F2208" s="128"/>
      <c r="G2208" s="128"/>
      <c r="H2208" s="128"/>
      <c r="I2208" s="129">
        <f>'B&amp;T'!J326</f>
        <v>0</v>
      </c>
      <c r="J2208" s="129"/>
      <c r="K2208" s="129"/>
      <c r="L2208" s="129"/>
      <c r="M2208" s="186"/>
      <c r="N2208" s="186"/>
      <c r="O2208" s="128"/>
      <c r="P2208" s="123" t="str">
        <f t="shared" si="527"/>
        <v/>
      </c>
    </row>
    <row r="2209" spans="1:16" s="114" customFormat="1" ht="15" x14ac:dyDescent="0.25">
      <c r="A2209" s="118"/>
      <c r="B2209" s="117" t="s">
        <v>218</v>
      </c>
      <c r="C2209" s="128"/>
      <c r="D2209" s="128"/>
      <c r="E2209" s="128"/>
      <c r="F2209" s="128"/>
      <c r="G2209" s="128"/>
      <c r="H2209" s="128"/>
      <c r="I2209" s="129">
        <f>'B&amp;T'!J327</f>
        <v>0</v>
      </c>
      <c r="J2209" s="129"/>
      <c r="K2209" s="129"/>
      <c r="L2209" s="129"/>
      <c r="M2209" s="186"/>
      <c r="N2209" s="186"/>
      <c r="O2209" s="128"/>
      <c r="P2209" s="123" t="str">
        <f t="shared" si="527"/>
        <v/>
      </c>
    </row>
    <row r="2210" spans="1:16" x14ac:dyDescent="0.2">
      <c r="A2210" s="119"/>
      <c r="B2210" s="120"/>
      <c r="C2210" s="129"/>
      <c r="D2210" s="129"/>
      <c r="E2210" s="129"/>
      <c r="F2210" s="129"/>
      <c r="G2210" s="129"/>
      <c r="H2210" s="129"/>
      <c r="I2210" s="129">
        <f>'B&amp;T'!J328</f>
        <v>0</v>
      </c>
      <c r="J2210" s="129"/>
      <c r="K2210" s="129"/>
      <c r="L2210" s="129"/>
      <c r="O2210" s="129"/>
      <c r="P2210" s="123" t="str">
        <f t="shared" si="527"/>
        <v/>
      </c>
    </row>
    <row r="2211" spans="1:16" x14ac:dyDescent="0.2">
      <c r="A2211" s="119" t="s">
        <v>910</v>
      </c>
      <c r="B2211" s="120" t="s">
        <v>219</v>
      </c>
      <c r="C2211" s="129">
        <v>700000</v>
      </c>
      <c r="D2211" s="129">
        <v>0</v>
      </c>
      <c r="E2211" s="129">
        <v>0</v>
      </c>
      <c r="F2211" s="129">
        <v>0</v>
      </c>
      <c r="G2211" s="129">
        <v>700000</v>
      </c>
      <c r="H2211" s="129">
        <v>0</v>
      </c>
      <c r="I2211" s="129">
        <f>'B&amp;T'!J329</f>
        <v>-52000</v>
      </c>
      <c r="J2211" s="129">
        <f>'B&amp;T'!K329</f>
        <v>648000</v>
      </c>
      <c r="K2211" s="129">
        <f>'B&amp;T'!L329</f>
        <v>700000</v>
      </c>
      <c r="L2211" s="129">
        <f>'B&amp;T'!M329</f>
        <v>0</v>
      </c>
      <c r="O2211" s="129">
        <f>'B&amp;T'!N329</f>
        <v>0</v>
      </c>
      <c r="P2211" s="123" t="str">
        <f t="shared" si="527"/>
        <v>270</v>
      </c>
    </row>
    <row r="2212" spans="1:16" x14ac:dyDescent="0.2">
      <c r="A2212" s="119"/>
      <c r="B2212" s="120" t="s">
        <v>3066</v>
      </c>
      <c r="C2212" s="129">
        <f>'B&amp;T'!D330</f>
        <v>0</v>
      </c>
      <c r="D2212" s="129">
        <f>'B&amp;T'!E330</f>
        <v>0</v>
      </c>
      <c r="E2212" s="129">
        <f>'B&amp;T'!F330</f>
        <v>0</v>
      </c>
      <c r="F2212" s="129">
        <f>'B&amp;T'!G330</f>
        <v>0</v>
      </c>
      <c r="G2212" s="129">
        <f>'B&amp;T'!H330</f>
        <v>0</v>
      </c>
      <c r="H2212" s="129">
        <f>'B&amp;T'!I330</f>
        <v>0</v>
      </c>
      <c r="I2212" s="129">
        <f>'B&amp;T'!J330</f>
        <v>0</v>
      </c>
      <c r="J2212" s="129">
        <f>'B&amp;T'!K330</f>
        <v>0</v>
      </c>
      <c r="K2212" s="129">
        <f>'B&amp;T'!L330</f>
        <v>0</v>
      </c>
      <c r="L2212" s="129">
        <f>'B&amp;T'!M330</f>
        <v>2200000</v>
      </c>
      <c r="M2212" s="129">
        <f>'B&amp;T'!N330</f>
        <v>0</v>
      </c>
      <c r="N2212" s="129">
        <f>'B&amp;T'!O330</f>
        <v>0</v>
      </c>
      <c r="O2212" s="129">
        <f>'B&amp;T'!P330</f>
        <v>0</v>
      </c>
      <c r="P2212" s="123" t="str">
        <f t="shared" si="527"/>
        <v/>
      </c>
    </row>
    <row r="2213" spans="1:16" x14ac:dyDescent="0.2">
      <c r="A2213" s="119"/>
      <c r="B2213" s="120"/>
      <c r="C2213" s="129"/>
      <c r="D2213" s="129"/>
      <c r="E2213" s="129"/>
      <c r="F2213" s="129"/>
      <c r="G2213" s="129"/>
      <c r="H2213" s="129"/>
      <c r="I2213" s="129">
        <f>'B&amp;T'!J331</f>
        <v>0</v>
      </c>
      <c r="J2213" s="129"/>
      <c r="K2213" s="129"/>
      <c r="L2213" s="129"/>
      <c r="O2213" s="129"/>
      <c r="P2213" s="123" t="str">
        <f t="shared" si="527"/>
        <v/>
      </c>
    </row>
    <row r="2214" spans="1:16" s="114" customFormat="1" ht="15" x14ac:dyDescent="0.25">
      <c r="A2214" s="118"/>
      <c r="B2214" s="117" t="s">
        <v>227</v>
      </c>
      <c r="C2214" s="128">
        <f>SUM(C2211:C2213)</f>
        <v>700000</v>
      </c>
      <c r="D2214" s="128">
        <f t="shared" ref="D2214:O2214" si="533">SUM(D2211:D2213)</f>
        <v>0</v>
      </c>
      <c r="E2214" s="128">
        <f t="shared" si="533"/>
        <v>0</v>
      </c>
      <c r="F2214" s="128">
        <f t="shared" si="533"/>
        <v>0</v>
      </c>
      <c r="G2214" s="128">
        <f t="shared" si="533"/>
        <v>700000</v>
      </c>
      <c r="H2214" s="128">
        <f t="shared" si="533"/>
        <v>0</v>
      </c>
      <c r="I2214" s="128">
        <f t="shared" si="533"/>
        <v>-52000</v>
      </c>
      <c r="J2214" s="128">
        <f t="shared" si="533"/>
        <v>648000</v>
      </c>
      <c r="K2214" s="128">
        <f t="shared" si="533"/>
        <v>700000</v>
      </c>
      <c r="L2214" s="128">
        <f t="shared" si="533"/>
        <v>2200000</v>
      </c>
      <c r="M2214" s="128">
        <f t="shared" si="533"/>
        <v>0</v>
      </c>
      <c r="N2214" s="128">
        <f t="shared" si="533"/>
        <v>0</v>
      </c>
      <c r="O2214" s="128">
        <f t="shared" si="533"/>
        <v>0</v>
      </c>
      <c r="P2214" s="123" t="str">
        <f t="shared" si="527"/>
        <v/>
      </c>
    </row>
    <row r="2215" spans="1:16" x14ac:dyDescent="0.2">
      <c r="A2215" s="119"/>
      <c r="B2215" s="120"/>
      <c r="C2215" s="129"/>
      <c r="D2215" s="129"/>
      <c r="E2215" s="129"/>
      <c r="F2215" s="129"/>
      <c r="G2215" s="129"/>
      <c r="H2215" s="129"/>
      <c r="I2215" s="129">
        <f>'B&amp;T'!J333</f>
        <v>0</v>
      </c>
      <c r="J2215" s="129"/>
      <c r="K2215" s="129"/>
      <c r="L2215" s="129"/>
      <c r="O2215" s="129"/>
      <c r="P2215" s="123" t="str">
        <f t="shared" si="527"/>
        <v/>
      </c>
    </row>
    <row r="2216" spans="1:16" s="114" customFormat="1" ht="15" x14ac:dyDescent="0.25">
      <c r="A2216" s="118"/>
      <c r="B2216" s="117" t="s">
        <v>240</v>
      </c>
      <c r="C2216" s="128">
        <f>C2207+C2214</f>
        <v>1367340</v>
      </c>
      <c r="D2216" s="128">
        <f t="shared" ref="D2216:O2216" si="534">D2207+D2214</f>
        <v>0</v>
      </c>
      <c r="E2216" s="128">
        <f t="shared" si="534"/>
        <v>0</v>
      </c>
      <c r="F2216" s="128">
        <f t="shared" si="534"/>
        <v>195985.99</v>
      </c>
      <c r="G2216" s="128">
        <f t="shared" si="534"/>
        <v>1171354.01</v>
      </c>
      <c r="H2216" s="128">
        <f t="shared" si="534"/>
        <v>86.940000000000012</v>
      </c>
      <c r="I2216" s="128">
        <f t="shared" si="534"/>
        <v>316000</v>
      </c>
      <c r="J2216" s="128">
        <f t="shared" si="534"/>
        <v>1683340</v>
      </c>
      <c r="K2216" s="128">
        <f t="shared" si="534"/>
        <v>2169645.2999999998</v>
      </c>
      <c r="L2216" s="128">
        <f t="shared" si="534"/>
        <v>2586648.9838</v>
      </c>
      <c r="M2216" s="128">
        <f t="shared" si="534"/>
        <v>0</v>
      </c>
      <c r="N2216" s="128">
        <f t="shared" si="534"/>
        <v>0</v>
      </c>
      <c r="O2216" s="128">
        <f t="shared" si="534"/>
        <v>704434.83705480001</v>
      </c>
      <c r="P2216" s="123" t="str">
        <f t="shared" si="527"/>
        <v/>
      </c>
    </row>
    <row r="2217" spans="1:16" s="114" customFormat="1" ht="15" x14ac:dyDescent="0.25">
      <c r="A2217" s="118"/>
      <c r="B2217" s="117"/>
      <c r="C2217" s="128"/>
      <c r="D2217" s="128"/>
      <c r="E2217" s="128"/>
      <c r="F2217" s="128"/>
      <c r="G2217" s="128"/>
      <c r="H2217" s="128"/>
      <c r="I2217" s="129">
        <f>'B&amp;T'!J335</f>
        <v>0</v>
      </c>
      <c r="J2217" s="129"/>
      <c r="K2217" s="129"/>
      <c r="L2217" s="129"/>
      <c r="M2217" s="186"/>
      <c r="N2217" s="186"/>
      <c r="O2217" s="128"/>
      <c r="P2217" s="123" t="str">
        <f t="shared" si="527"/>
        <v/>
      </c>
    </row>
    <row r="2218" spans="1:16" s="114" customFormat="1" ht="15" x14ac:dyDescent="0.25">
      <c r="A2218" s="118"/>
      <c r="B2218" s="117" t="s">
        <v>241</v>
      </c>
      <c r="C2218" s="128"/>
      <c r="D2218" s="128"/>
      <c r="E2218" s="128"/>
      <c r="F2218" s="128"/>
      <c r="G2218" s="128"/>
      <c r="H2218" s="128"/>
      <c r="I2218" s="129">
        <f>'B&amp;T'!J336</f>
        <v>0</v>
      </c>
      <c r="J2218" s="129"/>
      <c r="K2218" s="129"/>
      <c r="L2218" s="129"/>
      <c r="M2218" s="186"/>
      <c r="N2218" s="186"/>
      <c r="O2218" s="128"/>
      <c r="P2218" s="123" t="str">
        <f t="shared" si="527"/>
        <v/>
      </c>
    </row>
    <row r="2219" spans="1:16" x14ac:dyDescent="0.2">
      <c r="A2219" s="119"/>
      <c r="B2219" s="120"/>
      <c r="C2219" s="129"/>
      <c r="D2219" s="129"/>
      <c r="E2219" s="129"/>
      <c r="F2219" s="129"/>
      <c r="G2219" s="129"/>
      <c r="H2219" s="129"/>
      <c r="I2219" s="129">
        <f>'B&amp;T'!J337</f>
        <v>0</v>
      </c>
      <c r="J2219" s="129"/>
      <c r="K2219" s="129"/>
      <c r="L2219" s="129"/>
      <c r="O2219" s="129"/>
      <c r="P2219" s="123" t="str">
        <f t="shared" si="527"/>
        <v/>
      </c>
    </row>
    <row r="2220" spans="1:16" x14ac:dyDescent="0.2">
      <c r="A2220" s="119" t="s">
        <v>911</v>
      </c>
      <c r="B2220" s="120" t="s">
        <v>248</v>
      </c>
      <c r="C2220" s="129">
        <v>1176923</v>
      </c>
      <c r="D2220" s="129">
        <v>0</v>
      </c>
      <c r="E2220" s="129">
        <v>0</v>
      </c>
      <c r="F2220" s="129">
        <v>641986.77</v>
      </c>
      <c r="G2220" s="129">
        <v>534936.23</v>
      </c>
      <c r="H2220" s="129">
        <v>54.54</v>
      </c>
      <c r="I2220" s="129">
        <f>'B&amp;T'!J338</f>
        <v>600000</v>
      </c>
      <c r="J2220" s="129">
        <f>'B&amp;T'!K338</f>
        <v>1776923</v>
      </c>
      <c r="K2220" s="129">
        <f>'B&amp;T'!L338</f>
        <v>2100000</v>
      </c>
      <c r="L2220" s="129">
        <f>'B&amp;T'!M338</f>
        <v>2194500</v>
      </c>
      <c r="O2220" s="129">
        <f>'B&amp;T'!N338</f>
        <v>2293252.5</v>
      </c>
      <c r="P2220" s="123" t="str">
        <f t="shared" si="527"/>
        <v>300</v>
      </c>
    </row>
    <row r="2221" spans="1:16" x14ac:dyDescent="0.2">
      <c r="A2221" s="119" t="s">
        <v>912</v>
      </c>
      <c r="B2221" s="120" t="s">
        <v>265</v>
      </c>
      <c r="C2221" s="129">
        <v>0</v>
      </c>
      <c r="D2221" s="129">
        <v>3543.7</v>
      </c>
      <c r="E2221" s="129">
        <v>0</v>
      </c>
      <c r="F2221" s="129">
        <v>15330.5</v>
      </c>
      <c r="G2221" s="129">
        <v>-15330.5</v>
      </c>
      <c r="H2221" s="129">
        <v>0</v>
      </c>
      <c r="I2221" s="129">
        <f>'B&amp;T'!J339</f>
        <v>40000</v>
      </c>
      <c r="J2221" s="129">
        <f>'B&amp;T'!K339</f>
        <v>40000</v>
      </c>
      <c r="K2221" s="129">
        <f>'B&amp;T'!L339</f>
        <v>41800</v>
      </c>
      <c r="L2221" s="129">
        <f>'B&amp;T'!M339</f>
        <v>43681</v>
      </c>
      <c r="O2221" s="129">
        <f>'B&amp;T'!N339</f>
        <v>45646.644999999997</v>
      </c>
      <c r="P2221" s="123" t="str">
        <f t="shared" si="527"/>
        <v>305</v>
      </c>
    </row>
    <row r="2222" spans="1:16" x14ac:dyDescent="0.2">
      <c r="A2222" s="119" t="s">
        <v>913</v>
      </c>
      <c r="B2222" s="120" t="s">
        <v>265</v>
      </c>
      <c r="C2222" s="129">
        <v>0</v>
      </c>
      <c r="D2222" s="129">
        <v>50</v>
      </c>
      <c r="E2222" s="129">
        <v>0</v>
      </c>
      <c r="F2222" s="129">
        <v>315.75</v>
      </c>
      <c r="G2222" s="129">
        <v>-315.75</v>
      </c>
      <c r="H2222" s="129">
        <v>0</v>
      </c>
      <c r="I2222" s="129">
        <f>'B&amp;T'!J340</f>
        <v>800</v>
      </c>
      <c r="J2222" s="129">
        <f>'B&amp;T'!K340</f>
        <v>800</v>
      </c>
      <c r="K2222" s="129">
        <f>'B&amp;T'!L340</f>
        <v>836</v>
      </c>
      <c r="L2222" s="129">
        <f>'B&amp;T'!M340</f>
        <v>873.62</v>
      </c>
      <c r="O2222" s="129">
        <f>'B&amp;T'!N340</f>
        <v>912.93290000000002</v>
      </c>
      <c r="P2222" s="123" t="str">
        <f t="shared" si="527"/>
        <v>305</v>
      </c>
    </row>
    <row r="2223" spans="1:16" x14ac:dyDescent="0.2">
      <c r="A2223" s="119" t="s">
        <v>914</v>
      </c>
      <c r="B2223" s="120" t="s">
        <v>268</v>
      </c>
      <c r="C2223" s="129">
        <v>0</v>
      </c>
      <c r="D2223" s="129">
        <v>450</v>
      </c>
      <c r="E2223" s="129">
        <v>0</v>
      </c>
      <c r="F2223" s="129">
        <v>7120.23</v>
      </c>
      <c r="G2223" s="129">
        <v>-7120.23</v>
      </c>
      <c r="H2223" s="129">
        <v>0</v>
      </c>
      <c r="I2223" s="129">
        <f>'B&amp;T'!J341</f>
        <v>20000</v>
      </c>
      <c r="J2223" s="129">
        <f>'B&amp;T'!K341</f>
        <v>20000</v>
      </c>
      <c r="K2223" s="129">
        <f>'B&amp;T'!L341</f>
        <v>20900</v>
      </c>
      <c r="L2223" s="129">
        <f>'B&amp;T'!M341</f>
        <v>21840.5</v>
      </c>
      <c r="O2223" s="129">
        <f>'B&amp;T'!N341</f>
        <v>22823.322499999998</v>
      </c>
      <c r="P2223" s="123" t="str">
        <f t="shared" si="527"/>
        <v>305</v>
      </c>
    </row>
    <row r="2224" spans="1:16" x14ac:dyDescent="0.2">
      <c r="A2224" s="119"/>
      <c r="B2224" s="120"/>
      <c r="C2224" s="129"/>
      <c r="D2224" s="129"/>
      <c r="E2224" s="129"/>
      <c r="F2224" s="129"/>
      <c r="G2224" s="129"/>
      <c r="H2224" s="129"/>
      <c r="I2224" s="129">
        <f>'B&amp;T'!J342</f>
        <v>0</v>
      </c>
      <c r="J2224" s="129"/>
      <c r="K2224" s="129"/>
      <c r="L2224" s="129"/>
      <c r="O2224" s="129"/>
      <c r="P2224" s="123" t="str">
        <f t="shared" si="527"/>
        <v/>
      </c>
    </row>
    <row r="2225" spans="1:16" s="114" customFormat="1" ht="15" x14ac:dyDescent="0.25">
      <c r="A2225" s="118"/>
      <c r="B2225" s="117" t="s">
        <v>274</v>
      </c>
      <c r="C2225" s="128">
        <f>SUM(C2220:C2224)</f>
        <v>1176923</v>
      </c>
      <c r="D2225" s="128">
        <f t="shared" ref="D2225:O2225" si="535">SUM(D2220:D2224)</f>
        <v>4043.7</v>
      </c>
      <c r="E2225" s="128">
        <f t="shared" si="535"/>
        <v>0</v>
      </c>
      <c r="F2225" s="128">
        <f t="shared" si="535"/>
        <v>664753.25</v>
      </c>
      <c r="G2225" s="128">
        <f t="shared" si="535"/>
        <v>512169.75</v>
      </c>
      <c r="H2225" s="128">
        <f t="shared" si="535"/>
        <v>54.54</v>
      </c>
      <c r="I2225" s="128">
        <f t="shared" si="535"/>
        <v>660800</v>
      </c>
      <c r="J2225" s="128">
        <f t="shared" si="535"/>
        <v>1837723</v>
      </c>
      <c r="K2225" s="128">
        <f t="shared" si="535"/>
        <v>2163536</v>
      </c>
      <c r="L2225" s="128">
        <f t="shared" si="535"/>
        <v>2260895.12</v>
      </c>
      <c r="M2225" s="128">
        <f t="shared" si="535"/>
        <v>0</v>
      </c>
      <c r="N2225" s="128">
        <f t="shared" si="535"/>
        <v>0</v>
      </c>
      <c r="O2225" s="128">
        <f t="shared" si="535"/>
        <v>2362635.4003999997</v>
      </c>
      <c r="P2225" s="123" t="str">
        <f t="shared" si="527"/>
        <v/>
      </c>
    </row>
    <row r="2226" spans="1:16" s="114" customFormat="1" ht="15" x14ac:dyDescent="0.25">
      <c r="A2226" s="118"/>
      <c r="B2226" s="117"/>
      <c r="C2226" s="128"/>
      <c r="D2226" s="128"/>
      <c r="E2226" s="128"/>
      <c r="F2226" s="128"/>
      <c r="G2226" s="128"/>
      <c r="H2226" s="128"/>
      <c r="I2226" s="129">
        <f>'B&amp;T'!J344</f>
        <v>0</v>
      </c>
      <c r="J2226" s="129"/>
      <c r="K2226" s="129"/>
      <c r="L2226" s="129"/>
      <c r="M2226" s="186"/>
      <c r="N2226" s="186"/>
      <c r="O2226" s="128"/>
      <c r="P2226" s="123" t="str">
        <f t="shared" si="527"/>
        <v/>
      </c>
    </row>
    <row r="2227" spans="1:16" s="114" customFormat="1" ht="15" x14ac:dyDescent="0.25">
      <c r="A2227" s="118"/>
      <c r="B2227" s="117" t="s">
        <v>288</v>
      </c>
      <c r="C2227" s="128"/>
      <c r="D2227" s="128"/>
      <c r="E2227" s="128"/>
      <c r="F2227" s="128"/>
      <c r="G2227" s="128"/>
      <c r="H2227" s="128"/>
      <c r="I2227" s="129">
        <f>'B&amp;T'!J345</f>
        <v>0</v>
      </c>
      <c r="J2227" s="129"/>
      <c r="K2227" s="129"/>
      <c r="L2227" s="129"/>
      <c r="M2227" s="186"/>
      <c r="N2227" s="186"/>
      <c r="O2227" s="128"/>
      <c r="P2227" s="123" t="str">
        <f t="shared" si="527"/>
        <v/>
      </c>
    </row>
    <row r="2228" spans="1:16" x14ac:dyDescent="0.2">
      <c r="A2228" s="119"/>
      <c r="B2228" s="120"/>
      <c r="C2228" s="129"/>
      <c r="D2228" s="129"/>
      <c r="E2228" s="129"/>
      <c r="F2228" s="129"/>
      <c r="G2228" s="129"/>
      <c r="H2228" s="129"/>
      <c r="I2228" s="129">
        <f>'B&amp;T'!J346</f>
        <v>0</v>
      </c>
      <c r="J2228" s="129"/>
      <c r="K2228" s="129"/>
      <c r="L2228" s="129"/>
      <c r="O2228" s="129"/>
      <c r="P2228" s="123" t="str">
        <f t="shared" si="527"/>
        <v/>
      </c>
    </row>
    <row r="2229" spans="1:16" x14ac:dyDescent="0.2">
      <c r="A2229" s="119" t="s">
        <v>915</v>
      </c>
      <c r="B2229" s="120" t="s">
        <v>288</v>
      </c>
      <c r="C2229" s="129">
        <v>5837102</v>
      </c>
      <c r="D2229" s="129">
        <v>3123784.63</v>
      </c>
      <c r="E2229" s="129">
        <v>0</v>
      </c>
      <c r="F2229" s="129">
        <v>3123784.63</v>
      </c>
      <c r="G2229" s="129">
        <v>2713317.37</v>
      </c>
      <c r="H2229" s="129">
        <v>53.51</v>
      </c>
      <c r="I2229" s="129">
        <f>'B&amp;T'!J347</f>
        <v>0</v>
      </c>
      <c r="J2229" s="129">
        <f>'B&amp;T'!K347</f>
        <v>5837102</v>
      </c>
      <c r="K2229" s="129">
        <f>'B&amp;T'!L347</f>
        <v>6099771.5899999999</v>
      </c>
      <c r="L2229" s="129">
        <f>'B&amp;T'!M347</f>
        <v>6374261.3115499998</v>
      </c>
      <c r="O2229" s="129">
        <f>'B&amp;T'!N347</f>
        <v>6661103.0705697499</v>
      </c>
      <c r="P2229" s="123" t="str">
        <f t="shared" si="527"/>
        <v>400</v>
      </c>
    </row>
    <row r="2230" spans="1:16" x14ac:dyDescent="0.2">
      <c r="A2230" s="119"/>
      <c r="B2230" s="120"/>
      <c r="C2230" s="129"/>
      <c r="D2230" s="129"/>
      <c r="E2230" s="129"/>
      <c r="F2230" s="129"/>
      <c r="G2230" s="129"/>
      <c r="H2230" s="129"/>
      <c r="I2230" s="129">
        <f>'B&amp;T'!J348</f>
        <v>0</v>
      </c>
      <c r="J2230" s="129"/>
      <c r="K2230" s="129"/>
      <c r="L2230" s="129"/>
      <c r="O2230" s="129"/>
      <c r="P2230" s="123" t="str">
        <f t="shared" si="527"/>
        <v/>
      </c>
    </row>
    <row r="2231" spans="1:16" s="114" customFormat="1" ht="15" x14ac:dyDescent="0.25">
      <c r="A2231" s="118"/>
      <c r="B2231" s="117" t="s">
        <v>289</v>
      </c>
      <c r="C2231" s="128">
        <f>SUM(C2229:C2230)</f>
        <v>5837102</v>
      </c>
      <c r="D2231" s="128">
        <f t="shared" ref="D2231:O2231" si="536">SUM(D2229:D2230)</f>
        <v>3123784.63</v>
      </c>
      <c r="E2231" s="128">
        <f t="shared" si="536"/>
        <v>0</v>
      </c>
      <c r="F2231" s="128">
        <f t="shared" si="536"/>
        <v>3123784.63</v>
      </c>
      <c r="G2231" s="128">
        <f t="shared" si="536"/>
        <v>2713317.37</v>
      </c>
      <c r="H2231" s="128">
        <f t="shared" si="536"/>
        <v>53.51</v>
      </c>
      <c r="I2231" s="128">
        <f t="shared" si="536"/>
        <v>0</v>
      </c>
      <c r="J2231" s="128">
        <f t="shared" si="536"/>
        <v>5837102</v>
      </c>
      <c r="K2231" s="128">
        <f t="shared" si="536"/>
        <v>6099771.5899999999</v>
      </c>
      <c r="L2231" s="128">
        <f t="shared" si="536"/>
        <v>6374261.3115499998</v>
      </c>
      <c r="M2231" s="128">
        <f t="shared" si="536"/>
        <v>0</v>
      </c>
      <c r="N2231" s="128">
        <f t="shared" si="536"/>
        <v>0</v>
      </c>
      <c r="O2231" s="128">
        <f t="shared" si="536"/>
        <v>6661103.0705697499</v>
      </c>
      <c r="P2231" s="123" t="str">
        <f t="shared" si="527"/>
        <v/>
      </c>
    </row>
    <row r="2232" spans="1:16" s="114" customFormat="1" ht="15" x14ac:dyDescent="0.25">
      <c r="A2232" s="118"/>
      <c r="B2232" s="117"/>
      <c r="C2232" s="128"/>
      <c r="D2232" s="128"/>
      <c r="E2232" s="128"/>
      <c r="F2232" s="128"/>
      <c r="G2232" s="128"/>
      <c r="H2232" s="128"/>
      <c r="I2232" s="129">
        <f>'B&amp;T'!J350</f>
        <v>0</v>
      </c>
      <c r="J2232" s="129"/>
      <c r="K2232" s="129"/>
      <c r="L2232" s="129"/>
      <c r="M2232" s="186"/>
      <c r="N2232" s="186"/>
      <c r="O2232" s="128"/>
      <c r="P2232" s="123" t="str">
        <f t="shared" si="527"/>
        <v/>
      </c>
    </row>
    <row r="2233" spans="1:16" s="114" customFormat="1" ht="15" x14ac:dyDescent="0.25">
      <c r="A2233" s="118"/>
      <c r="B2233" s="117" t="s">
        <v>290</v>
      </c>
      <c r="C2233" s="128"/>
      <c r="D2233" s="128"/>
      <c r="E2233" s="128"/>
      <c r="F2233" s="128"/>
      <c r="G2233" s="128"/>
      <c r="H2233" s="128"/>
      <c r="I2233" s="129">
        <f>'B&amp;T'!J351</f>
        <v>0</v>
      </c>
      <c r="J2233" s="129"/>
      <c r="K2233" s="129"/>
      <c r="L2233" s="129"/>
      <c r="M2233" s="186"/>
      <c r="N2233" s="186"/>
      <c r="O2233" s="128"/>
      <c r="P2233" s="123" t="str">
        <f t="shared" si="527"/>
        <v/>
      </c>
    </row>
    <row r="2234" spans="1:16" x14ac:dyDescent="0.2">
      <c r="A2234" s="119"/>
      <c r="B2234" s="120"/>
      <c r="C2234" s="129"/>
      <c r="D2234" s="129"/>
      <c r="E2234" s="129"/>
      <c r="F2234" s="129"/>
      <c r="G2234" s="129"/>
      <c r="H2234" s="129"/>
      <c r="I2234" s="129">
        <f>'B&amp;T'!J352</f>
        <v>0</v>
      </c>
      <c r="J2234" s="129"/>
      <c r="K2234" s="129"/>
      <c r="L2234" s="129"/>
      <c r="O2234" s="129"/>
      <c r="P2234" s="123" t="str">
        <f t="shared" si="527"/>
        <v/>
      </c>
    </row>
    <row r="2235" spans="1:16" x14ac:dyDescent="0.2">
      <c r="A2235" s="119" t="s">
        <v>916</v>
      </c>
      <c r="B2235" s="120" t="s">
        <v>291</v>
      </c>
      <c r="C2235" s="129">
        <v>3371</v>
      </c>
      <c r="D2235" s="129">
        <v>21698.639999999999</v>
      </c>
      <c r="E2235" s="129">
        <v>0</v>
      </c>
      <c r="F2235" s="129">
        <v>65095.91</v>
      </c>
      <c r="G2235" s="129">
        <v>-61724.91</v>
      </c>
      <c r="H2235" s="129">
        <v>999.99</v>
      </c>
      <c r="I2235" s="129">
        <f>'B&amp;T'!J353</f>
        <v>-3371</v>
      </c>
      <c r="J2235" s="129"/>
      <c r="K2235" s="129"/>
      <c r="L2235" s="129"/>
      <c r="O2235" s="129">
        <f>'B&amp;T'!N353</f>
        <v>0</v>
      </c>
      <c r="P2235" s="123" t="str">
        <f t="shared" si="527"/>
        <v>720</v>
      </c>
    </row>
    <row r="2236" spans="1:16" x14ac:dyDescent="0.2">
      <c r="A2236" s="119" t="s">
        <v>917</v>
      </c>
      <c r="B2236" s="120" t="s">
        <v>292</v>
      </c>
      <c r="C2236" s="129">
        <v>10575</v>
      </c>
      <c r="D2236" s="129">
        <v>2963.98</v>
      </c>
      <c r="E2236" s="129">
        <v>0</v>
      </c>
      <c r="F2236" s="129">
        <v>7788.63</v>
      </c>
      <c r="G2236" s="129">
        <v>2786.37</v>
      </c>
      <c r="H2236" s="129">
        <v>73.650000000000006</v>
      </c>
      <c r="I2236" s="129">
        <f>'B&amp;T'!J354</f>
        <v>0</v>
      </c>
      <c r="J2236" s="129">
        <f>'B&amp;T'!K354</f>
        <v>10575</v>
      </c>
      <c r="K2236" s="129">
        <f>'B&amp;T'!L354</f>
        <v>11050.875</v>
      </c>
      <c r="L2236" s="129">
        <f>'B&amp;T'!M354</f>
        <v>11548.164375</v>
      </c>
      <c r="O2236" s="129">
        <f>'B&amp;T'!N354</f>
        <v>12067.831771875</v>
      </c>
      <c r="P2236" s="123" t="str">
        <f t="shared" si="527"/>
        <v>720</v>
      </c>
    </row>
    <row r="2237" spans="1:16" x14ac:dyDescent="0.2">
      <c r="A2237" s="119" t="s">
        <v>918</v>
      </c>
      <c r="B2237" s="120" t="s">
        <v>293</v>
      </c>
      <c r="C2237" s="129">
        <v>109733</v>
      </c>
      <c r="D2237" s="129">
        <v>17305.88</v>
      </c>
      <c r="E2237" s="129">
        <v>0</v>
      </c>
      <c r="F2237" s="129">
        <v>44295.53</v>
      </c>
      <c r="G2237" s="129">
        <v>65437.47</v>
      </c>
      <c r="H2237" s="129">
        <v>40.36</v>
      </c>
      <c r="I2237" s="129">
        <f>'B&amp;T'!J355</f>
        <v>0</v>
      </c>
      <c r="J2237" s="129">
        <f>'B&amp;T'!K355</f>
        <v>109733</v>
      </c>
      <c r="K2237" s="129">
        <f>'B&amp;T'!L355</f>
        <v>114670.985</v>
      </c>
      <c r="L2237" s="129">
        <f>'B&amp;T'!M355</f>
        <v>119831.179325</v>
      </c>
      <c r="O2237" s="129">
        <f>'B&amp;T'!N355</f>
        <v>125223.582394625</v>
      </c>
      <c r="P2237" s="123" t="str">
        <f t="shared" si="527"/>
        <v>721</v>
      </c>
    </row>
    <row r="2238" spans="1:16" x14ac:dyDescent="0.2">
      <c r="A2238" s="119" t="s">
        <v>919</v>
      </c>
      <c r="B2238" s="120" t="s">
        <v>296</v>
      </c>
      <c r="C2238" s="129"/>
      <c r="D2238" s="129"/>
      <c r="E2238" s="129"/>
      <c r="F2238" s="129"/>
      <c r="G2238" s="129"/>
      <c r="H2238" s="129"/>
      <c r="I2238" s="129"/>
      <c r="J2238" s="129"/>
      <c r="K2238" s="129"/>
      <c r="L2238" s="129"/>
      <c r="O2238" s="129"/>
      <c r="P2238" s="123" t="str">
        <f t="shared" si="527"/>
        <v>723</v>
      </c>
    </row>
    <row r="2239" spans="1:16" x14ac:dyDescent="0.2">
      <c r="A2239" s="119"/>
      <c r="B2239" s="120"/>
      <c r="C2239" s="129"/>
      <c r="D2239" s="129"/>
      <c r="E2239" s="129"/>
      <c r="F2239" s="129"/>
      <c r="G2239" s="129"/>
      <c r="H2239" s="129"/>
      <c r="I2239" s="129">
        <f>'B&amp;T'!J357</f>
        <v>0</v>
      </c>
      <c r="J2239" s="129"/>
      <c r="K2239" s="129"/>
      <c r="L2239" s="129"/>
      <c r="O2239" s="129"/>
      <c r="P2239" s="123" t="str">
        <f t="shared" si="527"/>
        <v/>
      </c>
    </row>
    <row r="2240" spans="1:16" s="114" customFormat="1" ht="15" x14ac:dyDescent="0.25">
      <c r="A2240" s="118"/>
      <c r="B2240" s="117" t="s">
        <v>304</v>
      </c>
      <c r="C2240" s="128">
        <f>SUM(C2235:C2239)</f>
        <v>123679</v>
      </c>
      <c r="D2240" s="128">
        <f t="shared" ref="D2240:O2240" si="537">SUM(D2235:D2239)</f>
        <v>41968.5</v>
      </c>
      <c r="E2240" s="128">
        <f t="shared" si="537"/>
        <v>0</v>
      </c>
      <c r="F2240" s="128">
        <f t="shared" si="537"/>
        <v>117180.07</v>
      </c>
      <c r="G2240" s="128">
        <f t="shared" si="537"/>
        <v>6498.93</v>
      </c>
      <c r="H2240" s="128">
        <f t="shared" si="537"/>
        <v>1114</v>
      </c>
      <c r="I2240" s="128">
        <f t="shared" si="537"/>
        <v>-3371</v>
      </c>
      <c r="J2240" s="128">
        <f t="shared" si="537"/>
        <v>120308</v>
      </c>
      <c r="K2240" s="128">
        <f t="shared" si="537"/>
        <v>125721.86</v>
      </c>
      <c r="L2240" s="128">
        <f t="shared" si="537"/>
        <v>131379.3437</v>
      </c>
      <c r="M2240" s="128">
        <f t="shared" si="537"/>
        <v>0</v>
      </c>
      <c r="N2240" s="128">
        <f t="shared" si="537"/>
        <v>0</v>
      </c>
      <c r="O2240" s="128">
        <f t="shared" si="537"/>
        <v>137291.41416650001</v>
      </c>
      <c r="P2240" s="123" t="str">
        <f t="shared" si="527"/>
        <v/>
      </c>
    </row>
    <row r="2241" spans="1:16" s="114" customFormat="1" ht="15" x14ac:dyDescent="0.25">
      <c r="A2241" s="118"/>
      <c r="B2241" s="117"/>
      <c r="C2241" s="128"/>
      <c r="D2241" s="128"/>
      <c r="E2241" s="128"/>
      <c r="F2241" s="128"/>
      <c r="G2241" s="128"/>
      <c r="H2241" s="128"/>
      <c r="I2241" s="129">
        <f>'B&amp;T'!J359</f>
        <v>0</v>
      </c>
      <c r="J2241" s="129"/>
      <c r="K2241" s="129"/>
      <c r="L2241" s="129"/>
      <c r="M2241" s="186"/>
      <c r="N2241" s="186"/>
      <c r="O2241" s="128"/>
      <c r="P2241" s="123" t="str">
        <f t="shared" si="527"/>
        <v/>
      </c>
    </row>
    <row r="2242" spans="1:16" s="114" customFormat="1" ht="15" x14ac:dyDescent="0.25">
      <c r="A2242" s="118"/>
      <c r="B2242" s="117" t="s">
        <v>305</v>
      </c>
      <c r="C2242" s="128">
        <f>C2196+C2216+C2225+C2231+C2240</f>
        <v>12928749</v>
      </c>
      <c r="D2242" s="128">
        <f t="shared" ref="D2242:O2242" si="538">D2196+D2216+D2225+D2231+D2240</f>
        <v>3592185.03</v>
      </c>
      <c r="E2242" s="128">
        <f t="shared" si="538"/>
        <v>0</v>
      </c>
      <c r="F2242" s="128">
        <f t="shared" si="538"/>
        <v>6040828.4700000007</v>
      </c>
      <c r="G2242" s="128">
        <f t="shared" si="538"/>
        <v>6887920.5299999993</v>
      </c>
      <c r="H2242" s="128">
        <f t="shared" si="538"/>
        <v>1989.07</v>
      </c>
      <c r="I2242" s="128">
        <f t="shared" si="538"/>
        <v>721376.72</v>
      </c>
      <c r="J2242" s="128">
        <f t="shared" si="538"/>
        <v>13650125.720000001</v>
      </c>
      <c r="K2242" s="128">
        <f t="shared" si="538"/>
        <v>14991055.765000001</v>
      </c>
      <c r="L2242" s="128">
        <f t="shared" si="538"/>
        <v>16095832.445099998</v>
      </c>
      <c r="M2242" s="128">
        <f t="shared" si="538"/>
        <v>0</v>
      </c>
      <c r="N2242" s="128">
        <f t="shared" si="538"/>
        <v>0</v>
      </c>
      <c r="O2242" s="128">
        <f t="shared" si="538"/>
        <v>14940097.746264549</v>
      </c>
      <c r="P2242" s="123" t="str">
        <f t="shared" si="527"/>
        <v/>
      </c>
    </row>
    <row r="2243" spans="1:16" s="114" customFormat="1" ht="15" x14ac:dyDescent="0.25">
      <c r="A2243" s="118"/>
      <c r="B2243" s="117"/>
      <c r="C2243" s="128"/>
      <c r="D2243" s="128"/>
      <c r="E2243" s="128"/>
      <c r="F2243" s="128"/>
      <c r="G2243" s="128"/>
      <c r="H2243" s="128"/>
      <c r="I2243" s="129">
        <f>'B&amp;T'!J361</f>
        <v>0</v>
      </c>
      <c r="J2243" s="129"/>
      <c r="K2243" s="129"/>
      <c r="L2243" s="129"/>
      <c r="M2243" s="186"/>
      <c r="N2243" s="186"/>
      <c r="O2243" s="128"/>
      <c r="P2243" s="123" t="str">
        <f t="shared" si="527"/>
        <v/>
      </c>
    </row>
    <row r="2244" spans="1:16" s="114" customFormat="1" ht="15" x14ac:dyDescent="0.25">
      <c r="A2244" s="118"/>
      <c r="B2244" s="117" t="s">
        <v>306</v>
      </c>
      <c r="C2244" s="128">
        <f>C2154+C2242</f>
        <v>-5516246</v>
      </c>
      <c r="D2244" s="128">
        <f t="shared" ref="D2244:O2244" si="539">D2154+D2242</f>
        <v>3589710.59</v>
      </c>
      <c r="E2244" s="128">
        <f t="shared" si="539"/>
        <v>0</v>
      </c>
      <c r="F2244" s="128">
        <f t="shared" si="539"/>
        <v>6026625.7700000005</v>
      </c>
      <c r="G2244" s="128">
        <f t="shared" si="539"/>
        <v>-11542871.770000001</v>
      </c>
      <c r="H2244" s="128">
        <f t="shared" si="539"/>
        <v>2065.15</v>
      </c>
      <c r="I2244" s="128">
        <f t="shared" si="539"/>
        <v>721376.72</v>
      </c>
      <c r="J2244" s="128">
        <f t="shared" si="539"/>
        <v>-6633415.2799999993</v>
      </c>
      <c r="K2244" s="128">
        <f t="shared" si="539"/>
        <v>-3965412.0799999982</v>
      </c>
      <c r="L2244" s="128">
        <f t="shared" si="539"/>
        <v>-7845921.6484600008</v>
      </c>
      <c r="M2244" s="128">
        <f t="shared" si="539"/>
        <v>0</v>
      </c>
      <c r="N2244" s="128">
        <f t="shared" si="539"/>
        <v>0</v>
      </c>
      <c r="O2244" s="128">
        <f t="shared" si="539"/>
        <v>-13260612.24778633</v>
      </c>
      <c r="P2244" s="123" t="str">
        <f t="shared" si="527"/>
        <v/>
      </c>
    </row>
    <row r="2245" spans="1:16" s="114" customFormat="1" ht="15" x14ac:dyDescent="0.25">
      <c r="A2245" s="118"/>
      <c r="B2245" s="117"/>
      <c r="C2245" s="128"/>
      <c r="D2245" s="128"/>
      <c r="E2245" s="128"/>
      <c r="F2245" s="128"/>
      <c r="G2245" s="128"/>
      <c r="H2245" s="128"/>
      <c r="I2245" s="129">
        <f>'B&amp;T'!J363</f>
        <v>0</v>
      </c>
      <c r="J2245" s="129"/>
      <c r="K2245" s="129"/>
      <c r="L2245" s="129"/>
      <c r="M2245" s="186"/>
      <c r="N2245" s="186"/>
      <c r="O2245" s="128"/>
      <c r="P2245" s="123" t="str">
        <f t="shared" si="527"/>
        <v/>
      </c>
    </row>
    <row r="2246" spans="1:16" s="114" customFormat="1" ht="15" x14ac:dyDescent="0.25">
      <c r="A2246" s="118"/>
      <c r="B2246" s="117" t="s">
        <v>308</v>
      </c>
      <c r="C2246" s="128"/>
      <c r="D2246" s="128"/>
      <c r="E2246" s="128"/>
      <c r="F2246" s="128"/>
      <c r="G2246" s="128"/>
      <c r="H2246" s="128"/>
      <c r="I2246" s="129">
        <f>'B&amp;T'!J364</f>
        <v>0</v>
      </c>
      <c r="J2246" s="129"/>
      <c r="K2246" s="129"/>
      <c r="L2246" s="129"/>
      <c r="M2246" s="186"/>
      <c r="N2246" s="186"/>
      <c r="O2246" s="128"/>
      <c r="P2246" s="123" t="str">
        <f t="shared" si="527"/>
        <v/>
      </c>
    </row>
    <row r="2247" spans="1:16" s="114" customFormat="1" ht="15" x14ac:dyDescent="0.25">
      <c r="A2247" s="118"/>
      <c r="B2247" s="117"/>
      <c r="C2247" s="128"/>
      <c r="D2247" s="128"/>
      <c r="E2247" s="128"/>
      <c r="F2247" s="128"/>
      <c r="G2247" s="128"/>
      <c r="H2247" s="128"/>
      <c r="I2247" s="129">
        <f>'B&amp;T'!J365</f>
        <v>0</v>
      </c>
      <c r="J2247" s="129"/>
      <c r="K2247" s="129"/>
      <c r="L2247" s="129"/>
      <c r="M2247" s="186"/>
      <c r="N2247" s="186"/>
      <c r="O2247" s="128"/>
      <c r="P2247" s="123" t="str">
        <f t="shared" ref="P2247:P2310" si="540">MID(A2247,6,3)</f>
        <v/>
      </c>
    </row>
    <row r="2248" spans="1:16" x14ac:dyDescent="0.2">
      <c r="A2248" s="119" t="s">
        <v>920</v>
      </c>
      <c r="B2248" s="120" t="s">
        <v>921</v>
      </c>
      <c r="C2248" s="129">
        <v>200000</v>
      </c>
      <c r="D2248" s="129">
        <v>0</v>
      </c>
      <c r="E2248" s="129">
        <v>0</v>
      </c>
      <c r="F2248" s="129">
        <v>0</v>
      </c>
      <c r="G2248" s="129">
        <v>200000</v>
      </c>
      <c r="H2248" s="129">
        <v>0</v>
      </c>
      <c r="I2248" s="129">
        <f>'B&amp;T'!J366</f>
        <v>40000</v>
      </c>
      <c r="J2248" s="129">
        <f>'B&amp;T'!K366</f>
        <v>240000</v>
      </c>
      <c r="K2248" s="129">
        <f>'B&amp;T'!L366</f>
        <v>200000</v>
      </c>
      <c r="L2248" s="129">
        <f>'B&amp;T'!M366</f>
        <v>0</v>
      </c>
      <c r="O2248" s="129">
        <f>'B&amp;T'!N366</f>
        <v>0</v>
      </c>
      <c r="P2248" s="123" t="str">
        <f t="shared" si="540"/>
        <v>191</v>
      </c>
    </row>
    <row r="2249" spans="1:16" x14ac:dyDescent="0.2">
      <c r="A2249" s="119"/>
      <c r="B2249" s="120"/>
      <c r="C2249" s="129"/>
      <c r="D2249" s="129"/>
      <c r="E2249" s="129"/>
      <c r="F2249" s="129"/>
      <c r="G2249" s="129"/>
      <c r="H2249" s="129"/>
      <c r="I2249" s="129">
        <f>'B&amp;T'!J367</f>
        <v>0</v>
      </c>
      <c r="J2249" s="129"/>
      <c r="K2249" s="129"/>
      <c r="L2249" s="129"/>
      <c r="O2249" s="129"/>
      <c r="P2249" s="123" t="str">
        <f t="shared" si="540"/>
        <v/>
      </c>
    </row>
    <row r="2250" spans="1:16" s="114" customFormat="1" ht="15" x14ac:dyDescent="0.25">
      <c r="A2250" s="118"/>
      <c r="B2250" s="117" t="s">
        <v>320</v>
      </c>
      <c r="C2250" s="128">
        <f>SUM(C2248:C2249)</f>
        <v>200000</v>
      </c>
      <c r="D2250" s="128">
        <f t="shared" ref="D2250:O2250" si="541">SUM(D2248:D2249)</f>
        <v>0</v>
      </c>
      <c r="E2250" s="128">
        <f t="shared" si="541"/>
        <v>0</v>
      </c>
      <c r="F2250" s="128">
        <f t="shared" si="541"/>
        <v>0</v>
      </c>
      <c r="G2250" s="128">
        <f t="shared" si="541"/>
        <v>200000</v>
      </c>
      <c r="H2250" s="128">
        <f t="shared" si="541"/>
        <v>0</v>
      </c>
      <c r="I2250" s="128">
        <f t="shared" si="541"/>
        <v>40000</v>
      </c>
      <c r="J2250" s="128">
        <f t="shared" si="541"/>
        <v>240000</v>
      </c>
      <c r="K2250" s="128">
        <f t="shared" si="541"/>
        <v>200000</v>
      </c>
      <c r="L2250" s="128">
        <f t="shared" si="541"/>
        <v>0</v>
      </c>
      <c r="M2250" s="128">
        <f t="shared" si="541"/>
        <v>0</v>
      </c>
      <c r="N2250" s="128">
        <f t="shared" si="541"/>
        <v>0</v>
      </c>
      <c r="O2250" s="128">
        <f t="shared" si="541"/>
        <v>0</v>
      </c>
      <c r="P2250" s="123" t="str">
        <f t="shared" si="540"/>
        <v/>
      </c>
    </row>
    <row r="2251" spans="1:16" x14ac:dyDescent="0.2">
      <c r="A2251" s="119"/>
      <c r="B2251" s="120"/>
      <c r="C2251" s="129"/>
      <c r="D2251" s="129"/>
      <c r="E2251" s="129"/>
      <c r="F2251" s="129"/>
      <c r="G2251" s="129"/>
      <c r="H2251" s="129"/>
      <c r="I2251" s="129">
        <f>'B&amp;T'!J369</f>
        <v>0</v>
      </c>
      <c r="J2251" s="129"/>
      <c r="K2251" s="129"/>
      <c r="L2251" s="129"/>
      <c r="O2251" s="129"/>
      <c r="P2251" s="123" t="str">
        <f t="shared" si="540"/>
        <v/>
      </c>
    </row>
    <row r="2252" spans="1:16" s="114" customFormat="1" ht="15" x14ac:dyDescent="0.25">
      <c r="A2252" s="118"/>
      <c r="B2252" s="117" t="s">
        <v>922</v>
      </c>
      <c r="C2252" s="128"/>
      <c r="D2252" s="128"/>
      <c r="E2252" s="128"/>
      <c r="F2252" s="128"/>
      <c r="G2252" s="128"/>
      <c r="H2252" s="128"/>
      <c r="I2252" s="129">
        <f ca="1">'B&amp;T'!J370</f>
        <v>0</v>
      </c>
      <c r="J2252" s="129"/>
      <c r="K2252" s="129"/>
      <c r="L2252" s="129"/>
      <c r="M2252" s="186"/>
      <c r="N2252" s="186"/>
      <c r="O2252" s="128"/>
      <c r="P2252" s="123" t="str">
        <f t="shared" si="540"/>
        <v/>
      </c>
    </row>
    <row r="2253" spans="1:16" s="114" customFormat="1" ht="15" x14ac:dyDescent="0.25">
      <c r="A2253" s="118"/>
      <c r="B2253" s="117" t="s">
        <v>96</v>
      </c>
      <c r="C2253" s="128"/>
      <c r="D2253" s="128"/>
      <c r="E2253" s="128"/>
      <c r="F2253" s="128"/>
      <c r="G2253" s="128"/>
      <c r="H2253" s="128"/>
      <c r="I2253" s="129">
        <f ca="1">'B&amp;T'!J371</f>
        <v>0</v>
      </c>
      <c r="J2253" s="129"/>
      <c r="K2253" s="129"/>
      <c r="L2253" s="129"/>
      <c r="M2253" s="186"/>
      <c r="N2253" s="186"/>
      <c r="O2253" s="128"/>
      <c r="P2253" s="123" t="str">
        <f t="shared" si="540"/>
        <v/>
      </c>
    </row>
    <row r="2254" spans="1:16" s="114" customFormat="1" ht="15" x14ac:dyDescent="0.25">
      <c r="A2254" s="118"/>
      <c r="B2254" s="117" t="s">
        <v>97</v>
      </c>
      <c r="C2254" s="128"/>
      <c r="D2254" s="128"/>
      <c r="E2254" s="128"/>
      <c r="F2254" s="128"/>
      <c r="G2254" s="128"/>
      <c r="H2254" s="128"/>
      <c r="I2254" s="129">
        <f ca="1">'B&amp;T'!J372</f>
        <v>0</v>
      </c>
      <c r="J2254" s="129"/>
      <c r="K2254" s="129"/>
      <c r="L2254" s="129"/>
      <c r="M2254" s="186"/>
      <c r="N2254" s="186"/>
      <c r="O2254" s="128"/>
      <c r="P2254" s="123" t="str">
        <f t="shared" si="540"/>
        <v/>
      </c>
    </row>
    <row r="2255" spans="1:16" s="114" customFormat="1" ht="15" x14ac:dyDescent="0.25">
      <c r="A2255" s="118"/>
      <c r="B2255" s="117" t="s">
        <v>148</v>
      </c>
      <c r="C2255" s="128"/>
      <c r="D2255" s="128"/>
      <c r="E2255" s="128"/>
      <c r="F2255" s="128"/>
      <c r="G2255" s="128"/>
      <c r="H2255" s="128"/>
      <c r="I2255" s="129">
        <f ca="1">'B&amp;T'!J373</f>
        <v>0</v>
      </c>
      <c r="J2255" s="129"/>
      <c r="K2255" s="129"/>
      <c r="L2255" s="129"/>
      <c r="M2255" s="186"/>
      <c r="N2255" s="186"/>
      <c r="O2255" s="128"/>
      <c r="P2255" s="123" t="str">
        <f t="shared" si="540"/>
        <v/>
      </c>
    </row>
    <row r="2256" spans="1:16" s="114" customFormat="1" ht="15" x14ac:dyDescent="0.25">
      <c r="A2256" s="118"/>
      <c r="B2256" s="117" t="s">
        <v>149</v>
      </c>
      <c r="C2256" s="128"/>
      <c r="D2256" s="128"/>
      <c r="E2256" s="128"/>
      <c r="F2256" s="128"/>
      <c r="G2256" s="128"/>
      <c r="H2256" s="128"/>
      <c r="I2256" s="129">
        <f ca="1">'B&amp;T'!J374</f>
        <v>0</v>
      </c>
      <c r="J2256" s="129"/>
      <c r="K2256" s="129"/>
      <c r="L2256" s="129"/>
      <c r="M2256" s="186"/>
      <c r="N2256" s="186"/>
      <c r="O2256" s="128"/>
      <c r="P2256" s="123" t="str">
        <f t="shared" si="540"/>
        <v/>
      </c>
    </row>
    <row r="2257" spans="1:16" x14ac:dyDescent="0.2">
      <c r="A2257" s="119"/>
      <c r="B2257" s="120"/>
      <c r="C2257" s="129"/>
      <c r="D2257" s="129"/>
      <c r="E2257" s="129"/>
      <c r="F2257" s="129"/>
      <c r="G2257" s="129"/>
      <c r="H2257" s="129"/>
      <c r="I2257" s="129">
        <f>'B&amp;T'!J375</f>
        <v>0</v>
      </c>
      <c r="J2257" s="129"/>
      <c r="K2257" s="129"/>
      <c r="L2257" s="129"/>
      <c r="O2257" s="129"/>
      <c r="P2257" s="123" t="str">
        <f t="shared" si="540"/>
        <v/>
      </c>
    </row>
    <row r="2258" spans="1:16" x14ac:dyDescent="0.2">
      <c r="A2258" s="119" t="s">
        <v>923</v>
      </c>
      <c r="B2258" s="120" t="s">
        <v>150</v>
      </c>
      <c r="C2258" s="129">
        <v>2016139</v>
      </c>
      <c r="D2258" s="129">
        <v>124102.22</v>
      </c>
      <c r="E2258" s="129">
        <v>0</v>
      </c>
      <c r="F2258" s="129">
        <v>741661.16</v>
      </c>
      <c r="G2258" s="129">
        <v>1274477.8400000001</v>
      </c>
      <c r="H2258" s="129">
        <v>36.78</v>
      </c>
      <c r="I2258" s="129">
        <f>'B&amp;T'!J376</f>
        <v>0</v>
      </c>
      <c r="J2258" s="129">
        <f>'B&amp;T'!K376</f>
        <v>2016139</v>
      </c>
      <c r="K2258" s="129">
        <f>'B&amp;T'!L376</f>
        <v>2142147.6875</v>
      </c>
      <c r="L2258" s="129">
        <f>'B&amp;T'!M376</f>
        <v>2292098.0256249998</v>
      </c>
      <c r="O2258" s="129">
        <f>'B&amp;T'!N376</f>
        <v>2452544.8874187497</v>
      </c>
      <c r="P2258" s="123" t="str">
        <f t="shared" si="540"/>
        <v>110</v>
      </c>
    </row>
    <row r="2259" spans="1:16" x14ac:dyDescent="0.2">
      <c r="A2259" s="119" t="s">
        <v>924</v>
      </c>
      <c r="B2259" s="120" t="s">
        <v>150</v>
      </c>
      <c r="C2259" s="129">
        <v>80600</v>
      </c>
      <c r="D2259" s="129">
        <v>5000</v>
      </c>
      <c r="E2259" s="129">
        <v>0</v>
      </c>
      <c r="F2259" s="129">
        <v>31125</v>
      </c>
      <c r="G2259" s="129">
        <v>49475</v>
      </c>
      <c r="H2259" s="129">
        <v>38.61</v>
      </c>
      <c r="I2259" s="129">
        <f>'B&amp;T'!J377</f>
        <v>0</v>
      </c>
      <c r="J2259" s="129">
        <f>'B&amp;T'!K377</f>
        <v>80600</v>
      </c>
      <c r="K2259" s="129">
        <f>'B&amp;T'!L377</f>
        <v>85637.5</v>
      </c>
      <c r="L2259" s="129">
        <f>'B&amp;T'!M377</f>
        <v>91632.125</v>
      </c>
      <c r="O2259" s="129">
        <f>'B&amp;T'!N377</f>
        <v>98046.373749999999</v>
      </c>
      <c r="P2259" s="123" t="str">
        <f t="shared" si="540"/>
        <v>110</v>
      </c>
    </row>
    <row r="2260" spans="1:16" x14ac:dyDescent="0.2">
      <c r="A2260" s="119" t="s">
        <v>925</v>
      </c>
      <c r="B2260" s="120" t="s">
        <v>151</v>
      </c>
      <c r="C2260" s="129">
        <v>83607</v>
      </c>
      <c r="D2260" s="129">
        <v>42335.45</v>
      </c>
      <c r="E2260" s="129">
        <v>0</v>
      </c>
      <c r="F2260" s="129">
        <v>148731.96</v>
      </c>
      <c r="G2260" s="129">
        <v>-65124.959999999999</v>
      </c>
      <c r="H2260" s="129">
        <v>177.89</v>
      </c>
      <c r="I2260" s="129">
        <f>'B&amp;T'!J378</f>
        <v>-41271.550000000003</v>
      </c>
      <c r="J2260" s="129">
        <f>'B&amp;T'!K378</f>
        <v>42335.45</v>
      </c>
      <c r="K2260" s="129">
        <f>'B&amp;T'!L378</f>
        <v>44981.415624999994</v>
      </c>
      <c r="L2260" s="129">
        <f>'B&amp;T'!M378</f>
        <v>48130.114718749996</v>
      </c>
      <c r="O2260" s="129">
        <f>'B&amp;T'!N378</f>
        <v>51499.222749062494</v>
      </c>
      <c r="P2260" s="123" t="str">
        <f t="shared" si="540"/>
        <v>110</v>
      </c>
    </row>
    <row r="2261" spans="1:16" x14ac:dyDescent="0.2">
      <c r="A2261" s="119" t="s">
        <v>926</v>
      </c>
      <c r="B2261" s="120" t="s">
        <v>152</v>
      </c>
      <c r="C2261" s="129">
        <v>52200</v>
      </c>
      <c r="D2261" s="129">
        <v>1172.75</v>
      </c>
      <c r="E2261" s="129">
        <v>0</v>
      </c>
      <c r="F2261" s="129">
        <v>7036.5</v>
      </c>
      <c r="G2261" s="129">
        <v>45163.5</v>
      </c>
      <c r="H2261" s="129">
        <v>13.47</v>
      </c>
      <c r="I2261" s="129">
        <f>'B&amp;T'!J379</f>
        <v>0</v>
      </c>
      <c r="J2261" s="129">
        <f>'B&amp;T'!K379</f>
        <v>52200</v>
      </c>
      <c r="K2261" s="129">
        <f>'B&amp;T'!L379</f>
        <v>55462.5</v>
      </c>
      <c r="L2261" s="129">
        <f>'B&amp;T'!M379</f>
        <v>59344.875</v>
      </c>
      <c r="O2261" s="129">
        <f>'B&amp;T'!N379</f>
        <v>63499.016250000001</v>
      </c>
      <c r="P2261" s="123" t="str">
        <f t="shared" si="540"/>
        <v>110</v>
      </c>
    </row>
    <row r="2262" spans="1:16" x14ac:dyDescent="0.2">
      <c r="A2262" s="119" t="s">
        <v>927</v>
      </c>
      <c r="B2262" s="120" t="s">
        <v>153</v>
      </c>
      <c r="C2262" s="129">
        <v>10893</v>
      </c>
      <c r="D2262" s="129">
        <v>907.77</v>
      </c>
      <c r="E2262" s="129">
        <v>0</v>
      </c>
      <c r="F2262" s="129">
        <v>5446.62</v>
      </c>
      <c r="G2262" s="129">
        <v>5446.38</v>
      </c>
      <c r="H2262" s="129">
        <v>50</v>
      </c>
      <c r="I2262" s="129">
        <f>'B&amp;T'!J380</f>
        <v>0</v>
      </c>
      <c r="J2262" s="129">
        <f>'B&amp;T'!K380</f>
        <v>10893</v>
      </c>
      <c r="K2262" s="129">
        <f>'B&amp;T'!L380</f>
        <v>11573.8125</v>
      </c>
      <c r="L2262" s="129">
        <f>'B&amp;T'!M380</f>
        <v>12383.979375000001</v>
      </c>
      <c r="O2262" s="129">
        <f>'B&amp;T'!N380</f>
        <v>13250.857931250001</v>
      </c>
      <c r="P2262" s="123" t="str">
        <f t="shared" si="540"/>
        <v>110</v>
      </c>
    </row>
    <row r="2263" spans="1:16" x14ac:dyDescent="0.2">
      <c r="A2263" s="119" t="s">
        <v>928</v>
      </c>
      <c r="B2263" s="120" t="s">
        <v>155</v>
      </c>
      <c r="C2263" s="129">
        <v>59373</v>
      </c>
      <c r="D2263" s="129">
        <v>0</v>
      </c>
      <c r="E2263" s="129">
        <v>0</v>
      </c>
      <c r="F2263" s="129">
        <v>0</v>
      </c>
      <c r="G2263" s="129">
        <v>59373</v>
      </c>
      <c r="H2263" s="129">
        <v>0</v>
      </c>
      <c r="I2263" s="129">
        <f>'B&amp;T'!J381</f>
        <v>0</v>
      </c>
      <c r="J2263" s="129">
        <f>'B&amp;T'!K381</f>
        <v>59373</v>
      </c>
      <c r="K2263" s="129">
        <f>'B&amp;T'!L381</f>
        <v>63083.8125</v>
      </c>
      <c r="L2263" s="129">
        <f>'B&amp;T'!M381</f>
        <v>67499.679375000007</v>
      </c>
      <c r="O2263" s="129">
        <f>'B&amp;T'!N381</f>
        <v>72224.656931250007</v>
      </c>
      <c r="P2263" s="123" t="str">
        <f t="shared" si="540"/>
        <v>110</v>
      </c>
    </row>
    <row r="2264" spans="1:16" x14ac:dyDescent="0.2">
      <c r="A2264" s="119" t="s">
        <v>929</v>
      </c>
      <c r="B2264" s="120" t="s">
        <v>156</v>
      </c>
      <c r="C2264" s="129">
        <v>307875</v>
      </c>
      <c r="D2264" s="129">
        <v>19183.849999999999</v>
      </c>
      <c r="E2264" s="129">
        <v>0</v>
      </c>
      <c r="F2264" s="129">
        <v>114653.64</v>
      </c>
      <c r="G2264" s="129">
        <v>193221.36</v>
      </c>
      <c r="H2264" s="129">
        <v>37.24</v>
      </c>
      <c r="I2264" s="129">
        <f>'B&amp;T'!J382</f>
        <v>0</v>
      </c>
      <c r="J2264" s="129">
        <f>'B&amp;T'!K382</f>
        <v>307875</v>
      </c>
      <c r="K2264" s="129">
        <f>'B&amp;T'!L382</f>
        <v>327117.1875</v>
      </c>
      <c r="L2264" s="129">
        <f>'B&amp;T'!M382</f>
        <v>350015.390625</v>
      </c>
      <c r="O2264" s="129">
        <f>'B&amp;T'!N382</f>
        <v>374516.46796874999</v>
      </c>
      <c r="P2264" s="123" t="str">
        <f t="shared" si="540"/>
        <v>110</v>
      </c>
    </row>
    <row r="2265" spans="1:16" x14ac:dyDescent="0.2">
      <c r="A2265" s="119" t="s">
        <v>930</v>
      </c>
      <c r="B2265" s="120" t="s">
        <v>157</v>
      </c>
      <c r="C2265" s="129">
        <v>10516</v>
      </c>
      <c r="D2265" s="129">
        <v>0</v>
      </c>
      <c r="E2265" s="129">
        <v>0</v>
      </c>
      <c r="F2265" s="129">
        <v>8217.1</v>
      </c>
      <c r="G2265" s="129">
        <v>2298.9</v>
      </c>
      <c r="H2265" s="129">
        <v>78.13</v>
      </c>
      <c r="I2265" s="129">
        <f>'B&amp;T'!J383</f>
        <v>0</v>
      </c>
      <c r="J2265" s="129">
        <f>'B&amp;T'!K383</f>
        <v>10516</v>
      </c>
      <c r="K2265" s="129">
        <f>'B&amp;T'!L383</f>
        <v>11173.25</v>
      </c>
      <c r="L2265" s="129">
        <f>'B&amp;T'!M383</f>
        <v>11955.377500000001</v>
      </c>
      <c r="O2265" s="129">
        <f>'B&amp;T'!N383</f>
        <v>12792.253925000001</v>
      </c>
      <c r="P2265" s="123" t="str">
        <f t="shared" si="540"/>
        <v>110</v>
      </c>
    </row>
    <row r="2266" spans="1:16" x14ac:dyDescent="0.2">
      <c r="A2266" s="119" t="s">
        <v>931</v>
      </c>
      <c r="B2266" s="120" t="s">
        <v>158</v>
      </c>
      <c r="C2266" s="129">
        <v>11138</v>
      </c>
      <c r="D2266" s="129">
        <v>0</v>
      </c>
      <c r="E2266" s="129">
        <v>0</v>
      </c>
      <c r="F2266" s="129">
        <v>0</v>
      </c>
      <c r="G2266" s="129">
        <v>11138</v>
      </c>
      <c r="H2266" s="129">
        <v>0</v>
      </c>
      <c r="I2266" s="129">
        <f>'B&amp;T'!J384</f>
        <v>0</v>
      </c>
      <c r="J2266" s="129">
        <f>'B&amp;T'!K384</f>
        <v>11138</v>
      </c>
      <c r="K2266" s="129">
        <f>'B&amp;T'!L384</f>
        <v>11834.125</v>
      </c>
      <c r="L2266" s="129">
        <f>'B&amp;T'!M384</f>
        <v>12662.51375</v>
      </c>
      <c r="O2266" s="129">
        <f>'B&amp;T'!N384</f>
        <v>13548.8897125</v>
      </c>
      <c r="P2266" s="123" t="str">
        <f t="shared" si="540"/>
        <v>110</v>
      </c>
    </row>
    <row r="2267" spans="1:16" x14ac:dyDescent="0.2">
      <c r="A2267" s="119" t="s">
        <v>932</v>
      </c>
      <c r="B2267" s="120" t="s">
        <v>159</v>
      </c>
      <c r="C2267" s="129">
        <v>168012</v>
      </c>
      <c r="D2267" s="129">
        <v>0</v>
      </c>
      <c r="E2267" s="129">
        <v>0</v>
      </c>
      <c r="F2267" s="129">
        <v>0</v>
      </c>
      <c r="G2267" s="129">
        <v>168012</v>
      </c>
      <c r="H2267" s="129">
        <v>0</v>
      </c>
      <c r="I2267" s="129">
        <f>'B&amp;T'!J385</f>
        <v>0</v>
      </c>
      <c r="J2267" s="129">
        <f>'B&amp;T'!K385</f>
        <v>168012</v>
      </c>
      <c r="K2267" s="129">
        <f>'B&amp;T'!L385</f>
        <v>178512.75</v>
      </c>
      <c r="L2267" s="129">
        <f>'B&amp;T'!M385</f>
        <v>191008.64249999999</v>
      </c>
      <c r="O2267" s="129">
        <f>'B&amp;T'!N385</f>
        <v>204379.24747499998</v>
      </c>
      <c r="P2267" s="123" t="str">
        <f t="shared" si="540"/>
        <v>110</v>
      </c>
    </row>
    <row r="2268" spans="1:16" x14ac:dyDescent="0.2">
      <c r="A2268" s="119" t="s">
        <v>933</v>
      </c>
      <c r="B2268" s="120" t="s">
        <v>161</v>
      </c>
      <c r="C2268" s="129">
        <v>21018</v>
      </c>
      <c r="D2268" s="129">
        <v>0</v>
      </c>
      <c r="E2268" s="129">
        <v>0</v>
      </c>
      <c r="F2268" s="129">
        <v>16247.92</v>
      </c>
      <c r="G2268" s="129">
        <v>4770.08</v>
      </c>
      <c r="H2268" s="129">
        <v>77.3</v>
      </c>
      <c r="I2268" s="129">
        <f>'B&amp;T'!J386</f>
        <v>0</v>
      </c>
      <c r="J2268" s="129">
        <f>'B&amp;T'!K386</f>
        <v>21018</v>
      </c>
      <c r="K2268" s="129">
        <f>'B&amp;T'!L386</f>
        <v>22331.625</v>
      </c>
      <c r="L2268" s="129">
        <f>'B&amp;T'!M386</f>
        <v>23894.838749999999</v>
      </c>
      <c r="O2268" s="129">
        <f>'B&amp;T'!N386</f>
        <v>25567.477462499999</v>
      </c>
      <c r="P2268" s="123" t="str">
        <f t="shared" si="540"/>
        <v>110</v>
      </c>
    </row>
    <row r="2269" spans="1:16" x14ac:dyDescent="0.2">
      <c r="A2269" s="119" t="s">
        <v>934</v>
      </c>
      <c r="B2269" s="120" t="s">
        <v>164</v>
      </c>
      <c r="C2269" s="129">
        <v>15692</v>
      </c>
      <c r="D2269" s="129">
        <v>1307.7</v>
      </c>
      <c r="E2269" s="129">
        <v>0</v>
      </c>
      <c r="F2269" s="129">
        <v>7846.2</v>
      </c>
      <c r="G2269" s="129">
        <v>7845.8</v>
      </c>
      <c r="H2269" s="129">
        <v>50</v>
      </c>
      <c r="I2269" s="129">
        <f>'B&amp;T'!J387</f>
        <v>0</v>
      </c>
      <c r="J2269" s="129">
        <f>'B&amp;T'!K387</f>
        <v>15692</v>
      </c>
      <c r="K2269" s="129">
        <f>'B&amp;T'!L387</f>
        <v>16672.75</v>
      </c>
      <c r="L2269" s="129">
        <f>'B&amp;T'!M387</f>
        <v>17839.842499999999</v>
      </c>
      <c r="O2269" s="129">
        <f>'B&amp;T'!N387</f>
        <v>19088.631474999998</v>
      </c>
      <c r="P2269" s="123" t="str">
        <f t="shared" si="540"/>
        <v>110</v>
      </c>
    </row>
    <row r="2270" spans="1:16" x14ac:dyDescent="0.2">
      <c r="A2270" s="119"/>
      <c r="B2270" s="120"/>
      <c r="C2270" s="129"/>
      <c r="D2270" s="129"/>
      <c r="E2270" s="129"/>
      <c r="F2270" s="129"/>
      <c r="G2270" s="129"/>
      <c r="H2270" s="129"/>
      <c r="I2270" s="129">
        <f>'B&amp;T'!J388</f>
        <v>0</v>
      </c>
      <c r="J2270" s="129"/>
      <c r="K2270" s="129"/>
      <c r="L2270" s="129"/>
      <c r="O2270" s="129"/>
      <c r="P2270" s="123" t="str">
        <f t="shared" si="540"/>
        <v/>
      </c>
    </row>
    <row r="2271" spans="1:16" s="114" customFormat="1" ht="15" x14ac:dyDescent="0.25">
      <c r="A2271" s="118"/>
      <c r="B2271" s="117" t="s">
        <v>165</v>
      </c>
      <c r="C2271" s="128">
        <f>SUM(C2258:C2270)</f>
        <v>2837063</v>
      </c>
      <c r="D2271" s="128">
        <f t="shared" ref="D2271:O2271" si="542">SUM(D2258:D2270)</f>
        <v>194009.74</v>
      </c>
      <c r="E2271" s="128">
        <f t="shared" si="542"/>
        <v>0</v>
      </c>
      <c r="F2271" s="128">
        <f t="shared" si="542"/>
        <v>1080966.0999999999</v>
      </c>
      <c r="G2271" s="128">
        <f t="shared" si="542"/>
        <v>1756096.9000000001</v>
      </c>
      <c r="H2271" s="128">
        <f t="shared" si="542"/>
        <v>559.42000000000007</v>
      </c>
      <c r="I2271" s="128">
        <f t="shared" si="542"/>
        <v>-41271.550000000003</v>
      </c>
      <c r="J2271" s="128">
        <f t="shared" si="542"/>
        <v>2795791.45</v>
      </c>
      <c r="K2271" s="128">
        <f t="shared" si="542"/>
        <v>2970528.4156249999</v>
      </c>
      <c r="L2271" s="128">
        <f t="shared" si="542"/>
        <v>3178465.4047187497</v>
      </c>
      <c r="M2271" s="128">
        <f t="shared" si="542"/>
        <v>0</v>
      </c>
      <c r="N2271" s="128">
        <f t="shared" si="542"/>
        <v>0</v>
      </c>
      <c r="O2271" s="128">
        <f t="shared" si="542"/>
        <v>3400957.9830490611</v>
      </c>
      <c r="P2271" s="123" t="str">
        <f t="shared" si="540"/>
        <v/>
      </c>
    </row>
    <row r="2272" spans="1:16" s="114" customFormat="1" ht="15" x14ac:dyDescent="0.25">
      <c r="A2272" s="118"/>
      <c r="B2272" s="117"/>
      <c r="C2272" s="128"/>
      <c r="D2272" s="128"/>
      <c r="E2272" s="128"/>
      <c r="F2272" s="128"/>
      <c r="G2272" s="128"/>
      <c r="H2272" s="128"/>
      <c r="I2272" s="129">
        <f>'B&amp;T'!J390</f>
        <v>0</v>
      </c>
      <c r="J2272" s="129"/>
      <c r="K2272" s="129"/>
      <c r="L2272" s="129"/>
      <c r="M2272" s="186"/>
      <c r="N2272" s="186"/>
      <c r="O2272" s="128"/>
      <c r="P2272" s="123" t="str">
        <f t="shared" si="540"/>
        <v/>
      </c>
    </row>
    <row r="2273" spans="1:16" s="114" customFormat="1" ht="15" x14ac:dyDescent="0.25">
      <c r="A2273" s="118"/>
      <c r="B2273" s="117" t="s">
        <v>166</v>
      </c>
      <c r="C2273" s="128"/>
      <c r="D2273" s="128"/>
      <c r="E2273" s="128"/>
      <c r="F2273" s="128"/>
      <c r="G2273" s="128"/>
      <c r="H2273" s="128"/>
      <c r="I2273" s="129">
        <f>'B&amp;T'!J391</f>
        <v>0</v>
      </c>
      <c r="J2273" s="129"/>
      <c r="K2273" s="129"/>
      <c r="L2273" s="129"/>
      <c r="M2273" s="186"/>
      <c r="N2273" s="186"/>
      <c r="O2273" s="128"/>
      <c r="P2273" s="123" t="str">
        <f t="shared" si="540"/>
        <v/>
      </c>
    </row>
    <row r="2274" spans="1:16" x14ac:dyDescent="0.2">
      <c r="A2274" s="119"/>
      <c r="B2274" s="120"/>
      <c r="C2274" s="129"/>
      <c r="D2274" s="129"/>
      <c r="E2274" s="129"/>
      <c r="F2274" s="129"/>
      <c r="G2274" s="129"/>
      <c r="H2274" s="129"/>
      <c r="I2274" s="129">
        <f>'B&amp;T'!J392</f>
        <v>0</v>
      </c>
      <c r="J2274" s="129"/>
      <c r="K2274" s="129"/>
      <c r="L2274" s="129"/>
      <c r="O2274" s="129"/>
      <c r="P2274" s="123" t="str">
        <f t="shared" si="540"/>
        <v/>
      </c>
    </row>
    <row r="2275" spans="1:16" x14ac:dyDescent="0.2">
      <c r="A2275" s="119" t="s">
        <v>935</v>
      </c>
      <c r="B2275" s="120" t="s">
        <v>167</v>
      </c>
      <c r="C2275" s="129">
        <v>674</v>
      </c>
      <c r="D2275" s="129">
        <v>46.6</v>
      </c>
      <c r="E2275" s="129">
        <v>0</v>
      </c>
      <c r="F2275" s="129">
        <v>279.60000000000002</v>
      </c>
      <c r="G2275" s="129">
        <v>394.4</v>
      </c>
      <c r="H2275" s="129">
        <v>41.48</v>
      </c>
      <c r="I2275" s="129">
        <f>'B&amp;T'!J393</f>
        <v>0</v>
      </c>
      <c r="J2275" s="129">
        <f>'B&amp;T'!K393</f>
        <v>674</v>
      </c>
      <c r="K2275" s="129">
        <f>'B&amp;T'!L393</f>
        <v>716.125</v>
      </c>
      <c r="L2275" s="129">
        <f>'B&amp;T'!M393</f>
        <v>766.25374999999997</v>
      </c>
      <c r="O2275" s="129">
        <f>'B&amp;T'!N393</f>
        <v>819.89151249999998</v>
      </c>
      <c r="P2275" s="123" t="str">
        <f t="shared" si="540"/>
        <v>130</v>
      </c>
    </row>
    <row r="2276" spans="1:16" x14ac:dyDescent="0.2">
      <c r="A2276" s="119" t="s">
        <v>936</v>
      </c>
      <c r="B2276" s="120" t="s">
        <v>168</v>
      </c>
      <c r="C2276" s="129">
        <v>161725</v>
      </c>
      <c r="D2276" s="129">
        <v>3093</v>
      </c>
      <c r="E2276" s="129">
        <v>0</v>
      </c>
      <c r="F2276" s="129">
        <v>20144.400000000001</v>
      </c>
      <c r="G2276" s="129">
        <v>141580.6</v>
      </c>
      <c r="H2276" s="129">
        <v>12.45</v>
      </c>
      <c r="I2276" s="129">
        <f>'B&amp;T'!J394</f>
        <v>-100000</v>
      </c>
      <c r="J2276" s="129">
        <f>'B&amp;T'!K394</f>
        <v>61725</v>
      </c>
      <c r="K2276" s="129">
        <f>'B&amp;T'!L394</f>
        <v>65582.8125</v>
      </c>
      <c r="L2276" s="129">
        <f>'B&amp;T'!M394</f>
        <v>70173.609375</v>
      </c>
      <c r="O2276" s="129">
        <f>'B&amp;T'!N394</f>
        <v>75085.762031249993</v>
      </c>
      <c r="P2276" s="123" t="str">
        <f t="shared" si="540"/>
        <v>130</v>
      </c>
    </row>
    <row r="2277" spans="1:16" x14ac:dyDescent="0.2">
      <c r="A2277" s="119" t="s">
        <v>937</v>
      </c>
      <c r="B2277" s="120" t="s">
        <v>169</v>
      </c>
      <c r="C2277" s="129">
        <v>443551</v>
      </c>
      <c r="D2277" s="129">
        <v>24233.07</v>
      </c>
      <c r="E2277" s="129">
        <v>0</v>
      </c>
      <c r="F2277" s="129">
        <v>144820.85999999999</v>
      </c>
      <c r="G2277" s="129">
        <v>298730.14</v>
      </c>
      <c r="H2277" s="129">
        <v>32.65</v>
      </c>
      <c r="I2277" s="129">
        <f>'B&amp;T'!J395</f>
        <v>0</v>
      </c>
      <c r="J2277" s="129">
        <f>'B&amp;T'!K395</f>
        <v>443551</v>
      </c>
      <c r="K2277" s="129">
        <f>'B&amp;T'!L395</f>
        <v>471272.9375</v>
      </c>
      <c r="L2277" s="129">
        <f>'B&amp;T'!M395</f>
        <v>504262.04312499997</v>
      </c>
      <c r="O2277" s="129">
        <f>'B&amp;T'!N395</f>
        <v>539560.38614374993</v>
      </c>
      <c r="P2277" s="123" t="str">
        <f t="shared" si="540"/>
        <v>130</v>
      </c>
    </row>
    <row r="2278" spans="1:16" x14ac:dyDescent="0.2">
      <c r="A2278" s="119" t="s">
        <v>938</v>
      </c>
      <c r="B2278" s="120" t="s">
        <v>170</v>
      </c>
      <c r="C2278" s="129">
        <v>10710</v>
      </c>
      <c r="D2278" s="129">
        <v>743.6</v>
      </c>
      <c r="E2278" s="129">
        <v>0</v>
      </c>
      <c r="F2278" s="129">
        <v>4461.6000000000004</v>
      </c>
      <c r="G2278" s="129">
        <v>6248.4</v>
      </c>
      <c r="H2278" s="129">
        <v>41.65</v>
      </c>
      <c r="I2278" s="129">
        <f>'B&amp;T'!J396</f>
        <v>0</v>
      </c>
      <c r="J2278" s="129">
        <f>'B&amp;T'!K396</f>
        <v>10710</v>
      </c>
      <c r="K2278" s="129">
        <f>'B&amp;T'!L396</f>
        <v>11379.375</v>
      </c>
      <c r="L2278" s="129">
        <f>'B&amp;T'!M396</f>
        <v>12175.93125</v>
      </c>
      <c r="O2278" s="129">
        <f>'B&amp;T'!N396</f>
        <v>13028.2464375</v>
      </c>
      <c r="P2278" s="123" t="str">
        <f t="shared" si="540"/>
        <v>130</v>
      </c>
    </row>
    <row r="2279" spans="1:16" x14ac:dyDescent="0.2">
      <c r="A2279" s="119" t="s">
        <v>939</v>
      </c>
      <c r="B2279" s="120" t="s">
        <v>170</v>
      </c>
      <c r="C2279" s="129">
        <v>0</v>
      </c>
      <c r="D2279" s="129">
        <v>50</v>
      </c>
      <c r="E2279" s="129">
        <v>0</v>
      </c>
      <c r="F2279" s="129">
        <v>311.25</v>
      </c>
      <c r="G2279" s="129">
        <v>-311.25</v>
      </c>
      <c r="H2279" s="129">
        <v>0</v>
      </c>
      <c r="I2279" s="129">
        <f>'B&amp;T'!J397</f>
        <v>0</v>
      </c>
      <c r="J2279" s="129">
        <f>'B&amp;T'!K397</f>
        <v>0</v>
      </c>
      <c r="K2279" s="129">
        <f>'B&amp;T'!L397</f>
        <v>0</v>
      </c>
      <c r="L2279" s="129">
        <f>'B&amp;T'!M397</f>
        <v>0</v>
      </c>
      <c r="O2279" s="129">
        <f>'B&amp;T'!N397</f>
        <v>0</v>
      </c>
      <c r="P2279" s="123" t="str">
        <f t="shared" si="540"/>
        <v>130</v>
      </c>
    </row>
    <row r="2280" spans="1:16" x14ac:dyDescent="0.2">
      <c r="A2280" s="119"/>
      <c r="B2280" s="120"/>
      <c r="C2280" s="129"/>
      <c r="D2280" s="129"/>
      <c r="E2280" s="129"/>
      <c r="F2280" s="129"/>
      <c r="G2280" s="129"/>
      <c r="H2280" s="129"/>
      <c r="I2280" s="129">
        <f>'B&amp;T'!J398</f>
        <v>0</v>
      </c>
      <c r="J2280" s="129"/>
      <c r="K2280" s="129"/>
      <c r="L2280" s="129"/>
      <c r="O2280" s="129"/>
      <c r="P2280" s="123" t="str">
        <f t="shared" si="540"/>
        <v/>
      </c>
    </row>
    <row r="2281" spans="1:16" s="114" customFormat="1" ht="15" x14ac:dyDescent="0.25">
      <c r="A2281" s="118"/>
      <c r="B2281" s="117" t="s">
        <v>171</v>
      </c>
      <c r="C2281" s="128">
        <f>SUM(C2275:C2280)</f>
        <v>616660</v>
      </c>
      <c r="D2281" s="128">
        <f t="shared" ref="D2281:O2281" si="543">SUM(D2275:D2280)</f>
        <v>28166.269999999997</v>
      </c>
      <c r="E2281" s="128">
        <f t="shared" si="543"/>
        <v>0</v>
      </c>
      <c r="F2281" s="128">
        <f t="shared" si="543"/>
        <v>170017.71</v>
      </c>
      <c r="G2281" s="128">
        <f t="shared" si="543"/>
        <v>446642.29000000004</v>
      </c>
      <c r="H2281" s="128">
        <f t="shared" si="543"/>
        <v>128.22999999999999</v>
      </c>
      <c r="I2281" s="128">
        <f t="shared" si="543"/>
        <v>-100000</v>
      </c>
      <c r="J2281" s="128">
        <f t="shared" si="543"/>
        <v>516660</v>
      </c>
      <c r="K2281" s="128">
        <f t="shared" si="543"/>
        <v>548951.25</v>
      </c>
      <c r="L2281" s="128">
        <f t="shared" si="543"/>
        <v>587377.83750000002</v>
      </c>
      <c r="M2281" s="128">
        <f t="shared" si="543"/>
        <v>0</v>
      </c>
      <c r="N2281" s="128">
        <f t="shared" si="543"/>
        <v>0</v>
      </c>
      <c r="O2281" s="128">
        <f t="shared" si="543"/>
        <v>628494.28612499987</v>
      </c>
      <c r="P2281" s="123" t="str">
        <f t="shared" si="540"/>
        <v/>
      </c>
    </row>
    <row r="2282" spans="1:16" s="114" customFormat="1" ht="15" x14ac:dyDescent="0.25">
      <c r="A2282" s="118"/>
      <c r="B2282" s="117"/>
      <c r="C2282" s="128"/>
      <c r="D2282" s="128"/>
      <c r="E2282" s="128"/>
      <c r="F2282" s="128"/>
      <c r="G2282" s="128"/>
      <c r="H2282" s="128"/>
      <c r="I2282" s="129">
        <f>'B&amp;T'!J400</f>
        <v>0</v>
      </c>
      <c r="J2282" s="129"/>
      <c r="K2282" s="129"/>
      <c r="L2282" s="129"/>
      <c r="M2282" s="186"/>
      <c r="N2282" s="186"/>
      <c r="O2282" s="128"/>
      <c r="P2282" s="123" t="str">
        <f t="shared" si="540"/>
        <v/>
      </c>
    </row>
    <row r="2283" spans="1:16" s="114" customFormat="1" ht="15" x14ac:dyDescent="0.25">
      <c r="A2283" s="118"/>
      <c r="B2283" s="117" t="s">
        <v>172</v>
      </c>
      <c r="C2283" s="128"/>
      <c r="D2283" s="128"/>
      <c r="E2283" s="128"/>
      <c r="F2283" s="128"/>
      <c r="G2283" s="128"/>
      <c r="H2283" s="128"/>
      <c r="I2283" s="129">
        <f>'B&amp;T'!J401</f>
        <v>0</v>
      </c>
      <c r="J2283" s="129"/>
      <c r="K2283" s="129"/>
      <c r="L2283" s="129"/>
      <c r="M2283" s="186"/>
      <c r="N2283" s="186"/>
      <c r="O2283" s="128"/>
      <c r="P2283" s="123" t="str">
        <f t="shared" si="540"/>
        <v/>
      </c>
    </row>
    <row r="2284" spans="1:16" x14ac:dyDescent="0.2">
      <c r="A2284" s="119"/>
      <c r="B2284" s="120"/>
      <c r="C2284" s="129"/>
      <c r="D2284" s="129"/>
      <c r="E2284" s="129"/>
      <c r="F2284" s="129"/>
      <c r="G2284" s="129"/>
      <c r="H2284" s="129"/>
      <c r="I2284" s="129">
        <f>'B&amp;T'!J402</f>
        <v>0</v>
      </c>
      <c r="J2284" s="129"/>
      <c r="K2284" s="129"/>
      <c r="L2284" s="129"/>
      <c r="O2284" s="129"/>
      <c r="P2284" s="123" t="str">
        <f t="shared" si="540"/>
        <v/>
      </c>
    </row>
    <row r="2285" spans="1:16" x14ac:dyDescent="0.2">
      <c r="A2285" s="119" t="s">
        <v>940</v>
      </c>
      <c r="B2285" s="120" t="s">
        <v>173</v>
      </c>
      <c r="C2285" s="129">
        <v>13215</v>
      </c>
      <c r="D2285" s="129">
        <v>0</v>
      </c>
      <c r="E2285" s="129">
        <v>0</v>
      </c>
      <c r="F2285" s="129">
        <v>0</v>
      </c>
      <c r="G2285" s="129">
        <v>13215</v>
      </c>
      <c r="H2285" s="129">
        <v>0</v>
      </c>
      <c r="I2285" s="129">
        <f>'B&amp;T'!J403</f>
        <v>0</v>
      </c>
      <c r="J2285" s="129">
        <f>'B&amp;T'!K403</f>
        <v>13215</v>
      </c>
      <c r="K2285" s="129">
        <f>'B&amp;T'!L403</f>
        <v>14040.9375</v>
      </c>
      <c r="L2285" s="129">
        <f>'B&amp;T'!M403</f>
        <v>15023.803125</v>
      </c>
      <c r="O2285" s="129">
        <f>'B&amp;T'!N403</f>
        <v>16075.469343750001</v>
      </c>
      <c r="P2285" s="123" t="str">
        <f t="shared" si="540"/>
        <v>140</v>
      </c>
    </row>
    <row r="2286" spans="1:16" x14ac:dyDescent="0.2">
      <c r="A2286" s="119" t="s">
        <v>941</v>
      </c>
      <c r="B2286" s="120" t="s">
        <v>174</v>
      </c>
      <c r="C2286" s="129">
        <v>7153</v>
      </c>
      <c r="D2286" s="129">
        <v>0</v>
      </c>
      <c r="E2286" s="129">
        <v>0</v>
      </c>
      <c r="F2286" s="129">
        <v>0</v>
      </c>
      <c r="G2286" s="129">
        <v>7153</v>
      </c>
      <c r="H2286" s="129">
        <v>0</v>
      </c>
      <c r="I2286" s="129">
        <f>'B&amp;T'!J404</f>
        <v>0</v>
      </c>
      <c r="J2286" s="129">
        <f>'B&amp;T'!K404</f>
        <v>7153</v>
      </c>
      <c r="K2286" s="129">
        <f>'B&amp;T'!L404</f>
        <v>7600.0625</v>
      </c>
      <c r="L2286" s="129">
        <f>'B&amp;T'!M404</f>
        <v>8132.0668750000004</v>
      </c>
      <c r="O2286" s="129">
        <f>'B&amp;T'!N404</f>
        <v>8701.3115562500006</v>
      </c>
      <c r="P2286" s="123" t="str">
        <f t="shared" si="540"/>
        <v>140</v>
      </c>
    </row>
    <row r="2287" spans="1:16" x14ac:dyDescent="0.2">
      <c r="A2287" s="119" t="s">
        <v>942</v>
      </c>
      <c r="B2287" s="120" t="s">
        <v>175</v>
      </c>
      <c r="C2287" s="129">
        <v>24762</v>
      </c>
      <c r="D2287" s="129">
        <v>0</v>
      </c>
      <c r="E2287" s="129">
        <v>0</v>
      </c>
      <c r="F2287" s="129">
        <v>0</v>
      </c>
      <c r="G2287" s="129">
        <v>24762</v>
      </c>
      <c r="H2287" s="129">
        <v>0</v>
      </c>
      <c r="I2287" s="129">
        <f>'B&amp;T'!J405</f>
        <v>0</v>
      </c>
      <c r="J2287" s="129">
        <f>'B&amp;T'!K405</f>
        <v>24762</v>
      </c>
      <c r="K2287" s="129">
        <f>'B&amp;T'!L405</f>
        <v>26309.625</v>
      </c>
      <c r="L2287" s="129">
        <f>'B&amp;T'!M405</f>
        <v>28151.298750000002</v>
      </c>
      <c r="O2287" s="129">
        <f>'B&amp;T'!N405</f>
        <v>30121.889662500002</v>
      </c>
      <c r="P2287" s="123" t="str">
        <f t="shared" si="540"/>
        <v>142</v>
      </c>
    </row>
    <row r="2288" spans="1:16" x14ac:dyDescent="0.2">
      <c r="A2288" s="119"/>
      <c r="B2288" s="120"/>
      <c r="C2288" s="129"/>
      <c r="D2288" s="129"/>
      <c r="E2288" s="129"/>
      <c r="F2288" s="129"/>
      <c r="G2288" s="129"/>
      <c r="H2288" s="129"/>
      <c r="I2288" s="129">
        <f>'B&amp;T'!J406</f>
        <v>0</v>
      </c>
      <c r="J2288" s="129"/>
      <c r="K2288" s="129"/>
      <c r="L2288" s="129"/>
      <c r="O2288" s="129"/>
      <c r="P2288" s="123" t="str">
        <f t="shared" si="540"/>
        <v/>
      </c>
    </row>
    <row r="2289" spans="1:16" s="114" customFormat="1" ht="15" x14ac:dyDescent="0.25">
      <c r="A2289" s="118"/>
      <c r="B2289" s="117" t="s">
        <v>176</v>
      </c>
      <c r="C2289" s="128">
        <f>SUM(C2285:C2288)</f>
        <v>45130</v>
      </c>
      <c r="D2289" s="128">
        <f t="shared" ref="D2289:O2289" si="544">SUM(D2285:D2288)</f>
        <v>0</v>
      </c>
      <c r="E2289" s="128">
        <f t="shared" si="544"/>
        <v>0</v>
      </c>
      <c r="F2289" s="128">
        <f t="shared" si="544"/>
        <v>0</v>
      </c>
      <c r="G2289" s="128">
        <f t="shared" si="544"/>
        <v>45130</v>
      </c>
      <c r="H2289" s="128">
        <f t="shared" si="544"/>
        <v>0</v>
      </c>
      <c r="I2289" s="128">
        <f t="shared" si="544"/>
        <v>0</v>
      </c>
      <c r="J2289" s="128">
        <f t="shared" si="544"/>
        <v>45130</v>
      </c>
      <c r="K2289" s="128">
        <f t="shared" si="544"/>
        <v>47950.625</v>
      </c>
      <c r="L2289" s="128">
        <f t="shared" si="544"/>
        <v>51307.168750000004</v>
      </c>
      <c r="M2289" s="128">
        <f t="shared" si="544"/>
        <v>0</v>
      </c>
      <c r="N2289" s="128">
        <f t="shared" si="544"/>
        <v>0</v>
      </c>
      <c r="O2289" s="128">
        <f t="shared" si="544"/>
        <v>54898.670562500003</v>
      </c>
      <c r="P2289" s="123" t="str">
        <f t="shared" si="540"/>
        <v/>
      </c>
    </row>
    <row r="2290" spans="1:16" x14ac:dyDescent="0.2">
      <c r="A2290" s="119"/>
      <c r="B2290" s="120"/>
      <c r="C2290" s="129"/>
      <c r="D2290" s="129"/>
      <c r="E2290" s="129"/>
      <c r="F2290" s="129"/>
      <c r="G2290" s="129"/>
      <c r="H2290" s="129"/>
      <c r="I2290" s="129">
        <f>'B&amp;T'!J408</f>
        <v>0</v>
      </c>
      <c r="J2290" s="129"/>
      <c r="K2290" s="129"/>
      <c r="L2290" s="129"/>
      <c r="O2290" s="129"/>
      <c r="P2290" s="123" t="str">
        <f t="shared" si="540"/>
        <v/>
      </c>
    </row>
    <row r="2291" spans="1:16" s="114" customFormat="1" ht="15" x14ac:dyDescent="0.25">
      <c r="A2291" s="118"/>
      <c r="B2291" s="117" t="s">
        <v>177</v>
      </c>
      <c r="C2291" s="128">
        <f>C2271+C2281+C2289</f>
        <v>3498853</v>
      </c>
      <c r="D2291" s="128">
        <f t="shared" ref="D2291:O2291" si="545">D2271+D2281+D2289</f>
        <v>222176.00999999998</v>
      </c>
      <c r="E2291" s="128">
        <f t="shared" si="545"/>
        <v>0</v>
      </c>
      <c r="F2291" s="128">
        <f t="shared" si="545"/>
        <v>1250983.8099999998</v>
      </c>
      <c r="G2291" s="128">
        <f t="shared" si="545"/>
        <v>2247869.1900000004</v>
      </c>
      <c r="H2291" s="128">
        <f t="shared" si="545"/>
        <v>687.65000000000009</v>
      </c>
      <c r="I2291" s="128">
        <f t="shared" si="545"/>
        <v>-141271.54999999999</v>
      </c>
      <c r="J2291" s="128">
        <f t="shared" si="545"/>
        <v>3357581.45</v>
      </c>
      <c r="K2291" s="128">
        <f t="shared" si="545"/>
        <v>3567430.2906249999</v>
      </c>
      <c r="L2291" s="128">
        <f t="shared" si="545"/>
        <v>3817150.4109687498</v>
      </c>
      <c r="M2291" s="128">
        <f t="shared" si="545"/>
        <v>0</v>
      </c>
      <c r="N2291" s="128">
        <f t="shared" si="545"/>
        <v>0</v>
      </c>
      <c r="O2291" s="128">
        <f t="shared" si="545"/>
        <v>4084350.9397365609</v>
      </c>
      <c r="P2291" s="123" t="str">
        <f t="shared" si="540"/>
        <v/>
      </c>
    </row>
    <row r="2292" spans="1:16" s="114" customFormat="1" ht="15" x14ac:dyDescent="0.25">
      <c r="A2292" s="118"/>
      <c r="B2292" s="117"/>
      <c r="C2292" s="128"/>
      <c r="D2292" s="128"/>
      <c r="E2292" s="128"/>
      <c r="F2292" s="128"/>
      <c r="G2292" s="128"/>
      <c r="H2292" s="128"/>
      <c r="I2292" s="129">
        <f>'B&amp;T'!J410</f>
        <v>0</v>
      </c>
      <c r="J2292" s="129"/>
      <c r="K2292" s="129"/>
      <c r="L2292" s="129"/>
      <c r="M2292" s="186"/>
      <c r="N2292" s="186"/>
      <c r="O2292" s="128"/>
      <c r="P2292" s="123" t="str">
        <f t="shared" si="540"/>
        <v/>
      </c>
    </row>
    <row r="2293" spans="1:16" s="114" customFormat="1" ht="15" x14ac:dyDescent="0.25">
      <c r="A2293" s="118"/>
      <c r="B2293" s="117" t="s">
        <v>178</v>
      </c>
      <c r="C2293" s="128">
        <f>C2291</f>
        <v>3498853</v>
      </c>
      <c r="D2293" s="128">
        <f t="shared" ref="D2293:O2293" si="546">D2291</f>
        <v>222176.00999999998</v>
      </c>
      <c r="E2293" s="128">
        <f t="shared" si="546"/>
        <v>0</v>
      </c>
      <c r="F2293" s="128">
        <f t="shared" si="546"/>
        <v>1250983.8099999998</v>
      </c>
      <c r="G2293" s="128">
        <f t="shared" si="546"/>
        <v>2247869.1900000004</v>
      </c>
      <c r="H2293" s="128">
        <f t="shared" si="546"/>
        <v>687.65000000000009</v>
      </c>
      <c r="I2293" s="128">
        <f t="shared" si="546"/>
        <v>-141271.54999999999</v>
      </c>
      <c r="J2293" s="128">
        <f t="shared" si="546"/>
        <v>3357581.45</v>
      </c>
      <c r="K2293" s="128">
        <f t="shared" si="546"/>
        <v>3567430.2906249999</v>
      </c>
      <c r="L2293" s="128">
        <f t="shared" si="546"/>
        <v>3817150.4109687498</v>
      </c>
      <c r="M2293" s="128">
        <f t="shared" si="546"/>
        <v>0</v>
      </c>
      <c r="N2293" s="128">
        <f t="shared" si="546"/>
        <v>0</v>
      </c>
      <c r="O2293" s="128">
        <f t="shared" si="546"/>
        <v>4084350.9397365609</v>
      </c>
      <c r="P2293" s="123" t="str">
        <f t="shared" si="540"/>
        <v/>
      </c>
    </row>
    <row r="2294" spans="1:16" s="114" customFormat="1" ht="15" x14ac:dyDescent="0.25">
      <c r="A2294" s="118"/>
      <c r="B2294" s="117"/>
      <c r="C2294" s="128"/>
      <c r="D2294" s="128"/>
      <c r="E2294" s="128"/>
      <c r="F2294" s="128"/>
      <c r="G2294" s="128"/>
      <c r="H2294" s="128"/>
      <c r="I2294" s="129">
        <f>'B&amp;T'!J412</f>
        <v>0</v>
      </c>
      <c r="J2294" s="129"/>
      <c r="K2294" s="129"/>
      <c r="L2294" s="129"/>
      <c r="M2294" s="186"/>
      <c r="N2294" s="186"/>
      <c r="O2294" s="128"/>
      <c r="P2294" s="123" t="str">
        <f t="shared" si="540"/>
        <v/>
      </c>
    </row>
    <row r="2295" spans="1:16" s="114" customFormat="1" ht="15" x14ac:dyDescent="0.25">
      <c r="A2295" s="118"/>
      <c r="B2295" s="117" t="s">
        <v>208</v>
      </c>
      <c r="C2295" s="128"/>
      <c r="D2295" s="128"/>
      <c r="E2295" s="128"/>
      <c r="F2295" s="128"/>
      <c r="G2295" s="128"/>
      <c r="H2295" s="128"/>
      <c r="I2295" s="129">
        <f>'B&amp;T'!J413</f>
        <v>0</v>
      </c>
      <c r="J2295" s="129"/>
      <c r="K2295" s="129"/>
      <c r="L2295" s="129"/>
      <c r="M2295" s="186"/>
      <c r="N2295" s="186"/>
      <c r="O2295" s="128"/>
      <c r="P2295" s="123" t="str">
        <f t="shared" si="540"/>
        <v/>
      </c>
    </row>
    <row r="2296" spans="1:16" s="114" customFormat="1" ht="15" x14ac:dyDescent="0.25">
      <c r="A2296" s="118"/>
      <c r="B2296" s="117"/>
      <c r="C2296" s="128"/>
      <c r="D2296" s="128"/>
      <c r="E2296" s="128"/>
      <c r="F2296" s="128"/>
      <c r="G2296" s="128"/>
      <c r="H2296" s="128"/>
      <c r="I2296" s="129">
        <f>'B&amp;T'!J414</f>
        <v>0</v>
      </c>
      <c r="J2296" s="129"/>
      <c r="K2296" s="129"/>
      <c r="L2296" s="129"/>
      <c r="M2296" s="186"/>
      <c r="N2296" s="186"/>
      <c r="O2296" s="128"/>
      <c r="P2296" s="123" t="str">
        <f t="shared" si="540"/>
        <v/>
      </c>
    </row>
    <row r="2297" spans="1:16" s="114" customFormat="1" ht="15" x14ac:dyDescent="0.25">
      <c r="A2297" s="118"/>
      <c r="B2297" s="117" t="s">
        <v>209</v>
      </c>
      <c r="C2297" s="128"/>
      <c r="D2297" s="128"/>
      <c r="E2297" s="128"/>
      <c r="F2297" s="128"/>
      <c r="G2297" s="128"/>
      <c r="H2297" s="128"/>
      <c r="I2297" s="129">
        <f>'B&amp;T'!J415</f>
        <v>0</v>
      </c>
      <c r="J2297" s="129"/>
      <c r="K2297" s="129"/>
      <c r="L2297" s="129"/>
      <c r="M2297" s="186"/>
      <c r="N2297" s="186"/>
      <c r="O2297" s="128"/>
      <c r="P2297" s="123" t="str">
        <f t="shared" si="540"/>
        <v/>
      </c>
    </row>
    <row r="2298" spans="1:16" x14ac:dyDescent="0.2">
      <c r="A2298" s="119"/>
      <c r="B2298" s="120"/>
      <c r="C2298" s="129"/>
      <c r="D2298" s="129"/>
      <c r="E2298" s="129"/>
      <c r="F2298" s="129"/>
      <c r="G2298" s="129"/>
      <c r="H2298" s="129"/>
      <c r="I2298" s="129">
        <f>'B&amp;T'!J416</f>
        <v>0</v>
      </c>
      <c r="J2298" s="129"/>
      <c r="K2298" s="129"/>
      <c r="L2298" s="129"/>
      <c r="O2298" s="129"/>
      <c r="P2298" s="123" t="str">
        <f t="shared" si="540"/>
        <v/>
      </c>
    </row>
    <row r="2299" spans="1:16" x14ac:dyDescent="0.2">
      <c r="A2299" s="119" t="s">
        <v>943</v>
      </c>
      <c r="B2299" s="120" t="s">
        <v>210</v>
      </c>
      <c r="C2299" s="129">
        <v>500000</v>
      </c>
      <c r="D2299" s="129">
        <v>0</v>
      </c>
      <c r="E2299" s="129">
        <v>0</v>
      </c>
      <c r="F2299" s="129">
        <v>0</v>
      </c>
      <c r="G2299" s="129">
        <v>500000</v>
      </c>
      <c r="H2299" s="129">
        <v>0</v>
      </c>
      <c r="I2299" s="129">
        <f>'B&amp;T'!J417</f>
        <v>-500000</v>
      </c>
      <c r="J2299" s="129">
        <f>'B&amp;T'!K417</f>
        <v>0</v>
      </c>
      <c r="K2299" s="129">
        <f>'B&amp;T'!L417</f>
        <v>350000</v>
      </c>
      <c r="L2299" s="129">
        <f>'B&amp;T'!M417</f>
        <v>0</v>
      </c>
      <c r="O2299" s="129">
        <f>'B&amp;T'!N417</f>
        <v>0</v>
      </c>
      <c r="P2299" s="123" t="str">
        <f t="shared" si="540"/>
        <v>260</v>
      </c>
    </row>
    <row r="2300" spans="1:16" x14ac:dyDescent="0.2">
      <c r="A2300" s="119"/>
      <c r="B2300" s="120"/>
      <c r="C2300" s="129"/>
      <c r="D2300" s="129"/>
      <c r="E2300" s="129"/>
      <c r="F2300" s="129"/>
      <c r="G2300" s="129"/>
      <c r="H2300" s="129"/>
      <c r="I2300" s="129">
        <f>'B&amp;T'!J418</f>
        <v>0</v>
      </c>
      <c r="J2300" s="129">
        <f>'B&amp;T'!K418</f>
        <v>0</v>
      </c>
      <c r="K2300" s="129">
        <f>'B&amp;T'!L418</f>
        <v>0</v>
      </c>
      <c r="L2300" s="129">
        <f>'B&amp;T'!M418</f>
        <v>0</v>
      </c>
      <c r="O2300" s="129"/>
      <c r="P2300" s="123" t="str">
        <f t="shared" si="540"/>
        <v/>
      </c>
    </row>
    <row r="2301" spans="1:16" s="114" customFormat="1" ht="15" x14ac:dyDescent="0.25">
      <c r="A2301" s="118"/>
      <c r="B2301" s="117" t="s">
        <v>217</v>
      </c>
      <c r="C2301" s="128">
        <f>SUM(C2299:C2300)</f>
        <v>500000</v>
      </c>
      <c r="D2301" s="128">
        <f t="shared" ref="D2301:O2301" si="547">SUM(D2299:D2300)</f>
        <v>0</v>
      </c>
      <c r="E2301" s="128">
        <f t="shared" si="547"/>
        <v>0</v>
      </c>
      <c r="F2301" s="128">
        <f t="shared" si="547"/>
        <v>0</v>
      </c>
      <c r="G2301" s="128">
        <f t="shared" si="547"/>
        <v>500000</v>
      </c>
      <c r="H2301" s="128">
        <f t="shared" si="547"/>
        <v>0</v>
      </c>
      <c r="I2301" s="128">
        <f t="shared" si="547"/>
        <v>-500000</v>
      </c>
      <c r="J2301" s="128">
        <f t="shared" si="547"/>
        <v>0</v>
      </c>
      <c r="K2301" s="128">
        <f t="shared" si="547"/>
        <v>350000</v>
      </c>
      <c r="L2301" s="128">
        <f t="shared" si="547"/>
        <v>0</v>
      </c>
      <c r="M2301" s="128">
        <f t="shared" si="547"/>
        <v>0</v>
      </c>
      <c r="N2301" s="128">
        <f t="shared" si="547"/>
        <v>0</v>
      </c>
      <c r="O2301" s="128">
        <f t="shared" si="547"/>
        <v>0</v>
      </c>
      <c r="P2301" s="123" t="str">
        <f t="shared" si="540"/>
        <v/>
      </c>
    </row>
    <row r="2302" spans="1:16" s="114" customFormat="1" ht="15" x14ac:dyDescent="0.25">
      <c r="A2302" s="118"/>
      <c r="B2302" s="117"/>
      <c r="C2302" s="128"/>
      <c r="D2302" s="128"/>
      <c r="E2302" s="128"/>
      <c r="F2302" s="128"/>
      <c r="G2302" s="128"/>
      <c r="H2302" s="128"/>
      <c r="I2302" s="129">
        <f>'B&amp;T'!J420</f>
        <v>0</v>
      </c>
      <c r="J2302" s="129"/>
      <c r="K2302" s="129"/>
      <c r="L2302" s="129"/>
      <c r="M2302" s="186"/>
      <c r="N2302" s="186"/>
      <c r="O2302" s="128"/>
      <c r="P2302" s="123" t="str">
        <f t="shared" si="540"/>
        <v/>
      </c>
    </row>
    <row r="2303" spans="1:16" s="114" customFormat="1" ht="15" x14ac:dyDescent="0.25">
      <c r="A2303" s="118"/>
      <c r="B2303" s="117" t="s">
        <v>240</v>
      </c>
      <c r="C2303" s="128">
        <f>SUM(C2301)</f>
        <v>500000</v>
      </c>
      <c r="D2303" s="128">
        <f t="shared" ref="D2303:O2303" si="548">SUM(D2301)</f>
        <v>0</v>
      </c>
      <c r="E2303" s="128">
        <f t="shared" si="548"/>
        <v>0</v>
      </c>
      <c r="F2303" s="128">
        <f t="shared" si="548"/>
        <v>0</v>
      </c>
      <c r="G2303" s="128">
        <f t="shared" si="548"/>
        <v>500000</v>
      </c>
      <c r="H2303" s="128">
        <f t="shared" si="548"/>
        <v>0</v>
      </c>
      <c r="I2303" s="128">
        <f t="shared" si="548"/>
        <v>-500000</v>
      </c>
      <c r="J2303" s="128">
        <f t="shared" si="548"/>
        <v>0</v>
      </c>
      <c r="K2303" s="128">
        <f t="shared" si="548"/>
        <v>350000</v>
      </c>
      <c r="L2303" s="128">
        <f t="shared" si="548"/>
        <v>0</v>
      </c>
      <c r="M2303" s="128">
        <f t="shared" si="548"/>
        <v>0</v>
      </c>
      <c r="N2303" s="128">
        <f t="shared" si="548"/>
        <v>0</v>
      </c>
      <c r="O2303" s="128">
        <f t="shared" si="548"/>
        <v>0</v>
      </c>
      <c r="P2303" s="123" t="str">
        <f t="shared" si="540"/>
        <v/>
      </c>
    </row>
    <row r="2304" spans="1:16" s="114" customFormat="1" ht="15" x14ac:dyDescent="0.25">
      <c r="A2304" s="118"/>
      <c r="B2304" s="117"/>
      <c r="C2304" s="128"/>
      <c r="D2304" s="128"/>
      <c r="E2304" s="128"/>
      <c r="F2304" s="128"/>
      <c r="G2304" s="128"/>
      <c r="H2304" s="128"/>
      <c r="I2304" s="129">
        <f>'B&amp;T'!J422</f>
        <v>0</v>
      </c>
      <c r="J2304" s="129"/>
      <c r="K2304" s="129"/>
      <c r="L2304" s="129"/>
      <c r="M2304" s="186"/>
      <c r="N2304" s="186"/>
      <c r="O2304" s="128"/>
      <c r="P2304" s="123" t="str">
        <f t="shared" si="540"/>
        <v/>
      </c>
    </row>
    <row r="2305" spans="1:16" s="114" customFormat="1" ht="15" x14ac:dyDescent="0.25">
      <c r="A2305" s="118"/>
      <c r="B2305" s="117" t="s">
        <v>241</v>
      </c>
      <c r="C2305" s="128"/>
      <c r="D2305" s="128"/>
      <c r="E2305" s="128"/>
      <c r="F2305" s="128"/>
      <c r="G2305" s="128"/>
      <c r="H2305" s="128"/>
      <c r="I2305" s="129">
        <f>'B&amp;T'!J423</f>
        <v>0</v>
      </c>
      <c r="J2305" s="129"/>
      <c r="K2305" s="129"/>
      <c r="L2305" s="129"/>
      <c r="M2305" s="186"/>
      <c r="N2305" s="186"/>
      <c r="O2305" s="128"/>
      <c r="P2305" s="123" t="str">
        <f t="shared" si="540"/>
        <v/>
      </c>
    </row>
    <row r="2306" spans="1:16" x14ac:dyDescent="0.2">
      <c r="A2306" s="119"/>
      <c r="B2306" s="120"/>
      <c r="C2306" s="129"/>
      <c r="D2306" s="129"/>
      <c r="E2306" s="129"/>
      <c r="F2306" s="129"/>
      <c r="G2306" s="129"/>
      <c r="H2306" s="129"/>
      <c r="I2306" s="129">
        <f>'B&amp;T'!J424</f>
        <v>0</v>
      </c>
      <c r="J2306" s="129"/>
      <c r="K2306" s="129"/>
      <c r="L2306" s="129"/>
      <c r="O2306" s="129"/>
      <c r="P2306" s="123" t="str">
        <f t="shared" si="540"/>
        <v/>
      </c>
    </row>
    <row r="2307" spans="1:16" x14ac:dyDescent="0.2">
      <c r="A2307" s="119" t="s">
        <v>944</v>
      </c>
      <c r="B2307" s="120" t="s">
        <v>265</v>
      </c>
      <c r="C2307" s="129">
        <v>0</v>
      </c>
      <c r="D2307" s="129">
        <v>1789.59</v>
      </c>
      <c r="E2307" s="129">
        <v>0</v>
      </c>
      <c r="F2307" s="129">
        <v>9914.34</v>
      </c>
      <c r="G2307" s="129">
        <v>-9914.34</v>
      </c>
      <c r="H2307" s="129">
        <v>0</v>
      </c>
      <c r="I2307" s="129">
        <f>'B&amp;T'!J425</f>
        <v>20000</v>
      </c>
      <c r="J2307" s="129">
        <f>'B&amp;T'!K425</f>
        <v>20000</v>
      </c>
      <c r="K2307" s="129">
        <f>'B&amp;T'!L425</f>
        <v>20900</v>
      </c>
      <c r="L2307" s="129">
        <f>'B&amp;T'!M425</f>
        <v>21840.5</v>
      </c>
      <c r="O2307" s="129">
        <f>'B&amp;T'!N425</f>
        <v>22823.322499999998</v>
      </c>
      <c r="P2307" s="123" t="str">
        <f t="shared" si="540"/>
        <v>305</v>
      </c>
    </row>
    <row r="2308" spans="1:16" x14ac:dyDescent="0.2">
      <c r="A2308" s="119" t="s">
        <v>945</v>
      </c>
      <c r="B2308" s="120" t="s">
        <v>265</v>
      </c>
      <c r="C2308" s="129">
        <v>0</v>
      </c>
      <c r="D2308" s="129">
        <v>50</v>
      </c>
      <c r="E2308" s="129">
        <v>0</v>
      </c>
      <c r="F2308" s="129">
        <v>311.25</v>
      </c>
      <c r="G2308" s="129">
        <v>-311.25</v>
      </c>
      <c r="H2308" s="129">
        <v>0</v>
      </c>
      <c r="I2308" s="129">
        <f>'B&amp;T'!J426</f>
        <v>800</v>
      </c>
      <c r="J2308" s="129">
        <f>'B&amp;T'!K426</f>
        <v>800</v>
      </c>
      <c r="K2308" s="129">
        <f>'B&amp;T'!L426</f>
        <v>836</v>
      </c>
      <c r="L2308" s="129">
        <f>'B&amp;T'!M426</f>
        <v>873.62</v>
      </c>
      <c r="O2308" s="129">
        <f>'B&amp;T'!N426</f>
        <v>912.93290000000002</v>
      </c>
      <c r="P2308" s="123" t="str">
        <f t="shared" si="540"/>
        <v>305</v>
      </c>
    </row>
    <row r="2309" spans="1:16" x14ac:dyDescent="0.2">
      <c r="A2309" s="119" t="s">
        <v>946</v>
      </c>
      <c r="B2309" s="120" t="s">
        <v>268</v>
      </c>
      <c r="C2309" s="129">
        <v>0</v>
      </c>
      <c r="D2309" s="129">
        <v>6137.86</v>
      </c>
      <c r="E2309" s="129">
        <v>0</v>
      </c>
      <c r="F2309" s="129">
        <v>13316.16</v>
      </c>
      <c r="G2309" s="129">
        <v>-13316.16</v>
      </c>
      <c r="H2309" s="129">
        <v>0</v>
      </c>
      <c r="I2309" s="129">
        <f>'B&amp;T'!J427</f>
        <v>30000</v>
      </c>
      <c r="J2309" s="129">
        <f>'B&amp;T'!K427</f>
        <v>30000</v>
      </c>
      <c r="K2309" s="129">
        <f>'B&amp;T'!L427</f>
        <v>31350</v>
      </c>
      <c r="L2309" s="129">
        <f>'B&amp;T'!M427</f>
        <v>32760.75</v>
      </c>
      <c r="O2309" s="129">
        <f>'B&amp;T'!N427</f>
        <v>34234.983749999999</v>
      </c>
      <c r="P2309" s="123" t="str">
        <f t="shared" si="540"/>
        <v>305</v>
      </c>
    </row>
    <row r="2310" spans="1:16" x14ac:dyDescent="0.2">
      <c r="A2310" s="119"/>
      <c r="B2310" s="120"/>
      <c r="C2310" s="129"/>
      <c r="D2310" s="129"/>
      <c r="E2310" s="129"/>
      <c r="F2310" s="129"/>
      <c r="G2310" s="129"/>
      <c r="H2310" s="129"/>
      <c r="I2310" s="129">
        <f>'B&amp;T'!J428</f>
        <v>0</v>
      </c>
      <c r="J2310" s="129"/>
      <c r="K2310" s="129"/>
      <c r="L2310" s="129"/>
      <c r="O2310" s="129"/>
      <c r="P2310" s="123" t="str">
        <f t="shared" si="540"/>
        <v/>
      </c>
    </row>
    <row r="2311" spans="1:16" s="114" customFormat="1" ht="15" x14ac:dyDescent="0.25">
      <c r="A2311" s="118"/>
      <c r="B2311" s="117" t="s">
        <v>274</v>
      </c>
      <c r="C2311" s="128">
        <f>SUM(C2307:C2310)</f>
        <v>0</v>
      </c>
      <c r="D2311" s="128">
        <f t="shared" ref="D2311:O2311" si="549">SUM(D2307:D2310)</f>
        <v>7977.45</v>
      </c>
      <c r="E2311" s="128">
        <f t="shared" si="549"/>
        <v>0</v>
      </c>
      <c r="F2311" s="128">
        <f t="shared" si="549"/>
        <v>23541.75</v>
      </c>
      <c r="G2311" s="128">
        <f t="shared" si="549"/>
        <v>-23541.75</v>
      </c>
      <c r="H2311" s="128">
        <f t="shared" si="549"/>
        <v>0</v>
      </c>
      <c r="I2311" s="128">
        <f t="shared" si="549"/>
        <v>50800</v>
      </c>
      <c r="J2311" s="128">
        <f t="shared" si="549"/>
        <v>50800</v>
      </c>
      <c r="K2311" s="128">
        <f t="shared" si="549"/>
        <v>53086</v>
      </c>
      <c r="L2311" s="128">
        <f t="shared" si="549"/>
        <v>55474.869999999995</v>
      </c>
      <c r="M2311" s="128">
        <f t="shared" si="549"/>
        <v>0</v>
      </c>
      <c r="N2311" s="128">
        <f t="shared" si="549"/>
        <v>0</v>
      </c>
      <c r="O2311" s="128">
        <f t="shared" si="549"/>
        <v>57971.239149999994</v>
      </c>
      <c r="P2311" s="123" t="str">
        <f t="shared" ref="P2311:P2374" si="550">MID(A2311,6,3)</f>
        <v/>
      </c>
    </row>
    <row r="2312" spans="1:16" s="114" customFormat="1" ht="15" x14ac:dyDescent="0.25">
      <c r="A2312" s="118"/>
      <c r="B2312" s="117"/>
      <c r="C2312" s="128"/>
      <c r="D2312" s="128"/>
      <c r="E2312" s="128"/>
      <c r="F2312" s="128"/>
      <c r="G2312" s="128"/>
      <c r="H2312" s="128"/>
      <c r="I2312" s="129">
        <f>'B&amp;T'!J430</f>
        <v>0</v>
      </c>
      <c r="J2312" s="129"/>
      <c r="K2312" s="129"/>
      <c r="L2312" s="129"/>
      <c r="M2312" s="186"/>
      <c r="N2312" s="186"/>
      <c r="O2312" s="128"/>
      <c r="P2312" s="123" t="str">
        <f t="shared" si="550"/>
        <v/>
      </c>
    </row>
    <row r="2313" spans="1:16" s="114" customFormat="1" ht="15" x14ac:dyDescent="0.25">
      <c r="A2313" s="118"/>
      <c r="B2313" s="117" t="s">
        <v>275</v>
      </c>
      <c r="C2313" s="128"/>
      <c r="D2313" s="128"/>
      <c r="E2313" s="128"/>
      <c r="F2313" s="128"/>
      <c r="G2313" s="128"/>
      <c r="H2313" s="128"/>
      <c r="I2313" s="129">
        <f>'B&amp;T'!J431</f>
        <v>0</v>
      </c>
      <c r="J2313" s="129"/>
      <c r="K2313" s="129"/>
      <c r="L2313" s="129"/>
      <c r="M2313" s="186"/>
      <c r="N2313" s="186"/>
      <c r="O2313" s="128"/>
      <c r="P2313" s="123" t="str">
        <f t="shared" si="550"/>
        <v/>
      </c>
    </row>
    <row r="2314" spans="1:16" x14ac:dyDescent="0.2">
      <c r="A2314" s="119"/>
      <c r="B2314" s="120"/>
      <c r="C2314" s="129"/>
      <c r="D2314" s="129"/>
      <c r="E2314" s="129"/>
      <c r="F2314" s="129"/>
      <c r="G2314" s="129"/>
      <c r="H2314" s="129"/>
      <c r="I2314" s="129">
        <f>'B&amp;T'!J432</f>
        <v>0</v>
      </c>
      <c r="J2314" s="129"/>
      <c r="K2314" s="129"/>
      <c r="L2314" s="129"/>
      <c r="O2314" s="129"/>
      <c r="P2314" s="123" t="str">
        <f t="shared" si="550"/>
        <v/>
      </c>
    </row>
    <row r="2315" spans="1:16" x14ac:dyDescent="0.2">
      <c r="A2315" s="119" t="s">
        <v>947</v>
      </c>
      <c r="B2315" s="120" t="s">
        <v>276</v>
      </c>
      <c r="C2315" s="129">
        <v>1270074</v>
      </c>
      <c r="D2315" s="129">
        <v>202373</v>
      </c>
      <c r="E2315" s="129">
        <v>178400</v>
      </c>
      <c r="F2315" s="129">
        <v>603458.56999999995</v>
      </c>
      <c r="G2315" s="129">
        <v>666615.43000000005</v>
      </c>
      <c r="H2315" s="129">
        <v>47.51</v>
      </c>
      <c r="I2315" s="129">
        <f>'B&amp;T'!J433</f>
        <v>300000</v>
      </c>
      <c r="J2315" s="129">
        <f>'B&amp;T'!K433</f>
        <v>1570074</v>
      </c>
      <c r="K2315" s="129">
        <f>'B&amp;T'!L433</f>
        <v>1640727.33</v>
      </c>
      <c r="L2315" s="129">
        <f>'B&amp;T'!M433</f>
        <v>1714560.0598500001</v>
      </c>
      <c r="O2315" s="129">
        <f>'B&amp;T'!N433</f>
        <v>1791715.2625432501</v>
      </c>
      <c r="P2315" s="123" t="str">
        <f t="shared" si="550"/>
        <v>320</v>
      </c>
    </row>
    <row r="2316" spans="1:16" x14ac:dyDescent="0.2">
      <c r="A2316" s="119"/>
      <c r="B2316" s="120"/>
      <c r="C2316" s="129"/>
      <c r="D2316" s="129"/>
      <c r="E2316" s="129"/>
      <c r="F2316" s="129"/>
      <c r="G2316" s="129"/>
      <c r="H2316" s="129"/>
      <c r="I2316" s="129">
        <f>'B&amp;T'!J434</f>
        <v>0</v>
      </c>
      <c r="J2316" s="129"/>
      <c r="K2316" s="129"/>
      <c r="L2316" s="129"/>
      <c r="O2316" s="129"/>
      <c r="P2316" s="123" t="str">
        <f t="shared" si="550"/>
        <v/>
      </c>
    </row>
    <row r="2317" spans="1:16" s="114" customFormat="1" ht="15" x14ac:dyDescent="0.25">
      <c r="A2317" s="118"/>
      <c r="B2317" s="117" t="s">
        <v>279</v>
      </c>
      <c r="C2317" s="128">
        <f>SUM(C2315:C2316)</f>
        <v>1270074</v>
      </c>
      <c r="D2317" s="128">
        <f t="shared" ref="D2317:O2317" si="551">SUM(D2315:D2316)</f>
        <v>202373</v>
      </c>
      <c r="E2317" s="128">
        <f t="shared" si="551"/>
        <v>178400</v>
      </c>
      <c r="F2317" s="128">
        <f t="shared" si="551"/>
        <v>603458.56999999995</v>
      </c>
      <c r="G2317" s="128">
        <f t="shared" si="551"/>
        <v>666615.43000000005</v>
      </c>
      <c r="H2317" s="128">
        <f t="shared" si="551"/>
        <v>47.51</v>
      </c>
      <c r="I2317" s="128">
        <f t="shared" si="551"/>
        <v>300000</v>
      </c>
      <c r="J2317" s="128">
        <f t="shared" si="551"/>
        <v>1570074</v>
      </c>
      <c r="K2317" s="128">
        <f t="shared" si="551"/>
        <v>1640727.33</v>
      </c>
      <c r="L2317" s="128">
        <f t="shared" si="551"/>
        <v>1714560.0598500001</v>
      </c>
      <c r="M2317" s="128">
        <f t="shared" si="551"/>
        <v>0</v>
      </c>
      <c r="N2317" s="128">
        <f t="shared" si="551"/>
        <v>0</v>
      </c>
      <c r="O2317" s="128">
        <f t="shared" si="551"/>
        <v>1791715.2625432501</v>
      </c>
      <c r="P2317" s="123" t="str">
        <f t="shared" si="550"/>
        <v/>
      </c>
    </row>
    <row r="2318" spans="1:16" s="114" customFormat="1" ht="15" x14ac:dyDescent="0.25">
      <c r="A2318" s="118"/>
      <c r="B2318" s="117"/>
      <c r="C2318" s="128"/>
      <c r="D2318" s="128"/>
      <c r="E2318" s="128"/>
      <c r="F2318" s="128"/>
      <c r="G2318" s="128"/>
      <c r="H2318" s="128"/>
      <c r="I2318" s="129">
        <f>'B&amp;T'!J436</f>
        <v>0</v>
      </c>
      <c r="J2318" s="129"/>
      <c r="K2318" s="129"/>
      <c r="L2318" s="129"/>
      <c r="M2318" s="186"/>
      <c r="N2318" s="186"/>
      <c r="O2318" s="128"/>
      <c r="P2318" s="123" t="str">
        <f t="shared" si="550"/>
        <v/>
      </c>
    </row>
    <row r="2319" spans="1:16" s="114" customFormat="1" ht="15" x14ac:dyDescent="0.25">
      <c r="A2319" s="118"/>
      <c r="B2319" s="117" t="s">
        <v>290</v>
      </c>
      <c r="C2319" s="128"/>
      <c r="D2319" s="128"/>
      <c r="E2319" s="128"/>
      <c r="F2319" s="128"/>
      <c r="G2319" s="128"/>
      <c r="H2319" s="128"/>
      <c r="I2319" s="129">
        <f>'B&amp;T'!J437</f>
        <v>0</v>
      </c>
      <c r="J2319" s="129"/>
      <c r="K2319" s="129"/>
      <c r="L2319" s="129"/>
      <c r="M2319" s="186"/>
      <c r="N2319" s="186"/>
      <c r="O2319" s="128"/>
      <c r="P2319" s="123" t="str">
        <f t="shared" si="550"/>
        <v/>
      </c>
    </row>
    <row r="2320" spans="1:16" x14ac:dyDescent="0.2">
      <c r="A2320" s="119"/>
      <c r="B2320" s="120"/>
      <c r="C2320" s="129"/>
      <c r="D2320" s="129"/>
      <c r="E2320" s="129"/>
      <c r="F2320" s="129"/>
      <c r="G2320" s="129"/>
      <c r="H2320" s="129"/>
      <c r="I2320" s="129">
        <f>'B&amp;T'!J438</f>
        <v>0</v>
      </c>
      <c r="J2320" s="129"/>
      <c r="K2320" s="129"/>
      <c r="L2320" s="129"/>
      <c r="O2320" s="129"/>
      <c r="P2320" s="123" t="str">
        <f t="shared" si="550"/>
        <v/>
      </c>
    </row>
    <row r="2321" spans="1:16" x14ac:dyDescent="0.2">
      <c r="A2321" s="119" t="s">
        <v>948</v>
      </c>
      <c r="B2321" s="120" t="s">
        <v>292</v>
      </c>
      <c r="C2321" s="129">
        <v>7648</v>
      </c>
      <c r="D2321" s="129">
        <v>3032.14</v>
      </c>
      <c r="E2321" s="129">
        <v>0</v>
      </c>
      <c r="F2321" s="129">
        <v>7973.69</v>
      </c>
      <c r="G2321" s="129">
        <v>-325.69</v>
      </c>
      <c r="H2321" s="129">
        <v>104.25</v>
      </c>
      <c r="I2321" s="129">
        <f>'B&amp;T'!J439</f>
        <v>0</v>
      </c>
      <c r="J2321" s="129">
        <f>'B&amp;T'!K439</f>
        <v>7648</v>
      </c>
      <c r="K2321" s="129">
        <f>'B&amp;T'!L439</f>
        <v>7992.16</v>
      </c>
      <c r="L2321" s="129">
        <f>'B&amp;T'!M439</f>
        <v>8351.8071999999993</v>
      </c>
      <c r="O2321" s="129">
        <f>'B&amp;T'!N439</f>
        <v>8727.638524</v>
      </c>
      <c r="P2321" s="123" t="str">
        <f t="shared" si="550"/>
        <v>720</v>
      </c>
    </row>
    <row r="2322" spans="1:16" x14ac:dyDescent="0.2">
      <c r="A2322" s="119" t="s">
        <v>949</v>
      </c>
      <c r="B2322" s="120" t="s">
        <v>293</v>
      </c>
      <c r="C2322" s="129">
        <v>2242</v>
      </c>
      <c r="D2322" s="129">
        <v>2908.28</v>
      </c>
      <c r="E2322" s="129">
        <v>0</v>
      </c>
      <c r="F2322" s="129">
        <v>6917.74</v>
      </c>
      <c r="G2322" s="129">
        <v>-4675.74</v>
      </c>
      <c r="H2322" s="129">
        <v>308.55</v>
      </c>
      <c r="I2322" s="129">
        <f>'B&amp;T'!J440</f>
        <v>0</v>
      </c>
      <c r="J2322" s="129">
        <f>'B&amp;T'!K440</f>
        <v>2242</v>
      </c>
      <c r="K2322" s="129">
        <f>'B&amp;T'!L440</f>
        <v>2342.89</v>
      </c>
      <c r="L2322" s="129">
        <f>'B&amp;T'!M440</f>
        <v>2448.3200499999998</v>
      </c>
      <c r="O2322" s="129">
        <f>'B&amp;T'!N440</f>
        <v>2558.49445225</v>
      </c>
      <c r="P2322" s="123" t="str">
        <f t="shared" si="550"/>
        <v>721</v>
      </c>
    </row>
    <row r="2323" spans="1:16" x14ac:dyDescent="0.2">
      <c r="A2323" s="119"/>
      <c r="B2323" s="120"/>
      <c r="C2323" s="129"/>
      <c r="D2323" s="129"/>
      <c r="E2323" s="129"/>
      <c r="F2323" s="129"/>
      <c r="G2323" s="129"/>
      <c r="H2323" s="129"/>
      <c r="I2323" s="129">
        <f>'B&amp;T'!J441</f>
        <v>0</v>
      </c>
      <c r="J2323" s="129"/>
      <c r="K2323" s="129"/>
      <c r="L2323" s="129"/>
      <c r="O2323" s="129"/>
      <c r="P2323" s="123" t="str">
        <f t="shared" si="550"/>
        <v/>
      </c>
    </row>
    <row r="2324" spans="1:16" s="114" customFormat="1" ht="15" x14ac:dyDescent="0.25">
      <c r="A2324" s="118"/>
      <c r="B2324" s="117" t="s">
        <v>304</v>
      </c>
      <c r="C2324" s="128">
        <f>SUM(C2321:C2323)</f>
        <v>9890</v>
      </c>
      <c r="D2324" s="128">
        <f t="shared" ref="D2324:O2324" si="552">SUM(D2321:D2323)</f>
        <v>5940.42</v>
      </c>
      <c r="E2324" s="128">
        <f t="shared" si="552"/>
        <v>0</v>
      </c>
      <c r="F2324" s="128">
        <f t="shared" si="552"/>
        <v>14891.43</v>
      </c>
      <c r="G2324" s="128">
        <f t="shared" si="552"/>
        <v>-5001.4299999999994</v>
      </c>
      <c r="H2324" s="128">
        <f t="shared" si="552"/>
        <v>412.8</v>
      </c>
      <c r="I2324" s="128">
        <f t="shared" si="552"/>
        <v>0</v>
      </c>
      <c r="J2324" s="128">
        <f t="shared" si="552"/>
        <v>9890</v>
      </c>
      <c r="K2324" s="128">
        <f t="shared" si="552"/>
        <v>10335.049999999999</v>
      </c>
      <c r="L2324" s="128">
        <f t="shared" si="552"/>
        <v>10800.12725</v>
      </c>
      <c r="M2324" s="128">
        <f t="shared" si="552"/>
        <v>0</v>
      </c>
      <c r="N2324" s="128">
        <f t="shared" si="552"/>
        <v>0</v>
      </c>
      <c r="O2324" s="128">
        <f t="shared" si="552"/>
        <v>11286.132976249999</v>
      </c>
      <c r="P2324" s="123" t="str">
        <f t="shared" si="550"/>
        <v/>
      </c>
    </row>
    <row r="2325" spans="1:16" s="114" customFormat="1" ht="15" x14ac:dyDescent="0.25">
      <c r="A2325" s="118"/>
      <c r="B2325" s="117"/>
      <c r="C2325" s="128"/>
      <c r="D2325" s="128"/>
      <c r="E2325" s="128"/>
      <c r="F2325" s="128"/>
      <c r="G2325" s="128"/>
      <c r="H2325" s="128"/>
      <c r="I2325" s="129">
        <f>'B&amp;T'!J443</f>
        <v>0</v>
      </c>
      <c r="J2325" s="129"/>
      <c r="K2325" s="129"/>
      <c r="L2325" s="129"/>
      <c r="M2325" s="186"/>
      <c r="N2325" s="186"/>
      <c r="O2325" s="128"/>
      <c r="P2325" s="123" t="str">
        <f t="shared" si="550"/>
        <v/>
      </c>
    </row>
    <row r="2326" spans="1:16" s="114" customFormat="1" ht="15" x14ac:dyDescent="0.25">
      <c r="A2326" s="118"/>
      <c r="B2326" s="117" t="s">
        <v>305</v>
      </c>
      <c r="C2326" s="128">
        <f>C2293+C2303+C2311+C2317+C2324</f>
        <v>5278817</v>
      </c>
      <c r="D2326" s="128">
        <f t="shared" ref="D2326:O2326" si="553">D2293+D2303+D2311+D2317+D2324</f>
        <v>438466.87999999995</v>
      </c>
      <c r="E2326" s="128">
        <f t="shared" si="553"/>
        <v>178400</v>
      </c>
      <c r="F2326" s="128">
        <f t="shared" si="553"/>
        <v>1892875.5599999998</v>
      </c>
      <c r="G2326" s="128">
        <f t="shared" si="553"/>
        <v>3385941.4400000004</v>
      </c>
      <c r="H2326" s="128">
        <f t="shared" si="553"/>
        <v>1147.96</v>
      </c>
      <c r="I2326" s="128">
        <f t="shared" si="553"/>
        <v>-290471.55000000005</v>
      </c>
      <c r="J2326" s="128">
        <f t="shared" si="553"/>
        <v>4988345.45</v>
      </c>
      <c r="K2326" s="128">
        <f t="shared" si="553"/>
        <v>5621578.6706250003</v>
      </c>
      <c r="L2326" s="128">
        <f t="shared" si="553"/>
        <v>5597985.4680687496</v>
      </c>
      <c r="M2326" s="128">
        <f t="shared" si="553"/>
        <v>0</v>
      </c>
      <c r="N2326" s="128">
        <f t="shared" si="553"/>
        <v>0</v>
      </c>
      <c r="O2326" s="128">
        <f t="shared" si="553"/>
        <v>5945323.5744060604</v>
      </c>
      <c r="P2326" s="123" t="str">
        <f t="shared" si="550"/>
        <v/>
      </c>
    </row>
    <row r="2327" spans="1:16" s="114" customFormat="1" ht="15" x14ac:dyDescent="0.25">
      <c r="A2327" s="118"/>
      <c r="B2327" s="117"/>
      <c r="C2327" s="128"/>
      <c r="D2327" s="128"/>
      <c r="E2327" s="128"/>
      <c r="F2327" s="128"/>
      <c r="G2327" s="128"/>
      <c r="H2327" s="128"/>
      <c r="I2327" s="129">
        <f>'B&amp;T'!J445</f>
        <v>0</v>
      </c>
      <c r="J2327" s="129"/>
      <c r="K2327" s="129"/>
      <c r="L2327" s="129"/>
      <c r="M2327" s="186"/>
      <c r="N2327" s="186"/>
      <c r="O2327" s="128"/>
      <c r="P2327" s="123" t="str">
        <f t="shared" si="550"/>
        <v/>
      </c>
    </row>
    <row r="2328" spans="1:16" s="114" customFormat="1" ht="15" x14ac:dyDescent="0.25">
      <c r="A2328" s="118"/>
      <c r="B2328" s="117" t="s">
        <v>306</v>
      </c>
      <c r="C2328" s="128">
        <f>C2326</f>
        <v>5278817</v>
      </c>
      <c r="D2328" s="128">
        <f t="shared" ref="D2328:O2328" si="554">D2326</f>
        <v>438466.87999999995</v>
      </c>
      <c r="E2328" s="128">
        <f t="shared" si="554"/>
        <v>178400</v>
      </c>
      <c r="F2328" s="128">
        <f t="shared" si="554"/>
        <v>1892875.5599999998</v>
      </c>
      <c r="G2328" s="128">
        <f t="shared" si="554"/>
        <v>3385941.4400000004</v>
      </c>
      <c r="H2328" s="128">
        <f t="shared" si="554"/>
        <v>1147.96</v>
      </c>
      <c r="I2328" s="128">
        <f t="shared" si="554"/>
        <v>-290471.55000000005</v>
      </c>
      <c r="J2328" s="128">
        <f t="shared" si="554"/>
        <v>4988345.45</v>
      </c>
      <c r="K2328" s="128">
        <f t="shared" si="554"/>
        <v>5621578.6706250003</v>
      </c>
      <c r="L2328" s="128">
        <f t="shared" si="554"/>
        <v>5597985.4680687496</v>
      </c>
      <c r="M2328" s="128">
        <f t="shared" si="554"/>
        <v>0</v>
      </c>
      <c r="N2328" s="128">
        <f t="shared" si="554"/>
        <v>0</v>
      </c>
      <c r="O2328" s="128">
        <f t="shared" si="554"/>
        <v>5945323.5744060604</v>
      </c>
      <c r="P2328" s="123" t="str">
        <f t="shared" si="550"/>
        <v/>
      </c>
    </row>
    <row r="2329" spans="1:16" x14ac:dyDescent="0.2">
      <c r="A2329" s="119"/>
      <c r="B2329" s="120"/>
      <c r="C2329" s="129"/>
      <c r="D2329" s="129"/>
      <c r="E2329" s="129"/>
      <c r="F2329" s="129"/>
      <c r="G2329" s="129"/>
      <c r="H2329" s="129"/>
      <c r="I2329" s="129">
        <f>'B&amp;T'!J447</f>
        <v>0</v>
      </c>
      <c r="J2329" s="129"/>
      <c r="K2329" s="129"/>
      <c r="L2329" s="129"/>
      <c r="O2329" s="129"/>
      <c r="P2329" s="123" t="str">
        <f t="shared" si="550"/>
        <v/>
      </c>
    </row>
    <row r="2330" spans="1:16" s="114" customFormat="1" ht="15" x14ac:dyDescent="0.25">
      <c r="A2330" s="118"/>
      <c r="B2330" s="117" t="s">
        <v>96</v>
      </c>
      <c r="C2330" s="128"/>
      <c r="D2330" s="128"/>
      <c r="E2330" s="128"/>
      <c r="F2330" s="128"/>
      <c r="G2330" s="128"/>
      <c r="H2330" s="128"/>
      <c r="I2330" s="129">
        <f>'B&amp;T'!J448</f>
        <v>0</v>
      </c>
      <c r="J2330" s="129"/>
      <c r="K2330" s="129"/>
      <c r="L2330" s="129"/>
      <c r="M2330" s="186"/>
      <c r="N2330" s="186"/>
      <c r="O2330" s="128"/>
      <c r="P2330" s="123" t="str">
        <f t="shared" si="550"/>
        <v/>
      </c>
    </row>
    <row r="2331" spans="1:16" s="114" customFormat="1" ht="15" x14ac:dyDescent="0.25">
      <c r="A2331" s="118"/>
      <c r="B2331" s="117" t="s">
        <v>96</v>
      </c>
      <c r="C2331" s="128"/>
      <c r="D2331" s="128"/>
      <c r="E2331" s="128"/>
      <c r="F2331" s="128"/>
      <c r="G2331" s="128"/>
      <c r="H2331" s="128"/>
      <c r="I2331" s="129">
        <f>'B&amp;T'!J449</f>
        <v>0</v>
      </c>
      <c r="J2331" s="129"/>
      <c r="K2331" s="129"/>
      <c r="L2331" s="129"/>
      <c r="M2331" s="186"/>
      <c r="N2331" s="186"/>
      <c r="O2331" s="128"/>
      <c r="P2331" s="123" t="str">
        <f t="shared" si="550"/>
        <v/>
      </c>
    </row>
    <row r="2332" spans="1:16" s="114" customFormat="1" ht="15" x14ac:dyDescent="0.25">
      <c r="A2332" s="118"/>
      <c r="B2332" s="117" t="s">
        <v>97</v>
      </c>
      <c r="C2332" s="128"/>
      <c r="D2332" s="128"/>
      <c r="E2332" s="128"/>
      <c r="F2332" s="128"/>
      <c r="G2332" s="128"/>
      <c r="H2332" s="128"/>
      <c r="I2332" s="129">
        <f>'B&amp;T'!J450</f>
        <v>0</v>
      </c>
      <c r="J2332" s="129"/>
      <c r="K2332" s="129"/>
      <c r="L2332" s="129"/>
      <c r="M2332" s="186"/>
      <c r="N2332" s="186"/>
      <c r="O2332" s="128"/>
      <c r="P2332" s="123" t="str">
        <f t="shared" si="550"/>
        <v/>
      </c>
    </row>
    <row r="2333" spans="1:16" s="114" customFormat="1" ht="15" x14ac:dyDescent="0.25">
      <c r="A2333" s="118"/>
      <c r="B2333" s="117" t="s">
        <v>148</v>
      </c>
      <c r="C2333" s="128"/>
      <c r="D2333" s="128"/>
      <c r="E2333" s="128"/>
      <c r="F2333" s="128"/>
      <c r="G2333" s="128"/>
      <c r="H2333" s="128"/>
      <c r="I2333" s="129">
        <f>'B&amp;T'!J451</f>
        <v>0</v>
      </c>
      <c r="J2333" s="129"/>
      <c r="K2333" s="129"/>
      <c r="L2333" s="129"/>
      <c r="M2333" s="186"/>
      <c r="N2333" s="186"/>
      <c r="O2333" s="128"/>
      <c r="P2333" s="123" t="str">
        <f t="shared" si="550"/>
        <v/>
      </c>
    </row>
    <row r="2334" spans="1:16" s="114" customFormat="1" ht="15" x14ac:dyDescent="0.25">
      <c r="A2334" s="118"/>
      <c r="B2334" s="117" t="s">
        <v>149</v>
      </c>
      <c r="C2334" s="128"/>
      <c r="D2334" s="128"/>
      <c r="E2334" s="128"/>
      <c r="F2334" s="128"/>
      <c r="G2334" s="128"/>
      <c r="H2334" s="128"/>
      <c r="I2334" s="129">
        <f>'B&amp;T'!J452</f>
        <v>0</v>
      </c>
      <c r="J2334" s="129"/>
      <c r="K2334" s="129"/>
      <c r="L2334" s="129"/>
      <c r="M2334" s="186"/>
      <c r="N2334" s="186"/>
      <c r="O2334" s="128"/>
      <c r="P2334" s="123" t="str">
        <f t="shared" si="550"/>
        <v/>
      </c>
    </row>
    <row r="2335" spans="1:16" x14ac:dyDescent="0.2">
      <c r="A2335" s="119"/>
      <c r="B2335" s="120"/>
      <c r="C2335" s="129"/>
      <c r="D2335" s="129"/>
      <c r="E2335" s="129"/>
      <c r="F2335" s="129"/>
      <c r="G2335" s="129"/>
      <c r="H2335" s="129"/>
      <c r="I2335" s="129">
        <f>'B&amp;T'!J453</f>
        <v>0</v>
      </c>
      <c r="J2335" s="129"/>
      <c r="K2335" s="129"/>
      <c r="L2335" s="129"/>
      <c r="O2335" s="129"/>
      <c r="P2335" s="123" t="str">
        <f t="shared" si="550"/>
        <v/>
      </c>
    </row>
    <row r="2336" spans="1:16" x14ac:dyDescent="0.2">
      <c r="A2336" s="119" t="s">
        <v>950</v>
      </c>
      <c r="B2336" s="120" t="s">
        <v>150</v>
      </c>
      <c r="C2336" s="129">
        <v>1687888</v>
      </c>
      <c r="D2336" s="129">
        <v>148665.24</v>
      </c>
      <c r="E2336" s="129">
        <v>0</v>
      </c>
      <c r="F2336" s="129">
        <v>879433.04</v>
      </c>
      <c r="G2336" s="129">
        <v>808454.96</v>
      </c>
      <c r="H2336" s="129">
        <v>52.1</v>
      </c>
      <c r="I2336" s="129">
        <f>'B&amp;T'!J454</f>
        <v>0</v>
      </c>
      <c r="J2336" s="129">
        <f>'B&amp;T'!K454</f>
        <v>1687888</v>
      </c>
      <c r="K2336" s="129">
        <f>'B&amp;T'!L454</f>
        <v>1793381</v>
      </c>
      <c r="L2336" s="129">
        <f>'B&amp;T'!M454</f>
        <v>1918917.67</v>
      </c>
      <c r="O2336" s="129">
        <f>'B&amp;T'!N454</f>
        <v>2053241.9068999998</v>
      </c>
      <c r="P2336" s="123" t="str">
        <f t="shared" si="550"/>
        <v>110</v>
      </c>
    </row>
    <row r="2337" spans="1:16" x14ac:dyDescent="0.2">
      <c r="A2337" s="119" t="s">
        <v>951</v>
      </c>
      <c r="B2337" s="120" t="s">
        <v>150</v>
      </c>
      <c r="C2337" s="129">
        <v>80600</v>
      </c>
      <c r="D2337" s="129">
        <v>0</v>
      </c>
      <c r="E2337" s="129">
        <v>0</v>
      </c>
      <c r="F2337" s="129">
        <v>0</v>
      </c>
      <c r="G2337" s="129">
        <v>80600</v>
      </c>
      <c r="H2337" s="129">
        <v>0</v>
      </c>
      <c r="I2337" s="129">
        <f>'B&amp;T'!J455</f>
        <v>0</v>
      </c>
      <c r="J2337" s="129">
        <f>'B&amp;T'!K455</f>
        <v>80600</v>
      </c>
      <c r="K2337" s="129">
        <f>'B&amp;T'!L455</f>
        <v>85637.5</v>
      </c>
      <c r="L2337" s="129">
        <f>'B&amp;T'!M455</f>
        <v>91632.125</v>
      </c>
      <c r="O2337" s="129">
        <f>'B&amp;T'!N455</f>
        <v>98046.373749999999</v>
      </c>
      <c r="P2337" s="123" t="str">
        <f t="shared" si="550"/>
        <v>110</v>
      </c>
    </row>
    <row r="2338" spans="1:16" x14ac:dyDescent="0.2">
      <c r="A2338" s="119" t="s">
        <v>952</v>
      </c>
      <c r="B2338" s="120" t="s">
        <v>151</v>
      </c>
      <c r="C2338" s="129">
        <v>84394</v>
      </c>
      <c r="D2338" s="129">
        <v>87122.17</v>
      </c>
      <c r="E2338" s="129">
        <v>0</v>
      </c>
      <c r="F2338" s="129">
        <v>102638.13</v>
      </c>
      <c r="G2338" s="129">
        <v>-18244.13</v>
      </c>
      <c r="H2338" s="129">
        <v>121.61</v>
      </c>
      <c r="I2338" s="129">
        <f>'B&amp;T'!J456</f>
        <v>-50525.64</v>
      </c>
      <c r="J2338" s="129">
        <f>'B&amp;T'!K456</f>
        <v>33868.36</v>
      </c>
      <c r="K2338" s="129">
        <f>'B&amp;T'!L456</f>
        <v>35985.1325</v>
      </c>
      <c r="L2338" s="129">
        <f>'B&amp;T'!M456</f>
        <v>38504.091775000001</v>
      </c>
      <c r="O2338" s="129">
        <f>'B&amp;T'!N456</f>
        <v>41199.378199250001</v>
      </c>
      <c r="P2338" s="123" t="str">
        <f t="shared" si="550"/>
        <v>110</v>
      </c>
    </row>
    <row r="2339" spans="1:16" x14ac:dyDescent="0.2">
      <c r="A2339" s="119" t="s">
        <v>953</v>
      </c>
      <c r="B2339" s="120" t="s">
        <v>152</v>
      </c>
      <c r="C2339" s="129">
        <v>52200</v>
      </c>
      <c r="D2339" s="129">
        <v>4345.5</v>
      </c>
      <c r="E2339" s="129">
        <v>0</v>
      </c>
      <c r="F2339" s="129">
        <v>26073</v>
      </c>
      <c r="G2339" s="129">
        <v>26127</v>
      </c>
      <c r="H2339" s="129">
        <v>49.94</v>
      </c>
      <c r="I2339" s="129">
        <f>'B&amp;T'!J457</f>
        <v>0</v>
      </c>
      <c r="J2339" s="129">
        <f>'B&amp;T'!K457</f>
        <v>52200</v>
      </c>
      <c r="K2339" s="129">
        <f>'B&amp;T'!L457</f>
        <v>55462.5</v>
      </c>
      <c r="L2339" s="129">
        <f>'B&amp;T'!M457</f>
        <v>59344.875</v>
      </c>
      <c r="O2339" s="129">
        <f>'B&amp;T'!N457</f>
        <v>63499.016250000001</v>
      </c>
      <c r="P2339" s="123" t="str">
        <f t="shared" si="550"/>
        <v>110</v>
      </c>
    </row>
    <row r="2340" spans="1:16" x14ac:dyDescent="0.2">
      <c r="A2340" s="119" t="s">
        <v>954</v>
      </c>
      <c r="B2340" s="120" t="s">
        <v>153</v>
      </c>
      <c r="C2340" s="129">
        <v>10893</v>
      </c>
      <c r="D2340" s="129">
        <v>0</v>
      </c>
      <c r="E2340" s="129">
        <v>0</v>
      </c>
      <c r="F2340" s="129">
        <v>0</v>
      </c>
      <c r="G2340" s="129">
        <v>10893</v>
      </c>
      <c r="H2340" s="129">
        <v>0</v>
      </c>
      <c r="I2340" s="129">
        <f>'B&amp;T'!J458</f>
        <v>0</v>
      </c>
      <c r="J2340" s="129">
        <f>'B&amp;T'!K458</f>
        <v>10893</v>
      </c>
      <c r="K2340" s="129">
        <f>'B&amp;T'!L458</f>
        <v>11573.8125</v>
      </c>
      <c r="L2340" s="129">
        <f>'B&amp;T'!M458</f>
        <v>12383.979375000001</v>
      </c>
      <c r="O2340" s="129">
        <f>'B&amp;T'!N458</f>
        <v>13250.857931250001</v>
      </c>
      <c r="P2340" s="123" t="str">
        <f t="shared" si="550"/>
        <v>110</v>
      </c>
    </row>
    <row r="2341" spans="1:16" x14ac:dyDescent="0.2">
      <c r="A2341" s="119" t="s">
        <v>955</v>
      </c>
      <c r="B2341" s="120" t="s">
        <v>155</v>
      </c>
      <c r="C2341" s="129">
        <v>55271</v>
      </c>
      <c r="D2341" s="129">
        <v>0</v>
      </c>
      <c r="E2341" s="129">
        <v>0</v>
      </c>
      <c r="F2341" s="129">
        <v>0</v>
      </c>
      <c r="G2341" s="129">
        <v>55271</v>
      </c>
      <c r="H2341" s="129">
        <v>0</v>
      </c>
      <c r="I2341" s="129">
        <f>'B&amp;T'!J459</f>
        <v>0</v>
      </c>
      <c r="J2341" s="129">
        <f>'B&amp;T'!K459</f>
        <v>55271</v>
      </c>
      <c r="K2341" s="129">
        <f>'B&amp;T'!L459</f>
        <v>58725.4375</v>
      </c>
      <c r="L2341" s="129">
        <f>'B&amp;T'!M459</f>
        <v>62836.218124999999</v>
      </c>
      <c r="O2341" s="129">
        <f>'B&amp;T'!N459</f>
        <v>67234.753393749997</v>
      </c>
      <c r="P2341" s="123" t="str">
        <f t="shared" si="550"/>
        <v>110</v>
      </c>
    </row>
    <row r="2342" spans="1:16" x14ac:dyDescent="0.2">
      <c r="A2342" s="119" t="s">
        <v>956</v>
      </c>
      <c r="B2342" s="120" t="s">
        <v>156</v>
      </c>
      <c r="C2342" s="129">
        <v>365236</v>
      </c>
      <c r="D2342" s="129">
        <v>31110.880000000001</v>
      </c>
      <c r="E2342" s="129">
        <v>0</v>
      </c>
      <c r="F2342" s="129">
        <v>186898.53</v>
      </c>
      <c r="G2342" s="129">
        <v>178337.47</v>
      </c>
      <c r="H2342" s="129">
        <v>51.17</v>
      </c>
      <c r="I2342" s="129">
        <f>'B&amp;T'!J460</f>
        <v>0</v>
      </c>
      <c r="J2342" s="129">
        <f>'B&amp;T'!K460</f>
        <v>365236</v>
      </c>
      <c r="K2342" s="129">
        <f>'B&amp;T'!L460</f>
        <v>388063.25</v>
      </c>
      <c r="L2342" s="129">
        <f>'B&amp;T'!M460</f>
        <v>415227.67749999999</v>
      </c>
      <c r="O2342" s="129">
        <f>'B&amp;T'!N460</f>
        <v>444293.614925</v>
      </c>
      <c r="P2342" s="123" t="str">
        <f t="shared" si="550"/>
        <v>110</v>
      </c>
    </row>
    <row r="2343" spans="1:16" x14ac:dyDescent="0.2">
      <c r="A2343" s="119" t="s">
        <v>957</v>
      </c>
      <c r="B2343" s="120" t="s">
        <v>157</v>
      </c>
      <c r="C2343" s="129">
        <v>7383</v>
      </c>
      <c r="D2343" s="129">
        <v>3050.56</v>
      </c>
      <c r="E2343" s="129">
        <v>0</v>
      </c>
      <c r="F2343" s="129">
        <v>13338.11</v>
      </c>
      <c r="G2343" s="129">
        <v>-5955.11</v>
      </c>
      <c r="H2343" s="129">
        <v>180.65</v>
      </c>
      <c r="I2343" s="129">
        <f>'B&amp;T'!J461</f>
        <v>7617</v>
      </c>
      <c r="J2343" s="129">
        <f>'B&amp;T'!K461</f>
        <v>15000</v>
      </c>
      <c r="K2343" s="129">
        <f>'B&amp;T'!L461</f>
        <v>15937.5</v>
      </c>
      <c r="L2343" s="129">
        <f>'B&amp;T'!M461</f>
        <v>17053.125</v>
      </c>
      <c r="O2343" s="129">
        <f>'B&amp;T'!N461</f>
        <v>18246.84375</v>
      </c>
      <c r="P2343" s="123" t="str">
        <f t="shared" si="550"/>
        <v>110</v>
      </c>
    </row>
    <row r="2344" spans="1:16" x14ac:dyDescent="0.2">
      <c r="A2344" s="119" t="s">
        <v>958</v>
      </c>
      <c r="B2344" s="120" t="s">
        <v>158</v>
      </c>
      <c r="C2344" s="129">
        <v>12841</v>
      </c>
      <c r="D2344" s="129">
        <v>0</v>
      </c>
      <c r="E2344" s="129">
        <v>0</v>
      </c>
      <c r="F2344" s="129">
        <v>0</v>
      </c>
      <c r="G2344" s="129">
        <v>12841</v>
      </c>
      <c r="H2344" s="129">
        <v>0</v>
      </c>
      <c r="I2344" s="129">
        <f>'B&amp;T'!J462</f>
        <v>0</v>
      </c>
      <c r="J2344" s="129">
        <f>'B&amp;T'!K462</f>
        <v>12841</v>
      </c>
      <c r="K2344" s="129">
        <f>'B&amp;T'!L462</f>
        <v>13643.5625</v>
      </c>
      <c r="L2344" s="129">
        <f>'B&amp;T'!M462</f>
        <v>14598.611875000001</v>
      </c>
      <c r="O2344" s="129">
        <f>'B&amp;T'!N462</f>
        <v>15620.51470625</v>
      </c>
      <c r="P2344" s="123" t="str">
        <f t="shared" si="550"/>
        <v>110</v>
      </c>
    </row>
    <row r="2345" spans="1:16" x14ac:dyDescent="0.2">
      <c r="A2345" s="119" t="s">
        <v>959</v>
      </c>
      <c r="B2345" s="120" t="s">
        <v>159</v>
      </c>
      <c r="C2345" s="129">
        <v>140657</v>
      </c>
      <c r="D2345" s="129">
        <v>0</v>
      </c>
      <c r="E2345" s="129">
        <v>0</v>
      </c>
      <c r="F2345" s="129">
        <v>0</v>
      </c>
      <c r="G2345" s="129">
        <v>140657</v>
      </c>
      <c r="H2345" s="129">
        <v>0</v>
      </c>
      <c r="I2345" s="129">
        <f>'B&amp;T'!J463</f>
        <v>0</v>
      </c>
      <c r="J2345" s="129">
        <f>'B&amp;T'!K463</f>
        <v>140657</v>
      </c>
      <c r="K2345" s="129">
        <f>'B&amp;T'!L463</f>
        <v>149448.0625</v>
      </c>
      <c r="L2345" s="129">
        <f>'B&amp;T'!M463</f>
        <v>159909.426875</v>
      </c>
      <c r="O2345" s="129">
        <f>'B&amp;T'!N463</f>
        <v>171103.08675625001</v>
      </c>
      <c r="P2345" s="123" t="str">
        <f t="shared" si="550"/>
        <v>110</v>
      </c>
    </row>
    <row r="2346" spans="1:16" x14ac:dyDescent="0.2">
      <c r="A2346" s="119" t="s">
        <v>960</v>
      </c>
      <c r="B2346" s="120" t="s">
        <v>161</v>
      </c>
      <c r="C2346" s="129">
        <v>57035</v>
      </c>
      <c r="D2346" s="129">
        <v>0</v>
      </c>
      <c r="E2346" s="129">
        <v>0</v>
      </c>
      <c r="F2346" s="129">
        <v>0</v>
      </c>
      <c r="G2346" s="129">
        <v>57035</v>
      </c>
      <c r="H2346" s="129">
        <v>0</v>
      </c>
      <c r="I2346" s="129">
        <f>'B&amp;T'!J464</f>
        <v>0</v>
      </c>
      <c r="J2346" s="129">
        <f>'B&amp;T'!K464</f>
        <v>57035</v>
      </c>
      <c r="K2346" s="129">
        <f>'B&amp;T'!L464</f>
        <v>60599.6875</v>
      </c>
      <c r="L2346" s="129">
        <f>'B&amp;T'!M464</f>
        <v>64841.665625000001</v>
      </c>
      <c r="O2346" s="129">
        <f>'B&amp;T'!N464</f>
        <v>69380.582218750002</v>
      </c>
      <c r="P2346" s="123" t="str">
        <f t="shared" si="550"/>
        <v>110</v>
      </c>
    </row>
    <row r="2347" spans="1:16" x14ac:dyDescent="0.2">
      <c r="A2347" s="119" t="s">
        <v>961</v>
      </c>
      <c r="B2347" s="120" t="s">
        <v>164</v>
      </c>
      <c r="C2347" s="129">
        <v>15692</v>
      </c>
      <c r="D2347" s="129">
        <v>1307.7</v>
      </c>
      <c r="E2347" s="129">
        <v>0</v>
      </c>
      <c r="F2347" s="129">
        <v>7846.2</v>
      </c>
      <c r="G2347" s="129">
        <v>7845.8</v>
      </c>
      <c r="H2347" s="129">
        <v>50</v>
      </c>
      <c r="I2347" s="129">
        <f>'B&amp;T'!J465</f>
        <v>0</v>
      </c>
      <c r="J2347" s="129">
        <f>'B&amp;T'!K465</f>
        <v>15692</v>
      </c>
      <c r="K2347" s="129">
        <f>'B&amp;T'!L465</f>
        <v>16672.75</v>
      </c>
      <c r="L2347" s="129">
        <f>'B&amp;T'!M465</f>
        <v>17839.842499999999</v>
      </c>
      <c r="O2347" s="129">
        <f>'B&amp;T'!N465</f>
        <v>19088.631474999998</v>
      </c>
      <c r="P2347" s="123" t="str">
        <f t="shared" si="550"/>
        <v>110</v>
      </c>
    </row>
    <row r="2348" spans="1:16" x14ac:dyDescent="0.2">
      <c r="A2348" s="119"/>
      <c r="B2348" s="120"/>
      <c r="C2348" s="129"/>
      <c r="D2348" s="129"/>
      <c r="E2348" s="129"/>
      <c r="F2348" s="129"/>
      <c r="G2348" s="129"/>
      <c r="H2348" s="129"/>
      <c r="I2348" s="129">
        <f>'B&amp;T'!J466</f>
        <v>0</v>
      </c>
      <c r="J2348" s="129"/>
      <c r="K2348" s="129"/>
      <c r="L2348" s="129"/>
      <c r="O2348" s="129"/>
      <c r="P2348" s="123" t="str">
        <f t="shared" si="550"/>
        <v/>
      </c>
    </row>
    <row r="2349" spans="1:16" s="114" customFormat="1" ht="15" x14ac:dyDescent="0.25">
      <c r="A2349" s="118"/>
      <c r="B2349" s="117" t="s">
        <v>165</v>
      </c>
      <c r="C2349" s="128">
        <f>SUM(C2336:C2348)</f>
        <v>2570090</v>
      </c>
      <c r="D2349" s="128">
        <f t="shared" ref="D2349:O2349" si="555">SUM(D2336:D2348)</f>
        <v>275602.05</v>
      </c>
      <c r="E2349" s="128">
        <f t="shared" si="555"/>
        <v>0</v>
      </c>
      <c r="F2349" s="128">
        <f t="shared" si="555"/>
        <v>1216227.01</v>
      </c>
      <c r="G2349" s="128">
        <f t="shared" si="555"/>
        <v>1353862.99</v>
      </c>
      <c r="H2349" s="128">
        <f t="shared" si="555"/>
        <v>505.47</v>
      </c>
      <c r="I2349" s="128">
        <f t="shared" si="555"/>
        <v>-42908.639999999999</v>
      </c>
      <c r="J2349" s="128">
        <f t="shared" si="555"/>
        <v>2527181.3600000003</v>
      </c>
      <c r="K2349" s="128">
        <f t="shared" si="555"/>
        <v>2685130.1950000003</v>
      </c>
      <c r="L2349" s="128">
        <f t="shared" si="555"/>
        <v>2873089.3086499996</v>
      </c>
      <c r="M2349" s="128">
        <f t="shared" si="555"/>
        <v>0</v>
      </c>
      <c r="N2349" s="128">
        <f t="shared" si="555"/>
        <v>0</v>
      </c>
      <c r="O2349" s="128">
        <f t="shared" si="555"/>
        <v>3074205.5602554991</v>
      </c>
      <c r="P2349" s="123" t="str">
        <f t="shared" si="550"/>
        <v/>
      </c>
    </row>
    <row r="2350" spans="1:16" s="114" customFormat="1" ht="15" x14ac:dyDescent="0.25">
      <c r="A2350" s="118"/>
      <c r="B2350" s="117"/>
      <c r="C2350" s="128"/>
      <c r="D2350" s="128"/>
      <c r="E2350" s="128"/>
      <c r="F2350" s="128"/>
      <c r="G2350" s="128"/>
      <c r="H2350" s="128"/>
      <c r="I2350" s="129">
        <f>'B&amp;T'!J468</f>
        <v>0</v>
      </c>
      <c r="J2350" s="129"/>
      <c r="K2350" s="129"/>
      <c r="L2350" s="129"/>
      <c r="M2350" s="186"/>
      <c r="N2350" s="186"/>
      <c r="O2350" s="128"/>
      <c r="P2350" s="123" t="str">
        <f t="shared" si="550"/>
        <v/>
      </c>
    </row>
    <row r="2351" spans="1:16" s="114" customFormat="1" ht="15" x14ac:dyDescent="0.25">
      <c r="A2351" s="118"/>
      <c r="B2351" s="117" t="s">
        <v>166</v>
      </c>
      <c r="C2351" s="128"/>
      <c r="D2351" s="128"/>
      <c r="E2351" s="128"/>
      <c r="F2351" s="128"/>
      <c r="G2351" s="128"/>
      <c r="H2351" s="128"/>
      <c r="I2351" s="129">
        <f>'B&amp;T'!J469</f>
        <v>0</v>
      </c>
      <c r="J2351" s="129"/>
      <c r="K2351" s="129"/>
      <c r="L2351" s="129"/>
      <c r="M2351" s="186"/>
      <c r="N2351" s="186"/>
      <c r="O2351" s="128"/>
      <c r="P2351" s="123" t="str">
        <f t="shared" si="550"/>
        <v/>
      </c>
    </row>
    <row r="2352" spans="1:16" s="114" customFormat="1" ht="15" x14ac:dyDescent="0.25">
      <c r="A2352" s="118"/>
      <c r="B2352" s="117"/>
      <c r="C2352" s="128"/>
      <c r="D2352" s="128"/>
      <c r="E2352" s="128"/>
      <c r="F2352" s="128"/>
      <c r="G2352" s="128"/>
      <c r="H2352" s="128"/>
      <c r="I2352" s="129">
        <f>'B&amp;T'!J470</f>
        <v>0</v>
      </c>
      <c r="J2352" s="129"/>
      <c r="K2352" s="129"/>
      <c r="L2352" s="129"/>
      <c r="M2352" s="186"/>
      <c r="N2352" s="186"/>
      <c r="O2352" s="128"/>
      <c r="P2352" s="123" t="str">
        <f t="shared" si="550"/>
        <v/>
      </c>
    </row>
    <row r="2353" spans="1:16" x14ac:dyDescent="0.2">
      <c r="A2353" s="119" t="s">
        <v>962</v>
      </c>
      <c r="B2353" s="120" t="s">
        <v>167</v>
      </c>
      <c r="C2353" s="129">
        <v>449</v>
      </c>
      <c r="D2353" s="129">
        <v>37.28</v>
      </c>
      <c r="E2353" s="129">
        <v>0</v>
      </c>
      <c r="F2353" s="129">
        <v>223.68</v>
      </c>
      <c r="G2353" s="129">
        <v>225.32</v>
      </c>
      <c r="H2353" s="129">
        <v>49.81</v>
      </c>
      <c r="I2353" s="129">
        <f>'B&amp;T'!J471</f>
        <v>0</v>
      </c>
      <c r="J2353" s="129">
        <f>'B&amp;T'!K471</f>
        <v>449</v>
      </c>
      <c r="K2353" s="129">
        <f>'B&amp;T'!L471</f>
        <v>477.0625</v>
      </c>
      <c r="L2353" s="129">
        <f>'B&amp;T'!M471</f>
        <v>510.45687499999997</v>
      </c>
      <c r="O2353" s="129">
        <f>'B&amp;T'!N471</f>
        <v>546.18885624999996</v>
      </c>
      <c r="P2353" s="123" t="str">
        <f t="shared" si="550"/>
        <v>130</v>
      </c>
    </row>
    <row r="2354" spans="1:16" x14ac:dyDescent="0.2">
      <c r="A2354" s="119" t="s">
        <v>963</v>
      </c>
      <c r="B2354" s="120" t="s">
        <v>168</v>
      </c>
      <c r="C2354" s="129">
        <v>161725</v>
      </c>
      <c r="D2354" s="129">
        <v>13722</v>
      </c>
      <c r="E2354" s="129">
        <v>0</v>
      </c>
      <c r="F2354" s="129">
        <v>82332</v>
      </c>
      <c r="G2354" s="129">
        <v>79393</v>
      </c>
      <c r="H2354" s="129">
        <v>50.9</v>
      </c>
      <c r="I2354" s="129">
        <f>'B&amp;T'!J472</f>
        <v>0</v>
      </c>
      <c r="J2354" s="129">
        <f>'B&amp;T'!K472</f>
        <v>161725</v>
      </c>
      <c r="K2354" s="129">
        <f>'B&amp;T'!L472</f>
        <v>171832.8125</v>
      </c>
      <c r="L2354" s="129">
        <f>'B&amp;T'!M472</f>
        <v>183861.109375</v>
      </c>
      <c r="O2354" s="129">
        <f>'B&amp;T'!N472</f>
        <v>196731.38703124999</v>
      </c>
      <c r="P2354" s="123" t="str">
        <f t="shared" si="550"/>
        <v>130</v>
      </c>
    </row>
    <row r="2355" spans="1:16" x14ac:dyDescent="0.2">
      <c r="A2355" s="119" t="s">
        <v>964</v>
      </c>
      <c r="B2355" s="120" t="s">
        <v>169</v>
      </c>
      <c r="C2355" s="129">
        <v>371335</v>
      </c>
      <c r="D2355" s="129">
        <v>30237.48</v>
      </c>
      <c r="E2355" s="129">
        <v>0</v>
      </c>
      <c r="F2355" s="129">
        <v>181361.98</v>
      </c>
      <c r="G2355" s="129">
        <v>189973.02</v>
      </c>
      <c r="H2355" s="129">
        <v>48.84</v>
      </c>
      <c r="I2355" s="129">
        <f>'B&amp;T'!J473</f>
        <v>0</v>
      </c>
      <c r="J2355" s="129">
        <f>'B&amp;T'!K473</f>
        <v>371335</v>
      </c>
      <c r="K2355" s="129">
        <f>'B&amp;T'!L473</f>
        <v>394543.4375</v>
      </c>
      <c r="L2355" s="129">
        <f>'B&amp;T'!M473</f>
        <v>422161.47812500002</v>
      </c>
      <c r="O2355" s="129">
        <f>'B&amp;T'!N473</f>
        <v>451712.78159375</v>
      </c>
      <c r="P2355" s="123" t="str">
        <f t="shared" si="550"/>
        <v>130</v>
      </c>
    </row>
    <row r="2356" spans="1:16" x14ac:dyDescent="0.2">
      <c r="A2356" s="119" t="s">
        <v>965</v>
      </c>
      <c r="B2356" s="120" t="s">
        <v>170</v>
      </c>
      <c r="C2356" s="129">
        <v>7140</v>
      </c>
      <c r="D2356" s="129">
        <v>678.21</v>
      </c>
      <c r="E2356" s="129">
        <v>0</v>
      </c>
      <c r="F2356" s="129">
        <v>3949.26</v>
      </c>
      <c r="G2356" s="129">
        <v>3190.74</v>
      </c>
      <c r="H2356" s="129">
        <v>55.31</v>
      </c>
      <c r="I2356" s="129">
        <f>'B&amp;T'!J474</f>
        <v>0</v>
      </c>
      <c r="J2356" s="129">
        <f>'B&amp;T'!K474</f>
        <v>7140</v>
      </c>
      <c r="K2356" s="129">
        <f>'B&amp;T'!L474</f>
        <v>7586.25</v>
      </c>
      <c r="L2356" s="129">
        <f>'B&amp;T'!M474</f>
        <v>8117.2875000000004</v>
      </c>
      <c r="O2356" s="129">
        <f>'B&amp;T'!N474</f>
        <v>8685.497625</v>
      </c>
      <c r="P2356" s="123" t="str">
        <f t="shared" si="550"/>
        <v>130</v>
      </c>
    </row>
    <row r="2357" spans="1:16" x14ac:dyDescent="0.2">
      <c r="A2357" s="119"/>
      <c r="B2357" s="120"/>
      <c r="C2357" s="129"/>
      <c r="D2357" s="129"/>
      <c r="E2357" s="129"/>
      <c r="F2357" s="129"/>
      <c r="G2357" s="129"/>
      <c r="H2357" s="129"/>
      <c r="I2357" s="129">
        <f>'B&amp;T'!J475</f>
        <v>0</v>
      </c>
      <c r="J2357" s="129"/>
      <c r="K2357" s="129"/>
      <c r="L2357" s="129"/>
      <c r="O2357" s="129"/>
      <c r="P2357" s="123" t="str">
        <f t="shared" si="550"/>
        <v/>
      </c>
    </row>
    <row r="2358" spans="1:16" s="114" customFormat="1" ht="15" x14ac:dyDescent="0.25">
      <c r="A2358" s="118"/>
      <c r="B2358" s="117" t="s">
        <v>171</v>
      </c>
      <c r="C2358" s="128">
        <f>SUM(C2353:C2357)</f>
        <v>540649</v>
      </c>
      <c r="D2358" s="128">
        <f t="shared" ref="D2358:O2358" si="556">SUM(D2353:D2357)</f>
        <v>44674.97</v>
      </c>
      <c r="E2358" s="128">
        <f t="shared" si="556"/>
        <v>0</v>
      </c>
      <c r="F2358" s="128">
        <f t="shared" si="556"/>
        <v>267866.92000000004</v>
      </c>
      <c r="G2358" s="128">
        <f t="shared" si="556"/>
        <v>272782.07999999996</v>
      </c>
      <c r="H2358" s="128">
        <f t="shared" si="556"/>
        <v>204.86</v>
      </c>
      <c r="I2358" s="128">
        <f t="shared" si="556"/>
        <v>0</v>
      </c>
      <c r="J2358" s="128">
        <f t="shared" si="556"/>
        <v>540649</v>
      </c>
      <c r="K2358" s="128">
        <f t="shared" si="556"/>
        <v>574439.5625</v>
      </c>
      <c r="L2358" s="128">
        <f t="shared" si="556"/>
        <v>614650.33187500003</v>
      </c>
      <c r="M2358" s="128">
        <f t="shared" si="556"/>
        <v>0</v>
      </c>
      <c r="N2358" s="128">
        <f t="shared" si="556"/>
        <v>0</v>
      </c>
      <c r="O2358" s="128">
        <f t="shared" si="556"/>
        <v>657675.85510624992</v>
      </c>
      <c r="P2358" s="123" t="str">
        <f t="shared" si="550"/>
        <v/>
      </c>
    </row>
    <row r="2359" spans="1:16" s="114" customFormat="1" ht="15" x14ac:dyDescent="0.25">
      <c r="A2359" s="118"/>
      <c r="B2359" s="117"/>
      <c r="C2359" s="128"/>
      <c r="D2359" s="128"/>
      <c r="E2359" s="128"/>
      <c r="F2359" s="128"/>
      <c r="G2359" s="128"/>
      <c r="H2359" s="128"/>
      <c r="I2359" s="129">
        <f>'B&amp;T'!J477</f>
        <v>0</v>
      </c>
      <c r="J2359" s="129"/>
      <c r="K2359" s="129"/>
      <c r="L2359" s="129"/>
      <c r="M2359" s="186"/>
      <c r="N2359" s="186"/>
      <c r="O2359" s="128"/>
      <c r="P2359" s="123" t="str">
        <f t="shared" si="550"/>
        <v/>
      </c>
    </row>
    <row r="2360" spans="1:16" s="114" customFormat="1" ht="15" x14ac:dyDescent="0.25">
      <c r="A2360" s="118"/>
      <c r="B2360" s="117" t="s">
        <v>172</v>
      </c>
      <c r="C2360" s="128"/>
      <c r="D2360" s="128"/>
      <c r="E2360" s="128"/>
      <c r="F2360" s="128"/>
      <c r="G2360" s="128"/>
      <c r="H2360" s="128"/>
      <c r="I2360" s="129">
        <f>'B&amp;T'!J478</f>
        <v>0</v>
      </c>
      <c r="J2360" s="129"/>
      <c r="K2360" s="129"/>
      <c r="L2360" s="129"/>
      <c r="M2360" s="186"/>
      <c r="N2360" s="186"/>
      <c r="O2360" s="128"/>
      <c r="P2360" s="123" t="str">
        <f t="shared" si="550"/>
        <v/>
      </c>
    </row>
    <row r="2361" spans="1:16" s="114" customFormat="1" ht="15" x14ac:dyDescent="0.25">
      <c r="A2361" s="118"/>
      <c r="B2361" s="117"/>
      <c r="C2361" s="128"/>
      <c r="D2361" s="128"/>
      <c r="E2361" s="128"/>
      <c r="F2361" s="128"/>
      <c r="G2361" s="128"/>
      <c r="H2361" s="128"/>
      <c r="I2361" s="129">
        <f>'B&amp;T'!J479</f>
        <v>0</v>
      </c>
      <c r="J2361" s="129"/>
      <c r="K2361" s="129"/>
      <c r="L2361" s="129"/>
      <c r="M2361" s="186"/>
      <c r="N2361" s="186"/>
      <c r="O2361" s="128"/>
      <c r="P2361" s="123" t="str">
        <f t="shared" si="550"/>
        <v/>
      </c>
    </row>
    <row r="2362" spans="1:16" x14ac:dyDescent="0.2">
      <c r="A2362" s="119" t="s">
        <v>966</v>
      </c>
      <c r="B2362" s="120" t="s">
        <v>173</v>
      </c>
      <c r="C2362" s="129">
        <v>32206</v>
      </c>
      <c r="D2362" s="129">
        <v>0</v>
      </c>
      <c r="E2362" s="129">
        <v>0</v>
      </c>
      <c r="F2362" s="129">
        <v>0</v>
      </c>
      <c r="G2362" s="129">
        <v>32206</v>
      </c>
      <c r="H2362" s="129">
        <v>0</v>
      </c>
      <c r="I2362" s="129">
        <f>'B&amp;T'!J480</f>
        <v>0</v>
      </c>
      <c r="J2362" s="129">
        <f>'B&amp;T'!K480</f>
        <v>32206</v>
      </c>
      <c r="K2362" s="129">
        <f>'B&amp;T'!L480</f>
        <v>34218.875</v>
      </c>
      <c r="L2362" s="129">
        <f>'B&amp;T'!M480</f>
        <v>36614.196250000001</v>
      </c>
      <c r="O2362" s="129">
        <f>'B&amp;T'!N480</f>
        <v>39177.189987500002</v>
      </c>
      <c r="P2362" s="123" t="str">
        <f t="shared" si="550"/>
        <v>140</v>
      </c>
    </row>
    <row r="2363" spans="1:16" x14ac:dyDescent="0.2">
      <c r="A2363" s="119" t="s">
        <v>967</v>
      </c>
      <c r="B2363" s="120" t="s">
        <v>174</v>
      </c>
      <c r="C2363" s="129">
        <v>40124</v>
      </c>
      <c r="D2363" s="129">
        <v>0</v>
      </c>
      <c r="E2363" s="129">
        <v>0</v>
      </c>
      <c r="F2363" s="129">
        <v>0</v>
      </c>
      <c r="G2363" s="129">
        <v>40124</v>
      </c>
      <c r="H2363" s="129">
        <v>0</v>
      </c>
      <c r="I2363" s="129">
        <f>'B&amp;T'!J481</f>
        <v>0</v>
      </c>
      <c r="J2363" s="129">
        <f>'B&amp;T'!K481</f>
        <v>40124</v>
      </c>
      <c r="K2363" s="129">
        <f>'B&amp;T'!L481</f>
        <v>42631.75</v>
      </c>
      <c r="L2363" s="129">
        <f>'B&amp;T'!M481</f>
        <v>45615.972500000003</v>
      </c>
      <c r="O2363" s="129">
        <f>'B&amp;T'!N481</f>
        <v>48809.090575000002</v>
      </c>
      <c r="P2363" s="123" t="str">
        <f t="shared" si="550"/>
        <v>140</v>
      </c>
    </row>
    <row r="2364" spans="1:16" x14ac:dyDescent="0.2">
      <c r="A2364" s="119" t="s">
        <v>968</v>
      </c>
      <c r="B2364" s="120" t="s">
        <v>175</v>
      </c>
      <c r="C2364" s="129">
        <v>29542</v>
      </c>
      <c r="D2364" s="129">
        <v>0</v>
      </c>
      <c r="E2364" s="129">
        <v>0</v>
      </c>
      <c r="F2364" s="129">
        <v>0</v>
      </c>
      <c r="G2364" s="129">
        <v>29542</v>
      </c>
      <c r="H2364" s="129">
        <v>0</v>
      </c>
      <c r="I2364" s="129">
        <f>'B&amp;T'!J482</f>
        <v>0</v>
      </c>
      <c r="J2364" s="129">
        <f>'B&amp;T'!K482</f>
        <v>29542</v>
      </c>
      <c r="K2364" s="129">
        <f>'B&amp;T'!L482</f>
        <v>31388.375</v>
      </c>
      <c r="L2364" s="129">
        <f>'B&amp;T'!M482</f>
        <v>33585.561249999999</v>
      </c>
      <c r="O2364" s="129">
        <f>'B&amp;T'!N482</f>
        <v>35936.550537499999</v>
      </c>
      <c r="P2364" s="123" t="str">
        <f t="shared" si="550"/>
        <v>142</v>
      </c>
    </row>
    <row r="2365" spans="1:16" x14ac:dyDescent="0.2">
      <c r="A2365" s="119"/>
      <c r="B2365" s="120"/>
      <c r="C2365" s="129"/>
      <c r="D2365" s="129"/>
      <c r="E2365" s="129"/>
      <c r="F2365" s="129"/>
      <c r="G2365" s="129"/>
      <c r="H2365" s="129"/>
      <c r="I2365" s="129">
        <f>'B&amp;T'!J483</f>
        <v>0</v>
      </c>
      <c r="J2365" s="129"/>
      <c r="K2365" s="129"/>
      <c r="L2365" s="129"/>
      <c r="O2365" s="129"/>
      <c r="P2365" s="123" t="str">
        <f t="shared" si="550"/>
        <v/>
      </c>
    </row>
    <row r="2366" spans="1:16" s="114" customFormat="1" ht="15" x14ac:dyDescent="0.25">
      <c r="A2366" s="118"/>
      <c r="B2366" s="117" t="s">
        <v>176</v>
      </c>
      <c r="C2366" s="128">
        <f>SUM(C2362:C2365)</f>
        <v>101872</v>
      </c>
      <c r="D2366" s="128">
        <f t="shared" ref="D2366:O2366" si="557">SUM(D2362:D2365)</f>
        <v>0</v>
      </c>
      <c r="E2366" s="128">
        <f t="shared" si="557"/>
        <v>0</v>
      </c>
      <c r="F2366" s="128">
        <f t="shared" si="557"/>
        <v>0</v>
      </c>
      <c r="G2366" s="128">
        <f t="shared" si="557"/>
        <v>101872</v>
      </c>
      <c r="H2366" s="128">
        <f t="shared" si="557"/>
        <v>0</v>
      </c>
      <c r="I2366" s="128">
        <f t="shared" si="557"/>
        <v>0</v>
      </c>
      <c r="J2366" s="128">
        <f t="shared" si="557"/>
        <v>101872</v>
      </c>
      <c r="K2366" s="128">
        <f t="shared" si="557"/>
        <v>108239</v>
      </c>
      <c r="L2366" s="128">
        <f t="shared" si="557"/>
        <v>115815.73000000001</v>
      </c>
      <c r="M2366" s="128">
        <f t="shared" si="557"/>
        <v>0</v>
      </c>
      <c r="N2366" s="128">
        <f t="shared" si="557"/>
        <v>0</v>
      </c>
      <c r="O2366" s="128">
        <f t="shared" si="557"/>
        <v>123922.83110000001</v>
      </c>
      <c r="P2366" s="123" t="str">
        <f t="shared" si="550"/>
        <v/>
      </c>
    </row>
    <row r="2367" spans="1:16" x14ac:dyDescent="0.2">
      <c r="A2367" s="119"/>
      <c r="B2367" s="120"/>
      <c r="C2367" s="129"/>
      <c r="D2367" s="129"/>
      <c r="E2367" s="129"/>
      <c r="F2367" s="129"/>
      <c r="G2367" s="129"/>
      <c r="H2367" s="129"/>
      <c r="I2367" s="129">
        <f>'B&amp;T'!J485</f>
        <v>0</v>
      </c>
      <c r="J2367" s="129"/>
      <c r="K2367" s="129"/>
      <c r="L2367" s="129"/>
      <c r="O2367" s="129"/>
      <c r="P2367" s="123" t="str">
        <f t="shared" si="550"/>
        <v/>
      </c>
    </row>
    <row r="2368" spans="1:16" s="114" customFormat="1" ht="15" x14ac:dyDescent="0.25">
      <c r="A2368" s="118"/>
      <c r="B2368" s="117" t="s">
        <v>177</v>
      </c>
      <c r="C2368" s="128">
        <f>C2349+C2358+C2366</f>
        <v>3212611</v>
      </c>
      <c r="D2368" s="128">
        <f t="shared" ref="D2368:O2368" si="558">D2349+D2358+D2366</f>
        <v>320277.02</v>
      </c>
      <c r="E2368" s="128">
        <f t="shared" si="558"/>
        <v>0</v>
      </c>
      <c r="F2368" s="128">
        <f t="shared" si="558"/>
        <v>1484093.9300000002</v>
      </c>
      <c r="G2368" s="128">
        <f t="shared" si="558"/>
        <v>1728517.0699999998</v>
      </c>
      <c r="H2368" s="128">
        <f t="shared" si="558"/>
        <v>710.33</v>
      </c>
      <c r="I2368" s="128">
        <f t="shared" si="558"/>
        <v>-42908.639999999999</v>
      </c>
      <c r="J2368" s="128">
        <f t="shared" si="558"/>
        <v>3169702.3600000003</v>
      </c>
      <c r="K2368" s="128">
        <f t="shared" si="558"/>
        <v>3367808.7575000003</v>
      </c>
      <c r="L2368" s="128">
        <f t="shared" si="558"/>
        <v>3603555.3705249997</v>
      </c>
      <c r="M2368" s="128">
        <f t="shared" si="558"/>
        <v>0</v>
      </c>
      <c r="N2368" s="128">
        <f t="shared" si="558"/>
        <v>0</v>
      </c>
      <c r="O2368" s="128">
        <f t="shared" si="558"/>
        <v>3855804.2464617491</v>
      </c>
      <c r="P2368" s="123" t="str">
        <f t="shared" si="550"/>
        <v/>
      </c>
    </row>
    <row r="2369" spans="1:16" s="114" customFormat="1" ht="15" x14ac:dyDescent="0.25">
      <c r="A2369" s="118"/>
      <c r="B2369" s="117"/>
      <c r="C2369" s="128"/>
      <c r="D2369" s="128"/>
      <c r="E2369" s="128"/>
      <c r="F2369" s="128"/>
      <c r="G2369" s="128"/>
      <c r="H2369" s="128"/>
      <c r="I2369" s="129">
        <f>'B&amp;T'!J487</f>
        <v>0</v>
      </c>
      <c r="J2369" s="129"/>
      <c r="K2369" s="129"/>
      <c r="L2369" s="129"/>
      <c r="M2369" s="186"/>
      <c r="N2369" s="186"/>
      <c r="O2369" s="128"/>
      <c r="P2369" s="123" t="str">
        <f t="shared" si="550"/>
        <v/>
      </c>
    </row>
    <row r="2370" spans="1:16" s="114" customFormat="1" ht="15" x14ac:dyDescent="0.25">
      <c r="A2370" s="118"/>
      <c r="B2370" s="117" t="s">
        <v>178</v>
      </c>
      <c r="C2370" s="128">
        <f>C2368</f>
        <v>3212611</v>
      </c>
      <c r="D2370" s="128">
        <f t="shared" ref="D2370:O2370" si="559">D2368</f>
        <v>320277.02</v>
      </c>
      <c r="E2370" s="128">
        <f t="shared" si="559"/>
        <v>0</v>
      </c>
      <c r="F2370" s="128">
        <f t="shared" si="559"/>
        <v>1484093.9300000002</v>
      </c>
      <c r="G2370" s="128">
        <f t="shared" si="559"/>
        <v>1728517.0699999998</v>
      </c>
      <c r="H2370" s="128">
        <f t="shared" si="559"/>
        <v>710.33</v>
      </c>
      <c r="I2370" s="128">
        <f t="shared" si="559"/>
        <v>-42908.639999999999</v>
      </c>
      <c r="J2370" s="128">
        <f t="shared" si="559"/>
        <v>3169702.3600000003</v>
      </c>
      <c r="K2370" s="128">
        <f t="shared" si="559"/>
        <v>3367808.7575000003</v>
      </c>
      <c r="L2370" s="128">
        <f t="shared" si="559"/>
        <v>3603555.3705249997</v>
      </c>
      <c r="M2370" s="128">
        <f t="shared" si="559"/>
        <v>0</v>
      </c>
      <c r="N2370" s="128">
        <f t="shared" si="559"/>
        <v>0</v>
      </c>
      <c r="O2370" s="128">
        <f t="shared" si="559"/>
        <v>3855804.2464617491</v>
      </c>
      <c r="P2370" s="123" t="str">
        <f t="shared" si="550"/>
        <v/>
      </c>
    </row>
    <row r="2371" spans="1:16" s="114" customFormat="1" ht="15" x14ac:dyDescent="0.25">
      <c r="A2371" s="118"/>
      <c r="B2371" s="117"/>
      <c r="C2371" s="128"/>
      <c r="D2371" s="128"/>
      <c r="E2371" s="128"/>
      <c r="F2371" s="128"/>
      <c r="G2371" s="128"/>
      <c r="H2371" s="128"/>
      <c r="I2371" s="129">
        <f>'B&amp;T'!J489</f>
        <v>0</v>
      </c>
      <c r="J2371" s="129"/>
      <c r="K2371" s="129"/>
      <c r="L2371" s="129"/>
      <c r="M2371" s="186"/>
      <c r="N2371" s="186"/>
      <c r="O2371" s="128"/>
      <c r="P2371" s="123" t="str">
        <f t="shared" si="550"/>
        <v/>
      </c>
    </row>
    <row r="2372" spans="1:16" s="114" customFormat="1" ht="15" x14ac:dyDescent="0.25">
      <c r="A2372" s="118"/>
      <c r="B2372" s="117" t="s">
        <v>241</v>
      </c>
      <c r="C2372" s="128"/>
      <c r="D2372" s="128"/>
      <c r="E2372" s="128"/>
      <c r="F2372" s="128"/>
      <c r="G2372" s="128"/>
      <c r="H2372" s="128"/>
      <c r="I2372" s="129">
        <f>'B&amp;T'!J490</f>
        <v>0</v>
      </c>
      <c r="J2372" s="129"/>
      <c r="K2372" s="129"/>
      <c r="L2372" s="129"/>
      <c r="M2372" s="186"/>
      <c r="N2372" s="186"/>
      <c r="O2372" s="128"/>
      <c r="P2372" s="123" t="str">
        <f t="shared" si="550"/>
        <v/>
      </c>
    </row>
    <row r="2373" spans="1:16" x14ac:dyDescent="0.2">
      <c r="A2373" s="119"/>
      <c r="B2373" s="120"/>
      <c r="C2373" s="129"/>
      <c r="D2373" s="129"/>
      <c r="E2373" s="129"/>
      <c r="F2373" s="129"/>
      <c r="G2373" s="129"/>
      <c r="H2373" s="129"/>
      <c r="I2373" s="129">
        <f>'B&amp;T'!J491</f>
        <v>0</v>
      </c>
      <c r="J2373" s="129"/>
      <c r="K2373" s="129"/>
      <c r="L2373" s="129"/>
      <c r="O2373" s="129"/>
      <c r="P2373" s="123" t="str">
        <f t="shared" si="550"/>
        <v/>
      </c>
    </row>
    <row r="2374" spans="1:16" x14ac:dyDescent="0.2">
      <c r="A2374" s="119" t="s">
        <v>969</v>
      </c>
      <c r="B2374" s="120" t="s">
        <v>246</v>
      </c>
      <c r="C2374" s="129">
        <v>402221</v>
      </c>
      <c r="D2374" s="129">
        <v>23086.34</v>
      </c>
      <c r="E2374" s="129">
        <v>0</v>
      </c>
      <c r="F2374" s="129">
        <v>131475.48000000001</v>
      </c>
      <c r="G2374" s="129">
        <v>270745.52</v>
      </c>
      <c r="H2374" s="129">
        <v>32.68</v>
      </c>
      <c r="I2374" s="129">
        <f>'B&amp;T'!J492</f>
        <v>0</v>
      </c>
      <c r="J2374" s="129">
        <f>'B&amp;T'!K492</f>
        <v>402221</v>
      </c>
      <c r="K2374" s="129">
        <f>'B&amp;T'!L492</f>
        <v>420320.94500000001</v>
      </c>
      <c r="L2374" s="129">
        <f>'B&amp;T'!M492</f>
        <v>439235.38752500003</v>
      </c>
      <c r="O2374" s="129">
        <f>'B&amp;T'!N492</f>
        <v>459000.97996362502</v>
      </c>
      <c r="P2374" s="123" t="str">
        <f t="shared" si="550"/>
        <v>300</v>
      </c>
    </row>
    <row r="2375" spans="1:16" x14ac:dyDescent="0.2">
      <c r="A2375" s="119" t="s">
        <v>970</v>
      </c>
      <c r="B2375" s="120" t="s">
        <v>252</v>
      </c>
      <c r="C2375" s="129">
        <v>8917</v>
      </c>
      <c r="D2375" s="129">
        <v>0</v>
      </c>
      <c r="E2375" s="129">
        <v>0</v>
      </c>
      <c r="F2375" s="129">
        <v>0</v>
      </c>
      <c r="G2375" s="129">
        <v>8917</v>
      </c>
      <c r="H2375" s="129">
        <v>0</v>
      </c>
      <c r="I2375" s="129">
        <f>'B&amp;T'!J493</f>
        <v>0</v>
      </c>
      <c r="J2375" s="129">
        <f>'B&amp;T'!K493</f>
        <v>8917</v>
      </c>
      <c r="K2375" s="129">
        <f>'B&amp;T'!L493</f>
        <v>9318.2649999999994</v>
      </c>
      <c r="L2375" s="129">
        <f>'B&amp;T'!M493</f>
        <v>9737.5869249999996</v>
      </c>
      <c r="O2375" s="129">
        <f>'B&amp;T'!N493</f>
        <v>10175.778336624999</v>
      </c>
      <c r="P2375" s="123" t="str">
        <f t="shared" ref="P2375:P2438" si="560">MID(A2375,6,3)</f>
        <v>301</v>
      </c>
    </row>
    <row r="2376" spans="1:16" x14ac:dyDescent="0.2">
      <c r="A2376" s="119" t="s">
        <v>971</v>
      </c>
      <c r="B2376" s="120" t="s">
        <v>265</v>
      </c>
      <c r="C2376" s="129">
        <v>0</v>
      </c>
      <c r="D2376" s="129">
        <v>2712.42</v>
      </c>
      <c r="E2376" s="129">
        <v>0</v>
      </c>
      <c r="F2376" s="129">
        <v>11988.94</v>
      </c>
      <c r="G2376" s="129">
        <v>-11988.94</v>
      </c>
      <c r="H2376" s="129">
        <v>0</v>
      </c>
      <c r="I2376" s="129">
        <f>'B&amp;T'!J494</f>
        <v>30000</v>
      </c>
      <c r="J2376" s="129">
        <f>'B&amp;T'!K494</f>
        <v>30000</v>
      </c>
      <c r="K2376" s="129">
        <f>'B&amp;T'!L494</f>
        <v>31350</v>
      </c>
      <c r="L2376" s="129">
        <f>'B&amp;T'!M494</f>
        <v>32760.75</v>
      </c>
      <c r="O2376" s="129">
        <f>'B&amp;T'!N494</f>
        <v>34234.983749999999</v>
      </c>
      <c r="P2376" s="123" t="str">
        <f t="shared" si="560"/>
        <v>305</v>
      </c>
    </row>
    <row r="2377" spans="1:16" x14ac:dyDescent="0.2">
      <c r="A2377" s="119" t="s">
        <v>972</v>
      </c>
      <c r="B2377" s="120" t="s">
        <v>268</v>
      </c>
      <c r="C2377" s="129">
        <v>0</v>
      </c>
      <c r="D2377" s="129">
        <v>1820.8</v>
      </c>
      <c r="E2377" s="129">
        <v>0</v>
      </c>
      <c r="F2377" s="129">
        <v>15811.75</v>
      </c>
      <c r="G2377" s="129">
        <v>-15811.75</v>
      </c>
      <c r="H2377" s="129">
        <v>0</v>
      </c>
      <c r="I2377" s="129">
        <f>'B&amp;T'!J495</f>
        <v>40000</v>
      </c>
      <c r="J2377" s="129">
        <f>'B&amp;T'!K495</f>
        <v>40000</v>
      </c>
      <c r="K2377" s="129">
        <f>'B&amp;T'!L495</f>
        <v>41800</v>
      </c>
      <c r="L2377" s="129">
        <f>'B&amp;T'!M495</f>
        <v>43681</v>
      </c>
      <c r="O2377" s="129">
        <f>'B&amp;T'!N495</f>
        <v>45646.644999999997</v>
      </c>
      <c r="P2377" s="123" t="str">
        <f t="shared" si="560"/>
        <v>305</v>
      </c>
    </row>
    <row r="2378" spans="1:16" x14ac:dyDescent="0.2">
      <c r="A2378" s="119"/>
      <c r="B2378" s="120"/>
      <c r="C2378" s="129"/>
      <c r="D2378" s="129"/>
      <c r="E2378" s="129"/>
      <c r="F2378" s="129"/>
      <c r="G2378" s="129"/>
      <c r="H2378" s="129"/>
      <c r="I2378" s="129">
        <f>'B&amp;T'!J496</f>
        <v>0</v>
      </c>
      <c r="J2378" s="129"/>
      <c r="K2378" s="129"/>
      <c r="L2378" s="129"/>
      <c r="O2378" s="129"/>
      <c r="P2378" s="123" t="str">
        <f t="shared" si="560"/>
        <v/>
      </c>
    </row>
    <row r="2379" spans="1:16" s="114" customFormat="1" ht="15" x14ac:dyDescent="0.25">
      <c r="A2379" s="118"/>
      <c r="B2379" s="117" t="s">
        <v>274</v>
      </c>
      <c r="C2379" s="128">
        <f>SUM(C2374:C2378)</f>
        <v>411138</v>
      </c>
      <c r="D2379" s="128">
        <f t="shared" ref="D2379:O2379" si="561">SUM(D2374:D2378)</f>
        <v>27619.56</v>
      </c>
      <c r="E2379" s="128">
        <f t="shared" si="561"/>
        <v>0</v>
      </c>
      <c r="F2379" s="128">
        <f t="shared" si="561"/>
        <v>159276.17000000001</v>
      </c>
      <c r="G2379" s="128">
        <f t="shared" si="561"/>
        <v>251861.83000000002</v>
      </c>
      <c r="H2379" s="128">
        <f t="shared" si="561"/>
        <v>32.68</v>
      </c>
      <c r="I2379" s="128">
        <f t="shared" si="561"/>
        <v>70000</v>
      </c>
      <c r="J2379" s="128">
        <f t="shared" si="561"/>
        <v>481138</v>
      </c>
      <c r="K2379" s="128">
        <f t="shared" si="561"/>
        <v>502789.21</v>
      </c>
      <c r="L2379" s="128">
        <f t="shared" si="561"/>
        <v>525414.7244500001</v>
      </c>
      <c r="M2379" s="128">
        <f t="shared" si="561"/>
        <v>0</v>
      </c>
      <c r="N2379" s="128">
        <f t="shared" si="561"/>
        <v>0</v>
      </c>
      <c r="O2379" s="128">
        <f t="shared" si="561"/>
        <v>549058.38705025008</v>
      </c>
      <c r="P2379" s="123" t="str">
        <f t="shared" si="560"/>
        <v/>
      </c>
    </row>
    <row r="2380" spans="1:16" x14ac:dyDescent="0.2">
      <c r="A2380" s="119"/>
      <c r="B2380" s="120"/>
      <c r="C2380" s="129"/>
      <c r="D2380" s="129"/>
      <c r="E2380" s="129"/>
      <c r="F2380" s="129"/>
      <c r="G2380" s="129"/>
      <c r="H2380" s="129"/>
      <c r="I2380" s="129">
        <f>'B&amp;T'!J498</f>
        <v>0</v>
      </c>
      <c r="J2380" s="129"/>
      <c r="K2380" s="129"/>
      <c r="L2380" s="129"/>
      <c r="O2380" s="129"/>
      <c r="P2380" s="123" t="str">
        <f t="shared" si="560"/>
        <v/>
      </c>
    </row>
    <row r="2381" spans="1:16" s="114" customFormat="1" ht="15" x14ac:dyDescent="0.25">
      <c r="A2381" s="118"/>
      <c r="B2381" s="117" t="s">
        <v>56</v>
      </c>
      <c r="C2381" s="128"/>
      <c r="D2381" s="128"/>
      <c r="E2381" s="128"/>
      <c r="F2381" s="128"/>
      <c r="G2381" s="128"/>
      <c r="H2381" s="128"/>
      <c r="I2381" s="129">
        <f>'B&amp;T'!J499</f>
        <v>0</v>
      </c>
      <c r="J2381" s="129"/>
      <c r="K2381" s="129"/>
      <c r="L2381" s="129"/>
      <c r="M2381" s="186"/>
      <c r="N2381" s="186"/>
      <c r="O2381" s="128"/>
      <c r="P2381" s="123" t="str">
        <f t="shared" si="560"/>
        <v/>
      </c>
    </row>
    <row r="2382" spans="1:16" x14ac:dyDescent="0.2">
      <c r="A2382" s="119"/>
      <c r="B2382" s="120"/>
      <c r="C2382" s="129"/>
      <c r="D2382" s="129"/>
      <c r="E2382" s="129"/>
      <c r="F2382" s="129"/>
      <c r="G2382" s="129"/>
      <c r="H2382" s="129"/>
      <c r="I2382" s="129">
        <f>'B&amp;T'!J500</f>
        <v>0</v>
      </c>
      <c r="J2382" s="129"/>
      <c r="K2382" s="129"/>
      <c r="L2382" s="129"/>
      <c r="O2382" s="129"/>
      <c r="P2382" s="123" t="str">
        <f t="shared" si="560"/>
        <v/>
      </c>
    </row>
    <row r="2383" spans="1:16" x14ac:dyDescent="0.2">
      <c r="A2383" s="119" t="s">
        <v>973</v>
      </c>
      <c r="B2383" s="120" t="s">
        <v>283</v>
      </c>
      <c r="C2383" s="129">
        <v>1255286</v>
      </c>
      <c r="D2383" s="129">
        <v>0</v>
      </c>
      <c r="E2383" s="129">
        <v>0</v>
      </c>
      <c r="F2383" s="129">
        <v>326.01</v>
      </c>
      <c r="G2383" s="129">
        <v>1254959.99</v>
      </c>
      <c r="H2383" s="129">
        <v>0.02</v>
      </c>
      <c r="I2383" s="129">
        <f>'B&amp;T'!J501</f>
        <v>0</v>
      </c>
      <c r="J2383" s="129">
        <f>'B&amp;T'!K501</f>
        <v>1255286</v>
      </c>
      <c r="K2383" s="129">
        <f>'B&amp;T'!L501</f>
        <v>1311773.8700000001</v>
      </c>
      <c r="L2383" s="129">
        <f>'B&amp;T'!M501</f>
        <v>1370803.6941500001</v>
      </c>
      <c r="O2383" s="129">
        <f>'B&amp;T'!N501</f>
        <v>1432489.8603867502</v>
      </c>
      <c r="P2383" s="123" t="str">
        <f t="shared" si="560"/>
        <v>362</v>
      </c>
    </row>
    <row r="2384" spans="1:16" x14ac:dyDescent="0.2">
      <c r="A2384" s="119"/>
      <c r="B2384" s="120"/>
      <c r="C2384" s="129"/>
      <c r="D2384" s="129"/>
      <c r="E2384" s="129"/>
      <c r="F2384" s="129"/>
      <c r="G2384" s="129"/>
      <c r="H2384" s="129"/>
      <c r="I2384" s="129">
        <f>'B&amp;T'!J502</f>
        <v>0</v>
      </c>
      <c r="J2384" s="129"/>
      <c r="K2384" s="129"/>
      <c r="L2384" s="129"/>
      <c r="O2384" s="129"/>
      <c r="P2384" s="123" t="str">
        <f t="shared" si="560"/>
        <v/>
      </c>
    </row>
    <row r="2385" spans="1:16" s="114" customFormat="1" ht="15" x14ac:dyDescent="0.25">
      <c r="A2385" s="118"/>
      <c r="B2385" s="117" t="s">
        <v>284</v>
      </c>
      <c r="C2385" s="128">
        <f>SUM(C2383:C2384)</f>
        <v>1255286</v>
      </c>
      <c r="D2385" s="128">
        <f t="shared" ref="D2385:O2385" si="562">SUM(D2383:D2384)</f>
        <v>0</v>
      </c>
      <c r="E2385" s="128">
        <f t="shared" si="562"/>
        <v>0</v>
      </c>
      <c r="F2385" s="128">
        <f t="shared" si="562"/>
        <v>326.01</v>
      </c>
      <c r="G2385" s="128">
        <f t="shared" si="562"/>
        <v>1254959.99</v>
      </c>
      <c r="H2385" s="128">
        <f t="shared" si="562"/>
        <v>0.02</v>
      </c>
      <c r="I2385" s="128">
        <f t="shared" si="562"/>
        <v>0</v>
      </c>
      <c r="J2385" s="128">
        <f t="shared" si="562"/>
        <v>1255286</v>
      </c>
      <c r="K2385" s="128">
        <f t="shared" si="562"/>
        <v>1311773.8700000001</v>
      </c>
      <c r="L2385" s="128">
        <f t="shared" si="562"/>
        <v>1370803.6941500001</v>
      </c>
      <c r="M2385" s="128">
        <f t="shared" si="562"/>
        <v>0</v>
      </c>
      <c r="N2385" s="128">
        <f t="shared" si="562"/>
        <v>0</v>
      </c>
      <c r="O2385" s="128">
        <f t="shared" si="562"/>
        <v>1432489.8603867502</v>
      </c>
      <c r="P2385" s="123" t="str">
        <f t="shared" si="560"/>
        <v/>
      </c>
    </row>
    <row r="2386" spans="1:16" x14ac:dyDescent="0.2">
      <c r="A2386" s="119"/>
      <c r="B2386" s="120"/>
      <c r="C2386" s="129"/>
      <c r="D2386" s="129"/>
      <c r="E2386" s="129"/>
      <c r="F2386" s="129"/>
      <c r="G2386" s="129"/>
      <c r="H2386" s="129"/>
      <c r="I2386" s="129">
        <f>'B&amp;T'!J504</f>
        <v>0</v>
      </c>
      <c r="J2386" s="129"/>
      <c r="K2386" s="129"/>
      <c r="L2386" s="129"/>
      <c r="O2386" s="129"/>
      <c r="P2386" s="123" t="str">
        <f t="shared" si="560"/>
        <v/>
      </c>
    </row>
    <row r="2387" spans="1:16" s="114" customFormat="1" ht="15" x14ac:dyDescent="0.25">
      <c r="A2387" s="118"/>
      <c r="B2387" s="117" t="s">
        <v>290</v>
      </c>
      <c r="C2387" s="128"/>
      <c r="D2387" s="128"/>
      <c r="E2387" s="128"/>
      <c r="F2387" s="128"/>
      <c r="G2387" s="128"/>
      <c r="H2387" s="128"/>
      <c r="I2387" s="129">
        <f>'B&amp;T'!J505</f>
        <v>0</v>
      </c>
      <c r="J2387" s="129"/>
      <c r="K2387" s="129"/>
      <c r="L2387" s="129"/>
      <c r="M2387" s="186"/>
      <c r="N2387" s="186"/>
      <c r="O2387" s="128"/>
      <c r="P2387" s="123" t="str">
        <f t="shared" si="560"/>
        <v/>
      </c>
    </row>
    <row r="2388" spans="1:16" x14ac:dyDescent="0.2">
      <c r="A2388" s="119"/>
      <c r="B2388" s="120"/>
      <c r="C2388" s="129"/>
      <c r="D2388" s="129"/>
      <c r="E2388" s="129"/>
      <c r="F2388" s="129"/>
      <c r="G2388" s="129"/>
      <c r="H2388" s="129"/>
      <c r="I2388" s="129">
        <f>'B&amp;T'!J506</f>
        <v>0</v>
      </c>
      <c r="J2388" s="129"/>
      <c r="K2388" s="129"/>
      <c r="L2388" s="129"/>
      <c r="O2388" s="129"/>
      <c r="P2388" s="123" t="str">
        <f t="shared" si="560"/>
        <v/>
      </c>
    </row>
    <row r="2389" spans="1:16" x14ac:dyDescent="0.2">
      <c r="A2389" s="119" t="s">
        <v>974</v>
      </c>
      <c r="B2389" s="120" t="s">
        <v>292</v>
      </c>
      <c r="C2389" s="129">
        <v>23297</v>
      </c>
      <c r="D2389" s="129">
        <v>4132.16</v>
      </c>
      <c r="E2389" s="129">
        <v>0</v>
      </c>
      <c r="F2389" s="129">
        <v>10434.33</v>
      </c>
      <c r="G2389" s="129">
        <v>12862.67</v>
      </c>
      <c r="H2389" s="129">
        <v>44.78</v>
      </c>
      <c r="I2389" s="129">
        <f>'B&amp;T'!J507</f>
        <v>0</v>
      </c>
      <c r="J2389" s="129">
        <f>'B&amp;T'!K507</f>
        <v>23297</v>
      </c>
      <c r="K2389" s="129">
        <f>'B&amp;T'!L507</f>
        <v>24345.365000000002</v>
      </c>
      <c r="L2389" s="129">
        <f>'B&amp;T'!M507</f>
        <v>25440.906425000001</v>
      </c>
      <c r="O2389" s="129">
        <f>'B&amp;T'!N507</f>
        <v>26585.747214125</v>
      </c>
      <c r="P2389" s="123" t="str">
        <f t="shared" si="560"/>
        <v>720</v>
      </c>
    </row>
    <row r="2390" spans="1:16" x14ac:dyDescent="0.2">
      <c r="A2390" s="119" t="s">
        <v>975</v>
      </c>
      <c r="B2390" s="120" t="s">
        <v>293</v>
      </c>
      <c r="C2390" s="129">
        <v>18297</v>
      </c>
      <c r="D2390" s="129">
        <v>2835.9</v>
      </c>
      <c r="E2390" s="129">
        <v>0</v>
      </c>
      <c r="F2390" s="129">
        <v>6370.07</v>
      </c>
      <c r="G2390" s="129">
        <v>11926.93</v>
      </c>
      <c r="H2390" s="129">
        <v>34.81</v>
      </c>
      <c r="I2390" s="129">
        <f>'B&amp;T'!J508</f>
        <v>0</v>
      </c>
      <c r="J2390" s="129">
        <f>'B&amp;T'!K508</f>
        <v>18297</v>
      </c>
      <c r="K2390" s="129">
        <f>'B&amp;T'!L508</f>
        <v>19120.365000000002</v>
      </c>
      <c r="L2390" s="129">
        <f>'B&amp;T'!M508</f>
        <v>19980.781425000001</v>
      </c>
      <c r="O2390" s="129">
        <f>'B&amp;T'!N508</f>
        <v>20879.916589125001</v>
      </c>
      <c r="P2390" s="123" t="str">
        <f t="shared" si="560"/>
        <v>721</v>
      </c>
    </row>
    <row r="2391" spans="1:16" x14ac:dyDescent="0.2">
      <c r="A2391" s="119"/>
      <c r="B2391" s="120"/>
      <c r="C2391" s="129"/>
      <c r="D2391" s="129"/>
      <c r="E2391" s="129"/>
      <c r="F2391" s="129"/>
      <c r="G2391" s="129"/>
      <c r="H2391" s="129"/>
      <c r="I2391" s="129">
        <f>'B&amp;T'!J509</f>
        <v>0</v>
      </c>
      <c r="J2391" s="129"/>
      <c r="K2391" s="129"/>
      <c r="L2391" s="129"/>
      <c r="O2391" s="129"/>
      <c r="P2391" s="123" t="str">
        <f t="shared" si="560"/>
        <v/>
      </c>
    </row>
    <row r="2392" spans="1:16" s="114" customFormat="1" ht="15" x14ac:dyDescent="0.25">
      <c r="A2392" s="118"/>
      <c r="B2392" s="117" t="s">
        <v>304</v>
      </c>
      <c r="C2392" s="128">
        <f>SUM(C2389:C2391)</f>
        <v>41594</v>
      </c>
      <c r="D2392" s="128">
        <f t="shared" ref="D2392:O2392" si="563">SUM(D2389:D2391)</f>
        <v>6968.0599999999995</v>
      </c>
      <c r="E2392" s="128">
        <f t="shared" si="563"/>
        <v>0</v>
      </c>
      <c r="F2392" s="128">
        <f t="shared" si="563"/>
        <v>16804.400000000001</v>
      </c>
      <c r="G2392" s="128">
        <f t="shared" si="563"/>
        <v>24789.599999999999</v>
      </c>
      <c r="H2392" s="128">
        <f t="shared" si="563"/>
        <v>79.59</v>
      </c>
      <c r="I2392" s="128">
        <f t="shared" si="563"/>
        <v>0</v>
      </c>
      <c r="J2392" s="128">
        <f t="shared" si="563"/>
        <v>41594</v>
      </c>
      <c r="K2392" s="128">
        <f t="shared" si="563"/>
        <v>43465.73</v>
      </c>
      <c r="L2392" s="128">
        <f t="shared" si="563"/>
        <v>45421.687850000002</v>
      </c>
      <c r="M2392" s="128">
        <f t="shared" si="563"/>
        <v>0</v>
      </c>
      <c r="N2392" s="128">
        <f t="shared" si="563"/>
        <v>0</v>
      </c>
      <c r="O2392" s="128">
        <f t="shared" si="563"/>
        <v>47465.663803250005</v>
      </c>
      <c r="P2392" s="123" t="str">
        <f t="shared" si="560"/>
        <v/>
      </c>
    </row>
    <row r="2393" spans="1:16" s="114" customFormat="1" ht="15" x14ac:dyDescent="0.25">
      <c r="A2393" s="118"/>
      <c r="B2393" s="117"/>
      <c r="C2393" s="128"/>
      <c r="D2393" s="128"/>
      <c r="E2393" s="128"/>
      <c r="F2393" s="128"/>
      <c r="G2393" s="128"/>
      <c r="H2393" s="128"/>
      <c r="I2393" s="129">
        <f>'B&amp;T'!J511</f>
        <v>0</v>
      </c>
      <c r="J2393" s="129"/>
      <c r="K2393" s="129"/>
      <c r="L2393" s="129"/>
      <c r="M2393" s="186"/>
      <c r="N2393" s="186"/>
      <c r="O2393" s="128"/>
      <c r="P2393" s="123" t="str">
        <f t="shared" si="560"/>
        <v/>
      </c>
    </row>
    <row r="2394" spans="1:16" s="114" customFormat="1" ht="15" x14ac:dyDescent="0.25">
      <c r="A2394" s="118"/>
      <c r="B2394" s="117" t="s">
        <v>305</v>
      </c>
      <c r="C2394" s="128">
        <f>C2370+C2379+C2385+C2392</f>
        <v>4920629</v>
      </c>
      <c r="D2394" s="128">
        <f t="shared" ref="D2394:O2394" si="564">D2370+D2379+D2385+D2392</f>
        <v>354864.64000000001</v>
      </c>
      <c r="E2394" s="128">
        <f t="shared" si="564"/>
        <v>0</v>
      </c>
      <c r="F2394" s="128">
        <f t="shared" si="564"/>
        <v>1660500.51</v>
      </c>
      <c r="G2394" s="128">
        <f t="shared" si="564"/>
        <v>3260128.4899999998</v>
      </c>
      <c r="H2394" s="128">
        <f t="shared" si="564"/>
        <v>822.62</v>
      </c>
      <c r="I2394" s="128">
        <f t="shared" si="564"/>
        <v>27091.360000000001</v>
      </c>
      <c r="J2394" s="128">
        <f t="shared" si="564"/>
        <v>4947720.3600000003</v>
      </c>
      <c r="K2394" s="128">
        <f t="shared" si="564"/>
        <v>5225837.5675000008</v>
      </c>
      <c r="L2394" s="128">
        <f t="shared" si="564"/>
        <v>5545195.4769750005</v>
      </c>
      <c r="M2394" s="128">
        <f t="shared" si="564"/>
        <v>0</v>
      </c>
      <c r="N2394" s="128">
        <f t="shared" si="564"/>
        <v>0</v>
      </c>
      <c r="O2394" s="128">
        <f t="shared" si="564"/>
        <v>5884818.1577019989</v>
      </c>
      <c r="P2394" s="123" t="str">
        <f t="shared" si="560"/>
        <v/>
      </c>
    </row>
    <row r="2395" spans="1:16" s="114" customFormat="1" ht="15" x14ac:dyDescent="0.25">
      <c r="A2395" s="118"/>
      <c r="B2395" s="117"/>
      <c r="C2395" s="128"/>
      <c r="D2395" s="128"/>
      <c r="E2395" s="128"/>
      <c r="F2395" s="128"/>
      <c r="G2395" s="128"/>
      <c r="H2395" s="128"/>
      <c r="I2395" s="129">
        <f>'B&amp;T'!J513</f>
        <v>0</v>
      </c>
      <c r="J2395" s="129"/>
      <c r="K2395" s="129"/>
      <c r="L2395" s="129"/>
      <c r="M2395" s="186"/>
      <c r="N2395" s="186"/>
      <c r="O2395" s="128"/>
      <c r="P2395" s="123" t="str">
        <f t="shared" si="560"/>
        <v/>
      </c>
    </row>
    <row r="2396" spans="1:16" s="114" customFormat="1" ht="15" x14ac:dyDescent="0.25">
      <c r="A2396" s="118"/>
      <c r="B2396" s="117" t="s">
        <v>306</v>
      </c>
      <c r="C2396" s="128">
        <f>C2394</f>
        <v>4920629</v>
      </c>
      <c r="D2396" s="128">
        <f t="shared" ref="D2396:O2396" si="565">D2394</f>
        <v>354864.64000000001</v>
      </c>
      <c r="E2396" s="128">
        <f t="shared" si="565"/>
        <v>0</v>
      </c>
      <c r="F2396" s="128">
        <f t="shared" si="565"/>
        <v>1660500.51</v>
      </c>
      <c r="G2396" s="128">
        <f t="shared" si="565"/>
        <v>3260128.4899999998</v>
      </c>
      <c r="H2396" s="128">
        <f t="shared" si="565"/>
        <v>822.62</v>
      </c>
      <c r="I2396" s="128">
        <f t="shared" si="565"/>
        <v>27091.360000000001</v>
      </c>
      <c r="J2396" s="128">
        <f t="shared" si="565"/>
        <v>4947720.3600000003</v>
      </c>
      <c r="K2396" s="128">
        <f t="shared" si="565"/>
        <v>5225837.5675000008</v>
      </c>
      <c r="L2396" s="128">
        <f t="shared" si="565"/>
        <v>5545195.4769750005</v>
      </c>
      <c r="M2396" s="128">
        <f t="shared" si="565"/>
        <v>0</v>
      </c>
      <c r="N2396" s="128">
        <f t="shared" si="565"/>
        <v>0</v>
      </c>
      <c r="O2396" s="128">
        <f t="shared" si="565"/>
        <v>5884818.1577019989</v>
      </c>
      <c r="P2396" s="123" t="str">
        <f t="shared" si="560"/>
        <v/>
      </c>
    </row>
    <row r="2397" spans="1:16" x14ac:dyDescent="0.2">
      <c r="A2397" s="119"/>
      <c r="B2397" s="120"/>
      <c r="C2397" s="129"/>
      <c r="D2397" s="129"/>
      <c r="E2397" s="129"/>
      <c r="F2397" s="129"/>
      <c r="G2397" s="129"/>
      <c r="H2397" s="129"/>
      <c r="I2397" s="129"/>
      <c r="J2397" s="129"/>
      <c r="K2397" s="129"/>
      <c r="L2397" s="129"/>
      <c r="O2397" s="129"/>
      <c r="P2397" s="123" t="str">
        <f t="shared" si="560"/>
        <v/>
      </c>
    </row>
    <row r="2398" spans="1:16" s="114" customFormat="1" ht="15" x14ac:dyDescent="0.25">
      <c r="A2398" s="118"/>
      <c r="B2398" s="117" t="s">
        <v>976</v>
      </c>
      <c r="C2398" s="128"/>
      <c r="D2398" s="128"/>
      <c r="E2398" s="128"/>
      <c r="F2398" s="128"/>
      <c r="G2398" s="128"/>
      <c r="H2398" s="128"/>
      <c r="I2398" s="128"/>
      <c r="J2398" s="128"/>
      <c r="K2398" s="128"/>
      <c r="L2398" s="128"/>
      <c r="M2398" s="186"/>
      <c r="N2398" s="186"/>
      <c r="O2398" s="128"/>
      <c r="P2398" s="123" t="str">
        <f t="shared" si="560"/>
        <v/>
      </c>
    </row>
    <row r="2399" spans="1:16" s="114" customFormat="1" ht="15" x14ac:dyDescent="0.25">
      <c r="A2399" s="118"/>
      <c r="B2399" s="117" t="s">
        <v>9</v>
      </c>
      <c r="C2399" s="128"/>
      <c r="D2399" s="128"/>
      <c r="E2399" s="128"/>
      <c r="F2399" s="128"/>
      <c r="G2399" s="128"/>
      <c r="H2399" s="128"/>
      <c r="I2399" s="128"/>
      <c r="J2399" s="128"/>
      <c r="K2399" s="128"/>
      <c r="L2399" s="128"/>
      <c r="M2399" s="186"/>
      <c r="N2399" s="186"/>
      <c r="O2399" s="128"/>
      <c r="P2399" s="123" t="str">
        <f t="shared" si="560"/>
        <v/>
      </c>
    </row>
    <row r="2400" spans="1:16" s="114" customFormat="1" ht="15" x14ac:dyDescent="0.25">
      <c r="A2400" s="118"/>
      <c r="B2400" s="117"/>
      <c r="C2400" s="128"/>
      <c r="D2400" s="128"/>
      <c r="E2400" s="128"/>
      <c r="F2400" s="128"/>
      <c r="G2400" s="128"/>
      <c r="H2400" s="128"/>
      <c r="I2400" s="128"/>
      <c r="J2400" s="128"/>
      <c r="K2400" s="128"/>
      <c r="L2400" s="128"/>
      <c r="M2400" s="186"/>
      <c r="N2400" s="186"/>
      <c r="O2400" s="128"/>
      <c r="P2400" s="123" t="str">
        <f t="shared" si="560"/>
        <v/>
      </c>
    </row>
    <row r="2401" spans="1:16" s="114" customFormat="1" ht="15" x14ac:dyDescent="0.25">
      <c r="A2401" s="118"/>
      <c r="B2401" s="117" t="s">
        <v>29</v>
      </c>
      <c r="C2401" s="128"/>
      <c r="D2401" s="128"/>
      <c r="E2401" s="128"/>
      <c r="F2401" s="128"/>
      <c r="G2401" s="128"/>
      <c r="H2401" s="128"/>
      <c r="I2401" s="128"/>
      <c r="J2401" s="128"/>
      <c r="K2401" s="128"/>
      <c r="L2401" s="128"/>
      <c r="M2401" s="186"/>
      <c r="N2401" s="186"/>
      <c r="O2401" s="128"/>
      <c r="P2401" s="123" t="str">
        <f t="shared" si="560"/>
        <v/>
      </c>
    </row>
    <row r="2402" spans="1:16" s="114" customFormat="1" ht="15" x14ac:dyDescent="0.25">
      <c r="A2402" s="118"/>
      <c r="B2402" s="117" t="s">
        <v>30</v>
      </c>
      <c r="C2402" s="128"/>
      <c r="D2402" s="128"/>
      <c r="E2402" s="128"/>
      <c r="F2402" s="128"/>
      <c r="G2402" s="128"/>
      <c r="H2402" s="128"/>
      <c r="I2402" s="128"/>
      <c r="J2402" s="128"/>
      <c r="K2402" s="128"/>
      <c r="L2402" s="128"/>
      <c r="M2402" s="186"/>
      <c r="N2402" s="186"/>
      <c r="O2402" s="128"/>
      <c r="P2402" s="123" t="str">
        <f t="shared" si="560"/>
        <v/>
      </c>
    </row>
    <row r="2403" spans="1:16" x14ac:dyDescent="0.2">
      <c r="A2403" s="119"/>
      <c r="B2403" s="120"/>
      <c r="C2403" s="129"/>
      <c r="D2403" s="129"/>
      <c r="E2403" s="129"/>
      <c r="F2403" s="129"/>
      <c r="G2403" s="129"/>
      <c r="H2403" s="129"/>
      <c r="I2403" s="129"/>
      <c r="J2403" s="129"/>
      <c r="K2403" s="129"/>
      <c r="L2403" s="129"/>
      <c r="O2403" s="129"/>
      <c r="P2403" s="123" t="str">
        <f t="shared" si="560"/>
        <v/>
      </c>
    </row>
    <row r="2404" spans="1:16" x14ac:dyDescent="0.2">
      <c r="A2404" s="119" t="s">
        <v>977</v>
      </c>
      <c r="B2404" s="120" t="s">
        <v>31</v>
      </c>
      <c r="C2404" s="129">
        <f>Community!D9</f>
        <v>-1167000</v>
      </c>
      <c r="D2404" s="129">
        <f>Community!E9</f>
        <v>-290187</v>
      </c>
      <c r="E2404" s="129">
        <f>Community!F9</f>
        <v>0</v>
      </c>
      <c r="F2404" s="129">
        <f>Community!G9</f>
        <v>-524054</v>
      </c>
      <c r="G2404" s="129">
        <f>Community!H9</f>
        <v>-642946</v>
      </c>
      <c r="H2404" s="129">
        <f>Community!I9</f>
        <v>44.9</v>
      </c>
      <c r="I2404" s="129">
        <f>Community!J9</f>
        <v>0</v>
      </c>
      <c r="J2404" s="129">
        <f>Community!K9</f>
        <v>-1167000</v>
      </c>
      <c r="K2404" s="129">
        <f>Community!L9</f>
        <v>-1304000</v>
      </c>
      <c r="L2404" s="129">
        <f>Community!M9</f>
        <v>0</v>
      </c>
      <c r="M2404" s="129">
        <f>Community!N9</f>
        <v>0</v>
      </c>
      <c r="N2404" s="129">
        <f>Community!O9</f>
        <v>0</v>
      </c>
      <c r="O2404" s="129">
        <f>Community!N9</f>
        <v>0</v>
      </c>
      <c r="P2404" s="123" t="str">
        <f t="shared" si="560"/>
        <v>178</v>
      </c>
    </row>
    <row r="2405" spans="1:16" x14ac:dyDescent="0.2">
      <c r="A2405" s="119"/>
      <c r="B2405" s="120"/>
      <c r="C2405" s="129"/>
      <c r="D2405" s="129"/>
      <c r="E2405" s="129"/>
      <c r="F2405" s="129"/>
      <c r="G2405" s="129"/>
      <c r="H2405" s="129"/>
      <c r="I2405" s="129">
        <f>Community!J10</f>
        <v>0</v>
      </c>
      <c r="J2405" s="129"/>
      <c r="K2405" s="129"/>
      <c r="L2405" s="129"/>
      <c r="O2405" s="129"/>
      <c r="P2405" s="123" t="str">
        <f t="shared" si="560"/>
        <v/>
      </c>
    </row>
    <row r="2406" spans="1:16" s="114" customFormat="1" ht="15" x14ac:dyDescent="0.25">
      <c r="A2406" s="118"/>
      <c r="B2406" s="117" t="s">
        <v>35</v>
      </c>
      <c r="C2406" s="128">
        <f>SUM(C2404:C2405)</f>
        <v>-1167000</v>
      </c>
      <c r="D2406" s="128">
        <f t="shared" ref="D2406:O2406" si="566">SUM(D2404:D2405)</f>
        <v>-290187</v>
      </c>
      <c r="E2406" s="128">
        <f t="shared" si="566"/>
        <v>0</v>
      </c>
      <c r="F2406" s="128">
        <f t="shared" si="566"/>
        <v>-524054</v>
      </c>
      <c r="G2406" s="128">
        <f t="shared" si="566"/>
        <v>-642946</v>
      </c>
      <c r="H2406" s="128">
        <f t="shared" si="566"/>
        <v>44.9</v>
      </c>
      <c r="I2406" s="128">
        <f t="shared" si="566"/>
        <v>0</v>
      </c>
      <c r="J2406" s="128">
        <f t="shared" si="566"/>
        <v>-1167000</v>
      </c>
      <c r="K2406" s="128">
        <f t="shared" si="566"/>
        <v>-1304000</v>
      </c>
      <c r="L2406" s="128">
        <f t="shared" si="566"/>
        <v>0</v>
      </c>
      <c r="M2406" s="128">
        <f t="shared" si="566"/>
        <v>0</v>
      </c>
      <c r="N2406" s="128">
        <f t="shared" si="566"/>
        <v>0</v>
      </c>
      <c r="O2406" s="128">
        <f t="shared" si="566"/>
        <v>0</v>
      </c>
      <c r="P2406" s="123" t="str">
        <f t="shared" si="560"/>
        <v/>
      </c>
    </row>
    <row r="2407" spans="1:16" s="114" customFormat="1" ht="15" x14ac:dyDescent="0.25">
      <c r="A2407" s="118"/>
      <c r="B2407" s="117"/>
      <c r="C2407" s="128"/>
      <c r="D2407" s="128"/>
      <c r="E2407" s="128"/>
      <c r="F2407" s="128"/>
      <c r="G2407" s="128"/>
      <c r="H2407" s="128"/>
      <c r="I2407" s="129">
        <f>Community!J12</f>
        <v>0</v>
      </c>
      <c r="J2407" s="129"/>
      <c r="K2407" s="129"/>
      <c r="L2407" s="129"/>
      <c r="M2407" s="186"/>
      <c r="N2407" s="186"/>
      <c r="O2407" s="128"/>
      <c r="P2407" s="123" t="str">
        <f t="shared" si="560"/>
        <v/>
      </c>
    </row>
    <row r="2408" spans="1:16" s="114" customFormat="1" ht="15" x14ac:dyDescent="0.25">
      <c r="A2408" s="118"/>
      <c r="B2408" s="117" t="s">
        <v>95</v>
      </c>
      <c r="C2408" s="128">
        <f>C2406</f>
        <v>-1167000</v>
      </c>
      <c r="D2408" s="128">
        <f t="shared" ref="D2408:O2408" si="567">D2406</f>
        <v>-290187</v>
      </c>
      <c r="E2408" s="128">
        <f t="shared" si="567"/>
        <v>0</v>
      </c>
      <c r="F2408" s="128">
        <f t="shared" si="567"/>
        <v>-524054</v>
      </c>
      <c r="G2408" s="128">
        <f t="shared" si="567"/>
        <v>-642946</v>
      </c>
      <c r="H2408" s="128">
        <f t="shared" si="567"/>
        <v>44.9</v>
      </c>
      <c r="I2408" s="128">
        <f t="shared" si="567"/>
        <v>0</v>
      </c>
      <c r="J2408" s="128">
        <f t="shared" si="567"/>
        <v>-1167000</v>
      </c>
      <c r="K2408" s="128">
        <f t="shared" si="567"/>
        <v>-1304000</v>
      </c>
      <c r="L2408" s="128">
        <f t="shared" si="567"/>
        <v>0</v>
      </c>
      <c r="M2408" s="128">
        <f t="shared" si="567"/>
        <v>0</v>
      </c>
      <c r="N2408" s="128">
        <f t="shared" si="567"/>
        <v>0</v>
      </c>
      <c r="O2408" s="128">
        <f t="shared" si="567"/>
        <v>0</v>
      </c>
      <c r="P2408" s="123" t="str">
        <f t="shared" si="560"/>
        <v/>
      </c>
    </row>
    <row r="2409" spans="1:16" s="114" customFormat="1" ht="15" x14ac:dyDescent="0.25">
      <c r="A2409" s="118"/>
      <c r="B2409" s="117"/>
      <c r="C2409" s="128"/>
      <c r="D2409" s="128"/>
      <c r="E2409" s="128"/>
      <c r="F2409" s="128"/>
      <c r="G2409" s="128"/>
      <c r="H2409" s="128"/>
      <c r="I2409" s="129">
        <f>Community!J14</f>
        <v>0</v>
      </c>
      <c r="J2409" s="129"/>
      <c r="K2409" s="129"/>
      <c r="L2409" s="129"/>
      <c r="M2409" s="186"/>
      <c r="N2409" s="186"/>
      <c r="O2409" s="128"/>
      <c r="P2409" s="123" t="str">
        <f t="shared" si="560"/>
        <v/>
      </c>
    </row>
    <row r="2410" spans="1:16" s="114" customFormat="1" ht="15" x14ac:dyDescent="0.25">
      <c r="A2410" s="118"/>
      <c r="B2410" s="117" t="s">
        <v>96</v>
      </c>
      <c r="C2410" s="128"/>
      <c r="D2410" s="128"/>
      <c r="E2410" s="128"/>
      <c r="F2410" s="128"/>
      <c r="G2410" s="128"/>
      <c r="H2410" s="128"/>
      <c r="I2410" s="129">
        <f>Community!J15</f>
        <v>0</v>
      </c>
      <c r="J2410" s="129"/>
      <c r="K2410" s="129"/>
      <c r="L2410" s="129"/>
      <c r="M2410" s="186"/>
      <c r="N2410" s="186"/>
      <c r="O2410" s="128"/>
      <c r="P2410" s="123" t="str">
        <f t="shared" si="560"/>
        <v/>
      </c>
    </row>
    <row r="2411" spans="1:16" s="114" customFormat="1" ht="15" x14ac:dyDescent="0.25">
      <c r="A2411" s="118"/>
      <c r="B2411" s="117" t="s">
        <v>97</v>
      </c>
      <c r="C2411" s="128"/>
      <c r="D2411" s="128"/>
      <c r="E2411" s="128"/>
      <c r="F2411" s="128"/>
      <c r="G2411" s="128"/>
      <c r="H2411" s="128"/>
      <c r="I2411" s="129">
        <f>Community!J16</f>
        <v>0</v>
      </c>
      <c r="J2411" s="129"/>
      <c r="K2411" s="129"/>
      <c r="L2411" s="129"/>
      <c r="M2411" s="186"/>
      <c r="N2411" s="186"/>
      <c r="O2411" s="128"/>
      <c r="P2411" s="123" t="str">
        <f t="shared" si="560"/>
        <v/>
      </c>
    </row>
    <row r="2412" spans="1:16" s="114" customFormat="1" ht="15" x14ac:dyDescent="0.25">
      <c r="A2412" s="118"/>
      <c r="B2412" s="117" t="s">
        <v>98</v>
      </c>
      <c r="C2412" s="128"/>
      <c r="D2412" s="128"/>
      <c r="E2412" s="128"/>
      <c r="F2412" s="128"/>
      <c r="G2412" s="128"/>
      <c r="H2412" s="128"/>
      <c r="I2412" s="129">
        <f>Community!J17</f>
        <v>0</v>
      </c>
      <c r="J2412" s="129"/>
      <c r="K2412" s="129"/>
      <c r="L2412" s="129"/>
      <c r="M2412" s="186"/>
      <c r="N2412" s="186"/>
      <c r="O2412" s="128"/>
      <c r="P2412" s="123" t="str">
        <f t="shared" si="560"/>
        <v/>
      </c>
    </row>
    <row r="2413" spans="1:16" s="114" customFormat="1" ht="15" x14ac:dyDescent="0.25">
      <c r="A2413" s="118"/>
      <c r="B2413" s="117" t="s">
        <v>99</v>
      </c>
      <c r="C2413" s="128"/>
      <c r="D2413" s="128"/>
      <c r="E2413" s="128"/>
      <c r="F2413" s="128"/>
      <c r="G2413" s="128"/>
      <c r="H2413" s="128"/>
      <c r="I2413" s="129">
        <f>Community!J18</f>
        <v>0</v>
      </c>
      <c r="J2413" s="129"/>
      <c r="K2413" s="129"/>
      <c r="L2413" s="129"/>
      <c r="M2413" s="186"/>
      <c r="N2413" s="186"/>
      <c r="O2413" s="128"/>
      <c r="P2413" s="123" t="str">
        <f t="shared" si="560"/>
        <v/>
      </c>
    </row>
    <row r="2414" spans="1:16" s="114" customFormat="1" ht="15" x14ac:dyDescent="0.25">
      <c r="A2414" s="118"/>
      <c r="B2414" s="117" t="s">
        <v>138</v>
      </c>
      <c r="C2414" s="128"/>
      <c r="D2414" s="128"/>
      <c r="E2414" s="128"/>
      <c r="F2414" s="128"/>
      <c r="G2414" s="128"/>
      <c r="H2414" s="128"/>
      <c r="I2414" s="129">
        <f>Community!J19</f>
        <v>0</v>
      </c>
      <c r="J2414" s="129"/>
      <c r="K2414" s="129"/>
      <c r="L2414" s="129"/>
      <c r="M2414" s="186"/>
      <c r="N2414" s="186"/>
      <c r="O2414" s="128"/>
      <c r="P2414" s="123" t="str">
        <f t="shared" si="560"/>
        <v/>
      </c>
    </row>
    <row r="2415" spans="1:16" x14ac:dyDescent="0.2">
      <c r="A2415" s="119"/>
      <c r="B2415" s="120"/>
      <c r="C2415" s="129"/>
      <c r="D2415" s="129"/>
      <c r="E2415" s="129"/>
      <c r="F2415" s="129"/>
      <c r="G2415" s="129"/>
      <c r="H2415" s="129"/>
      <c r="I2415" s="129">
        <f>Community!J20</f>
        <v>0</v>
      </c>
      <c r="J2415" s="129"/>
      <c r="K2415" s="129"/>
      <c r="L2415" s="129"/>
      <c r="O2415" s="129"/>
      <c r="P2415" s="123" t="str">
        <f t="shared" si="560"/>
        <v/>
      </c>
    </row>
    <row r="2416" spans="1:16" x14ac:dyDescent="0.2">
      <c r="A2416" s="119" t="s">
        <v>978</v>
      </c>
      <c r="B2416" s="120" t="s">
        <v>139</v>
      </c>
      <c r="C2416" s="129">
        <v>651161</v>
      </c>
      <c r="D2416" s="129">
        <v>121164.8</v>
      </c>
      <c r="E2416" s="129">
        <v>0</v>
      </c>
      <c r="F2416" s="129">
        <v>331602.08</v>
      </c>
      <c r="G2416" s="129">
        <v>319558.92</v>
      </c>
      <c r="H2416" s="129">
        <v>50.92</v>
      </c>
      <c r="I2416" s="129">
        <f>Community!J21</f>
        <v>0</v>
      </c>
      <c r="J2416" s="129">
        <f>Community!K21</f>
        <v>651161</v>
      </c>
      <c r="K2416" s="129">
        <f>Community!L21</f>
        <v>691858.5625</v>
      </c>
      <c r="L2416" s="129">
        <f>Community!M21</f>
        <v>740288.66187499999</v>
      </c>
      <c r="O2416" s="129">
        <f>Community!N21</f>
        <v>792108.86820625002</v>
      </c>
      <c r="P2416" s="123" t="str">
        <f t="shared" si="560"/>
        <v>032</v>
      </c>
    </row>
    <row r="2417" spans="1:16" x14ac:dyDescent="0.2">
      <c r="A2417" s="119" t="s">
        <v>979</v>
      </c>
      <c r="B2417" s="120" t="s">
        <v>140</v>
      </c>
      <c r="C2417" s="129">
        <v>32558</v>
      </c>
      <c r="D2417" s="129">
        <v>0</v>
      </c>
      <c r="E2417" s="129">
        <v>0</v>
      </c>
      <c r="F2417" s="129">
        <v>0</v>
      </c>
      <c r="G2417" s="129">
        <v>32558</v>
      </c>
      <c r="H2417" s="129">
        <v>0</v>
      </c>
      <c r="I2417" s="129">
        <f>Community!J22</f>
        <v>0</v>
      </c>
      <c r="J2417" s="129">
        <f>Community!K22</f>
        <v>32558</v>
      </c>
      <c r="K2417" s="129">
        <f>Community!L22</f>
        <v>34592.875</v>
      </c>
      <c r="L2417" s="129">
        <f>Community!M22</f>
        <v>37014.376250000001</v>
      </c>
      <c r="O2417" s="129">
        <f>Community!N22</f>
        <v>39605.382587500004</v>
      </c>
      <c r="P2417" s="123" t="str">
        <f t="shared" si="560"/>
        <v>032</v>
      </c>
    </row>
    <row r="2418" spans="1:16" x14ac:dyDescent="0.2">
      <c r="A2418" s="119" t="s">
        <v>980</v>
      </c>
      <c r="B2418" s="120" t="s">
        <v>141</v>
      </c>
      <c r="C2418" s="129">
        <v>40000</v>
      </c>
      <c r="D2418" s="129">
        <v>6666.66</v>
      </c>
      <c r="E2418" s="129">
        <v>0</v>
      </c>
      <c r="F2418" s="129">
        <v>13333.32</v>
      </c>
      <c r="G2418" s="129">
        <v>26666.68</v>
      </c>
      <c r="H2418" s="129">
        <v>33.33</v>
      </c>
      <c r="I2418" s="129">
        <f>Community!J23</f>
        <v>0</v>
      </c>
      <c r="J2418" s="129">
        <f>Community!K23</f>
        <v>40000</v>
      </c>
      <c r="K2418" s="129">
        <f>Community!L23</f>
        <v>42500</v>
      </c>
      <c r="L2418" s="129">
        <f>Community!M23</f>
        <v>45475</v>
      </c>
      <c r="O2418" s="129">
        <f>Community!N23</f>
        <v>48658.25</v>
      </c>
      <c r="P2418" s="123" t="str">
        <f t="shared" si="560"/>
        <v>032</v>
      </c>
    </row>
    <row r="2419" spans="1:16" x14ac:dyDescent="0.2">
      <c r="A2419" s="119" t="s">
        <v>981</v>
      </c>
      <c r="B2419" s="120" t="s">
        <v>142</v>
      </c>
      <c r="C2419" s="129">
        <v>205628</v>
      </c>
      <c r="D2419" s="129">
        <v>16904.5</v>
      </c>
      <c r="E2419" s="129">
        <v>0</v>
      </c>
      <c r="F2419" s="129">
        <v>16904.5</v>
      </c>
      <c r="G2419" s="129">
        <v>188723.5</v>
      </c>
      <c r="H2419" s="129">
        <v>8.2200000000000006</v>
      </c>
      <c r="I2419" s="129">
        <f>Community!J24</f>
        <v>0</v>
      </c>
      <c r="J2419" s="129">
        <f>Community!K24</f>
        <v>205628</v>
      </c>
      <c r="K2419" s="129">
        <f>Community!L24</f>
        <v>218479.75</v>
      </c>
      <c r="L2419" s="129">
        <f>Community!M24</f>
        <v>233773.33249999999</v>
      </c>
      <c r="O2419" s="129">
        <f>Community!N24</f>
        <v>250137.46577499999</v>
      </c>
      <c r="P2419" s="123" t="str">
        <f t="shared" si="560"/>
        <v>032</v>
      </c>
    </row>
    <row r="2420" spans="1:16" x14ac:dyDescent="0.2">
      <c r="A2420" s="119" t="s">
        <v>982</v>
      </c>
      <c r="B2420" s="120" t="s">
        <v>143</v>
      </c>
      <c r="C2420" s="129">
        <v>17000</v>
      </c>
      <c r="D2420" s="129">
        <v>0</v>
      </c>
      <c r="E2420" s="129">
        <v>0</v>
      </c>
      <c r="F2420" s="129">
        <v>0</v>
      </c>
      <c r="G2420" s="129">
        <v>17000</v>
      </c>
      <c r="H2420" s="129">
        <v>0</v>
      </c>
      <c r="I2420" s="129">
        <f>Community!J25</f>
        <v>0</v>
      </c>
      <c r="J2420" s="129">
        <f>Community!K25</f>
        <v>17000</v>
      </c>
      <c r="K2420" s="129">
        <f>Community!L25</f>
        <v>18062.5</v>
      </c>
      <c r="L2420" s="129">
        <f>Community!M25</f>
        <v>19326.875</v>
      </c>
      <c r="O2420" s="129">
        <f>Community!N25</f>
        <v>20679.756249999999</v>
      </c>
      <c r="P2420" s="123" t="str">
        <f t="shared" si="560"/>
        <v>032</v>
      </c>
    </row>
    <row r="2421" spans="1:16" x14ac:dyDescent="0.2">
      <c r="A2421" s="119" t="s">
        <v>983</v>
      </c>
      <c r="B2421" s="120" t="s">
        <v>144</v>
      </c>
      <c r="C2421" s="129">
        <v>18580</v>
      </c>
      <c r="D2421" s="129">
        <v>0</v>
      </c>
      <c r="E2421" s="129">
        <v>0</v>
      </c>
      <c r="F2421" s="129">
        <v>0</v>
      </c>
      <c r="G2421" s="129">
        <v>18580</v>
      </c>
      <c r="H2421" s="129">
        <v>0</v>
      </c>
      <c r="I2421" s="129">
        <f>Community!J26</f>
        <v>-18580</v>
      </c>
      <c r="J2421" s="129">
        <f>Community!K26</f>
        <v>0</v>
      </c>
      <c r="K2421" s="129">
        <f>Community!L26</f>
        <v>0</v>
      </c>
      <c r="L2421" s="129">
        <f>Community!M26</f>
        <v>0</v>
      </c>
      <c r="O2421" s="129">
        <f>Community!N26</f>
        <v>0</v>
      </c>
      <c r="P2421" s="123" t="str">
        <f t="shared" si="560"/>
        <v>032</v>
      </c>
    </row>
    <row r="2422" spans="1:16" x14ac:dyDescent="0.2">
      <c r="A2422" s="119"/>
      <c r="B2422" s="120"/>
      <c r="C2422" s="129"/>
      <c r="D2422" s="129"/>
      <c r="E2422" s="129"/>
      <c r="F2422" s="129"/>
      <c r="G2422" s="129"/>
      <c r="H2422" s="129"/>
      <c r="I2422" s="129">
        <f>Community!J27</f>
        <v>0</v>
      </c>
      <c r="J2422" s="129"/>
      <c r="K2422" s="129"/>
      <c r="L2422" s="129"/>
      <c r="O2422" s="129"/>
      <c r="P2422" s="123" t="str">
        <f t="shared" si="560"/>
        <v/>
      </c>
    </row>
    <row r="2423" spans="1:16" s="114" customFormat="1" ht="15" x14ac:dyDescent="0.25">
      <c r="A2423" s="118"/>
      <c r="B2423" s="117" t="s">
        <v>145</v>
      </c>
      <c r="C2423" s="128">
        <f>SUM(C2416:C2422)</f>
        <v>964927</v>
      </c>
      <c r="D2423" s="128">
        <f t="shared" ref="D2423:O2423" si="568">SUM(D2416:D2422)</f>
        <v>144735.96000000002</v>
      </c>
      <c r="E2423" s="128">
        <f t="shared" si="568"/>
        <v>0</v>
      </c>
      <c r="F2423" s="128">
        <f t="shared" si="568"/>
        <v>361839.9</v>
      </c>
      <c r="G2423" s="128">
        <f t="shared" si="568"/>
        <v>603087.1</v>
      </c>
      <c r="H2423" s="128">
        <f t="shared" si="568"/>
        <v>92.47</v>
      </c>
      <c r="I2423" s="128">
        <f t="shared" si="568"/>
        <v>-18580</v>
      </c>
      <c r="J2423" s="128">
        <f t="shared" si="568"/>
        <v>946347</v>
      </c>
      <c r="K2423" s="128">
        <f t="shared" si="568"/>
        <v>1005493.6875</v>
      </c>
      <c r="L2423" s="128">
        <f t="shared" si="568"/>
        <v>1075878.245625</v>
      </c>
      <c r="M2423" s="128">
        <f t="shared" si="568"/>
        <v>0</v>
      </c>
      <c r="N2423" s="128">
        <f t="shared" si="568"/>
        <v>0</v>
      </c>
      <c r="O2423" s="128">
        <f t="shared" si="568"/>
        <v>1151189.7228187502</v>
      </c>
      <c r="P2423" s="123" t="str">
        <f t="shared" si="560"/>
        <v/>
      </c>
    </row>
    <row r="2424" spans="1:16" s="114" customFormat="1" ht="15" x14ac:dyDescent="0.25">
      <c r="A2424" s="118"/>
      <c r="B2424" s="117"/>
      <c r="C2424" s="128"/>
      <c r="D2424" s="128"/>
      <c r="E2424" s="128"/>
      <c r="F2424" s="128"/>
      <c r="G2424" s="128"/>
      <c r="H2424" s="128"/>
      <c r="I2424" s="129">
        <f>Community!J29</f>
        <v>0</v>
      </c>
      <c r="J2424" s="129"/>
      <c r="K2424" s="129"/>
      <c r="L2424" s="129"/>
      <c r="M2424" s="186"/>
      <c r="N2424" s="186"/>
      <c r="O2424" s="128"/>
      <c r="P2424" s="123" t="str">
        <f t="shared" si="560"/>
        <v/>
      </c>
    </row>
    <row r="2425" spans="1:16" s="114" customFormat="1" ht="15" x14ac:dyDescent="0.25">
      <c r="A2425" s="118"/>
      <c r="B2425" s="117" t="s">
        <v>146</v>
      </c>
      <c r="C2425" s="128">
        <f>C2423</f>
        <v>964927</v>
      </c>
      <c r="D2425" s="128">
        <f t="shared" ref="D2425:O2425" si="569">D2423</f>
        <v>144735.96000000002</v>
      </c>
      <c r="E2425" s="128">
        <f t="shared" si="569"/>
        <v>0</v>
      </c>
      <c r="F2425" s="128">
        <f t="shared" si="569"/>
        <v>361839.9</v>
      </c>
      <c r="G2425" s="128">
        <f t="shared" si="569"/>
        <v>603087.1</v>
      </c>
      <c r="H2425" s="128">
        <f t="shared" si="569"/>
        <v>92.47</v>
      </c>
      <c r="I2425" s="128">
        <f t="shared" si="569"/>
        <v>-18580</v>
      </c>
      <c r="J2425" s="128">
        <f t="shared" si="569"/>
        <v>946347</v>
      </c>
      <c r="K2425" s="128">
        <f t="shared" si="569"/>
        <v>1005493.6875</v>
      </c>
      <c r="L2425" s="128">
        <f t="shared" si="569"/>
        <v>1075878.245625</v>
      </c>
      <c r="M2425" s="128">
        <f t="shared" si="569"/>
        <v>0</v>
      </c>
      <c r="N2425" s="128">
        <f t="shared" si="569"/>
        <v>0</v>
      </c>
      <c r="O2425" s="128">
        <f t="shared" si="569"/>
        <v>1151189.7228187502</v>
      </c>
      <c r="P2425" s="123" t="str">
        <f t="shared" si="560"/>
        <v/>
      </c>
    </row>
    <row r="2426" spans="1:16" s="114" customFormat="1" ht="15" x14ac:dyDescent="0.25">
      <c r="A2426" s="118"/>
      <c r="B2426" s="117"/>
      <c r="C2426" s="128"/>
      <c r="D2426" s="128"/>
      <c r="E2426" s="128"/>
      <c r="F2426" s="128"/>
      <c r="G2426" s="128"/>
      <c r="H2426" s="128"/>
      <c r="I2426" s="129">
        <f>Community!J31</f>
        <v>0</v>
      </c>
      <c r="J2426" s="129"/>
      <c r="K2426" s="129"/>
      <c r="L2426" s="129"/>
      <c r="M2426" s="186"/>
      <c r="N2426" s="186"/>
      <c r="O2426" s="128"/>
      <c r="P2426" s="123" t="str">
        <f t="shared" si="560"/>
        <v/>
      </c>
    </row>
    <row r="2427" spans="1:16" s="114" customFormat="1" ht="15" x14ac:dyDescent="0.25">
      <c r="A2427" s="118"/>
      <c r="B2427" s="117" t="s">
        <v>147</v>
      </c>
      <c r="C2427" s="128">
        <f>C2425</f>
        <v>964927</v>
      </c>
      <c r="D2427" s="128">
        <f t="shared" ref="D2427:O2427" si="570">D2425</f>
        <v>144735.96000000002</v>
      </c>
      <c r="E2427" s="128">
        <f t="shared" si="570"/>
        <v>0</v>
      </c>
      <c r="F2427" s="128">
        <f t="shared" si="570"/>
        <v>361839.9</v>
      </c>
      <c r="G2427" s="128">
        <f t="shared" si="570"/>
        <v>603087.1</v>
      </c>
      <c r="H2427" s="128">
        <f t="shared" si="570"/>
        <v>92.47</v>
      </c>
      <c r="I2427" s="128">
        <f t="shared" si="570"/>
        <v>-18580</v>
      </c>
      <c r="J2427" s="128">
        <f t="shared" si="570"/>
        <v>946347</v>
      </c>
      <c r="K2427" s="128">
        <f t="shared" si="570"/>
        <v>1005493.6875</v>
      </c>
      <c r="L2427" s="128">
        <f t="shared" si="570"/>
        <v>1075878.245625</v>
      </c>
      <c r="M2427" s="128">
        <f t="shared" si="570"/>
        <v>0</v>
      </c>
      <c r="N2427" s="128">
        <f t="shared" si="570"/>
        <v>0</v>
      </c>
      <c r="O2427" s="128">
        <f t="shared" si="570"/>
        <v>1151189.7228187502</v>
      </c>
      <c r="P2427" s="123" t="str">
        <f t="shared" si="560"/>
        <v/>
      </c>
    </row>
    <row r="2428" spans="1:16" s="114" customFormat="1" ht="15" x14ac:dyDescent="0.25">
      <c r="A2428" s="118"/>
      <c r="B2428" s="117"/>
      <c r="C2428" s="128"/>
      <c r="D2428" s="128"/>
      <c r="E2428" s="128"/>
      <c r="F2428" s="128"/>
      <c r="G2428" s="128"/>
      <c r="H2428" s="128"/>
      <c r="I2428" s="129">
        <f>Community!J33</f>
        <v>0</v>
      </c>
      <c r="J2428" s="129"/>
      <c r="K2428" s="129"/>
      <c r="L2428" s="129"/>
      <c r="M2428" s="186"/>
      <c r="N2428" s="186"/>
      <c r="O2428" s="128"/>
      <c r="P2428" s="123" t="str">
        <f t="shared" si="560"/>
        <v/>
      </c>
    </row>
    <row r="2429" spans="1:16" s="114" customFormat="1" ht="15" x14ac:dyDescent="0.25">
      <c r="A2429" s="118"/>
      <c r="B2429" s="117" t="s">
        <v>148</v>
      </c>
      <c r="C2429" s="128"/>
      <c r="D2429" s="128"/>
      <c r="E2429" s="128"/>
      <c r="F2429" s="128"/>
      <c r="G2429" s="128"/>
      <c r="H2429" s="128"/>
      <c r="I2429" s="129">
        <f>Community!J34</f>
        <v>0</v>
      </c>
      <c r="J2429" s="129"/>
      <c r="K2429" s="129"/>
      <c r="L2429" s="129"/>
      <c r="M2429" s="186"/>
      <c r="N2429" s="186"/>
      <c r="O2429" s="128"/>
      <c r="P2429" s="123" t="str">
        <f t="shared" si="560"/>
        <v/>
      </c>
    </row>
    <row r="2430" spans="1:16" s="114" customFormat="1" ht="15" x14ac:dyDescent="0.25">
      <c r="A2430" s="118"/>
      <c r="B2430" s="117"/>
      <c r="C2430" s="128"/>
      <c r="D2430" s="128"/>
      <c r="E2430" s="128"/>
      <c r="F2430" s="128"/>
      <c r="G2430" s="128"/>
      <c r="H2430" s="128"/>
      <c r="I2430" s="129">
        <f>Community!J35</f>
        <v>0</v>
      </c>
      <c r="J2430" s="129"/>
      <c r="K2430" s="129"/>
      <c r="L2430" s="129"/>
      <c r="M2430" s="186"/>
      <c r="N2430" s="186"/>
      <c r="O2430" s="128"/>
      <c r="P2430" s="123" t="str">
        <f t="shared" si="560"/>
        <v/>
      </c>
    </row>
    <row r="2431" spans="1:16" s="114" customFormat="1" ht="15" x14ac:dyDescent="0.25">
      <c r="A2431" s="118"/>
      <c r="B2431" s="117" t="s">
        <v>149</v>
      </c>
      <c r="C2431" s="128"/>
      <c r="D2431" s="128"/>
      <c r="E2431" s="128"/>
      <c r="F2431" s="128"/>
      <c r="G2431" s="128"/>
      <c r="H2431" s="128"/>
      <c r="I2431" s="129">
        <f>Community!J36</f>
        <v>0</v>
      </c>
      <c r="J2431" s="129"/>
      <c r="K2431" s="129"/>
      <c r="L2431" s="129"/>
      <c r="M2431" s="186"/>
      <c r="N2431" s="186"/>
      <c r="O2431" s="128"/>
      <c r="P2431" s="123" t="str">
        <f t="shared" si="560"/>
        <v/>
      </c>
    </row>
    <row r="2432" spans="1:16" x14ac:dyDescent="0.2">
      <c r="A2432" s="119"/>
      <c r="B2432" s="120"/>
      <c r="C2432" s="129"/>
      <c r="D2432" s="129"/>
      <c r="E2432" s="129"/>
      <c r="F2432" s="129"/>
      <c r="G2432" s="129"/>
      <c r="H2432" s="129"/>
      <c r="I2432" s="129">
        <f>Community!J37</f>
        <v>0</v>
      </c>
      <c r="J2432" s="129"/>
      <c r="K2432" s="129"/>
      <c r="L2432" s="129"/>
      <c r="O2432" s="129"/>
      <c r="P2432" s="123" t="str">
        <f t="shared" si="560"/>
        <v/>
      </c>
    </row>
    <row r="2433" spans="1:16" x14ac:dyDescent="0.2">
      <c r="A2433" s="119" t="s">
        <v>984</v>
      </c>
      <c r="B2433" s="120" t="s">
        <v>150</v>
      </c>
      <c r="C2433" s="129">
        <v>215677</v>
      </c>
      <c r="D2433" s="129">
        <v>18318.060000000001</v>
      </c>
      <c r="E2433" s="129">
        <v>0</v>
      </c>
      <c r="F2433" s="129">
        <v>108621.36</v>
      </c>
      <c r="G2433" s="129">
        <v>107055.64</v>
      </c>
      <c r="H2433" s="129">
        <v>50.36</v>
      </c>
      <c r="I2433" s="129">
        <f>Community!J38</f>
        <v>0</v>
      </c>
      <c r="J2433" s="129">
        <f>Community!K38</f>
        <v>215677</v>
      </c>
      <c r="K2433" s="129">
        <f>Community!L38</f>
        <v>229156.8125</v>
      </c>
      <c r="L2433" s="129">
        <f>Community!M38</f>
        <v>245197.78937499999</v>
      </c>
      <c r="O2433" s="129">
        <f>Community!N38</f>
        <v>262361.63463125</v>
      </c>
      <c r="P2433" s="123" t="str">
        <f t="shared" si="560"/>
        <v>110</v>
      </c>
    </row>
    <row r="2434" spans="1:16" x14ac:dyDescent="0.2">
      <c r="A2434" s="119" t="s">
        <v>985</v>
      </c>
      <c r="B2434" s="120" t="s">
        <v>151</v>
      </c>
      <c r="C2434" s="129">
        <v>10078</v>
      </c>
      <c r="D2434" s="129">
        <v>8467.09</v>
      </c>
      <c r="E2434" s="129">
        <v>0</v>
      </c>
      <c r="F2434" s="129">
        <v>26356.15</v>
      </c>
      <c r="G2434" s="129">
        <v>-16278.15</v>
      </c>
      <c r="H2434" s="129">
        <v>261.52</v>
      </c>
      <c r="I2434" s="129">
        <f>Community!J39</f>
        <v>-1610.9099999999999</v>
      </c>
      <c r="J2434" s="129">
        <f>Community!K39</f>
        <v>8467.09</v>
      </c>
      <c r="K2434" s="129">
        <f>Community!L39</f>
        <v>8996.2831249999999</v>
      </c>
      <c r="L2434" s="129">
        <f>Community!M39</f>
        <v>9626.0229437500002</v>
      </c>
      <c r="O2434" s="129">
        <f>Community!N39</f>
        <v>10299.8445498125</v>
      </c>
      <c r="P2434" s="123" t="str">
        <f t="shared" si="560"/>
        <v>110</v>
      </c>
    </row>
    <row r="2435" spans="1:16" x14ac:dyDescent="0.2">
      <c r="A2435" s="119" t="s">
        <v>986</v>
      </c>
      <c r="B2435" s="120" t="s">
        <v>155</v>
      </c>
      <c r="C2435" s="129">
        <v>7157</v>
      </c>
      <c r="D2435" s="129">
        <v>0</v>
      </c>
      <c r="E2435" s="129">
        <v>0</v>
      </c>
      <c r="F2435" s="129">
        <v>0</v>
      </c>
      <c r="G2435" s="129">
        <v>7157</v>
      </c>
      <c r="H2435" s="129">
        <v>0</v>
      </c>
      <c r="I2435" s="129">
        <f>Community!J40</f>
        <v>0</v>
      </c>
      <c r="J2435" s="129">
        <f>Community!K40</f>
        <v>7157</v>
      </c>
      <c r="K2435" s="129">
        <f>Community!L40</f>
        <v>7604.3125</v>
      </c>
      <c r="L2435" s="129">
        <f>Community!M40</f>
        <v>8136.6143750000001</v>
      </c>
      <c r="O2435" s="129">
        <f>Community!N40</f>
        <v>8706.1773812499996</v>
      </c>
      <c r="P2435" s="123" t="str">
        <f t="shared" si="560"/>
        <v>110</v>
      </c>
    </row>
    <row r="2436" spans="1:16" x14ac:dyDescent="0.2">
      <c r="A2436" s="119" t="s">
        <v>987</v>
      </c>
      <c r="B2436" s="120" t="s">
        <v>157</v>
      </c>
      <c r="C2436" s="129">
        <v>36901</v>
      </c>
      <c r="D2436" s="129">
        <v>0</v>
      </c>
      <c r="E2436" s="129">
        <v>0</v>
      </c>
      <c r="F2436" s="129">
        <v>4686.43</v>
      </c>
      <c r="G2436" s="129">
        <v>32214.57</v>
      </c>
      <c r="H2436" s="129">
        <v>12.7</v>
      </c>
      <c r="I2436" s="129">
        <f>Community!J41</f>
        <v>0</v>
      </c>
      <c r="J2436" s="129">
        <f>Community!K41</f>
        <v>36901</v>
      </c>
      <c r="K2436" s="129">
        <f>Community!L41</f>
        <v>39207.3125</v>
      </c>
      <c r="L2436" s="129">
        <f>Community!M41</f>
        <v>41951.824374999997</v>
      </c>
      <c r="O2436" s="129">
        <f>Community!N41</f>
        <v>44888.452081249998</v>
      </c>
      <c r="P2436" s="123" t="str">
        <f t="shared" si="560"/>
        <v>110</v>
      </c>
    </row>
    <row r="2437" spans="1:16" x14ac:dyDescent="0.2">
      <c r="A2437" s="119" t="s">
        <v>988</v>
      </c>
      <c r="B2437" s="120" t="s">
        <v>159</v>
      </c>
      <c r="C2437" s="129">
        <v>17973</v>
      </c>
      <c r="D2437" s="129">
        <v>0</v>
      </c>
      <c r="E2437" s="129">
        <v>0</v>
      </c>
      <c r="F2437" s="129">
        <v>0</v>
      </c>
      <c r="G2437" s="129">
        <v>17973</v>
      </c>
      <c r="H2437" s="129">
        <v>0</v>
      </c>
      <c r="I2437" s="129">
        <f>Community!J42</f>
        <v>0</v>
      </c>
      <c r="J2437" s="129">
        <f>Community!K42</f>
        <v>17973</v>
      </c>
      <c r="K2437" s="129">
        <f>Community!L42</f>
        <v>19096.3125</v>
      </c>
      <c r="L2437" s="129">
        <f>Community!M42</f>
        <v>20433.054375</v>
      </c>
      <c r="O2437" s="129">
        <f>Community!N42</f>
        <v>21863.36818125</v>
      </c>
      <c r="P2437" s="123" t="str">
        <f t="shared" si="560"/>
        <v>110</v>
      </c>
    </row>
    <row r="2438" spans="1:16" x14ac:dyDescent="0.2">
      <c r="A2438" s="119" t="s">
        <v>989</v>
      </c>
      <c r="B2438" s="120" t="s">
        <v>164</v>
      </c>
      <c r="C2438" s="129">
        <v>32457</v>
      </c>
      <c r="D2438" s="129">
        <v>0</v>
      </c>
      <c r="E2438" s="129">
        <v>0</v>
      </c>
      <c r="F2438" s="129">
        <v>0</v>
      </c>
      <c r="G2438" s="129">
        <v>32457</v>
      </c>
      <c r="H2438" s="129">
        <v>0</v>
      </c>
      <c r="I2438" s="129">
        <f>Community!J43</f>
        <v>0</v>
      </c>
      <c r="J2438" s="129">
        <f>Community!K43</f>
        <v>32457</v>
      </c>
      <c r="K2438" s="129">
        <f>Community!L43</f>
        <v>34485.5625</v>
      </c>
      <c r="L2438" s="129">
        <f>Community!M43</f>
        <v>36899.551874999997</v>
      </c>
      <c r="O2438" s="129">
        <f>Community!N43</f>
        <v>39482.520506249995</v>
      </c>
      <c r="P2438" s="123" t="str">
        <f t="shared" si="560"/>
        <v>110</v>
      </c>
    </row>
    <row r="2439" spans="1:16" x14ac:dyDescent="0.2">
      <c r="A2439" s="119"/>
      <c r="B2439" s="120"/>
      <c r="C2439" s="129"/>
      <c r="D2439" s="129"/>
      <c r="E2439" s="129"/>
      <c r="F2439" s="129"/>
      <c r="G2439" s="129"/>
      <c r="H2439" s="129"/>
      <c r="I2439" s="129">
        <f>Community!J44</f>
        <v>0</v>
      </c>
      <c r="J2439" s="129"/>
      <c r="O2439" s="129"/>
      <c r="P2439" s="123" t="str">
        <f t="shared" ref="P2439:P2502" si="571">MID(A2439,6,3)</f>
        <v/>
      </c>
    </row>
    <row r="2440" spans="1:16" s="114" customFormat="1" ht="15" x14ac:dyDescent="0.25">
      <c r="A2440" s="118"/>
      <c r="B2440" s="117" t="s">
        <v>165</v>
      </c>
      <c r="C2440" s="128">
        <f>SUM(C2433:C2439)</f>
        <v>320243</v>
      </c>
      <c r="D2440" s="128">
        <f t="shared" ref="D2440:O2440" si="572">SUM(D2433:D2439)</f>
        <v>26785.15</v>
      </c>
      <c r="E2440" s="128">
        <f t="shared" si="572"/>
        <v>0</v>
      </c>
      <c r="F2440" s="128">
        <f t="shared" si="572"/>
        <v>139663.94</v>
      </c>
      <c r="G2440" s="128">
        <f t="shared" si="572"/>
        <v>180579.06</v>
      </c>
      <c r="H2440" s="128">
        <f t="shared" si="572"/>
        <v>324.58</v>
      </c>
      <c r="I2440" s="128">
        <f t="shared" si="572"/>
        <v>-1610.9099999999999</v>
      </c>
      <c r="J2440" s="128">
        <f t="shared" si="572"/>
        <v>318632.08999999997</v>
      </c>
      <c r="K2440" s="128">
        <f t="shared" si="572"/>
        <v>338546.59562499996</v>
      </c>
      <c r="L2440" s="128">
        <f t="shared" si="572"/>
        <v>362244.85731874994</v>
      </c>
      <c r="M2440" s="128">
        <f t="shared" si="572"/>
        <v>0</v>
      </c>
      <c r="N2440" s="128">
        <f t="shared" si="572"/>
        <v>0</v>
      </c>
      <c r="O2440" s="128">
        <f t="shared" si="572"/>
        <v>387601.99733106251</v>
      </c>
      <c r="P2440" s="123" t="str">
        <f t="shared" si="571"/>
        <v/>
      </c>
    </row>
    <row r="2441" spans="1:16" s="114" customFormat="1" ht="15" x14ac:dyDescent="0.25">
      <c r="A2441" s="118"/>
      <c r="B2441" s="117"/>
      <c r="C2441" s="128"/>
      <c r="D2441" s="128"/>
      <c r="E2441" s="128"/>
      <c r="F2441" s="128"/>
      <c r="G2441" s="128"/>
      <c r="H2441" s="128"/>
      <c r="I2441" s="129">
        <f>Community!J46</f>
        <v>0</v>
      </c>
      <c r="J2441" s="129"/>
      <c r="K2441" s="129"/>
      <c r="L2441" s="129"/>
      <c r="M2441" s="186"/>
      <c r="N2441" s="186"/>
      <c r="O2441" s="128"/>
      <c r="P2441" s="123" t="str">
        <f t="shared" si="571"/>
        <v/>
      </c>
    </row>
    <row r="2442" spans="1:16" s="114" customFormat="1" ht="15" x14ac:dyDescent="0.25">
      <c r="A2442" s="118"/>
      <c r="B2442" s="117" t="s">
        <v>166</v>
      </c>
      <c r="C2442" s="128"/>
      <c r="D2442" s="128"/>
      <c r="E2442" s="128"/>
      <c r="F2442" s="128"/>
      <c r="G2442" s="128"/>
      <c r="H2442" s="128"/>
      <c r="I2442" s="129">
        <f>Community!J47</f>
        <v>0</v>
      </c>
      <c r="J2442" s="129"/>
      <c r="K2442" s="129"/>
      <c r="L2442" s="129"/>
      <c r="M2442" s="186"/>
      <c r="N2442" s="186"/>
      <c r="O2442" s="128"/>
      <c r="P2442" s="123" t="str">
        <f t="shared" si="571"/>
        <v/>
      </c>
    </row>
    <row r="2443" spans="1:16" x14ac:dyDescent="0.2">
      <c r="A2443" s="119"/>
      <c r="B2443" s="120"/>
      <c r="C2443" s="129"/>
      <c r="D2443" s="129"/>
      <c r="E2443" s="129"/>
      <c r="F2443" s="129"/>
      <c r="G2443" s="129"/>
      <c r="H2443" s="129"/>
      <c r="I2443" s="129">
        <f>Community!J48</f>
        <v>0</v>
      </c>
      <c r="J2443" s="129"/>
      <c r="K2443" s="129"/>
      <c r="L2443" s="129"/>
      <c r="O2443" s="129"/>
      <c r="P2443" s="123" t="str">
        <f t="shared" si="571"/>
        <v/>
      </c>
    </row>
    <row r="2444" spans="1:16" x14ac:dyDescent="0.2">
      <c r="A2444" s="119" t="s">
        <v>990</v>
      </c>
      <c r="B2444" s="120" t="s">
        <v>167</v>
      </c>
      <c r="C2444" s="129">
        <f>Community!D49</f>
        <v>112</v>
      </c>
      <c r="D2444" s="129">
        <f>Community!E49</f>
        <v>-290187</v>
      </c>
      <c r="E2444" s="129">
        <f>Community!F49</f>
        <v>0</v>
      </c>
      <c r="F2444" s="129">
        <f>Community!G49</f>
        <v>-524054</v>
      </c>
      <c r="G2444" s="129">
        <f>Community!H49</f>
        <v>-642946</v>
      </c>
      <c r="H2444" s="129">
        <f>Community!I49</f>
        <v>44.9</v>
      </c>
      <c r="I2444" s="129">
        <f>Community!J49</f>
        <v>0</v>
      </c>
      <c r="J2444" s="129">
        <f>Community!K49</f>
        <v>112</v>
      </c>
      <c r="K2444" s="129">
        <f>Community!L49</f>
        <v>119</v>
      </c>
      <c r="L2444" s="129">
        <f>Community!M49</f>
        <v>127.33</v>
      </c>
      <c r="M2444" s="129">
        <f>Community!N49</f>
        <v>136.2431</v>
      </c>
      <c r="N2444" s="129">
        <f>Community!O49</f>
        <v>0</v>
      </c>
      <c r="O2444" s="129">
        <f>Community!N49</f>
        <v>136.2431</v>
      </c>
      <c r="P2444" s="123" t="str">
        <f t="shared" si="571"/>
        <v>130</v>
      </c>
    </row>
    <row r="2445" spans="1:16" x14ac:dyDescent="0.2">
      <c r="A2445" s="119" t="s">
        <v>991</v>
      </c>
      <c r="B2445" s="120" t="s">
        <v>168</v>
      </c>
      <c r="C2445" s="129">
        <v>53908</v>
      </c>
      <c r="D2445" s="129">
        <v>2149.1999999999998</v>
      </c>
      <c r="E2445" s="129">
        <v>0</v>
      </c>
      <c r="F2445" s="129">
        <v>12895.2</v>
      </c>
      <c r="G2445" s="129">
        <v>41012.800000000003</v>
      </c>
      <c r="H2445" s="129">
        <v>23.92</v>
      </c>
      <c r="I2445" s="129">
        <f>Community!J50</f>
        <v>-20000</v>
      </c>
      <c r="J2445" s="129">
        <f>Community!K50</f>
        <v>33908</v>
      </c>
      <c r="K2445" s="129">
        <f>Community!L50</f>
        <v>36027.25</v>
      </c>
      <c r="L2445" s="129">
        <f>Community!M50</f>
        <v>38549.157500000001</v>
      </c>
      <c r="O2445" s="129">
        <f>Community!N50</f>
        <v>41247.598525000001</v>
      </c>
      <c r="P2445" s="123" t="str">
        <f t="shared" si="571"/>
        <v>130</v>
      </c>
    </row>
    <row r="2446" spans="1:16" x14ac:dyDescent="0.2">
      <c r="A2446" s="119" t="s">
        <v>992</v>
      </c>
      <c r="B2446" s="120" t="s">
        <v>169</v>
      </c>
      <c r="C2446" s="129">
        <v>47449</v>
      </c>
      <c r="D2446" s="129">
        <v>3297.25</v>
      </c>
      <c r="E2446" s="129">
        <v>0</v>
      </c>
      <c r="F2446" s="129">
        <v>19551.84</v>
      </c>
      <c r="G2446" s="129">
        <v>27897.16</v>
      </c>
      <c r="H2446" s="129">
        <v>41.2</v>
      </c>
      <c r="I2446" s="129">
        <f>Community!J51</f>
        <v>0</v>
      </c>
      <c r="J2446" s="129">
        <f>Community!K51</f>
        <v>47449</v>
      </c>
      <c r="K2446" s="129">
        <f>Community!L51</f>
        <v>50414.5625</v>
      </c>
      <c r="L2446" s="129">
        <f>Community!M51</f>
        <v>53943.581875000003</v>
      </c>
      <c r="O2446" s="129">
        <f>Community!N51</f>
        <v>57719.632606250001</v>
      </c>
      <c r="P2446" s="123" t="str">
        <f t="shared" si="571"/>
        <v>130</v>
      </c>
    </row>
    <row r="2447" spans="1:16" x14ac:dyDescent="0.2">
      <c r="A2447" s="119" t="s">
        <v>993</v>
      </c>
      <c r="B2447" s="120" t="s">
        <v>170</v>
      </c>
      <c r="C2447" s="129">
        <v>1785</v>
      </c>
      <c r="D2447" s="129">
        <v>148.72</v>
      </c>
      <c r="E2447" s="129">
        <v>0</v>
      </c>
      <c r="F2447" s="129">
        <v>892.32</v>
      </c>
      <c r="G2447" s="129">
        <v>892.68</v>
      </c>
      <c r="H2447" s="129">
        <v>49.98</v>
      </c>
      <c r="I2447" s="129">
        <f>Community!J52</f>
        <v>0</v>
      </c>
      <c r="J2447" s="129">
        <f>Community!K52</f>
        <v>1785</v>
      </c>
      <c r="K2447" s="129">
        <f>Community!L52</f>
        <v>1896.5625</v>
      </c>
      <c r="L2447" s="129">
        <f>Community!M52</f>
        <v>2029.3218750000001</v>
      </c>
      <c r="O2447" s="129">
        <f>Community!N52</f>
        <v>2171.37440625</v>
      </c>
      <c r="P2447" s="123" t="str">
        <f t="shared" si="571"/>
        <v>130</v>
      </c>
    </row>
    <row r="2448" spans="1:16" x14ac:dyDescent="0.2">
      <c r="A2448" s="119"/>
      <c r="B2448" s="120"/>
      <c r="C2448" s="129"/>
      <c r="D2448" s="129"/>
      <c r="E2448" s="129"/>
      <c r="F2448" s="129"/>
      <c r="G2448" s="129"/>
      <c r="H2448" s="129"/>
      <c r="I2448" s="129">
        <f>Community!J53</f>
        <v>0</v>
      </c>
      <c r="J2448" s="129"/>
      <c r="O2448" s="129"/>
      <c r="P2448" s="123" t="str">
        <f t="shared" si="571"/>
        <v/>
      </c>
    </row>
    <row r="2449" spans="1:16" s="114" customFormat="1" ht="15" x14ac:dyDescent="0.25">
      <c r="A2449" s="118"/>
      <c r="B2449" s="117" t="s">
        <v>171</v>
      </c>
      <c r="C2449" s="128">
        <f>SUM(C2444:C2448)</f>
        <v>103254</v>
      </c>
      <c r="D2449" s="128">
        <f t="shared" ref="D2449:O2449" si="573">SUM(D2444:D2448)</f>
        <v>-284591.83</v>
      </c>
      <c r="E2449" s="128">
        <f t="shared" si="573"/>
        <v>0</v>
      </c>
      <c r="F2449" s="128">
        <f t="shared" si="573"/>
        <v>-490714.63999999996</v>
      </c>
      <c r="G2449" s="128">
        <f t="shared" si="573"/>
        <v>-573143.35999999987</v>
      </c>
      <c r="H2449" s="128">
        <f t="shared" si="573"/>
        <v>160</v>
      </c>
      <c r="I2449" s="128">
        <f t="shared" si="573"/>
        <v>-20000</v>
      </c>
      <c r="J2449" s="128">
        <f t="shared" si="573"/>
        <v>83254</v>
      </c>
      <c r="K2449" s="128">
        <f t="shared" si="573"/>
        <v>88457.375</v>
      </c>
      <c r="L2449" s="128">
        <f t="shared" si="573"/>
        <v>94649.391250000001</v>
      </c>
      <c r="M2449" s="128">
        <f t="shared" si="573"/>
        <v>136.2431</v>
      </c>
      <c r="N2449" s="128">
        <f t="shared" si="573"/>
        <v>0</v>
      </c>
      <c r="O2449" s="128">
        <f t="shared" si="573"/>
        <v>101274.84863750001</v>
      </c>
      <c r="P2449" s="123" t="str">
        <f t="shared" si="571"/>
        <v/>
      </c>
    </row>
    <row r="2450" spans="1:16" s="114" customFormat="1" ht="15" x14ac:dyDescent="0.25">
      <c r="A2450" s="118"/>
      <c r="B2450" s="117"/>
      <c r="C2450" s="128"/>
      <c r="D2450" s="128"/>
      <c r="E2450" s="128"/>
      <c r="F2450" s="128"/>
      <c r="G2450" s="128"/>
      <c r="H2450" s="128"/>
      <c r="I2450" s="129">
        <f>Community!J55</f>
        <v>0</v>
      </c>
      <c r="J2450" s="129"/>
      <c r="K2450" s="129"/>
      <c r="L2450" s="129"/>
      <c r="M2450" s="186"/>
      <c r="N2450" s="186"/>
      <c r="O2450" s="128"/>
      <c r="P2450" s="123" t="str">
        <f t="shared" si="571"/>
        <v/>
      </c>
    </row>
    <row r="2451" spans="1:16" s="114" customFormat="1" ht="15" x14ac:dyDescent="0.25">
      <c r="A2451" s="118"/>
      <c r="B2451" s="117" t="s">
        <v>172</v>
      </c>
      <c r="C2451" s="128"/>
      <c r="D2451" s="128"/>
      <c r="E2451" s="128"/>
      <c r="F2451" s="128"/>
      <c r="G2451" s="128"/>
      <c r="H2451" s="128"/>
      <c r="I2451" s="129">
        <f>Community!J56</f>
        <v>0</v>
      </c>
      <c r="J2451" s="129"/>
      <c r="K2451" s="129"/>
      <c r="L2451" s="129"/>
      <c r="M2451" s="186"/>
      <c r="N2451" s="186"/>
      <c r="O2451" s="128"/>
      <c r="P2451" s="123" t="str">
        <f t="shared" si="571"/>
        <v/>
      </c>
    </row>
    <row r="2452" spans="1:16" x14ac:dyDescent="0.2">
      <c r="A2452" s="119"/>
      <c r="B2452" s="120"/>
      <c r="C2452" s="129"/>
      <c r="D2452" s="129"/>
      <c r="E2452" s="129"/>
      <c r="F2452" s="129"/>
      <c r="G2452" s="129"/>
      <c r="H2452" s="129"/>
      <c r="I2452" s="129">
        <f>Community!J57</f>
        <v>0</v>
      </c>
      <c r="J2452" s="129"/>
      <c r="O2452" s="129"/>
      <c r="P2452" s="123" t="str">
        <f t="shared" si="571"/>
        <v/>
      </c>
    </row>
    <row r="2453" spans="1:16" x14ac:dyDescent="0.2">
      <c r="A2453" s="119" t="s">
        <v>994</v>
      </c>
      <c r="B2453" s="120" t="s">
        <v>173</v>
      </c>
      <c r="C2453" s="129">
        <v>1667</v>
      </c>
      <c r="D2453" s="129">
        <v>0</v>
      </c>
      <c r="E2453" s="129">
        <v>0</v>
      </c>
      <c r="F2453" s="129">
        <v>0</v>
      </c>
      <c r="G2453" s="129">
        <v>1667</v>
      </c>
      <c r="H2453" s="129">
        <v>0</v>
      </c>
      <c r="I2453" s="129">
        <f>Community!J58</f>
        <v>0</v>
      </c>
      <c r="J2453" s="129">
        <f>Community!K58</f>
        <v>1667</v>
      </c>
      <c r="K2453" s="129">
        <f>Community!L58</f>
        <v>1771.1875</v>
      </c>
      <c r="L2453" s="129">
        <f>Community!M58</f>
        <v>1895.170625</v>
      </c>
      <c r="O2453" s="129">
        <f>Community!N58</f>
        <v>2027.8325687500001</v>
      </c>
      <c r="P2453" s="123" t="str">
        <f t="shared" si="571"/>
        <v>140</v>
      </c>
    </row>
    <row r="2454" spans="1:16" x14ac:dyDescent="0.2">
      <c r="A2454" s="119" t="s">
        <v>995</v>
      </c>
      <c r="B2454" s="120" t="s">
        <v>174</v>
      </c>
      <c r="C2454" s="129">
        <v>978</v>
      </c>
      <c r="D2454" s="129">
        <v>0</v>
      </c>
      <c r="E2454" s="129">
        <v>0</v>
      </c>
      <c r="F2454" s="129">
        <v>0</v>
      </c>
      <c r="G2454" s="129">
        <v>978</v>
      </c>
      <c r="H2454" s="129">
        <v>0</v>
      </c>
      <c r="I2454" s="129">
        <f>Community!J59</f>
        <v>0</v>
      </c>
      <c r="J2454" s="129">
        <f>Community!K59</f>
        <v>978</v>
      </c>
      <c r="K2454" s="129">
        <f>Community!L59</f>
        <v>1039.125</v>
      </c>
      <c r="L2454" s="129">
        <f>Community!M59</f>
        <v>1111.86375</v>
      </c>
      <c r="O2454" s="129">
        <f>Community!N59</f>
        <v>1189.6942125</v>
      </c>
      <c r="P2454" s="123" t="str">
        <f t="shared" si="571"/>
        <v>140</v>
      </c>
    </row>
    <row r="2455" spans="1:16" x14ac:dyDescent="0.2">
      <c r="A2455" s="119" t="s">
        <v>996</v>
      </c>
      <c r="B2455" s="120" t="s">
        <v>175</v>
      </c>
      <c r="C2455" s="129">
        <v>2483</v>
      </c>
      <c r="D2455" s="129">
        <v>0</v>
      </c>
      <c r="E2455" s="129">
        <v>0</v>
      </c>
      <c r="F2455" s="129">
        <v>0</v>
      </c>
      <c r="G2455" s="129">
        <v>2483</v>
      </c>
      <c r="H2455" s="129">
        <v>0</v>
      </c>
      <c r="I2455" s="129">
        <f>Community!J60</f>
        <v>0</v>
      </c>
      <c r="J2455" s="129">
        <f>Community!K60</f>
        <v>2483</v>
      </c>
      <c r="K2455" s="129">
        <f>Community!L60</f>
        <v>2638.1875</v>
      </c>
      <c r="L2455" s="129">
        <f>Community!M60</f>
        <v>2822.8606249999998</v>
      </c>
      <c r="O2455" s="129">
        <f>Community!N60</f>
        <v>3020.4608687499999</v>
      </c>
      <c r="P2455" s="123" t="str">
        <f t="shared" si="571"/>
        <v>142</v>
      </c>
    </row>
    <row r="2456" spans="1:16" x14ac:dyDescent="0.2">
      <c r="A2456" s="119"/>
      <c r="B2456" s="120"/>
      <c r="C2456" s="129"/>
      <c r="D2456" s="129"/>
      <c r="E2456" s="129"/>
      <c r="F2456" s="129"/>
      <c r="G2456" s="129"/>
      <c r="H2456" s="129"/>
      <c r="I2456" s="129">
        <f>Community!J61</f>
        <v>0</v>
      </c>
      <c r="J2456" s="129"/>
      <c r="K2456" s="129"/>
      <c r="L2456" s="129"/>
      <c r="O2456" s="129"/>
      <c r="P2456" s="123" t="str">
        <f t="shared" si="571"/>
        <v/>
      </c>
    </row>
    <row r="2457" spans="1:16" s="114" customFormat="1" ht="15" x14ac:dyDescent="0.25">
      <c r="A2457" s="118"/>
      <c r="B2457" s="117" t="s">
        <v>176</v>
      </c>
      <c r="C2457" s="128">
        <f>SUM(C2453:C2456)</f>
        <v>5128</v>
      </c>
      <c r="D2457" s="128">
        <f t="shared" ref="D2457:O2457" si="574">SUM(D2453:D2456)</f>
        <v>0</v>
      </c>
      <c r="E2457" s="128">
        <f t="shared" si="574"/>
        <v>0</v>
      </c>
      <c r="F2457" s="128">
        <f t="shared" si="574"/>
        <v>0</v>
      </c>
      <c r="G2457" s="128">
        <f t="shared" si="574"/>
        <v>5128</v>
      </c>
      <c r="H2457" s="128">
        <f t="shared" si="574"/>
        <v>0</v>
      </c>
      <c r="I2457" s="128">
        <f t="shared" si="574"/>
        <v>0</v>
      </c>
      <c r="J2457" s="128">
        <f t="shared" si="574"/>
        <v>5128</v>
      </c>
      <c r="K2457" s="128">
        <f t="shared" si="574"/>
        <v>5448.5</v>
      </c>
      <c r="L2457" s="128">
        <f t="shared" si="574"/>
        <v>5829.8950000000004</v>
      </c>
      <c r="M2457" s="128">
        <f t="shared" si="574"/>
        <v>0</v>
      </c>
      <c r="N2457" s="128">
        <f t="shared" si="574"/>
        <v>0</v>
      </c>
      <c r="O2457" s="128">
        <f t="shared" si="574"/>
        <v>6237.98765</v>
      </c>
      <c r="P2457" s="123" t="str">
        <f t="shared" si="571"/>
        <v/>
      </c>
    </row>
    <row r="2458" spans="1:16" s="114" customFormat="1" ht="15" x14ac:dyDescent="0.25">
      <c r="A2458" s="118"/>
      <c r="B2458" s="117"/>
      <c r="C2458" s="128"/>
      <c r="D2458" s="128"/>
      <c r="E2458" s="128"/>
      <c r="F2458" s="128"/>
      <c r="G2458" s="128"/>
      <c r="H2458" s="128"/>
      <c r="I2458" s="129">
        <f>Community!J63</f>
        <v>0</v>
      </c>
      <c r="J2458" s="129"/>
      <c r="K2458" s="129"/>
      <c r="L2458" s="129"/>
      <c r="M2458" s="186"/>
      <c r="N2458" s="186"/>
      <c r="O2458" s="128"/>
      <c r="P2458" s="123" t="str">
        <f t="shared" si="571"/>
        <v/>
      </c>
    </row>
    <row r="2459" spans="1:16" s="114" customFormat="1" ht="15" x14ac:dyDescent="0.25">
      <c r="A2459" s="118"/>
      <c r="B2459" s="117" t="s">
        <v>177</v>
      </c>
      <c r="C2459" s="128">
        <f>C2440+C2449+C2457</f>
        <v>428625</v>
      </c>
      <c r="D2459" s="128">
        <f t="shared" ref="D2459:O2459" si="575">D2440+D2449+D2457</f>
        <v>-257806.68000000002</v>
      </c>
      <c r="E2459" s="128">
        <f t="shared" si="575"/>
        <v>0</v>
      </c>
      <c r="F2459" s="128">
        <f t="shared" si="575"/>
        <v>-351050.69999999995</v>
      </c>
      <c r="G2459" s="128">
        <f t="shared" si="575"/>
        <v>-387436.29999999987</v>
      </c>
      <c r="H2459" s="128">
        <f t="shared" si="575"/>
        <v>484.58</v>
      </c>
      <c r="I2459" s="128">
        <f t="shared" si="575"/>
        <v>-21610.91</v>
      </c>
      <c r="J2459" s="128">
        <f t="shared" si="575"/>
        <v>407014.08999999997</v>
      </c>
      <c r="K2459" s="128">
        <f t="shared" si="575"/>
        <v>432452.47062499996</v>
      </c>
      <c r="L2459" s="128">
        <f t="shared" si="575"/>
        <v>462724.14356874995</v>
      </c>
      <c r="M2459" s="128">
        <f t="shared" si="575"/>
        <v>136.2431</v>
      </c>
      <c r="N2459" s="128">
        <f t="shared" si="575"/>
        <v>0</v>
      </c>
      <c r="O2459" s="128">
        <f t="shared" si="575"/>
        <v>495114.83361856255</v>
      </c>
      <c r="P2459" s="123" t="str">
        <f t="shared" si="571"/>
        <v/>
      </c>
    </row>
    <row r="2460" spans="1:16" s="114" customFormat="1" ht="15" x14ac:dyDescent="0.25">
      <c r="A2460" s="118"/>
      <c r="B2460" s="117"/>
      <c r="C2460" s="128"/>
      <c r="D2460" s="128"/>
      <c r="E2460" s="128"/>
      <c r="F2460" s="128"/>
      <c r="G2460" s="128"/>
      <c r="H2460" s="128"/>
      <c r="I2460" s="129">
        <f>Community!J65</f>
        <v>0</v>
      </c>
      <c r="J2460" s="129"/>
      <c r="K2460" s="129"/>
      <c r="L2460" s="129"/>
      <c r="M2460" s="186"/>
      <c r="N2460" s="186"/>
      <c r="O2460" s="128"/>
      <c r="P2460" s="123" t="str">
        <f t="shared" si="571"/>
        <v/>
      </c>
    </row>
    <row r="2461" spans="1:16" s="114" customFormat="1" ht="15" x14ac:dyDescent="0.25">
      <c r="A2461" s="118"/>
      <c r="B2461" s="117" t="s">
        <v>178</v>
      </c>
      <c r="C2461" s="128">
        <f>C2427+C2459</f>
        <v>1393552</v>
      </c>
      <c r="D2461" s="128">
        <f t="shared" ref="D2461:O2461" si="576">D2427+D2459</f>
        <v>-113070.72</v>
      </c>
      <c r="E2461" s="128">
        <f t="shared" si="576"/>
        <v>0</v>
      </c>
      <c r="F2461" s="128">
        <f t="shared" si="576"/>
        <v>10789.20000000007</v>
      </c>
      <c r="G2461" s="128">
        <f t="shared" si="576"/>
        <v>215650.8000000001</v>
      </c>
      <c r="H2461" s="128">
        <f t="shared" si="576"/>
        <v>577.04999999999995</v>
      </c>
      <c r="I2461" s="128">
        <f t="shared" si="576"/>
        <v>-40190.910000000003</v>
      </c>
      <c r="J2461" s="128">
        <f t="shared" si="576"/>
        <v>1353361.0899999999</v>
      </c>
      <c r="K2461" s="128">
        <f t="shared" si="576"/>
        <v>1437946.1581250001</v>
      </c>
      <c r="L2461" s="128">
        <f t="shared" si="576"/>
        <v>1538602.38919375</v>
      </c>
      <c r="M2461" s="128">
        <f t="shared" si="576"/>
        <v>136.2431</v>
      </c>
      <c r="N2461" s="128">
        <f t="shared" si="576"/>
        <v>0</v>
      </c>
      <c r="O2461" s="128">
        <f t="shared" si="576"/>
        <v>1646304.5564373126</v>
      </c>
      <c r="P2461" s="123" t="str">
        <f t="shared" si="571"/>
        <v/>
      </c>
    </row>
    <row r="2462" spans="1:16" x14ac:dyDescent="0.2">
      <c r="A2462" s="119"/>
      <c r="B2462" s="120"/>
      <c r="C2462" s="129"/>
      <c r="D2462" s="129"/>
      <c r="E2462" s="129"/>
      <c r="F2462" s="129"/>
      <c r="G2462" s="129"/>
      <c r="H2462" s="129"/>
      <c r="I2462" s="129">
        <f>Community!J67</f>
        <v>0</v>
      </c>
      <c r="J2462" s="129"/>
      <c r="K2462" s="129"/>
      <c r="L2462" s="129"/>
      <c r="O2462" s="129"/>
      <c r="P2462" s="123" t="str">
        <f t="shared" si="571"/>
        <v/>
      </c>
    </row>
    <row r="2463" spans="1:16" s="114" customFormat="1" ht="15" x14ac:dyDescent="0.25">
      <c r="A2463" s="118"/>
      <c r="B2463" s="117" t="s">
        <v>228</v>
      </c>
      <c r="C2463" s="128"/>
      <c r="D2463" s="128"/>
      <c r="E2463" s="128"/>
      <c r="F2463" s="128"/>
      <c r="G2463" s="128"/>
      <c r="H2463" s="128"/>
      <c r="I2463" s="129">
        <f>Community!J68</f>
        <v>0</v>
      </c>
      <c r="J2463" s="129"/>
      <c r="K2463" s="129"/>
      <c r="L2463" s="129"/>
      <c r="M2463" s="186"/>
      <c r="N2463" s="186"/>
      <c r="O2463" s="128"/>
      <c r="P2463" s="123" t="str">
        <f t="shared" si="571"/>
        <v/>
      </c>
    </row>
    <row r="2464" spans="1:16" x14ac:dyDescent="0.2">
      <c r="A2464" s="119"/>
      <c r="B2464" s="120"/>
      <c r="C2464" s="129"/>
      <c r="D2464" s="129"/>
      <c r="E2464" s="129"/>
      <c r="F2464" s="129"/>
      <c r="G2464" s="129"/>
      <c r="H2464" s="129"/>
      <c r="I2464" s="129">
        <f>Community!J69</f>
        <v>0</v>
      </c>
      <c r="J2464" s="129"/>
      <c r="K2464" s="129"/>
      <c r="L2464" s="129"/>
      <c r="O2464" s="129"/>
      <c r="P2464" s="123" t="str">
        <f t="shared" si="571"/>
        <v/>
      </c>
    </row>
    <row r="2465" spans="1:16383" x14ac:dyDescent="0.2">
      <c r="A2465" s="119" t="s">
        <v>997</v>
      </c>
      <c r="B2465" s="120" t="s">
        <v>235</v>
      </c>
      <c r="C2465" s="129">
        <v>120000</v>
      </c>
      <c r="D2465" s="129">
        <v>0</v>
      </c>
      <c r="E2465" s="129">
        <v>0</v>
      </c>
      <c r="F2465" s="129">
        <v>0</v>
      </c>
      <c r="G2465" s="129">
        <v>120000</v>
      </c>
      <c r="H2465" s="129">
        <v>0</v>
      </c>
      <c r="I2465" s="129">
        <f>Community!J70</f>
        <v>-50000</v>
      </c>
      <c r="J2465" s="129">
        <f>Community!K70</f>
        <v>70000</v>
      </c>
      <c r="K2465" s="129">
        <f>Community!L70</f>
        <v>73150</v>
      </c>
      <c r="L2465" s="129">
        <f>Community!M70</f>
        <v>76514.899999999994</v>
      </c>
      <c r="O2465" s="129">
        <f>Community!N70</f>
        <v>80034.585399999996</v>
      </c>
      <c r="P2465" s="123" t="str">
        <f t="shared" si="571"/>
        <v>283</v>
      </c>
    </row>
    <row r="2466" spans="1:16383" x14ac:dyDescent="0.2">
      <c r="A2466" s="119"/>
      <c r="B2466" s="120"/>
      <c r="C2466" s="129"/>
      <c r="D2466" s="129"/>
      <c r="E2466" s="129"/>
      <c r="F2466" s="129"/>
      <c r="G2466" s="129"/>
      <c r="H2466" s="129"/>
      <c r="I2466" s="129">
        <f>Community!J71</f>
        <v>0</v>
      </c>
      <c r="J2466" s="129"/>
      <c r="K2466" s="129"/>
      <c r="L2466" s="129"/>
      <c r="O2466" s="129"/>
      <c r="P2466" s="123" t="str">
        <f t="shared" si="571"/>
        <v/>
      </c>
    </row>
    <row r="2467" spans="1:16383" s="114" customFormat="1" ht="15" x14ac:dyDescent="0.25">
      <c r="A2467" s="118"/>
      <c r="B2467" s="117" t="s">
        <v>239</v>
      </c>
      <c r="C2467" s="128">
        <f>SUM(C2465:C2466)</f>
        <v>120000</v>
      </c>
      <c r="D2467" s="128">
        <f t="shared" ref="D2467:O2467" si="577">SUM(D2465:D2466)</f>
        <v>0</v>
      </c>
      <c r="E2467" s="128">
        <f t="shared" si="577"/>
        <v>0</v>
      </c>
      <c r="F2467" s="128">
        <f t="shared" si="577"/>
        <v>0</v>
      </c>
      <c r="G2467" s="128">
        <f t="shared" si="577"/>
        <v>120000</v>
      </c>
      <c r="H2467" s="128">
        <f t="shared" si="577"/>
        <v>0</v>
      </c>
      <c r="I2467" s="128">
        <f t="shared" si="577"/>
        <v>-50000</v>
      </c>
      <c r="J2467" s="128">
        <f t="shared" si="577"/>
        <v>70000</v>
      </c>
      <c r="K2467" s="128">
        <f t="shared" si="577"/>
        <v>73150</v>
      </c>
      <c r="L2467" s="128">
        <f t="shared" si="577"/>
        <v>76514.899999999994</v>
      </c>
      <c r="M2467" s="128">
        <f t="shared" si="577"/>
        <v>0</v>
      </c>
      <c r="N2467" s="128">
        <f t="shared" si="577"/>
        <v>0</v>
      </c>
      <c r="O2467" s="128">
        <f t="shared" si="577"/>
        <v>80034.585399999996</v>
      </c>
      <c r="P2467" s="123" t="str">
        <f t="shared" si="571"/>
        <v/>
      </c>
    </row>
    <row r="2468" spans="1:16383" s="114" customFormat="1" ht="15" x14ac:dyDescent="0.25">
      <c r="A2468" s="118"/>
      <c r="B2468" s="117"/>
      <c r="C2468" s="128"/>
      <c r="D2468" s="128"/>
      <c r="E2468" s="128"/>
      <c r="F2468" s="128"/>
      <c r="G2468" s="128"/>
      <c r="H2468" s="128"/>
      <c r="I2468" s="129">
        <f>Community!J73</f>
        <v>0</v>
      </c>
      <c r="J2468" s="129"/>
      <c r="K2468" s="129"/>
      <c r="L2468" s="129"/>
      <c r="M2468" s="186"/>
      <c r="N2468" s="186"/>
      <c r="O2468" s="128"/>
      <c r="P2468" s="123" t="str">
        <f t="shared" si="571"/>
        <v/>
      </c>
    </row>
    <row r="2469" spans="1:16383" s="114" customFormat="1" ht="15" x14ac:dyDescent="0.25">
      <c r="A2469" s="118"/>
      <c r="B2469" s="117" t="s">
        <v>240</v>
      </c>
      <c r="C2469" s="128">
        <f>C2467</f>
        <v>120000</v>
      </c>
      <c r="D2469" s="128">
        <f t="shared" ref="D2469:O2469" si="578">D2467</f>
        <v>0</v>
      </c>
      <c r="E2469" s="128">
        <f t="shared" si="578"/>
        <v>0</v>
      </c>
      <c r="F2469" s="128">
        <f t="shared" si="578"/>
        <v>0</v>
      </c>
      <c r="G2469" s="128">
        <f t="shared" si="578"/>
        <v>120000</v>
      </c>
      <c r="H2469" s="128">
        <f t="shared" si="578"/>
        <v>0</v>
      </c>
      <c r="I2469" s="128">
        <f t="shared" si="578"/>
        <v>-50000</v>
      </c>
      <c r="J2469" s="128">
        <f t="shared" si="578"/>
        <v>70000</v>
      </c>
      <c r="K2469" s="128">
        <f t="shared" si="578"/>
        <v>73150</v>
      </c>
      <c r="L2469" s="128">
        <f t="shared" si="578"/>
        <v>76514.899999999994</v>
      </c>
      <c r="M2469" s="128">
        <f t="shared" si="578"/>
        <v>0</v>
      </c>
      <c r="N2469" s="128">
        <f t="shared" si="578"/>
        <v>0</v>
      </c>
      <c r="O2469" s="128">
        <f t="shared" si="578"/>
        <v>80034.585399999996</v>
      </c>
      <c r="P2469" s="123" t="str">
        <f t="shared" si="571"/>
        <v/>
      </c>
    </row>
    <row r="2470" spans="1:16383" x14ac:dyDescent="0.2">
      <c r="A2470" s="119"/>
      <c r="B2470" s="120"/>
      <c r="C2470" s="129"/>
      <c r="D2470" s="129"/>
      <c r="E2470" s="129"/>
      <c r="F2470" s="129"/>
      <c r="G2470" s="129"/>
      <c r="H2470" s="129"/>
      <c r="I2470" s="129">
        <f>Community!J75</f>
        <v>0</v>
      </c>
      <c r="J2470" s="129"/>
      <c r="K2470" s="129"/>
      <c r="L2470" s="129"/>
      <c r="O2470" s="129"/>
      <c r="P2470" s="123" t="str">
        <f t="shared" si="571"/>
        <v/>
      </c>
    </row>
    <row r="2471" spans="1:16383" s="114" customFormat="1" ht="15" x14ac:dyDescent="0.25">
      <c r="A2471" s="118"/>
      <c r="B2471" s="117" t="s">
        <v>241</v>
      </c>
      <c r="C2471" s="128"/>
      <c r="D2471" s="128"/>
      <c r="E2471" s="128"/>
      <c r="F2471" s="128"/>
      <c r="G2471" s="128"/>
      <c r="H2471" s="128"/>
      <c r="I2471" s="129">
        <f>Community!J76</f>
        <v>0</v>
      </c>
      <c r="J2471" s="129"/>
      <c r="K2471" s="129"/>
      <c r="L2471" s="129"/>
      <c r="M2471" s="186"/>
      <c r="N2471" s="186"/>
      <c r="O2471" s="128"/>
      <c r="P2471" s="123" t="str">
        <f t="shared" si="571"/>
        <v/>
      </c>
    </row>
    <row r="2472" spans="1:16383" x14ac:dyDescent="0.2">
      <c r="A2472" s="119"/>
      <c r="B2472" s="120"/>
      <c r="C2472" s="129"/>
      <c r="D2472" s="129"/>
      <c r="E2472" s="129"/>
      <c r="F2472" s="129"/>
      <c r="G2472" s="129"/>
      <c r="H2472" s="129"/>
      <c r="I2472" s="129">
        <f>Community!J77</f>
        <v>0</v>
      </c>
      <c r="J2472" s="129"/>
      <c r="K2472" s="129"/>
      <c r="L2472" s="129"/>
      <c r="O2472" s="129"/>
      <c r="P2472" s="123" t="str">
        <f t="shared" si="571"/>
        <v/>
      </c>
    </row>
    <row r="2473" spans="1:16383" x14ac:dyDescent="0.2">
      <c r="A2473" s="119" t="s">
        <v>998</v>
      </c>
      <c r="B2473" s="120" t="s">
        <v>242</v>
      </c>
      <c r="C2473" s="129">
        <v>57680</v>
      </c>
      <c r="D2473" s="129">
        <v>0</v>
      </c>
      <c r="E2473" s="129">
        <v>0</v>
      </c>
      <c r="F2473" s="129">
        <v>13043.48</v>
      </c>
      <c r="G2473" s="129">
        <v>44636.52</v>
      </c>
      <c r="H2473" s="129">
        <v>22.61</v>
      </c>
      <c r="I2473" s="129">
        <f>Community!J78</f>
        <v>-30000</v>
      </c>
      <c r="J2473" s="129">
        <f>Community!K78</f>
        <v>27680</v>
      </c>
      <c r="K2473" s="129">
        <f>Community!L78</f>
        <v>28925.599999999999</v>
      </c>
      <c r="L2473" s="129">
        <f>Community!M78</f>
        <v>30256.177599999999</v>
      </c>
      <c r="O2473" s="129">
        <f>Community!N78</f>
        <v>31647.961769599999</v>
      </c>
      <c r="P2473" s="123" t="str">
        <f t="shared" si="571"/>
        <v>300</v>
      </c>
    </row>
    <row r="2474" spans="1:16383" x14ac:dyDescent="0.2">
      <c r="A2474" s="119" t="s">
        <v>999</v>
      </c>
      <c r="B2474" s="120" t="s">
        <v>253</v>
      </c>
      <c r="C2474" s="129">
        <v>2000</v>
      </c>
      <c r="D2474" s="129">
        <v>0</v>
      </c>
      <c r="E2474" s="129">
        <v>0</v>
      </c>
      <c r="F2474" s="129">
        <v>1185.48</v>
      </c>
      <c r="G2474" s="129">
        <v>814.52</v>
      </c>
      <c r="H2474" s="129">
        <v>59.27</v>
      </c>
      <c r="I2474" s="129">
        <f>Community!J79</f>
        <v>0</v>
      </c>
      <c r="J2474" s="129">
        <f>Community!K79</f>
        <v>2000</v>
      </c>
      <c r="K2474" s="129">
        <f>Community!L79</f>
        <v>2000</v>
      </c>
      <c r="L2474" s="129">
        <f>Community!M79</f>
        <v>2000</v>
      </c>
      <c r="O2474" s="129">
        <f>Community!N79</f>
        <v>2000</v>
      </c>
      <c r="P2474" s="123" t="str">
        <f t="shared" si="571"/>
        <v>301</v>
      </c>
    </row>
    <row r="2475" spans="1:16383" x14ac:dyDescent="0.2">
      <c r="A2475" s="119" t="s">
        <v>1000</v>
      </c>
      <c r="B2475" s="120" t="s">
        <v>261</v>
      </c>
      <c r="C2475" s="129">
        <v>3147</v>
      </c>
      <c r="D2475" s="129">
        <v>0</v>
      </c>
      <c r="E2475" s="129">
        <v>0</v>
      </c>
      <c r="F2475" s="129">
        <v>0</v>
      </c>
      <c r="G2475" s="129">
        <v>3147</v>
      </c>
      <c r="H2475" s="129">
        <v>0</v>
      </c>
      <c r="I2475" s="129">
        <f>Community!J80</f>
        <v>0</v>
      </c>
      <c r="J2475" s="129">
        <f>Community!K80</f>
        <v>3147</v>
      </c>
      <c r="K2475" s="129">
        <f>Community!L80</f>
        <v>3288.6149999999998</v>
      </c>
      <c r="L2475" s="129">
        <f>Community!M80</f>
        <v>3439.8912899999996</v>
      </c>
      <c r="O2475" s="129">
        <f>Community!N80</f>
        <v>3598.1262893399994</v>
      </c>
      <c r="P2475" s="123" t="str">
        <f t="shared" si="571"/>
        <v>304</v>
      </c>
    </row>
    <row r="2476" spans="1:16383" ht="15" x14ac:dyDescent="0.25">
      <c r="A2476" s="124" t="s">
        <v>1369</v>
      </c>
      <c r="B2476" s="120" t="s">
        <v>1370</v>
      </c>
      <c r="C2476" s="130">
        <f>Community!D81</f>
        <v>0</v>
      </c>
      <c r="D2476" s="130">
        <f>Community!E81</f>
        <v>-290187</v>
      </c>
      <c r="E2476" s="130">
        <f>Community!F81</f>
        <v>0</v>
      </c>
      <c r="F2476" s="130">
        <f>Community!G81</f>
        <v>-524054</v>
      </c>
      <c r="G2476" s="130">
        <f>Community!H81</f>
        <v>-642946</v>
      </c>
      <c r="H2476" s="130"/>
      <c r="I2476" s="130">
        <f>Community!J81</f>
        <v>350000</v>
      </c>
      <c r="J2476" s="130">
        <f>Community!K81</f>
        <v>350000</v>
      </c>
      <c r="K2476" s="130">
        <f>Community!L81</f>
        <v>365750</v>
      </c>
      <c r="L2476" s="130">
        <f>Community!M81</f>
        <v>382574.5</v>
      </c>
      <c r="M2476" s="130"/>
      <c r="N2476" s="130"/>
      <c r="O2476" s="129">
        <f>Community!N81</f>
        <v>400172.92700000003</v>
      </c>
      <c r="P2476" s="123" t="str">
        <f t="shared" si="571"/>
        <v>305</v>
      </c>
      <c r="Q2476" s="124"/>
      <c r="R2476" s="124"/>
      <c r="S2476" s="124"/>
      <c r="T2476" s="124"/>
      <c r="U2476" s="124"/>
      <c r="V2476" s="124"/>
      <c r="W2476" s="124"/>
      <c r="X2476" s="124"/>
      <c r="Y2476" s="124"/>
      <c r="Z2476" s="124"/>
      <c r="AA2476" s="124"/>
      <c r="AB2476" s="124"/>
      <c r="AC2476" s="124"/>
      <c r="AD2476" s="124"/>
      <c r="AE2476" s="124"/>
      <c r="AF2476" s="124"/>
      <c r="AG2476" s="124"/>
      <c r="AH2476" s="124"/>
      <c r="AI2476" s="124"/>
      <c r="AJ2476" s="124"/>
      <c r="AK2476" s="124"/>
      <c r="AL2476" s="124"/>
      <c r="AM2476" s="124"/>
      <c r="AN2476" s="124"/>
      <c r="AO2476" s="124"/>
      <c r="AP2476" s="124"/>
      <c r="AQ2476" s="124"/>
      <c r="AR2476" s="124"/>
      <c r="AS2476" s="124"/>
      <c r="AT2476" s="124"/>
      <c r="AU2476" s="124"/>
      <c r="AV2476" s="124"/>
      <c r="AW2476" s="124"/>
      <c r="AX2476" s="124"/>
      <c r="AY2476" s="124"/>
      <c r="AZ2476" s="124"/>
      <c r="BA2476" s="124"/>
      <c r="BB2476" s="124"/>
      <c r="BC2476" s="124"/>
      <c r="BD2476" s="124"/>
      <c r="BE2476" s="124"/>
      <c r="BF2476" s="124"/>
      <c r="BG2476" s="124"/>
      <c r="BH2476" s="124"/>
      <c r="BI2476" s="124"/>
      <c r="BJ2476" s="124"/>
      <c r="BK2476" s="124"/>
      <c r="BL2476" s="124"/>
      <c r="BM2476" s="124"/>
      <c r="BN2476" s="124"/>
      <c r="BO2476" s="124"/>
      <c r="BP2476" s="124"/>
      <c r="BQ2476" s="124"/>
      <c r="BR2476" s="124"/>
      <c r="BS2476" s="124"/>
      <c r="BT2476" s="124"/>
      <c r="BU2476" s="124"/>
      <c r="BV2476" s="124"/>
      <c r="BW2476" s="124"/>
      <c r="BX2476" s="124"/>
      <c r="BY2476" s="124"/>
      <c r="BZ2476" s="124"/>
      <c r="CA2476" s="124"/>
      <c r="CB2476" s="124"/>
      <c r="CC2476" s="124"/>
      <c r="CD2476" s="124"/>
      <c r="CE2476" s="124"/>
      <c r="CF2476" s="124"/>
      <c r="CG2476" s="124"/>
      <c r="CH2476" s="124"/>
      <c r="CI2476" s="124"/>
      <c r="CJ2476" s="124"/>
      <c r="CK2476" s="124"/>
      <c r="CL2476" s="124"/>
      <c r="CM2476" s="124"/>
      <c r="CN2476" s="124"/>
      <c r="CO2476" s="124"/>
      <c r="CP2476" s="124"/>
      <c r="CQ2476" s="124"/>
      <c r="CR2476" s="124"/>
      <c r="CS2476" s="124"/>
      <c r="CT2476" s="124"/>
      <c r="CU2476" s="124"/>
      <c r="CV2476" s="124"/>
      <c r="CW2476" s="124"/>
      <c r="CX2476" s="124"/>
      <c r="CY2476" s="124"/>
      <c r="CZ2476" s="124"/>
      <c r="DA2476" s="124"/>
      <c r="DB2476" s="124"/>
      <c r="DC2476" s="124"/>
      <c r="DD2476" s="124"/>
      <c r="DE2476" s="124"/>
      <c r="DF2476" s="124"/>
      <c r="DG2476" s="124"/>
      <c r="DH2476" s="124"/>
      <c r="DI2476" s="124"/>
      <c r="DJ2476" s="124"/>
      <c r="DK2476" s="124"/>
      <c r="DL2476" s="124"/>
      <c r="DM2476" s="124"/>
      <c r="DN2476" s="124"/>
      <c r="DO2476" s="124"/>
      <c r="DP2476" s="124"/>
      <c r="DQ2476" s="124"/>
      <c r="DR2476" s="124"/>
      <c r="DS2476" s="124"/>
      <c r="DT2476" s="124"/>
      <c r="DU2476" s="124"/>
      <c r="DV2476" s="124"/>
      <c r="DW2476" s="124"/>
      <c r="DX2476" s="124"/>
      <c r="DY2476" s="124"/>
      <c r="DZ2476" s="124"/>
      <c r="EA2476" s="124"/>
      <c r="EB2476" s="124"/>
      <c r="EC2476" s="124"/>
      <c r="ED2476" s="124"/>
      <c r="EE2476" s="124"/>
      <c r="EF2476" s="124"/>
      <c r="EG2476" s="124"/>
      <c r="EH2476" s="124"/>
      <c r="EI2476" s="124"/>
      <c r="EJ2476" s="124"/>
      <c r="EK2476" s="124"/>
      <c r="EL2476" s="124"/>
      <c r="EM2476" s="124"/>
      <c r="EN2476" s="124"/>
      <c r="EO2476" s="124"/>
      <c r="EP2476" s="124"/>
      <c r="EQ2476" s="124"/>
      <c r="ER2476" s="124"/>
      <c r="ES2476" s="124"/>
      <c r="ET2476" s="124"/>
      <c r="EU2476" s="124"/>
      <c r="EV2476" s="124"/>
      <c r="EW2476" s="124"/>
      <c r="EX2476" s="124"/>
      <c r="EY2476" s="124"/>
      <c r="EZ2476" s="124"/>
      <c r="FA2476" s="124"/>
      <c r="FB2476" s="124"/>
      <c r="FC2476" s="124"/>
      <c r="FD2476" s="124"/>
      <c r="FE2476" s="124"/>
      <c r="FF2476" s="124"/>
      <c r="FG2476" s="124"/>
      <c r="FH2476" s="124"/>
      <c r="FI2476" s="124"/>
      <c r="FJ2476" s="124"/>
      <c r="FK2476" s="124"/>
      <c r="FL2476" s="124"/>
      <c r="FM2476" s="124"/>
      <c r="FN2476" s="124"/>
      <c r="FO2476" s="124"/>
      <c r="FP2476" s="124"/>
      <c r="FQ2476" s="124"/>
      <c r="FR2476" s="124"/>
      <c r="FS2476" s="124"/>
      <c r="FT2476" s="124"/>
      <c r="FU2476" s="124"/>
      <c r="FV2476" s="124"/>
      <c r="FW2476" s="124"/>
      <c r="FX2476" s="124"/>
      <c r="FY2476" s="124"/>
      <c r="FZ2476" s="124"/>
      <c r="GA2476" s="124"/>
      <c r="GB2476" s="124"/>
      <c r="GC2476" s="124"/>
      <c r="GD2476" s="124"/>
      <c r="GE2476" s="124"/>
      <c r="GF2476" s="124"/>
      <c r="GG2476" s="124"/>
      <c r="GH2476" s="124"/>
      <c r="GI2476" s="124"/>
      <c r="GJ2476" s="124"/>
      <c r="GK2476" s="124"/>
      <c r="GL2476" s="124"/>
      <c r="GM2476" s="124"/>
      <c r="GN2476" s="124"/>
      <c r="GO2476" s="124"/>
      <c r="GP2476" s="124"/>
      <c r="GQ2476" s="124"/>
      <c r="GR2476" s="124"/>
      <c r="GS2476" s="124"/>
      <c r="GT2476" s="124"/>
      <c r="GU2476" s="124"/>
      <c r="GV2476" s="124"/>
      <c r="GW2476" s="124"/>
      <c r="GX2476" s="124"/>
      <c r="GY2476" s="124"/>
      <c r="GZ2476" s="124"/>
      <c r="HA2476" s="124"/>
      <c r="HB2476" s="124"/>
      <c r="HC2476" s="124"/>
      <c r="HD2476" s="124"/>
      <c r="HE2476" s="124"/>
      <c r="HF2476" s="124"/>
      <c r="HG2476" s="124"/>
      <c r="HH2476" s="124"/>
      <c r="HI2476" s="124"/>
      <c r="HJ2476" s="124"/>
      <c r="HK2476" s="124"/>
      <c r="HL2476" s="124"/>
      <c r="HM2476" s="124"/>
      <c r="HN2476" s="124"/>
      <c r="HO2476" s="124"/>
      <c r="HP2476" s="124"/>
      <c r="HQ2476" s="124"/>
      <c r="HR2476" s="124"/>
      <c r="HS2476" s="124"/>
      <c r="HT2476" s="124"/>
      <c r="HU2476" s="124"/>
      <c r="HV2476" s="124"/>
      <c r="HW2476" s="124"/>
      <c r="HX2476" s="124"/>
      <c r="HY2476" s="124"/>
      <c r="HZ2476" s="124"/>
      <c r="IA2476" s="124"/>
      <c r="IB2476" s="124"/>
      <c r="IC2476" s="124"/>
      <c r="ID2476" s="124"/>
      <c r="IE2476" s="124"/>
      <c r="IF2476" s="124"/>
      <c r="IG2476" s="124"/>
      <c r="IH2476" s="124"/>
      <c r="II2476" s="124"/>
      <c r="IJ2476" s="124"/>
      <c r="IK2476" s="124"/>
      <c r="IL2476" s="124"/>
      <c r="IM2476" s="124"/>
      <c r="IN2476" s="124"/>
      <c r="IO2476" s="124"/>
      <c r="IP2476" s="124"/>
      <c r="IQ2476" s="124"/>
      <c r="IR2476" s="124"/>
      <c r="IS2476" s="124"/>
      <c r="IT2476" s="124"/>
      <c r="IU2476" s="124"/>
      <c r="IV2476" s="124"/>
      <c r="IW2476" s="124"/>
      <c r="IX2476" s="124"/>
      <c r="IY2476" s="124"/>
      <c r="IZ2476" s="124"/>
      <c r="JA2476" s="124"/>
      <c r="JB2476" s="124"/>
      <c r="JC2476" s="124"/>
      <c r="JD2476" s="124"/>
      <c r="JE2476" s="124"/>
      <c r="JF2476" s="124"/>
      <c r="JG2476" s="124"/>
      <c r="JH2476" s="124"/>
      <c r="JI2476" s="124"/>
      <c r="JJ2476" s="124"/>
      <c r="JK2476" s="124"/>
      <c r="JL2476" s="124"/>
      <c r="JM2476" s="124"/>
      <c r="JN2476" s="124"/>
      <c r="JO2476" s="124"/>
      <c r="JP2476" s="124"/>
      <c r="JQ2476" s="124"/>
      <c r="JR2476" s="124"/>
      <c r="JS2476" s="124"/>
      <c r="JT2476" s="124"/>
      <c r="JU2476" s="124"/>
      <c r="JV2476" s="124"/>
      <c r="JW2476" s="124"/>
      <c r="JX2476" s="124"/>
      <c r="JY2476" s="124"/>
      <c r="JZ2476" s="124"/>
      <c r="KA2476" s="124"/>
      <c r="KB2476" s="124"/>
      <c r="KC2476" s="124"/>
      <c r="KD2476" s="124"/>
      <c r="KE2476" s="124"/>
      <c r="KF2476" s="124"/>
      <c r="KG2476" s="124"/>
      <c r="KH2476" s="124"/>
      <c r="KI2476" s="124"/>
      <c r="KJ2476" s="124"/>
      <c r="KK2476" s="124"/>
      <c r="KL2476" s="124"/>
      <c r="KM2476" s="124"/>
      <c r="KN2476" s="124"/>
      <c r="KO2476" s="124"/>
      <c r="KP2476" s="124"/>
      <c r="KQ2476" s="124"/>
      <c r="KR2476" s="124"/>
      <c r="KS2476" s="124"/>
      <c r="KT2476" s="124"/>
      <c r="KU2476" s="124"/>
      <c r="KV2476" s="124"/>
      <c r="KW2476" s="124"/>
      <c r="KX2476" s="124"/>
      <c r="KY2476" s="124"/>
      <c r="KZ2476" s="124"/>
      <c r="LA2476" s="124"/>
      <c r="LB2476" s="124"/>
      <c r="LC2476" s="124"/>
      <c r="LD2476" s="124"/>
      <c r="LE2476" s="124"/>
      <c r="LF2476" s="124"/>
      <c r="LG2476" s="124"/>
      <c r="LH2476" s="124"/>
      <c r="LI2476" s="124"/>
      <c r="LJ2476" s="124"/>
      <c r="LK2476" s="124"/>
      <c r="LL2476" s="124"/>
      <c r="LM2476" s="124"/>
      <c r="LN2476" s="124"/>
      <c r="LO2476" s="124"/>
      <c r="LP2476" s="124"/>
      <c r="LQ2476" s="124"/>
      <c r="LR2476" s="124"/>
      <c r="LS2476" s="124"/>
      <c r="LT2476" s="124"/>
      <c r="LU2476" s="124"/>
      <c r="LV2476" s="124"/>
      <c r="LW2476" s="124"/>
      <c r="LX2476" s="124"/>
      <c r="LY2476" s="124"/>
      <c r="LZ2476" s="124"/>
      <c r="MA2476" s="124"/>
      <c r="MB2476" s="124"/>
      <c r="MC2476" s="124"/>
      <c r="MD2476" s="124"/>
      <c r="ME2476" s="124"/>
      <c r="MF2476" s="124"/>
      <c r="MG2476" s="124"/>
      <c r="MH2476" s="124"/>
      <c r="MI2476" s="124"/>
      <c r="MJ2476" s="124"/>
      <c r="MK2476" s="124"/>
      <c r="ML2476" s="124"/>
      <c r="MM2476" s="124"/>
      <c r="MN2476" s="124"/>
      <c r="MO2476" s="124"/>
      <c r="MP2476" s="124"/>
      <c r="MQ2476" s="124"/>
      <c r="MR2476" s="124"/>
      <c r="MS2476" s="124"/>
      <c r="MT2476" s="124"/>
      <c r="MU2476" s="124"/>
      <c r="MV2476" s="124"/>
      <c r="MW2476" s="124"/>
      <c r="MX2476" s="124"/>
      <c r="MY2476" s="124"/>
      <c r="MZ2476" s="124"/>
      <c r="NA2476" s="124"/>
      <c r="NB2476" s="124"/>
      <c r="NC2476" s="124"/>
      <c r="ND2476" s="124"/>
      <c r="NE2476" s="124"/>
      <c r="NF2476" s="124"/>
      <c r="NG2476" s="124"/>
      <c r="NH2476" s="124"/>
      <c r="NI2476" s="124"/>
      <c r="NJ2476" s="124"/>
      <c r="NK2476" s="124"/>
      <c r="NL2476" s="124"/>
      <c r="NM2476" s="124"/>
      <c r="NN2476" s="124"/>
      <c r="NO2476" s="124"/>
      <c r="NP2476" s="124"/>
      <c r="NQ2476" s="124"/>
      <c r="NR2476" s="124"/>
      <c r="NS2476" s="124"/>
      <c r="NT2476" s="124"/>
      <c r="NU2476" s="124"/>
      <c r="NV2476" s="124"/>
      <c r="NW2476" s="124"/>
      <c r="NX2476" s="124"/>
      <c r="NY2476" s="124"/>
      <c r="NZ2476" s="124"/>
      <c r="OA2476" s="124"/>
      <c r="OB2476" s="124"/>
      <c r="OC2476" s="124"/>
      <c r="OD2476" s="124"/>
      <c r="OE2476" s="124"/>
      <c r="OF2476" s="124"/>
      <c r="OG2476" s="124"/>
      <c r="OH2476" s="124"/>
      <c r="OI2476" s="124"/>
      <c r="OJ2476" s="124"/>
      <c r="OK2476" s="124"/>
      <c r="OL2476" s="124"/>
      <c r="OM2476" s="124"/>
      <c r="ON2476" s="124"/>
      <c r="OO2476" s="124"/>
      <c r="OP2476" s="124"/>
      <c r="OQ2476" s="124"/>
      <c r="OR2476" s="124"/>
      <c r="OS2476" s="124"/>
      <c r="OT2476" s="124"/>
      <c r="OU2476" s="124"/>
      <c r="OV2476" s="124"/>
      <c r="OW2476" s="124"/>
      <c r="OX2476" s="124"/>
      <c r="OY2476" s="124"/>
      <c r="OZ2476" s="124"/>
      <c r="PA2476" s="124"/>
      <c r="PB2476" s="124"/>
      <c r="PC2476" s="124"/>
      <c r="PD2476" s="124"/>
      <c r="PE2476" s="124"/>
      <c r="PF2476" s="124"/>
      <c r="PG2476" s="124"/>
      <c r="PH2476" s="124"/>
      <c r="PI2476" s="124"/>
      <c r="PJ2476" s="124"/>
      <c r="PK2476" s="124"/>
      <c r="PL2476" s="124"/>
      <c r="PM2476" s="124"/>
      <c r="PN2476" s="124"/>
      <c r="PO2476" s="124"/>
      <c r="PP2476" s="124"/>
      <c r="PQ2476" s="124"/>
      <c r="PR2476" s="124"/>
      <c r="PS2476" s="124"/>
      <c r="PT2476" s="124"/>
      <c r="PU2476" s="124"/>
      <c r="PV2476" s="124"/>
      <c r="PW2476" s="124"/>
      <c r="PX2476" s="124"/>
      <c r="PY2476" s="124"/>
      <c r="PZ2476" s="124"/>
      <c r="QA2476" s="124"/>
      <c r="QB2476" s="124"/>
      <c r="QC2476" s="124"/>
      <c r="QD2476" s="124"/>
      <c r="QE2476" s="124"/>
      <c r="QF2476" s="124"/>
      <c r="QG2476" s="124"/>
      <c r="QH2476" s="124"/>
      <c r="QI2476" s="124"/>
      <c r="QJ2476" s="124"/>
      <c r="QK2476" s="124"/>
      <c r="QL2476" s="124"/>
      <c r="QM2476" s="124"/>
      <c r="QN2476" s="124"/>
      <c r="QO2476" s="124"/>
      <c r="QP2476" s="124"/>
      <c r="QQ2476" s="124"/>
      <c r="QR2476" s="124"/>
      <c r="QS2476" s="124"/>
      <c r="QT2476" s="124"/>
      <c r="QU2476" s="124"/>
      <c r="QV2476" s="124"/>
      <c r="QW2476" s="124"/>
      <c r="QX2476" s="124"/>
      <c r="QY2476" s="124"/>
      <c r="QZ2476" s="124"/>
      <c r="RA2476" s="124"/>
      <c r="RB2476" s="124"/>
      <c r="RC2476" s="124"/>
      <c r="RD2476" s="124"/>
      <c r="RE2476" s="124"/>
      <c r="RF2476" s="124"/>
      <c r="RG2476" s="124"/>
      <c r="RH2476" s="124"/>
      <c r="RI2476" s="124"/>
      <c r="RJ2476" s="124"/>
      <c r="RK2476" s="124"/>
      <c r="RL2476" s="124"/>
      <c r="RM2476" s="124"/>
      <c r="RN2476" s="124"/>
      <c r="RO2476" s="124"/>
      <c r="RP2476" s="124"/>
      <c r="RQ2476" s="124"/>
      <c r="RR2476" s="124"/>
      <c r="RS2476" s="124"/>
      <c r="RT2476" s="124"/>
      <c r="RU2476" s="124"/>
      <c r="RV2476" s="124"/>
      <c r="RW2476" s="124"/>
      <c r="RX2476" s="124"/>
      <c r="RY2476" s="124"/>
      <c r="RZ2476" s="124"/>
      <c r="SA2476" s="124"/>
      <c r="SB2476" s="124"/>
      <c r="SC2476" s="124"/>
      <c r="SD2476" s="124"/>
      <c r="SE2476" s="124"/>
      <c r="SF2476" s="124"/>
      <c r="SG2476" s="124"/>
      <c r="SH2476" s="124"/>
      <c r="SI2476" s="124"/>
      <c r="SJ2476" s="124"/>
      <c r="SK2476" s="124"/>
      <c r="SL2476" s="124"/>
      <c r="SM2476" s="124"/>
      <c r="SN2476" s="124"/>
      <c r="SO2476" s="124"/>
      <c r="SP2476" s="124"/>
      <c r="SQ2476" s="124"/>
      <c r="SR2476" s="124"/>
      <c r="SS2476" s="124"/>
      <c r="ST2476" s="124"/>
      <c r="SU2476" s="124"/>
      <c r="SV2476" s="124"/>
      <c r="SW2476" s="124"/>
      <c r="SX2476" s="124"/>
      <c r="SY2476" s="124"/>
      <c r="SZ2476" s="124"/>
      <c r="TA2476" s="124"/>
      <c r="TB2476" s="124"/>
      <c r="TC2476" s="124"/>
      <c r="TD2476" s="124"/>
      <c r="TE2476" s="124"/>
      <c r="TF2476" s="124"/>
      <c r="TG2476" s="124"/>
      <c r="TH2476" s="124"/>
      <c r="TI2476" s="124"/>
      <c r="TJ2476" s="124"/>
      <c r="TK2476" s="124"/>
      <c r="TL2476" s="124"/>
      <c r="TM2476" s="124"/>
      <c r="TN2476" s="124"/>
      <c r="TO2476" s="124"/>
      <c r="TP2476" s="124"/>
      <c r="TQ2476" s="124"/>
      <c r="TR2476" s="124"/>
      <c r="TS2476" s="124"/>
      <c r="TT2476" s="124"/>
      <c r="TU2476" s="124"/>
      <c r="TV2476" s="124"/>
      <c r="TW2476" s="124"/>
      <c r="TX2476" s="124"/>
      <c r="TY2476" s="124"/>
      <c r="TZ2476" s="124"/>
      <c r="UA2476" s="124"/>
      <c r="UB2476" s="124"/>
      <c r="UC2476" s="124"/>
      <c r="UD2476" s="124"/>
      <c r="UE2476" s="124"/>
      <c r="UF2476" s="124"/>
      <c r="UG2476" s="124"/>
      <c r="UH2476" s="124"/>
      <c r="UI2476" s="124"/>
      <c r="UJ2476" s="124"/>
      <c r="UK2476" s="124"/>
      <c r="UL2476" s="124"/>
      <c r="UM2476" s="124"/>
      <c r="UN2476" s="124"/>
      <c r="UO2476" s="124"/>
      <c r="UP2476" s="124"/>
      <c r="UQ2476" s="124"/>
      <c r="UR2476" s="124"/>
      <c r="US2476" s="124"/>
      <c r="UT2476" s="124"/>
      <c r="UU2476" s="124"/>
      <c r="UV2476" s="124"/>
      <c r="UW2476" s="124"/>
      <c r="UX2476" s="124"/>
      <c r="UY2476" s="124"/>
      <c r="UZ2476" s="124"/>
      <c r="VA2476" s="124"/>
      <c r="VB2476" s="124"/>
      <c r="VC2476" s="124"/>
      <c r="VD2476" s="124"/>
      <c r="VE2476" s="124"/>
      <c r="VF2476" s="124"/>
      <c r="VG2476" s="124"/>
      <c r="VH2476" s="124"/>
      <c r="VI2476" s="124"/>
      <c r="VJ2476" s="124"/>
      <c r="VK2476" s="124"/>
      <c r="VL2476" s="124"/>
      <c r="VM2476" s="124"/>
      <c r="VN2476" s="124"/>
      <c r="VO2476" s="124"/>
      <c r="VP2476" s="124"/>
      <c r="VQ2476" s="124"/>
      <c r="VR2476" s="124"/>
      <c r="VS2476" s="124"/>
      <c r="VT2476" s="124"/>
      <c r="VU2476" s="124"/>
      <c r="VV2476" s="124"/>
      <c r="VW2476" s="124"/>
      <c r="VX2476" s="124"/>
      <c r="VY2476" s="124"/>
      <c r="VZ2476" s="124"/>
      <c r="WA2476" s="124"/>
      <c r="WB2476" s="124"/>
      <c r="WC2476" s="124"/>
      <c r="WD2476" s="124"/>
      <c r="WE2476" s="124"/>
      <c r="WF2476" s="124"/>
      <c r="WG2476" s="124"/>
      <c r="WH2476" s="124"/>
      <c r="WI2476" s="124"/>
      <c r="WJ2476" s="124"/>
      <c r="WK2476" s="124"/>
      <c r="WL2476" s="124"/>
      <c r="WM2476" s="124"/>
      <c r="WN2476" s="124"/>
      <c r="WO2476" s="124"/>
      <c r="WP2476" s="124"/>
      <c r="WQ2476" s="124"/>
      <c r="WR2476" s="124"/>
      <c r="WS2476" s="124"/>
      <c r="WT2476" s="124"/>
      <c r="WU2476" s="124"/>
      <c r="WV2476" s="124"/>
      <c r="WW2476" s="124"/>
      <c r="WX2476" s="124"/>
      <c r="WY2476" s="124"/>
      <c r="WZ2476" s="124"/>
      <c r="XA2476" s="124"/>
      <c r="XB2476" s="124"/>
      <c r="XC2476" s="124"/>
      <c r="XD2476" s="124"/>
      <c r="XE2476" s="124"/>
      <c r="XF2476" s="124"/>
      <c r="XG2476" s="124"/>
      <c r="XH2476" s="124"/>
      <c r="XI2476" s="124"/>
      <c r="XJ2476" s="124"/>
      <c r="XK2476" s="124"/>
      <c r="XL2476" s="124"/>
      <c r="XM2476" s="124"/>
      <c r="XN2476" s="124"/>
      <c r="XO2476" s="124"/>
      <c r="XP2476" s="124"/>
      <c r="XQ2476" s="124"/>
      <c r="XR2476" s="124"/>
      <c r="XS2476" s="124"/>
      <c r="XT2476" s="124"/>
      <c r="XU2476" s="124"/>
      <c r="XV2476" s="124"/>
      <c r="XW2476" s="124"/>
      <c r="XX2476" s="124"/>
      <c r="XY2476" s="124"/>
      <c r="XZ2476" s="124"/>
      <c r="YA2476" s="124"/>
      <c r="YB2476" s="124"/>
      <c r="YC2476" s="124"/>
      <c r="YD2476" s="124"/>
      <c r="YE2476" s="124"/>
      <c r="YF2476" s="124"/>
      <c r="YG2476" s="124"/>
      <c r="YH2476" s="124"/>
      <c r="YI2476" s="124"/>
      <c r="YJ2476" s="124"/>
      <c r="YK2476" s="124"/>
      <c r="YL2476" s="124"/>
      <c r="YM2476" s="124"/>
      <c r="YN2476" s="124"/>
      <c r="YO2476" s="124"/>
      <c r="YP2476" s="124"/>
      <c r="YQ2476" s="124"/>
      <c r="YR2476" s="124"/>
      <c r="YS2476" s="124"/>
      <c r="YT2476" s="124"/>
      <c r="YU2476" s="124"/>
      <c r="YV2476" s="124"/>
      <c r="YW2476" s="124"/>
      <c r="YX2476" s="124"/>
      <c r="YY2476" s="124"/>
      <c r="YZ2476" s="124"/>
      <c r="ZA2476" s="124"/>
      <c r="ZB2476" s="124"/>
      <c r="ZC2476" s="124"/>
      <c r="ZD2476" s="124"/>
      <c r="ZE2476" s="124"/>
      <c r="ZF2476" s="124"/>
      <c r="ZG2476" s="124"/>
      <c r="ZH2476" s="124"/>
      <c r="ZI2476" s="124"/>
      <c r="ZJ2476" s="124"/>
      <c r="ZK2476" s="124"/>
      <c r="ZL2476" s="124"/>
      <c r="ZM2476" s="124"/>
      <c r="ZN2476" s="124"/>
      <c r="ZO2476" s="124"/>
      <c r="ZP2476" s="124"/>
      <c r="ZQ2476" s="124"/>
      <c r="ZR2476" s="124"/>
      <c r="ZS2476" s="124"/>
      <c r="ZT2476" s="124"/>
      <c r="ZU2476" s="124"/>
      <c r="ZV2476" s="124"/>
      <c r="ZW2476" s="124"/>
      <c r="ZX2476" s="124"/>
      <c r="ZY2476" s="124"/>
      <c r="ZZ2476" s="124"/>
      <c r="AAA2476" s="124"/>
      <c r="AAB2476" s="124"/>
      <c r="AAC2476" s="124"/>
      <c r="AAD2476" s="124"/>
      <c r="AAE2476" s="124"/>
      <c r="AAF2476" s="124"/>
      <c r="AAG2476" s="124"/>
      <c r="AAH2476" s="124"/>
      <c r="AAI2476" s="124"/>
      <c r="AAJ2476" s="124"/>
      <c r="AAK2476" s="124"/>
      <c r="AAL2476" s="124"/>
      <c r="AAM2476" s="124"/>
      <c r="AAN2476" s="124"/>
      <c r="AAO2476" s="124"/>
      <c r="AAP2476" s="124"/>
      <c r="AAQ2476" s="124"/>
      <c r="AAR2476" s="124"/>
      <c r="AAS2476" s="124"/>
      <c r="AAT2476" s="124"/>
      <c r="AAU2476" s="124"/>
      <c r="AAV2476" s="124"/>
      <c r="AAW2476" s="124"/>
      <c r="AAX2476" s="124"/>
      <c r="AAY2476" s="124"/>
      <c r="AAZ2476" s="124"/>
      <c r="ABA2476" s="124"/>
      <c r="ABB2476" s="124"/>
      <c r="ABC2476" s="124"/>
      <c r="ABD2476" s="124"/>
      <c r="ABE2476" s="124"/>
      <c r="ABF2476" s="124"/>
      <c r="ABG2476" s="124"/>
      <c r="ABH2476" s="124"/>
      <c r="ABI2476" s="124"/>
      <c r="ABJ2476" s="124"/>
      <c r="ABK2476" s="124"/>
      <c r="ABL2476" s="124"/>
      <c r="ABM2476" s="124"/>
      <c r="ABN2476" s="124"/>
      <c r="ABO2476" s="124"/>
      <c r="ABP2476" s="124"/>
      <c r="ABQ2476" s="124"/>
      <c r="ABR2476" s="124"/>
      <c r="ABS2476" s="124"/>
      <c r="ABT2476" s="124"/>
      <c r="ABU2476" s="124"/>
      <c r="ABV2476" s="124"/>
      <c r="ABW2476" s="124"/>
      <c r="ABX2476" s="124"/>
      <c r="ABY2476" s="124"/>
      <c r="ABZ2476" s="124"/>
      <c r="ACA2476" s="124"/>
      <c r="ACB2476" s="124"/>
      <c r="ACC2476" s="124"/>
      <c r="ACD2476" s="124"/>
      <c r="ACE2476" s="124"/>
      <c r="ACF2476" s="124"/>
      <c r="ACG2476" s="124"/>
      <c r="ACH2476" s="124"/>
      <c r="ACI2476" s="124"/>
      <c r="ACJ2476" s="124"/>
      <c r="ACK2476" s="124"/>
      <c r="ACL2476" s="124"/>
      <c r="ACM2476" s="124"/>
      <c r="ACN2476" s="124"/>
      <c r="ACO2476" s="124"/>
      <c r="ACP2476" s="124"/>
      <c r="ACQ2476" s="124"/>
      <c r="ACR2476" s="124"/>
      <c r="ACS2476" s="124"/>
      <c r="ACT2476" s="124"/>
      <c r="ACU2476" s="124"/>
      <c r="ACV2476" s="124"/>
      <c r="ACW2476" s="124"/>
      <c r="ACX2476" s="124"/>
      <c r="ACY2476" s="124"/>
      <c r="ACZ2476" s="124"/>
      <c r="ADA2476" s="124"/>
      <c r="ADB2476" s="124"/>
      <c r="ADC2476" s="124"/>
      <c r="ADD2476" s="124"/>
      <c r="ADE2476" s="124"/>
      <c r="ADF2476" s="124"/>
      <c r="ADG2476" s="124"/>
      <c r="ADH2476" s="124"/>
      <c r="ADI2476" s="124"/>
      <c r="ADJ2476" s="124"/>
      <c r="ADK2476" s="124"/>
      <c r="ADL2476" s="124"/>
      <c r="ADM2476" s="124"/>
      <c r="ADN2476" s="124"/>
      <c r="ADO2476" s="124"/>
      <c r="ADP2476" s="124"/>
      <c r="ADQ2476" s="124"/>
      <c r="ADR2476" s="124"/>
      <c r="ADS2476" s="124"/>
      <c r="ADT2476" s="124"/>
      <c r="ADU2476" s="124"/>
      <c r="ADV2476" s="124"/>
      <c r="ADW2476" s="124"/>
      <c r="ADX2476" s="124"/>
      <c r="ADY2476" s="124"/>
      <c r="ADZ2476" s="124"/>
      <c r="AEA2476" s="124"/>
      <c r="AEB2476" s="124"/>
      <c r="AEC2476" s="124"/>
      <c r="AED2476" s="124"/>
      <c r="AEE2476" s="124"/>
      <c r="AEF2476" s="124"/>
      <c r="AEG2476" s="124"/>
      <c r="AEH2476" s="124"/>
      <c r="AEI2476" s="124"/>
      <c r="AEJ2476" s="124"/>
      <c r="AEK2476" s="124"/>
      <c r="AEL2476" s="124"/>
      <c r="AEM2476" s="124"/>
      <c r="AEN2476" s="124"/>
      <c r="AEO2476" s="124"/>
      <c r="AEP2476" s="124"/>
      <c r="AEQ2476" s="124"/>
      <c r="AER2476" s="124"/>
      <c r="AES2476" s="124"/>
      <c r="AET2476" s="124"/>
      <c r="AEU2476" s="124"/>
      <c r="AEV2476" s="124"/>
      <c r="AEW2476" s="124"/>
      <c r="AEX2476" s="124"/>
      <c r="AEY2476" s="124"/>
      <c r="AEZ2476" s="124"/>
      <c r="AFA2476" s="124"/>
      <c r="AFB2476" s="124"/>
      <c r="AFC2476" s="124"/>
      <c r="AFD2476" s="124"/>
      <c r="AFE2476" s="124"/>
      <c r="AFF2476" s="124"/>
      <c r="AFG2476" s="124"/>
      <c r="AFH2476" s="124"/>
      <c r="AFI2476" s="124"/>
      <c r="AFJ2476" s="124"/>
      <c r="AFK2476" s="124"/>
      <c r="AFL2476" s="124"/>
      <c r="AFM2476" s="124"/>
      <c r="AFN2476" s="124"/>
      <c r="AFO2476" s="124"/>
      <c r="AFP2476" s="124"/>
      <c r="AFQ2476" s="124"/>
      <c r="AFR2476" s="124"/>
      <c r="AFS2476" s="124"/>
      <c r="AFT2476" s="124"/>
      <c r="AFU2476" s="124"/>
      <c r="AFV2476" s="124"/>
      <c r="AFW2476" s="124"/>
      <c r="AFX2476" s="124"/>
      <c r="AFY2476" s="124"/>
      <c r="AFZ2476" s="124"/>
      <c r="AGA2476" s="124"/>
      <c r="AGB2476" s="124"/>
      <c r="AGC2476" s="124"/>
      <c r="AGD2476" s="124"/>
      <c r="AGE2476" s="124"/>
      <c r="AGF2476" s="124"/>
      <c r="AGG2476" s="124"/>
      <c r="AGH2476" s="124"/>
      <c r="AGI2476" s="124"/>
      <c r="AGJ2476" s="124"/>
      <c r="AGK2476" s="124"/>
      <c r="AGL2476" s="124"/>
      <c r="AGM2476" s="124"/>
      <c r="AGN2476" s="124"/>
      <c r="AGO2476" s="124"/>
      <c r="AGP2476" s="124"/>
      <c r="AGQ2476" s="124"/>
      <c r="AGR2476" s="124"/>
      <c r="AGS2476" s="124"/>
      <c r="AGT2476" s="124"/>
      <c r="AGU2476" s="124"/>
      <c r="AGV2476" s="124"/>
      <c r="AGW2476" s="124"/>
      <c r="AGX2476" s="124"/>
      <c r="AGY2476" s="124"/>
      <c r="AGZ2476" s="124"/>
      <c r="AHA2476" s="124"/>
      <c r="AHB2476" s="124"/>
      <c r="AHC2476" s="124"/>
      <c r="AHD2476" s="124"/>
      <c r="AHE2476" s="124"/>
      <c r="AHF2476" s="124"/>
      <c r="AHG2476" s="124"/>
      <c r="AHH2476" s="124"/>
      <c r="AHI2476" s="124"/>
      <c r="AHJ2476" s="124"/>
      <c r="AHK2476" s="124"/>
      <c r="AHL2476" s="124"/>
      <c r="AHM2476" s="124"/>
      <c r="AHN2476" s="124"/>
      <c r="AHO2476" s="124"/>
      <c r="AHP2476" s="124"/>
      <c r="AHQ2476" s="124"/>
      <c r="AHR2476" s="124"/>
      <c r="AHS2476" s="124"/>
      <c r="AHT2476" s="124"/>
      <c r="AHU2476" s="124"/>
      <c r="AHV2476" s="124"/>
      <c r="AHW2476" s="124"/>
      <c r="AHX2476" s="124"/>
      <c r="AHY2476" s="124"/>
      <c r="AHZ2476" s="124"/>
      <c r="AIA2476" s="124"/>
      <c r="AIB2476" s="124"/>
      <c r="AIC2476" s="124"/>
      <c r="AID2476" s="124"/>
      <c r="AIE2476" s="124"/>
      <c r="AIF2476" s="124"/>
      <c r="AIG2476" s="124"/>
      <c r="AIH2476" s="124"/>
      <c r="AII2476" s="124"/>
      <c r="AIJ2476" s="124"/>
      <c r="AIK2476" s="124"/>
      <c r="AIL2476" s="124"/>
      <c r="AIM2476" s="124"/>
      <c r="AIN2476" s="124"/>
      <c r="AIO2476" s="124"/>
      <c r="AIP2476" s="124"/>
      <c r="AIQ2476" s="124"/>
      <c r="AIR2476" s="124"/>
      <c r="AIS2476" s="124"/>
      <c r="AIT2476" s="124"/>
      <c r="AIU2476" s="124"/>
      <c r="AIV2476" s="124"/>
      <c r="AIW2476" s="124"/>
      <c r="AIX2476" s="124"/>
      <c r="AIY2476" s="124"/>
      <c r="AIZ2476" s="124"/>
      <c r="AJA2476" s="124"/>
      <c r="AJB2476" s="124"/>
      <c r="AJC2476" s="124"/>
      <c r="AJD2476" s="124"/>
      <c r="AJE2476" s="124"/>
      <c r="AJF2476" s="124"/>
      <c r="AJG2476" s="124"/>
      <c r="AJH2476" s="124"/>
      <c r="AJI2476" s="124"/>
      <c r="AJJ2476" s="124"/>
      <c r="AJK2476" s="124"/>
      <c r="AJL2476" s="124"/>
      <c r="AJM2476" s="124"/>
      <c r="AJN2476" s="124"/>
      <c r="AJO2476" s="124"/>
      <c r="AJP2476" s="124"/>
      <c r="AJQ2476" s="124"/>
      <c r="AJR2476" s="124"/>
      <c r="AJS2476" s="124"/>
      <c r="AJT2476" s="124"/>
      <c r="AJU2476" s="124"/>
      <c r="AJV2476" s="124"/>
      <c r="AJW2476" s="124"/>
      <c r="AJX2476" s="124"/>
      <c r="AJY2476" s="124"/>
      <c r="AJZ2476" s="124"/>
      <c r="AKA2476" s="124"/>
      <c r="AKB2476" s="124"/>
      <c r="AKC2476" s="124"/>
      <c r="AKD2476" s="124"/>
      <c r="AKE2476" s="124"/>
      <c r="AKF2476" s="124"/>
      <c r="AKG2476" s="124"/>
      <c r="AKH2476" s="124"/>
      <c r="AKI2476" s="124"/>
      <c r="AKJ2476" s="124"/>
      <c r="AKK2476" s="124"/>
      <c r="AKL2476" s="124"/>
      <c r="AKM2476" s="124"/>
      <c r="AKN2476" s="124"/>
      <c r="AKO2476" s="124"/>
      <c r="AKP2476" s="124"/>
      <c r="AKQ2476" s="124"/>
      <c r="AKR2476" s="124"/>
      <c r="AKS2476" s="124"/>
      <c r="AKT2476" s="124"/>
      <c r="AKU2476" s="124"/>
      <c r="AKV2476" s="124"/>
      <c r="AKW2476" s="124"/>
      <c r="AKX2476" s="124"/>
      <c r="AKY2476" s="124"/>
      <c r="AKZ2476" s="124"/>
      <c r="ALA2476" s="124"/>
      <c r="ALB2476" s="124"/>
      <c r="ALC2476" s="124"/>
      <c r="ALD2476" s="124"/>
      <c r="ALE2476" s="124"/>
      <c r="ALF2476" s="124"/>
      <c r="ALG2476" s="124"/>
      <c r="ALH2476" s="124"/>
      <c r="ALI2476" s="124"/>
      <c r="ALJ2476" s="124"/>
      <c r="ALK2476" s="124"/>
      <c r="ALL2476" s="124"/>
      <c r="ALM2476" s="124"/>
      <c r="ALN2476" s="124"/>
      <c r="ALO2476" s="124"/>
      <c r="ALP2476" s="124"/>
      <c r="ALQ2476" s="124"/>
      <c r="ALR2476" s="124"/>
      <c r="ALS2476" s="124"/>
      <c r="ALT2476" s="124"/>
      <c r="ALU2476" s="124"/>
      <c r="ALV2476" s="124"/>
      <c r="ALW2476" s="124"/>
      <c r="ALX2476" s="124"/>
      <c r="ALY2476" s="124"/>
      <c r="ALZ2476" s="124"/>
      <c r="AMA2476" s="124"/>
      <c r="AMB2476" s="124"/>
      <c r="AMC2476" s="124"/>
      <c r="AMD2476" s="124"/>
      <c r="AME2476" s="124"/>
      <c r="AMF2476" s="124"/>
      <c r="AMG2476" s="124"/>
      <c r="AMH2476" s="124"/>
      <c r="AMI2476" s="124"/>
      <c r="AMJ2476" s="124"/>
      <c r="AMK2476" s="124"/>
      <c r="AML2476" s="124"/>
      <c r="AMM2476" s="124"/>
      <c r="AMN2476" s="124"/>
      <c r="AMO2476" s="124"/>
      <c r="AMP2476" s="124"/>
      <c r="AMQ2476" s="124"/>
      <c r="AMR2476" s="124"/>
      <c r="AMS2476" s="124"/>
      <c r="AMT2476" s="124"/>
      <c r="AMU2476" s="124"/>
      <c r="AMV2476" s="124"/>
      <c r="AMW2476" s="124"/>
      <c r="AMX2476" s="124"/>
      <c r="AMY2476" s="124"/>
      <c r="AMZ2476" s="124"/>
      <c r="ANA2476" s="124"/>
      <c r="ANB2476" s="124"/>
      <c r="ANC2476" s="124"/>
      <c r="AND2476" s="124"/>
      <c r="ANE2476" s="124"/>
      <c r="ANF2476" s="124"/>
      <c r="ANG2476" s="124"/>
      <c r="ANH2476" s="124"/>
      <c r="ANI2476" s="124"/>
      <c r="ANJ2476" s="124"/>
      <c r="ANK2476" s="124"/>
      <c r="ANL2476" s="124"/>
      <c r="ANM2476" s="124"/>
      <c r="ANN2476" s="124"/>
      <c r="ANO2476" s="124"/>
      <c r="ANP2476" s="124"/>
      <c r="ANQ2476" s="124"/>
      <c r="ANR2476" s="124"/>
      <c r="ANS2476" s="124"/>
      <c r="ANT2476" s="124"/>
      <c r="ANU2476" s="124"/>
      <c r="ANV2476" s="124"/>
      <c r="ANW2476" s="124"/>
      <c r="ANX2476" s="124"/>
      <c r="ANY2476" s="124"/>
      <c r="ANZ2476" s="124"/>
      <c r="AOA2476" s="124"/>
      <c r="AOB2476" s="124"/>
      <c r="AOC2476" s="124"/>
      <c r="AOD2476" s="124"/>
      <c r="AOE2476" s="124"/>
      <c r="AOF2476" s="124"/>
      <c r="AOG2476" s="124"/>
      <c r="AOH2476" s="124"/>
      <c r="AOI2476" s="124"/>
      <c r="AOJ2476" s="124"/>
      <c r="AOK2476" s="124"/>
      <c r="AOL2476" s="124"/>
      <c r="AOM2476" s="124"/>
      <c r="AON2476" s="124"/>
      <c r="AOO2476" s="124"/>
      <c r="AOP2476" s="124"/>
      <c r="AOQ2476" s="124"/>
      <c r="AOR2476" s="124"/>
      <c r="AOS2476" s="124"/>
      <c r="AOT2476" s="124"/>
      <c r="AOU2476" s="124"/>
      <c r="AOV2476" s="124"/>
      <c r="AOW2476" s="124"/>
      <c r="AOX2476" s="124"/>
      <c r="AOY2476" s="124"/>
      <c r="AOZ2476" s="124"/>
      <c r="APA2476" s="124"/>
      <c r="APB2476" s="124"/>
      <c r="APC2476" s="124"/>
      <c r="APD2476" s="124"/>
      <c r="APE2476" s="124"/>
      <c r="APF2476" s="124"/>
      <c r="APG2476" s="124"/>
      <c r="APH2476" s="124"/>
      <c r="API2476" s="124"/>
      <c r="APJ2476" s="124"/>
      <c r="APK2476" s="124"/>
      <c r="APL2476" s="124"/>
      <c r="APM2476" s="124"/>
      <c r="APN2476" s="124"/>
      <c r="APO2476" s="124"/>
      <c r="APP2476" s="124"/>
      <c r="APQ2476" s="124"/>
      <c r="APR2476" s="124"/>
      <c r="APS2476" s="124"/>
      <c r="APT2476" s="124"/>
      <c r="APU2476" s="124"/>
      <c r="APV2476" s="124"/>
      <c r="APW2476" s="124"/>
      <c r="APX2476" s="124"/>
      <c r="APY2476" s="124"/>
      <c r="APZ2476" s="124"/>
      <c r="AQA2476" s="124"/>
      <c r="AQB2476" s="124"/>
      <c r="AQC2476" s="124"/>
      <c r="AQD2476" s="124"/>
      <c r="AQE2476" s="124"/>
      <c r="AQF2476" s="124"/>
      <c r="AQG2476" s="124"/>
      <c r="AQH2476" s="124"/>
      <c r="AQI2476" s="124"/>
      <c r="AQJ2476" s="124"/>
      <c r="AQK2476" s="124"/>
      <c r="AQL2476" s="124"/>
      <c r="AQM2476" s="124"/>
      <c r="AQN2476" s="124"/>
      <c r="AQO2476" s="124"/>
      <c r="AQP2476" s="124"/>
      <c r="AQQ2476" s="124"/>
      <c r="AQR2476" s="124"/>
      <c r="AQS2476" s="124"/>
      <c r="AQT2476" s="124"/>
      <c r="AQU2476" s="124"/>
      <c r="AQV2476" s="124"/>
      <c r="AQW2476" s="124"/>
      <c r="AQX2476" s="124"/>
      <c r="AQY2476" s="124"/>
      <c r="AQZ2476" s="124"/>
      <c r="ARA2476" s="124"/>
      <c r="ARB2476" s="124"/>
      <c r="ARC2476" s="124"/>
      <c r="ARD2476" s="124"/>
      <c r="ARE2476" s="124"/>
      <c r="ARF2476" s="124"/>
      <c r="ARG2476" s="124"/>
      <c r="ARH2476" s="124"/>
      <c r="ARI2476" s="124"/>
      <c r="ARJ2476" s="124"/>
      <c r="ARK2476" s="124"/>
      <c r="ARL2476" s="124"/>
      <c r="ARM2476" s="124"/>
      <c r="ARN2476" s="124"/>
      <c r="ARO2476" s="124"/>
      <c r="ARP2476" s="124"/>
      <c r="ARQ2476" s="124"/>
      <c r="ARR2476" s="124"/>
      <c r="ARS2476" s="124"/>
      <c r="ART2476" s="124"/>
      <c r="ARU2476" s="124"/>
      <c r="ARV2476" s="124"/>
      <c r="ARW2476" s="124"/>
      <c r="ARX2476" s="124"/>
      <c r="ARY2476" s="124"/>
      <c r="ARZ2476" s="124"/>
      <c r="ASA2476" s="124"/>
      <c r="ASB2476" s="124"/>
      <c r="ASC2476" s="124"/>
      <c r="ASD2476" s="124"/>
      <c r="ASE2476" s="124"/>
      <c r="ASF2476" s="124"/>
      <c r="ASG2476" s="124"/>
      <c r="ASH2476" s="124"/>
      <c r="ASI2476" s="124"/>
      <c r="ASJ2476" s="124"/>
      <c r="ASK2476" s="124"/>
      <c r="ASL2476" s="124"/>
      <c r="ASM2476" s="124"/>
      <c r="ASN2476" s="124"/>
      <c r="ASO2476" s="124"/>
      <c r="ASP2476" s="124"/>
      <c r="ASQ2476" s="124"/>
      <c r="ASR2476" s="124"/>
      <c r="ASS2476" s="124"/>
      <c r="AST2476" s="124"/>
      <c r="ASU2476" s="124"/>
      <c r="ASV2476" s="124"/>
      <c r="ASW2476" s="124"/>
      <c r="ASX2476" s="124"/>
      <c r="ASY2476" s="124"/>
      <c r="ASZ2476" s="124"/>
      <c r="ATA2476" s="124"/>
      <c r="ATB2476" s="124"/>
      <c r="ATC2476" s="124"/>
      <c r="ATD2476" s="124"/>
      <c r="ATE2476" s="124"/>
      <c r="ATF2476" s="124"/>
      <c r="ATG2476" s="124"/>
      <c r="ATH2476" s="124"/>
      <c r="ATI2476" s="124"/>
      <c r="ATJ2476" s="124"/>
      <c r="ATK2476" s="124"/>
      <c r="ATL2476" s="124"/>
      <c r="ATM2476" s="124"/>
      <c r="ATN2476" s="124"/>
      <c r="ATO2476" s="124"/>
      <c r="ATP2476" s="124"/>
      <c r="ATQ2476" s="124"/>
      <c r="ATR2476" s="124"/>
      <c r="ATS2476" s="124"/>
      <c r="ATT2476" s="124"/>
      <c r="ATU2476" s="124"/>
      <c r="ATV2476" s="124"/>
      <c r="ATW2476" s="124"/>
      <c r="ATX2476" s="124"/>
      <c r="ATY2476" s="124"/>
      <c r="ATZ2476" s="124"/>
      <c r="AUA2476" s="124"/>
      <c r="AUB2476" s="124"/>
      <c r="AUC2476" s="124"/>
      <c r="AUD2476" s="124"/>
      <c r="AUE2476" s="124"/>
      <c r="AUF2476" s="124"/>
      <c r="AUG2476" s="124"/>
      <c r="AUH2476" s="124"/>
      <c r="AUI2476" s="124"/>
      <c r="AUJ2476" s="124"/>
      <c r="AUK2476" s="124"/>
      <c r="AUL2476" s="124"/>
      <c r="AUM2476" s="124"/>
      <c r="AUN2476" s="124"/>
      <c r="AUO2476" s="124"/>
      <c r="AUP2476" s="124"/>
      <c r="AUQ2476" s="124"/>
      <c r="AUR2476" s="124"/>
      <c r="AUS2476" s="124"/>
      <c r="AUT2476" s="124"/>
      <c r="AUU2476" s="124"/>
      <c r="AUV2476" s="124"/>
      <c r="AUW2476" s="124"/>
      <c r="AUX2476" s="124"/>
      <c r="AUY2476" s="124"/>
      <c r="AUZ2476" s="124"/>
      <c r="AVA2476" s="124"/>
      <c r="AVB2476" s="124"/>
      <c r="AVC2476" s="124"/>
      <c r="AVD2476" s="124"/>
      <c r="AVE2476" s="124"/>
      <c r="AVF2476" s="124"/>
      <c r="AVG2476" s="124"/>
      <c r="AVH2476" s="124"/>
      <c r="AVI2476" s="124"/>
      <c r="AVJ2476" s="124"/>
      <c r="AVK2476" s="124"/>
      <c r="AVL2476" s="124"/>
      <c r="AVM2476" s="124"/>
      <c r="AVN2476" s="124"/>
      <c r="AVO2476" s="124"/>
      <c r="AVP2476" s="124"/>
      <c r="AVQ2476" s="124"/>
      <c r="AVR2476" s="124"/>
      <c r="AVS2476" s="124"/>
      <c r="AVT2476" s="124"/>
      <c r="AVU2476" s="124"/>
      <c r="AVV2476" s="124"/>
      <c r="AVW2476" s="124"/>
      <c r="AVX2476" s="124"/>
      <c r="AVY2476" s="124"/>
      <c r="AVZ2476" s="124"/>
      <c r="AWA2476" s="124"/>
      <c r="AWB2476" s="124"/>
      <c r="AWC2476" s="124"/>
      <c r="AWD2476" s="124"/>
      <c r="AWE2476" s="124"/>
      <c r="AWF2476" s="124"/>
      <c r="AWG2476" s="124"/>
      <c r="AWH2476" s="124"/>
      <c r="AWI2476" s="124"/>
      <c r="AWJ2476" s="124"/>
      <c r="AWK2476" s="124"/>
      <c r="AWL2476" s="124"/>
      <c r="AWM2476" s="124"/>
      <c r="AWN2476" s="124"/>
      <c r="AWO2476" s="124"/>
      <c r="AWP2476" s="124"/>
      <c r="AWQ2476" s="124"/>
      <c r="AWR2476" s="124"/>
      <c r="AWS2476" s="124"/>
      <c r="AWT2476" s="124"/>
      <c r="AWU2476" s="124"/>
      <c r="AWV2476" s="124"/>
      <c r="AWW2476" s="124"/>
      <c r="AWX2476" s="124"/>
      <c r="AWY2476" s="124"/>
      <c r="AWZ2476" s="124"/>
      <c r="AXA2476" s="124"/>
      <c r="AXB2476" s="124"/>
      <c r="AXC2476" s="124"/>
      <c r="AXD2476" s="124"/>
      <c r="AXE2476" s="124"/>
      <c r="AXF2476" s="124"/>
      <c r="AXG2476" s="124"/>
      <c r="AXH2476" s="124"/>
      <c r="AXI2476" s="124"/>
      <c r="AXJ2476" s="124"/>
      <c r="AXK2476" s="124"/>
      <c r="AXL2476" s="124"/>
      <c r="AXM2476" s="124"/>
      <c r="AXN2476" s="124"/>
      <c r="AXO2476" s="124"/>
      <c r="AXP2476" s="124"/>
      <c r="AXQ2476" s="124"/>
      <c r="AXR2476" s="124"/>
      <c r="AXS2476" s="124"/>
      <c r="AXT2476" s="124"/>
      <c r="AXU2476" s="124"/>
      <c r="AXV2476" s="124"/>
      <c r="AXW2476" s="124"/>
      <c r="AXX2476" s="124"/>
      <c r="AXY2476" s="124"/>
      <c r="AXZ2476" s="124"/>
      <c r="AYA2476" s="124"/>
      <c r="AYB2476" s="124"/>
      <c r="AYC2476" s="124"/>
      <c r="AYD2476" s="124"/>
      <c r="AYE2476" s="124"/>
      <c r="AYF2476" s="124"/>
      <c r="AYG2476" s="124"/>
      <c r="AYH2476" s="124"/>
      <c r="AYI2476" s="124"/>
      <c r="AYJ2476" s="124"/>
      <c r="AYK2476" s="124"/>
      <c r="AYL2476" s="124"/>
      <c r="AYM2476" s="124"/>
      <c r="AYN2476" s="124"/>
      <c r="AYO2476" s="124"/>
      <c r="AYP2476" s="124"/>
      <c r="AYQ2476" s="124"/>
      <c r="AYR2476" s="124"/>
      <c r="AYS2476" s="124"/>
      <c r="AYT2476" s="124"/>
      <c r="AYU2476" s="124"/>
      <c r="AYV2476" s="124"/>
      <c r="AYW2476" s="124"/>
      <c r="AYX2476" s="124"/>
      <c r="AYY2476" s="124"/>
      <c r="AYZ2476" s="124"/>
      <c r="AZA2476" s="124"/>
      <c r="AZB2476" s="124"/>
      <c r="AZC2476" s="124"/>
      <c r="AZD2476" s="124"/>
      <c r="AZE2476" s="124"/>
      <c r="AZF2476" s="124"/>
      <c r="AZG2476" s="124"/>
      <c r="AZH2476" s="124"/>
      <c r="AZI2476" s="124"/>
      <c r="AZJ2476" s="124"/>
      <c r="AZK2476" s="124"/>
      <c r="AZL2476" s="124"/>
      <c r="AZM2476" s="124"/>
      <c r="AZN2476" s="124"/>
      <c r="AZO2476" s="124"/>
      <c r="AZP2476" s="124"/>
      <c r="AZQ2476" s="124"/>
      <c r="AZR2476" s="124"/>
      <c r="AZS2476" s="124"/>
      <c r="AZT2476" s="124"/>
      <c r="AZU2476" s="124"/>
      <c r="AZV2476" s="124"/>
      <c r="AZW2476" s="124"/>
      <c r="AZX2476" s="124"/>
      <c r="AZY2476" s="124"/>
      <c r="AZZ2476" s="124"/>
      <c r="BAA2476" s="124"/>
      <c r="BAB2476" s="124"/>
      <c r="BAC2476" s="124"/>
      <c r="BAD2476" s="124"/>
      <c r="BAE2476" s="124"/>
      <c r="BAF2476" s="124"/>
      <c r="BAG2476" s="124"/>
      <c r="BAH2476" s="124"/>
      <c r="BAI2476" s="124"/>
      <c r="BAJ2476" s="124"/>
      <c r="BAK2476" s="124"/>
      <c r="BAL2476" s="124"/>
      <c r="BAM2476" s="124"/>
      <c r="BAN2476" s="124"/>
      <c r="BAO2476" s="124"/>
      <c r="BAP2476" s="124"/>
      <c r="BAQ2476" s="124"/>
      <c r="BAR2476" s="124"/>
      <c r="BAS2476" s="124"/>
      <c r="BAT2476" s="124"/>
      <c r="BAU2476" s="124"/>
      <c r="BAV2476" s="124"/>
      <c r="BAW2476" s="124"/>
      <c r="BAX2476" s="124"/>
      <c r="BAY2476" s="124"/>
      <c r="BAZ2476" s="124"/>
      <c r="BBA2476" s="124"/>
      <c r="BBB2476" s="124"/>
      <c r="BBC2476" s="124"/>
      <c r="BBD2476" s="124"/>
      <c r="BBE2476" s="124"/>
      <c r="BBF2476" s="124"/>
      <c r="BBG2476" s="124"/>
      <c r="BBH2476" s="124"/>
      <c r="BBI2476" s="124"/>
      <c r="BBJ2476" s="124"/>
      <c r="BBK2476" s="124"/>
      <c r="BBL2476" s="124"/>
      <c r="BBM2476" s="124"/>
      <c r="BBN2476" s="124"/>
      <c r="BBO2476" s="124"/>
      <c r="BBP2476" s="124"/>
      <c r="BBQ2476" s="124"/>
      <c r="BBR2476" s="124"/>
      <c r="BBS2476" s="124"/>
      <c r="BBT2476" s="124"/>
      <c r="BBU2476" s="124"/>
      <c r="BBV2476" s="124"/>
      <c r="BBW2476" s="124"/>
      <c r="BBX2476" s="124"/>
      <c r="BBY2476" s="124"/>
      <c r="BBZ2476" s="124"/>
      <c r="BCA2476" s="124"/>
      <c r="BCB2476" s="124"/>
      <c r="BCC2476" s="124"/>
      <c r="BCD2476" s="124"/>
      <c r="BCE2476" s="124"/>
      <c r="BCF2476" s="124"/>
      <c r="BCG2476" s="124"/>
      <c r="BCH2476" s="124"/>
      <c r="BCI2476" s="124"/>
      <c r="BCJ2476" s="124"/>
      <c r="BCK2476" s="124"/>
      <c r="BCL2476" s="124"/>
      <c r="BCM2476" s="124"/>
      <c r="BCN2476" s="124"/>
      <c r="BCO2476" s="124"/>
      <c r="BCP2476" s="124"/>
      <c r="BCQ2476" s="124"/>
      <c r="BCR2476" s="124"/>
      <c r="BCS2476" s="124"/>
      <c r="BCT2476" s="124"/>
      <c r="BCU2476" s="124"/>
      <c r="BCV2476" s="124"/>
      <c r="BCW2476" s="124"/>
      <c r="BCX2476" s="124"/>
      <c r="BCY2476" s="124"/>
      <c r="BCZ2476" s="124"/>
      <c r="BDA2476" s="124"/>
      <c r="BDB2476" s="124"/>
      <c r="BDC2476" s="124"/>
      <c r="BDD2476" s="124"/>
      <c r="BDE2476" s="124"/>
      <c r="BDF2476" s="124"/>
      <c r="BDG2476" s="124"/>
      <c r="BDH2476" s="124"/>
      <c r="BDI2476" s="124"/>
      <c r="BDJ2476" s="124"/>
      <c r="BDK2476" s="124"/>
      <c r="BDL2476" s="124"/>
      <c r="BDM2476" s="124"/>
      <c r="BDN2476" s="124"/>
      <c r="BDO2476" s="124"/>
      <c r="BDP2476" s="124"/>
      <c r="BDQ2476" s="124"/>
      <c r="BDR2476" s="124"/>
      <c r="BDS2476" s="124"/>
      <c r="BDT2476" s="124"/>
      <c r="BDU2476" s="124"/>
      <c r="BDV2476" s="124"/>
      <c r="BDW2476" s="124"/>
      <c r="BDX2476" s="124"/>
      <c r="BDY2476" s="124"/>
      <c r="BDZ2476" s="124"/>
      <c r="BEA2476" s="124"/>
      <c r="BEB2476" s="124"/>
      <c r="BEC2476" s="124"/>
      <c r="BED2476" s="124"/>
      <c r="BEE2476" s="124"/>
      <c r="BEF2476" s="124"/>
      <c r="BEG2476" s="124"/>
      <c r="BEH2476" s="124"/>
      <c r="BEI2476" s="124"/>
      <c r="BEJ2476" s="124"/>
      <c r="BEK2476" s="124"/>
      <c r="BEL2476" s="124"/>
      <c r="BEM2476" s="124"/>
      <c r="BEN2476" s="124"/>
      <c r="BEO2476" s="124"/>
      <c r="BEP2476" s="124"/>
      <c r="BEQ2476" s="124"/>
      <c r="BER2476" s="124"/>
      <c r="BES2476" s="124"/>
      <c r="BET2476" s="124"/>
      <c r="BEU2476" s="124"/>
      <c r="BEV2476" s="124"/>
      <c r="BEW2476" s="124"/>
      <c r="BEX2476" s="124"/>
      <c r="BEY2476" s="124"/>
      <c r="BEZ2476" s="124"/>
      <c r="BFA2476" s="124"/>
      <c r="BFB2476" s="124"/>
      <c r="BFC2476" s="124"/>
      <c r="BFD2476" s="124"/>
      <c r="BFE2476" s="124"/>
      <c r="BFF2476" s="124"/>
      <c r="BFG2476" s="124"/>
      <c r="BFH2476" s="124"/>
      <c r="BFI2476" s="124"/>
      <c r="BFJ2476" s="124"/>
      <c r="BFK2476" s="124"/>
      <c r="BFL2476" s="124"/>
      <c r="BFM2476" s="124"/>
      <c r="BFN2476" s="124"/>
      <c r="BFO2476" s="124"/>
      <c r="BFP2476" s="124"/>
      <c r="BFQ2476" s="124"/>
      <c r="BFR2476" s="124"/>
      <c r="BFS2476" s="124"/>
      <c r="BFT2476" s="124"/>
      <c r="BFU2476" s="124"/>
      <c r="BFV2476" s="124"/>
      <c r="BFW2476" s="124"/>
      <c r="BFX2476" s="124"/>
      <c r="BFY2476" s="124"/>
      <c r="BFZ2476" s="124"/>
      <c r="BGA2476" s="124"/>
      <c r="BGB2476" s="124"/>
      <c r="BGC2476" s="124"/>
      <c r="BGD2476" s="124"/>
      <c r="BGE2476" s="124"/>
      <c r="BGF2476" s="124"/>
      <c r="BGG2476" s="124"/>
      <c r="BGH2476" s="124"/>
      <c r="BGI2476" s="124"/>
      <c r="BGJ2476" s="124"/>
      <c r="BGK2476" s="124"/>
      <c r="BGL2476" s="124"/>
      <c r="BGM2476" s="124"/>
      <c r="BGN2476" s="124"/>
      <c r="BGO2476" s="124"/>
      <c r="BGP2476" s="124"/>
      <c r="BGQ2476" s="124"/>
      <c r="BGR2476" s="124"/>
      <c r="BGS2476" s="124"/>
      <c r="BGT2476" s="124"/>
      <c r="BGU2476" s="124"/>
      <c r="BGV2476" s="124"/>
      <c r="BGW2476" s="124"/>
      <c r="BGX2476" s="124"/>
      <c r="BGY2476" s="124"/>
      <c r="BGZ2476" s="124"/>
      <c r="BHA2476" s="124"/>
      <c r="BHB2476" s="124"/>
      <c r="BHC2476" s="124"/>
      <c r="BHD2476" s="124"/>
      <c r="BHE2476" s="124"/>
      <c r="BHF2476" s="124"/>
      <c r="BHG2476" s="124"/>
      <c r="BHH2476" s="124"/>
      <c r="BHI2476" s="124"/>
      <c r="BHJ2476" s="124"/>
      <c r="BHK2476" s="124"/>
      <c r="BHL2476" s="124"/>
      <c r="BHM2476" s="124"/>
      <c r="BHN2476" s="124"/>
      <c r="BHO2476" s="124"/>
      <c r="BHP2476" s="124"/>
      <c r="BHQ2476" s="124"/>
      <c r="BHR2476" s="124"/>
      <c r="BHS2476" s="124"/>
      <c r="BHT2476" s="124"/>
      <c r="BHU2476" s="124"/>
      <c r="BHV2476" s="124"/>
      <c r="BHW2476" s="124"/>
      <c r="BHX2476" s="124"/>
      <c r="BHY2476" s="124"/>
      <c r="BHZ2476" s="124"/>
      <c r="BIA2476" s="124"/>
      <c r="BIB2476" s="124"/>
      <c r="BIC2476" s="124"/>
      <c r="BID2476" s="124"/>
      <c r="BIE2476" s="124"/>
      <c r="BIF2476" s="124"/>
      <c r="BIG2476" s="124"/>
      <c r="BIH2476" s="124"/>
      <c r="BII2476" s="124"/>
      <c r="BIJ2476" s="124"/>
      <c r="BIK2476" s="124"/>
      <c r="BIL2476" s="124"/>
      <c r="BIM2476" s="124"/>
      <c r="BIN2476" s="124"/>
      <c r="BIO2476" s="124"/>
      <c r="BIP2476" s="124"/>
      <c r="BIQ2476" s="124"/>
      <c r="BIR2476" s="124"/>
      <c r="BIS2476" s="124"/>
      <c r="BIT2476" s="124"/>
      <c r="BIU2476" s="124"/>
      <c r="BIV2476" s="124"/>
      <c r="BIW2476" s="124"/>
      <c r="BIX2476" s="124"/>
      <c r="BIY2476" s="124"/>
      <c r="BIZ2476" s="124"/>
      <c r="BJA2476" s="124"/>
      <c r="BJB2476" s="124"/>
      <c r="BJC2476" s="124"/>
      <c r="BJD2476" s="124"/>
      <c r="BJE2476" s="124"/>
      <c r="BJF2476" s="124"/>
      <c r="BJG2476" s="124"/>
      <c r="BJH2476" s="124"/>
      <c r="BJI2476" s="124"/>
      <c r="BJJ2476" s="124"/>
      <c r="BJK2476" s="124"/>
      <c r="BJL2476" s="124"/>
      <c r="BJM2476" s="124"/>
      <c r="BJN2476" s="124"/>
      <c r="BJO2476" s="124"/>
      <c r="BJP2476" s="124"/>
      <c r="BJQ2476" s="124"/>
      <c r="BJR2476" s="124"/>
      <c r="BJS2476" s="124"/>
      <c r="BJT2476" s="124"/>
      <c r="BJU2476" s="124"/>
      <c r="BJV2476" s="124"/>
      <c r="BJW2476" s="124"/>
      <c r="BJX2476" s="124"/>
      <c r="BJY2476" s="124"/>
      <c r="BJZ2476" s="124"/>
      <c r="BKA2476" s="124"/>
      <c r="BKB2476" s="124"/>
      <c r="BKC2476" s="124"/>
      <c r="BKD2476" s="124"/>
      <c r="BKE2476" s="124"/>
      <c r="BKF2476" s="124"/>
      <c r="BKG2476" s="124"/>
      <c r="BKH2476" s="124"/>
      <c r="BKI2476" s="124"/>
      <c r="BKJ2476" s="124"/>
      <c r="BKK2476" s="124"/>
      <c r="BKL2476" s="124"/>
      <c r="BKM2476" s="124"/>
      <c r="BKN2476" s="124"/>
      <c r="BKO2476" s="124"/>
      <c r="BKP2476" s="124"/>
      <c r="BKQ2476" s="124"/>
      <c r="BKR2476" s="124"/>
      <c r="BKS2476" s="124"/>
      <c r="BKT2476" s="124"/>
      <c r="BKU2476" s="124"/>
      <c r="BKV2476" s="124"/>
      <c r="BKW2476" s="124"/>
      <c r="BKX2476" s="124"/>
      <c r="BKY2476" s="124"/>
      <c r="BKZ2476" s="124"/>
      <c r="BLA2476" s="124"/>
      <c r="BLB2476" s="124"/>
      <c r="BLC2476" s="124"/>
      <c r="BLD2476" s="124"/>
      <c r="BLE2476" s="124"/>
      <c r="BLF2476" s="124"/>
      <c r="BLG2476" s="124"/>
      <c r="BLH2476" s="124"/>
      <c r="BLI2476" s="124"/>
      <c r="BLJ2476" s="124"/>
      <c r="BLK2476" s="124"/>
      <c r="BLL2476" s="124"/>
      <c r="BLM2476" s="124"/>
      <c r="BLN2476" s="124"/>
      <c r="BLO2476" s="124"/>
      <c r="BLP2476" s="124"/>
      <c r="BLQ2476" s="124"/>
      <c r="BLR2476" s="124"/>
      <c r="BLS2476" s="124"/>
      <c r="BLT2476" s="124"/>
      <c r="BLU2476" s="124"/>
      <c r="BLV2476" s="124"/>
      <c r="BLW2476" s="124"/>
      <c r="BLX2476" s="124"/>
      <c r="BLY2476" s="124"/>
      <c r="BLZ2476" s="124"/>
      <c r="BMA2476" s="124"/>
      <c r="BMB2476" s="124"/>
      <c r="BMC2476" s="124"/>
      <c r="BMD2476" s="124"/>
      <c r="BME2476" s="124"/>
      <c r="BMF2476" s="124"/>
      <c r="BMG2476" s="124"/>
      <c r="BMH2476" s="124"/>
      <c r="BMI2476" s="124"/>
      <c r="BMJ2476" s="124"/>
      <c r="BMK2476" s="124"/>
      <c r="BML2476" s="124"/>
      <c r="BMM2476" s="124"/>
      <c r="BMN2476" s="124"/>
      <c r="BMO2476" s="124"/>
      <c r="BMP2476" s="124"/>
      <c r="BMQ2476" s="124"/>
      <c r="BMR2476" s="124"/>
      <c r="BMS2476" s="124"/>
      <c r="BMT2476" s="124"/>
      <c r="BMU2476" s="124"/>
      <c r="BMV2476" s="124"/>
      <c r="BMW2476" s="124"/>
      <c r="BMX2476" s="124"/>
      <c r="BMY2476" s="124"/>
      <c r="BMZ2476" s="124"/>
      <c r="BNA2476" s="124"/>
      <c r="BNB2476" s="124"/>
      <c r="BNC2476" s="124"/>
      <c r="BND2476" s="124"/>
      <c r="BNE2476" s="124"/>
      <c r="BNF2476" s="124"/>
      <c r="BNG2476" s="124"/>
      <c r="BNH2476" s="124"/>
      <c r="BNI2476" s="124"/>
      <c r="BNJ2476" s="124"/>
      <c r="BNK2476" s="124"/>
      <c r="BNL2476" s="124"/>
      <c r="BNM2476" s="124"/>
      <c r="BNN2476" s="124"/>
      <c r="BNO2476" s="124"/>
      <c r="BNP2476" s="124"/>
      <c r="BNQ2476" s="124"/>
      <c r="BNR2476" s="124"/>
      <c r="BNS2476" s="124"/>
      <c r="BNT2476" s="124"/>
      <c r="BNU2476" s="124"/>
      <c r="BNV2476" s="124"/>
      <c r="BNW2476" s="124"/>
      <c r="BNX2476" s="124"/>
      <c r="BNY2476" s="124"/>
      <c r="BNZ2476" s="124"/>
      <c r="BOA2476" s="124"/>
      <c r="BOB2476" s="124"/>
      <c r="BOC2476" s="124"/>
      <c r="BOD2476" s="124"/>
      <c r="BOE2476" s="124"/>
      <c r="BOF2476" s="124"/>
      <c r="BOG2476" s="124"/>
      <c r="BOH2476" s="124"/>
      <c r="BOI2476" s="124"/>
      <c r="BOJ2476" s="124"/>
      <c r="BOK2476" s="124"/>
      <c r="BOL2476" s="124"/>
      <c r="BOM2476" s="124"/>
      <c r="BON2476" s="124"/>
      <c r="BOO2476" s="124"/>
      <c r="BOP2476" s="124"/>
      <c r="BOQ2476" s="124"/>
      <c r="BOR2476" s="124"/>
      <c r="BOS2476" s="124"/>
      <c r="BOT2476" s="124"/>
      <c r="BOU2476" s="124"/>
      <c r="BOV2476" s="124"/>
      <c r="BOW2476" s="124"/>
      <c r="BOX2476" s="124"/>
      <c r="BOY2476" s="124"/>
      <c r="BOZ2476" s="124"/>
      <c r="BPA2476" s="124"/>
      <c r="BPB2476" s="124"/>
      <c r="BPC2476" s="124"/>
      <c r="BPD2476" s="124"/>
      <c r="BPE2476" s="124"/>
      <c r="BPF2476" s="124"/>
      <c r="BPG2476" s="124"/>
      <c r="BPH2476" s="124"/>
      <c r="BPI2476" s="124"/>
      <c r="BPJ2476" s="124"/>
      <c r="BPK2476" s="124"/>
      <c r="BPL2476" s="124"/>
      <c r="BPM2476" s="124"/>
      <c r="BPN2476" s="124"/>
      <c r="BPO2476" s="124"/>
      <c r="BPP2476" s="124"/>
      <c r="BPQ2476" s="124"/>
      <c r="BPR2476" s="124"/>
      <c r="BPS2476" s="124"/>
      <c r="BPT2476" s="124"/>
      <c r="BPU2476" s="124"/>
      <c r="BPV2476" s="124"/>
      <c r="BPW2476" s="124"/>
      <c r="BPX2476" s="124"/>
      <c r="BPY2476" s="124"/>
      <c r="BPZ2476" s="124"/>
      <c r="BQA2476" s="124"/>
      <c r="BQB2476" s="124"/>
      <c r="BQC2476" s="124"/>
      <c r="BQD2476" s="124"/>
      <c r="BQE2476" s="124"/>
      <c r="BQF2476" s="124"/>
      <c r="BQG2476" s="124"/>
      <c r="BQH2476" s="124"/>
      <c r="BQI2476" s="124"/>
      <c r="BQJ2476" s="124"/>
      <c r="BQK2476" s="124"/>
      <c r="BQL2476" s="124"/>
      <c r="BQM2476" s="124"/>
      <c r="BQN2476" s="124"/>
      <c r="BQO2476" s="124"/>
      <c r="BQP2476" s="124"/>
      <c r="BQQ2476" s="124"/>
      <c r="BQR2476" s="124"/>
      <c r="BQS2476" s="124"/>
      <c r="BQT2476" s="124"/>
      <c r="BQU2476" s="124"/>
      <c r="BQV2476" s="124"/>
      <c r="BQW2476" s="124"/>
      <c r="BQX2476" s="124"/>
      <c r="BQY2476" s="124"/>
      <c r="BQZ2476" s="124"/>
      <c r="BRA2476" s="124"/>
      <c r="BRB2476" s="124"/>
      <c r="BRC2476" s="124"/>
      <c r="BRD2476" s="124"/>
      <c r="BRE2476" s="124"/>
      <c r="BRF2476" s="124"/>
      <c r="BRG2476" s="124"/>
      <c r="BRH2476" s="124"/>
      <c r="BRI2476" s="124"/>
      <c r="BRJ2476" s="124"/>
      <c r="BRK2476" s="124"/>
      <c r="BRL2476" s="124"/>
      <c r="BRM2476" s="124"/>
      <c r="BRN2476" s="124"/>
      <c r="BRO2476" s="124"/>
      <c r="BRP2476" s="124"/>
      <c r="BRQ2476" s="124"/>
      <c r="BRR2476" s="124"/>
      <c r="BRS2476" s="124"/>
      <c r="BRT2476" s="124"/>
      <c r="BRU2476" s="124"/>
      <c r="BRV2476" s="124"/>
      <c r="BRW2476" s="124"/>
      <c r="BRX2476" s="124"/>
      <c r="BRY2476" s="124"/>
      <c r="BRZ2476" s="124"/>
      <c r="BSA2476" s="124"/>
      <c r="BSB2476" s="124"/>
      <c r="BSC2476" s="124"/>
      <c r="BSD2476" s="124"/>
      <c r="BSE2476" s="124"/>
      <c r="BSF2476" s="124"/>
      <c r="BSG2476" s="124"/>
      <c r="BSH2476" s="124"/>
      <c r="BSI2476" s="124"/>
      <c r="BSJ2476" s="124"/>
      <c r="BSK2476" s="124"/>
      <c r="BSL2476" s="124"/>
      <c r="BSM2476" s="124"/>
      <c r="BSN2476" s="124"/>
      <c r="BSO2476" s="124"/>
      <c r="BSP2476" s="124"/>
      <c r="BSQ2476" s="124"/>
      <c r="BSR2476" s="124"/>
      <c r="BSS2476" s="124"/>
      <c r="BST2476" s="124"/>
      <c r="BSU2476" s="124"/>
      <c r="BSV2476" s="124"/>
      <c r="BSW2476" s="124"/>
      <c r="BSX2476" s="124"/>
      <c r="BSY2476" s="124"/>
      <c r="BSZ2476" s="124"/>
      <c r="BTA2476" s="124"/>
      <c r="BTB2476" s="124"/>
      <c r="BTC2476" s="124"/>
      <c r="BTD2476" s="124"/>
      <c r="BTE2476" s="124"/>
      <c r="BTF2476" s="124"/>
      <c r="BTG2476" s="124"/>
      <c r="BTH2476" s="124"/>
      <c r="BTI2476" s="124"/>
      <c r="BTJ2476" s="124"/>
      <c r="BTK2476" s="124"/>
      <c r="BTL2476" s="124"/>
      <c r="BTM2476" s="124"/>
      <c r="BTN2476" s="124"/>
      <c r="BTO2476" s="124"/>
      <c r="BTP2476" s="124"/>
      <c r="BTQ2476" s="124"/>
      <c r="BTR2476" s="124"/>
      <c r="BTS2476" s="124"/>
      <c r="BTT2476" s="124"/>
      <c r="BTU2476" s="124"/>
      <c r="BTV2476" s="124"/>
      <c r="BTW2476" s="124"/>
      <c r="BTX2476" s="124"/>
      <c r="BTY2476" s="124"/>
      <c r="BTZ2476" s="124"/>
      <c r="BUA2476" s="124"/>
      <c r="BUB2476" s="124"/>
      <c r="BUC2476" s="124"/>
      <c r="BUD2476" s="124"/>
      <c r="BUE2476" s="124"/>
      <c r="BUF2476" s="124"/>
      <c r="BUG2476" s="124"/>
      <c r="BUH2476" s="124"/>
      <c r="BUI2476" s="124"/>
      <c r="BUJ2476" s="124"/>
      <c r="BUK2476" s="124"/>
      <c r="BUL2476" s="124"/>
      <c r="BUM2476" s="124"/>
      <c r="BUN2476" s="124"/>
      <c r="BUO2476" s="124"/>
      <c r="BUP2476" s="124"/>
      <c r="BUQ2476" s="124"/>
      <c r="BUR2476" s="124"/>
      <c r="BUS2476" s="124"/>
      <c r="BUT2476" s="124"/>
      <c r="BUU2476" s="124"/>
      <c r="BUV2476" s="124"/>
      <c r="BUW2476" s="124"/>
      <c r="BUX2476" s="124"/>
      <c r="BUY2476" s="124"/>
      <c r="BUZ2476" s="124"/>
      <c r="BVA2476" s="124"/>
      <c r="BVB2476" s="124"/>
      <c r="BVC2476" s="124"/>
      <c r="BVD2476" s="124"/>
      <c r="BVE2476" s="124"/>
      <c r="BVF2476" s="124"/>
      <c r="BVG2476" s="124"/>
      <c r="BVH2476" s="124"/>
      <c r="BVI2476" s="124"/>
      <c r="BVJ2476" s="124"/>
      <c r="BVK2476" s="124"/>
      <c r="BVL2476" s="124"/>
      <c r="BVM2476" s="124"/>
      <c r="BVN2476" s="124"/>
      <c r="BVO2476" s="124"/>
      <c r="BVP2476" s="124"/>
      <c r="BVQ2476" s="124"/>
      <c r="BVR2476" s="124"/>
      <c r="BVS2476" s="124"/>
      <c r="BVT2476" s="124"/>
      <c r="BVU2476" s="124"/>
      <c r="BVV2476" s="124"/>
      <c r="BVW2476" s="124"/>
      <c r="BVX2476" s="124"/>
      <c r="BVY2476" s="124"/>
      <c r="BVZ2476" s="124"/>
      <c r="BWA2476" s="124"/>
      <c r="BWB2476" s="124"/>
      <c r="BWC2476" s="124"/>
      <c r="BWD2476" s="124"/>
      <c r="BWE2476" s="124"/>
      <c r="BWF2476" s="124"/>
      <c r="BWG2476" s="124"/>
      <c r="BWH2476" s="124"/>
      <c r="BWI2476" s="124"/>
      <c r="BWJ2476" s="124"/>
      <c r="BWK2476" s="124"/>
      <c r="BWL2476" s="124"/>
      <c r="BWM2476" s="124"/>
      <c r="BWN2476" s="124"/>
      <c r="BWO2476" s="124"/>
      <c r="BWP2476" s="124"/>
      <c r="BWQ2476" s="124"/>
      <c r="BWR2476" s="124"/>
      <c r="BWS2476" s="124"/>
      <c r="BWT2476" s="124"/>
      <c r="BWU2476" s="124"/>
      <c r="BWV2476" s="124"/>
      <c r="BWW2476" s="124"/>
      <c r="BWX2476" s="124"/>
      <c r="BWY2476" s="124"/>
      <c r="BWZ2476" s="124"/>
      <c r="BXA2476" s="124"/>
      <c r="BXB2476" s="124"/>
      <c r="BXC2476" s="124"/>
      <c r="BXD2476" s="124"/>
      <c r="BXE2476" s="124"/>
      <c r="BXF2476" s="124"/>
      <c r="BXG2476" s="124"/>
      <c r="BXH2476" s="124"/>
      <c r="BXI2476" s="124"/>
      <c r="BXJ2476" s="124"/>
      <c r="BXK2476" s="124"/>
      <c r="BXL2476" s="124"/>
      <c r="BXM2476" s="124"/>
      <c r="BXN2476" s="124"/>
      <c r="BXO2476" s="124"/>
      <c r="BXP2476" s="124"/>
      <c r="BXQ2476" s="124"/>
      <c r="BXR2476" s="124"/>
      <c r="BXS2476" s="124"/>
      <c r="BXT2476" s="124"/>
      <c r="BXU2476" s="124"/>
      <c r="BXV2476" s="124"/>
      <c r="BXW2476" s="124"/>
      <c r="BXX2476" s="124"/>
      <c r="BXY2476" s="124"/>
      <c r="BXZ2476" s="124"/>
      <c r="BYA2476" s="124"/>
      <c r="BYB2476" s="124"/>
      <c r="BYC2476" s="124"/>
      <c r="BYD2476" s="124"/>
      <c r="BYE2476" s="124"/>
      <c r="BYF2476" s="124"/>
      <c r="BYG2476" s="124"/>
      <c r="BYH2476" s="124"/>
      <c r="BYI2476" s="124"/>
      <c r="BYJ2476" s="124"/>
      <c r="BYK2476" s="124"/>
      <c r="BYL2476" s="124"/>
      <c r="BYM2476" s="124"/>
      <c r="BYN2476" s="124"/>
      <c r="BYO2476" s="124"/>
      <c r="BYP2476" s="124"/>
      <c r="BYQ2476" s="124"/>
      <c r="BYR2476" s="124"/>
      <c r="BYS2476" s="124"/>
      <c r="BYT2476" s="124"/>
      <c r="BYU2476" s="124"/>
      <c r="BYV2476" s="124"/>
      <c r="BYW2476" s="124"/>
      <c r="BYX2476" s="124"/>
      <c r="BYY2476" s="124"/>
      <c r="BYZ2476" s="124"/>
      <c r="BZA2476" s="124"/>
      <c r="BZB2476" s="124"/>
      <c r="BZC2476" s="124"/>
      <c r="BZD2476" s="124"/>
      <c r="BZE2476" s="124"/>
      <c r="BZF2476" s="124"/>
      <c r="BZG2476" s="124"/>
      <c r="BZH2476" s="124"/>
      <c r="BZI2476" s="124"/>
      <c r="BZJ2476" s="124"/>
      <c r="BZK2476" s="124"/>
      <c r="BZL2476" s="124"/>
      <c r="BZM2476" s="124"/>
      <c r="BZN2476" s="124"/>
      <c r="BZO2476" s="124"/>
      <c r="BZP2476" s="124"/>
      <c r="BZQ2476" s="124"/>
      <c r="BZR2476" s="124"/>
      <c r="BZS2476" s="124"/>
      <c r="BZT2476" s="124"/>
      <c r="BZU2476" s="124"/>
      <c r="BZV2476" s="124"/>
      <c r="BZW2476" s="124"/>
      <c r="BZX2476" s="124"/>
      <c r="BZY2476" s="124"/>
      <c r="BZZ2476" s="124"/>
      <c r="CAA2476" s="124"/>
      <c r="CAB2476" s="124"/>
      <c r="CAC2476" s="124"/>
      <c r="CAD2476" s="124"/>
      <c r="CAE2476" s="124"/>
      <c r="CAF2476" s="124"/>
      <c r="CAG2476" s="124"/>
      <c r="CAH2476" s="124"/>
      <c r="CAI2476" s="124"/>
      <c r="CAJ2476" s="124"/>
      <c r="CAK2476" s="124"/>
      <c r="CAL2476" s="124"/>
      <c r="CAM2476" s="124"/>
      <c r="CAN2476" s="124"/>
      <c r="CAO2476" s="124"/>
      <c r="CAP2476" s="124"/>
      <c r="CAQ2476" s="124"/>
      <c r="CAR2476" s="124"/>
      <c r="CAS2476" s="124"/>
      <c r="CAT2476" s="124"/>
      <c r="CAU2476" s="124"/>
      <c r="CAV2476" s="124"/>
      <c r="CAW2476" s="124"/>
      <c r="CAX2476" s="124"/>
      <c r="CAY2476" s="124"/>
      <c r="CAZ2476" s="124"/>
      <c r="CBA2476" s="124"/>
      <c r="CBB2476" s="124"/>
      <c r="CBC2476" s="124"/>
      <c r="CBD2476" s="124"/>
      <c r="CBE2476" s="124"/>
      <c r="CBF2476" s="124"/>
      <c r="CBG2476" s="124"/>
      <c r="CBH2476" s="124"/>
      <c r="CBI2476" s="124"/>
      <c r="CBJ2476" s="124"/>
      <c r="CBK2476" s="124"/>
      <c r="CBL2476" s="124"/>
      <c r="CBM2476" s="124"/>
      <c r="CBN2476" s="124"/>
      <c r="CBO2476" s="124"/>
      <c r="CBP2476" s="124"/>
      <c r="CBQ2476" s="124"/>
      <c r="CBR2476" s="124"/>
      <c r="CBS2476" s="124"/>
      <c r="CBT2476" s="124"/>
      <c r="CBU2476" s="124"/>
      <c r="CBV2476" s="124"/>
      <c r="CBW2476" s="124"/>
      <c r="CBX2476" s="124"/>
      <c r="CBY2476" s="124"/>
      <c r="CBZ2476" s="124"/>
      <c r="CCA2476" s="124"/>
      <c r="CCB2476" s="124"/>
      <c r="CCC2476" s="124"/>
      <c r="CCD2476" s="124"/>
      <c r="CCE2476" s="124"/>
      <c r="CCF2476" s="124"/>
      <c r="CCG2476" s="124"/>
      <c r="CCH2476" s="124"/>
      <c r="CCI2476" s="124"/>
      <c r="CCJ2476" s="124"/>
      <c r="CCK2476" s="124"/>
      <c r="CCL2476" s="124"/>
      <c r="CCM2476" s="124"/>
      <c r="CCN2476" s="124"/>
      <c r="CCO2476" s="124"/>
      <c r="CCP2476" s="124"/>
      <c r="CCQ2476" s="124"/>
      <c r="CCR2476" s="124"/>
      <c r="CCS2476" s="124"/>
      <c r="CCT2476" s="124"/>
      <c r="CCU2476" s="124"/>
      <c r="CCV2476" s="124"/>
      <c r="CCW2476" s="124"/>
      <c r="CCX2476" s="124"/>
      <c r="CCY2476" s="124"/>
      <c r="CCZ2476" s="124"/>
      <c r="CDA2476" s="124"/>
      <c r="CDB2476" s="124"/>
      <c r="CDC2476" s="124"/>
      <c r="CDD2476" s="124"/>
      <c r="CDE2476" s="124"/>
      <c r="CDF2476" s="124"/>
      <c r="CDG2476" s="124"/>
      <c r="CDH2476" s="124"/>
      <c r="CDI2476" s="124"/>
      <c r="CDJ2476" s="124"/>
      <c r="CDK2476" s="124"/>
      <c r="CDL2476" s="124"/>
      <c r="CDM2476" s="124"/>
      <c r="CDN2476" s="124"/>
      <c r="CDO2476" s="124"/>
      <c r="CDP2476" s="124"/>
      <c r="CDQ2476" s="124"/>
      <c r="CDR2476" s="124"/>
      <c r="CDS2476" s="124"/>
      <c r="CDT2476" s="124"/>
      <c r="CDU2476" s="124"/>
      <c r="CDV2476" s="124"/>
      <c r="CDW2476" s="124"/>
      <c r="CDX2476" s="124"/>
      <c r="CDY2476" s="124"/>
      <c r="CDZ2476" s="124"/>
      <c r="CEA2476" s="124"/>
      <c r="CEB2476" s="124"/>
      <c r="CEC2476" s="124"/>
      <c r="CED2476" s="124"/>
      <c r="CEE2476" s="124"/>
      <c r="CEF2476" s="124"/>
      <c r="CEG2476" s="124"/>
      <c r="CEH2476" s="124"/>
      <c r="CEI2476" s="124"/>
      <c r="CEJ2476" s="124"/>
      <c r="CEK2476" s="124"/>
      <c r="CEL2476" s="124"/>
      <c r="CEM2476" s="124"/>
      <c r="CEN2476" s="124"/>
      <c r="CEO2476" s="124"/>
      <c r="CEP2476" s="124"/>
      <c r="CEQ2476" s="124"/>
      <c r="CER2476" s="124"/>
      <c r="CES2476" s="124"/>
      <c r="CET2476" s="124"/>
      <c r="CEU2476" s="124"/>
      <c r="CEV2476" s="124"/>
      <c r="CEW2476" s="124"/>
      <c r="CEX2476" s="124"/>
      <c r="CEY2476" s="124"/>
      <c r="CEZ2476" s="124"/>
      <c r="CFA2476" s="124"/>
      <c r="CFB2476" s="124"/>
      <c r="CFC2476" s="124"/>
      <c r="CFD2476" s="124"/>
      <c r="CFE2476" s="124"/>
      <c r="CFF2476" s="124"/>
      <c r="CFG2476" s="124"/>
      <c r="CFH2476" s="124"/>
      <c r="CFI2476" s="124"/>
      <c r="CFJ2476" s="124"/>
      <c r="CFK2476" s="124"/>
      <c r="CFL2476" s="124"/>
      <c r="CFM2476" s="124"/>
      <c r="CFN2476" s="124"/>
      <c r="CFO2476" s="124"/>
      <c r="CFP2476" s="124"/>
      <c r="CFQ2476" s="124"/>
      <c r="CFR2476" s="124"/>
      <c r="CFS2476" s="124"/>
      <c r="CFT2476" s="124"/>
      <c r="CFU2476" s="124"/>
      <c r="CFV2476" s="124"/>
      <c r="CFW2476" s="124"/>
      <c r="CFX2476" s="124"/>
      <c r="CFY2476" s="124"/>
      <c r="CFZ2476" s="124"/>
      <c r="CGA2476" s="124"/>
      <c r="CGB2476" s="124"/>
      <c r="CGC2476" s="124"/>
      <c r="CGD2476" s="124"/>
      <c r="CGE2476" s="124"/>
      <c r="CGF2476" s="124"/>
      <c r="CGG2476" s="124"/>
      <c r="CGH2476" s="124"/>
      <c r="CGI2476" s="124"/>
      <c r="CGJ2476" s="124"/>
      <c r="CGK2476" s="124"/>
      <c r="CGL2476" s="124"/>
      <c r="CGM2476" s="124"/>
      <c r="CGN2476" s="124"/>
      <c r="CGO2476" s="124"/>
      <c r="CGP2476" s="124"/>
      <c r="CGQ2476" s="124"/>
      <c r="CGR2476" s="124"/>
      <c r="CGS2476" s="124"/>
      <c r="CGT2476" s="124"/>
      <c r="CGU2476" s="124"/>
      <c r="CGV2476" s="124"/>
      <c r="CGW2476" s="124"/>
      <c r="CGX2476" s="124"/>
      <c r="CGY2476" s="124"/>
      <c r="CGZ2476" s="124"/>
      <c r="CHA2476" s="124"/>
      <c r="CHB2476" s="124"/>
      <c r="CHC2476" s="124"/>
      <c r="CHD2476" s="124"/>
      <c r="CHE2476" s="124"/>
      <c r="CHF2476" s="124"/>
      <c r="CHG2476" s="124"/>
      <c r="CHH2476" s="124"/>
      <c r="CHI2476" s="124"/>
      <c r="CHJ2476" s="124"/>
      <c r="CHK2476" s="124"/>
      <c r="CHL2476" s="124"/>
      <c r="CHM2476" s="124"/>
      <c r="CHN2476" s="124"/>
      <c r="CHO2476" s="124"/>
      <c r="CHP2476" s="124"/>
      <c r="CHQ2476" s="124"/>
      <c r="CHR2476" s="124"/>
      <c r="CHS2476" s="124"/>
      <c r="CHT2476" s="124"/>
      <c r="CHU2476" s="124"/>
      <c r="CHV2476" s="124"/>
      <c r="CHW2476" s="124"/>
      <c r="CHX2476" s="124"/>
      <c r="CHY2476" s="124"/>
      <c r="CHZ2476" s="124"/>
      <c r="CIA2476" s="124"/>
      <c r="CIB2476" s="124"/>
      <c r="CIC2476" s="124"/>
      <c r="CID2476" s="124"/>
      <c r="CIE2476" s="124"/>
      <c r="CIF2476" s="124"/>
      <c r="CIG2476" s="124"/>
      <c r="CIH2476" s="124"/>
      <c r="CII2476" s="124"/>
      <c r="CIJ2476" s="124"/>
      <c r="CIK2476" s="124"/>
      <c r="CIL2476" s="124"/>
      <c r="CIM2476" s="124"/>
      <c r="CIN2476" s="124"/>
      <c r="CIO2476" s="124"/>
      <c r="CIP2476" s="124"/>
      <c r="CIQ2476" s="124"/>
      <c r="CIR2476" s="124"/>
      <c r="CIS2476" s="124"/>
      <c r="CIT2476" s="124"/>
      <c r="CIU2476" s="124"/>
      <c r="CIV2476" s="124"/>
      <c r="CIW2476" s="124"/>
      <c r="CIX2476" s="124"/>
      <c r="CIY2476" s="124"/>
      <c r="CIZ2476" s="124"/>
      <c r="CJA2476" s="124"/>
      <c r="CJB2476" s="124"/>
      <c r="CJC2476" s="124"/>
      <c r="CJD2476" s="124"/>
      <c r="CJE2476" s="124"/>
      <c r="CJF2476" s="124"/>
      <c r="CJG2476" s="124"/>
      <c r="CJH2476" s="124"/>
      <c r="CJI2476" s="124"/>
      <c r="CJJ2476" s="124"/>
      <c r="CJK2476" s="124"/>
      <c r="CJL2476" s="124"/>
      <c r="CJM2476" s="124"/>
      <c r="CJN2476" s="124"/>
      <c r="CJO2476" s="124"/>
      <c r="CJP2476" s="124"/>
      <c r="CJQ2476" s="124"/>
      <c r="CJR2476" s="124"/>
      <c r="CJS2476" s="124"/>
      <c r="CJT2476" s="124"/>
      <c r="CJU2476" s="124"/>
      <c r="CJV2476" s="124"/>
      <c r="CJW2476" s="124"/>
      <c r="CJX2476" s="124"/>
      <c r="CJY2476" s="124"/>
      <c r="CJZ2476" s="124"/>
      <c r="CKA2476" s="124"/>
      <c r="CKB2476" s="124"/>
      <c r="CKC2476" s="124"/>
      <c r="CKD2476" s="124"/>
      <c r="CKE2476" s="124"/>
      <c r="CKF2476" s="124"/>
      <c r="CKG2476" s="124"/>
      <c r="CKH2476" s="124"/>
      <c r="CKI2476" s="124"/>
      <c r="CKJ2476" s="124"/>
      <c r="CKK2476" s="124"/>
      <c r="CKL2476" s="124"/>
      <c r="CKM2476" s="124"/>
      <c r="CKN2476" s="124"/>
      <c r="CKO2476" s="124"/>
      <c r="CKP2476" s="124"/>
      <c r="CKQ2476" s="124"/>
      <c r="CKR2476" s="124"/>
      <c r="CKS2476" s="124"/>
      <c r="CKT2476" s="124"/>
      <c r="CKU2476" s="124"/>
      <c r="CKV2476" s="124"/>
      <c r="CKW2476" s="124"/>
      <c r="CKX2476" s="124"/>
      <c r="CKY2476" s="124"/>
      <c r="CKZ2476" s="124"/>
      <c r="CLA2476" s="124"/>
      <c r="CLB2476" s="124"/>
      <c r="CLC2476" s="124"/>
      <c r="CLD2476" s="124"/>
      <c r="CLE2476" s="124"/>
      <c r="CLF2476" s="124"/>
      <c r="CLG2476" s="124"/>
      <c r="CLH2476" s="124"/>
      <c r="CLI2476" s="124"/>
      <c r="CLJ2476" s="124"/>
      <c r="CLK2476" s="124"/>
      <c r="CLL2476" s="124"/>
      <c r="CLM2476" s="124"/>
      <c r="CLN2476" s="124"/>
      <c r="CLO2476" s="124"/>
      <c r="CLP2476" s="124"/>
      <c r="CLQ2476" s="124"/>
      <c r="CLR2476" s="124"/>
      <c r="CLS2476" s="124"/>
      <c r="CLT2476" s="124"/>
      <c r="CLU2476" s="124"/>
      <c r="CLV2476" s="124"/>
      <c r="CLW2476" s="124"/>
      <c r="CLX2476" s="124"/>
      <c r="CLY2476" s="124"/>
      <c r="CLZ2476" s="124"/>
      <c r="CMA2476" s="124"/>
      <c r="CMB2476" s="124"/>
      <c r="CMC2476" s="124"/>
      <c r="CMD2476" s="124"/>
      <c r="CME2476" s="124"/>
      <c r="CMF2476" s="124"/>
      <c r="CMG2476" s="124"/>
      <c r="CMH2476" s="124"/>
      <c r="CMI2476" s="124"/>
      <c r="CMJ2476" s="124"/>
      <c r="CMK2476" s="124"/>
      <c r="CML2476" s="124"/>
      <c r="CMM2476" s="124"/>
      <c r="CMN2476" s="124"/>
      <c r="CMO2476" s="124"/>
      <c r="CMP2476" s="124"/>
      <c r="CMQ2476" s="124"/>
      <c r="CMR2476" s="124"/>
      <c r="CMS2476" s="124"/>
      <c r="CMT2476" s="124"/>
      <c r="CMU2476" s="124"/>
      <c r="CMV2476" s="124"/>
      <c r="CMW2476" s="124"/>
      <c r="CMX2476" s="124"/>
      <c r="CMY2476" s="124"/>
      <c r="CMZ2476" s="124"/>
      <c r="CNA2476" s="124"/>
      <c r="CNB2476" s="124"/>
      <c r="CNC2476" s="124"/>
      <c r="CND2476" s="124"/>
      <c r="CNE2476" s="124"/>
      <c r="CNF2476" s="124"/>
      <c r="CNG2476" s="124"/>
      <c r="CNH2476" s="124"/>
      <c r="CNI2476" s="124"/>
      <c r="CNJ2476" s="124"/>
      <c r="CNK2476" s="124"/>
      <c r="CNL2476" s="124"/>
      <c r="CNM2476" s="124"/>
      <c r="CNN2476" s="124"/>
      <c r="CNO2476" s="124"/>
      <c r="CNP2476" s="124"/>
      <c r="CNQ2476" s="124"/>
      <c r="CNR2476" s="124"/>
      <c r="CNS2476" s="124"/>
      <c r="CNT2476" s="124"/>
      <c r="CNU2476" s="124"/>
      <c r="CNV2476" s="124"/>
      <c r="CNW2476" s="124"/>
      <c r="CNX2476" s="124"/>
      <c r="CNY2476" s="124"/>
      <c r="CNZ2476" s="124"/>
      <c r="COA2476" s="124"/>
      <c r="COB2476" s="124"/>
      <c r="COC2476" s="124"/>
      <c r="COD2476" s="124"/>
      <c r="COE2476" s="124"/>
      <c r="COF2476" s="124"/>
      <c r="COG2476" s="124"/>
      <c r="COH2476" s="124"/>
      <c r="COI2476" s="124"/>
      <c r="COJ2476" s="124"/>
      <c r="COK2476" s="124"/>
      <c r="COL2476" s="124"/>
      <c r="COM2476" s="124"/>
      <c r="CON2476" s="124"/>
      <c r="COO2476" s="124"/>
      <c r="COP2476" s="124"/>
      <c r="COQ2476" s="124"/>
      <c r="COR2476" s="124"/>
      <c r="COS2476" s="124"/>
      <c r="COT2476" s="124"/>
      <c r="COU2476" s="124"/>
      <c r="COV2476" s="124"/>
      <c r="COW2476" s="124"/>
      <c r="COX2476" s="124"/>
      <c r="COY2476" s="124"/>
      <c r="COZ2476" s="124"/>
      <c r="CPA2476" s="124"/>
      <c r="CPB2476" s="124"/>
      <c r="CPC2476" s="124"/>
      <c r="CPD2476" s="124"/>
      <c r="CPE2476" s="124"/>
      <c r="CPF2476" s="124"/>
      <c r="CPG2476" s="124"/>
      <c r="CPH2476" s="124"/>
      <c r="CPI2476" s="124"/>
      <c r="CPJ2476" s="124"/>
      <c r="CPK2476" s="124"/>
      <c r="CPL2476" s="124"/>
      <c r="CPM2476" s="124"/>
      <c r="CPN2476" s="124"/>
      <c r="CPO2476" s="124"/>
      <c r="CPP2476" s="124"/>
      <c r="CPQ2476" s="124"/>
      <c r="CPR2476" s="124"/>
      <c r="CPS2476" s="124"/>
      <c r="CPT2476" s="124"/>
      <c r="CPU2476" s="124"/>
      <c r="CPV2476" s="124"/>
      <c r="CPW2476" s="124"/>
      <c r="CPX2476" s="124"/>
      <c r="CPY2476" s="124"/>
      <c r="CPZ2476" s="124"/>
      <c r="CQA2476" s="124"/>
      <c r="CQB2476" s="124"/>
      <c r="CQC2476" s="124"/>
      <c r="CQD2476" s="124"/>
      <c r="CQE2476" s="124"/>
      <c r="CQF2476" s="124"/>
      <c r="CQG2476" s="124"/>
      <c r="CQH2476" s="124"/>
      <c r="CQI2476" s="124"/>
      <c r="CQJ2476" s="124"/>
      <c r="CQK2476" s="124"/>
      <c r="CQL2476" s="124"/>
      <c r="CQM2476" s="124"/>
      <c r="CQN2476" s="124"/>
      <c r="CQO2476" s="124"/>
      <c r="CQP2476" s="124"/>
      <c r="CQQ2476" s="124"/>
      <c r="CQR2476" s="124"/>
      <c r="CQS2476" s="124"/>
      <c r="CQT2476" s="124"/>
      <c r="CQU2476" s="124"/>
      <c r="CQV2476" s="124"/>
      <c r="CQW2476" s="124"/>
      <c r="CQX2476" s="124"/>
      <c r="CQY2476" s="124"/>
      <c r="CQZ2476" s="124"/>
      <c r="CRA2476" s="124"/>
      <c r="CRB2476" s="124"/>
      <c r="CRC2476" s="124"/>
      <c r="CRD2476" s="124"/>
      <c r="CRE2476" s="124"/>
      <c r="CRF2476" s="124"/>
      <c r="CRG2476" s="124"/>
      <c r="CRH2476" s="124"/>
      <c r="CRI2476" s="124"/>
      <c r="CRJ2476" s="124"/>
      <c r="CRK2476" s="124"/>
      <c r="CRL2476" s="124"/>
      <c r="CRM2476" s="124"/>
      <c r="CRN2476" s="124"/>
      <c r="CRO2476" s="124"/>
      <c r="CRP2476" s="124"/>
      <c r="CRQ2476" s="124"/>
      <c r="CRR2476" s="124"/>
      <c r="CRS2476" s="124"/>
      <c r="CRT2476" s="124"/>
      <c r="CRU2476" s="124"/>
      <c r="CRV2476" s="124"/>
      <c r="CRW2476" s="124"/>
      <c r="CRX2476" s="124"/>
      <c r="CRY2476" s="124"/>
      <c r="CRZ2476" s="124"/>
      <c r="CSA2476" s="124"/>
      <c r="CSB2476" s="124"/>
      <c r="CSC2476" s="124"/>
      <c r="CSD2476" s="124"/>
      <c r="CSE2476" s="124"/>
      <c r="CSF2476" s="124"/>
      <c r="CSG2476" s="124"/>
      <c r="CSH2476" s="124"/>
      <c r="CSI2476" s="124"/>
      <c r="CSJ2476" s="124"/>
      <c r="CSK2476" s="124"/>
      <c r="CSL2476" s="124"/>
      <c r="CSM2476" s="124"/>
      <c r="CSN2476" s="124"/>
      <c r="CSO2476" s="124"/>
      <c r="CSP2476" s="124"/>
      <c r="CSQ2476" s="124"/>
      <c r="CSR2476" s="124"/>
      <c r="CSS2476" s="124"/>
      <c r="CST2476" s="124"/>
      <c r="CSU2476" s="124"/>
      <c r="CSV2476" s="124"/>
      <c r="CSW2476" s="124"/>
      <c r="CSX2476" s="124"/>
      <c r="CSY2476" s="124"/>
      <c r="CSZ2476" s="124"/>
      <c r="CTA2476" s="124"/>
      <c r="CTB2476" s="124"/>
      <c r="CTC2476" s="124"/>
      <c r="CTD2476" s="124"/>
      <c r="CTE2476" s="124"/>
      <c r="CTF2476" s="124"/>
      <c r="CTG2476" s="124"/>
      <c r="CTH2476" s="124"/>
      <c r="CTI2476" s="124"/>
      <c r="CTJ2476" s="124"/>
      <c r="CTK2476" s="124"/>
      <c r="CTL2476" s="124"/>
      <c r="CTM2476" s="124"/>
      <c r="CTN2476" s="124"/>
      <c r="CTO2476" s="124"/>
      <c r="CTP2476" s="124"/>
      <c r="CTQ2476" s="124"/>
      <c r="CTR2476" s="124"/>
      <c r="CTS2476" s="124"/>
      <c r="CTT2476" s="124"/>
      <c r="CTU2476" s="124"/>
      <c r="CTV2476" s="124"/>
      <c r="CTW2476" s="124"/>
      <c r="CTX2476" s="124"/>
      <c r="CTY2476" s="124"/>
      <c r="CTZ2476" s="124"/>
      <c r="CUA2476" s="124"/>
      <c r="CUB2476" s="124"/>
      <c r="CUC2476" s="124"/>
      <c r="CUD2476" s="124"/>
      <c r="CUE2476" s="124"/>
      <c r="CUF2476" s="124"/>
      <c r="CUG2476" s="124"/>
      <c r="CUH2476" s="124"/>
      <c r="CUI2476" s="124"/>
      <c r="CUJ2476" s="124"/>
      <c r="CUK2476" s="124"/>
      <c r="CUL2476" s="124"/>
      <c r="CUM2476" s="124"/>
      <c r="CUN2476" s="124"/>
      <c r="CUO2476" s="124"/>
      <c r="CUP2476" s="124"/>
      <c r="CUQ2476" s="124"/>
      <c r="CUR2476" s="124"/>
      <c r="CUS2476" s="124"/>
      <c r="CUT2476" s="124"/>
      <c r="CUU2476" s="124"/>
      <c r="CUV2476" s="124"/>
      <c r="CUW2476" s="124"/>
      <c r="CUX2476" s="124"/>
      <c r="CUY2476" s="124"/>
      <c r="CUZ2476" s="124"/>
      <c r="CVA2476" s="124"/>
      <c r="CVB2476" s="124"/>
      <c r="CVC2476" s="124"/>
      <c r="CVD2476" s="124"/>
      <c r="CVE2476" s="124"/>
      <c r="CVF2476" s="124"/>
      <c r="CVG2476" s="124"/>
      <c r="CVH2476" s="124"/>
      <c r="CVI2476" s="124"/>
      <c r="CVJ2476" s="124"/>
      <c r="CVK2476" s="124"/>
      <c r="CVL2476" s="124"/>
      <c r="CVM2476" s="124"/>
      <c r="CVN2476" s="124"/>
      <c r="CVO2476" s="124"/>
      <c r="CVP2476" s="124"/>
      <c r="CVQ2476" s="124"/>
      <c r="CVR2476" s="124"/>
      <c r="CVS2476" s="124"/>
      <c r="CVT2476" s="124"/>
      <c r="CVU2476" s="124"/>
      <c r="CVV2476" s="124"/>
      <c r="CVW2476" s="124"/>
      <c r="CVX2476" s="124"/>
      <c r="CVY2476" s="124"/>
      <c r="CVZ2476" s="124"/>
      <c r="CWA2476" s="124"/>
      <c r="CWB2476" s="124"/>
      <c r="CWC2476" s="124"/>
      <c r="CWD2476" s="124"/>
      <c r="CWE2476" s="124"/>
      <c r="CWF2476" s="124"/>
      <c r="CWG2476" s="124"/>
      <c r="CWH2476" s="124"/>
      <c r="CWI2476" s="124"/>
      <c r="CWJ2476" s="124"/>
      <c r="CWK2476" s="124"/>
      <c r="CWL2476" s="124"/>
      <c r="CWM2476" s="124"/>
      <c r="CWN2476" s="124"/>
      <c r="CWO2476" s="124"/>
      <c r="CWP2476" s="124"/>
      <c r="CWQ2476" s="124"/>
      <c r="CWR2476" s="124"/>
      <c r="CWS2476" s="124"/>
      <c r="CWT2476" s="124"/>
      <c r="CWU2476" s="124"/>
      <c r="CWV2476" s="124"/>
      <c r="CWW2476" s="124"/>
      <c r="CWX2476" s="124"/>
      <c r="CWY2476" s="124"/>
      <c r="CWZ2476" s="124"/>
      <c r="CXA2476" s="124"/>
      <c r="CXB2476" s="124"/>
      <c r="CXC2476" s="124"/>
      <c r="CXD2476" s="124"/>
      <c r="CXE2476" s="124"/>
      <c r="CXF2476" s="124"/>
      <c r="CXG2476" s="124"/>
      <c r="CXH2476" s="124"/>
      <c r="CXI2476" s="124"/>
      <c r="CXJ2476" s="124"/>
      <c r="CXK2476" s="124"/>
      <c r="CXL2476" s="124"/>
      <c r="CXM2476" s="124"/>
      <c r="CXN2476" s="124"/>
      <c r="CXO2476" s="124"/>
      <c r="CXP2476" s="124"/>
      <c r="CXQ2476" s="124"/>
      <c r="CXR2476" s="124"/>
      <c r="CXS2476" s="124"/>
      <c r="CXT2476" s="124"/>
      <c r="CXU2476" s="124"/>
      <c r="CXV2476" s="124"/>
      <c r="CXW2476" s="124"/>
      <c r="CXX2476" s="124"/>
      <c r="CXY2476" s="124"/>
      <c r="CXZ2476" s="124"/>
      <c r="CYA2476" s="124"/>
      <c r="CYB2476" s="124"/>
      <c r="CYC2476" s="124"/>
      <c r="CYD2476" s="124"/>
      <c r="CYE2476" s="124"/>
      <c r="CYF2476" s="124"/>
      <c r="CYG2476" s="124"/>
      <c r="CYH2476" s="124"/>
      <c r="CYI2476" s="124"/>
      <c r="CYJ2476" s="124"/>
      <c r="CYK2476" s="124"/>
      <c r="CYL2476" s="124"/>
      <c r="CYM2476" s="124"/>
      <c r="CYN2476" s="124"/>
      <c r="CYO2476" s="124"/>
      <c r="CYP2476" s="124"/>
      <c r="CYQ2476" s="124"/>
      <c r="CYR2476" s="124"/>
      <c r="CYS2476" s="124"/>
      <c r="CYT2476" s="124"/>
      <c r="CYU2476" s="124"/>
      <c r="CYV2476" s="124"/>
      <c r="CYW2476" s="124"/>
      <c r="CYX2476" s="124"/>
      <c r="CYY2476" s="124"/>
      <c r="CYZ2476" s="124"/>
      <c r="CZA2476" s="124"/>
      <c r="CZB2476" s="124"/>
      <c r="CZC2476" s="124"/>
      <c r="CZD2476" s="124"/>
      <c r="CZE2476" s="124"/>
      <c r="CZF2476" s="124"/>
      <c r="CZG2476" s="124"/>
      <c r="CZH2476" s="124"/>
      <c r="CZI2476" s="124"/>
      <c r="CZJ2476" s="124"/>
      <c r="CZK2476" s="124"/>
      <c r="CZL2476" s="124"/>
      <c r="CZM2476" s="124"/>
      <c r="CZN2476" s="124"/>
      <c r="CZO2476" s="124"/>
      <c r="CZP2476" s="124"/>
      <c r="CZQ2476" s="124"/>
      <c r="CZR2476" s="124"/>
      <c r="CZS2476" s="124"/>
      <c r="CZT2476" s="124"/>
      <c r="CZU2476" s="124"/>
      <c r="CZV2476" s="124"/>
      <c r="CZW2476" s="124"/>
      <c r="CZX2476" s="124"/>
      <c r="CZY2476" s="124"/>
      <c r="CZZ2476" s="124"/>
      <c r="DAA2476" s="124"/>
      <c r="DAB2476" s="124"/>
      <c r="DAC2476" s="124"/>
      <c r="DAD2476" s="124"/>
      <c r="DAE2476" s="124"/>
      <c r="DAF2476" s="124"/>
      <c r="DAG2476" s="124"/>
      <c r="DAH2476" s="124"/>
      <c r="DAI2476" s="124"/>
      <c r="DAJ2476" s="124"/>
      <c r="DAK2476" s="124"/>
      <c r="DAL2476" s="124"/>
      <c r="DAM2476" s="124"/>
      <c r="DAN2476" s="124"/>
      <c r="DAO2476" s="124"/>
      <c r="DAP2476" s="124"/>
      <c r="DAQ2476" s="124"/>
      <c r="DAR2476" s="124"/>
      <c r="DAS2476" s="124"/>
      <c r="DAT2476" s="124"/>
      <c r="DAU2476" s="124"/>
      <c r="DAV2476" s="124"/>
      <c r="DAW2476" s="124"/>
      <c r="DAX2476" s="124"/>
      <c r="DAY2476" s="124"/>
      <c r="DAZ2476" s="124"/>
      <c r="DBA2476" s="124"/>
      <c r="DBB2476" s="124"/>
      <c r="DBC2476" s="124"/>
      <c r="DBD2476" s="124"/>
      <c r="DBE2476" s="124"/>
      <c r="DBF2476" s="124"/>
      <c r="DBG2476" s="124"/>
      <c r="DBH2476" s="124"/>
      <c r="DBI2476" s="124"/>
      <c r="DBJ2476" s="124"/>
      <c r="DBK2476" s="124"/>
      <c r="DBL2476" s="124"/>
      <c r="DBM2476" s="124"/>
      <c r="DBN2476" s="124"/>
      <c r="DBO2476" s="124"/>
      <c r="DBP2476" s="124"/>
      <c r="DBQ2476" s="124"/>
      <c r="DBR2476" s="124"/>
      <c r="DBS2476" s="124"/>
      <c r="DBT2476" s="124"/>
      <c r="DBU2476" s="124"/>
      <c r="DBV2476" s="124"/>
      <c r="DBW2476" s="124"/>
      <c r="DBX2476" s="124"/>
      <c r="DBY2476" s="124"/>
      <c r="DBZ2476" s="124"/>
      <c r="DCA2476" s="124"/>
      <c r="DCB2476" s="124"/>
      <c r="DCC2476" s="124"/>
      <c r="DCD2476" s="124"/>
      <c r="DCE2476" s="124"/>
      <c r="DCF2476" s="124"/>
      <c r="DCG2476" s="124"/>
      <c r="DCH2476" s="124"/>
      <c r="DCI2476" s="124"/>
      <c r="DCJ2476" s="124"/>
      <c r="DCK2476" s="124"/>
      <c r="DCL2476" s="124"/>
      <c r="DCM2476" s="124"/>
      <c r="DCN2476" s="124"/>
      <c r="DCO2476" s="124"/>
      <c r="DCP2476" s="124"/>
      <c r="DCQ2476" s="124"/>
      <c r="DCR2476" s="124"/>
      <c r="DCS2476" s="124"/>
      <c r="DCT2476" s="124"/>
      <c r="DCU2476" s="124"/>
      <c r="DCV2476" s="124"/>
      <c r="DCW2476" s="124"/>
      <c r="DCX2476" s="124"/>
      <c r="DCY2476" s="124"/>
      <c r="DCZ2476" s="124"/>
      <c r="DDA2476" s="124"/>
      <c r="DDB2476" s="124"/>
      <c r="DDC2476" s="124"/>
      <c r="DDD2476" s="124"/>
      <c r="DDE2476" s="124"/>
      <c r="DDF2476" s="124"/>
      <c r="DDG2476" s="124"/>
      <c r="DDH2476" s="124"/>
      <c r="DDI2476" s="124"/>
      <c r="DDJ2476" s="124"/>
      <c r="DDK2476" s="124"/>
      <c r="DDL2476" s="124"/>
      <c r="DDM2476" s="124"/>
      <c r="DDN2476" s="124"/>
      <c r="DDO2476" s="124"/>
      <c r="DDP2476" s="124"/>
      <c r="DDQ2476" s="124"/>
      <c r="DDR2476" s="124"/>
      <c r="DDS2476" s="124"/>
      <c r="DDT2476" s="124"/>
      <c r="DDU2476" s="124"/>
      <c r="DDV2476" s="124"/>
      <c r="DDW2476" s="124"/>
      <c r="DDX2476" s="124"/>
      <c r="DDY2476" s="124"/>
      <c r="DDZ2476" s="124"/>
      <c r="DEA2476" s="124"/>
      <c r="DEB2476" s="124"/>
      <c r="DEC2476" s="124"/>
      <c r="DED2476" s="124"/>
      <c r="DEE2476" s="124"/>
      <c r="DEF2476" s="124"/>
      <c r="DEG2476" s="124"/>
      <c r="DEH2476" s="124"/>
      <c r="DEI2476" s="124"/>
      <c r="DEJ2476" s="124"/>
      <c r="DEK2476" s="124"/>
      <c r="DEL2476" s="124"/>
      <c r="DEM2476" s="124"/>
      <c r="DEN2476" s="124"/>
      <c r="DEO2476" s="124"/>
      <c r="DEP2476" s="124"/>
      <c r="DEQ2476" s="124"/>
      <c r="DER2476" s="124"/>
      <c r="DES2476" s="124"/>
      <c r="DET2476" s="124"/>
      <c r="DEU2476" s="124"/>
      <c r="DEV2476" s="124"/>
      <c r="DEW2476" s="124"/>
      <c r="DEX2476" s="124"/>
      <c r="DEY2476" s="124"/>
      <c r="DEZ2476" s="124"/>
      <c r="DFA2476" s="124"/>
      <c r="DFB2476" s="124"/>
      <c r="DFC2476" s="124"/>
      <c r="DFD2476" s="124"/>
      <c r="DFE2476" s="124"/>
      <c r="DFF2476" s="124"/>
      <c r="DFG2476" s="124"/>
      <c r="DFH2476" s="124"/>
      <c r="DFI2476" s="124"/>
      <c r="DFJ2476" s="124"/>
      <c r="DFK2476" s="124"/>
      <c r="DFL2476" s="124"/>
      <c r="DFM2476" s="124"/>
      <c r="DFN2476" s="124"/>
      <c r="DFO2476" s="124"/>
      <c r="DFP2476" s="124"/>
      <c r="DFQ2476" s="124"/>
      <c r="DFR2476" s="124"/>
      <c r="DFS2476" s="124"/>
      <c r="DFT2476" s="124"/>
      <c r="DFU2476" s="124"/>
      <c r="DFV2476" s="124"/>
      <c r="DFW2476" s="124"/>
      <c r="DFX2476" s="124"/>
      <c r="DFY2476" s="124"/>
      <c r="DFZ2476" s="124"/>
      <c r="DGA2476" s="124"/>
      <c r="DGB2476" s="124"/>
      <c r="DGC2476" s="124"/>
      <c r="DGD2476" s="124"/>
      <c r="DGE2476" s="124"/>
      <c r="DGF2476" s="124"/>
      <c r="DGG2476" s="124"/>
      <c r="DGH2476" s="124"/>
      <c r="DGI2476" s="124"/>
      <c r="DGJ2476" s="124"/>
      <c r="DGK2476" s="124"/>
      <c r="DGL2476" s="124"/>
      <c r="DGM2476" s="124"/>
      <c r="DGN2476" s="124"/>
      <c r="DGO2476" s="124"/>
      <c r="DGP2476" s="124"/>
      <c r="DGQ2476" s="124"/>
      <c r="DGR2476" s="124"/>
      <c r="DGS2476" s="124"/>
      <c r="DGT2476" s="124"/>
      <c r="DGU2476" s="124"/>
      <c r="DGV2476" s="124"/>
      <c r="DGW2476" s="124"/>
      <c r="DGX2476" s="124"/>
      <c r="DGY2476" s="124"/>
      <c r="DGZ2476" s="124"/>
      <c r="DHA2476" s="124"/>
      <c r="DHB2476" s="124"/>
      <c r="DHC2476" s="124"/>
      <c r="DHD2476" s="124"/>
      <c r="DHE2476" s="124"/>
      <c r="DHF2476" s="124"/>
      <c r="DHG2476" s="124"/>
      <c r="DHH2476" s="124"/>
      <c r="DHI2476" s="124"/>
      <c r="DHJ2476" s="124"/>
      <c r="DHK2476" s="124"/>
      <c r="DHL2476" s="124"/>
      <c r="DHM2476" s="124"/>
      <c r="DHN2476" s="124"/>
      <c r="DHO2476" s="124"/>
      <c r="DHP2476" s="124"/>
      <c r="DHQ2476" s="124"/>
      <c r="DHR2476" s="124"/>
      <c r="DHS2476" s="124"/>
      <c r="DHT2476" s="124"/>
      <c r="DHU2476" s="124"/>
      <c r="DHV2476" s="124"/>
      <c r="DHW2476" s="124"/>
      <c r="DHX2476" s="124"/>
      <c r="DHY2476" s="124"/>
      <c r="DHZ2476" s="124"/>
      <c r="DIA2476" s="124"/>
      <c r="DIB2476" s="124"/>
      <c r="DIC2476" s="124"/>
      <c r="DID2476" s="124"/>
      <c r="DIE2476" s="124"/>
      <c r="DIF2476" s="124"/>
      <c r="DIG2476" s="124"/>
      <c r="DIH2476" s="124"/>
      <c r="DII2476" s="124"/>
      <c r="DIJ2476" s="124"/>
      <c r="DIK2476" s="124"/>
      <c r="DIL2476" s="124"/>
      <c r="DIM2476" s="124"/>
      <c r="DIN2476" s="124"/>
      <c r="DIO2476" s="124"/>
      <c r="DIP2476" s="124"/>
      <c r="DIQ2476" s="124"/>
      <c r="DIR2476" s="124"/>
      <c r="DIS2476" s="124"/>
      <c r="DIT2476" s="124"/>
      <c r="DIU2476" s="124"/>
      <c r="DIV2476" s="124"/>
      <c r="DIW2476" s="124"/>
      <c r="DIX2476" s="124"/>
      <c r="DIY2476" s="124"/>
      <c r="DIZ2476" s="124"/>
      <c r="DJA2476" s="124"/>
      <c r="DJB2476" s="124"/>
      <c r="DJC2476" s="124"/>
      <c r="DJD2476" s="124"/>
      <c r="DJE2476" s="124"/>
      <c r="DJF2476" s="124"/>
      <c r="DJG2476" s="124"/>
      <c r="DJH2476" s="124"/>
      <c r="DJI2476" s="124"/>
      <c r="DJJ2476" s="124"/>
      <c r="DJK2476" s="124"/>
      <c r="DJL2476" s="124"/>
      <c r="DJM2476" s="124"/>
      <c r="DJN2476" s="124"/>
      <c r="DJO2476" s="124"/>
      <c r="DJP2476" s="124"/>
      <c r="DJQ2476" s="124"/>
      <c r="DJR2476" s="124"/>
      <c r="DJS2476" s="124"/>
      <c r="DJT2476" s="124"/>
      <c r="DJU2476" s="124"/>
      <c r="DJV2476" s="124"/>
      <c r="DJW2476" s="124"/>
      <c r="DJX2476" s="124"/>
      <c r="DJY2476" s="124"/>
      <c r="DJZ2476" s="124"/>
      <c r="DKA2476" s="124"/>
      <c r="DKB2476" s="124"/>
      <c r="DKC2476" s="124"/>
      <c r="DKD2476" s="124"/>
      <c r="DKE2476" s="124"/>
      <c r="DKF2476" s="124"/>
      <c r="DKG2476" s="124"/>
      <c r="DKH2476" s="124"/>
      <c r="DKI2476" s="124"/>
      <c r="DKJ2476" s="124"/>
      <c r="DKK2476" s="124"/>
      <c r="DKL2476" s="124"/>
      <c r="DKM2476" s="124"/>
      <c r="DKN2476" s="124"/>
      <c r="DKO2476" s="124"/>
      <c r="DKP2476" s="124"/>
      <c r="DKQ2476" s="124"/>
      <c r="DKR2476" s="124"/>
      <c r="DKS2476" s="124"/>
      <c r="DKT2476" s="124"/>
      <c r="DKU2476" s="124"/>
      <c r="DKV2476" s="124"/>
      <c r="DKW2476" s="124"/>
      <c r="DKX2476" s="124"/>
      <c r="DKY2476" s="124"/>
      <c r="DKZ2476" s="124"/>
      <c r="DLA2476" s="124"/>
      <c r="DLB2476" s="124"/>
      <c r="DLC2476" s="124"/>
      <c r="DLD2476" s="124"/>
      <c r="DLE2476" s="124"/>
      <c r="DLF2476" s="124"/>
      <c r="DLG2476" s="124"/>
      <c r="DLH2476" s="124"/>
      <c r="DLI2476" s="124"/>
      <c r="DLJ2476" s="124"/>
      <c r="DLK2476" s="124"/>
      <c r="DLL2476" s="124"/>
      <c r="DLM2476" s="124"/>
      <c r="DLN2476" s="124"/>
      <c r="DLO2476" s="124"/>
      <c r="DLP2476" s="124"/>
      <c r="DLQ2476" s="124"/>
      <c r="DLR2476" s="124"/>
      <c r="DLS2476" s="124"/>
      <c r="DLT2476" s="124"/>
      <c r="DLU2476" s="124"/>
      <c r="DLV2476" s="124"/>
      <c r="DLW2476" s="124"/>
      <c r="DLX2476" s="124"/>
      <c r="DLY2476" s="124"/>
      <c r="DLZ2476" s="124"/>
      <c r="DMA2476" s="124"/>
      <c r="DMB2476" s="124"/>
      <c r="DMC2476" s="124"/>
      <c r="DMD2476" s="124"/>
      <c r="DME2476" s="124"/>
      <c r="DMF2476" s="124"/>
      <c r="DMG2476" s="124"/>
      <c r="DMH2476" s="124"/>
      <c r="DMI2476" s="124"/>
      <c r="DMJ2476" s="124"/>
      <c r="DMK2476" s="124"/>
      <c r="DML2476" s="124"/>
      <c r="DMM2476" s="124"/>
      <c r="DMN2476" s="124"/>
      <c r="DMO2476" s="124"/>
      <c r="DMP2476" s="124"/>
      <c r="DMQ2476" s="124"/>
      <c r="DMR2476" s="124"/>
      <c r="DMS2476" s="124"/>
      <c r="DMT2476" s="124"/>
      <c r="DMU2476" s="124"/>
      <c r="DMV2476" s="124"/>
      <c r="DMW2476" s="124"/>
      <c r="DMX2476" s="124"/>
      <c r="DMY2476" s="124"/>
      <c r="DMZ2476" s="124"/>
      <c r="DNA2476" s="124"/>
      <c r="DNB2476" s="124"/>
      <c r="DNC2476" s="124"/>
      <c r="DND2476" s="124"/>
      <c r="DNE2476" s="124"/>
      <c r="DNF2476" s="124"/>
      <c r="DNG2476" s="124"/>
      <c r="DNH2476" s="124"/>
      <c r="DNI2476" s="124"/>
      <c r="DNJ2476" s="124"/>
      <c r="DNK2476" s="124"/>
      <c r="DNL2476" s="124"/>
      <c r="DNM2476" s="124"/>
      <c r="DNN2476" s="124"/>
      <c r="DNO2476" s="124"/>
      <c r="DNP2476" s="124"/>
      <c r="DNQ2476" s="124"/>
      <c r="DNR2476" s="124"/>
      <c r="DNS2476" s="124"/>
      <c r="DNT2476" s="124"/>
      <c r="DNU2476" s="124"/>
      <c r="DNV2476" s="124"/>
      <c r="DNW2476" s="124"/>
      <c r="DNX2476" s="124"/>
      <c r="DNY2476" s="124"/>
      <c r="DNZ2476" s="124"/>
      <c r="DOA2476" s="124"/>
      <c r="DOB2476" s="124"/>
      <c r="DOC2476" s="124"/>
      <c r="DOD2476" s="124"/>
      <c r="DOE2476" s="124"/>
      <c r="DOF2476" s="124"/>
      <c r="DOG2476" s="124"/>
      <c r="DOH2476" s="124"/>
      <c r="DOI2476" s="124"/>
      <c r="DOJ2476" s="124"/>
      <c r="DOK2476" s="124"/>
      <c r="DOL2476" s="124"/>
      <c r="DOM2476" s="124"/>
      <c r="DON2476" s="124"/>
      <c r="DOO2476" s="124"/>
      <c r="DOP2476" s="124"/>
      <c r="DOQ2476" s="124"/>
      <c r="DOR2476" s="124"/>
      <c r="DOS2476" s="124"/>
      <c r="DOT2476" s="124"/>
      <c r="DOU2476" s="124"/>
      <c r="DOV2476" s="124"/>
      <c r="DOW2476" s="124"/>
      <c r="DOX2476" s="124"/>
      <c r="DOY2476" s="124"/>
      <c r="DOZ2476" s="124"/>
      <c r="DPA2476" s="124"/>
      <c r="DPB2476" s="124"/>
      <c r="DPC2476" s="124"/>
      <c r="DPD2476" s="124"/>
      <c r="DPE2476" s="124"/>
      <c r="DPF2476" s="124"/>
      <c r="DPG2476" s="124"/>
      <c r="DPH2476" s="124"/>
      <c r="DPI2476" s="124"/>
      <c r="DPJ2476" s="124"/>
      <c r="DPK2476" s="124"/>
      <c r="DPL2476" s="124"/>
      <c r="DPM2476" s="124"/>
      <c r="DPN2476" s="124"/>
      <c r="DPO2476" s="124"/>
      <c r="DPP2476" s="124"/>
      <c r="DPQ2476" s="124"/>
      <c r="DPR2476" s="124"/>
      <c r="DPS2476" s="124"/>
      <c r="DPT2476" s="124"/>
      <c r="DPU2476" s="124"/>
      <c r="DPV2476" s="124"/>
      <c r="DPW2476" s="124"/>
      <c r="DPX2476" s="124"/>
      <c r="DPY2476" s="124"/>
      <c r="DPZ2476" s="124"/>
      <c r="DQA2476" s="124"/>
      <c r="DQB2476" s="124"/>
      <c r="DQC2476" s="124"/>
      <c r="DQD2476" s="124"/>
      <c r="DQE2476" s="124"/>
      <c r="DQF2476" s="124"/>
      <c r="DQG2476" s="124"/>
      <c r="DQH2476" s="124"/>
      <c r="DQI2476" s="124"/>
      <c r="DQJ2476" s="124"/>
      <c r="DQK2476" s="124"/>
      <c r="DQL2476" s="124"/>
      <c r="DQM2476" s="124"/>
      <c r="DQN2476" s="124"/>
      <c r="DQO2476" s="124"/>
      <c r="DQP2476" s="124"/>
      <c r="DQQ2476" s="124"/>
      <c r="DQR2476" s="124"/>
      <c r="DQS2476" s="124"/>
      <c r="DQT2476" s="124"/>
      <c r="DQU2476" s="124"/>
      <c r="DQV2476" s="124"/>
      <c r="DQW2476" s="124"/>
      <c r="DQX2476" s="124"/>
      <c r="DQY2476" s="124"/>
      <c r="DQZ2476" s="124"/>
      <c r="DRA2476" s="124"/>
      <c r="DRB2476" s="124"/>
      <c r="DRC2476" s="124"/>
      <c r="DRD2476" s="124"/>
      <c r="DRE2476" s="124"/>
      <c r="DRF2476" s="124"/>
      <c r="DRG2476" s="124"/>
      <c r="DRH2476" s="124"/>
      <c r="DRI2476" s="124"/>
      <c r="DRJ2476" s="124"/>
      <c r="DRK2476" s="124"/>
      <c r="DRL2476" s="124"/>
      <c r="DRM2476" s="124"/>
      <c r="DRN2476" s="124"/>
      <c r="DRO2476" s="124"/>
      <c r="DRP2476" s="124"/>
      <c r="DRQ2476" s="124"/>
      <c r="DRR2476" s="124"/>
      <c r="DRS2476" s="124"/>
      <c r="DRT2476" s="124"/>
      <c r="DRU2476" s="124"/>
      <c r="DRV2476" s="124"/>
      <c r="DRW2476" s="124"/>
      <c r="DRX2476" s="124"/>
      <c r="DRY2476" s="124"/>
      <c r="DRZ2476" s="124"/>
      <c r="DSA2476" s="124"/>
      <c r="DSB2476" s="124"/>
      <c r="DSC2476" s="124"/>
      <c r="DSD2476" s="124"/>
      <c r="DSE2476" s="124"/>
      <c r="DSF2476" s="124"/>
      <c r="DSG2476" s="124"/>
      <c r="DSH2476" s="124"/>
      <c r="DSI2476" s="124"/>
      <c r="DSJ2476" s="124"/>
      <c r="DSK2476" s="124"/>
      <c r="DSL2476" s="124"/>
      <c r="DSM2476" s="124"/>
      <c r="DSN2476" s="124"/>
      <c r="DSO2476" s="124"/>
      <c r="DSP2476" s="124"/>
      <c r="DSQ2476" s="124"/>
      <c r="DSR2476" s="124"/>
      <c r="DSS2476" s="124"/>
      <c r="DST2476" s="124"/>
      <c r="DSU2476" s="124"/>
      <c r="DSV2476" s="124"/>
      <c r="DSW2476" s="124"/>
      <c r="DSX2476" s="124"/>
      <c r="DSY2476" s="124"/>
      <c r="DSZ2476" s="124"/>
      <c r="DTA2476" s="124"/>
      <c r="DTB2476" s="124"/>
      <c r="DTC2476" s="124"/>
      <c r="DTD2476" s="124"/>
      <c r="DTE2476" s="124"/>
      <c r="DTF2476" s="124"/>
      <c r="DTG2476" s="124"/>
      <c r="DTH2476" s="124"/>
      <c r="DTI2476" s="124"/>
      <c r="DTJ2476" s="124"/>
      <c r="DTK2476" s="124"/>
      <c r="DTL2476" s="124"/>
      <c r="DTM2476" s="124"/>
      <c r="DTN2476" s="124"/>
      <c r="DTO2476" s="124"/>
      <c r="DTP2476" s="124"/>
      <c r="DTQ2476" s="124"/>
      <c r="DTR2476" s="124"/>
      <c r="DTS2476" s="124"/>
      <c r="DTT2476" s="124"/>
      <c r="DTU2476" s="124"/>
      <c r="DTV2476" s="124"/>
      <c r="DTW2476" s="124"/>
      <c r="DTX2476" s="124"/>
      <c r="DTY2476" s="124"/>
      <c r="DTZ2476" s="124"/>
      <c r="DUA2476" s="124"/>
      <c r="DUB2476" s="124"/>
      <c r="DUC2476" s="124"/>
      <c r="DUD2476" s="124"/>
      <c r="DUE2476" s="124"/>
      <c r="DUF2476" s="124"/>
      <c r="DUG2476" s="124"/>
      <c r="DUH2476" s="124"/>
      <c r="DUI2476" s="124"/>
      <c r="DUJ2476" s="124"/>
      <c r="DUK2476" s="124"/>
      <c r="DUL2476" s="124"/>
      <c r="DUM2476" s="124"/>
      <c r="DUN2476" s="124"/>
      <c r="DUO2476" s="124"/>
      <c r="DUP2476" s="124"/>
      <c r="DUQ2476" s="124"/>
      <c r="DUR2476" s="124"/>
      <c r="DUS2476" s="124"/>
      <c r="DUT2476" s="124"/>
      <c r="DUU2476" s="124"/>
      <c r="DUV2476" s="124"/>
      <c r="DUW2476" s="124"/>
      <c r="DUX2476" s="124"/>
      <c r="DUY2476" s="124"/>
      <c r="DUZ2476" s="124"/>
      <c r="DVA2476" s="124"/>
      <c r="DVB2476" s="124"/>
      <c r="DVC2476" s="124"/>
      <c r="DVD2476" s="124"/>
      <c r="DVE2476" s="124"/>
      <c r="DVF2476" s="124"/>
      <c r="DVG2476" s="124"/>
      <c r="DVH2476" s="124"/>
      <c r="DVI2476" s="124"/>
      <c r="DVJ2476" s="124"/>
      <c r="DVK2476" s="124"/>
      <c r="DVL2476" s="124"/>
      <c r="DVM2476" s="124"/>
      <c r="DVN2476" s="124"/>
      <c r="DVO2476" s="124"/>
      <c r="DVP2476" s="124"/>
      <c r="DVQ2476" s="124"/>
      <c r="DVR2476" s="124"/>
      <c r="DVS2476" s="124"/>
      <c r="DVT2476" s="124"/>
      <c r="DVU2476" s="124"/>
      <c r="DVV2476" s="124"/>
      <c r="DVW2476" s="124"/>
      <c r="DVX2476" s="124"/>
      <c r="DVY2476" s="124"/>
      <c r="DVZ2476" s="124"/>
      <c r="DWA2476" s="124"/>
      <c r="DWB2476" s="124"/>
      <c r="DWC2476" s="124"/>
      <c r="DWD2476" s="124"/>
      <c r="DWE2476" s="124"/>
      <c r="DWF2476" s="124"/>
      <c r="DWG2476" s="124"/>
      <c r="DWH2476" s="124"/>
      <c r="DWI2476" s="124"/>
      <c r="DWJ2476" s="124"/>
      <c r="DWK2476" s="124"/>
      <c r="DWL2476" s="124"/>
      <c r="DWM2476" s="124"/>
      <c r="DWN2476" s="124"/>
      <c r="DWO2476" s="124"/>
      <c r="DWP2476" s="124"/>
      <c r="DWQ2476" s="124"/>
      <c r="DWR2476" s="124"/>
      <c r="DWS2476" s="124"/>
      <c r="DWT2476" s="124"/>
      <c r="DWU2476" s="124"/>
      <c r="DWV2476" s="124"/>
      <c r="DWW2476" s="124"/>
      <c r="DWX2476" s="124"/>
      <c r="DWY2476" s="124"/>
      <c r="DWZ2476" s="124"/>
      <c r="DXA2476" s="124"/>
      <c r="DXB2476" s="124"/>
      <c r="DXC2476" s="124"/>
      <c r="DXD2476" s="124"/>
      <c r="DXE2476" s="124"/>
      <c r="DXF2476" s="124"/>
      <c r="DXG2476" s="124"/>
      <c r="DXH2476" s="124"/>
      <c r="DXI2476" s="124"/>
      <c r="DXJ2476" s="124"/>
      <c r="DXK2476" s="124"/>
      <c r="DXL2476" s="124"/>
      <c r="DXM2476" s="124"/>
      <c r="DXN2476" s="124"/>
      <c r="DXO2476" s="124"/>
      <c r="DXP2476" s="124"/>
      <c r="DXQ2476" s="124"/>
      <c r="DXR2476" s="124"/>
      <c r="DXS2476" s="124"/>
      <c r="DXT2476" s="124"/>
      <c r="DXU2476" s="124"/>
      <c r="DXV2476" s="124"/>
      <c r="DXW2476" s="124"/>
      <c r="DXX2476" s="124"/>
      <c r="DXY2476" s="124"/>
      <c r="DXZ2476" s="124"/>
      <c r="DYA2476" s="124"/>
      <c r="DYB2476" s="124"/>
      <c r="DYC2476" s="124"/>
      <c r="DYD2476" s="124"/>
      <c r="DYE2476" s="124"/>
      <c r="DYF2476" s="124"/>
      <c r="DYG2476" s="124"/>
      <c r="DYH2476" s="124"/>
      <c r="DYI2476" s="124"/>
      <c r="DYJ2476" s="124"/>
      <c r="DYK2476" s="124"/>
      <c r="DYL2476" s="124"/>
      <c r="DYM2476" s="124"/>
      <c r="DYN2476" s="124"/>
      <c r="DYO2476" s="124"/>
      <c r="DYP2476" s="124"/>
      <c r="DYQ2476" s="124"/>
      <c r="DYR2476" s="124"/>
      <c r="DYS2476" s="124"/>
      <c r="DYT2476" s="124"/>
      <c r="DYU2476" s="124"/>
      <c r="DYV2476" s="124"/>
      <c r="DYW2476" s="124"/>
      <c r="DYX2476" s="124"/>
      <c r="DYY2476" s="124"/>
      <c r="DYZ2476" s="124"/>
      <c r="DZA2476" s="124"/>
      <c r="DZB2476" s="124"/>
      <c r="DZC2476" s="124"/>
      <c r="DZD2476" s="124"/>
      <c r="DZE2476" s="124"/>
      <c r="DZF2476" s="124"/>
      <c r="DZG2476" s="124"/>
      <c r="DZH2476" s="124"/>
      <c r="DZI2476" s="124"/>
      <c r="DZJ2476" s="124"/>
      <c r="DZK2476" s="124"/>
      <c r="DZL2476" s="124"/>
      <c r="DZM2476" s="124"/>
      <c r="DZN2476" s="124"/>
      <c r="DZO2476" s="124"/>
      <c r="DZP2476" s="124"/>
      <c r="DZQ2476" s="124"/>
      <c r="DZR2476" s="124"/>
      <c r="DZS2476" s="124"/>
      <c r="DZT2476" s="124"/>
      <c r="DZU2476" s="124"/>
      <c r="DZV2476" s="124"/>
      <c r="DZW2476" s="124"/>
      <c r="DZX2476" s="124"/>
      <c r="DZY2476" s="124"/>
      <c r="DZZ2476" s="124"/>
      <c r="EAA2476" s="124"/>
      <c r="EAB2476" s="124"/>
      <c r="EAC2476" s="124"/>
      <c r="EAD2476" s="124"/>
      <c r="EAE2476" s="124"/>
      <c r="EAF2476" s="124"/>
      <c r="EAG2476" s="124"/>
      <c r="EAH2476" s="124"/>
      <c r="EAI2476" s="124"/>
      <c r="EAJ2476" s="124"/>
      <c r="EAK2476" s="124"/>
      <c r="EAL2476" s="124"/>
      <c r="EAM2476" s="124"/>
      <c r="EAN2476" s="124"/>
      <c r="EAO2476" s="124"/>
      <c r="EAP2476" s="124"/>
      <c r="EAQ2476" s="124"/>
      <c r="EAR2476" s="124"/>
      <c r="EAS2476" s="124"/>
      <c r="EAT2476" s="124"/>
      <c r="EAU2476" s="124"/>
      <c r="EAV2476" s="124"/>
      <c r="EAW2476" s="124"/>
      <c r="EAX2476" s="124"/>
      <c r="EAY2476" s="124"/>
      <c r="EAZ2476" s="124"/>
      <c r="EBA2476" s="124"/>
      <c r="EBB2476" s="124"/>
      <c r="EBC2476" s="124"/>
      <c r="EBD2476" s="124"/>
      <c r="EBE2476" s="124"/>
      <c r="EBF2476" s="124"/>
      <c r="EBG2476" s="124"/>
      <c r="EBH2476" s="124"/>
      <c r="EBI2476" s="124"/>
      <c r="EBJ2476" s="124"/>
      <c r="EBK2476" s="124"/>
      <c r="EBL2476" s="124"/>
      <c r="EBM2476" s="124"/>
      <c r="EBN2476" s="124"/>
      <c r="EBO2476" s="124"/>
      <c r="EBP2476" s="124"/>
      <c r="EBQ2476" s="124"/>
      <c r="EBR2476" s="124"/>
      <c r="EBS2476" s="124"/>
      <c r="EBT2476" s="124"/>
      <c r="EBU2476" s="124"/>
      <c r="EBV2476" s="124"/>
      <c r="EBW2476" s="124"/>
      <c r="EBX2476" s="124"/>
      <c r="EBY2476" s="124"/>
      <c r="EBZ2476" s="124"/>
      <c r="ECA2476" s="124"/>
      <c r="ECB2476" s="124"/>
      <c r="ECC2476" s="124"/>
      <c r="ECD2476" s="124"/>
      <c r="ECE2476" s="124"/>
      <c r="ECF2476" s="124"/>
      <c r="ECG2476" s="124"/>
      <c r="ECH2476" s="124"/>
      <c r="ECI2476" s="124"/>
      <c r="ECJ2476" s="124"/>
      <c r="ECK2476" s="124"/>
      <c r="ECL2476" s="124"/>
      <c r="ECM2476" s="124"/>
      <c r="ECN2476" s="124"/>
      <c r="ECO2476" s="124"/>
      <c r="ECP2476" s="124"/>
      <c r="ECQ2476" s="124"/>
      <c r="ECR2476" s="124"/>
      <c r="ECS2476" s="124"/>
      <c r="ECT2476" s="124"/>
      <c r="ECU2476" s="124"/>
      <c r="ECV2476" s="124"/>
      <c r="ECW2476" s="124"/>
      <c r="ECX2476" s="124"/>
      <c r="ECY2476" s="124"/>
      <c r="ECZ2476" s="124"/>
      <c r="EDA2476" s="124"/>
      <c r="EDB2476" s="124"/>
      <c r="EDC2476" s="124"/>
      <c r="EDD2476" s="124"/>
      <c r="EDE2476" s="124"/>
      <c r="EDF2476" s="124"/>
      <c r="EDG2476" s="124"/>
      <c r="EDH2476" s="124"/>
      <c r="EDI2476" s="124"/>
      <c r="EDJ2476" s="124"/>
      <c r="EDK2476" s="124"/>
      <c r="EDL2476" s="124"/>
      <c r="EDM2476" s="124"/>
      <c r="EDN2476" s="124"/>
      <c r="EDO2476" s="124"/>
      <c r="EDP2476" s="124"/>
      <c r="EDQ2476" s="124"/>
      <c r="EDR2476" s="124"/>
      <c r="EDS2476" s="124"/>
      <c r="EDT2476" s="124"/>
      <c r="EDU2476" s="124"/>
      <c r="EDV2476" s="124"/>
      <c r="EDW2476" s="124"/>
      <c r="EDX2476" s="124"/>
      <c r="EDY2476" s="124"/>
      <c r="EDZ2476" s="124"/>
      <c r="EEA2476" s="124"/>
      <c r="EEB2476" s="124"/>
      <c r="EEC2476" s="124"/>
      <c r="EED2476" s="124"/>
      <c r="EEE2476" s="124"/>
      <c r="EEF2476" s="124"/>
      <c r="EEG2476" s="124"/>
      <c r="EEH2476" s="124"/>
      <c r="EEI2476" s="124"/>
      <c r="EEJ2476" s="124"/>
      <c r="EEK2476" s="124"/>
      <c r="EEL2476" s="124"/>
      <c r="EEM2476" s="124"/>
      <c r="EEN2476" s="124"/>
      <c r="EEO2476" s="124"/>
      <c r="EEP2476" s="124"/>
      <c r="EEQ2476" s="124"/>
      <c r="EER2476" s="124"/>
      <c r="EES2476" s="124"/>
      <c r="EET2476" s="124"/>
      <c r="EEU2476" s="124"/>
      <c r="EEV2476" s="124"/>
      <c r="EEW2476" s="124"/>
      <c r="EEX2476" s="124"/>
      <c r="EEY2476" s="124"/>
      <c r="EEZ2476" s="124"/>
      <c r="EFA2476" s="124"/>
      <c r="EFB2476" s="124"/>
      <c r="EFC2476" s="124"/>
      <c r="EFD2476" s="124"/>
      <c r="EFE2476" s="124"/>
      <c r="EFF2476" s="124"/>
      <c r="EFG2476" s="124"/>
      <c r="EFH2476" s="124"/>
      <c r="EFI2476" s="124"/>
      <c r="EFJ2476" s="124"/>
      <c r="EFK2476" s="124"/>
      <c r="EFL2476" s="124"/>
      <c r="EFM2476" s="124"/>
      <c r="EFN2476" s="124"/>
      <c r="EFO2476" s="124"/>
      <c r="EFP2476" s="124"/>
      <c r="EFQ2476" s="124"/>
      <c r="EFR2476" s="124"/>
      <c r="EFS2476" s="124"/>
      <c r="EFT2476" s="124"/>
      <c r="EFU2476" s="124"/>
      <c r="EFV2476" s="124"/>
      <c r="EFW2476" s="124"/>
      <c r="EFX2476" s="124"/>
      <c r="EFY2476" s="124"/>
      <c r="EFZ2476" s="124"/>
      <c r="EGA2476" s="124"/>
      <c r="EGB2476" s="124"/>
      <c r="EGC2476" s="124"/>
      <c r="EGD2476" s="124"/>
      <c r="EGE2476" s="124"/>
      <c r="EGF2476" s="124"/>
      <c r="EGG2476" s="124"/>
      <c r="EGH2476" s="124"/>
      <c r="EGI2476" s="124"/>
      <c r="EGJ2476" s="124"/>
      <c r="EGK2476" s="124"/>
      <c r="EGL2476" s="124"/>
      <c r="EGM2476" s="124"/>
      <c r="EGN2476" s="124"/>
      <c r="EGO2476" s="124"/>
      <c r="EGP2476" s="124"/>
      <c r="EGQ2476" s="124"/>
      <c r="EGR2476" s="124"/>
      <c r="EGS2476" s="124"/>
      <c r="EGT2476" s="124"/>
      <c r="EGU2476" s="124"/>
      <c r="EGV2476" s="124"/>
      <c r="EGW2476" s="124"/>
      <c r="EGX2476" s="124"/>
      <c r="EGY2476" s="124"/>
      <c r="EGZ2476" s="124"/>
      <c r="EHA2476" s="124"/>
      <c r="EHB2476" s="124"/>
      <c r="EHC2476" s="124"/>
      <c r="EHD2476" s="124"/>
      <c r="EHE2476" s="124"/>
      <c r="EHF2476" s="124"/>
      <c r="EHG2476" s="124"/>
      <c r="EHH2476" s="124"/>
      <c r="EHI2476" s="124"/>
      <c r="EHJ2476" s="124"/>
      <c r="EHK2476" s="124"/>
      <c r="EHL2476" s="124"/>
      <c r="EHM2476" s="124"/>
      <c r="EHN2476" s="124"/>
      <c r="EHO2476" s="124"/>
      <c r="EHP2476" s="124"/>
      <c r="EHQ2476" s="124"/>
      <c r="EHR2476" s="124"/>
      <c r="EHS2476" s="124"/>
      <c r="EHT2476" s="124"/>
      <c r="EHU2476" s="124"/>
      <c r="EHV2476" s="124"/>
      <c r="EHW2476" s="124"/>
      <c r="EHX2476" s="124"/>
      <c r="EHY2476" s="124"/>
      <c r="EHZ2476" s="124"/>
      <c r="EIA2476" s="124"/>
      <c r="EIB2476" s="124"/>
      <c r="EIC2476" s="124"/>
      <c r="EID2476" s="124"/>
      <c r="EIE2476" s="124"/>
      <c r="EIF2476" s="124"/>
      <c r="EIG2476" s="124"/>
      <c r="EIH2476" s="124"/>
      <c r="EII2476" s="124"/>
      <c r="EIJ2476" s="124"/>
      <c r="EIK2476" s="124"/>
      <c r="EIL2476" s="124"/>
      <c r="EIM2476" s="124"/>
      <c r="EIN2476" s="124"/>
      <c r="EIO2476" s="124"/>
      <c r="EIP2476" s="124"/>
      <c r="EIQ2476" s="124"/>
      <c r="EIR2476" s="124"/>
      <c r="EIS2476" s="124"/>
      <c r="EIT2476" s="124"/>
      <c r="EIU2476" s="124"/>
      <c r="EIV2476" s="124"/>
      <c r="EIW2476" s="124"/>
      <c r="EIX2476" s="124"/>
      <c r="EIY2476" s="124"/>
      <c r="EIZ2476" s="124"/>
      <c r="EJA2476" s="124"/>
      <c r="EJB2476" s="124"/>
      <c r="EJC2476" s="124"/>
      <c r="EJD2476" s="124"/>
      <c r="EJE2476" s="124"/>
      <c r="EJF2476" s="124"/>
      <c r="EJG2476" s="124"/>
      <c r="EJH2476" s="124"/>
      <c r="EJI2476" s="124"/>
      <c r="EJJ2476" s="124"/>
      <c r="EJK2476" s="124"/>
      <c r="EJL2476" s="124"/>
      <c r="EJM2476" s="124"/>
      <c r="EJN2476" s="124"/>
      <c r="EJO2476" s="124"/>
      <c r="EJP2476" s="124"/>
      <c r="EJQ2476" s="124"/>
      <c r="EJR2476" s="124"/>
      <c r="EJS2476" s="124"/>
      <c r="EJT2476" s="124"/>
      <c r="EJU2476" s="124"/>
      <c r="EJV2476" s="124"/>
      <c r="EJW2476" s="124"/>
      <c r="EJX2476" s="124"/>
      <c r="EJY2476" s="124"/>
      <c r="EJZ2476" s="124"/>
      <c r="EKA2476" s="124"/>
      <c r="EKB2476" s="124"/>
      <c r="EKC2476" s="124"/>
      <c r="EKD2476" s="124"/>
      <c r="EKE2476" s="124"/>
      <c r="EKF2476" s="124"/>
      <c r="EKG2476" s="124"/>
      <c r="EKH2476" s="124"/>
      <c r="EKI2476" s="124"/>
      <c r="EKJ2476" s="124"/>
      <c r="EKK2476" s="124"/>
      <c r="EKL2476" s="124"/>
      <c r="EKM2476" s="124"/>
      <c r="EKN2476" s="124"/>
      <c r="EKO2476" s="124"/>
      <c r="EKP2476" s="124"/>
      <c r="EKQ2476" s="124"/>
      <c r="EKR2476" s="124"/>
      <c r="EKS2476" s="124"/>
      <c r="EKT2476" s="124"/>
      <c r="EKU2476" s="124"/>
      <c r="EKV2476" s="124"/>
      <c r="EKW2476" s="124"/>
      <c r="EKX2476" s="124"/>
      <c r="EKY2476" s="124"/>
      <c r="EKZ2476" s="124"/>
      <c r="ELA2476" s="124"/>
      <c r="ELB2476" s="124"/>
      <c r="ELC2476" s="124"/>
      <c r="ELD2476" s="124"/>
      <c r="ELE2476" s="124"/>
      <c r="ELF2476" s="124"/>
      <c r="ELG2476" s="124"/>
      <c r="ELH2476" s="124"/>
      <c r="ELI2476" s="124"/>
      <c r="ELJ2476" s="124"/>
      <c r="ELK2476" s="124"/>
      <c r="ELL2476" s="124"/>
      <c r="ELM2476" s="124"/>
      <c r="ELN2476" s="124"/>
      <c r="ELO2476" s="124"/>
      <c r="ELP2476" s="124"/>
      <c r="ELQ2476" s="124"/>
      <c r="ELR2476" s="124"/>
      <c r="ELS2476" s="124"/>
      <c r="ELT2476" s="124"/>
      <c r="ELU2476" s="124"/>
      <c r="ELV2476" s="124"/>
      <c r="ELW2476" s="124"/>
      <c r="ELX2476" s="124"/>
      <c r="ELY2476" s="124"/>
      <c r="ELZ2476" s="124"/>
      <c r="EMA2476" s="124"/>
      <c r="EMB2476" s="124"/>
      <c r="EMC2476" s="124"/>
      <c r="EMD2476" s="124"/>
      <c r="EME2476" s="124"/>
      <c r="EMF2476" s="124"/>
      <c r="EMG2476" s="124"/>
      <c r="EMH2476" s="124"/>
      <c r="EMI2476" s="124"/>
      <c r="EMJ2476" s="124"/>
      <c r="EMK2476" s="124"/>
      <c r="EML2476" s="124"/>
      <c r="EMM2476" s="124"/>
      <c r="EMN2476" s="124"/>
      <c r="EMO2476" s="124"/>
      <c r="EMP2476" s="124"/>
      <c r="EMQ2476" s="124"/>
      <c r="EMR2476" s="124"/>
      <c r="EMS2476" s="124"/>
      <c r="EMT2476" s="124"/>
      <c r="EMU2476" s="124"/>
      <c r="EMV2476" s="124"/>
      <c r="EMW2476" s="124"/>
      <c r="EMX2476" s="124"/>
      <c r="EMY2476" s="124"/>
      <c r="EMZ2476" s="124"/>
      <c r="ENA2476" s="124"/>
      <c r="ENB2476" s="124"/>
      <c r="ENC2476" s="124"/>
      <c r="END2476" s="124"/>
      <c r="ENE2476" s="124"/>
      <c r="ENF2476" s="124"/>
      <c r="ENG2476" s="124"/>
      <c r="ENH2476" s="124"/>
      <c r="ENI2476" s="124"/>
      <c r="ENJ2476" s="124"/>
      <c r="ENK2476" s="124"/>
      <c r="ENL2476" s="124"/>
      <c r="ENM2476" s="124"/>
      <c r="ENN2476" s="124"/>
      <c r="ENO2476" s="124"/>
      <c r="ENP2476" s="124"/>
      <c r="ENQ2476" s="124"/>
      <c r="ENR2476" s="124"/>
      <c r="ENS2476" s="124"/>
      <c r="ENT2476" s="124"/>
      <c r="ENU2476" s="124"/>
      <c r="ENV2476" s="124"/>
      <c r="ENW2476" s="124"/>
      <c r="ENX2476" s="124"/>
      <c r="ENY2476" s="124"/>
      <c r="ENZ2476" s="124"/>
      <c r="EOA2476" s="124"/>
      <c r="EOB2476" s="124"/>
      <c r="EOC2476" s="124"/>
      <c r="EOD2476" s="124"/>
      <c r="EOE2476" s="124"/>
      <c r="EOF2476" s="124"/>
      <c r="EOG2476" s="124"/>
      <c r="EOH2476" s="124"/>
      <c r="EOI2476" s="124"/>
      <c r="EOJ2476" s="124"/>
      <c r="EOK2476" s="124"/>
      <c r="EOL2476" s="124"/>
      <c r="EOM2476" s="124"/>
      <c r="EON2476" s="124"/>
      <c r="EOO2476" s="124"/>
      <c r="EOP2476" s="124"/>
      <c r="EOQ2476" s="124"/>
      <c r="EOR2476" s="124"/>
      <c r="EOS2476" s="124"/>
      <c r="EOT2476" s="124"/>
      <c r="EOU2476" s="124"/>
      <c r="EOV2476" s="124"/>
      <c r="EOW2476" s="124"/>
      <c r="EOX2476" s="124"/>
      <c r="EOY2476" s="124"/>
      <c r="EOZ2476" s="124"/>
      <c r="EPA2476" s="124"/>
      <c r="EPB2476" s="124"/>
      <c r="EPC2476" s="124"/>
      <c r="EPD2476" s="124"/>
      <c r="EPE2476" s="124"/>
      <c r="EPF2476" s="124"/>
      <c r="EPG2476" s="124"/>
      <c r="EPH2476" s="124"/>
      <c r="EPI2476" s="124"/>
      <c r="EPJ2476" s="124"/>
      <c r="EPK2476" s="124"/>
      <c r="EPL2476" s="124"/>
      <c r="EPM2476" s="124"/>
      <c r="EPN2476" s="124"/>
      <c r="EPO2476" s="124"/>
      <c r="EPP2476" s="124"/>
      <c r="EPQ2476" s="124"/>
      <c r="EPR2476" s="124"/>
      <c r="EPS2476" s="124"/>
      <c r="EPT2476" s="124"/>
      <c r="EPU2476" s="124"/>
      <c r="EPV2476" s="124"/>
      <c r="EPW2476" s="124"/>
      <c r="EPX2476" s="124"/>
      <c r="EPY2476" s="124"/>
      <c r="EPZ2476" s="124"/>
      <c r="EQA2476" s="124"/>
      <c r="EQB2476" s="124"/>
      <c r="EQC2476" s="124"/>
      <c r="EQD2476" s="124"/>
      <c r="EQE2476" s="124"/>
      <c r="EQF2476" s="124"/>
      <c r="EQG2476" s="124"/>
      <c r="EQH2476" s="124"/>
      <c r="EQI2476" s="124"/>
      <c r="EQJ2476" s="124"/>
      <c r="EQK2476" s="124"/>
      <c r="EQL2476" s="124"/>
      <c r="EQM2476" s="124"/>
      <c r="EQN2476" s="124"/>
      <c r="EQO2476" s="124"/>
      <c r="EQP2476" s="124"/>
      <c r="EQQ2476" s="124"/>
      <c r="EQR2476" s="124"/>
      <c r="EQS2476" s="124"/>
      <c r="EQT2476" s="124"/>
      <c r="EQU2476" s="124"/>
      <c r="EQV2476" s="124"/>
      <c r="EQW2476" s="124"/>
      <c r="EQX2476" s="124"/>
      <c r="EQY2476" s="124"/>
      <c r="EQZ2476" s="124"/>
      <c r="ERA2476" s="124"/>
      <c r="ERB2476" s="124"/>
      <c r="ERC2476" s="124"/>
      <c r="ERD2476" s="124"/>
      <c r="ERE2476" s="124"/>
      <c r="ERF2476" s="124"/>
      <c r="ERG2476" s="124"/>
      <c r="ERH2476" s="124"/>
      <c r="ERI2476" s="124"/>
      <c r="ERJ2476" s="124"/>
      <c r="ERK2476" s="124"/>
      <c r="ERL2476" s="124"/>
      <c r="ERM2476" s="124"/>
      <c r="ERN2476" s="124"/>
      <c r="ERO2476" s="124"/>
      <c r="ERP2476" s="124"/>
      <c r="ERQ2476" s="124"/>
      <c r="ERR2476" s="124"/>
      <c r="ERS2476" s="124"/>
      <c r="ERT2476" s="124"/>
      <c r="ERU2476" s="124"/>
      <c r="ERV2476" s="124"/>
      <c r="ERW2476" s="124"/>
      <c r="ERX2476" s="124"/>
      <c r="ERY2476" s="124"/>
      <c r="ERZ2476" s="124"/>
      <c r="ESA2476" s="124"/>
      <c r="ESB2476" s="124"/>
      <c r="ESC2476" s="124"/>
      <c r="ESD2476" s="124"/>
      <c r="ESE2476" s="124"/>
      <c r="ESF2476" s="124"/>
      <c r="ESG2476" s="124"/>
      <c r="ESH2476" s="124"/>
      <c r="ESI2476" s="124"/>
      <c r="ESJ2476" s="124"/>
      <c r="ESK2476" s="124"/>
      <c r="ESL2476" s="124"/>
      <c r="ESM2476" s="124"/>
      <c r="ESN2476" s="124"/>
      <c r="ESO2476" s="124"/>
      <c r="ESP2476" s="124"/>
      <c r="ESQ2476" s="124"/>
      <c r="ESR2476" s="124"/>
      <c r="ESS2476" s="124"/>
      <c r="EST2476" s="124"/>
      <c r="ESU2476" s="124"/>
      <c r="ESV2476" s="124"/>
      <c r="ESW2476" s="124"/>
      <c r="ESX2476" s="124"/>
      <c r="ESY2476" s="124"/>
      <c r="ESZ2476" s="124"/>
      <c r="ETA2476" s="124"/>
      <c r="ETB2476" s="124"/>
      <c r="ETC2476" s="124"/>
      <c r="ETD2476" s="124"/>
      <c r="ETE2476" s="124"/>
      <c r="ETF2476" s="124"/>
      <c r="ETG2476" s="124"/>
      <c r="ETH2476" s="124"/>
      <c r="ETI2476" s="124"/>
      <c r="ETJ2476" s="124"/>
      <c r="ETK2476" s="124"/>
      <c r="ETL2476" s="124"/>
      <c r="ETM2476" s="124"/>
      <c r="ETN2476" s="124"/>
      <c r="ETO2476" s="124"/>
      <c r="ETP2476" s="124"/>
      <c r="ETQ2476" s="124"/>
      <c r="ETR2476" s="124"/>
      <c r="ETS2476" s="124"/>
      <c r="ETT2476" s="124"/>
      <c r="ETU2476" s="124"/>
      <c r="ETV2476" s="124"/>
      <c r="ETW2476" s="124"/>
      <c r="ETX2476" s="124"/>
      <c r="ETY2476" s="124"/>
      <c r="ETZ2476" s="124"/>
      <c r="EUA2476" s="124"/>
      <c r="EUB2476" s="124"/>
      <c r="EUC2476" s="124"/>
      <c r="EUD2476" s="124"/>
      <c r="EUE2476" s="124"/>
      <c r="EUF2476" s="124"/>
      <c r="EUG2476" s="124"/>
      <c r="EUH2476" s="124"/>
      <c r="EUI2476" s="124"/>
      <c r="EUJ2476" s="124"/>
      <c r="EUK2476" s="124"/>
      <c r="EUL2476" s="124"/>
      <c r="EUM2476" s="124"/>
      <c r="EUN2476" s="124"/>
      <c r="EUO2476" s="124"/>
      <c r="EUP2476" s="124"/>
      <c r="EUQ2476" s="124"/>
      <c r="EUR2476" s="124"/>
      <c r="EUS2476" s="124"/>
      <c r="EUT2476" s="124"/>
      <c r="EUU2476" s="124"/>
      <c r="EUV2476" s="124"/>
      <c r="EUW2476" s="124"/>
      <c r="EUX2476" s="124"/>
      <c r="EUY2476" s="124"/>
      <c r="EUZ2476" s="124"/>
      <c r="EVA2476" s="124"/>
      <c r="EVB2476" s="124"/>
      <c r="EVC2476" s="124"/>
      <c r="EVD2476" s="124"/>
      <c r="EVE2476" s="124"/>
      <c r="EVF2476" s="124"/>
      <c r="EVG2476" s="124"/>
      <c r="EVH2476" s="124"/>
      <c r="EVI2476" s="124"/>
      <c r="EVJ2476" s="124"/>
      <c r="EVK2476" s="124"/>
      <c r="EVL2476" s="124"/>
      <c r="EVM2476" s="124"/>
      <c r="EVN2476" s="124"/>
      <c r="EVO2476" s="124"/>
      <c r="EVP2476" s="124"/>
      <c r="EVQ2476" s="124"/>
      <c r="EVR2476" s="124"/>
      <c r="EVS2476" s="124"/>
      <c r="EVT2476" s="124"/>
      <c r="EVU2476" s="124"/>
      <c r="EVV2476" s="124"/>
      <c r="EVW2476" s="124"/>
      <c r="EVX2476" s="124"/>
      <c r="EVY2476" s="124"/>
      <c r="EVZ2476" s="124"/>
      <c r="EWA2476" s="124"/>
      <c r="EWB2476" s="124"/>
      <c r="EWC2476" s="124"/>
      <c r="EWD2476" s="124"/>
      <c r="EWE2476" s="124"/>
      <c r="EWF2476" s="124"/>
      <c r="EWG2476" s="124"/>
      <c r="EWH2476" s="124"/>
      <c r="EWI2476" s="124"/>
      <c r="EWJ2476" s="124"/>
      <c r="EWK2476" s="124"/>
      <c r="EWL2476" s="124"/>
      <c r="EWM2476" s="124"/>
      <c r="EWN2476" s="124"/>
      <c r="EWO2476" s="124"/>
      <c r="EWP2476" s="124"/>
      <c r="EWQ2476" s="124"/>
      <c r="EWR2476" s="124"/>
      <c r="EWS2476" s="124"/>
      <c r="EWT2476" s="124"/>
      <c r="EWU2476" s="124"/>
      <c r="EWV2476" s="124"/>
      <c r="EWW2476" s="124"/>
      <c r="EWX2476" s="124"/>
      <c r="EWY2476" s="124"/>
      <c r="EWZ2476" s="124"/>
      <c r="EXA2476" s="124"/>
      <c r="EXB2476" s="124"/>
      <c r="EXC2476" s="124"/>
      <c r="EXD2476" s="124"/>
      <c r="EXE2476" s="124"/>
      <c r="EXF2476" s="124"/>
      <c r="EXG2476" s="124"/>
      <c r="EXH2476" s="124"/>
      <c r="EXI2476" s="124"/>
      <c r="EXJ2476" s="124"/>
      <c r="EXK2476" s="124"/>
      <c r="EXL2476" s="124"/>
      <c r="EXM2476" s="124"/>
      <c r="EXN2476" s="124"/>
      <c r="EXO2476" s="124"/>
      <c r="EXP2476" s="124"/>
      <c r="EXQ2476" s="124"/>
      <c r="EXR2476" s="124"/>
      <c r="EXS2476" s="124"/>
      <c r="EXT2476" s="124"/>
      <c r="EXU2476" s="124"/>
      <c r="EXV2476" s="124"/>
      <c r="EXW2476" s="124"/>
      <c r="EXX2476" s="124"/>
      <c r="EXY2476" s="124"/>
      <c r="EXZ2476" s="124"/>
      <c r="EYA2476" s="124"/>
      <c r="EYB2476" s="124"/>
      <c r="EYC2476" s="124"/>
      <c r="EYD2476" s="124"/>
      <c r="EYE2476" s="124"/>
      <c r="EYF2476" s="124"/>
      <c r="EYG2476" s="124"/>
      <c r="EYH2476" s="124"/>
      <c r="EYI2476" s="124"/>
      <c r="EYJ2476" s="124"/>
      <c r="EYK2476" s="124"/>
      <c r="EYL2476" s="124"/>
      <c r="EYM2476" s="124"/>
      <c r="EYN2476" s="124"/>
      <c r="EYO2476" s="124"/>
      <c r="EYP2476" s="124"/>
      <c r="EYQ2476" s="124"/>
      <c r="EYR2476" s="124"/>
      <c r="EYS2476" s="124"/>
      <c r="EYT2476" s="124"/>
      <c r="EYU2476" s="124"/>
      <c r="EYV2476" s="124"/>
      <c r="EYW2476" s="124"/>
      <c r="EYX2476" s="124"/>
      <c r="EYY2476" s="124"/>
      <c r="EYZ2476" s="124"/>
      <c r="EZA2476" s="124"/>
      <c r="EZB2476" s="124"/>
      <c r="EZC2476" s="124"/>
      <c r="EZD2476" s="124"/>
      <c r="EZE2476" s="124"/>
      <c r="EZF2476" s="124"/>
      <c r="EZG2476" s="124"/>
      <c r="EZH2476" s="124"/>
      <c r="EZI2476" s="124"/>
      <c r="EZJ2476" s="124"/>
      <c r="EZK2476" s="124"/>
      <c r="EZL2476" s="124"/>
      <c r="EZM2476" s="124"/>
      <c r="EZN2476" s="124"/>
      <c r="EZO2476" s="124"/>
      <c r="EZP2476" s="124"/>
      <c r="EZQ2476" s="124"/>
      <c r="EZR2476" s="124"/>
      <c r="EZS2476" s="124"/>
      <c r="EZT2476" s="124"/>
      <c r="EZU2476" s="124"/>
      <c r="EZV2476" s="124"/>
      <c r="EZW2476" s="124"/>
      <c r="EZX2476" s="124"/>
      <c r="EZY2476" s="124"/>
      <c r="EZZ2476" s="124"/>
      <c r="FAA2476" s="124"/>
      <c r="FAB2476" s="124"/>
      <c r="FAC2476" s="124"/>
      <c r="FAD2476" s="124"/>
      <c r="FAE2476" s="124"/>
      <c r="FAF2476" s="124"/>
      <c r="FAG2476" s="124"/>
      <c r="FAH2476" s="124"/>
      <c r="FAI2476" s="124"/>
      <c r="FAJ2476" s="124"/>
      <c r="FAK2476" s="124"/>
      <c r="FAL2476" s="124"/>
      <c r="FAM2476" s="124"/>
      <c r="FAN2476" s="124"/>
      <c r="FAO2476" s="124"/>
      <c r="FAP2476" s="124"/>
      <c r="FAQ2476" s="124"/>
      <c r="FAR2476" s="124"/>
      <c r="FAS2476" s="124"/>
      <c r="FAT2476" s="124"/>
      <c r="FAU2476" s="124"/>
      <c r="FAV2476" s="124"/>
      <c r="FAW2476" s="124"/>
      <c r="FAX2476" s="124"/>
      <c r="FAY2476" s="124"/>
      <c r="FAZ2476" s="124"/>
      <c r="FBA2476" s="124"/>
      <c r="FBB2476" s="124"/>
      <c r="FBC2476" s="124"/>
      <c r="FBD2476" s="124"/>
      <c r="FBE2476" s="124"/>
      <c r="FBF2476" s="124"/>
      <c r="FBG2476" s="124"/>
      <c r="FBH2476" s="124"/>
      <c r="FBI2476" s="124"/>
      <c r="FBJ2476" s="124"/>
      <c r="FBK2476" s="124"/>
      <c r="FBL2476" s="124"/>
      <c r="FBM2476" s="124"/>
      <c r="FBN2476" s="124"/>
      <c r="FBO2476" s="124"/>
      <c r="FBP2476" s="124"/>
      <c r="FBQ2476" s="124"/>
      <c r="FBR2476" s="124"/>
      <c r="FBS2476" s="124"/>
      <c r="FBT2476" s="124"/>
      <c r="FBU2476" s="124"/>
      <c r="FBV2476" s="124"/>
      <c r="FBW2476" s="124"/>
      <c r="FBX2476" s="124"/>
      <c r="FBY2476" s="124"/>
      <c r="FBZ2476" s="124"/>
      <c r="FCA2476" s="124"/>
      <c r="FCB2476" s="124"/>
      <c r="FCC2476" s="124"/>
      <c r="FCD2476" s="124"/>
      <c r="FCE2476" s="124"/>
      <c r="FCF2476" s="124"/>
      <c r="FCG2476" s="124"/>
      <c r="FCH2476" s="124"/>
      <c r="FCI2476" s="124"/>
      <c r="FCJ2476" s="124"/>
      <c r="FCK2476" s="124"/>
      <c r="FCL2476" s="124"/>
      <c r="FCM2476" s="124"/>
      <c r="FCN2476" s="124"/>
      <c r="FCO2476" s="124"/>
      <c r="FCP2476" s="124"/>
      <c r="FCQ2476" s="124"/>
      <c r="FCR2476" s="124"/>
      <c r="FCS2476" s="124"/>
      <c r="FCT2476" s="124"/>
      <c r="FCU2476" s="124"/>
      <c r="FCV2476" s="124"/>
      <c r="FCW2476" s="124"/>
      <c r="FCX2476" s="124"/>
      <c r="FCY2476" s="124"/>
      <c r="FCZ2476" s="124"/>
      <c r="FDA2476" s="124"/>
      <c r="FDB2476" s="124"/>
      <c r="FDC2476" s="124"/>
      <c r="FDD2476" s="124"/>
      <c r="FDE2476" s="124"/>
      <c r="FDF2476" s="124"/>
      <c r="FDG2476" s="124"/>
      <c r="FDH2476" s="124"/>
      <c r="FDI2476" s="124"/>
      <c r="FDJ2476" s="124"/>
      <c r="FDK2476" s="124"/>
      <c r="FDL2476" s="124"/>
      <c r="FDM2476" s="124"/>
      <c r="FDN2476" s="124"/>
      <c r="FDO2476" s="124"/>
      <c r="FDP2476" s="124"/>
      <c r="FDQ2476" s="124"/>
      <c r="FDR2476" s="124"/>
      <c r="FDS2476" s="124"/>
      <c r="FDT2476" s="124"/>
      <c r="FDU2476" s="124"/>
      <c r="FDV2476" s="124"/>
      <c r="FDW2476" s="124"/>
      <c r="FDX2476" s="124"/>
      <c r="FDY2476" s="124"/>
      <c r="FDZ2476" s="124"/>
      <c r="FEA2476" s="124"/>
      <c r="FEB2476" s="124"/>
      <c r="FEC2476" s="124"/>
      <c r="FED2476" s="124"/>
      <c r="FEE2476" s="124"/>
      <c r="FEF2476" s="124"/>
      <c r="FEG2476" s="124"/>
      <c r="FEH2476" s="124"/>
      <c r="FEI2476" s="124"/>
      <c r="FEJ2476" s="124"/>
      <c r="FEK2476" s="124"/>
      <c r="FEL2476" s="124"/>
      <c r="FEM2476" s="124"/>
      <c r="FEN2476" s="124"/>
      <c r="FEO2476" s="124"/>
      <c r="FEP2476" s="124"/>
      <c r="FEQ2476" s="124"/>
      <c r="FER2476" s="124"/>
      <c r="FES2476" s="124"/>
      <c r="FET2476" s="124"/>
      <c r="FEU2476" s="124"/>
      <c r="FEV2476" s="124"/>
      <c r="FEW2476" s="124"/>
      <c r="FEX2476" s="124"/>
      <c r="FEY2476" s="124"/>
      <c r="FEZ2476" s="124"/>
      <c r="FFA2476" s="124"/>
      <c r="FFB2476" s="124"/>
      <c r="FFC2476" s="124"/>
      <c r="FFD2476" s="124"/>
      <c r="FFE2476" s="124"/>
      <c r="FFF2476" s="124"/>
      <c r="FFG2476" s="124"/>
      <c r="FFH2476" s="124"/>
      <c r="FFI2476" s="124"/>
      <c r="FFJ2476" s="124"/>
      <c r="FFK2476" s="124"/>
      <c r="FFL2476" s="124"/>
      <c r="FFM2476" s="124"/>
      <c r="FFN2476" s="124"/>
      <c r="FFO2476" s="124"/>
      <c r="FFP2476" s="124"/>
      <c r="FFQ2476" s="124"/>
      <c r="FFR2476" s="124"/>
      <c r="FFS2476" s="124"/>
      <c r="FFT2476" s="124"/>
      <c r="FFU2476" s="124"/>
      <c r="FFV2476" s="124"/>
      <c r="FFW2476" s="124"/>
      <c r="FFX2476" s="124"/>
      <c r="FFY2476" s="124"/>
      <c r="FFZ2476" s="124"/>
      <c r="FGA2476" s="124"/>
      <c r="FGB2476" s="124"/>
      <c r="FGC2476" s="124"/>
      <c r="FGD2476" s="124"/>
      <c r="FGE2476" s="124"/>
      <c r="FGF2476" s="124"/>
      <c r="FGG2476" s="124"/>
      <c r="FGH2476" s="124"/>
      <c r="FGI2476" s="124"/>
      <c r="FGJ2476" s="124"/>
      <c r="FGK2476" s="124"/>
      <c r="FGL2476" s="124"/>
      <c r="FGM2476" s="124"/>
      <c r="FGN2476" s="124"/>
      <c r="FGO2476" s="124"/>
      <c r="FGP2476" s="124"/>
      <c r="FGQ2476" s="124"/>
      <c r="FGR2476" s="124"/>
      <c r="FGS2476" s="124"/>
      <c r="FGT2476" s="124"/>
      <c r="FGU2476" s="124"/>
      <c r="FGV2476" s="124"/>
      <c r="FGW2476" s="124"/>
      <c r="FGX2476" s="124"/>
      <c r="FGY2476" s="124"/>
      <c r="FGZ2476" s="124"/>
      <c r="FHA2476" s="124"/>
      <c r="FHB2476" s="124"/>
      <c r="FHC2476" s="124"/>
      <c r="FHD2476" s="124"/>
      <c r="FHE2476" s="124"/>
      <c r="FHF2476" s="124"/>
      <c r="FHG2476" s="124"/>
      <c r="FHH2476" s="124"/>
      <c r="FHI2476" s="124"/>
      <c r="FHJ2476" s="124"/>
      <c r="FHK2476" s="124"/>
      <c r="FHL2476" s="124"/>
      <c r="FHM2476" s="124"/>
      <c r="FHN2476" s="124"/>
      <c r="FHO2476" s="124"/>
      <c r="FHP2476" s="124"/>
      <c r="FHQ2476" s="124"/>
      <c r="FHR2476" s="124"/>
      <c r="FHS2476" s="124"/>
      <c r="FHT2476" s="124"/>
      <c r="FHU2476" s="124"/>
      <c r="FHV2476" s="124"/>
      <c r="FHW2476" s="124"/>
      <c r="FHX2476" s="124"/>
      <c r="FHY2476" s="124"/>
      <c r="FHZ2476" s="124"/>
      <c r="FIA2476" s="124"/>
      <c r="FIB2476" s="124"/>
      <c r="FIC2476" s="124"/>
      <c r="FID2476" s="124"/>
      <c r="FIE2476" s="124"/>
      <c r="FIF2476" s="124"/>
      <c r="FIG2476" s="124"/>
      <c r="FIH2476" s="124"/>
      <c r="FII2476" s="124"/>
      <c r="FIJ2476" s="124"/>
      <c r="FIK2476" s="124"/>
      <c r="FIL2476" s="124"/>
      <c r="FIM2476" s="124"/>
      <c r="FIN2476" s="124"/>
      <c r="FIO2476" s="124"/>
      <c r="FIP2476" s="124"/>
      <c r="FIQ2476" s="124"/>
      <c r="FIR2476" s="124"/>
      <c r="FIS2476" s="124"/>
      <c r="FIT2476" s="124"/>
      <c r="FIU2476" s="124"/>
      <c r="FIV2476" s="124"/>
      <c r="FIW2476" s="124"/>
      <c r="FIX2476" s="124"/>
      <c r="FIY2476" s="124"/>
      <c r="FIZ2476" s="124"/>
      <c r="FJA2476" s="124"/>
      <c r="FJB2476" s="124"/>
      <c r="FJC2476" s="124"/>
      <c r="FJD2476" s="124"/>
      <c r="FJE2476" s="124"/>
      <c r="FJF2476" s="124"/>
      <c r="FJG2476" s="124"/>
      <c r="FJH2476" s="124"/>
      <c r="FJI2476" s="124"/>
      <c r="FJJ2476" s="124"/>
      <c r="FJK2476" s="124"/>
      <c r="FJL2476" s="124"/>
      <c r="FJM2476" s="124"/>
      <c r="FJN2476" s="124"/>
      <c r="FJO2476" s="124"/>
      <c r="FJP2476" s="124"/>
      <c r="FJQ2476" s="124"/>
      <c r="FJR2476" s="124"/>
      <c r="FJS2476" s="124"/>
      <c r="FJT2476" s="124"/>
      <c r="FJU2476" s="124"/>
      <c r="FJV2476" s="124"/>
      <c r="FJW2476" s="124"/>
      <c r="FJX2476" s="124"/>
      <c r="FJY2476" s="124"/>
      <c r="FJZ2476" s="124"/>
      <c r="FKA2476" s="124"/>
      <c r="FKB2476" s="124"/>
      <c r="FKC2476" s="124"/>
      <c r="FKD2476" s="124"/>
      <c r="FKE2476" s="124"/>
      <c r="FKF2476" s="124"/>
      <c r="FKG2476" s="124"/>
      <c r="FKH2476" s="124"/>
      <c r="FKI2476" s="124"/>
      <c r="FKJ2476" s="124"/>
      <c r="FKK2476" s="124"/>
      <c r="FKL2476" s="124"/>
      <c r="FKM2476" s="124"/>
      <c r="FKN2476" s="124"/>
      <c r="FKO2476" s="124"/>
      <c r="FKP2476" s="124"/>
      <c r="FKQ2476" s="124"/>
      <c r="FKR2476" s="124"/>
      <c r="FKS2476" s="124"/>
      <c r="FKT2476" s="124"/>
      <c r="FKU2476" s="124"/>
      <c r="FKV2476" s="124"/>
      <c r="FKW2476" s="124"/>
      <c r="FKX2476" s="124"/>
      <c r="FKY2476" s="124"/>
      <c r="FKZ2476" s="124"/>
      <c r="FLA2476" s="124"/>
      <c r="FLB2476" s="124"/>
      <c r="FLC2476" s="124"/>
      <c r="FLD2476" s="124"/>
      <c r="FLE2476" s="124"/>
      <c r="FLF2476" s="124"/>
      <c r="FLG2476" s="124"/>
      <c r="FLH2476" s="124"/>
      <c r="FLI2476" s="124"/>
      <c r="FLJ2476" s="124"/>
      <c r="FLK2476" s="124"/>
      <c r="FLL2476" s="124"/>
      <c r="FLM2476" s="124"/>
      <c r="FLN2476" s="124"/>
      <c r="FLO2476" s="124"/>
      <c r="FLP2476" s="124"/>
      <c r="FLQ2476" s="124"/>
      <c r="FLR2476" s="124"/>
      <c r="FLS2476" s="124"/>
      <c r="FLT2476" s="124"/>
      <c r="FLU2476" s="124"/>
      <c r="FLV2476" s="124"/>
      <c r="FLW2476" s="124"/>
      <c r="FLX2476" s="124"/>
      <c r="FLY2476" s="124"/>
      <c r="FLZ2476" s="124"/>
      <c r="FMA2476" s="124"/>
      <c r="FMB2476" s="124"/>
      <c r="FMC2476" s="124"/>
      <c r="FMD2476" s="124"/>
      <c r="FME2476" s="124"/>
      <c r="FMF2476" s="124"/>
      <c r="FMG2476" s="124"/>
      <c r="FMH2476" s="124"/>
      <c r="FMI2476" s="124"/>
      <c r="FMJ2476" s="124"/>
      <c r="FMK2476" s="124"/>
      <c r="FML2476" s="124"/>
      <c r="FMM2476" s="124"/>
      <c r="FMN2476" s="124"/>
      <c r="FMO2476" s="124"/>
      <c r="FMP2476" s="124"/>
      <c r="FMQ2476" s="124"/>
      <c r="FMR2476" s="124"/>
      <c r="FMS2476" s="124"/>
      <c r="FMT2476" s="124"/>
      <c r="FMU2476" s="124"/>
      <c r="FMV2476" s="124"/>
      <c r="FMW2476" s="124"/>
      <c r="FMX2476" s="124"/>
      <c r="FMY2476" s="124"/>
      <c r="FMZ2476" s="124"/>
      <c r="FNA2476" s="124"/>
      <c r="FNB2476" s="124"/>
      <c r="FNC2476" s="124"/>
      <c r="FND2476" s="124"/>
      <c r="FNE2476" s="124"/>
      <c r="FNF2476" s="124"/>
      <c r="FNG2476" s="124"/>
      <c r="FNH2476" s="124"/>
      <c r="FNI2476" s="124"/>
      <c r="FNJ2476" s="124"/>
      <c r="FNK2476" s="124"/>
      <c r="FNL2476" s="124"/>
      <c r="FNM2476" s="124"/>
      <c r="FNN2476" s="124"/>
      <c r="FNO2476" s="124"/>
      <c r="FNP2476" s="124"/>
      <c r="FNQ2476" s="124"/>
      <c r="FNR2476" s="124"/>
      <c r="FNS2476" s="124"/>
      <c r="FNT2476" s="124"/>
      <c r="FNU2476" s="124"/>
      <c r="FNV2476" s="124"/>
      <c r="FNW2476" s="124"/>
      <c r="FNX2476" s="124"/>
      <c r="FNY2476" s="124"/>
      <c r="FNZ2476" s="124"/>
      <c r="FOA2476" s="124"/>
      <c r="FOB2476" s="124"/>
      <c r="FOC2476" s="124"/>
      <c r="FOD2476" s="124"/>
      <c r="FOE2476" s="124"/>
      <c r="FOF2476" s="124"/>
      <c r="FOG2476" s="124"/>
      <c r="FOH2476" s="124"/>
      <c r="FOI2476" s="124"/>
      <c r="FOJ2476" s="124"/>
      <c r="FOK2476" s="124"/>
      <c r="FOL2476" s="124"/>
      <c r="FOM2476" s="124"/>
      <c r="FON2476" s="124"/>
      <c r="FOO2476" s="124"/>
      <c r="FOP2476" s="124"/>
      <c r="FOQ2476" s="124"/>
      <c r="FOR2476" s="124"/>
      <c r="FOS2476" s="124"/>
      <c r="FOT2476" s="124"/>
      <c r="FOU2476" s="124"/>
      <c r="FOV2476" s="124"/>
      <c r="FOW2476" s="124"/>
      <c r="FOX2476" s="124"/>
      <c r="FOY2476" s="124"/>
      <c r="FOZ2476" s="124"/>
      <c r="FPA2476" s="124"/>
      <c r="FPB2476" s="124"/>
      <c r="FPC2476" s="124"/>
      <c r="FPD2476" s="124"/>
      <c r="FPE2476" s="124"/>
      <c r="FPF2476" s="124"/>
      <c r="FPG2476" s="124"/>
      <c r="FPH2476" s="124"/>
      <c r="FPI2476" s="124"/>
      <c r="FPJ2476" s="124"/>
      <c r="FPK2476" s="124"/>
      <c r="FPL2476" s="124"/>
      <c r="FPM2476" s="124"/>
      <c r="FPN2476" s="124"/>
      <c r="FPO2476" s="124"/>
      <c r="FPP2476" s="124"/>
      <c r="FPQ2476" s="124"/>
      <c r="FPR2476" s="124"/>
      <c r="FPS2476" s="124"/>
      <c r="FPT2476" s="124"/>
      <c r="FPU2476" s="124"/>
      <c r="FPV2476" s="124"/>
      <c r="FPW2476" s="124"/>
      <c r="FPX2476" s="124"/>
      <c r="FPY2476" s="124"/>
      <c r="FPZ2476" s="124"/>
      <c r="FQA2476" s="124"/>
      <c r="FQB2476" s="124"/>
      <c r="FQC2476" s="124"/>
      <c r="FQD2476" s="124"/>
      <c r="FQE2476" s="124"/>
      <c r="FQF2476" s="124"/>
      <c r="FQG2476" s="124"/>
      <c r="FQH2476" s="124"/>
      <c r="FQI2476" s="124"/>
      <c r="FQJ2476" s="124"/>
      <c r="FQK2476" s="124"/>
      <c r="FQL2476" s="124"/>
      <c r="FQM2476" s="124"/>
      <c r="FQN2476" s="124"/>
      <c r="FQO2476" s="124"/>
      <c r="FQP2476" s="124"/>
      <c r="FQQ2476" s="124"/>
      <c r="FQR2476" s="124"/>
      <c r="FQS2476" s="124"/>
      <c r="FQT2476" s="124"/>
      <c r="FQU2476" s="124"/>
      <c r="FQV2476" s="124"/>
      <c r="FQW2476" s="124"/>
      <c r="FQX2476" s="124"/>
      <c r="FQY2476" s="124"/>
      <c r="FQZ2476" s="124"/>
      <c r="FRA2476" s="124"/>
      <c r="FRB2476" s="124"/>
      <c r="FRC2476" s="124"/>
      <c r="FRD2476" s="124"/>
      <c r="FRE2476" s="124"/>
      <c r="FRF2476" s="124"/>
      <c r="FRG2476" s="124"/>
      <c r="FRH2476" s="124"/>
      <c r="FRI2476" s="124"/>
      <c r="FRJ2476" s="124"/>
      <c r="FRK2476" s="124"/>
      <c r="FRL2476" s="124"/>
      <c r="FRM2476" s="124"/>
      <c r="FRN2476" s="124"/>
      <c r="FRO2476" s="124"/>
      <c r="FRP2476" s="124"/>
      <c r="FRQ2476" s="124"/>
      <c r="FRR2476" s="124"/>
      <c r="FRS2476" s="124"/>
      <c r="FRT2476" s="124"/>
      <c r="FRU2476" s="124"/>
      <c r="FRV2476" s="124"/>
      <c r="FRW2476" s="124"/>
      <c r="FRX2476" s="124"/>
      <c r="FRY2476" s="124"/>
      <c r="FRZ2476" s="124"/>
      <c r="FSA2476" s="124"/>
      <c r="FSB2476" s="124"/>
      <c r="FSC2476" s="124"/>
      <c r="FSD2476" s="124"/>
      <c r="FSE2476" s="124"/>
      <c r="FSF2476" s="124"/>
      <c r="FSG2476" s="124"/>
      <c r="FSH2476" s="124"/>
      <c r="FSI2476" s="124"/>
      <c r="FSJ2476" s="124"/>
      <c r="FSK2476" s="124"/>
      <c r="FSL2476" s="124"/>
      <c r="FSM2476" s="124"/>
      <c r="FSN2476" s="124"/>
      <c r="FSO2476" s="124"/>
      <c r="FSP2476" s="124"/>
      <c r="FSQ2476" s="124"/>
      <c r="FSR2476" s="124"/>
      <c r="FSS2476" s="124"/>
      <c r="FST2476" s="124"/>
      <c r="FSU2476" s="124"/>
      <c r="FSV2476" s="124"/>
      <c r="FSW2476" s="124"/>
      <c r="FSX2476" s="124"/>
      <c r="FSY2476" s="124"/>
      <c r="FSZ2476" s="124"/>
      <c r="FTA2476" s="124"/>
      <c r="FTB2476" s="124"/>
      <c r="FTC2476" s="124"/>
      <c r="FTD2476" s="124"/>
      <c r="FTE2476" s="124"/>
      <c r="FTF2476" s="124"/>
      <c r="FTG2476" s="124"/>
      <c r="FTH2476" s="124"/>
      <c r="FTI2476" s="124"/>
      <c r="FTJ2476" s="124"/>
      <c r="FTK2476" s="124"/>
      <c r="FTL2476" s="124"/>
      <c r="FTM2476" s="124"/>
      <c r="FTN2476" s="124"/>
      <c r="FTO2476" s="124"/>
      <c r="FTP2476" s="124"/>
      <c r="FTQ2476" s="124"/>
      <c r="FTR2476" s="124"/>
      <c r="FTS2476" s="124"/>
      <c r="FTT2476" s="124"/>
      <c r="FTU2476" s="124"/>
      <c r="FTV2476" s="124"/>
      <c r="FTW2476" s="124"/>
      <c r="FTX2476" s="124"/>
      <c r="FTY2476" s="124"/>
      <c r="FTZ2476" s="124"/>
      <c r="FUA2476" s="124"/>
      <c r="FUB2476" s="124"/>
      <c r="FUC2476" s="124"/>
      <c r="FUD2476" s="124"/>
      <c r="FUE2476" s="124"/>
      <c r="FUF2476" s="124"/>
      <c r="FUG2476" s="124"/>
      <c r="FUH2476" s="124"/>
      <c r="FUI2476" s="124"/>
      <c r="FUJ2476" s="124"/>
      <c r="FUK2476" s="124"/>
      <c r="FUL2476" s="124"/>
      <c r="FUM2476" s="124"/>
      <c r="FUN2476" s="124"/>
      <c r="FUO2476" s="124"/>
      <c r="FUP2476" s="124"/>
      <c r="FUQ2476" s="124"/>
      <c r="FUR2476" s="124"/>
      <c r="FUS2476" s="124"/>
      <c r="FUT2476" s="124"/>
      <c r="FUU2476" s="124"/>
      <c r="FUV2476" s="124"/>
      <c r="FUW2476" s="124"/>
      <c r="FUX2476" s="124"/>
      <c r="FUY2476" s="124"/>
      <c r="FUZ2476" s="124"/>
      <c r="FVA2476" s="124"/>
      <c r="FVB2476" s="124"/>
      <c r="FVC2476" s="124"/>
      <c r="FVD2476" s="124"/>
      <c r="FVE2476" s="124"/>
      <c r="FVF2476" s="124"/>
      <c r="FVG2476" s="124"/>
      <c r="FVH2476" s="124"/>
      <c r="FVI2476" s="124"/>
      <c r="FVJ2476" s="124"/>
      <c r="FVK2476" s="124"/>
      <c r="FVL2476" s="124"/>
      <c r="FVM2476" s="124"/>
      <c r="FVN2476" s="124"/>
      <c r="FVO2476" s="124"/>
      <c r="FVP2476" s="124"/>
      <c r="FVQ2476" s="124"/>
      <c r="FVR2476" s="124"/>
      <c r="FVS2476" s="124"/>
      <c r="FVT2476" s="124"/>
      <c r="FVU2476" s="124"/>
      <c r="FVV2476" s="124"/>
      <c r="FVW2476" s="124"/>
      <c r="FVX2476" s="124"/>
      <c r="FVY2476" s="124"/>
      <c r="FVZ2476" s="124"/>
      <c r="FWA2476" s="124"/>
      <c r="FWB2476" s="124"/>
      <c r="FWC2476" s="124"/>
      <c r="FWD2476" s="124"/>
      <c r="FWE2476" s="124"/>
      <c r="FWF2476" s="124"/>
      <c r="FWG2476" s="124"/>
      <c r="FWH2476" s="124"/>
      <c r="FWI2476" s="124"/>
      <c r="FWJ2476" s="124"/>
      <c r="FWK2476" s="124"/>
      <c r="FWL2476" s="124"/>
      <c r="FWM2476" s="124"/>
      <c r="FWN2476" s="124"/>
      <c r="FWO2476" s="124"/>
      <c r="FWP2476" s="124"/>
      <c r="FWQ2476" s="124"/>
      <c r="FWR2476" s="124"/>
      <c r="FWS2476" s="124"/>
      <c r="FWT2476" s="124"/>
      <c r="FWU2476" s="124"/>
      <c r="FWV2476" s="124"/>
      <c r="FWW2476" s="124"/>
      <c r="FWX2476" s="124"/>
      <c r="FWY2476" s="124"/>
      <c r="FWZ2476" s="124"/>
      <c r="FXA2476" s="124"/>
      <c r="FXB2476" s="124"/>
      <c r="FXC2476" s="124"/>
      <c r="FXD2476" s="124"/>
      <c r="FXE2476" s="124"/>
      <c r="FXF2476" s="124"/>
      <c r="FXG2476" s="124"/>
      <c r="FXH2476" s="124"/>
      <c r="FXI2476" s="124"/>
      <c r="FXJ2476" s="124"/>
      <c r="FXK2476" s="124"/>
      <c r="FXL2476" s="124"/>
      <c r="FXM2476" s="124"/>
      <c r="FXN2476" s="124"/>
      <c r="FXO2476" s="124"/>
      <c r="FXP2476" s="124"/>
      <c r="FXQ2476" s="124"/>
      <c r="FXR2476" s="124"/>
      <c r="FXS2476" s="124"/>
      <c r="FXT2476" s="124"/>
      <c r="FXU2476" s="124"/>
      <c r="FXV2476" s="124"/>
      <c r="FXW2476" s="124"/>
      <c r="FXX2476" s="124"/>
      <c r="FXY2476" s="124"/>
      <c r="FXZ2476" s="124"/>
      <c r="FYA2476" s="124"/>
      <c r="FYB2476" s="124"/>
      <c r="FYC2476" s="124"/>
      <c r="FYD2476" s="124"/>
      <c r="FYE2476" s="124"/>
      <c r="FYF2476" s="124"/>
      <c r="FYG2476" s="124"/>
      <c r="FYH2476" s="124"/>
      <c r="FYI2476" s="124"/>
      <c r="FYJ2476" s="124"/>
      <c r="FYK2476" s="124"/>
      <c r="FYL2476" s="124"/>
      <c r="FYM2476" s="124"/>
      <c r="FYN2476" s="124"/>
      <c r="FYO2476" s="124"/>
      <c r="FYP2476" s="124"/>
      <c r="FYQ2476" s="124"/>
      <c r="FYR2476" s="124"/>
      <c r="FYS2476" s="124"/>
      <c r="FYT2476" s="124"/>
      <c r="FYU2476" s="124"/>
      <c r="FYV2476" s="124"/>
      <c r="FYW2476" s="124"/>
      <c r="FYX2476" s="124"/>
      <c r="FYY2476" s="124"/>
      <c r="FYZ2476" s="124"/>
      <c r="FZA2476" s="124"/>
      <c r="FZB2476" s="124"/>
      <c r="FZC2476" s="124"/>
      <c r="FZD2476" s="124"/>
      <c r="FZE2476" s="124"/>
      <c r="FZF2476" s="124"/>
      <c r="FZG2476" s="124"/>
      <c r="FZH2476" s="124"/>
      <c r="FZI2476" s="124"/>
      <c r="FZJ2476" s="124"/>
      <c r="FZK2476" s="124"/>
      <c r="FZL2476" s="124"/>
      <c r="FZM2476" s="124"/>
      <c r="FZN2476" s="124"/>
      <c r="FZO2476" s="124"/>
      <c r="FZP2476" s="124"/>
      <c r="FZQ2476" s="124"/>
      <c r="FZR2476" s="124"/>
      <c r="FZS2476" s="124"/>
      <c r="FZT2476" s="124"/>
      <c r="FZU2476" s="124"/>
      <c r="FZV2476" s="124"/>
      <c r="FZW2476" s="124"/>
      <c r="FZX2476" s="124"/>
      <c r="FZY2476" s="124"/>
      <c r="FZZ2476" s="124"/>
      <c r="GAA2476" s="124"/>
      <c r="GAB2476" s="124"/>
      <c r="GAC2476" s="124"/>
      <c r="GAD2476" s="124"/>
      <c r="GAE2476" s="124"/>
      <c r="GAF2476" s="124"/>
      <c r="GAG2476" s="124"/>
      <c r="GAH2476" s="124"/>
      <c r="GAI2476" s="124"/>
      <c r="GAJ2476" s="124"/>
      <c r="GAK2476" s="124"/>
      <c r="GAL2476" s="124"/>
      <c r="GAM2476" s="124"/>
      <c r="GAN2476" s="124"/>
      <c r="GAO2476" s="124"/>
      <c r="GAP2476" s="124"/>
      <c r="GAQ2476" s="124"/>
      <c r="GAR2476" s="124"/>
      <c r="GAS2476" s="124"/>
      <c r="GAT2476" s="124"/>
      <c r="GAU2476" s="124"/>
      <c r="GAV2476" s="124"/>
      <c r="GAW2476" s="124"/>
      <c r="GAX2476" s="124"/>
      <c r="GAY2476" s="124"/>
      <c r="GAZ2476" s="124"/>
      <c r="GBA2476" s="124"/>
      <c r="GBB2476" s="124"/>
      <c r="GBC2476" s="124"/>
      <c r="GBD2476" s="124"/>
      <c r="GBE2476" s="124"/>
      <c r="GBF2476" s="124"/>
      <c r="GBG2476" s="124"/>
      <c r="GBH2476" s="124"/>
      <c r="GBI2476" s="124"/>
      <c r="GBJ2476" s="124"/>
      <c r="GBK2476" s="124"/>
      <c r="GBL2476" s="124"/>
      <c r="GBM2476" s="124"/>
      <c r="GBN2476" s="124"/>
      <c r="GBO2476" s="124"/>
      <c r="GBP2476" s="124"/>
      <c r="GBQ2476" s="124"/>
      <c r="GBR2476" s="124"/>
      <c r="GBS2476" s="124"/>
      <c r="GBT2476" s="124"/>
      <c r="GBU2476" s="124"/>
      <c r="GBV2476" s="124"/>
      <c r="GBW2476" s="124"/>
      <c r="GBX2476" s="124"/>
      <c r="GBY2476" s="124"/>
      <c r="GBZ2476" s="124"/>
      <c r="GCA2476" s="124"/>
      <c r="GCB2476" s="124"/>
      <c r="GCC2476" s="124"/>
      <c r="GCD2476" s="124"/>
      <c r="GCE2476" s="124"/>
      <c r="GCF2476" s="124"/>
      <c r="GCG2476" s="124"/>
      <c r="GCH2476" s="124"/>
      <c r="GCI2476" s="124"/>
      <c r="GCJ2476" s="124"/>
      <c r="GCK2476" s="124"/>
      <c r="GCL2476" s="124"/>
      <c r="GCM2476" s="124"/>
      <c r="GCN2476" s="124"/>
      <c r="GCO2476" s="124"/>
      <c r="GCP2476" s="124"/>
      <c r="GCQ2476" s="124"/>
      <c r="GCR2476" s="124"/>
      <c r="GCS2476" s="124"/>
      <c r="GCT2476" s="124"/>
      <c r="GCU2476" s="124"/>
      <c r="GCV2476" s="124"/>
      <c r="GCW2476" s="124"/>
      <c r="GCX2476" s="124"/>
      <c r="GCY2476" s="124"/>
      <c r="GCZ2476" s="124"/>
      <c r="GDA2476" s="124"/>
      <c r="GDB2476" s="124"/>
      <c r="GDC2476" s="124"/>
      <c r="GDD2476" s="124"/>
      <c r="GDE2476" s="124"/>
      <c r="GDF2476" s="124"/>
      <c r="GDG2476" s="124"/>
      <c r="GDH2476" s="124"/>
      <c r="GDI2476" s="124"/>
      <c r="GDJ2476" s="124"/>
      <c r="GDK2476" s="124"/>
      <c r="GDL2476" s="124"/>
      <c r="GDM2476" s="124"/>
      <c r="GDN2476" s="124"/>
      <c r="GDO2476" s="124"/>
      <c r="GDP2476" s="124"/>
      <c r="GDQ2476" s="124"/>
      <c r="GDR2476" s="124"/>
      <c r="GDS2476" s="124"/>
      <c r="GDT2476" s="124"/>
      <c r="GDU2476" s="124"/>
      <c r="GDV2476" s="124"/>
      <c r="GDW2476" s="124"/>
      <c r="GDX2476" s="124"/>
      <c r="GDY2476" s="124"/>
      <c r="GDZ2476" s="124"/>
      <c r="GEA2476" s="124"/>
      <c r="GEB2476" s="124"/>
      <c r="GEC2476" s="124"/>
      <c r="GED2476" s="124"/>
      <c r="GEE2476" s="124"/>
      <c r="GEF2476" s="124"/>
      <c r="GEG2476" s="124"/>
      <c r="GEH2476" s="124"/>
      <c r="GEI2476" s="124"/>
      <c r="GEJ2476" s="124"/>
      <c r="GEK2476" s="124"/>
      <c r="GEL2476" s="124"/>
      <c r="GEM2476" s="124"/>
      <c r="GEN2476" s="124"/>
      <c r="GEO2476" s="124"/>
      <c r="GEP2476" s="124"/>
      <c r="GEQ2476" s="124"/>
      <c r="GER2476" s="124"/>
      <c r="GES2476" s="124"/>
      <c r="GET2476" s="124"/>
      <c r="GEU2476" s="124"/>
      <c r="GEV2476" s="124"/>
      <c r="GEW2476" s="124"/>
      <c r="GEX2476" s="124"/>
      <c r="GEY2476" s="124"/>
      <c r="GEZ2476" s="124"/>
      <c r="GFA2476" s="124"/>
      <c r="GFB2476" s="124"/>
      <c r="GFC2476" s="124"/>
      <c r="GFD2476" s="124"/>
      <c r="GFE2476" s="124"/>
      <c r="GFF2476" s="124"/>
      <c r="GFG2476" s="124"/>
      <c r="GFH2476" s="124"/>
      <c r="GFI2476" s="124"/>
      <c r="GFJ2476" s="124"/>
      <c r="GFK2476" s="124"/>
      <c r="GFL2476" s="124"/>
      <c r="GFM2476" s="124"/>
      <c r="GFN2476" s="124"/>
      <c r="GFO2476" s="124"/>
      <c r="GFP2476" s="124"/>
      <c r="GFQ2476" s="124"/>
      <c r="GFR2476" s="124"/>
      <c r="GFS2476" s="124"/>
      <c r="GFT2476" s="124"/>
      <c r="GFU2476" s="124"/>
      <c r="GFV2476" s="124"/>
      <c r="GFW2476" s="124"/>
      <c r="GFX2476" s="124"/>
      <c r="GFY2476" s="124"/>
      <c r="GFZ2476" s="124"/>
      <c r="GGA2476" s="124"/>
      <c r="GGB2476" s="124"/>
      <c r="GGC2476" s="124"/>
      <c r="GGD2476" s="124"/>
      <c r="GGE2476" s="124"/>
      <c r="GGF2476" s="124"/>
      <c r="GGG2476" s="124"/>
      <c r="GGH2476" s="124"/>
      <c r="GGI2476" s="124"/>
      <c r="GGJ2476" s="124"/>
      <c r="GGK2476" s="124"/>
      <c r="GGL2476" s="124"/>
      <c r="GGM2476" s="124"/>
      <c r="GGN2476" s="124"/>
      <c r="GGO2476" s="124"/>
      <c r="GGP2476" s="124"/>
      <c r="GGQ2476" s="124"/>
      <c r="GGR2476" s="124"/>
      <c r="GGS2476" s="124"/>
      <c r="GGT2476" s="124"/>
      <c r="GGU2476" s="124"/>
      <c r="GGV2476" s="124"/>
      <c r="GGW2476" s="124"/>
      <c r="GGX2476" s="124"/>
      <c r="GGY2476" s="124"/>
      <c r="GGZ2476" s="124"/>
      <c r="GHA2476" s="124"/>
      <c r="GHB2476" s="124"/>
      <c r="GHC2476" s="124"/>
      <c r="GHD2476" s="124"/>
      <c r="GHE2476" s="124"/>
      <c r="GHF2476" s="124"/>
      <c r="GHG2476" s="124"/>
      <c r="GHH2476" s="124"/>
      <c r="GHI2476" s="124"/>
      <c r="GHJ2476" s="124"/>
      <c r="GHK2476" s="124"/>
      <c r="GHL2476" s="124"/>
      <c r="GHM2476" s="124"/>
      <c r="GHN2476" s="124"/>
      <c r="GHO2476" s="124"/>
      <c r="GHP2476" s="124"/>
      <c r="GHQ2476" s="124"/>
      <c r="GHR2476" s="124"/>
      <c r="GHS2476" s="124"/>
      <c r="GHT2476" s="124"/>
      <c r="GHU2476" s="124"/>
      <c r="GHV2476" s="124"/>
      <c r="GHW2476" s="124"/>
      <c r="GHX2476" s="124"/>
      <c r="GHY2476" s="124"/>
      <c r="GHZ2476" s="124"/>
      <c r="GIA2476" s="124"/>
      <c r="GIB2476" s="124"/>
      <c r="GIC2476" s="124"/>
      <c r="GID2476" s="124"/>
      <c r="GIE2476" s="124"/>
      <c r="GIF2476" s="124"/>
      <c r="GIG2476" s="124"/>
      <c r="GIH2476" s="124"/>
      <c r="GII2476" s="124"/>
      <c r="GIJ2476" s="124"/>
      <c r="GIK2476" s="124"/>
      <c r="GIL2476" s="124"/>
      <c r="GIM2476" s="124"/>
      <c r="GIN2476" s="124"/>
      <c r="GIO2476" s="124"/>
      <c r="GIP2476" s="124"/>
      <c r="GIQ2476" s="124"/>
      <c r="GIR2476" s="124"/>
      <c r="GIS2476" s="124"/>
      <c r="GIT2476" s="124"/>
      <c r="GIU2476" s="124"/>
      <c r="GIV2476" s="124"/>
      <c r="GIW2476" s="124"/>
      <c r="GIX2476" s="124"/>
      <c r="GIY2476" s="124"/>
      <c r="GIZ2476" s="124"/>
      <c r="GJA2476" s="124"/>
      <c r="GJB2476" s="124"/>
      <c r="GJC2476" s="124"/>
      <c r="GJD2476" s="124"/>
      <c r="GJE2476" s="124"/>
      <c r="GJF2476" s="124"/>
      <c r="GJG2476" s="124"/>
      <c r="GJH2476" s="124"/>
      <c r="GJI2476" s="124"/>
      <c r="GJJ2476" s="124"/>
      <c r="GJK2476" s="124"/>
      <c r="GJL2476" s="124"/>
      <c r="GJM2476" s="124"/>
      <c r="GJN2476" s="124"/>
      <c r="GJO2476" s="124"/>
      <c r="GJP2476" s="124"/>
      <c r="GJQ2476" s="124"/>
      <c r="GJR2476" s="124"/>
      <c r="GJS2476" s="124"/>
      <c r="GJT2476" s="124"/>
      <c r="GJU2476" s="124"/>
      <c r="GJV2476" s="124"/>
      <c r="GJW2476" s="124"/>
      <c r="GJX2476" s="124"/>
      <c r="GJY2476" s="124"/>
      <c r="GJZ2476" s="124"/>
      <c r="GKA2476" s="124"/>
      <c r="GKB2476" s="124"/>
      <c r="GKC2476" s="124"/>
      <c r="GKD2476" s="124"/>
      <c r="GKE2476" s="124"/>
      <c r="GKF2476" s="124"/>
      <c r="GKG2476" s="124"/>
      <c r="GKH2476" s="124"/>
      <c r="GKI2476" s="124"/>
      <c r="GKJ2476" s="124"/>
      <c r="GKK2476" s="124"/>
      <c r="GKL2476" s="124"/>
      <c r="GKM2476" s="124"/>
      <c r="GKN2476" s="124"/>
      <c r="GKO2476" s="124"/>
      <c r="GKP2476" s="124"/>
      <c r="GKQ2476" s="124"/>
      <c r="GKR2476" s="124"/>
      <c r="GKS2476" s="124"/>
      <c r="GKT2476" s="124"/>
      <c r="GKU2476" s="124"/>
      <c r="GKV2476" s="124"/>
      <c r="GKW2476" s="124"/>
      <c r="GKX2476" s="124"/>
      <c r="GKY2476" s="124"/>
      <c r="GKZ2476" s="124"/>
      <c r="GLA2476" s="124"/>
      <c r="GLB2476" s="124"/>
      <c r="GLC2476" s="124"/>
      <c r="GLD2476" s="124"/>
      <c r="GLE2476" s="124"/>
      <c r="GLF2476" s="124"/>
      <c r="GLG2476" s="124"/>
      <c r="GLH2476" s="124"/>
      <c r="GLI2476" s="124"/>
      <c r="GLJ2476" s="124"/>
      <c r="GLK2476" s="124"/>
      <c r="GLL2476" s="124"/>
      <c r="GLM2476" s="124"/>
      <c r="GLN2476" s="124"/>
      <c r="GLO2476" s="124"/>
      <c r="GLP2476" s="124"/>
      <c r="GLQ2476" s="124"/>
      <c r="GLR2476" s="124"/>
      <c r="GLS2476" s="124"/>
      <c r="GLT2476" s="124"/>
      <c r="GLU2476" s="124"/>
      <c r="GLV2476" s="124"/>
      <c r="GLW2476" s="124"/>
      <c r="GLX2476" s="124"/>
      <c r="GLY2476" s="124"/>
      <c r="GLZ2476" s="124"/>
      <c r="GMA2476" s="124"/>
      <c r="GMB2476" s="124"/>
      <c r="GMC2476" s="124"/>
      <c r="GMD2476" s="124"/>
      <c r="GME2476" s="124"/>
      <c r="GMF2476" s="124"/>
      <c r="GMG2476" s="124"/>
      <c r="GMH2476" s="124"/>
      <c r="GMI2476" s="124"/>
      <c r="GMJ2476" s="124"/>
      <c r="GMK2476" s="124"/>
      <c r="GML2476" s="124"/>
      <c r="GMM2476" s="124"/>
      <c r="GMN2476" s="124"/>
      <c r="GMO2476" s="124"/>
      <c r="GMP2476" s="124"/>
      <c r="GMQ2476" s="124"/>
      <c r="GMR2476" s="124"/>
      <c r="GMS2476" s="124"/>
      <c r="GMT2476" s="124"/>
      <c r="GMU2476" s="124"/>
      <c r="GMV2476" s="124"/>
      <c r="GMW2476" s="124"/>
      <c r="GMX2476" s="124"/>
      <c r="GMY2476" s="124"/>
      <c r="GMZ2476" s="124"/>
      <c r="GNA2476" s="124"/>
      <c r="GNB2476" s="124"/>
      <c r="GNC2476" s="124"/>
      <c r="GND2476" s="124"/>
      <c r="GNE2476" s="124"/>
      <c r="GNF2476" s="124"/>
      <c r="GNG2476" s="124"/>
      <c r="GNH2476" s="124"/>
      <c r="GNI2476" s="124"/>
      <c r="GNJ2476" s="124"/>
      <c r="GNK2476" s="124"/>
      <c r="GNL2476" s="124"/>
      <c r="GNM2476" s="124"/>
      <c r="GNN2476" s="124"/>
      <c r="GNO2476" s="124"/>
      <c r="GNP2476" s="124"/>
      <c r="GNQ2476" s="124"/>
      <c r="GNR2476" s="124"/>
      <c r="GNS2476" s="124"/>
      <c r="GNT2476" s="124"/>
      <c r="GNU2476" s="124"/>
      <c r="GNV2476" s="124"/>
      <c r="GNW2476" s="124"/>
      <c r="GNX2476" s="124"/>
      <c r="GNY2476" s="124"/>
      <c r="GNZ2476" s="124"/>
      <c r="GOA2476" s="124"/>
      <c r="GOB2476" s="124"/>
      <c r="GOC2476" s="124"/>
      <c r="GOD2476" s="124"/>
      <c r="GOE2476" s="124"/>
      <c r="GOF2476" s="124"/>
      <c r="GOG2476" s="124"/>
      <c r="GOH2476" s="124"/>
      <c r="GOI2476" s="124"/>
      <c r="GOJ2476" s="124"/>
      <c r="GOK2476" s="124"/>
      <c r="GOL2476" s="124"/>
      <c r="GOM2476" s="124"/>
      <c r="GON2476" s="124"/>
      <c r="GOO2476" s="124"/>
      <c r="GOP2476" s="124"/>
      <c r="GOQ2476" s="124"/>
      <c r="GOR2476" s="124"/>
      <c r="GOS2476" s="124"/>
      <c r="GOT2476" s="124"/>
      <c r="GOU2476" s="124"/>
      <c r="GOV2476" s="124"/>
      <c r="GOW2476" s="124"/>
      <c r="GOX2476" s="124"/>
      <c r="GOY2476" s="124"/>
      <c r="GOZ2476" s="124"/>
      <c r="GPA2476" s="124"/>
      <c r="GPB2476" s="124"/>
      <c r="GPC2476" s="124"/>
      <c r="GPD2476" s="124"/>
      <c r="GPE2476" s="124"/>
      <c r="GPF2476" s="124"/>
      <c r="GPG2476" s="124"/>
      <c r="GPH2476" s="124"/>
      <c r="GPI2476" s="124"/>
      <c r="GPJ2476" s="124"/>
      <c r="GPK2476" s="124"/>
      <c r="GPL2476" s="124"/>
      <c r="GPM2476" s="124"/>
      <c r="GPN2476" s="124"/>
      <c r="GPO2476" s="124"/>
      <c r="GPP2476" s="124"/>
      <c r="GPQ2476" s="124"/>
      <c r="GPR2476" s="124"/>
      <c r="GPS2476" s="124"/>
      <c r="GPT2476" s="124"/>
      <c r="GPU2476" s="124"/>
      <c r="GPV2476" s="124"/>
      <c r="GPW2476" s="124"/>
      <c r="GPX2476" s="124"/>
      <c r="GPY2476" s="124"/>
      <c r="GPZ2476" s="124"/>
      <c r="GQA2476" s="124"/>
      <c r="GQB2476" s="124"/>
      <c r="GQC2476" s="124"/>
      <c r="GQD2476" s="124"/>
      <c r="GQE2476" s="124"/>
      <c r="GQF2476" s="124"/>
      <c r="GQG2476" s="124"/>
      <c r="GQH2476" s="124"/>
      <c r="GQI2476" s="124"/>
      <c r="GQJ2476" s="124"/>
      <c r="GQK2476" s="124"/>
      <c r="GQL2476" s="124"/>
      <c r="GQM2476" s="124"/>
      <c r="GQN2476" s="124"/>
      <c r="GQO2476" s="124"/>
      <c r="GQP2476" s="124"/>
      <c r="GQQ2476" s="124"/>
      <c r="GQR2476" s="124"/>
      <c r="GQS2476" s="124"/>
      <c r="GQT2476" s="124"/>
      <c r="GQU2476" s="124"/>
      <c r="GQV2476" s="124"/>
      <c r="GQW2476" s="124"/>
      <c r="GQX2476" s="124"/>
      <c r="GQY2476" s="124"/>
      <c r="GQZ2476" s="124"/>
      <c r="GRA2476" s="124"/>
      <c r="GRB2476" s="124"/>
      <c r="GRC2476" s="124"/>
      <c r="GRD2476" s="124"/>
      <c r="GRE2476" s="124"/>
      <c r="GRF2476" s="124"/>
      <c r="GRG2476" s="124"/>
      <c r="GRH2476" s="124"/>
      <c r="GRI2476" s="124"/>
      <c r="GRJ2476" s="124"/>
      <c r="GRK2476" s="124"/>
      <c r="GRL2476" s="124"/>
      <c r="GRM2476" s="124"/>
      <c r="GRN2476" s="124"/>
      <c r="GRO2476" s="124"/>
      <c r="GRP2476" s="124"/>
      <c r="GRQ2476" s="124"/>
      <c r="GRR2476" s="124"/>
      <c r="GRS2476" s="124"/>
      <c r="GRT2476" s="124"/>
      <c r="GRU2476" s="124"/>
      <c r="GRV2476" s="124"/>
      <c r="GRW2476" s="124"/>
      <c r="GRX2476" s="124"/>
      <c r="GRY2476" s="124"/>
      <c r="GRZ2476" s="124"/>
      <c r="GSA2476" s="124"/>
      <c r="GSB2476" s="124"/>
      <c r="GSC2476" s="124"/>
      <c r="GSD2476" s="124"/>
      <c r="GSE2476" s="124"/>
      <c r="GSF2476" s="124"/>
      <c r="GSG2476" s="124"/>
      <c r="GSH2476" s="124"/>
      <c r="GSI2476" s="124"/>
      <c r="GSJ2476" s="124"/>
      <c r="GSK2476" s="124"/>
      <c r="GSL2476" s="124"/>
      <c r="GSM2476" s="124"/>
      <c r="GSN2476" s="124"/>
      <c r="GSO2476" s="124"/>
      <c r="GSP2476" s="124"/>
      <c r="GSQ2476" s="124"/>
      <c r="GSR2476" s="124"/>
      <c r="GSS2476" s="124"/>
      <c r="GST2476" s="124"/>
      <c r="GSU2476" s="124"/>
      <c r="GSV2476" s="124"/>
      <c r="GSW2476" s="124"/>
      <c r="GSX2476" s="124"/>
      <c r="GSY2476" s="124"/>
      <c r="GSZ2476" s="124"/>
      <c r="GTA2476" s="124"/>
      <c r="GTB2476" s="124"/>
      <c r="GTC2476" s="124"/>
      <c r="GTD2476" s="124"/>
      <c r="GTE2476" s="124"/>
      <c r="GTF2476" s="124"/>
      <c r="GTG2476" s="124"/>
      <c r="GTH2476" s="124"/>
      <c r="GTI2476" s="124"/>
      <c r="GTJ2476" s="124"/>
      <c r="GTK2476" s="124"/>
      <c r="GTL2476" s="124"/>
      <c r="GTM2476" s="124"/>
      <c r="GTN2476" s="124"/>
      <c r="GTO2476" s="124"/>
      <c r="GTP2476" s="124"/>
      <c r="GTQ2476" s="124"/>
      <c r="GTR2476" s="124"/>
      <c r="GTS2476" s="124"/>
      <c r="GTT2476" s="124"/>
      <c r="GTU2476" s="124"/>
      <c r="GTV2476" s="124"/>
      <c r="GTW2476" s="124"/>
      <c r="GTX2476" s="124"/>
      <c r="GTY2476" s="124"/>
      <c r="GTZ2476" s="124"/>
      <c r="GUA2476" s="124"/>
      <c r="GUB2476" s="124"/>
      <c r="GUC2476" s="124"/>
      <c r="GUD2476" s="124"/>
      <c r="GUE2476" s="124"/>
      <c r="GUF2476" s="124"/>
      <c r="GUG2476" s="124"/>
      <c r="GUH2476" s="124"/>
      <c r="GUI2476" s="124"/>
      <c r="GUJ2476" s="124"/>
      <c r="GUK2476" s="124"/>
      <c r="GUL2476" s="124"/>
      <c r="GUM2476" s="124"/>
      <c r="GUN2476" s="124"/>
      <c r="GUO2476" s="124"/>
      <c r="GUP2476" s="124"/>
      <c r="GUQ2476" s="124"/>
      <c r="GUR2476" s="124"/>
      <c r="GUS2476" s="124"/>
      <c r="GUT2476" s="124"/>
      <c r="GUU2476" s="124"/>
      <c r="GUV2476" s="124"/>
      <c r="GUW2476" s="124"/>
      <c r="GUX2476" s="124"/>
      <c r="GUY2476" s="124"/>
      <c r="GUZ2476" s="124"/>
      <c r="GVA2476" s="124"/>
      <c r="GVB2476" s="124"/>
      <c r="GVC2476" s="124"/>
      <c r="GVD2476" s="124"/>
      <c r="GVE2476" s="124"/>
      <c r="GVF2476" s="124"/>
      <c r="GVG2476" s="124"/>
      <c r="GVH2476" s="124"/>
      <c r="GVI2476" s="124"/>
      <c r="GVJ2476" s="124"/>
      <c r="GVK2476" s="124"/>
      <c r="GVL2476" s="124"/>
      <c r="GVM2476" s="124"/>
      <c r="GVN2476" s="124"/>
      <c r="GVO2476" s="124"/>
      <c r="GVP2476" s="124"/>
      <c r="GVQ2476" s="124"/>
      <c r="GVR2476" s="124"/>
      <c r="GVS2476" s="124"/>
      <c r="GVT2476" s="124"/>
      <c r="GVU2476" s="124"/>
      <c r="GVV2476" s="124"/>
      <c r="GVW2476" s="124"/>
      <c r="GVX2476" s="124"/>
      <c r="GVY2476" s="124"/>
      <c r="GVZ2476" s="124"/>
      <c r="GWA2476" s="124"/>
      <c r="GWB2476" s="124"/>
      <c r="GWC2476" s="124"/>
      <c r="GWD2476" s="124"/>
      <c r="GWE2476" s="124"/>
      <c r="GWF2476" s="124"/>
      <c r="GWG2476" s="124"/>
      <c r="GWH2476" s="124"/>
      <c r="GWI2476" s="124"/>
      <c r="GWJ2476" s="124"/>
      <c r="GWK2476" s="124"/>
      <c r="GWL2476" s="124"/>
      <c r="GWM2476" s="124"/>
      <c r="GWN2476" s="124"/>
      <c r="GWO2476" s="124"/>
      <c r="GWP2476" s="124"/>
      <c r="GWQ2476" s="124"/>
      <c r="GWR2476" s="124"/>
      <c r="GWS2476" s="124"/>
      <c r="GWT2476" s="124"/>
      <c r="GWU2476" s="124"/>
      <c r="GWV2476" s="124"/>
      <c r="GWW2476" s="124"/>
      <c r="GWX2476" s="124"/>
      <c r="GWY2476" s="124"/>
      <c r="GWZ2476" s="124"/>
      <c r="GXA2476" s="124"/>
      <c r="GXB2476" s="124"/>
      <c r="GXC2476" s="124"/>
      <c r="GXD2476" s="124"/>
      <c r="GXE2476" s="124"/>
      <c r="GXF2476" s="124"/>
      <c r="GXG2476" s="124"/>
      <c r="GXH2476" s="124"/>
      <c r="GXI2476" s="124"/>
      <c r="GXJ2476" s="124"/>
      <c r="GXK2476" s="124"/>
      <c r="GXL2476" s="124"/>
      <c r="GXM2476" s="124"/>
      <c r="GXN2476" s="124"/>
      <c r="GXO2476" s="124"/>
      <c r="GXP2476" s="124"/>
      <c r="GXQ2476" s="124"/>
      <c r="GXR2476" s="124"/>
      <c r="GXS2476" s="124"/>
      <c r="GXT2476" s="124"/>
      <c r="GXU2476" s="124"/>
      <c r="GXV2476" s="124"/>
      <c r="GXW2476" s="124"/>
      <c r="GXX2476" s="124"/>
      <c r="GXY2476" s="124"/>
      <c r="GXZ2476" s="124"/>
      <c r="GYA2476" s="124"/>
      <c r="GYB2476" s="124"/>
      <c r="GYC2476" s="124"/>
      <c r="GYD2476" s="124"/>
      <c r="GYE2476" s="124"/>
      <c r="GYF2476" s="124"/>
      <c r="GYG2476" s="124"/>
      <c r="GYH2476" s="124"/>
      <c r="GYI2476" s="124"/>
      <c r="GYJ2476" s="124"/>
      <c r="GYK2476" s="124"/>
      <c r="GYL2476" s="124"/>
      <c r="GYM2476" s="124"/>
      <c r="GYN2476" s="124"/>
      <c r="GYO2476" s="124"/>
      <c r="GYP2476" s="124"/>
      <c r="GYQ2476" s="124"/>
      <c r="GYR2476" s="124"/>
      <c r="GYS2476" s="124"/>
      <c r="GYT2476" s="124"/>
      <c r="GYU2476" s="124"/>
      <c r="GYV2476" s="124"/>
      <c r="GYW2476" s="124"/>
      <c r="GYX2476" s="124"/>
      <c r="GYY2476" s="124"/>
      <c r="GYZ2476" s="124"/>
      <c r="GZA2476" s="124"/>
      <c r="GZB2476" s="124"/>
      <c r="GZC2476" s="124"/>
      <c r="GZD2476" s="124"/>
      <c r="GZE2476" s="124"/>
      <c r="GZF2476" s="124"/>
      <c r="GZG2476" s="124"/>
      <c r="GZH2476" s="124"/>
      <c r="GZI2476" s="124"/>
      <c r="GZJ2476" s="124"/>
      <c r="GZK2476" s="124"/>
      <c r="GZL2476" s="124"/>
      <c r="GZM2476" s="124"/>
      <c r="GZN2476" s="124"/>
      <c r="GZO2476" s="124"/>
      <c r="GZP2476" s="124"/>
      <c r="GZQ2476" s="124"/>
      <c r="GZR2476" s="124"/>
      <c r="GZS2476" s="124"/>
      <c r="GZT2476" s="124"/>
      <c r="GZU2476" s="124"/>
      <c r="GZV2476" s="124"/>
      <c r="GZW2476" s="124"/>
      <c r="GZX2476" s="124"/>
      <c r="GZY2476" s="124"/>
      <c r="GZZ2476" s="124"/>
      <c r="HAA2476" s="124"/>
      <c r="HAB2476" s="124"/>
      <c r="HAC2476" s="124"/>
      <c r="HAD2476" s="124"/>
      <c r="HAE2476" s="124"/>
      <c r="HAF2476" s="124"/>
      <c r="HAG2476" s="124"/>
      <c r="HAH2476" s="124"/>
      <c r="HAI2476" s="124"/>
      <c r="HAJ2476" s="124"/>
      <c r="HAK2476" s="124"/>
      <c r="HAL2476" s="124"/>
      <c r="HAM2476" s="124"/>
      <c r="HAN2476" s="124"/>
      <c r="HAO2476" s="124"/>
      <c r="HAP2476" s="124"/>
      <c r="HAQ2476" s="124"/>
      <c r="HAR2476" s="124"/>
      <c r="HAS2476" s="124"/>
      <c r="HAT2476" s="124"/>
      <c r="HAU2476" s="124"/>
      <c r="HAV2476" s="124"/>
      <c r="HAW2476" s="124"/>
      <c r="HAX2476" s="124"/>
      <c r="HAY2476" s="124"/>
      <c r="HAZ2476" s="124"/>
      <c r="HBA2476" s="124"/>
      <c r="HBB2476" s="124"/>
      <c r="HBC2476" s="124"/>
      <c r="HBD2476" s="124"/>
      <c r="HBE2476" s="124"/>
      <c r="HBF2476" s="124"/>
      <c r="HBG2476" s="124"/>
      <c r="HBH2476" s="124"/>
      <c r="HBI2476" s="124"/>
      <c r="HBJ2476" s="124"/>
      <c r="HBK2476" s="124"/>
      <c r="HBL2476" s="124"/>
      <c r="HBM2476" s="124"/>
      <c r="HBN2476" s="124"/>
      <c r="HBO2476" s="124"/>
      <c r="HBP2476" s="124"/>
      <c r="HBQ2476" s="124"/>
      <c r="HBR2476" s="124"/>
      <c r="HBS2476" s="124"/>
      <c r="HBT2476" s="124"/>
      <c r="HBU2476" s="124"/>
      <c r="HBV2476" s="124"/>
      <c r="HBW2476" s="124"/>
      <c r="HBX2476" s="124"/>
      <c r="HBY2476" s="124"/>
      <c r="HBZ2476" s="124"/>
      <c r="HCA2476" s="124"/>
      <c r="HCB2476" s="124"/>
      <c r="HCC2476" s="124"/>
      <c r="HCD2476" s="124"/>
      <c r="HCE2476" s="124"/>
      <c r="HCF2476" s="124"/>
      <c r="HCG2476" s="124"/>
      <c r="HCH2476" s="124"/>
      <c r="HCI2476" s="124"/>
      <c r="HCJ2476" s="124"/>
      <c r="HCK2476" s="124"/>
      <c r="HCL2476" s="124"/>
      <c r="HCM2476" s="124"/>
      <c r="HCN2476" s="124"/>
      <c r="HCO2476" s="124"/>
      <c r="HCP2476" s="124"/>
      <c r="HCQ2476" s="124"/>
      <c r="HCR2476" s="124"/>
      <c r="HCS2476" s="124"/>
      <c r="HCT2476" s="124"/>
      <c r="HCU2476" s="124"/>
      <c r="HCV2476" s="124"/>
      <c r="HCW2476" s="124"/>
      <c r="HCX2476" s="124"/>
      <c r="HCY2476" s="124"/>
      <c r="HCZ2476" s="124"/>
      <c r="HDA2476" s="124"/>
      <c r="HDB2476" s="124"/>
      <c r="HDC2476" s="124"/>
      <c r="HDD2476" s="124"/>
      <c r="HDE2476" s="124"/>
      <c r="HDF2476" s="124"/>
      <c r="HDG2476" s="124"/>
      <c r="HDH2476" s="124"/>
      <c r="HDI2476" s="124"/>
      <c r="HDJ2476" s="124"/>
      <c r="HDK2476" s="124"/>
      <c r="HDL2476" s="124"/>
      <c r="HDM2476" s="124"/>
      <c r="HDN2476" s="124"/>
      <c r="HDO2476" s="124"/>
      <c r="HDP2476" s="124"/>
      <c r="HDQ2476" s="124"/>
      <c r="HDR2476" s="124"/>
      <c r="HDS2476" s="124"/>
      <c r="HDT2476" s="124"/>
      <c r="HDU2476" s="124"/>
      <c r="HDV2476" s="124"/>
      <c r="HDW2476" s="124"/>
      <c r="HDX2476" s="124"/>
      <c r="HDY2476" s="124"/>
      <c r="HDZ2476" s="124"/>
      <c r="HEA2476" s="124"/>
      <c r="HEB2476" s="124"/>
      <c r="HEC2476" s="124"/>
      <c r="HED2476" s="124"/>
      <c r="HEE2476" s="124"/>
      <c r="HEF2476" s="124"/>
      <c r="HEG2476" s="124"/>
      <c r="HEH2476" s="124"/>
      <c r="HEI2476" s="124"/>
      <c r="HEJ2476" s="124"/>
      <c r="HEK2476" s="124"/>
      <c r="HEL2476" s="124"/>
      <c r="HEM2476" s="124"/>
      <c r="HEN2476" s="124"/>
      <c r="HEO2476" s="124"/>
      <c r="HEP2476" s="124"/>
      <c r="HEQ2476" s="124"/>
      <c r="HER2476" s="124"/>
      <c r="HES2476" s="124"/>
      <c r="HET2476" s="124"/>
      <c r="HEU2476" s="124"/>
      <c r="HEV2476" s="124"/>
      <c r="HEW2476" s="124"/>
      <c r="HEX2476" s="124"/>
      <c r="HEY2476" s="124"/>
      <c r="HEZ2476" s="124"/>
      <c r="HFA2476" s="124"/>
      <c r="HFB2476" s="124"/>
      <c r="HFC2476" s="124"/>
      <c r="HFD2476" s="124"/>
      <c r="HFE2476" s="124"/>
      <c r="HFF2476" s="124"/>
      <c r="HFG2476" s="124"/>
      <c r="HFH2476" s="124"/>
      <c r="HFI2476" s="124"/>
      <c r="HFJ2476" s="124"/>
      <c r="HFK2476" s="124"/>
      <c r="HFL2476" s="124"/>
      <c r="HFM2476" s="124"/>
      <c r="HFN2476" s="124"/>
      <c r="HFO2476" s="124"/>
      <c r="HFP2476" s="124"/>
      <c r="HFQ2476" s="124"/>
      <c r="HFR2476" s="124"/>
      <c r="HFS2476" s="124"/>
      <c r="HFT2476" s="124"/>
      <c r="HFU2476" s="124"/>
      <c r="HFV2476" s="124"/>
      <c r="HFW2476" s="124"/>
      <c r="HFX2476" s="124"/>
      <c r="HFY2476" s="124"/>
      <c r="HFZ2476" s="124"/>
      <c r="HGA2476" s="124"/>
      <c r="HGB2476" s="124"/>
      <c r="HGC2476" s="124"/>
      <c r="HGD2476" s="124"/>
      <c r="HGE2476" s="124"/>
      <c r="HGF2476" s="124"/>
      <c r="HGG2476" s="124"/>
      <c r="HGH2476" s="124"/>
      <c r="HGI2476" s="124"/>
      <c r="HGJ2476" s="124"/>
      <c r="HGK2476" s="124"/>
      <c r="HGL2476" s="124"/>
      <c r="HGM2476" s="124"/>
      <c r="HGN2476" s="124"/>
      <c r="HGO2476" s="124"/>
      <c r="HGP2476" s="124"/>
      <c r="HGQ2476" s="124"/>
      <c r="HGR2476" s="124"/>
      <c r="HGS2476" s="124"/>
      <c r="HGT2476" s="124"/>
      <c r="HGU2476" s="124"/>
      <c r="HGV2476" s="124"/>
      <c r="HGW2476" s="124"/>
      <c r="HGX2476" s="124"/>
      <c r="HGY2476" s="124"/>
      <c r="HGZ2476" s="124"/>
      <c r="HHA2476" s="124"/>
      <c r="HHB2476" s="124"/>
      <c r="HHC2476" s="124"/>
      <c r="HHD2476" s="124"/>
      <c r="HHE2476" s="124"/>
      <c r="HHF2476" s="124"/>
      <c r="HHG2476" s="124"/>
      <c r="HHH2476" s="124"/>
      <c r="HHI2476" s="124"/>
      <c r="HHJ2476" s="124"/>
      <c r="HHK2476" s="124"/>
      <c r="HHL2476" s="124"/>
      <c r="HHM2476" s="124"/>
      <c r="HHN2476" s="124"/>
      <c r="HHO2476" s="124"/>
      <c r="HHP2476" s="124"/>
      <c r="HHQ2476" s="124"/>
      <c r="HHR2476" s="124"/>
      <c r="HHS2476" s="124"/>
      <c r="HHT2476" s="124"/>
      <c r="HHU2476" s="124"/>
      <c r="HHV2476" s="124"/>
      <c r="HHW2476" s="124"/>
      <c r="HHX2476" s="124"/>
      <c r="HHY2476" s="124"/>
      <c r="HHZ2476" s="124"/>
      <c r="HIA2476" s="124"/>
      <c r="HIB2476" s="124"/>
      <c r="HIC2476" s="124"/>
      <c r="HID2476" s="124"/>
      <c r="HIE2476" s="124"/>
      <c r="HIF2476" s="124"/>
      <c r="HIG2476" s="124"/>
      <c r="HIH2476" s="124"/>
      <c r="HII2476" s="124"/>
      <c r="HIJ2476" s="124"/>
      <c r="HIK2476" s="124"/>
      <c r="HIL2476" s="124"/>
      <c r="HIM2476" s="124"/>
      <c r="HIN2476" s="124"/>
      <c r="HIO2476" s="124"/>
      <c r="HIP2476" s="124"/>
      <c r="HIQ2476" s="124"/>
      <c r="HIR2476" s="124"/>
      <c r="HIS2476" s="124"/>
      <c r="HIT2476" s="124"/>
      <c r="HIU2476" s="124"/>
      <c r="HIV2476" s="124"/>
      <c r="HIW2476" s="124"/>
      <c r="HIX2476" s="124"/>
      <c r="HIY2476" s="124"/>
      <c r="HIZ2476" s="124"/>
      <c r="HJA2476" s="124"/>
      <c r="HJB2476" s="124"/>
      <c r="HJC2476" s="124"/>
      <c r="HJD2476" s="124"/>
      <c r="HJE2476" s="124"/>
      <c r="HJF2476" s="124"/>
      <c r="HJG2476" s="124"/>
      <c r="HJH2476" s="124"/>
      <c r="HJI2476" s="124"/>
      <c r="HJJ2476" s="124"/>
      <c r="HJK2476" s="124"/>
      <c r="HJL2476" s="124"/>
      <c r="HJM2476" s="124"/>
      <c r="HJN2476" s="124"/>
      <c r="HJO2476" s="124"/>
      <c r="HJP2476" s="124"/>
      <c r="HJQ2476" s="124"/>
      <c r="HJR2476" s="124"/>
      <c r="HJS2476" s="124"/>
      <c r="HJT2476" s="124"/>
      <c r="HJU2476" s="124"/>
      <c r="HJV2476" s="124"/>
      <c r="HJW2476" s="124"/>
      <c r="HJX2476" s="124"/>
      <c r="HJY2476" s="124"/>
      <c r="HJZ2476" s="124"/>
      <c r="HKA2476" s="124"/>
      <c r="HKB2476" s="124"/>
      <c r="HKC2476" s="124"/>
      <c r="HKD2476" s="124"/>
      <c r="HKE2476" s="124"/>
      <c r="HKF2476" s="124"/>
      <c r="HKG2476" s="124"/>
      <c r="HKH2476" s="124"/>
      <c r="HKI2476" s="124"/>
      <c r="HKJ2476" s="124"/>
      <c r="HKK2476" s="124"/>
      <c r="HKL2476" s="124"/>
      <c r="HKM2476" s="124"/>
      <c r="HKN2476" s="124"/>
      <c r="HKO2476" s="124"/>
      <c r="HKP2476" s="124"/>
      <c r="HKQ2476" s="124"/>
      <c r="HKR2476" s="124"/>
      <c r="HKS2476" s="124"/>
      <c r="HKT2476" s="124"/>
      <c r="HKU2476" s="124"/>
      <c r="HKV2476" s="124"/>
      <c r="HKW2476" s="124"/>
      <c r="HKX2476" s="124"/>
      <c r="HKY2476" s="124"/>
      <c r="HKZ2476" s="124"/>
      <c r="HLA2476" s="124"/>
      <c r="HLB2476" s="124"/>
      <c r="HLC2476" s="124"/>
      <c r="HLD2476" s="124"/>
      <c r="HLE2476" s="124"/>
      <c r="HLF2476" s="124"/>
      <c r="HLG2476" s="124"/>
      <c r="HLH2476" s="124"/>
      <c r="HLI2476" s="124"/>
      <c r="HLJ2476" s="124"/>
      <c r="HLK2476" s="124"/>
      <c r="HLL2476" s="124"/>
      <c r="HLM2476" s="124"/>
      <c r="HLN2476" s="124"/>
      <c r="HLO2476" s="124"/>
      <c r="HLP2476" s="124"/>
      <c r="HLQ2476" s="124"/>
      <c r="HLR2476" s="124"/>
      <c r="HLS2476" s="124"/>
      <c r="HLT2476" s="124"/>
      <c r="HLU2476" s="124"/>
      <c r="HLV2476" s="124"/>
      <c r="HLW2476" s="124"/>
      <c r="HLX2476" s="124"/>
      <c r="HLY2476" s="124"/>
      <c r="HLZ2476" s="124"/>
      <c r="HMA2476" s="124"/>
      <c r="HMB2476" s="124"/>
      <c r="HMC2476" s="124"/>
      <c r="HMD2476" s="124"/>
      <c r="HME2476" s="124"/>
      <c r="HMF2476" s="124"/>
      <c r="HMG2476" s="124"/>
      <c r="HMH2476" s="124"/>
      <c r="HMI2476" s="124"/>
      <c r="HMJ2476" s="124"/>
      <c r="HMK2476" s="124"/>
      <c r="HML2476" s="124"/>
      <c r="HMM2476" s="124"/>
      <c r="HMN2476" s="124"/>
      <c r="HMO2476" s="124"/>
      <c r="HMP2476" s="124"/>
      <c r="HMQ2476" s="124"/>
      <c r="HMR2476" s="124"/>
      <c r="HMS2476" s="124"/>
      <c r="HMT2476" s="124"/>
      <c r="HMU2476" s="124"/>
      <c r="HMV2476" s="124"/>
      <c r="HMW2476" s="124"/>
      <c r="HMX2476" s="124"/>
      <c r="HMY2476" s="124"/>
      <c r="HMZ2476" s="124"/>
      <c r="HNA2476" s="124"/>
      <c r="HNB2476" s="124"/>
      <c r="HNC2476" s="124"/>
      <c r="HND2476" s="124"/>
      <c r="HNE2476" s="124"/>
      <c r="HNF2476" s="124"/>
      <c r="HNG2476" s="124"/>
      <c r="HNH2476" s="124"/>
      <c r="HNI2476" s="124"/>
      <c r="HNJ2476" s="124"/>
      <c r="HNK2476" s="124"/>
      <c r="HNL2476" s="124"/>
      <c r="HNM2476" s="124"/>
      <c r="HNN2476" s="124"/>
      <c r="HNO2476" s="124"/>
      <c r="HNP2476" s="124"/>
      <c r="HNQ2476" s="124"/>
      <c r="HNR2476" s="124"/>
      <c r="HNS2476" s="124"/>
      <c r="HNT2476" s="124"/>
      <c r="HNU2476" s="124"/>
      <c r="HNV2476" s="124"/>
      <c r="HNW2476" s="124"/>
      <c r="HNX2476" s="124"/>
      <c r="HNY2476" s="124"/>
      <c r="HNZ2476" s="124"/>
      <c r="HOA2476" s="124"/>
      <c r="HOB2476" s="124"/>
      <c r="HOC2476" s="124"/>
      <c r="HOD2476" s="124"/>
      <c r="HOE2476" s="124"/>
      <c r="HOF2476" s="124"/>
      <c r="HOG2476" s="124"/>
      <c r="HOH2476" s="124"/>
      <c r="HOI2476" s="124"/>
      <c r="HOJ2476" s="124"/>
      <c r="HOK2476" s="124"/>
      <c r="HOL2476" s="124"/>
      <c r="HOM2476" s="124"/>
      <c r="HON2476" s="124"/>
      <c r="HOO2476" s="124"/>
      <c r="HOP2476" s="124"/>
      <c r="HOQ2476" s="124"/>
      <c r="HOR2476" s="124"/>
      <c r="HOS2476" s="124"/>
      <c r="HOT2476" s="124"/>
      <c r="HOU2476" s="124"/>
      <c r="HOV2476" s="124"/>
      <c r="HOW2476" s="124"/>
      <c r="HOX2476" s="124"/>
      <c r="HOY2476" s="124"/>
      <c r="HOZ2476" s="124"/>
      <c r="HPA2476" s="124"/>
      <c r="HPB2476" s="124"/>
      <c r="HPC2476" s="124"/>
      <c r="HPD2476" s="124"/>
      <c r="HPE2476" s="124"/>
      <c r="HPF2476" s="124"/>
      <c r="HPG2476" s="124"/>
      <c r="HPH2476" s="124"/>
      <c r="HPI2476" s="124"/>
      <c r="HPJ2476" s="124"/>
      <c r="HPK2476" s="124"/>
      <c r="HPL2476" s="124"/>
      <c r="HPM2476" s="124"/>
      <c r="HPN2476" s="124"/>
      <c r="HPO2476" s="124"/>
      <c r="HPP2476" s="124"/>
      <c r="HPQ2476" s="124"/>
      <c r="HPR2476" s="124"/>
      <c r="HPS2476" s="124"/>
      <c r="HPT2476" s="124"/>
      <c r="HPU2476" s="124"/>
      <c r="HPV2476" s="124"/>
      <c r="HPW2476" s="124"/>
      <c r="HPX2476" s="124"/>
      <c r="HPY2476" s="124"/>
      <c r="HPZ2476" s="124"/>
      <c r="HQA2476" s="124"/>
      <c r="HQB2476" s="124"/>
      <c r="HQC2476" s="124"/>
      <c r="HQD2476" s="124"/>
      <c r="HQE2476" s="124"/>
      <c r="HQF2476" s="124"/>
      <c r="HQG2476" s="124"/>
      <c r="HQH2476" s="124"/>
      <c r="HQI2476" s="124"/>
      <c r="HQJ2476" s="124"/>
      <c r="HQK2476" s="124"/>
      <c r="HQL2476" s="124"/>
      <c r="HQM2476" s="124"/>
      <c r="HQN2476" s="124"/>
      <c r="HQO2476" s="124"/>
      <c r="HQP2476" s="124"/>
      <c r="HQQ2476" s="124"/>
      <c r="HQR2476" s="124"/>
      <c r="HQS2476" s="124"/>
      <c r="HQT2476" s="124"/>
      <c r="HQU2476" s="124"/>
      <c r="HQV2476" s="124"/>
      <c r="HQW2476" s="124"/>
      <c r="HQX2476" s="124"/>
      <c r="HQY2476" s="124"/>
      <c r="HQZ2476" s="124"/>
      <c r="HRA2476" s="124"/>
      <c r="HRB2476" s="124"/>
      <c r="HRC2476" s="124"/>
      <c r="HRD2476" s="124"/>
      <c r="HRE2476" s="124"/>
      <c r="HRF2476" s="124"/>
      <c r="HRG2476" s="124"/>
      <c r="HRH2476" s="124"/>
      <c r="HRI2476" s="124"/>
      <c r="HRJ2476" s="124"/>
      <c r="HRK2476" s="124"/>
      <c r="HRL2476" s="124"/>
      <c r="HRM2476" s="124"/>
      <c r="HRN2476" s="124"/>
      <c r="HRO2476" s="124"/>
      <c r="HRP2476" s="124"/>
      <c r="HRQ2476" s="124"/>
      <c r="HRR2476" s="124"/>
      <c r="HRS2476" s="124"/>
      <c r="HRT2476" s="124"/>
      <c r="HRU2476" s="124"/>
      <c r="HRV2476" s="124"/>
      <c r="HRW2476" s="124"/>
      <c r="HRX2476" s="124"/>
      <c r="HRY2476" s="124"/>
      <c r="HRZ2476" s="124"/>
      <c r="HSA2476" s="124"/>
      <c r="HSB2476" s="124"/>
      <c r="HSC2476" s="124"/>
      <c r="HSD2476" s="124"/>
      <c r="HSE2476" s="124"/>
      <c r="HSF2476" s="124"/>
      <c r="HSG2476" s="124"/>
      <c r="HSH2476" s="124"/>
      <c r="HSI2476" s="124"/>
      <c r="HSJ2476" s="124"/>
      <c r="HSK2476" s="124"/>
      <c r="HSL2476" s="124"/>
      <c r="HSM2476" s="124"/>
      <c r="HSN2476" s="124"/>
      <c r="HSO2476" s="124"/>
      <c r="HSP2476" s="124"/>
      <c r="HSQ2476" s="124"/>
      <c r="HSR2476" s="124"/>
      <c r="HSS2476" s="124"/>
      <c r="HST2476" s="124"/>
      <c r="HSU2476" s="124"/>
      <c r="HSV2476" s="124"/>
      <c r="HSW2476" s="124"/>
      <c r="HSX2476" s="124"/>
      <c r="HSY2476" s="124"/>
      <c r="HSZ2476" s="124"/>
      <c r="HTA2476" s="124"/>
      <c r="HTB2476" s="124"/>
      <c r="HTC2476" s="124"/>
      <c r="HTD2476" s="124"/>
      <c r="HTE2476" s="124"/>
      <c r="HTF2476" s="124"/>
      <c r="HTG2476" s="124"/>
      <c r="HTH2476" s="124"/>
      <c r="HTI2476" s="124"/>
      <c r="HTJ2476" s="124"/>
      <c r="HTK2476" s="124"/>
      <c r="HTL2476" s="124"/>
      <c r="HTM2476" s="124"/>
      <c r="HTN2476" s="124"/>
      <c r="HTO2476" s="124"/>
      <c r="HTP2476" s="124"/>
      <c r="HTQ2476" s="124"/>
      <c r="HTR2476" s="124"/>
      <c r="HTS2476" s="124"/>
      <c r="HTT2476" s="124"/>
      <c r="HTU2476" s="124"/>
      <c r="HTV2476" s="124"/>
      <c r="HTW2476" s="124"/>
      <c r="HTX2476" s="124"/>
      <c r="HTY2476" s="124"/>
      <c r="HTZ2476" s="124"/>
      <c r="HUA2476" s="124"/>
      <c r="HUB2476" s="124"/>
      <c r="HUC2476" s="124"/>
      <c r="HUD2476" s="124"/>
      <c r="HUE2476" s="124"/>
      <c r="HUF2476" s="124"/>
      <c r="HUG2476" s="124"/>
      <c r="HUH2476" s="124"/>
      <c r="HUI2476" s="124"/>
      <c r="HUJ2476" s="124"/>
      <c r="HUK2476" s="124"/>
      <c r="HUL2476" s="124"/>
      <c r="HUM2476" s="124"/>
      <c r="HUN2476" s="124"/>
      <c r="HUO2476" s="124"/>
      <c r="HUP2476" s="124"/>
      <c r="HUQ2476" s="124"/>
      <c r="HUR2476" s="124"/>
      <c r="HUS2476" s="124"/>
      <c r="HUT2476" s="124"/>
      <c r="HUU2476" s="124"/>
      <c r="HUV2476" s="124"/>
      <c r="HUW2476" s="124"/>
      <c r="HUX2476" s="124"/>
      <c r="HUY2476" s="124"/>
      <c r="HUZ2476" s="124"/>
      <c r="HVA2476" s="124"/>
      <c r="HVB2476" s="124"/>
      <c r="HVC2476" s="124"/>
      <c r="HVD2476" s="124"/>
      <c r="HVE2476" s="124"/>
      <c r="HVF2476" s="124"/>
      <c r="HVG2476" s="124"/>
      <c r="HVH2476" s="124"/>
      <c r="HVI2476" s="124"/>
      <c r="HVJ2476" s="124"/>
      <c r="HVK2476" s="124"/>
      <c r="HVL2476" s="124"/>
      <c r="HVM2476" s="124"/>
      <c r="HVN2476" s="124"/>
      <c r="HVO2476" s="124"/>
      <c r="HVP2476" s="124"/>
      <c r="HVQ2476" s="124"/>
      <c r="HVR2476" s="124"/>
      <c r="HVS2476" s="124"/>
      <c r="HVT2476" s="124"/>
      <c r="HVU2476" s="124"/>
      <c r="HVV2476" s="124"/>
      <c r="HVW2476" s="124"/>
      <c r="HVX2476" s="124"/>
      <c r="HVY2476" s="124"/>
      <c r="HVZ2476" s="124"/>
      <c r="HWA2476" s="124"/>
      <c r="HWB2476" s="124"/>
      <c r="HWC2476" s="124"/>
      <c r="HWD2476" s="124"/>
      <c r="HWE2476" s="124"/>
      <c r="HWF2476" s="124"/>
      <c r="HWG2476" s="124"/>
      <c r="HWH2476" s="124"/>
      <c r="HWI2476" s="124"/>
      <c r="HWJ2476" s="124"/>
      <c r="HWK2476" s="124"/>
      <c r="HWL2476" s="124"/>
      <c r="HWM2476" s="124"/>
      <c r="HWN2476" s="124"/>
      <c r="HWO2476" s="124"/>
      <c r="HWP2476" s="124"/>
      <c r="HWQ2476" s="124"/>
      <c r="HWR2476" s="124"/>
      <c r="HWS2476" s="124"/>
      <c r="HWT2476" s="124"/>
      <c r="HWU2476" s="124"/>
      <c r="HWV2476" s="124"/>
      <c r="HWW2476" s="124"/>
      <c r="HWX2476" s="124"/>
      <c r="HWY2476" s="124"/>
      <c r="HWZ2476" s="124"/>
      <c r="HXA2476" s="124"/>
      <c r="HXB2476" s="124"/>
      <c r="HXC2476" s="124"/>
      <c r="HXD2476" s="124"/>
      <c r="HXE2476" s="124"/>
      <c r="HXF2476" s="124"/>
      <c r="HXG2476" s="124"/>
      <c r="HXH2476" s="124"/>
      <c r="HXI2476" s="124"/>
      <c r="HXJ2476" s="124"/>
      <c r="HXK2476" s="124"/>
      <c r="HXL2476" s="124"/>
      <c r="HXM2476" s="124"/>
      <c r="HXN2476" s="124"/>
      <c r="HXO2476" s="124"/>
      <c r="HXP2476" s="124"/>
      <c r="HXQ2476" s="124"/>
      <c r="HXR2476" s="124"/>
      <c r="HXS2476" s="124"/>
      <c r="HXT2476" s="124"/>
      <c r="HXU2476" s="124"/>
      <c r="HXV2476" s="124"/>
      <c r="HXW2476" s="124"/>
      <c r="HXX2476" s="124"/>
      <c r="HXY2476" s="124"/>
      <c r="HXZ2476" s="124"/>
      <c r="HYA2476" s="124"/>
      <c r="HYB2476" s="124"/>
      <c r="HYC2476" s="124"/>
      <c r="HYD2476" s="124"/>
      <c r="HYE2476" s="124"/>
      <c r="HYF2476" s="124"/>
      <c r="HYG2476" s="124"/>
      <c r="HYH2476" s="124"/>
      <c r="HYI2476" s="124"/>
      <c r="HYJ2476" s="124"/>
      <c r="HYK2476" s="124"/>
      <c r="HYL2476" s="124"/>
      <c r="HYM2476" s="124"/>
      <c r="HYN2476" s="124"/>
      <c r="HYO2476" s="124"/>
      <c r="HYP2476" s="124"/>
      <c r="HYQ2476" s="124"/>
      <c r="HYR2476" s="124"/>
      <c r="HYS2476" s="124"/>
      <c r="HYT2476" s="124"/>
      <c r="HYU2476" s="124"/>
      <c r="HYV2476" s="124"/>
      <c r="HYW2476" s="124"/>
      <c r="HYX2476" s="124"/>
      <c r="HYY2476" s="124"/>
      <c r="HYZ2476" s="124"/>
      <c r="HZA2476" s="124"/>
      <c r="HZB2476" s="124"/>
      <c r="HZC2476" s="124"/>
      <c r="HZD2476" s="124"/>
      <c r="HZE2476" s="124"/>
      <c r="HZF2476" s="124"/>
      <c r="HZG2476" s="124"/>
      <c r="HZH2476" s="124"/>
      <c r="HZI2476" s="124"/>
      <c r="HZJ2476" s="124"/>
      <c r="HZK2476" s="124"/>
      <c r="HZL2476" s="124"/>
      <c r="HZM2476" s="124"/>
      <c r="HZN2476" s="124"/>
      <c r="HZO2476" s="124"/>
      <c r="HZP2476" s="124"/>
      <c r="HZQ2476" s="124"/>
      <c r="HZR2476" s="124"/>
      <c r="HZS2476" s="124"/>
      <c r="HZT2476" s="124"/>
      <c r="HZU2476" s="124"/>
      <c r="HZV2476" s="124"/>
      <c r="HZW2476" s="124"/>
      <c r="HZX2476" s="124"/>
      <c r="HZY2476" s="124"/>
      <c r="HZZ2476" s="124"/>
      <c r="IAA2476" s="124"/>
      <c r="IAB2476" s="124"/>
      <c r="IAC2476" s="124"/>
      <c r="IAD2476" s="124"/>
      <c r="IAE2476" s="124"/>
      <c r="IAF2476" s="124"/>
      <c r="IAG2476" s="124"/>
      <c r="IAH2476" s="124"/>
      <c r="IAI2476" s="124"/>
      <c r="IAJ2476" s="124"/>
      <c r="IAK2476" s="124"/>
      <c r="IAL2476" s="124"/>
      <c r="IAM2476" s="124"/>
      <c r="IAN2476" s="124"/>
      <c r="IAO2476" s="124"/>
      <c r="IAP2476" s="124"/>
      <c r="IAQ2476" s="124"/>
      <c r="IAR2476" s="124"/>
      <c r="IAS2476" s="124"/>
      <c r="IAT2476" s="124"/>
      <c r="IAU2476" s="124"/>
      <c r="IAV2476" s="124"/>
      <c r="IAW2476" s="124"/>
      <c r="IAX2476" s="124"/>
      <c r="IAY2476" s="124"/>
      <c r="IAZ2476" s="124"/>
      <c r="IBA2476" s="124"/>
      <c r="IBB2476" s="124"/>
      <c r="IBC2476" s="124"/>
      <c r="IBD2476" s="124"/>
      <c r="IBE2476" s="124"/>
      <c r="IBF2476" s="124"/>
      <c r="IBG2476" s="124"/>
      <c r="IBH2476" s="124"/>
      <c r="IBI2476" s="124"/>
      <c r="IBJ2476" s="124"/>
      <c r="IBK2476" s="124"/>
      <c r="IBL2476" s="124"/>
      <c r="IBM2476" s="124"/>
      <c r="IBN2476" s="124"/>
      <c r="IBO2476" s="124"/>
      <c r="IBP2476" s="124"/>
      <c r="IBQ2476" s="124"/>
      <c r="IBR2476" s="124"/>
      <c r="IBS2476" s="124"/>
      <c r="IBT2476" s="124"/>
      <c r="IBU2476" s="124"/>
      <c r="IBV2476" s="124"/>
      <c r="IBW2476" s="124"/>
      <c r="IBX2476" s="124"/>
      <c r="IBY2476" s="124"/>
      <c r="IBZ2476" s="124"/>
      <c r="ICA2476" s="124"/>
      <c r="ICB2476" s="124"/>
      <c r="ICC2476" s="124"/>
      <c r="ICD2476" s="124"/>
      <c r="ICE2476" s="124"/>
      <c r="ICF2476" s="124"/>
      <c r="ICG2476" s="124"/>
      <c r="ICH2476" s="124"/>
      <c r="ICI2476" s="124"/>
      <c r="ICJ2476" s="124"/>
      <c r="ICK2476" s="124"/>
      <c r="ICL2476" s="124"/>
      <c r="ICM2476" s="124"/>
      <c r="ICN2476" s="124"/>
      <c r="ICO2476" s="124"/>
      <c r="ICP2476" s="124"/>
      <c r="ICQ2476" s="124"/>
      <c r="ICR2476" s="124"/>
      <c r="ICS2476" s="124"/>
      <c r="ICT2476" s="124"/>
      <c r="ICU2476" s="124"/>
      <c r="ICV2476" s="124"/>
      <c r="ICW2476" s="124"/>
      <c r="ICX2476" s="124"/>
      <c r="ICY2476" s="124"/>
      <c r="ICZ2476" s="124"/>
      <c r="IDA2476" s="124"/>
      <c r="IDB2476" s="124"/>
      <c r="IDC2476" s="124"/>
      <c r="IDD2476" s="124"/>
      <c r="IDE2476" s="124"/>
      <c r="IDF2476" s="124"/>
      <c r="IDG2476" s="124"/>
      <c r="IDH2476" s="124"/>
      <c r="IDI2476" s="124"/>
      <c r="IDJ2476" s="124"/>
      <c r="IDK2476" s="124"/>
      <c r="IDL2476" s="124"/>
      <c r="IDM2476" s="124"/>
      <c r="IDN2476" s="124"/>
      <c r="IDO2476" s="124"/>
      <c r="IDP2476" s="124"/>
      <c r="IDQ2476" s="124"/>
      <c r="IDR2476" s="124"/>
      <c r="IDS2476" s="124"/>
      <c r="IDT2476" s="124"/>
      <c r="IDU2476" s="124"/>
      <c r="IDV2476" s="124"/>
      <c r="IDW2476" s="124"/>
      <c r="IDX2476" s="124"/>
      <c r="IDY2476" s="124"/>
      <c r="IDZ2476" s="124"/>
      <c r="IEA2476" s="124"/>
      <c r="IEB2476" s="124"/>
      <c r="IEC2476" s="124"/>
      <c r="IED2476" s="124"/>
      <c r="IEE2476" s="124"/>
      <c r="IEF2476" s="124"/>
      <c r="IEG2476" s="124"/>
      <c r="IEH2476" s="124"/>
      <c r="IEI2476" s="124"/>
      <c r="IEJ2476" s="124"/>
      <c r="IEK2476" s="124"/>
      <c r="IEL2476" s="124"/>
      <c r="IEM2476" s="124"/>
      <c r="IEN2476" s="124"/>
      <c r="IEO2476" s="124"/>
      <c r="IEP2476" s="124"/>
      <c r="IEQ2476" s="124"/>
      <c r="IER2476" s="124"/>
      <c r="IES2476" s="124"/>
      <c r="IET2476" s="124"/>
      <c r="IEU2476" s="124"/>
      <c r="IEV2476" s="124"/>
      <c r="IEW2476" s="124"/>
      <c r="IEX2476" s="124"/>
      <c r="IEY2476" s="124"/>
      <c r="IEZ2476" s="124"/>
      <c r="IFA2476" s="124"/>
      <c r="IFB2476" s="124"/>
      <c r="IFC2476" s="124"/>
      <c r="IFD2476" s="124"/>
      <c r="IFE2476" s="124"/>
      <c r="IFF2476" s="124"/>
      <c r="IFG2476" s="124"/>
      <c r="IFH2476" s="124"/>
      <c r="IFI2476" s="124"/>
      <c r="IFJ2476" s="124"/>
      <c r="IFK2476" s="124"/>
      <c r="IFL2476" s="124"/>
      <c r="IFM2476" s="124"/>
      <c r="IFN2476" s="124"/>
      <c r="IFO2476" s="124"/>
      <c r="IFP2476" s="124"/>
      <c r="IFQ2476" s="124"/>
      <c r="IFR2476" s="124"/>
      <c r="IFS2476" s="124"/>
      <c r="IFT2476" s="124"/>
      <c r="IFU2476" s="124"/>
      <c r="IFV2476" s="124"/>
      <c r="IFW2476" s="124"/>
      <c r="IFX2476" s="124"/>
      <c r="IFY2476" s="124"/>
      <c r="IFZ2476" s="124"/>
      <c r="IGA2476" s="124"/>
      <c r="IGB2476" s="124"/>
      <c r="IGC2476" s="124"/>
      <c r="IGD2476" s="124"/>
      <c r="IGE2476" s="124"/>
      <c r="IGF2476" s="124"/>
      <c r="IGG2476" s="124"/>
      <c r="IGH2476" s="124"/>
      <c r="IGI2476" s="124"/>
      <c r="IGJ2476" s="124"/>
      <c r="IGK2476" s="124"/>
      <c r="IGL2476" s="124"/>
      <c r="IGM2476" s="124"/>
      <c r="IGN2476" s="124"/>
      <c r="IGO2476" s="124"/>
      <c r="IGP2476" s="124"/>
      <c r="IGQ2476" s="124"/>
      <c r="IGR2476" s="124"/>
      <c r="IGS2476" s="124"/>
      <c r="IGT2476" s="124"/>
      <c r="IGU2476" s="124"/>
      <c r="IGV2476" s="124"/>
      <c r="IGW2476" s="124"/>
      <c r="IGX2476" s="124"/>
      <c r="IGY2476" s="124"/>
      <c r="IGZ2476" s="124"/>
      <c r="IHA2476" s="124"/>
      <c r="IHB2476" s="124"/>
      <c r="IHC2476" s="124"/>
      <c r="IHD2476" s="124"/>
      <c r="IHE2476" s="124"/>
      <c r="IHF2476" s="124"/>
      <c r="IHG2476" s="124"/>
      <c r="IHH2476" s="124"/>
      <c r="IHI2476" s="124"/>
      <c r="IHJ2476" s="124"/>
      <c r="IHK2476" s="124"/>
      <c r="IHL2476" s="124"/>
      <c r="IHM2476" s="124"/>
      <c r="IHN2476" s="124"/>
      <c r="IHO2476" s="124"/>
      <c r="IHP2476" s="124"/>
      <c r="IHQ2476" s="124"/>
      <c r="IHR2476" s="124"/>
      <c r="IHS2476" s="124"/>
      <c r="IHT2476" s="124"/>
      <c r="IHU2476" s="124"/>
      <c r="IHV2476" s="124"/>
      <c r="IHW2476" s="124"/>
      <c r="IHX2476" s="124"/>
      <c r="IHY2476" s="124"/>
      <c r="IHZ2476" s="124"/>
      <c r="IIA2476" s="124"/>
      <c r="IIB2476" s="124"/>
      <c r="IIC2476" s="124"/>
      <c r="IID2476" s="124"/>
      <c r="IIE2476" s="124"/>
      <c r="IIF2476" s="124"/>
      <c r="IIG2476" s="124"/>
      <c r="IIH2476" s="124"/>
      <c r="III2476" s="124"/>
      <c r="IIJ2476" s="124"/>
      <c r="IIK2476" s="124"/>
      <c r="IIL2476" s="124"/>
      <c r="IIM2476" s="124"/>
      <c r="IIN2476" s="124"/>
      <c r="IIO2476" s="124"/>
      <c r="IIP2476" s="124"/>
      <c r="IIQ2476" s="124"/>
      <c r="IIR2476" s="124"/>
      <c r="IIS2476" s="124"/>
      <c r="IIT2476" s="124"/>
      <c r="IIU2476" s="124"/>
      <c r="IIV2476" s="124"/>
      <c r="IIW2476" s="124"/>
      <c r="IIX2476" s="124"/>
      <c r="IIY2476" s="124"/>
      <c r="IIZ2476" s="124"/>
      <c r="IJA2476" s="124"/>
      <c r="IJB2476" s="124"/>
      <c r="IJC2476" s="124"/>
      <c r="IJD2476" s="124"/>
      <c r="IJE2476" s="124"/>
      <c r="IJF2476" s="124"/>
      <c r="IJG2476" s="124"/>
      <c r="IJH2476" s="124"/>
      <c r="IJI2476" s="124"/>
      <c r="IJJ2476" s="124"/>
      <c r="IJK2476" s="124"/>
      <c r="IJL2476" s="124"/>
      <c r="IJM2476" s="124"/>
      <c r="IJN2476" s="124"/>
      <c r="IJO2476" s="124"/>
      <c r="IJP2476" s="124"/>
      <c r="IJQ2476" s="124"/>
      <c r="IJR2476" s="124"/>
      <c r="IJS2476" s="124"/>
      <c r="IJT2476" s="124"/>
      <c r="IJU2476" s="124"/>
      <c r="IJV2476" s="124"/>
      <c r="IJW2476" s="124"/>
      <c r="IJX2476" s="124"/>
      <c r="IJY2476" s="124"/>
      <c r="IJZ2476" s="124"/>
      <c r="IKA2476" s="124"/>
      <c r="IKB2476" s="124"/>
      <c r="IKC2476" s="124"/>
      <c r="IKD2476" s="124"/>
      <c r="IKE2476" s="124"/>
      <c r="IKF2476" s="124"/>
      <c r="IKG2476" s="124"/>
      <c r="IKH2476" s="124"/>
      <c r="IKI2476" s="124"/>
      <c r="IKJ2476" s="124"/>
      <c r="IKK2476" s="124"/>
      <c r="IKL2476" s="124"/>
      <c r="IKM2476" s="124"/>
      <c r="IKN2476" s="124"/>
      <c r="IKO2476" s="124"/>
      <c r="IKP2476" s="124"/>
      <c r="IKQ2476" s="124"/>
      <c r="IKR2476" s="124"/>
      <c r="IKS2476" s="124"/>
      <c r="IKT2476" s="124"/>
      <c r="IKU2476" s="124"/>
      <c r="IKV2476" s="124"/>
      <c r="IKW2476" s="124"/>
      <c r="IKX2476" s="124"/>
      <c r="IKY2476" s="124"/>
      <c r="IKZ2476" s="124"/>
      <c r="ILA2476" s="124"/>
      <c r="ILB2476" s="124"/>
      <c r="ILC2476" s="124"/>
      <c r="ILD2476" s="124"/>
      <c r="ILE2476" s="124"/>
      <c r="ILF2476" s="124"/>
      <c r="ILG2476" s="124"/>
      <c r="ILH2476" s="124"/>
      <c r="ILI2476" s="124"/>
      <c r="ILJ2476" s="124"/>
      <c r="ILK2476" s="124"/>
      <c r="ILL2476" s="124"/>
      <c r="ILM2476" s="124"/>
      <c r="ILN2476" s="124"/>
      <c r="ILO2476" s="124"/>
      <c r="ILP2476" s="124"/>
      <c r="ILQ2476" s="124"/>
      <c r="ILR2476" s="124"/>
      <c r="ILS2476" s="124"/>
      <c r="ILT2476" s="124"/>
      <c r="ILU2476" s="124"/>
      <c r="ILV2476" s="124"/>
      <c r="ILW2476" s="124"/>
      <c r="ILX2476" s="124"/>
      <c r="ILY2476" s="124"/>
      <c r="ILZ2476" s="124"/>
      <c r="IMA2476" s="124"/>
      <c r="IMB2476" s="124"/>
      <c r="IMC2476" s="124"/>
      <c r="IMD2476" s="124"/>
      <c r="IME2476" s="124"/>
      <c r="IMF2476" s="124"/>
      <c r="IMG2476" s="124"/>
      <c r="IMH2476" s="124"/>
      <c r="IMI2476" s="124"/>
      <c r="IMJ2476" s="124"/>
      <c r="IMK2476" s="124"/>
      <c r="IML2476" s="124"/>
      <c r="IMM2476" s="124"/>
      <c r="IMN2476" s="124"/>
      <c r="IMO2476" s="124"/>
      <c r="IMP2476" s="124"/>
      <c r="IMQ2476" s="124"/>
      <c r="IMR2476" s="124"/>
      <c r="IMS2476" s="124"/>
      <c r="IMT2476" s="124"/>
      <c r="IMU2476" s="124"/>
      <c r="IMV2476" s="124"/>
      <c r="IMW2476" s="124"/>
      <c r="IMX2476" s="124"/>
      <c r="IMY2476" s="124"/>
      <c r="IMZ2476" s="124"/>
      <c r="INA2476" s="124"/>
      <c r="INB2476" s="124"/>
      <c r="INC2476" s="124"/>
      <c r="IND2476" s="124"/>
      <c r="INE2476" s="124"/>
      <c r="INF2476" s="124"/>
      <c r="ING2476" s="124"/>
      <c r="INH2476" s="124"/>
      <c r="INI2476" s="124"/>
      <c r="INJ2476" s="124"/>
      <c r="INK2476" s="124"/>
      <c r="INL2476" s="124"/>
      <c r="INM2476" s="124"/>
      <c r="INN2476" s="124"/>
      <c r="INO2476" s="124"/>
      <c r="INP2476" s="124"/>
      <c r="INQ2476" s="124"/>
      <c r="INR2476" s="124"/>
      <c r="INS2476" s="124"/>
      <c r="INT2476" s="124"/>
      <c r="INU2476" s="124"/>
      <c r="INV2476" s="124"/>
      <c r="INW2476" s="124"/>
      <c r="INX2476" s="124"/>
      <c r="INY2476" s="124"/>
      <c r="INZ2476" s="124"/>
      <c r="IOA2476" s="124"/>
      <c r="IOB2476" s="124"/>
      <c r="IOC2476" s="124"/>
      <c r="IOD2476" s="124"/>
      <c r="IOE2476" s="124"/>
      <c r="IOF2476" s="124"/>
      <c r="IOG2476" s="124"/>
      <c r="IOH2476" s="124"/>
      <c r="IOI2476" s="124"/>
      <c r="IOJ2476" s="124"/>
      <c r="IOK2476" s="124"/>
      <c r="IOL2476" s="124"/>
      <c r="IOM2476" s="124"/>
      <c r="ION2476" s="124"/>
      <c r="IOO2476" s="124"/>
      <c r="IOP2476" s="124"/>
      <c r="IOQ2476" s="124"/>
      <c r="IOR2476" s="124"/>
      <c r="IOS2476" s="124"/>
      <c r="IOT2476" s="124"/>
      <c r="IOU2476" s="124"/>
      <c r="IOV2476" s="124"/>
      <c r="IOW2476" s="124"/>
      <c r="IOX2476" s="124"/>
      <c r="IOY2476" s="124"/>
      <c r="IOZ2476" s="124"/>
      <c r="IPA2476" s="124"/>
      <c r="IPB2476" s="124"/>
      <c r="IPC2476" s="124"/>
      <c r="IPD2476" s="124"/>
      <c r="IPE2476" s="124"/>
      <c r="IPF2476" s="124"/>
      <c r="IPG2476" s="124"/>
      <c r="IPH2476" s="124"/>
      <c r="IPI2476" s="124"/>
      <c r="IPJ2476" s="124"/>
      <c r="IPK2476" s="124"/>
      <c r="IPL2476" s="124"/>
      <c r="IPM2476" s="124"/>
      <c r="IPN2476" s="124"/>
      <c r="IPO2476" s="124"/>
      <c r="IPP2476" s="124"/>
      <c r="IPQ2476" s="124"/>
      <c r="IPR2476" s="124"/>
      <c r="IPS2476" s="124"/>
      <c r="IPT2476" s="124"/>
      <c r="IPU2476" s="124"/>
      <c r="IPV2476" s="124"/>
      <c r="IPW2476" s="124"/>
      <c r="IPX2476" s="124"/>
      <c r="IPY2476" s="124"/>
      <c r="IPZ2476" s="124"/>
      <c r="IQA2476" s="124"/>
      <c r="IQB2476" s="124"/>
      <c r="IQC2476" s="124"/>
      <c r="IQD2476" s="124"/>
      <c r="IQE2476" s="124"/>
      <c r="IQF2476" s="124"/>
      <c r="IQG2476" s="124"/>
      <c r="IQH2476" s="124"/>
      <c r="IQI2476" s="124"/>
      <c r="IQJ2476" s="124"/>
      <c r="IQK2476" s="124"/>
      <c r="IQL2476" s="124"/>
      <c r="IQM2476" s="124"/>
      <c r="IQN2476" s="124"/>
      <c r="IQO2476" s="124"/>
      <c r="IQP2476" s="124"/>
      <c r="IQQ2476" s="124"/>
      <c r="IQR2476" s="124"/>
      <c r="IQS2476" s="124"/>
      <c r="IQT2476" s="124"/>
      <c r="IQU2476" s="124"/>
      <c r="IQV2476" s="124"/>
      <c r="IQW2476" s="124"/>
      <c r="IQX2476" s="124"/>
      <c r="IQY2476" s="124"/>
      <c r="IQZ2476" s="124"/>
      <c r="IRA2476" s="124"/>
      <c r="IRB2476" s="124"/>
      <c r="IRC2476" s="124"/>
      <c r="IRD2476" s="124"/>
      <c r="IRE2476" s="124"/>
      <c r="IRF2476" s="124"/>
      <c r="IRG2476" s="124"/>
      <c r="IRH2476" s="124"/>
      <c r="IRI2476" s="124"/>
      <c r="IRJ2476" s="124"/>
      <c r="IRK2476" s="124"/>
      <c r="IRL2476" s="124"/>
      <c r="IRM2476" s="124"/>
      <c r="IRN2476" s="124"/>
      <c r="IRO2476" s="124"/>
      <c r="IRP2476" s="124"/>
      <c r="IRQ2476" s="124"/>
      <c r="IRR2476" s="124"/>
      <c r="IRS2476" s="124"/>
      <c r="IRT2476" s="124"/>
      <c r="IRU2476" s="124"/>
      <c r="IRV2476" s="124"/>
      <c r="IRW2476" s="124"/>
      <c r="IRX2476" s="124"/>
      <c r="IRY2476" s="124"/>
      <c r="IRZ2476" s="124"/>
      <c r="ISA2476" s="124"/>
      <c r="ISB2476" s="124"/>
      <c r="ISC2476" s="124"/>
      <c r="ISD2476" s="124"/>
      <c r="ISE2476" s="124"/>
      <c r="ISF2476" s="124"/>
      <c r="ISG2476" s="124"/>
      <c r="ISH2476" s="124"/>
      <c r="ISI2476" s="124"/>
      <c r="ISJ2476" s="124"/>
      <c r="ISK2476" s="124"/>
      <c r="ISL2476" s="124"/>
      <c r="ISM2476" s="124"/>
      <c r="ISN2476" s="124"/>
      <c r="ISO2476" s="124"/>
      <c r="ISP2476" s="124"/>
      <c r="ISQ2476" s="124"/>
      <c r="ISR2476" s="124"/>
      <c r="ISS2476" s="124"/>
      <c r="IST2476" s="124"/>
      <c r="ISU2476" s="124"/>
      <c r="ISV2476" s="124"/>
      <c r="ISW2476" s="124"/>
      <c r="ISX2476" s="124"/>
      <c r="ISY2476" s="124"/>
      <c r="ISZ2476" s="124"/>
      <c r="ITA2476" s="124"/>
      <c r="ITB2476" s="124"/>
      <c r="ITC2476" s="124"/>
      <c r="ITD2476" s="124"/>
      <c r="ITE2476" s="124"/>
      <c r="ITF2476" s="124"/>
      <c r="ITG2476" s="124"/>
      <c r="ITH2476" s="124"/>
      <c r="ITI2476" s="124"/>
      <c r="ITJ2476" s="124"/>
      <c r="ITK2476" s="124"/>
      <c r="ITL2476" s="124"/>
      <c r="ITM2476" s="124"/>
      <c r="ITN2476" s="124"/>
      <c r="ITO2476" s="124"/>
      <c r="ITP2476" s="124"/>
      <c r="ITQ2476" s="124"/>
      <c r="ITR2476" s="124"/>
      <c r="ITS2476" s="124"/>
      <c r="ITT2476" s="124"/>
      <c r="ITU2476" s="124"/>
      <c r="ITV2476" s="124"/>
      <c r="ITW2476" s="124"/>
      <c r="ITX2476" s="124"/>
      <c r="ITY2476" s="124"/>
      <c r="ITZ2476" s="124"/>
      <c r="IUA2476" s="124"/>
      <c r="IUB2476" s="124"/>
      <c r="IUC2476" s="124"/>
      <c r="IUD2476" s="124"/>
      <c r="IUE2476" s="124"/>
      <c r="IUF2476" s="124"/>
      <c r="IUG2476" s="124"/>
      <c r="IUH2476" s="124"/>
      <c r="IUI2476" s="124"/>
      <c r="IUJ2476" s="124"/>
      <c r="IUK2476" s="124"/>
      <c r="IUL2476" s="124"/>
      <c r="IUM2476" s="124"/>
      <c r="IUN2476" s="124"/>
      <c r="IUO2476" s="124"/>
      <c r="IUP2476" s="124"/>
      <c r="IUQ2476" s="124"/>
      <c r="IUR2476" s="124"/>
      <c r="IUS2476" s="124"/>
      <c r="IUT2476" s="124"/>
      <c r="IUU2476" s="124"/>
      <c r="IUV2476" s="124"/>
      <c r="IUW2476" s="124"/>
      <c r="IUX2476" s="124"/>
      <c r="IUY2476" s="124"/>
      <c r="IUZ2476" s="124"/>
      <c r="IVA2476" s="124"/>
      <c r="IVB2476" s="124"/>
      <c r="IVC2476" s="124"/>
      <c r="IVD2476" s="124"/>
      <c r="IVE2476" s="124"/>
      <c r="IVF2476" s="124"/>
      <c r="IVG2476" s="124"/>
      <c r="IVH2476" s="124"/>
      <c r="IVI2476" s="124"/>
      <c r="IVJ2476" s="124"/>
      <c r="IVK2476" s="124"/>
      <c r="IVL2476" s="124"/>
      <c r="IVM2476" s="124"/>
      <c r="IVN2476" s="124"/>
      <c r="IVO2476" s="124"/>
      <c r="IVP2476" s="124"/>
      <c r="IVQ2476" s="124"/>
      <c r="IVR2476" s="124"/>
      <c r="IVS2476" s="124"/>
      <c r="IVT2476" s="124"/>
      <c r="IVU2476" s="124"/>
      <c r="IVV2476" s="124"/>
      <c r="IVW2476" s="124"/>
      <c r="IVX2476" s="124"/>
      <c r="IVY2476" s="124"/>
      <c r="IVZ2476" s="124"/>
      <c r="IWA2476" s="124"/>
      <c r="IWB2476" s="124"/>
      <c r="IWC2476" s="124"/>
      <c r="IWD2476" s="124"/>
      <c r="IWE2476" s="124"/>
      <c r="IWF2476" s="124"/>
      <c r="IWG2476" s="124"/>
      <c r="IWH2476" s="124"/>
      <c r="IWI2476" s="124"/>
      <c r="IWJ2476" s="124"/>
      <c r="IWK2476" s="124"/>
      <c r="IWL2476" s="124"/>
      <c r="IWM2476" s="124"/>
      <c r="IWN2476" s="124"/>
      <c r="IWO2476" s="124"/>
      <c r="IWP2476" s="124"/>
      <c r="IWQ2476" s="124"/>
      <c r="IWR2476" s="124"/>
      <c r="IWS2476" s="124"/>
      <c r="IWT2476" s="124"/>
      <c r="IWU2476" s="124"/>
      <c r="IWV2476" s="124"/>
      <c r="IWW2476" s="124"/>
      <c r="IWX2476" s="124"/>
      <c r="IWY2476" s="124"/>
      <c r="IWZ2476" s="124"/>
      <c r="IXA2476" s="124"/>
      <c r="IXB2476" s="124"/>
      <c r="IXC2476" s="124"/>
      <c r="IXD2476" s="124"/>
      <c r="IXE2476" s="124"/>
      <c r="IXF2476" s="124"/>
      <c r="IXG2476" s="124"/>
      <c r="IXH2476" s="124"/>
      <c r="IXI2476" s="124"/>
      <c r="IXJ2476" s="124"/>
      <c r="IXK2476" s="124"/>
      <c r="IXL2476" s="124"/>
      <c r="IXM2476" s="124"/>
      <c r="IXN2476" s="124"/>
      <c r="IXO2476" s="124"/>
      <c r="IXP2476" s="124"/>
      <c r="IXQ2476" s="124"/>
      <c r="IXR2476" s="124"/>
      <c r="IXS2476" s="124"/>
      <c r="IXT2476" s="124"/>
      <c r="IXU2476" s="124"/>
      <c r="IXV2476" s="124"/>
      <c r="IXW2476" s="124"/>
      <c r="IXX2476" s="124"/>
      <c r="IXY2476" s="124"/>
      <c r="IXZ2476" s="124"/>
      <c r="IYA2476" s="124"/>
      <c r="IYB2476" s="124"/>
      <c r="IYC2476" s="124"/>
      <c r="IYD2476" s="124"/>
      <c r="IYE2476" s="124"/>
      <c r="IYF2476" s="124"/>
      <c r="IYG2476" s="124"/>
      <c r="IYH2476" s="124"/>
      <c r="IYI2476" s="124"/>
      <c r="IYJ2476" s="124"/>
      <c r="IYK2476" s="124"/>
      <c r="IYL2476" s="124"/>
      <c r="IYM2476" s="124"/>
      <c r="IYN2476" s="124"/>
      <c r="IYO2476" s="124"/>
      <c r="IYP2476" s="124"/>
      <c r="IYQ2476" s="124"/>
      <c r="IYR2476" s="124"/>
      <c r="IYS2476" s="124"/>
      <c r="IYT2476" s="124"/>
      <c r="IYU2476" s="124"/>
      <c r="IYV2476" s="124"/>
      <c r="IYW2476" s="124"/>
      <c r="IYX2476" s="124"/>
      <c r="IYY2476" s="124"/>
      <c r="IYZ2476" s="124"/>
      <c r="IZA2476" s="124"/>
      <c r="IZB2476" s="124"/>
      <c r="IZC2476" s="124"/>
      <c r="IZD2476" s="124"/>
      <c r="IZE2476" s="124"/>
      <c r="IZF2476" s="124"/>
      <c r="IZG2476" s="124"/>
      <c r="IZH2476" s="124"/>
      <c r="IZI2476" s="124"/>
      <c r="IZJ2476" s="124"/>
      <c r="IZK2476" s="124"/>
      <c r="IZL2476" s="124"/>
      <c r="IZM2476" s="124"/>
      <c r="IZN2476" s="124"/>
      <c r="IZO2476" s="124"/>
      <c r="IZP2476" s="124"/>
      <c r="IZQ2476" s="124"/>
      <c r="IZR2476" s="124"/>
      <c r="IZS2476" s="124"/>
      <c r="IZT2476" s="124"/>
      <c r="IZU2476" s="124"/>
      <c r="IZV2476" s="124"/>
      <c r="IZW2476" s="124"/>
      <c r="IZX2476" s="124"/>
      <c r="IZY2476" s="124"/>
      <c r="IZZ2476" s="124"/>
      <c r="JAA2476" s="124"/>
      <c r="JAB2476" s="124"/>
      <c r="JAC2476" s="124"/>
      <c r="JAD2476" s="124"/>
      <c r="JAE2476" s="124"/>
      <c r="JAF2476" s="124"/>
      <c r="JAG2476" s="124"/>
      <c r="JAH2476" s="124"/>
      <c r="JAI2476" s="124"/>
      <c r="JAJ2476" s="124"/>
      <c r="JAK2476" s="124"/>
      <c r="JAL2476" s="124"/>
      <c r="JAM2476" s="124"/>
      <c r="JAN2476" s="124"/>
      <c r="JAO2476" s="124"/>
      <c r="JAP2476" s="124"/>
      <c r="JAQ2476" s="124"/>
      <c r="JAR2476" s="124"/>
      <c r="JAS2476" s="124"/>
      <c r="JAT2476" s="124"/>
      <c r="JAU2476" s="124"/>
      <c r="JAV2476" s="124"/>
      <c r="JAW2476" s="124"/>
      <c r="JAX2476" s="124"/>
      <c r="JAY2476" s="124"/>
      <c r="JAZ2476" s="124"/>
      <c r="JBA2476" s="124"/>
      <c r="JBB2476" s="124"/>
      <c r="JBC2476" s="124"/>
      <c r="JBD2476" s="124"/>
      <c r="JBE2476" s="124"/>
      <c r="JBF2476" s="124"/>
      <c r="JBG2476" s="124"/>
      <c r="JBH2476" s="124"/>
      <c r="JBI2476" s="124"/>
      <c r="JBJ2476" s="124"/>
      <c r="JBK2476" s="124"/>
      <c r="JBL2476" s="124"/>
      <c r="JBM2476" s="124"/>
      <c r="JBN2476" s="124"/>
      <c r="JBO2476" s="124"/>
      <c r="JBP2476" s="124"/>
      <c r="JBQ2476" s="124"/>
      <c r="JBR2476" s="124"/>
      <c r="JBS2476" s="124"/>
      <c r="JBT2476" s="124"/>
      <c r="JBU2476" s="124"/>
      <c r="JBV2476" s="124"/>
      <c r="JBW2476" s="124"/>
      <c r="JBX2476" s="124"/>
      <c r="JBY2476" s="124"/>
      <c r="JBZ2476" s="124"/>
      <c r="JCA2476" s="124"/>
      <c r="JCB2476" s="124"/>
      <c r="JCC2476" s="124"/>
      <c r="JCD2476" s="124"/>
      <c r="JCE2476" s="124"/>
      <c r="JCF2476" s="124"/>
      <c r="JCG2476" s="124"/>
      <c r="JCH2476" s="124"/>
      <c r="JCI2476" s="124"/>
      <c r="JCJ2476" s="124"/>
      <c r="JCK2476" s="124"/>
      <c r="JCL2476" s="124"/>
      <c r="JCM2476" s="124"/>
      <c r="JCN2476" s="124"/>
      <c r="JCO2476" s="124"/>
      <c r="JCP2476" s="124"/>
      <c r="JCQ2476" s="124"/>
      <c r="JCR2476" s="124"/>
      <c r="JCS2476" s="124"/>
      <c r="JCT2476" s="124"/>
      <c r="JCU2476" s="124"/>
      <c r="JCV2476" s="124"/>
      <c r="JCW2476" s="124"/>
      <c r="JCX2476" s="124"/>
      <c r="JCY2476" s="124"/>
      <c r="JCZ2476" s="124"/>
      <c r="JDA2476" s="124"/>
      <c r="JDB2476" s="124"/>
      <c r="JDC2476" s="124"/>
      <c r="JDD2476" s="124"/>
      <c r="JDE2476" s="124"/>
      <c r="JDF2476" s="124"/>
      <c r="JDG2476" s="124"/>
      <c r="JDH2476" s="124"/>
      <c r="JDI2476" s="124"/>
      <c r="JDJ2476" s="124"/>
      <c r="JDK2476" s="124"/>
      <c r="JDL2476" s="124"/>
      <c r="JDM2476" s="124"/>
      <c r="JDN2476" s="124"/>
      <c r="JDO2476" s="124"/>
      <c r="JDP2476" s="124"/>
      <c r="JDQ2476" s="124"/>
      <c r="JDR2476" s="124"/>
      <c r="JDS2476" s="124"/>
      <c r="JDT2476" s="124"/>
      <c r="JDU2476" s="124"/>
      <c r="JDV2476" s="124"/>
      <c r="JDW2476" s="124"/>
      <c r="JDX2476" s="124"/>
      <c r="JDY2476" s="124"/>
      <c r="JDZ2476" s="124"/>
      <c r="JEA2476" s="124"/>
      <c r="JEB2476" s="124"/>
      <c r="JEC2476" s="124"/>
      <c r="JED2476" s="124"/>
      <c r="JEE2476" s="124"/>
      <c r="JEF2476" s="124"/>
      <c r="JEG2476" s="124"/>
      <c r="JEH2476" s="124"/>
      <c r="JEI2476" s="124"/>
      <c r="JEJ2476" s="124"/>
      <c r="JEK2476" s="124"/>
      <c r="JEL2476" s="124"/>
      <c r="JEM2476" s="124"/>
      <c r="JEN2476" s="124"/>
      <c r="JEO2476" s="124"/>
      <c r="JEP2476" s="124"/>
      <c r="JEQ2476" s="124"/>
      <c r="JER2476" s="124"/>
      <c r="JES2476" s="124"/>
      <c r="JET2476" s="124"/>
      <c r="JEU2476" s="124"/>
      <c r="JEV2476" s="124"/>
      <c r="JEW2476" s="124"/>
      <c r="JEX2476" s="124"/>
      <c r="JEY2476" s="124"/>
      <c r="JEZ2476" s="124"/>
      <c r="JFA2476" s="124"/>
      <c r="JFB2476" s="124"/>
      <c r="JFC2476" s="124"/>
      <c r="JFD2476" s="124"/>
      <c r="JFE2476" s="124"/>
      <c r="JFF2476" s="124"/>
      <c r="JFG2476" s="124"/>
      <c r="JFH2476" s="124"/>
      <c r="JFI2476" s="124"/>
      <c r="JFJ2476" s="124"/>
      <c r="JFK2476" s="124"/>
      <c r="JFL2476" s="124"/>
      <c r="JFM2476" s="124"/>
      <c r="JFN2476" s="124"/>
      <c r="JFO2476" s="124"/>
      <c r="JFP2476" s="124"/>
      <c r="JFQ2476" s="124"/>
      <c r="JFR2476" s="124"/>
      <c r="JFS2476" s="124"/>
      <c r="JFT2476" s="124"/>
      <c r="JFU2476" s="124"/>
      <c r="JFV2476" s="124"/>
      <c r="JFW2476" s="124"/>
      <c r="JFX2476" s="124"/>
      <c r="JFY2476" s="124"/>
      <c r="JFZ2476" s="124"/>
      <c r="JGA2476" s="124"/>
      <c r="JGB2476" s="124"/>
      <c r="JGC2476" s="124"/>
      <c r="JGD2476" s="124"/>
      <c r="JGE2476" s="124"/>
      <c r="JGF2476" s="124"/>
      <c r="JGG2476" s="124"/>
      <c r="JGH2476" s="124"/>
      <c r="JGI2476" s="124"/>
      <c r="JGJ2476" s="124"/>
      <c r="JGK2476" s="124"/>
      <c r="JGL2476" s="124"/>
      <c r="JGM2476" s="124"/>
      <c r="JGN2476" s="124"/>
      <c r="JGO2476" s="124"/>
      <c r="JGP2476" s="124"/>
      <c r="JGQ2476" s="124"/>
      <c r="JGR2476" s="124"/>
      <c r="JGS2476" s="124"/>
      <c r="JGT2476" s="124"/>
      <c r="JGU2476" s="124"/>
      <c r="JGV2476" s="124"/>
      <c r="JGW2476" s="124"/>
      <c r="JGX2476" s="124"/>
      <c r="JGY2476" s="124"/>
      <c r="JGZ2476" s="124"/>
      <c r="JHA2476" s="124"/>
      <c r="JHB2476" s="124"/>
      <c r="JHC2476" s="124"/>
      <c r="JHD2476" s="124"/>
      <c r="JHE2476" s="124"/>
      <c r="JHF2476" s="124"/>
      <c r="JHG2476" s="124"/>
      <c r="JHH2476" s="124"/>
      <c r="JHI2476" s="124"/>
      <c r="JHJ2476" s="124"/>
      <c r="JHK2476" s="124"/>
      <c r="JHL2476" s="124"/>
      <c r="JHM2476" s="124"/>
      <c r="JHN2476" s="124"/>
      <c r="JHO2476" s="124"/>
      <c r="JHP2476" s="124"/>
      <c r="JHQ2476" s="124"/>
      <c r="JHR2476" s="124"/>
      <c r="JHS2476" s="124"/>
      <c r="JHT2476" s="124"/>
      <c r="JHU2476" s="124"/>
      <c r="JHV2476" s="124"/>
      <c r="JHW2476" s="124"/>
      <c r="JHX2476" s="124"/>
      <c r="JHY2476" s="124"/>
      <c r="JHZ2476" s="124"/>
      <c r="JIA2476" s="124"/>
      <c r="JIB2476" s="124"/>
      <c r="JIC2476" s="124"/>
      <c r="JID2476" s="124"/>
      <c r="JIE2476" s="124"/>
      <c r="JIF2476" s="124"/>
      <c r="JIG2476" s="124"/>
      <c r="JIH2476" s="124"/>
      <c r="JII2476" s="124"/>
      <c r="JIJ2476" s="124"/>
      <c r="JIK2476" s="124"/>
      <c r="JIL2476" s="124"/>
      <c r="JIM2476" s="124"/>
      <c r="JIN2476" s="124"/>
      <c r="JIO2476" s="124"/>
      <c r="JIP2476" s="124"/>
      <c r="JIQ2476" s="124"/>
      <c r="JIR2476" s="124"/>
      <c r="JIS2476" s="124"/>
      <c r="JIT2476" s="124"/>
      <c r="JIU2476" s="124"/>
      <c r="JIV2476" s="124"/>
      <c r="JIW2476" s="124"/>
      <c r="JIX2476" s="124"/>
      <c r="JIY2476" s="124"/>
      <c r="JIZ2476" s="124"/>
      <c r="JJA2476" s="124"/>
      <c r="JJB2476" s="124"/>
      <c r="JJC2476" s="124"/>
      <c r="JJD2476" s="124"/>
      <c r="JJE2476" s="124"/>
      <c r="JJF2476" s="124"/>
      <c r="JJG2476" s="124"/>
      <c r="JJH2476" s="124"/>
      <c r="JJI2476" s="124"/>
      <c r="JJJ2476" s="124"/>
      <c r="JJK2476" s="124"/>
      <c r="JJL2476" s="124"/>
      <c r="JJM2476" s="124"/>
      <c r="JJN2476" s="124"/>
      <c r="JJO2476" s="124"/>
      <c r="JJP2476" s="124"/>
      <c r="JJQ2476" s="124"/>
      <c r="JJR2476" s="124"/>
      <c r="JJS2476" s="124"/>
      <c r="JJT2476" s="124"/>
      <c r="JJU2476" s="124"/>
      <c r="JJV2476" s="124"/>
      <c r="JJW2476" s="124"/>
      <c r="JJX2476" s="124"/>
      <c r="JJY2476" s="124"/>
      <c r="JJZ2476" s="124"/>
      <c r="JKA2476" s="124"/>
      <c r="JKB2476" s="124"/>
      <c r="JKC2476" s="124"/>
      <c r="JKD2476" s="124"/>
      <c r="JKE2476" s="124"/>
      <c r="JKF2476" s="124"/>
      <c r="JKG2476" s="124"/>
      <c r="JKH2476" s="124"/>
      <c r="JKI2476" s="124"/>
      <c r="JKJ2476" s="124"/>
      <c r="JKK2476" s="124"/>
      <c r="JKL2476" s="124"/>
      <c r="JKM2476" s="124"/>
      <c r="JKN2476" s="124"/>
      <c r="JKO2476" s="124"/>
      <c r="JKP2476" s="124"/>
      <c r="JKQ2476" s="124"/>
      <c r="JKR2476" s="124"/>
      <c r="JKS2476" s="124"/>
      <c r="JKT2476" s="124"/>
      <c r="JKU2476" s="124"/>
      <c r="JKV2476" s="124"/>
      <c r="JKW2476" s="124"/>
      <c r="JKX2476" s="124"/>
      <c r="JKY2476" s="124"/>
      <c r="JKZ2476" s="124"/>
      <c r="JLA2476" s="124"/>
      <c r="JLB2476" s="124"/>
      <c r="JLC2476" s="124"/>
      <c r="JLD2476" s="124"/>
      <c r="JLE2476" s="124"/>
      <c r="JLF2476" s="124"/>
      <c r="JLG2476" s="124"/>
      <c r="JLH2476" s="124"/>
      <c r="JLI2476" s="124"/>
      <c r="JLJ2476" s="124"/>
      <c r="JLK2476" s="124"/>
      <c r="JLL2476" s="124"/>
      <c r="JLM2476" s="124"/>
      <c r="JLN2476" s="124"/>
      <c r="JLO2476" s="124"/>
      <c r="JLP2476" s="124"/>
      <c r="JLQ2476" s="124"/>
      <c r="JLR2476" s="124"/>
      <c r="JLS2476" s="124"/>
      <c r="JLT2476" s="124"/>
      <c r="JLU2476" s="124"/>
      <c r="JLV2476" s="124"/>
      <c r="JLW2476" s="124"/>
      <c r="JLX2476" s="124"/>
      <c r="JLY2476" s="124"/>
      <c r="JLZ2476" s="124"/>
      <c r="JMA2476" s="124"/>
      <c r="JMB2476" s="124"/>
      <c r="JMC2476" s="124"/>
      <c r="JMD2476" s="124"/>
      <c r="JME2476" s="124"/>
      <c r="JMF2476" s="124"/>
      <c r="JMG2476" s="124"/>
      <c r="JMH2476" s="124"/>
      <c r="JMI2476" s="124"/>
      <c r="JMJ2476" s="124"/>
      <c r="JMK2476" s="124"/>
      <c r="JML2476" s="124"/>
      <c r="JMM2476" s="124"/>
      <c r="JMN2476" s="124"/>
      <c r="JMO2476" s="124"/>
      <c r="JMP2476" s="124"/>
      <c r="JMQ2476" s="124"/>
      <c r="JMR2476" s="124"/>
      <c r="JMS2476" s="124"/>
      <c r="JMT2476" s="124"/>
      <c r="JMU2476" s="124"/>
      <c r="JMV2476" s="124"/>
      <c r="JMW2476" s="124"/>
      <c r="JMX2476" s="124"/>
      <c r="JMY2476" s="124"/>
      <c r="JMZ2476" s="124"/>
      <c r="JNA2476" s="124"/>
      <c r="JNB2476" s="124"/>
      <c r="JNC2476" s="124"/>
      <c r="JND2476" s="124"/>
      <c r="JNE2476" s="124"/>
      <c r="JNF2476" s="124"/>
      <c r="JNG2476" s="124"/>
      <c r="JNH2476" s="124"/>
      <c r="JNI2476" s="124"/>
      <c r="JNJ2476" s="124"/>
      <c r="JNK2476" s="124"/>
      <c r="JNL2476" s="124"/>
      <c r="JNM2476" s="124"/>
      <c r="JNN2476" s="124"/>
      <c r="JNO2476" s="124"/>
      <c r="JNP2476" s="124"/>
      <c r="JNQ2476" s="124"/>
      <c r="JNR2476" s="124"/>
      <c r="JNS2476" s="124"/>
      <c r="JNT2476" s="124"/>
      <c r="JNU2476" s="124"/>
      <c r="JNV2476" s="124"/>
      <c r="JNW2476" s="124"/>
      <c r="JNX2476" s="124"/>
      <c r="JNY2476" s="124"/>
      <c r="JNZ2476" s="124"/>
      <c r="JOA2476" s="124"/>
      <c r="JOB2476" s="124"/>
      <c r="JOC2476" s="124"/>
      <c r="JOD2476" s="124"/>
      <c r="JOE2476" s="124"/>
      <c r="JOF2476" s="124"/>
      <c r="JOG2476" s="124"/>
      <c r="JOH2476" s="124"/>
      <c r="JOI2476" s="124"/>
      <c r="JOJ2476" s="124"/>
      <c r="JOK2476" s="124"/>
      <c r="JOL2476" s="124"/>
      <c r="JOM2476" s="124"/>
      <c r="JON2476" s="124"/>
      <c r="JOO2476" s="124"/>
      <c r="JOP2476" s="124"/>
      <c r="JOQ2476" s="124"/>
      <c r="JOR2476" s="124"/>
      <c r="JOS2476" s="124"/>
      <c r="JOT2476" s="124"/>
      <c r="JOU2476" s="124"/>
      <c r="JOV2476" s="124"/>
      <c r="JOW2476" s="124"/>
      <c r="JOX2476" s="124"/>
      <c r="JOY2476" s="124"/>
      <c r="JOZ2476" s="124"/>
      <c r="JPA2476" s="124"/>
      <c r="JPB2476" s="124"/>
      <c r="JPC2476" s="124"/>
      <c r="JPD2476" s="124"/>
      <c r="JPE2476" s="124"/>
      <c r="JPF2476" s="124"/>
      <c r="JPG2476" s="124"/>
      <c r="JPH2476" s="124"/>
      <c r="JPI2476" s="124"/>
      <c r="JPJ2476" s="124"/>
      <c r="JPK2476" s="124"/>
      <c r="JPL2476" s="124"/>
      <c r="JPM2476" s="124"/>
      <c r="JPN2476" s="124"/>
      <c r="JPO2476" s="124"/>
      <c r="JPP2476" s="124"/>
      <c r="JPQ2476" s="124"/>
      <c r="JPR2476" s="124"/>
      <c r="JPS2476" s="124"/>
      <c r="JPT2476" s="124"/>
      <c r="JPU2476" s="124"/>
      <c r="JPV2476" s="124"/>
      <c r="JPW2476" s="124"/>
      <c r="JPX2476" s="124"/>
      <c r="JPY2476" s="124"/>
      <c r="JPZ2476" s="124"/>
      <c r="JQA2476" s="124"/>
      <c r="JQB2476" s="124"/>
      <c r="JQC2476" s="124"/>
      <c r="JQD2476" s="124"/>
      <c r="JQE2476" s="124"/>
      <c r="JQF2476" s="124"/>
      <c r="JQG2476" s="124"/>
      <c r="JQH2476" s="124"/>
      <c r="JQI2476" s="124"/>
      <c r="JQJ2476" s="124"/>
      <c r="JQK2476" s="124"/>
      <c r="JQL2476" s="124"/>
      <c r="JQM2476" s="124"/>
      <c r="JQN2476" s="124"/>
      <c r="JQO2476" s="124"/>
      <c r="JQP2476" s="124"/>
      <c r="JQQ2476" s="124"/>
      <c r="JQR2476" s="124"/>
      <c r="JQS2476" s="124"/>
      <c r="JQT2476" s="124"/>
      <c r="JQU2476" s="124"/>
      <c r="JQV2476" s="124"/>
      <c r="JQW2476" s="124"/>
      <c r="JQX2476" s="124"/>
      <c r="JQY2476" s="124"/>
      <c r="JQZ2476" s="124"/>
      <c r="JRA2476" s="124"/>
      <c r="JRB2476" s="124"/>
      <c r="JRC2476" s="124"/>
      <c r="JRD2476" s="124"/>
      <c r="JRE2476" s="124"/>
      <c r="JRF2476" s="124"/>
      <c r="JRG2476" s="124"/>
      <c r="JRH2476" s="124"/>
      <c r="JRI2476" s="124"/>
      <c r="JRJ2476" s="124"/>
      <c r="JRK2476" s="124"/>
      <c r="JRL2476" s="124"/>
      <c r="JRM2476" s="124"/>
      <c r="JRN2476" s="124"/>
      <c r="JRO2476" s="124"/>
      <c r="JRP2476" s="124"/>
      <c r="JRQ2476" s="124"/>
      <c r="JRR2476" s="124"/>
      <c r="JRS2476" s="124"/>
      <c r="JRT2476" s="124"/>
      <c r="JRU2476" s="124"/>
      <c r="JRV2476" s="124"/>
      <c r="JRW2476" s="124"/>
      <c r="JRX2476" s="124"/>
      <c r="JRY2476" s="124"/>
      <c r="JRZ2476" s="124"/>
      <c r="JSA2476" s="124"/>
      <c r="JSB2476" s="124"/>
      <c r="JSC2476" s="124"/>
      <c r="JSD2476" s="124"/>
      <c r="JSE2476" s="124"/>
      <c r="JSF2476" s="124"/>
      <c r="JSG2476" s="124"/>
      <c r="JSH2476" s="124"/>
      <c r="JSI2476" s="124"/>
      <c r="JSJ2476" s="124"/>
      <c r="JSK2476" s="124"/>
      <c r="JSL2476" s="124"/>
      <c r="JSM2476" s="124"/>
      <c r="JSN2476" s="124"/>
      <c r="JSO2476" s="124"/>
      <c r="JSP2476" s="124"/>
      <c r="JSQ2476" s="124"/>
      <c r="JSR2476" s="124"/>
      <c r="JSS2476" s="124"/>
      <c r="JST2476" s="124"/>
      <c r="JSU2476" s="124"/>
      <c r="JSV2476" s="124"/>
      <c r="JSW2476" s="124"/>
      <c r="JSX2476" s="124"/>
      <c r="JSY2476" s="124"/>
      <c r="JSZ2476" s="124"/>
      <c r="JTA2476" s="124"/>
      <c r="JTB2476" s="124"/>
      <c r="JTC2476" s="124"/>
      <c r="JTD2476" s="124"/>
      <c r="JTE2476" s="124"/>
      <c r="JTF2476" s="124"/>
      <c r="JTG2476" s="124"/>
      <c r="JTH2476" s="124"/>
      <c r="JTI2476" s="124"/>
      <c r="JTJ2476" s="124"/>
      <c r="JTK2476" s="124"/>
      <c r="JTL2476" s="124"/>
      <c r="JTM2476" s="124"/>
      <c r="JTN2476" s="124"/>
      <c r="JTO2476" s="124"/>
      <c r="JTP2476" s="124"/>
      <c r="JTQ2476" s="124"/>
      <c r="JTR2476" s="124"/>
      <c r="JTS2476" s="124"/>
      <c r="JTT2476" s="124"/>
      <c r="JTU2476" s="124"/>
      <c r="JTV2476" s="124"/>
      <c r="JTW2476" s="124"/>
      <c r="JTX2476" s="124"/>
      <c r="JTY2476" s="124"/>
      <c r="JTZ2476" s="124"/>
      <c r="JUA2476" s="124"/>
      <c r="JUB2476" s="124"/>
      <c r="JUC2476" s="124"/>
      <c r="JUD2476" s="124"/>
      <c r="JUE2476" s="124"/>
      <c r="JUF2476" s="124"/>
      <c r="JUG2476" s="124"/>
      <c r="JUH2476" s="124"/>
      <c r="JUI2476" s="124"/>
      <c r="JUJ2476" s="124"/>
      <c r="JUK2476" s="124"/>
      <c r="JUL2476" s="124"/>
      <c r="JUM2476" s="124"/>
      <c r="JUN2476" s="124"/>
      <c r="JUO2476" s="124"/>
      <c r="JUP2476" s="124"/>
      <c r="JUQ2476" s="124"/>
      <c r="JUR2476" s="124"/>
      <c r="JUS2476" s="124"/>
      <c r="JUT2476" s="124"/>
      <c r="JUU2476" s="124"/>
      <c r="JUV2476" s="124"/>
      <c r="JUW2476" s="124"/>
      <c r="JUX2476" s="124"/>
      <c r="JUY2476" s="124"/>
      <c r="JUZ2476" s="124"/>
      <c r="JVA2476" s="124"/>
      <c r="JVB2476" s="124"/>
      <c r="JVC2476" s="124"/>
      <c r="JVD2476" s="124"/>
      <c r="JVE2476" s="124"/>
      <c r="JVF2476" s="124"/>
      <c r="JVG2476" s="124"/>
      <c r="JVH2476" s="124"/>
      <c r="JVI2476" s="124"/>
      <c r="JVJ2476" s="124"/>
      <c r="JVK2476" s="124"/>
      <c r="JVL2476" s="124"/>
      <c r="JVM2476" s="124"/>
      <c r="JVN2476" s="124"/>
      <c r="JVO2476" s="124"/>
      <c r="JVP2476" s="124"/>
      <c r="JVQ2476" s="124"/>
      <c r="JVR2476" s="124"/>
      <c r="JVS2476" s="124"/>
      <c r="JVT2476" s="124"/>
      <c r="JVU2476" s="124"/>
      <c r="JVV2476" s="124"/>
      <c r="JVW2476" s="124"/>
      <c r="JVX2476" s="124"/>
      <c r="JVY2476" s="124"/>
      <c r="JVZ2476" s="124"/>
      <c r="JWA2476" s="124"/>
      <c r="JWB2476" s="124"/>
      <c r="JWC2476" s="124"/>
      <c r="JWD2476" s="124"/>
      <c r="JWE2476" s="124"/>
      <c r="JWF2476" s="124"/>
      <c r="JWG2476" s="124"/>
      <c r="JWH2476" s="124"/>
      <c r="JWI2476" s="124"/>
      <c r="JWJ2476" s="124"/>
      <c r="JWK2476" s="124"/>
      <c r="JWL2476" s="124"/>
      <c r="JWM2476" s="124"/>
      <c r="JWN2476" s="124"/>
      <c r="JWO2476" s="124"/>
      <c r="JWP2476" s="124"/>
      <c r="JWQ2476" s="124"/>
      <c r="JWR2476" s="124"/>
      <c r="JWS2476" s="124"/>
      <c r="JWT2476" s="124"/>
      <c r="JWU2476" s="124"/>
      <c r="JWV2476" s="124"/>
      <c r="JWW2476" s="124"/>
      <c r="JWX2476" s="124"/>
      <c r="JWY2476" s="124"/>
      <c r="JWZ2476" s="124"/>
      <c r="JXA2476" s="124"/>
      <c r="JXB2476" s="124"/>
      <c r="JXC2476" s="124"/>
      <c r="JXD2476" s="124"/>
      <c r="JXE2476" s="124"/>
      <c r="JXF2476" s="124"/>
      <c r="JXG2476" s="124"/>
      <c r="JXH2476" s="124"/>
      <c r="JXI2476" s="124"/>
      <c r="JXJ2476" s="124"/>
      <c r="JXK2476" s="124"/>
      <c r="JXL2476" s="124"/>
      <c r="JXM2476" s="124"/>
      <c r="JXN2476" s="124"/>
      <c r="JXO2476" s="124"/>
      <c r="JXP2476" s="124"/>
      <c r="JXQ2476" s="124"/>
      <c r="JXR2476" s="124"/>
      <c r="JXS2476" s="124"/>
      <c r="JXT2476" s="124"/>
      <c r="JXU2476" s="124"/>
      <c r="JXV2476" s="124"/>
      <c r="JXW2476" s="124"/>
      <c r="JXX2476" s="124"/>
      <c r="JXY2476" s="124"/>
      <c r="JXZ2476" s="124"/>
      <c r="JYA2476" s="124"/>
      <c r="JYB2476" s="124"/>
      <c r="JYC2476" s="124"/>
      <c r="JYD2476" s="124"/>
      <c r="JYE2476" s="124"/>
      <c r="JYF2476" s="124"/>
      <c r="JYG2476" s="124"/>
      <c r="JYH2476" s="124"/>
      <c r="JYI2476" s="124"/>
      <c r="JYJ2476" s="124"/>
      <c r="JYK2476" s="124"/>
      <c r="JYL2476" s="124"/>
      <c r="JYM2476" s="124"/>
      <c r="JYN2476" s="124"/>
      <c r="JYO2476" s="124"/>
      <c r="JYP2476" s="124"/>
      <c r="JYQ2476" s="124"/>
      <c r="JYR2476" s="124"/>
      <c r="JYS2476" s="124"/>
      <c r="JYT2476" s="124"/>
      <c r="JYU2476" s="124"/>
      <c r="JYV2476" s="124"/>
      <c r="JYW2476" s="124"/>
      <c r="JYX2476" s="124"/>
      <c r="JYY2476" s="124"/>
      <c r="JYZ2476" s="124"/>
      <c r="JZA2476" s="124"/>
      <c r="JZB2476" s="124"/>
      <c r="JZC2476" s="124"/>
      <c r="JZD2476" s="124"/>
      <c r="JZE2476" s="124"/>
      <c r="JZF2476" s="124"/>
      <c r="JZG2476" s="124"/>
      <c r="JZH2476" s="124"/>
      <c r="JZI2476" s="124"/>
      <c r="JZJ2476" s="124"/>
      <c r="JZK2476" s="124"/>
      <c r="JZL2476" s="124"/>
      <c r="JZM2476" s="124"/>
      <c r="JZN2476" s="124"/>
      <c r="JZO2476" s="124"/>
      <c r="JZP2476" s="124"/>
      <c r="JZQ2476" s="124"/>
      <c r="JZR2476" s="124"/>
      <c r="JZS2476" s="124"/>
      <c r="JZT2476" s="124"/>
      <c r="JZU2476" s="124"/>
      <c r="JZV2476" s="124"/>
      <c r="JZW2476" s="124"/>
      <c r="JZX2476" s="124"/>
      <c r="JZY2476" s="124"/>
      <c r="JZZ2476" s="124"/>
      <c r="KAA2476" s="124"/>
      <c r="KAB2476" s="124"/>
      <c r="KAC2476" s="124"/>
      <c r="KAD2476" s="124"/>
      <c r="KAE2476" s="124"/>
      <c r="KAF2476" s="124"/>
      <c r="KAG2476" s="124"/>
      <c r="KAH2476" s="124"/>
      <c r="KAI2476" s="124"/>
      <c r="KAJ2476" s="124"/>
      <c r="KAK2476" s="124"/>
      <c r="KAL2476" s="124"/>
      <c r="KAM2476" s="124"/>
      <c r="KAN2476" s="124"/>
      <c r="KAO2476" s="124"/>
      <c r="KAP2476" s="124"/>
      <c r="KAQ2476" s="124"/>
      <c r="KAR2476" s="124"/>
      <c r="KAS2476" s="124"/>
      <c r="KAT2476" s="124"/>
      <c r="KAU2476" s="124"/>
      <c r="KAV2476" s="124"/>
      <c r="KAW2476" s="124"/>
      <c r="KAX2476" s="124"/>
      <c r="KAY2476" s="124"/>
      <c r="KAZ2476" s="124"/>
      <c r="KBA2476" s="124"/>
      <c r="KBB2476" s="124"/>
      <c r="KBC2476" s="124"/>
      <c r="KBD2476" s="124"/>
      <c r="KBE2476" s="124"/>
      <c r="KBF2476" s="124"/>
      <c r="KBG2476" s="124"/>
      <c r="KBH2476" s="124"/>
      <c r="KBI2476" s="124"/>
      <c r="KBJ2476" s="124"/>
      <c r="KBK2476" s="124"/>
      <c r="KBL2476" s="124"/>
      <c r="KBM2476" s="124"/>
      <c r="KBN2476" s="124"/>
      <c r="KBO2476" s="124"/>
      <c r="KBP2476" s="124"/>
      <c r="KBQ2476" s="124"/>
      <c r="KBR2476" s="124"/>
      <c r="KBS2476" s="124"/>
      <c r="KBT2476" s="124"/>
      <c r="KBU2476" s="124"/>
      <c r="KBV2476" s="124"/>
      <c r="KBW2476" s="124"/>
      <c r="KBX2476" s="124"/>
      <c r="KBY2476" s="124"/>
      <c r="KBZ2476" s="124"/>
      <c r="KCA2476" s="124"/>
      <c r="KCB2476" s="124"/>
      <c r="KCC2476" s="124"/>
      <c r="KCD2476" s="124"/>
      <c r="KCE2476" s="124"/>
      <c r="KCF2476" s="124"/>
      <c r="KCG2476" s="124"/>
      <c r="KCH2476" s="124"/>
      <c r="KCI2476" s="124"/>
      <c r="KCJ2476" s="124"/>
      <c r="KCK2476" s="124"/>
      <c r="KCL2476" s="124"/>
      <c r="KCM2476" s="124"/>
      <c r="KCN2476" s="124"/>
      <c r="KCO2476" s="124"/>
      <c r="KCP2476" s="124"/>
      <c r="KCQ2476" s="124"/>
      <c r="KCR2476" s="124"/>
      <c r="KCS2476" s="124"/>
      <c r="KCT2476" s="124"/>
      <c r="KCU2476" s="124"/>
      <c r="KCV2476" s="124"/>
      <c r="KCW2476" s="124"/>
      <c r="KCX2476" s="124"/>
      <c r="KCY2476" s="124"/>
      <c r="KCZ2476" s="124"/>
      <c r="KDA2476" s="124"/>
      <c r="KDB2476" s="124"/>
      <c r="KDC2476" s="124"/>
      <c r="KDD2476" s="124"/>
      <c r="KDE2476" s="124"/>
      <c r="KDF2476" s="124"/>
      <c r="KDG2476" s="124"/>
      <c r="KDH2476" s="124"/>
      <c r="KDI2476" s="124"/>
      <c r="KDJ2476" s="124"/>
      <c r="KDK2476" s="124"/>
      <c r="KDL2476" s="124"/>
      <c r="KDM2476" s="124"/>
      <c r="KDN2476" s="124"/>
      <c r="KDO2476" s="124"/>
      <c r="KDP2476" s="124"/>
      <c r="KDQ2476" s="124"/>
      <c r="KDR2476" s="124"/>
      <c r="KDS2476" s="124"/>
      <c r="KDT2476" s="124"/>
      <c r="KDU2476" s="124"/>
      <c r="KDV2476" s="124"/>
      <c r="KDW2476" s="124"/>
      <c r="KDX2476" s="124"/>
      <c r="KDY2476" s="124"/>
      <c r="KDZ2476" s="124"/>
      <c r="KEA2476" s="124"/>
      <c r="KEB2476" s="124"/>
      <c r="KEC2476" s="124"/>
      <c r="KED2476" s="124"/>
      <c r="KEE2476" s="124"/>
      <c r="KEF2476" s="124"/>
      <c r="KEG2476" s="124"/>
      <c r="KEH2476" s="124"/>
      <c r="KEI2476" s="124"/>
      <c r="KEJ2476" s="124"/>
      <c r="KEK2476" s="124"/>
      <c r="KEL2476" s="124"/>
      <c r="KEM2476" s="124"/>
      <c r="KEN2476" s="124"/>
      <c r="KEO2476" s="124"/>
      <c r="KEP2476" s="124"/>
      <c r="KEQ2476" s="124"/>
      <c r="KER2476" s="124"/>
      <c r="KES2476" s="124"/>
      <c r="KET2476" s="124"/>
      <c r="KEU2476" s="124"/>
      <c r="KEV2476" s="124"/>
      <c r="KEW2476" s="124"/>
      <c r="KEX2476" s="124"/>
      <c r="KEY2476" s="124"/>
      <c r="KEZ2476" s="124"/>
      <c r="KFA2476" s="124"/>
      <c r="KFB2476" s="124"/>
      <c r="KFC2476" s="124"/>
      <c r="KFD2476" s="124"/>
      <c r="KFE2476" s="124"/>
      <c r="KFF2476" s="124"/>
      <c r="KFG2476" s="124"/>
      <c r="KFH2476" s="124"/>
      <c r="KFI2476" s="124"/>
      <c r="KFJ2476" s="124"/>
      <c r="KFK2476" s="124"/>
      <c r="KFL2476" s="124"/>
      <c r="KFM2476" s="124"/>
      <c r="KFN2476" s="124"/>
      <c r="KFO2476" s="124"/>
      <c r="KFP2476" s="124"/>
      <c r="KFQ2476" s="124"/>
      <c r="KFR2476" s="124"/>
      <c r="KFS2476" s="124"/>
      <c r="KFT2476" s="124"/>
      <c r="KFU2476" s="124"/>
      <c r="KFV2476" s="124"/>
      <c r="KFW2476" s="124"/>
      <c r="KFX2476" s="124"/>
      <c r="KFY2476" s="124"/>
      <c r="KFZ2476" s="124"/>
      <c r="KGA2476" s="124"/>
      <c r="KGB2476" s="124"/>
      <c r="KGC2476" s="124"/>
      <c r="KGD2476" s="124"/>
      <c r="KGE2476" s="124"/>
      <c r="KGF2476" s="124"/>
      <c r="KGG2476" s="124"/>
      <c r="KGH2476" s="124"/>
      <c r="KGI2476" s="124"/>
      <c r="KGJ2476" s="124"/>
      <c r="KGK2476" s="124"/>
      <c r="KGL2476" s="124"/>
      <c r="KGM2476" s="124"/>
      <c r="KGN2476" s="124"/>
      <c r="KGO2476" s="124"/>
      <c r="KGP2476" s="124"/>
      <c r="KGQ2476" s="124"/>
      <c r="KGR2476" s="124"/>
      <c r="KGS2476" s="124"/>
      <c r="KGT2476" s="124"/>
      <c r="KGU2476" s="124"/>
      <c r="KGV2476" s="124"/>
      <c r="KGW2476" s="124"/>
      <c r="KGX2476" s="124"/>
      <c r="KGY2476" s="124"/>
      <c r="KGZ2476" s="124"/>
      <c r="KHA2476" s="124"/>
      <c r="KHB2476" s="124"/>
      <c r="KHC2476" s="124"/>
      <c r="KHD2476" s="124"/>
      <c r="KHE2476" s="124"/>
      <c r="KHF2476" s="124"/>
      <c r="KHG2476" s="124"/>
      <c r="KHH2476" s="124"/>
      <c r="KHI2476" s="124"/>
      <c r="KHJ2476" s="124"/>
      <c r="KHK2476" s="124"/>
      <c r="KHL2476" s="124"/>
      <c r="KHM2476" s="124"/>
      <c r="KHN2476" s="124"/>
      <c r="KHO2476" s="124"/>
      <c r="KHP2476" s="124"/>
      <c r="KHQ2476" s="124"/>
      <c r="KHR2476" s="124"/>
      <c r="KHS2476" s="124"/>
      <c r="KHT2476" s="124"/>
      <c r="KHU2476" s="124"/>
      <c r="KHV2476" s="124"/>
      <c r="KHW2476" s="124"/>
      <c r="KHX2476" s="124"/>
      <c r="KHY2476" s="124"/>
      <c r="KHZ2476" s="124"/>
      <c r="KIA2476" s="124"/>
      <c r="KIB2476" s="124"/>
      <c r="KIC2476" s="124"/>
      <c r="KID2476" s="124"/>
      <c r="KIE2476" s="124"/>
      <c r="KIF2476" s="124"/>
      <c r="KIG2476" s="124"/>
      <c r="KIH2476" s="124"/>
      <c r="KII2476" s="124"/>
      <c r="KIJ2476" s="124"/>
      <c r="KIK2476" s="124"/>
      <c r="KIL2476" s="124"/>
      <c r="KIM2476" s="124"/>
      <c r="KIN2476" s="124"/>
      <c r="KIO2476" s="124"/>
      <c r="KIP2476" s="124"/>
      <c r="KIQ2476" s="124"/>
      <c r="KIR2476" s="124"/>
      <c r="KIS2476" s="124"/>
      <c r="KIT2476" s="124"/>
      <c r="KIU2476" s="124"/>
      <c r="KIV2476" s="124"/>
      <c r="KIW2476" s="124"/>
      <c r="KIX2476" s="124"/>
      <c r="KIY2476" s="124"/>
      <c r="KIZ2476" s="124"/>
      <c r="KJA2476" s="124"/>
      <c r="KJB2476" s="124"/>
      <c r="KJC2476" s="124"/>
      <c r="KJD2476" s="124"/>
      <c r="KJE2476" s="124"/>
      <c r="KJF2476" s="124"/>
      <c r="KJG2476" s="124"/>
      <c r="KJH2476" s="124"/>
      <c r="KJI2476" s="124"/>
      <c r="KJJ2476" s="124"/>
      <c r="KJK2476" s="124"/>
      <c r="KJL2476" s="124"/>
      <c r="KJM2476" s="124"/>
      <c r="KJN2476" s="124"/>
      <c r="KJO2476" s="124"/>
      <c r="KJP2476" s="124"/>
      <c r="KJQ2476" s="124"/>
      <c r="KJR2476" s="124"/>
      <c r="KJS2476" s="124"/>
      <c r="KJT2476" s="124"/>
      <c r="KJU2476" s="124"/>
      <c r="KJV2476" s="124"/>
      <c r="KJW2476" s="124"/>
      <c r="KJX2476" s="124"/>
      <c r="KJY2476" s="124"/>
      <c r="KJZ2476" s="124"/>
      <c r="KKA2476" s="124"/>
      <c r="KKB2476" s="124"/>
      <c r="KKC2476" s="124"/>
      <c r="KKD2476" s="124"/>
      <c r="KKE2476" s="124"/>
      <c r="KKF2476" s="124"/>
      <c r="KKG2476" s="124"/>
      <c r="KKH2476" s="124"/>
      <c r="KKI2476" s="124"/>
      <c r="KKJ2476" s="124"/>
      <c r="KKK2476" s="124"/>
      <c r="KKL2476" s="124"/>
      <c r="KKM2476" s="124"/>
      <c r="KKN2476" s="124"/>
      <c r="KKO2476" s="124"/>
      <c r="KKP2476" s="124"/>
      <c r="KKQ2476" s="124"/>
      <c r="KKR2476" s="124"/>
      <c r="KKS2476" s="124"/>
      <c r="KKT2476" s="124"/>
      <c r="KKU2476" s="124"/>
      <c r="KKV2476" s="124"/>
      <c r="KKW2476" s="124"/>
      <c r="KKX2476" s="124"/>
      <c r="KKY2476" s="124"/>
      <c r="KKZ2476" s="124"/>
      <c r="KLA2476" s="124"/>
      <c r="KLB2476" s="124"/>
      <c r="KLC2476" s="124"/>
      <c r="KLD2476" s="124"/>
      <c r="KLE2476" s="124"/>
      <c r="KLF2476" s="124"/>
      <c r="KLG2476" s="124"/>
      <c r="KLH2476" s="124"/>
      <c r="KLI2476" s="124"/>
      <c r="KLJ2476" s="124"/>
      <c r="KLK2476" s="124"/>
      <c r="KLL2476" s="124"/>
      <c r="KLM2476" s="124"/>
      <c r="KLN2476" s="124"/>
      <c r="KLO2476" s="124"/>
      <c r="KLP2476" s="124"/>
      <c r="KLQ2476" s="124"/>
      <c r="KLR2476" s="124"/>
      <c r="KLS2476" s="124"/>
      <c r="KLT2476" s="124"/>
      <c r="KLU2476" s="124"/>
      <c r="KLV2476" s="124"/>
      <c r="KLW2476" s="124"/>
      <c r="KLX2476" s="124"/>
      <c r="KLY2476" s="124"/>
      <c r="KLZ2476" s="124"/>
      <c r="KMA2476" s="124"/>
      <c r="KMB2476" s="124"/>
      <c r="KMC2476" s="124"/>
      <c r="KMD2476" s="124"/>
      <c r="KME2476" s="124"/>
      <c r="KMF2476" s="124"/>
      <c r="KMG2476" s="124"/>
      <c r="KMH2476" s="124"/>
      <c r="KMI2476" s="124"/>
      <c r="KMJ2476" s="124"/>
      <c r="KMK2476" s="124"/>
      <c r="KML2476" s="124"/>
      <c r="KMM2476" s="124"/>
      <c r="KMN2476" s="124"/>
      <c r="KMO2476" s="124"/>
      <c r="KMP2476" s="124"/>
      <c r="KMQ2476" s="124"/>
      <c r="KMR2476" s="124"/>
      <c r="KMS2476" s="124"/>
      <c r="KMT2476" s="124"/>
      <c r="KMU2476" s="124"/>
      <c r="KMV2476" s="124"/>
      <c r="KMW2476" s="124"/>
      <c r="KMX2476" s="124"/>
      <c r="KMY2476" s="124"/>
      <c r="KMZ2476" s="124"/>
      <c r="KNA2476" s="124"/>
      <c r="KNB2476" s="124"/>
      <c r="KNC2476" s="124"/>
      <c r="KND2476" s="124"/>
      <c r="KNE2476" s="124"/>
      <c r="KNF2476" s="124"/>
      <c r="KNG2476" s="124"/>
      <c r="KNH2476" s="124"/>
      <c r="KNI2476" s="124"/>
      <c r="KNJ2476" s="124"/>
      <c r="KNK2476" s="124"/>
      <c r="KNL2476" s="124"/>
      <c r="KNM2476" s="124"/>
      <c r="KNN2476" s="124"/>
      <c r="KNO2476" s="124"/>
      <c r="KNP2476" s="124"/>
      <c r="KNQ2476" s="124"/>
      <c r="KNR2476" s="124"/>
      <c r="KNS2476" s="124"/>
      <c r="KNT2476" s="124"/>
      <c r="KNU2476" s="124"/>
      <c r="KNV2476" s="124"/>
      <c r="KNW2476" s="124"/>
      <c r="KNX2476" s="124"/>
      <c r="KNY2476" s="124"/>
      <c r="KNZ2476" s="124"/>
      <c r="KOA2476" s="124"/>
      <c r="KOB2476" s="124"/>
      <c r="KOC2476" s="124"/>
      <c r="KOD2476" s="124"/>
      <c r="KOE2476" s="124"/>
      <c r="KOF2476" s="124"/>
      <c r="KOG2476" s="124"/>
      <c r="KOH2476" s="124"/>
      <c r="KOI2476" s="124"/>
      <c r="KOJ2476" s="124"/>
      <c r="KOK2476" s="124"/>
      <c r="KOL2476" s="124"/>
      <c r="KOM2476" s="124"/>
      <c r="KON2476" s="124"/>
      <c r="KOO2476" s="124"/>
      <c r="KOP2476" s="124"/>
      <c r="KOQ2476" s="124"/>
      <c r="KOR2476" s="124"/>
      <c r="KOS2476" s="124"/>
      <c r="KOT2476" s="124"/>
      <c r="KOU2476" s="124"/>
      <c r="KOV2476" s="124"/>
      <c r="KOW2476" s="124"/>
      <c r="KOX2476" s="124"/>
      <c r="KOY2476" s="124"/>
      <c r="KOZ2476" s="124"/>
      <c r="KPA2476" s="124"/>
      <c r="KPB2476" s="124"/>
      <c r="KPC2476" s="124"/>
      <c r="KPD2476" s="124"/>
      <c r="KPE2476" s="124"/>
      <c r="KPF2476" s="124"/>
      <c r="KPG2476" s="124"/>
      <c r="KPH2476" s="124"/>
      <c r="KPI2476" s="124"/>
      <c r="KPJ2476" s="124"/>
      <c r="KPK2476" s="124"/>
      <c r="KPL2476" s="124"/>
      <c r="KPM2476" s="124"/>
      <c r="KPN2476" s="124"/>
      <c r="KPO2476" s="124"/>
      <c r="KPP2476" s="124"/>
      <c r="KPQ2476" s="124"/>
      <c r="KPR2476" s="124"/>
      <c r="KPS2476" s="124"/>
      <c r="KPT2476" s="124"/>
      <c r="KPU2476" s="124"/>
      <c r="KPV2476" s="124"/>
      <c r="KPW2476" s="124"/>
      <c r="KPX2476" s="124"/>
      <c r="KPY2476" s="124"/>
      <c r="KPZ2476" s="124"/>
      <c r="KQA2476" s="124"/>
      <c r="KQB2476" s="124"/>
      <c r="KQC2476" s="124"/>
      <c r="KQD2476" s="124"/>
      <c r="KQE2476" s="124"/>
      <c r="KQF2476" s="124"/>
      <c r="KQG2476" s="124"/>
      <c r="KQH2476" s="124"/>
      <c r="KQI2476" s="124"/>
      <c r="KQJ2476" s="124"/>
      <c r="KQK2476" s="124"/>
      <c r="KQL2476" s="124"/>
      <c r="KQM2476" s="124"/>
      <c r="KQN2476" s="124"/>
      <c r="KQO2476" s="124"/>
      <c r="KQP2476" s="124"/>
      <c r="KQQ2476" s="124"/>
      <c r="KQR2476" s="124"/>
      <c r="KQS2476" s="124"/>
      <c r="KQT2476" s="124"/>
      <c r="KQU2476" s="124"/>
      <c r="KQV2476" s="124"/>
      <c r="KQW2476" s="124"/>
      <c r="KQX2476" s="124"/>
      <c r="KQY2476" s="124"/>
      <c r="KQZ2476" s="124"/>
      <c r="KRA2476" s="124"/>
      <c r="KRB2476" s="124"/>
      <c r="KRC2476" s="124"/>
      <c r="KRD2476" s="124"/>
      <c r="KRE2476" s="124"/>
      <c r="KRF2476" s="124"/>
      <c r="KRG2476" s="124"/>
      <c r="KRH2476" s="124"/>
      <c r="KRI2476" s="124"/>
      <c r="KRJ2476" s="124"/>
      <c r="KRK2476" s="124"/>
      <c r="KRL2476" s="124"/>
      <c r="KRM2476" s="124"/>
      <c r="KRN2476" s="124"/>
      <c r="KRO2476" s="124"/>
      <c r="KRP2476" s="124"/>
      <c r="KRQ2476" s="124"/>
      <c r="KRR2476" s="124"/>
      <c r="KRS2476" s="124"/>
      <c r="KRT2476" s="124"/>
      <c r="KRU2476" s="124"/>
      <c r="KRV2476" s="124"/>
      <c r="KRW2476" s="124"/>
      <c r="KRX2476" s="124"/>
      <c r="KRY2476" s="124"/>
      <c r="KRZ2476" s="124"/>
      <c r="KSA2476" s="124"/>
      <c r="KSB2476" s="124"/>
      <c r="KSC2476" s="124"/>
      <c r="KSD2476" s="124"/>
      <c r="KSE2476" s="124"/>
      <c r="KSF2476" s="124"/>
      <c r="KSG2476" s="124"/>
      <c r="KSH2476" s="124"/>
      <c r="KSI2476" s="124"/>
      <c r="KSJ2476" s="124"/>
      <c r="KSK2476" s="124"/>
      <c r="KSL2476" s="124"/>
      <c r="KSM2476" s="124"/>
      <c r="KSN2476" s="124"/>
      <c r="KSO2476" s="124"/>
      <c r="KSP2476" s="124"/>
      <c r="KSQ2476" s="124"/>
      <c r="KSR2476" s="124"/>
      <c r="KSS2476" s="124"/>
      <c r="KST2476" s="124"/>
      <c r="KSU2476" s="124"/>
      <c r="KSV2476" s="124"/>
      <c r="KSW2476" s="124"/>
      <c r="KSX2476" s="124"/>
      <c r="KSY2476" s="124"/>
      <c r="KSZ2476" s="124"/>
      <c r="KTA2476" s="124"/>
      <c r="KTB2476" s="124"/>
      <c r="KTC2476" s="124"/>
      <c r="KTD2476" s="124"/>
      <c r="KTE2476" s="124"/>
      <c r="KTF2476" s="124"/>
      <c r="KTG2476" s="124"/>
      <c r="KTH2476" s="124"/>
      <c r="KTI2476" s="124"/>
      <c r="KTJ2476" s="124"/>
      <c r="KTK2476" s="124"/>
      <c r="KTL2476" s="124"/>
      <c r="KTM2476" s="124"/>
      <c r="KTN2476" s="124"/>
      <c r="KTO2476" s="124"/>
      <c r="KTP2476" s="124"/>
      <c r="KTQ2476" s="124"/>
      <c r="KTR2476" s="124"/>
      <c r="KTS2476" s="124"/>
      <c r="KTT2476" s="124"/>
      <c r="KTU2476" s="124"/>
      <c r="KTV2476" s="124"/>
      <c r="KTW2476" s="124"/>
      <c r="KTX2476" s="124"/>
      <c r="KTY2476" s="124"/>
      <c r="KTZ2476" s="124"/>
      <c r="KUA2476" s="124"/>
      <c r="KUB2476" s="124"/>
      <c r="KUC2476" s="124"/>
      <c r="KUD2476" s="124"/>
      <c r="KUE2476" s="124"/>
      <c r="KUF2476" s="124"/>
      <c r="KUG2476" s="124"/>
      <c r="KUH2476" s="124"/>
      <c r="KUI2476" s="124"/>
      <c r="KUJ2476" s="124"/>
      <c r="KUK2476" s="124"/>
      <c r="KUL2476" s="124"/>
      <c r="KUM2476" s="124"/>
      <c r="KUN2476" s="124"/>
      <c r="KUO2476" s="124"/>
      <c r="KUP2476" s="124"/>
      <c r="KUQ2476" s="124"/>
      <c r="KUR2476" s="124"/>
      <c r="KUS2476" s="124"/>
      <c r="KUT2476" s="124"/>
      <c r="KUU2476" s="124"/>
      <c r="KUV2476" s="124"/>
      <c r="KUW2476" s="124"/>
      <c r="KUX2476" s="124"/>
      <c r="KUY2476" s="124"/>
      <c r="KUZ2476" s="124"/>
      <c r="KVA2476" s="124"/>
      <c r="KVB2476" s="124"/>
      <c r="KVC2476" s="124"/>
      <c r="KVD2476" s="124"/>
      <c r="KVE2476" s="124"/>
      <c r="KVF2476" s="124"/>
      <c r="KVG2476" s="124"/>
      <c r="KVH2476" s="124"/>
      <c r="KVI2476" s="124"/>
      <c r="KVJ2476" s="124"/>
      <c r="KVK2476" s="124"/>
      <c r="KVL2476" s="124"/>
      <c r="KVM2476" s="124"/>
      <c r="KVN2476" s="124"/>
      <c r="KVO2476" s="124"/>
      <c r="KVP2476" s="124"/>
      <c r="KVQ2476" s="124"/>
      <c r="KVR2476" s="124"/>
      <c r="KVS2476" s="124"/>
      <c r="KVT2476" s="124"/>
      <c r="KVU2476" s="124"/>
      <c r="KVV2476" s="124"/>
      <c r="KVW2476" s="124"/>
      <c r="KVX2476" s="124"/>
      <c r="KVY2476" s="124"/>
      <c r="KVZ2476" s="124"/>
      <c r="KWA2476" s="124"/>
      <c r="KWB2476" s="124"/>
      <c r="KWC2476" s="124"/>
      <c r="KWD2476" s="124"/>
      <c r="KWE2476" s="124"/>
      <c r="KWF2476" s="124"/>
      <c r="KWG2476" s="124"/>
      <c r="KWH2476" s="124"/>
      <c r="KWI2476" s="124"/>
      <c r="KWJ2476" s="124"/>
      <c r="KWK2476" s="124"/>
      <c r="KWL2476" s="124"/>
      <c r="KWM2476" s="124"/>
      <c r="KWN2476" s="124"/>
      <c r="KWO2476" s="124"/>
      <c r="KWP2476" s="124"/>
      <c r="KWQ2476" s="124"/>
      <c r="KWR2476" s="124"/>
      <c r="KWS2476" s="124"/>
      <c r="KWT2476" s="124"/>
      <c r="KWU2476" s="124"/>
      <c r="KWV2476" s="124"/>
      <c r="KWW2476" s="124"/>
      <c r="KWX2476" s="124"/>
      <c r="KWY2476" s="124"/>
      <c r="KWZ2476" s="124"/>
      <c r="KXA2476" s="124"/>
      <c r="KXB2476" s="124"/>
      <c r="KXC2476" s="124"/>
      <c r="KXD2476" s="124"/>
      <c r="KXE2476" s="124"/>
      <c r="KXF2476" s="124"/>
      <c r="KXG2476" s="124"/>
      <c r="KXH2476" s="124"/>
      <c r="KXI2476" s="124"/>
      <c r="KXJ2476" s="124"/>
      <c r="KXK2476" s="124"/>
      <c r="KXL2476" s="124"/>
      <c r="KXM2476" s="124"/>
      <c r="KXN2476" s="124"/>
      <c r="KXO2476" s="124"/>
      <c r="KXP2476" s="124"/>
      <c r="KXQ2476" s="124"/>
      <c r="KXR2476" s="124"/>
      <c r="KXS2476" s="124"/>
      <c r="KXT2476" s="124"/>
      <c r="KXU2476" s="124"/>
      <c r="KXV2476" s="124"/>
      <c r="KXW2476" s="124"/>
      <c r="KXX2476" s="124"/>
      <c r="KXY2476" s="124"/>
      <c r="KXZ2476" s="124"/>
      <c r="KYA2476" s="124"/>
      <c r="KYB2476" s="124"/>
      <c r="KYC2476" s="124"/>
      <c r="KYD2476" s="124"/>
      <c r="KYE2476" s="124"/>
      <c r="KYF2476" s="124"/>
      <c r="KYG2476" s="124"/>
      <c r="KYH2476" s="124"/>
      <c r="KYI2476" s="124"/>
      <c r="KYJ2476" s="124"/>
      <c r="KYK2476" s="124"/>
      <c r="KYL2476" s="124"/>
      <c r="KYM2476" s="124"/>
      <c r="KYN2476" s="124"/>
      <c r="KYO2476" s="124"/>
      <c r="KYP2476" s="124"/>
      <c r="KYQ2476" s="124"/>
      <c r="KYR2476" s="124"/>
      <c r="KYS2476" s="124"/>
      <c r="KYT2476" s="124"/>
      <c r="KYU2476" s="124"/>
      <c r="KYV2476" s="124"/>
      <c r="KYW2476" s="124"/>
      <c r="KYX2476" s="124"/>
      <c r="KYY2476" s="124"/>
      <c r="KYZ2476" s="124"/>
      <c r="KZA2476" s="124"/>
      <c r="KZB2476" s="124"/>
      <c r="KZC2476" s="124"/>
      <c r="KZD2476" s="124"/>
      <c r="KZE2476" s="124"/>
      <c r="KZF2476" s="124"/>
      <c r="KZG2476" s="124"/>
      <c r="KZH2476" s="124"/>
      <c r="KZI2476" s="124"/>
      <c r="KZJ2476" s="124"/>
      <c r="KZK2476" s="124"/>
      <c r="KZL2476" s="124"/>
      <c r="KZM2476" s="124"/>
      <c r="KZN2476" s="124"/>
      <c r="KZO2476" s="124"/>
      <c r="KZP2476" s="124"/>
      <c r="KZQ2476" s="124"/>
      <c r="KZR2476" s="124"/>
      <c r="KZS2476" s="124"/>
      <c r="KZT2476" s="124"/>
      <c r="KZU2476" s="124"/>
      <c r="KZV2476" s="124"/>
      <c r="KZW2476" s="124"/>
      <c r="KZX2476" s="124"/>
      <c r="KZY2476" s="124"/>
      <c r="KZZ2476" s="124"/>
      <c r="LAA2476" s="124"/>
      <c r="LAB2476" s="124"/>
      <c r="LAC2476" s="124"/>
      <c r="LAD2476" s="124"/>
      <c r="LAE2476" s="124"/>
      <c r="LAF2476" s="124"/>
      <c r="LAG2476" s="124"/>
      <c r="LAH2476" s="124"/>
      <c r="LAI2476" s="124"/>
      <c r="LAJ2476" s="124"/>
      <c r="LAK2476" s="124"/>
      <c r="LAL2476" s="124"/>
      <c r="LAM2476" s="124"/>
      <c r="LAN2476" s="124"/>
      <c r="LAO2476" s="124"/>
      <c r="LAP2476" s="124"/>
      <c r="LAQ2476" s="124"/>
      <c r="LAR2476" s="124"/>
      <c r="LAS2476" s="124"/>
      <c r="LAT2476" s="124"/>
      <c r="LAU2476" s="124"/>
      <c r="LAV2476" s="124"/>
      <c r="LAW2476" s="124"/>
      <c r="LAX2476" s="124"/>
      <c r="LAY2476" s="124"/>
      <c r="LAZ2476" s="124"/>
      <c r="LBA2476" s="124"/>
      <c r="LBB2476" s="124"/>
      <c r="LBC2476" s="124"/>
      <c r="LBD2476" s="124"/>
      <c r="LBE2476" s="124"/>
      <c r="LBF2476" s="124"/>
      <c r="LBG2476" s="124"/>
      <c r="LBH2476" s="124"/>
      <c r="LBI2476" s="124"/>
      <c r="LBJ2476" s="124"/>
      <c r="LBK2476" s="124"/>
      <c r="LBL2476" s="124"/>
      <c r="LBM2476" s="124"/>
      <c r="LBN2476" s="124"/>
      <c r="LBO2476" s="124"/>
      <c r="LBP2476" s="124"/>
      <c r="LBQ2476" s="124"/>
      <c r="LBR2476" s="124"/>
      <c r="LBS2476" s="124"/>
      <c r="LBT2476" s="124"/>
      <c r="LBU2476" s="124"/>
      <c r="LBV2476" s="124"/>
      <c r="LBW2476" s="124"/>
      <c r="LBX2476" s="124"/>
      <c r="LBY2476" s="124"/>
      <c r="LBZ2476" s="124"/>
      <c r="LCA2476" s="124"/>
      <c r="LCB2476" s="124"/>
      <c r="LCC2476" s="124"/>
      <c r="LCD2476" s="124"/>
      <c r="LCE2476" s="124"/>
      <c r="LCF2476" s="124"/>
      <c r="LCG2476" s="124"/>
      <c r="LCH2476" s="124"/>
      <c r="LCI2476" s="124"/>
      <c r="LCJ2476" s="124"/>
      <c r="LCK2476" s="124"/>
      <c r="LCL2476" s="124"/>
      <c r="LCM2476" s="124"/>
      <c r="LCN2476" s="124"/>
      <c r="LCO2476" s="124"/>
      <c r="LCP2476" s="124"/>
      <c r="LCQ2476" s="124"/>
      <c r="LCR2476" s="124"/>
      <c r="LCS2476" s="124"/>
      <c r="LCT2476" s="124"/>
      <c r="LCU2476" s="124"/>
      <c r="LCV2476" s="124"/>
      <c r="LCW2476" s="124"/>
      <c r="LCX2476" s="124"/>
      <c r="LCY2476" s="124"/>
      <c r="LCZ2476" s="124"/>
      <c r="LDA2476" s="124"/>
      <c r="LDB2476" s="124"/>
      <c r="LDC2476" s="124"/>
      <c r="LDD2476" s="124"/>
      <c r="LDE2476" s="124"/>
      <c r="LDF2476" s="124"/>
      <c r="LDG2476" s="124"/>
      <c r="LDH2476" s="124"/>
      <c r="LDI2476" s="124"/>
      <c r="LDJ2476" s="124"/>
      <c r="LDK2476" s="124"/>
      <c r="LDL2476" s="124"/>
      <c r="LDM2476" s="124"/>
      <c r="LDN2476" s="124"/>
      <c r="LDO2476" s="124"/>
      <c r="LDP2476" s="124"/>
      <c r="LDQ2476" s="124"/>
      <c r="LDR2476" s="124"/>
      <c r="LDS2476" s="124"/>
      <c r="LDT2476" s="124"/>
      <c r="LDU2476" s="124"/>
      <c r="LDV2476" s="124"/>
      <c r="LDW2476" s="124"/>
      <c r="LDX2476" s="124"/>
      <c r="LDY2476" s="124"/>
      <c r="LDZ2476" s="124"/>
      <c r="LEA2476" s="124"/>
      <c r="LEB2476" s="124"/>
      <c r="LEC2476" s="124"/>
      <c r="LED2476" s="124"/>
      <c r="LEE2476" s="124"/>
      <c r="LEF2476" s="124"/>
      <c r="LEG2476" s="124"/>
      <c r="LEH2476" s="124"/>
      <c r="LEI2476" s="124"/>
      <c r="LEJ2476" s="124"/>
      <c r="LEK2476" s="124"/>
      <c r="LEL2476" s="124"/>
      <c r="LEM2476" s="124"/>
      <c r="LEN2476" s="124"/>
      <c r="LEO2476" s="124"/>
      <c r="LEP2476" s="124"/>
      <c r="LEQ2476" s="124"/>
      <c r="LER2476" s="124"/>
      <c r="LES2476" s="124"/>
      <c r="LET2476" s="124"/>
      <c r="LEU2476" s="124"/>
      <c r="LEV2476" s="124"/>
      <c r="LEW2476" s="124"/>
      <c r="LEX2476" s="124"/>
      <c r="LEY2476" s="124"/>
      <c r="LEZ2476" s="124"/>
      <c r="LFA2476" s="124"/>
      <c r="LFB2476" s="124"/>
      <c r="LFC2476" s="124"/>
      <c r="LFD2476" s="124"/>
      <c r="LFE2476" s="124"/>
      <c r="LFF2476" s="124"/>
      <c r="LFG2476" s="124"/>
      <c r="LFH2476" s="124"/>
      <c r="LFI2476" s="124"/>
      <c r="LFJ2476" s="124"/>
      <c r="LFK2476" s="124"/>
      <c r="LFL2476" s="124"/>
      <c r="LFM2476" s="124"/>
      <c r="LFN2476" s="124"/>
      <c r="LFO2476" s="124"/>
      <c r="LFP2476" s="124"/>
      <c r="LFQ2476" s="124"/>
      <c r="LFR2476" s="124"/>
      <c r="LFS2476" s="124"/>
      <c r="LFT2476" s="124"/>
      <c r="LFU2476" s="124"/>
      <c r="LFV2476" s="124"/>
      <c r="LFW2476" s="124"/>
      <c r="LFX2476" s="124"/>
      <c r="LFY2476" s="124"/>
      <c r="LFZ2476" s="124"/>
      <c r="LGA2476" s="124"/>
      <c r="LGB2476" s="124"/>
      <c r="LGC2476" s="124"/>
      <c r="LGD2476" s="124"/>
      <c r="LGE2476" s="124"/>
      <c r="LGF2476" s="124"/>
      <c r="LGG2476" s="124"/>
      <c r="LGH2476" s="124"/>
      <c r="LGI2476" s="124"/>
      <c r="LGJ2476" s="124"/>
      <c r="LGK2476" s="124"/>
      <c r="LGL2476" s="124"/>
      <c r="LGM2476" s="124"/>
      <c r="LGN2476" s="124"/>
      <c r="LGO2476" s="124"/>
      <c r="LGP2476" s="124"/>
      <c r="LGQ2476" s="124"/>
      <c r="LGR2476" s="124"/>
      <c r="LGS2476" s="124"/>
      <c r="LGT2476" s="124"/>
      <c r="LGU2476" s="124"/>
      <c r="LGV2476" s="124"/>
      <c r="LGW2476" s="124"/>
      <c r="LGX2476" s="124"/>
      <c r="LGY2476" s="124"/>
      <c r="LGZ2476" s="124"/>
      <c r="LHA2476" s="124"/>
      <c r="LHB2476" s="124"/>
      <c r="LHC2476" s="124"/>
      <c r="LHD2476" s="124"/>
      <c r="LHE2476" s="124"/>
      <c r="LHF2476" s="124"/>
      <c r="LHG2476" s="124"/>
      <c r="LHH2476" s="124"/>
      <c r="LHI2476" s="124"/>
      <c r="LHJ2476" s="124"/>
      <c r="LHK2476" s="124"/>
      <c r="LHL2476" s="124"/>
      <c r="LHM2476" s="124"/>
      <c r="LHN2476" s="124"/>
      <c r="LHO2476" s="124"/>
      <c r="LHP2476" s="124"/>
      <c r="LHQ2476" s="124"/>
      <c r="LHR2476" s="124"/>
      <c r="LHS2476" s="124"/>
      <c r="LHT2476" s="124"/>
      <c r="LHU2476" s="124"/>
      <c r="LHV2476" s="124"/>
      <c r="LHW2476" s="124"/>
      <c r="LHX2476" s="124"/>
      <c r="LHY2476" s="124"/>
      <c r="LHZ2476" s="124"/>
      <c r="LIA2476" s="124"/>
      <c r="LIB2476" s="124"/>
      <c r="LIC2476" s="124"/>
      <c r="LID2476" s="124"/>
      <c r="LIE2476" s="124"/>
      <c r="LIF2476" s="124"/>
      <c r="LIG2476" s="124"/>
      <c r="LIH2476" s="124"/>
      <c r="LII2476" s="124"/>
      <c r="LIJ2476" s="124"/>
      <c r="LIK2476" s="124"/>
      <c r="LIL2476" s="124"/>
      <c r="LIM2476" s="124"/>
      <c r="LIN2476" s="124"/>
      <c r="LIO2476" s="124"/>
      <c r="LIP2476" s="124"/>
      <c r="LIQ2476" s="124"/>
      <c r="LIR2476" s="124"/>
      <c r="LIS2476" s="124"/>
      <c r="LIT2476" s="124"/>
      <c r="LIU2476" s="124"/>
      <c r="LIV2476" s="124"/>
      <c r="LIW2476" s="124"/>
      <c r="LIX2476" s="124"/>
      <c r="LIY2476" s="124"/>
      <c r="LIZ2476" s="124"/>
      <c r="LJA2476" s="124"/>
      <c r="LJB2476" s="124"/>
      <c r="LJC2476" s="124"/>
      <c r="LJD2476" s="124"/>
      <c r="LJE2476" s="124"/>
      <c r="LJF2476" s="124"/>
      <c r="LJG2476" s="124"/>
      <c r="LJH2476" s="124"/>
      <c r="LJI2476" s="124"/>
      <c r="LJJ2476" s="124"/>
      <c r="LJK2476" s="124"/>
      <c r="LJL2476" s="124"/>
      <c r="LJM2476" s="124"/>
      <c r="LJN2476" s="124"/>
      <c r="LJO2476" s="124"/>
      <c r="LJP2476" s="124"/>
      <c r="LJQ2476" s="124"/>
      <c r="LJR2476" s="124"/>
      <c r="LJS2476" s="124"/>
      <c r="LJT2476" s="124"/>
      <c r="LJU2476" s="124"/>
      <c r="LJV2476" s="124"/>
      <c r="LJW2476" s="124"/>
      <c r="LJX2476" s="124"/>
      <c r="LJY2476" s="124"/>
      <c r="LJZ2476" s="124"/>
      <c r="LKA2476" s="124"/>
      <c r="LKB2476" s="124"/>
      <c r="LKC2476" s="124"/>
      <c r="LKD2476" s="124"/>
      <c r="LKE2476" s="124"/>
      <c r="LKF2476" s="124"/>
      <c r="LKG2476" s="124"/>
      <c r="LKH2476" s="124"/>
      <c r="LKI2476" s="124"/>
      <c r="LKJ2476" s="124"/>
      <c r="LKK2476" s="124"/>
      <c r="LKL2476" s="124"/>
      <c r="LKM2476" s="124"/>
      <c r="LKN2476" s="124"/>
      <c r="LKO2476" s="124"/>
      <c r="LKP2476" s="124"/>
      <c r="LKQ2476" s="124"/>
      <c r="LKR2476" s="124"/>
      <c r="LKS2476" s="124"/>
      <c r="LKT2476" s="124"/>
      <c r="LKU2476" s="124"/>
      <c r="LKV2476" s="124"/>
      <c r="LKW2476" s="124"/>
      <c r="LKX2476" s="124"/>
      <c r="LKY2476" s="124"/>
      <c r="LKZ2476" s="124"/>
      <c r="LLA2476" s="124"/>
      <c r="LLB2476" s="124"/>
      <c r="LLC2476" s="124"/>
      <c r="LLD2476" s="124"/>
      <c r="LLE2476" s="124"/>
      <c r="LLF2476" s="124"/>
      <c r="LLG2476" s="124"/>
      <c r="LLH2476" s="124"/>
      <c r="LLI2476" s="124"/>
      <c r="LLJ2476" s="124"/>
      <c r="LLK2476" s="124"/>
      <c r="LLL2476" s="124"/>
      <c r="LLM2476" s="124"/>
      <c r="LLN2476" s="124"/>
      <c r="LLO2476" s="124"/>
      <c r="LLP2476" s="124"/>
      <c r="LLQ2476" s="124"/>
      <c r="LLR2476" s="124"/>
      <c r="LLS2476" s="124"/>
      <c r="LLT2476" s="124"/>
      <c r="LLU2476" s="124"/>
      <c r="LLV2476" s="124"/>
      <c r="LLW2476" s="124"/>
      <c r="LLX2476" s="124"/>
      <c r="LLY2476" s="124"/>
      <c r="LLZ2476" s="124"/>
      <c r="LMA2476" s="124"/>
      <c r="LMB2476" s="124"/>
      <c r="LMC2476" s="124"/>
      <c r="LMD2476" s="124"/>
      <c r="LME2476" s="124"/>
      <c r="LMF2476" s="124"/>
      <c r="LMG2476" s="124"/>
      <c r="LMH2476" s="124"/>
      <c r="LMI2476" s="124"/>
      <c r="LMJ2476" s="124"/>
      <c r="LMK2476" s="124"/>
      <c r="LML2476" s="124"/>
      <c r="LMM2476" s="124"/>
      <c r="LMN2476" s="124"/>
      <c r="LMO2476" s="124"/>
      <c r="LMP2476" s="124"/>
      <c r="LMQ2476" s="124"/>
      <c r="LMR2476" s="124"/>
      <c r="LMS2476" s="124"/>
      <c r="LMT2476" s="124"/>
      <c r="LMU2476" s="124"/>
      <c r="LMV2476" s="124"/>
      <c r="LMW2476" s="124"/>
      <c r="LMX2476" s="124"/>
      <c r="LMY2476" s="124"/>
      <c r="LMZ2476" s="124"/>
      <c r="LNA2476" s="124"/>
      <c r="LNB2476" s="124"/>
      <c r="LNC2476" s="124"/>
      <c r="LND2476" s="124"/>
      <c r="LNE2476" s="124"/>
      <c r="LNF2476" s="124"/>
      <c r="LNG2476" s="124"/>
      <c r="LNH2476" s="124"/>
      <c r="LNI2476" s="124"/>
      <c r="LNJ2476" s="124"/>
      <c r="LNK2476" s="124"/>
      <c r="LNL2476" s="124"/>
      <c r="LNM2476" s="124"/>
      <c r="LNN2476" s="124"/>
      <c r="LNO2476" s="124"/>
      <c r="LNP2476" s="124"/>
      <c r="LNQ2476" s="124"/>
      <c r="LNR2476" s="124"/>
      <c r="LNS2476" s="124"/>
      <c r="LNT2476" s="124"/>
      <c r="LNU2476" s="124"/>
      <c r="LNV2476" s="124"/>
      <c r="LNW2476" s="124"/>
      <c r="LNX2476" s="124"/>
      <c r="LNY2476" s="124"/>
      <c r="LNZ2476" s="124"/>
      <c r="LOA2476" s="124"/>
      <c r="LOB2476" s="124"/>
      <c r="LOC2476" s="124"/>
      <c r="LOD2476" s="124"/>
      <c r="LOE2476" s="124"/>
      <c r="LOF2476" s="124"/>
      <c r="LOG2476" s="124"/>
      <c r="LOH2476" s="124"/>
      <c r="LOI2476" s="124"/>
      <c r="LOJ2476" s="124"/>
      <c r="LOK2476" s="124"/>
      <c r="LOL2476" s="124"/>
      <c r="LOM2476" s="124"/>
      <c r="LON2476" s="124"/>
      <c r="LOO2476" s="124"/>
      <c r="LOP2476" s="124"/>
      <c r="LOQ2476" s="124"/>
      <c r="LOR2476" s="124"/>
      <c r="LOS2476" s="124"/>
      <c r="LOT2476" s="124"/>
      <c r="LOU2476" s="124"/>
      <c r="LOV2476" s="124"/>
      <c r="LOW2476" s="124"/>
      <c r="LOX2476" s="124"/>
      <c r="LOY2476" s="124"/>
      <c r="LOZ2476" s="124"/>
      <c r="LPA2476" s="124"/>
      <c r="LPB2476" s="124"/>
      <c r="LPC2476" s="124"/>
      <c r="LPD2476" s="124"/>
      <c r="LPE2476" s="124"/>
      <c r="LPF2476" s="124"/>
      <c r="LPG2476" s="124"/>
      <c r="LPH2476" s="124"/>
      <c r="LPI2476" s="124"/>
      <c r="LPJ2476" s="124"/>
      <c r="LPK2476" s="124"/>
      <c r="LPL2476" s="124"/>
      <c r="LPM2476" s="124"/>
      <c r="LPN2476" s="124"/>
      <c r="LPO2476" s="124"/>
      <c r="LPP2476" s="124"/>
      <c r="LPQ2476" s="124"/>
      <c r="LPR2476" s="124"/>
      <c r="LPS2476" s="124"/>
      <c r="LPT2476" s="124"/>
      <c r="LPU2476" s="124"/>
      <c r="LPV2476" s="124"/>
      <c r="LPW2476" s="124"/>
      <c r="LPX2476" s="124"/>
      <c r="LPY2476" s="124"/>
      <c r="LPZ2476" s="124"/>
      <c r="LQA2476" s="124"/>
      <c r="LQB2476" s="124"/>
      <c r="LQC2476" s="124"/>
      <c r="LQD2476" s="124"/>
      <c r="LQE2476" s="124"/>
      <c r="LQF2476" s="124"/>
      <c r="LQG2476" s="124"/>
      <c r="LQH2476" s="124"/>
      <c r="LQI2476" s="124"/>
      <c r="LQJ2476" s="124"/>
      <c r="LQK2476" s="124"/>
      <c r="LQL2476" s="124"/>
      <c r="LQM2476" s="124"/>
      <c r="LQN2476" s="124"/>
      <c r="LQO2476" s="124"/>
      <c r="LQP2476" s="124"/>
      <c r="LQQ2476" s="124"/>
      <c r="LQR2476" s="124"/>
      <c r="LQS2476" s="124"/>
      <c r="LQT2476" s="124"/>
      <c r="LQU2476" s="124"/>
      <c r="LQV2476" s="124"/>
      <c r="LQW2476" s="124"/>
      <c r="LQX2476" s="124"/>
      <c r="LQY2476" s="124"/>
      <c r="LQZ2476" s="124"/>
      <c r="LRA2476" s="124"/>
      <c r="LRB2476" s="124"/>
      <c r="LRC2476" s="124"/>
      <c r="LRD2476" s="124"/>
      <c r="LRE2476" s="124"/>
      <c r="LRF2476" s="124"/>
      <c r="LRG2476" s="124"/>
      <c r="LRH2476" s="124"/>
      <c r="LRI2476" s="124"/>
      <c r="LRJ2476" s="124"/>
      <c r="LRK2476" s="124"/>
      <c r="LRL2476" s="124"/>
      <c r="LRM2476" s="124"/>
      <c r="LRN2476" s="124"/>
      <c r="LRO2476" s="124"/>
      <c r="LRP2476" s="124"/>
      <c r="LRQ2476" s="124"/>
      <c r="LRR2476" s="124"/>
      <c r="LRS2476" s="124"/>
      <c r="LRT2476" s="124"/>
      <c r="LRU2476" s="124"/>
      <c r="LRV2476" s="124"/>
      <c r="LRW2476" s="124"/>
      <c r="LRX2476" s="124"/>
      <c r="LRY2476" s="124"/>
      <c r="LRZ2476" s="124"/>
      <c r="LSA2476" s="124"/>
      <c r="LSB2476" s="124"/>
      <c r="LSC2476" s="124"/>
      <c r="LSD2476" s="124"/>
      <c r="LSE2476" s="124"/>
      <c r="LSF2476" s="124"/>
      <c r="LSG2476" s="124"/>
      <c r="LSH2476" s="124"/>
      <c r="LSI2476" s="124"/>
      <c r="LSJ2476" s="124"/>
      <c r="LSK2476" s="124"/>
      <c r="LSL2476" s="124"/>
      <c r="LSM2476" s="124"/>
      <c r="LSN2476" s="124"/>
      <c r="LSO2476" s="124"/>
      <c r="LSP2476" s="124"/>
      <c r="LSQ2476" s="124"/>
      <c r="LSR2476" s="124"/>
      <c r="LSS2476" s="124"/>
      <c r="LST2476" s="124"/>
      <c r="LSU2476" s="124"/>
      <c r="LSV2476" s="124"/>
      <c r="LSW2476" s="124"/>
      <c r="LSX2476" s="124"/>
      <c r="LSY2476" s="124"/>
      <c r="LSZ2476" s="124"/>
      <c r="LTA2476" s="124"/>
      <c r="LTB2476" s="124"/>
      <c r="LTC2476" s="124"/>
      <c r="LTD2476" s="124"/>
      <c r="LTE2476" s="124"/>
      <c r="LTF2476" s="124"/>
      <c r="LTG2476" s="124"/>
      <c r="LTH2476" s="124"/>
      <c r="LTI2476" s="124"/>
      <c r="LTJ2476" s="124"/>
      <c r="LTK2476" s="124"/>
      <c r="LTL2476" s="124"/>
      <c r="LTM2476" s="124"/>
      <c r="LTN2476" s="124"/>
      <c r="LTO2476" s="124"/>
      <c r="LTP2476" s="124"/>
      <c r="LTQ2476" s="124"/>
      <c r="LTR2476" s="124"/>
      <c r="LTS2476" s="124"/>
      <c r="LTT2476" s="124"/>
      <c r="LTU2476" s="124"/>
      <c r="LTV2476" s="124"/>
      <c r="LTW2476" s="124"/>
      <c r="LTX2476" s="124"/>
      <c r="LTY2476" s="124"/>
      <c r="LTZ2476" s="124"/>
      <c r="LUA2476" s="124"/>
      <c r="LUB2476" s="124"/>
      <c r="LUC2476" s="124"/>
      <c r="LUD2476" s="124"/>
      <c r="LUE2476" s="124"/>
      <c r="LUF2476" s="124"/>
      <c r="LUG2476" s="124"/>
      <c r="LUH2476" s="124"/>
      <c r="LUI2476" s="124"/>
      <c r="LUJ2476" s="124"/>
      <c r="LUK2476" s="124"/>
      <c r="LUL2476" s="124"/>
      <c r="LUM2476" s="124"/>
      <c r="LUN2476" s="124"/>
      <c r="LUO2476" s="124"/>
      <c r="LUP2476" s="124"/>
      <c r="LUQ2476" s="124"/>
      <c r="LUR2476" s="124"/>
      <c r="LUS2476" s="124"/>
      <c r="LUT2476" s="124"/>
      <c r="LUU2476" s="124"/>
      <c r="LUV2476" s="124"/>
      <c r="LUW2476" s="124"/>
      <c r="LUX2476" s="124"/>
      <c r="LUY2476" s="124"/>
      <c r="LUZ2476" s="124"/>
      <c r="LVA2476" s="124"/>
      <c r="LVB2476" s="124"/>
      <c r="LVC2476" s="124"/>
      <c r="LVD2476" s="124"/>
      <c r="LVE2476" s="124"/>
      <c r="LVF2476" s="124"/>
      <c r="LVG2476" s="124"/>
      <c r="LVH2476" s="124"/>
      <c r="LVI2476" s="124"/>
      <c r="LVJ2476" s="124"/>
      <c r="LVK2476" s="124"/>
      <c r="LVL2476" s="124"/>
      <c r="LVM2476" s="124"/>
      <c r="LVN2476" s="124"/>
      <c r="LVO2476" s="124"/>
      <c r="LVP2476" s="124"/>
      <c r="LVQ2476" s="124"/>
      <c r="LVR2476" s="124"/>
      <c r="LVS2476" s="124"/>
      <c r="LVT2476" s="124"/>
      <c r="LVU2476" s="124"/>
      <c r="LVV2476" s="124"/>
      <c r="LVW2476" s="124"/>
      <c r="LVX2476" s="124"/>
      <c r="LVY2476" s="124"/>
      <c r="LVZ2476" s="124"/>
      <c r="LWA2476" s="124"/>
      <c r="LWB2476" s="124"/>
      <c r="LWC2476" s="124"/>
      <c r="LWD2476" s="124"/>
      <c r="LWE2476" s="124"/>
      <c r="LWF2476" s="124"/>
      <c r="LWG2476" s="124"/>
      <c r="LWH2476" s="124"/>
      <c r="LWI2476" s="124"/>
      <c r="LWJ2476" s="124"/>
      <c r="LWK2476" s="124"/>
      <c r="LWL2476" s="124"/>
      <c r="LWM2476" s="124"/>
      <c r="LWN2476" s="124"/>
      <c r="LWO2476" s="124"/>
      <c r="LWP2476" s="124"/>
      <c r="LWQ2476" s="124"/>
      <c r="LWR2476" s="124"/>
      <c r="LWS2476" s="124"/>
      <c r="LWT2476" s="124"/>
      <c r="LWU2476" s="124"/>
      <c r="LWV2476" s="124"/>
      <c r="LWW2476" s="124"/>
      <c r="LWX2476" s="124"/>
      <c r="LWY2476" s="124"/>
      <c r="LWZ2476" s="124"/>
      <c r="LXA2476" s="124"/>
      <c r="LXB2476" s="124"/>
      <c r="LXC2476" s="124"/>
      <c r="LXD2476" s="124"/>
      <c r="LXE2476" s="124"/>
      <c r="LXF2476" s="124"/>
      <c r="LXG2476" s="124"/>
      <c r="LXH2476" s="124"/>
      <c r="LXI2476" s="124"/>
      <c r="LXJ2476" s="124"/>
      <c r="LXK2476" s="124"/>
      <c r="LXL2476" s="124"/>
      <c r="LXM2476" s="124"/>
      <c r="LXN2476" s="124"/>
      <c r="LXO2476" s="124"/>
      <c r="LXP2476" s="124"/>
      <c r="LXQ2476" s="124"/>
      <c r="LXR2476" s="124"/>
      <c r="LXS2476" s="124"/>
      <c r="LXT2476" s="124"/>
      <c r="LXU2476" s="124"/>
      <c r="LXV2476" s="124"/>
      <c r="LXW2476" s="124"/>
      <c r="LXX2476" s="124"/>
      <c r="LXY2476" s="124"/>
      <c r="LXZ2476" s="124"/>
      <c r="LYA2476" s="124"/>
      <c r="LYB2476" s="124"/>
      <c r="LYC2476" s="124"/>
      <c r="LYD2476" s="124"/>
      <c r="LYE2476" s="124"/>
      <c r="LYF2476" s="124"/>
      <c r="LYG2476" s="124"/>
      <c r="LYH2476" s="124"/>
      <c r="LYI2476" s="124"/>
      <c r="LYJ2476" s="124"/>
      <c r="LYK2476" s="124"/>
      <c r="LYL2476" s="124"/>
      <c r="LYM2476" s="124"/>
      <c r="LYN2476" s="124"/>
      <c r="LYO2476" s="124"/>
      <c r="LYP2476" s="124"/>
      <c r="LYQ2476" s="124"/>
      <c r="LYR2476" s="124"/>
      <c r="LYS2476" s="124"/>
      <c r="LYT2476" s="124"/>
      <c r="LYU2476" s="124"/>
      <c r="LYV2476" s="124"/>
      <c r="LYW2476" s="124"/>
      <c r="LYX2476" s="124"/>
      <c r="LYY2476" s="124"/>
      <c r="LYZ2476" s="124"/>
      <c r="LZA2476" s="124"/>
      <c r="LZB2476" s="124"/>
      <c r="LZC2476" s="124"/>
      <c r="LZD2476" s="124"/>
      <c r="LZE2476" s="124"/>
      <c r="LZF2476" s="124"/>
      <c r="LZG2476" s="124"/>
      <c r="LZH2476" s="124"/>
      <c r="LZI2476" s="124"/>
      <c r="LZJ2476" s="124"/>
      <c r="LZK2476" s="124"/>
      <c r="LZL2476" s="124"/>
      <c r="LZM2476" s="124"/>
      <c r="LZN2476" s="124"/>
      <c r="LZO2476" s="124"/>
      <c r="LZP2476" s="124"/>
      <c r="LZQ2476" s="124"/>
      <c r="LZR2476" s="124"/>
      <c r="LZS2476" s="124"/>
      <c r="LZT2476" s="124"/>
      <c r="LZU2476" s="124"/>
      <c r="LZV2476" s="124"/>
      <c r="LZW2476" s="124"/>
      <c r="LZX2476" s="124"/>
      <c r="LZY2476" s="124"/>
      <c r="LZZ2476" s="124"/>
      <c r="MAA2476" s="124"/>
      <c r="MAB2476" s="124"/>
      <c r="MAC2476" s="124"/>
      <c r="MAD2476" s="124"/>
      <c r="MAE2476" s="124"/>
      <c r="MAF2476" s="124"/>
      <c r="MAG2476" s="124"/>
      <c r="MAH2476" s="124"/>
      <c r="MAI2476" s="124"/>
      <c r="MAJ2476" s="124"/>
      <c r="MAK2476" s="124"/>
      <c r="MAL2476" s="124"/>
      <c r="MAM2476" s="124"/>
      <c r="MAN2476" s="124"/>
      <c r="MAO2476" s="124"/>
      <c r="MAP2476" s="124"/>
      <c r="MAQ2476" s="124"/>
      <c r="MAR2476" s="124"/>
      <c r="MAS2476" s="124"/>
      <c r="MAT2476" s="124"/>
      <c r="MAU2476" s="124"/>
      <c r="MAV2476" s="124"/>
      <c r="MAW2476" s="124"/>
      <c r="MAX2476" s="124"/>
      <c r="MAY2476" s="124"/>
      <c r="MAZ2476" s="124"/>
      <c r="MBA2476" s="124"/>
      <c r="MBB2476" s="124"/>
      <c r="MBC2476" s="124"/>
      <c r="MBD2476" s="124"/>
      <c r="MBE2476" s="124"/>
      <c r="MBF2476" s="124"/>
      <c r="MBG2476" s="124"/>
      <c r="MBH2476" s="124"/>
      <c r="MBI2476" s="124"/>
      <c r="MBJ2476" s="124"/>
      <c r="MBK2476" s="124"/>
      <c r="MBL2476" s="124"/>
      <c r="MBM2476" s="124"/>
      <c r="MBN2476" s="124"/>
      <c r="MBO2476" s="124"/>
      <c r="MBP2476" s="124"/>
      <c r="MBQ2476" s="124"/>
      <c r="MBR2476" s="124"/>
      <c r="MBS2476" s="124"/>
      <c r="MBT2476" s="124"/>
      <c r="MBU2476" s="124"/>
      <c r="MBV2476" s="124"/>
      <c r="MBW2476" s="124"/>
      <c r="MBX2476" s="124"/>
      <c r="MBY2476" s="124"/>
      <c r="MBZ2476" s="124"/>
      <c r="MCA2476" s="124"/>
      <c r="MCB2476" s="124"/>
      <c r="MCC2476" s="124"/>
      <c r="MCD2476" s="124"/>
      <c r="MCE2476" s="124"/>
      <c r="MCF2476" s="124"/>
      <c r="MCG2476" s="124"/>
      <c r="MCH2476" s="124"/>
      <c r="MCI2476" s="124"/>
      <c r="MCJ2476" s="124"/>
      <c r="MCK2476" s="124"/>
      <c r="MCL2476" s="124"/>
      <c r="MCM2476" s="124"/>
      <c r="MCN2476" s="124"/>
      <c r="MCO2476" s="124"/>
      <c r="MCP2476" s="124"/>
      <c r="MCQ2476" s="124"/>
      <c r="MCR2476" s="124"/>
      <c r="MCS2476" s="124"/>
      <c r="MCT2476" s="124"/>
      <c r="MCU2476" s="124"/>
      <c r="MCV2476" s="124"/>
      <c r="MCW2476" s="124"/>
      <c r="MCX2476" s="124"/>
      <c r="MCY2476" s="124"/>
      <c r="MCZ2476" s="124"/>
      <c r="MDA2476" s="124"/>
      <c r="MDB2476" s="124"/>
      <c r="MDC2476" s="124"/>
      <c r="MDD2476" s="124"/>
      <c r="MDE2476" s="124"/>
      <c r="MDF2476" s="124"/>
      <c r="MDG2476" s="124"/>
      <c r="MDH2476" s="124"/>
      <c r="MDI2476" s="124"/>
      <c r="MDJ2476" s="124"/>
      <c r="MDK2476" s="124"/>
      <c r="MDL2476" s="124"/>
      <c r="MDM2476" s="124"/>
      <c r="MDN2476" s="124"/>
      <c r="MDO2476" s="124"/>
      <c r="MDP2476" s="124"/>
      <c r="MDQ2476" s="124"/>
      <c r="MDR2476" s="124"/>
      <c r="MDS2476" s="124"/>
      <c r="MDT2476" s="124"/>
      <c r="MDU2476" s="124"/>
      <c r="MDV2476" s="124"/>
      <c r="MDW2476" s="124"/>
      <c r="MDX2476" s="124"/>
      <c r="MDY2476" s="124"/>
      <c r="MDZ2476" s="124"/>
      <c r="MEA2476" s="124"/>
      <c r="MEB2476" s="124"/>
      <c r="MEC2476" s="124"/>
      <c r="MED2476" s="124"/>
      <c r="MEE2476" s="124"/>
      <c r="MEF2476" s="124"/>
      <c r="MEG2476" s="124"/>
      <c r="MEH2476" s="124"/>
      <c r="MEI2476" s="124"/>
      <c r="MEJ2476" s="124"/>
      <c r="MEK2476" s="124"/>
      <c r="MEL2476" s="124"/>
      <c r="MEM2476" s="124"/>
      <c r="MEN2476" s="124"/>
      <c r="MEO2476" s="124"/>
      <c r="MEP2476" s="124"/>
      <c r="MEQ2476" s="124"/>
      <c r="MER2476" s="124"/>
      <c r="MES2476" s="124"/>
      <c r="MET2476" s="124"/>
      <c r="MEU2476" s="124"/>
      <c r="MEV2476" s="124"/>
      <c r="MEW2476" s="124"/>
      <c r="MEX2476" s="124"/>
      <c r="MEY2476" s="124"/>
      <c r="MEZ2476" s="124"/>
      <c r="MFA2476" s="124"/>
      <c r="MFB2476" s="124"/>
      <c r="MFC2476" s="124"/>
      <c r="MFD2476" s="124"/>
      <c r="MFE2476" s="124"/>
      <c r="MFF2476" s="124"/>
      <c r="MFG2476" s="124"/>
      <c r="MFH2476" s="124"/>
      <c r="MFI2476" s="124"/>
      <c r="MFJ2476" s="124"/>
      <c r="MFK2476" s="124"/>
      <c r="MFL2476" s="124"/>
      <c r="MFM2476" s="124"/>
      <c r="MFN2476" s="124"/>
      <c r="MFO2476" s="124"/>
      <c r="MFP2476" s="124"/>
      <c r="MFQ2476" s="124"/>
      <c r="MFR2476" s="124"/>
      <c r="MFS2476" s="124"/>
      <c r="MFT2476" s="124"/>
      <c r="MFU2476" s="124"/>
      <c r="MFV2476" s="124"/>
      <c r="MFW2476" s="124"/>
      <c r="MFX2476" s="124"/>
      <c r="MFY2476" s="124"/>
      <c r="MFZ2476" s="124"/>
      <c r="MGA2476" s="124"/>
      <c r="MGB2476" s="124"/>
      <c r="MGC2476" s="124"/>
      <c r="MGD2476" s="124"/>
      <c r="MGE2476" s="124"/>
      <c r="MGF2476" s="124"/>
      <c r="MGG2476" s="124"/>
      <c r="MGH2476" s="124"/>
      <c r="MGI2476" s="124"/>
      <c r="MGJ2476" s="124"/>
      <c r="MGK2476" s="124"/>
      <c r="MGL2476" s="124"/>
      <c r="MGM2476" s="124"/>
      <c r="MGN2476" s="124"/>
      <c r="MGO2476" s="124"/>
      <c r="MGP2476" s="124"/>
      <c r="MGQ2476" s="124"/>
      <c r="MGR2476" s="124"/>
      <c r="MGS2476" s="124"/>
      <c r="MGT2476" s="124"/>
      <c r="MGU2476" s="124"/>
      <c r="MGV2476" s="124"/>
      <c r="MGW2476" s="124"/>
      <c r="MGX2476" s="124"/>
      <c r="MGY2476" s="124"/>
      <c r="MGZ2476" s="124"/>
      <c r="MHA2476" s="124"/>
      <c r="MHB2476" s="124"/>
      <c r="MHC2476" s="124"/>
      <c r="MHD2476" s="124"/>
      <c r="MHE2476" s="124"/>
      <c r="MHF2476" s="124"/>
      <c r="MHG2476" s="124"/>
      <c r="MHH2476" s="124"/>
      <c r="MHI2476" s="124"/>
      <c r="MHJ2476" s="124"/>
      <c r="MHK2476" s="124"/>
      <c r="MHL2476" s="124"/>
      <c r="MHM2476" s="124"/>
      <c r="MHN2476" s="124"/>
      <c r="MHO2476" s="124"/>
      <c r="MHP2476" s="124"/>
      <c r="MHQ2476" s="124"/>
      <c r="MHR2476" s="124"/>
      <c r="MHS2476" s="124"/>
      <c r="MHT2476" s="124"/>
      <c r="MHU2476" s="124"/>
      <c r="MHV2476" s="124"/>
      <c r="MHW2476" s="124"/>
      <c r="MHX2476" s="124"/>
      <c r="MHY2476" s="124"/>
      <c r="MHZ2476" s="124"/>
      <c r="MIA2476" s="124"/>
      <c r="MIB2476" s="124"/>
      <c r="MIC2476" s="124"/>
      <c r="MID2476" s="124"/>
      <c r="MIE2476" s="124"/>
      <c r="MIF2476" s="124"/>
      <c r="MIG2476" s="124"/>
      <c r="MIH2476" s="124"/>
      <c r="MII2476" s="124"/>
      <c r="MIJ2476" s="124"/>
      <c r="MIK2476" s="124"/>
      <c r="MIL2476" s="124"/>
      <c r="MIM2476" s="124"/>
      <c r="MIN2476" s="124"/>
      <c r="MIO2476" s="124"/>
      <c r="MIP2476" s="124"/>
      <c r="MIQ2476" s="124"/>
      <c r="MIR2476" s="124"/>
      <c r="MIS2476" s="124"/>
      <c r="MIT2476" s="124"/>
      <c r="MIU2476" s="124"/>
      <c r="MIV2476" s="124"/>
      <c r="MIW2476" s="124"/>
      <c r="MIX2476" s="124"/>
      <c r="MIY2476" s="124"/>
      <c r="MIZ2476" s="124"/>
      <c r="MJA2476" s="124"/>
      <c r="MJB2476" s="124"/>
      <c r="MJC2476" s="124"/>
      <c r="MJD2476" s="124"/>
      <c r="MJE2476" s="124"/>
      <c r="MJF2476" s="124"/>
      <c r="MJG2476" s="124"/>
      <c r="MJH2476" s="124"/>
      <c r="MJI2476" s="124"/>
      <c r="MJJ2476" s="124"/>
      <c r="MJK2476" s="124"/>
      <c r="MJL2476" s="124"/>
      <c r="MJM2476" s="124"/>
      <c r="MJN2476" s="124"/>
      <c r="MJO2476" s="124"/>
      <c r="MJP2476" s="124"/>
      <c r="MJQ2476" s="124"/>
      <c r="MJR2476" s="124"/>
      <c r="MJS2476" s="124"/>
      <c r="MJT2476" s="124"/>
      <c r="MJU2476" s="124"/>
      <c r="MJV2476" s="124"/>
      <c r="MJW2476" s="124"/>
      <c r="MJX2476" s="124"/>
      <c r="MJY2476" s="124"/>
      <c r="MJZ2476" s="124"/>
      <c r="MKA2476" s="124"/>
      <c r="MKB2476" s="124"/>
      <c r="MKC2476" s="124"/>
      <c r="MKD2476" s="124"/>
      <c r="MKE2476" s="124"/>
      <c r="MKF2476" s="124"/>
      <c r="MKG2476" s="124"/>
      <c r="MKH2476" s="124"/>
      <c r="MKI2476" s="124"/>
      <c r="MKJ2476" s="124"/>
      <c r="MKK2476" s="124"/>
      <c r="MKL2476" s="124"/>
      <c r="MKM2476" s="124"/>
      <c r="MKN2476" s="124"/>
      <c r="MKO2476" s="124"/>
      <c r="MKP2476" s="124"/>
      <c r="MKQ2476" s="124"/>
      <c r="MKR2476" s="124"/>
      <c r="MKS2476" s="124"/>
      <c r="MKT2476" s="124"/>
      <c r="MKU2476" s="124"/>
      <c r="MKV2476" s="124"/>
      <c r="MKW2476" s="124"/>
      <c r="MKX2476" s="124"/>
      <c r="MKY2476" s="124"/>
      <c r="MKZ2476" s="124"/>
      <c r="MLA2476" s="124"/>
      <c r="MLB2476" s="124"/>
      <c r="MLC2476" s="124"/>
      <c r="MLD2476" s="124"/>
      <c r="MLE2476" s="124"/>
      <c r="MLF2476" s="124"/>
      <c r="MLG2476" s="124"/>
      <c r="MLH2476" s="124"/>
      <c r="MLI2476" s="124"/>
      <c r="MLJ2476" s="124"/>
      <c r="MLK2476" s="124"/>
      <c r="MLL2476" s="124"/>
      <c r="MLM2476" s="124"/>
      <c r="MLN2476" s="124"/>
      <c r="MLO2476" s="124"/>
      <c r="MLP2476" s="124"/>
      <c r="MLQ2476" s="124"/>
      <c r="MLR2476" s="124"/>
      <c r="MLS2476" s="124"/>
      <c r="MLT2476" s="124"/>
      <c r="MLU2476" s="124"/>
      <c r="MLV2476" s="124"/>
      <c r="MLW2476" s="124"/>
      <c r="MLX2476" s="124"/>
      <c r="MLY2476" s="124"/>
      <c r="MLZ2476" s="124"/>
      <c r="MMA2476" s="124"/>
      <c r="MMB2476" s="124"/>
      <c r="MMC2476" s="124"/>
      <c r="MMD2476" s="124"/>
      <c r="MME2476" s="124"/>
      <c r="MMF2476" s="124"/>
      <c r="MMG2476" s="124"/>
      <c r="MMH2476" s="124"/>
      <c r="MMI2476" s="124"/>
      <c r="MMJ2476" s="124"/>
      <c r="MMK2476" s="124"/>
      <c r="MML2476" s="124"/>
      <c r="MMM2476" s="124"/>
      <c r="MMN2476" s="124"/>
      <c r="MMO2476" s="124"/>
      <c r="MMP2476" s="124"/>
      <c r="MMQ2476" s="124"/>
      <c r="MMR2476" s="124"/>
      <c r="MMS2476" s="124"/>
      <c r="MMT2476" s="124"/>
      <c r="MMU2476" s="124"/>
      <c r="MMV2476" s="124"/>
      <c r="MMW2476" s="124"/>
      <c r="MMX2476" s="124"/>
      <c r="MMY2476" s="124"/>
      <c r="MMZ2476" s="124"/>
      <c r="MNA2476" s="124"/>
      <c r="MNB2476" s="124"/>
      <c r="MNC2476" s="124"/>
      <c r="MND2476" s="124"/>
      <c r="MNE2476" s="124"/>
      <c r="MNF2476" s="124"/>
      <c r="MNG2476" s="124"/>
      <c r="MNH2476" s="124"/>
      <c r="MNI2476" s="124"/>
      <c r="MNJ2476" s="124"/>
      <c r="MNK2476" s="124"/>
      <c r="MNL2476" s="124"/>
      <c r="MNM2476" s="124"/>
      <c r="MNN2476" s="124"/>
      <c r="MNO2476" s="124"/>
      <c r="MNP2476" s="124"/>
      <c r="MNQ2476" s="124"/>
      <c r="MNR2476" s="124"/>
      <c r="MNS2476" s="124"/>
      <c r="MNT2476" s="124"/>
      <c r="MNU2476" s="124"/>
      <c r="MNV2476" s="124"/>
      <c r="MNW2476" s="124"/>
      <c r="MNX2476" s="124"/>
      <c r="MNY2476" s="124"/>
      <c r="MNZ2476" s="124"/>
      <c r="MOA2476" s="124"/>
      <c r="MOB2476" s="124"/>
      <c r="MOC2476" s="124"/>
      <c r="MOD2476" s="124"/>
      <c r="MOE2476" s="124"/>
      <c r="MOF2476" s="124"/>
      <c r="MOG2476" s="124"/>
      <c r="MOH2476" s="124"/>
      <c r="MOI2476" s="124"/>
      <c r="MOJ2476" s="124"/>
      <c r="MOK2476" s="124"/>
      <c r="MOL2476" s="124"/>
      <c r="MOM2476" s="124"/>
      <c r="MON2476" s="124"/>
      <c r="MOO2476" s="124"/>
      <c r="MOP2476" s="124"/>
      <c r="MOQ2476" s="124"/>
      <c r="MOR2476" s="124"/>
      <c r="MOS2476" s="124"/>
      <c r="MOT2476" s="124"/>
      <c r="MOU2476" s="124"/>
      <c r="MOV2476" s="124"/>
      <c r="MOW2476" s="124"/>
      <c r="MOX2476" s="124"/>
      <c r="MOY2476" s="124"/>
      <c r="MOZ2476" s="124"/>
      <c r="MPA2476" s="124"/>
      <c r="MPB2476" s="124"/>
      <c r="MPC2476" s="124"/>
      <c r="MPD2476" s="124"/>
      <c r="MPE2476" s="124"/>
      <c r="MPF2476" s="124"/>
      <c r="MPG2476" s="124"/>
      <c r="MPH2476" s="124"/>
      <c r="MPI2476" s="124"/>
      <c r="MPJ2476" s="124"/>
      <c r="MPK2476" s="124"/>
      <c r="MPL2476" s="124"/>
      <c r="MPM2476" s="124"/>
      <c r="MPN2476" s="124"/>
      <c r="MPO2476" s="124"/>
      <c r="MPP2476" s="124"/>
      <c r="MPQ2476" s="124"/>
      <c r="MPR2476" s="124"/>
      <c r="MPS2476" s="124"/>
      <c r="MPT2476" s="124"/>
      <c r="MPU2476" s="124"/>
      <c r="MPV2476" s="124"/>
      <c r="MPW2476" s="124"/>
      <c r="MPX2476" s="124"/>
      <c r="MPY2476" s="124"/>
      <c r="MPZ2476" s="124"/>
      <c r="MQA2476" s="124"/>
      <c r="MQB2476" s="124"/>
      <c r="MQC2476" s="124"/>
      <c r="MQD2476" s="124"/>
      <c r="MQE2476" s="124"/>
      <c r="MQF2476" s="124"/>
      <c r="MQG2476" s="124"/>
      <c r="MQH2476" s="124"/>
      <c r="MQI2476" s="124"/>
      <c r="MQJ2476" s="124"/>
      <c r="MQK2476" s="124"/>
      <c r="MQL2476" s="124"/>
      <c r="MQM2476" s="124"/>
      <c r="MQN2476" s="124"/>
      <c r="MQO2476" s="124"/>
      <c r="MQP2476" s="124"/>
      <c r="MQQ2476" s="124"/>
      <c r="MQR2476" s="124"/>
      <c r="MQS2476" s="124"/>
      <c r="MQT2476" s="124"/>
      <c r="MQU2476" s="124"/>
      <c r="MQV2476" s="124"/>
      <c r="MQW2476" s="124"/>
      <c r="MQX2476" s="124"/>
      <c r="MQY2476" s="124"/>
      <c r="MQZ2476" s="124"/>
      <c r="MRA2476" s="124"/>
      <c r="MRB2476" s="124"/>
      <c r="MRC2476" s="124"/>
      <c r="MRD2476" s="124"/>
      <c r="MRE2476" s="124"/>
      <c r="MRF2476" s="124"/>
      <c r="MRG2476" s="124"/>
      <c r="MRH2476" s="124"/>
      <c r="MRI2476" s="124"/>
      <c r="MRJ2476" s="124"/>
      <c r="MRK2476" s="124"/>
      <c r="MRL2476" s="124"/>
      <c r="MRM2476" s="124"/>
      <c r="MRN2476" s="124"/>
      <c r="MRO2476" s="124"/>
      <c r="MRP2476" s="124"/>
      <c r="MRQ2476" s="124"/>
      <c r="MRR2476" s="124"/>
      <c r="MRS2476" s="124"/>
      <c r="MRT2476" s="124"/>
      <c r="MRU2476" s="124"/>
      <c r="MRV2476" s="124"/>
      <c r="MRW2476" s="124"/>
      <c r="MRX2476" s="124"/>
      <c r="MRY2476" s="124"/>
      <c r="MRZ2476" s="124"/>
      <c r="MSA2476" s="124"/>
      <c r="MSB2476" s="124"/>
      <c r="MSC2476" s="124"/>
      <c r="MSD2476" s="124"/>
      <c r="MSE2476" s="124"/>
      <c r="MSF2476" s="124"/>
      <c r="MSG2476" s="124"/>
      <c r="MSH2476" s="124"/>
      <c r="MSI2476" s="124"/>
      <c r="MSJ2476" s="124"/>
      <c r="MSK2476" s="124"/>
      <c r="MSL2476" s="124"/>
      <c r="MSM2476" s="124"/>
      <c r="MSN2476" s="124"/>
      <c r="MSO2476" s="124"/>
      <c r="MSP2476" s="124"/>
      <c r="MSQ2476" s="124"/>
      <c r="MSR2476" s="124"/>
      <c r="MSS2476" s="124"/>
      <c r="MST2476" s="124"/>
      <c r="MSU2476" s="124"/>
      <c r="MSV2476" s="124"/>
      <c r="MSW2476" s="124"/>
      <c r="MSX2476" s="124"/>
      <c r="MSY2476" s="124"/>
      <c r="MSZ2476" s="124"/>
      <c r="MTA2476" s="124"/>
      <c r="MTB2476" s="124"/>
      <c r="MTC2476" s="124"/>
      <c r="MTD2476" s="124"/>
      <c r="MTE2476" s="124"/>
      <c r="MTF2476" s="124"/>
      <c r="MTG2476" s="124"/>
      <c r="MTH2476" s="124"/>
      <c r="MTI2476" s="124"/>
      <c r="MTJ2476" s="124"/>
      <c r="MTK2476" s="124"/>
      <c r="MTL2476" s="124"/>
      <c r="MTM2476" s="124"/>
      <c r="MTN2476" s="124"/>
      <c r="MTO2476" s="124"/>
      <c r="MTP2476" s="124"/>
      <c r="MTQ2476" s="124"/>
      <c r="MTR2476" s="124"/>
      <c r="MTS2476" s="124"/>
      <c r="MTT2476" s="124"/>
      <c r="MTU2476" s="124"/>
      <c r="MTV2476" s="124"/>
      <c r="MTW2476" s="124"/>
      <c r="MTX2476" s="124"/>
      <c r="MTY2476" s="124"/>
      <c r="MTZ2476" s="124"/>
      <c r="MUA2476" s="124"/>
      <c r="MUB2476" s="124"/>
      <c r="MUC2476" s="124"/>
      <c r="MUD2476" s="124"/>
      <c r="MUE2476" s="124"/>
      <c r="MUF2476" s="124"/>
      <c r="MUG2476" s="124"/>
      <c r="MUH2476" s="124"/>
      <c r="MUI2476" s="124"/>
      <c r="MUJ2476" s="124"/>
      <c r="MUK2476" s="124"/>
      <c r="MUL2476" s="124"/>
      <c r="MUM2476" s="124"/>
      <c r="MUN2476" s="124"/>
      <c r="MUO2476" s="124"/>
      <c r="MUP2476" s="124"/>
      <c r="MUQ2476" s="124"/>
      <c r="MUR2476" s="124"/>
      <c r="MUS2476" s="124"/>
      <c r="MUT2476" s="124"/>
      <c r="MUU2476" s="124"/>
      <c r="MUV2476" s="124"/>
      <c r="MUW2476" s="124"/>
      <c r="MUX2476" s="124"/>
      <c r="MUY2476" s="124"/>
      <c r="MUZ2476" s="124"/>
      <c r="MVA2476" s="124"/>
      <c r="MVB2476" s="124"/>
      <c r="MVC2476" s="124"/>
      <c r="MVD2476" s="124"/>
      <c r="MVE2476" s="124"/>
      <c r="MVF2476" s="124"/>
      <c r="MVG2476" s="124"/>
      <c r="MVH2476" s="124"/>
      <c r="MVI2476" s="124"/>
      <c r="MVJ2476" s="124"/>
      <c r="MVK2476" s="124"/>
      <c r="MVL2476" s="124"/>
      <c r="MVM2476" s="124"/>
      <c r="MVN2476" s="124"/>
      <c r="MVO2476" s="124"/>
      <c r="MVP2476" s="124"/>
      <c r="MVQ2476" s="124"/>
      <c r="MVR2476" s="124"/>
      <c r="MVS2476" s="124"/>
      <c r="MVT2476" s="124"/>
      <c r="MVU2476" s="124"/>
      <c r="MVV2476" s="124"/>
      <c r="MVW2476" s="124"/>
      <c r="MVX2476" s="124"/>
      <c r="MVY2476" s="124"/>
      <c r="MVZ2476" s="124"/>
      <c r="MWA2476" s="124"/>
      <c r="MWB2476" s="124"/>
      <c r="MWC2476" s="124"/>
      <c r="MWD2476" s="124"/>
      <c r="MWE2476" s="124"/>
      <c r="MWF2476" s="124"/>
      <c r="MWG2476" s="124"/>
      <c r="MWH2476" s="124"/>
      <c r="MWI2476" s="124"/>
      <c r="MWJ2476" s="124"/>
      <c r="MWK2476" s="124"/>
      <c r="MWL2476" s="124"/>
      <c r="MWM2476" s="124"/>
      <c r="MWN2476" s="124"/>
      <c r="MWO2476" s="124"/>
      <c r="MWP2476" s="124"/>
      <c r="MWQ2476" s="124"/>
      <c r="MWR2476" s="124"/>
      <c r="MWS2476" s="124"/>
      <c r="MWT2476" s="124"/>
      <c r="MWU2476" s="124"/>
      <c r="MWV2476" s="124"/>
      <c r="MWW2476" s="124"/>
      <c r="MWX2476" s="124"/>
      <c r="MWY2476" s="124"/>
      <c r="MWZ2476" s="124"/>
      <c r="MXA2476" s="124"/>
      <c r="MXB2476" s="124"/>
      <c r="MXC2476" s="124"/>
      <c r="MXD2476" s="124"/>
      <c r="MXE2476" s="124"/>
      <c r="MXF2476" s="124"/>
      <c r="MXG2476" s="124"/>
      <c r="MXH2476" s="124"/>
      <c r="MXI2476" s="124"/>
      <c r="MXJ2476" s="124"/>
      <c r="MXK2476" s="124"/>
      <c r="MXL2476" s="124"/>
      <c r="MXM2476" s="124"/>
      <c r="MXN2476" s="124"/>
      <c r="MXO2476" s="124"/>
      <c r="MXP2476" s="124"/>
      <c r="MXQ2476" s="124"/>
      <c r="MXR2476" s="124"/>
      <c r="MXS2476" s="124"/>
      <c r="MXT2476" s="124"/>
      <c r="MXU2476" s="124"/>
      <c r="MXV2476" s="124"/>
      <c r="MXW2476" s="124"/>
      <c r="MXX2476" s="124"/>
      <c r="MXY2476" s="124"/>
      <c r="MXZ2476" s="124"/>
      <c r="MYA2476" s="124"/>
      <c r="MYB2476" s="124"/>
      <c r="MYC2476" s="124"/>
      <c r="MYD2476" s="124"/>
      <c r="MYE2476" s="124"/>
      <c r="MYF2476" s="124"/>
      <c r="MYG2476" s="124"/>
      <c r="MYH2476" s="124"/>
      <c r="MYI2476" s="124"/>
      <c r="MYJ2476" s="124"/>
      <c r="MYK2476" s="124"/>
      <c r="MYL2476" s="124"/>
      <c r="MYM2476" s="124"/>
      <c r="MYN2476" s="124"/>
      <c r="MYO2476" s="124"/>
      <c r="MYP2476" s="124"/>
      <c r="MYQ2476" s="124"/>
      <c r="MYR2476" s="124"/>
      <c r="MYS2476" s="124"/>
      <c r="MYT2476" s="124"/>
      <c r="MYU2476" s="124"/>
      <c r="MYV2476" s="124"/>
      <c r="MYW2476" s="124"/>
      <c r="MYX2476" s="124"/>
      <c r="MYY2476" s="124"/>
      <c r="MYZ2476" s="124"/>
      <c r="MZA2476" s="124"/>
      <c r="MZB2476" s="124"/>
      <c r="MZC2476" s="124"/>
      <c r="MZD2476" s="124"/>
      <c r="MZE2476" s="124"/>
      <c r="MZF2476" s="124"/>
      <c r="MZG2476" s="124"/>
      <c r="MZH2476" s="124"/>
      <c r="MZI2476" s="124"/>
      <c r="MZJ2476" s="124"/>
      <c r="MZK2476" s="124"/>
      <c r="MZL2476" s="124"/>
      <c r="MZM2476" s="124"/>
      <c r="MZN2476" s="124"/>
      <c r="MZO2476" s="124"/>
      <c r="MZP2476" s="124"/>
      <c r="MZQ2476" s="124"/>
      <c r="MZR2476" s="124"/>
      <c r="MZS2476" s="124"/>
      <c r="MZT2476" s="124"/>
      <c r="MZU2476" s="124"/>
      <c r="MZV2476" s="124"/>
      <c r="MZW2476" s="124"/>
      <c r="MZX2476" s="124"/>
      <c r="MZY2476" s="124"/>
      <c r="MZZ2476" s="124"/>
      <c r="NAA2476" s="124"/>
      <c r="NAB2476" s="124"/>
      <c r="NAC2476" s="124"/>
      <c r="NAD2476" s="124"/>
      <c r="NAE2476" s="124"/>
      <c r="NAF2476" s="124"/>
      <c r="NAG2476" s="124"/>
      <c r="NAH2476" s="124"/>
      <c r="NAI2476" s="124"/>
      <c r="NAJ2476" s="124"/>
      <c r="NAK2476" s="124"/>
      <c r="NAL2476" s="124"/>
      <c r="NAM2476" s="124"/>
      <c r="NAN2476" s="124"/>
      <c r="NAO2476" s="124"/>
      <c r="NAP2476" s="124"/>
      <c r="NAQ2476" s="124"/>
      <c r="NAR2476" s="124"/>
      <c r="NAS2476" s="124"/>
      <c r="NAT2476" s="124"/>
      <c r="NAU2476" s="124"/>
      <c r="NAV2476" s="124"/>
      <c r="NAW2476" s="124"/>
      <c r="NAX2476" s="124"/>
      <c r="NAY2476" s="124"/>
      <c r="NAZ2476" s="124"/>
      <c r="NBA2476" s="124"/>
      <c r="NBB2476" s="124"/>
      <c r="NBC2476" s="124"/>
      <c r="NBD2476" s="124"/>
      <c r="NBE2476" s="124"/>
      <c r="NBF2476" s="124"/>
      <c r="NBG2476" s="124"/>
      <c r="NBH2476" s="124"/>
      <c r="NBI2476" s="124"/>
      <c r="NBJ2476" s="124"/>
      <c r="NBK2476" s="124"/>
      <c r="NBL2476" s="124"/>
      <c r="NBM2476" s="124"/>
      <c r="NBN2476" s="124"/>
      <c r="NBO2476" s="124"/>
      <c r="NBP2476" s="124"/>
      <c r="NBQ2476" s="124"/>
      <c r="NBR2476" s="124"/>
      <c r="NBS2476" s="124"/>
      <c r="NBT2476" s="124"/>
      <c r="NBU2476" s="124"/>
      <c r="NBV2476" s="124"/>
      <c r="NBW2476" s="124"/>
      <c r="NBX2476" s="124"/>
      <c r="NBY2476" s="124"/>
      <c r="NBZ2476" s="124"/>
      <c r="NCA2476" s="124"/>
      <c r="NCB2476" s="124"/>
      <c r="NCC2476" s="124"/>
      <c r="NCD2476" s="124"/>
      <c r="NCE2476" s="124"/>
      <c r="NCF2476" s="124"/>
      <c r="NCG2476" s="124"/>
      <c r="NCH2476" s="124"/>
      <c r="NCI2476" s="124"/>
      <c r="NCJ2476" s="124"/>
      <c r="NCK2476" s="124"/>
      <c r="NCL2476" s="124"/>
      <c r="NCM2476" s="124"/>
      <c r="NCN2476" s="124"/>
      <c r="NCO2476" s="124"/>
      <c r="NCP2476" s="124"/>
      <c r="NCQ2476" s="124"/>
      <c r="NCR2476" s="124"/>
      <c r="NCS2476" s="124"/>
      <c r="NCT2476" s="124"/>
      <c r="NCU2476" s="124"/>
      <c r="NCV2476" s="124"/>
      <c r="NCW2476" s="124"/>
      <c r="NCX2476" s="124"/>
      <c r="NCY2476" s="124"/>
      <c r="NCZ2476" s="124"/>
      <c r="NDA2476" s="124"/>
      <c r="NDB2476" s="124"/>
      <c r="NDC2476" s="124"/>
      <c r="NDD2476" s="124"/>
      <c r="NDE2476" s="124"/>
      <c r="NDF2476" s="124"/>
      <c r="NDG2476" s="124"/>
      <c r="NDH2476" s="124"/>
      <c r="NDI2476" s="124"/>
      <c r="NDJ2476" s="124"/>
      <c r="NDK2476" s="124"/>
      <c r="NDL2476" s="124"/>
      <c r="NDM2476" s="124"/>
      <c r="NDN2476" s="124"/>
      <c r="NDO2476" s="124"/>
      <c r="NDP2476" s="124"/>
      <c r="NDQ2476" s="124"/>
      <c r="NDR2476" s="124"/>
      <c r="NDS2476" s="124"/>
      <c r="NDT2476" s="124"/>
      <c r="NDU2476" s="124"/>
      <c r="NDV2476" s="124"/>
      <c r="NDW2476" s="124"/>
      <c r="NDX2476" s="124"/>
      <c r="NDY2476" s="124"/>
      <c r="NDZ2476" s="124"/>
      <c r="NEA2476" s="124"/>
      <c r="NEB2476" s="124"/>
      <c r="NEC2476" s="124"/>
      <c r="NED2476" s="124"/>
      <c r="NEE2476" s="124"/>
      <c r="NEF2476" s="124"/>
      <c r="NEG2476" s="124"/>
      <c r="NEH2476" s="124"/>
      <c r="NEI2476" s="124"/>
      <c r="NEJ2476" s="124"/>
      <c r="NEK2476" s="124"/>
      <c r="NEL2476" s="124"/>
      <c r="NEM2476" s="124"/>
      <c r="NEN2476" s="124"/>
      <c r="NEO2476" s="124"/>
      <c r="NEP2476" s="124"/>
      <c r="NEQ2476" s="124"/>
      <c r="NER2476" s="124"/>
      <c r="NES2476" s="124"/>
      <c r="NET2476" s="124"/>
      <c r="NEU2476" s="124"/>
      <c r="NEV2476" s="124"/>
      <c r="NEW2476" s="124"/>
      <c r="NEX2476" s="124"/>
      <c r="NEY2476" s="124"/>
      <c r="NEZ2476" s="124"/>
      <c r="NFA2476" s="124"/>
      <c r="NFB2476" s="124"/>
      <c r="NFC2476" s="124"/>
      <c r="NFD2476" s="124"/>
      <c r="NFE2476" s="124"/>
      <c r="NFF2476" s="124"/>
      <c r="NFG2476" s="124"/>
      <c r="NFH2476" s="124"/>
      <c r="NFI2476" s="124"/>
      <c r="NFJ2476" s="124"/>
      <c r="NFK2476" s="124"/>
      <c r="NFL2476" s="124"/>
      <c r="NFM2476" s="124"/>
      <c r="NFN2476" s="124"/>
      <c r="NFO2476" s="124"/>
      <c r="NFP2476" s="124"/>
      <c r="NFQ2476" s="124"/>
      <c r="NFR2476" s="124"/>
      <c r="NFS2476" s="124"/>
      <c r="NFT2476" s="124"/>
      <c r="NFU2476" s="124"/>
      <c r="NFV2476" s="124"/>
      <c r="NFW2476" s="124"/>
      <c r="NFX2476" s="124"/>
      <c r="NFY2476" s="124"/>
      <c r="NFZ2476" s="124"/>
      <c r="NGA2476" s="124"/>
      <c r="NGB2476" s="124"/>
      <c r="NGC2476" s="124"/>
      <c r="NGD2476" s="124"/>
      <c r="NGE2476" s="124"/>
      <c r="NGF2476" s="124"/>
      <c r="NGG2476" s="124"/>
      <c r="NGH2476" s="124"/>
      <c r="NGI2476" s="124"/>
      <c r="NGJ2476" s="124"/>
      <c r="NGK2476" s="124"/>
      <c r="NGL2476" s="124"/>
      <c r="NGM2476" s="124"/>
      <c r="NGN2476" s="124"/>
      <c r="NGO2476" s="124"/>
      <c r="NGP2476" s="124"/>
      <c r="NGQ2476" s="124"/>
      <c r="NGR2476" s="124"/>
      <c r="NGS2476" s="124"/>
      <c r="NGT2476" s="124"/>
      <c r="NGU2476" s="124"/>
      <c r="NGV2476" s="124"/>
      <c r="NGW2476" s="124"/>
      <c r="NGX2476" s="124"/>
      <c r="NGY2476" s="124"/>
      <c r="NGZ2476" s="124"/>
      <c r="NHA2476" s="124"/>
      <c r="NHB2476" s="124"/>
      <c r="NHC2476" s="124"/>
      <c r="NHD2476" s="124"/>
      <c r="NHE2476" s="124"/>
      <c r="NHF2476" s="124"/>
      <c r="NHG2476" s="124"/>
      <c r="NHH2476" s="124"/>
      <c r="NHI2476" s="124"/>
      <c r="NHJ2476" s="124"/>
      <c r="NHK2476" s="124"/>
      <c r="NHL2476" s="124"/>
      <c r="NHM2476" s="124"/>
      <c r="NHN2476" s="124"/>
      <c r="NHO2476" s="124"/>
      <c r="NHP2476" s="124"/>
      <c r="NHQ2476" s="124"/>
      <c r="NHR2476" s="124"/>
      <c r="NHS2476" s="124"/>
      <c r="NHT2476" s="124"/>
      <c r="NHU2476" s="124"/>
      <c r="NHV2476" s="124"/>
      <c r="NHW2476" s="124"/>
      <c r="NHX2476" s="124"/>
      <c r="NHY2476" s="124"/>
      <c r="NHZ2476" s="124"/>
      <c r="NIA2476" s="124"/>
      <c r="NIB2476" s="124"/>
      <c r="NIC2476" s="124"/>
      <c r="NID2476" s="124"/>
      <c r="NIE2476" s="124"/>
      <c r="NIF2476" s="124"/>
      <c r="NIG2476" s="124"/>
      <c r="NIH2476" s="124"/>
      <c r="NII2476" s="124"/>
      <c r="NIJ2476" s="124"/>
      <c r="NIK2476" s="124"/>
      <c r="NIL2476" s="124"/>
      <c r="NIM2476" s="124"/>
      <c r="NIN2476" s="124"/>
      <c r="NIO2476" s="124"/>
      <c r="NIP2476" s="124"/>
      <c r="NIQ2476" s="124"/>
      <c r="NIR2476" s="124"/>
      <c r="NIS2476" s="124"/>
      <c r="NIT2476" s="124"/>
      <c r="NIU2476" s="124"/>
      <c r="NIV2476" s="124"/>
      <c r="NIW2476" s="124"/>
      <c r="NIX2476" s="124"/>
      <c r="NIY2476" s="124"/>
      <c r="NIZ2476" s="124"/>
      <c r="NJA2476" s="124"/>
      <c r="NJB2476" s="124"/>
      <c r="NJC2476" s="124"/>
      <c r="NJD2476" s="124"/>
      <c r="NJE2476" s="124"/>
      <c r="NJF2476" s="124"/>
      <c r="NJG2476" s="124"/>
      <c r="NJH2476" s="124"/>
      <c r="NJI2476" s="124"/>
      <c r="NJJ2476" s="124"/>
      <c r="NJK2476" s="124"/>
      <c r="NJL2476" s="124"/>
      <c r="NJM2476" s="124"/>
      <c r="NJN2476" s="124"/>
      <c r="NJO2476" s="124"/>
      <c r="NJP2476" s="124"/>
      <c r="NJQ2476" s="124"/>
      <c r="NJR2476" s="124"/>
      <c r="NJS2476" s="124"/>
      <c r="NJT2476" s="124"/>
      <c r="NJU2476" s="124"/>
      <c r="NJV2476" s="124"/>
      <c r="NJW2476" s="124"/>
      <c r="NJX2476" s="124"/>
      <c r="NJY2476" s="124"/>
      <c r="NJZ2476" s="124"/>
      <c r="NKA2476" s="124"/>
      <c r="NKB2476" s="124"/>
      <c r="NKC2476" s="124"/>
      <c r="NKD2476" s="124"/>
      <c r="NKE2476" s="124"/>
      <c r="NKF2476" s="124"/>
      <c r="NKG2476" s="124"/>
      <c r="NKH2476" s="124"/>
      <c r="NKI2476" s="124"/>
      <c r="NKJ2476" s="124"/>
      <c r="NKK2476" s="124"/>
      <c r="NKL2476" s="124"/>
      <c r="NKM2476" s="124"/>
      <c r="NKN2476" s="124"/>
      <c r="NKO2476" s="124"/>
      <c r="NKP2476" s="124"/>
      <c r="NKQ2476" s="124"/>
      <c r="NKR2476" s="124"/>
      <c r="NKS2476" s="124"/>
      <c r="NKT2476" s="124"/>
      <c r="NKU2476" s="124"/>
      <c r="NKV2476" s="124"/>
      <c r="NKW2476" s="124"/>
      <c r="NKX2476" s="124"/>
      <c r="NKY2476" s="124"/>
      <c r="NKZ2476" s="124"/>
      <c r="NLA2476" s="124"/>
      <c r="NLB2476" s="124"/>
      <c r="NLC2476" s="124"/>
      <c r="NLD2476" s="124"/>
      <c r="NLE2476" s="124"/>
      <c r="NLF2476" s="124"/>
      <c r="NLG2476" s="124"/>
      <c r="NLH2476" s="124"/>
      <c r="NLI2476" s="124"/>
      <c r="NLJ2476" s="124"/>
      <c r="NLK2476" s="124"/>
      <c r="NLL2476" s="124"/>
      <c r="NLM2476" s="124"/>
      <c r="NLN2476" s="124"/>
      <c r="NLO2476" s="124"/>
      <c r="NLP2476" s="124"/>
      <c r="NLQ2476" s="124"/>
      <c r="NLR2476" s="124"/>
      <c r="NLS2476" s="124"/>
      <c r="NLT2476" s="124"/>
      <c r="NLU2476" s="124"/>
      <c r="NLV2476" s="124"/>
      <c r="NLW2476" s="124"/>
      <c r="NLX2476" s="124"/>
      <c r="NLY2476" s="124"/>
      <c r="NLZ2476" s="124"/>
      <c r="NMA2476" s="124"/>
      <c r="NMB2476" s="124"/>
      <c r="NMC2476" s="124"/>
      <c r="NMD2476" s="124"/>
      <c r="NME2476" s="124"/>
      <c r="NMF2476" s="124"/>
      <c r="NMG2476" s="124"/>
      <c r="NMH2476" s="124"/>
      <c r="NMI2476" s="124"/>
      <c r="NMJ2476" s="124"/>
      <c r="NMK2476" s="124"/>
      <c r="NML2476" s="124"/>
      <c r="NMM2476" s="124"/>
      <c r="NMN2476" s="124"/>
      <c r="NMO2476" s="124"/>
      <c r="NMP2476" s="124"/>
      <c r="NMQ2476" s="124"/>
      <c r="NMR2476" s="124"/>
      <c r="NMS2476" s="124"/>
      <c r="NMT2476" s="124"/>
      <c r="NMU2476" s="124"/>
      <c r="NMV2476" s="124"/>
      <c r="NMW2476" s="124"/>
      <c r="NMX2476" s="124"/>
      <c r="NMY2476" s="124"/>
      <c r="NMZ2476" s="124"/>
      <c r="NNA2476" s="124"/>
      <c r="NNB2476" s="124"/>
      <c r="NNC2476" s="124"/>
      <c r="NND2476" s="124"/>
      <c r="NNE2476" s="124"/>
      <c r="NNF2476" s="124"/>
      <c r="NNG2476" s="124"/>
      <c r="NNH2476" s="124"/>
      <c r="NNI2476" s="124"/>
      <c r="NNJ2476" s="124"/>
      <c r="NNK2476" s="124"/>
      <c r="NNL2476" s="124"/>
      <c r="NNM2476" s="124"/>
      <c r="NNN2476" s="124"/>
      <c r="NNO2476" s="124"/>
      <c r="NNP2476" s="124"/>
      <c r="NNQ2476" s="124"/>
      <c r="NNR2476" s="124"/>
      <c r="NNS2476" s="124"/>
      <c r="NNT2476" s="124"/>
      <c r="NNU2476" s="124"/>
      <c r="NNV2476" s="124"/>
      <c r="NNW2476" s="124"/>
      <c r="NNX2476" s="124"/>
      <c r="NNY2476" s="124"/>
      <c r="NNZ2476" s="124"/>
      <c r="NOA2476" s="124"/>
      <c r="NOB2476" s="124"/>
      <c r="NOC2476" s="124"/>
      <c r="NOD2476" s="124"/>
      <c r="NOE2476" s="124"/>
      <c r="NOF2476" s="124"/>
      <c r="NOG2476" s="124"/>
      <c r="NOH2476" s="124"/>
      <c r="NOI2476" s="124"/>
      <c r="NOJ2476" s="124"/>
      <c r="NOK2476" s="124"/>
      <c r="NOL2476" s="124"/>
      <c r="NOM2476" s="124"/>
      <c r="NON2476" s="124"/>
      <c r="NOO2476" s="124"/>
      <c r="NOP2476" s="124"/>
      <c r="NOQ2476" s="124"/>
      <c r="NOR2476" s="124"/>
      <c r="NOS2476" s="124"/>
      <c r="NOT2476" s="124"/>
      <c r="NOU2476" s="124"/>
      <c r="NOV2476" s="124"/>
      <c r="NOW2476" s="124"/>
      <c r="NOX2476" s="124"/>
      <c r="NOY2476" s="124"/>
      <c r="NOZ2476" s="124"/>
      <c r="NPA2476" s="124"/>
      <c r="NPB2476" s="124"/>
      <c r="NPC2476" s="124"/>
      <c r="NPD2476" s="124"/>
      <c r="NPE2476" s="124"/>
      <c r="NPF2476" s="124"/>
      <c r="NPG2476" s="124"/>
      <c r="NPH2476" s="124"/>
      <c r="NPI2476" s="124"/>
      <c r="NPJ2476" s="124"/>
      <c r="NPK2476" s="124"/>
      <c r="NPL2476" s="124"/>
      <c r="NPM2476" s="124"/>
      <c r="NPN2476" s="124"/>
      <c r="NPO2476" s="124"/>
      <c r="NPP2476" s="124"/>
      <c r="NPQ2476" s="124"/>
      <c r="NPR2476" s="124"/>
      <c r="NPS2476" s="124"/>
      <c r="NPT2476" s="124"/>
      <c r="NPU2476" s="124"/>
      <c r="NPV2476" s="124"/>
      <c r="NPW2476" s="124"/>
      <c r="NPX2476" s="124"/>
      <c r="NPY2476" s="124"/>
      <c r="NPZ2476" s="124"/>
      <c r="NQA2476" s="124"/>
      <c r="NQB2476" s="124"/>
      <c r="NQC2476" s="124"/>
      <c r="NQD2476" s="124"/>
      <c r="NQE2476" s="124"/>
      <c r="NQF2476" s="124"/>
      <c r="NQG2476" s="124"/>
      <c r="NQH2476" s="124"/>
      <c r="NQI2476" s="124"/>
      <c r="NQJ2476" s="124"/>
      <c r="NQK2476" s="124"/>
      <c r="NQL2476" s="124"/>
      <c r="NQM2476" s="124"/>
      <c r="NQN2476" s="124"/>
      <c r="NQO2476" s="124"/>
      <c r="NQP2476" s="124"/>
      <c r="NQQ2476" s="124"/>
      <c r="NQR2476" s="124"/>
      <c r="NQS2476" s="124"/>
      <c r="NQT2476" s="124"/>
      <c r="NQU2476" s="124"/>
      <c r="NQV2476" s="124"/>
      <c r="NQW2476" s="124"/>
      <c r="NQX2476" s="124"/>
      <c r="NQY2476" s="124"/>
      <c r="NQZ2476" s="124"/>
      <c r="NRA2476" s="124"/>
      <c r="NRB2476" s="124"/>
      <c r="NRC2476" s="124"/>
      <c r="NRD2476" s="124"/>
      <c r="NRE2476" s="124"/>
      <c r="NRF2476" s="124"/>
      <c r="NRG2476" s="124"/>
      <c r="NRH2476" s="124"/>
      <c r="NRI2476" s="124"/>
      <c r="NRJ2476" s="124"/>
      <c r="NRK2476" s="124"/>
      <c r="NRL2476" s="124"/>
      <c r="NRM2476" s="124"/>
      <c r="NRN2476" s="124"/>
      <c r="NRO2476" s="124"/>
      <c r="NRP2476" s="124"/>
      <c r="NRQ2476" s="124"/>
      <c r="NRR2476" s="124"/>
      <c r="NRS2476" s="124"/>
      <c r="NRT2476" s="124"/>
      <c r="NRU2476" s="124"/>
      <c r="NRV2476" s="124"/>
      <c r="NRW2476" s="124"/>
      <c r="NRX2476" s="124"/>
      <c r="NRY2476" s="124"/>
      <c r="NRZ2476" s="124"/>
      <c r="NSA2476" s="124"/>
      <c r="NSB2476" s="124"/>
      <c r="NSC2476" s="124"/>
      <c r="NSD2476" s="124"/>
      <c r="NSE2476" s="124"/>
      <c r="NSF2476" s="124"/>
      <c r="NSG2476" s="124"/>
      <c r="NSH2476" s="124"/>
      <c r="NSI2476" s="124"/>
      <c r="NSJ2476" s="124"/>
      <c r="NSK2476" s="124"/>
      <c r="NSL2476" s="124"/>
      <c r="NSM2476" s="124"/>
      <c r="NSN2476" s="124"/>
      <c r="NSO2476" s="124"/>
      <c r="NSP2476" s="124"/>
      <c r="NSQ2476" s="124"/>
      <c r="NSR2476" s="124"/>
      <c r="NSS2476" s="124"/>
      <c r="NST2476" s="124"/>
      <c r="NSU2476" s="124"/>
      <c r="NSV2476" s="124"/>
      <c r="NSW2476" s="124"/>
      <c r="NSX2476" s="124"/>
      <c r="NSY2476" s="124"/>
      <c r="NSZ2476" s="124"/>
      <c r="NTA2476" s="124"/>
      <c r="NTB2476" s="124"/>
      <c r="NTC2476" s="124"/>
      <c r="NTD2476" s="124"/>
      <c r="NTE2476" s="124"/>
      <c r="NTF2476" s="124"/>
      <c r="NTG2476" s="124"/>
      <c r="NTH2476" s="124"/>
      <c r="NTI2476" s="124"/>
      <c r="NTJ2476" s="124"/>
      <c r="NTK2476" s="124"/>
      <c r="NTL2476" s="124"/>
      <c r="NTM2476" s="124"/>
      <c r="NTN2476" s="124"/>
      <c r="NTO2476" s="124"/>
      <c r="NTP2476" s="124"/>
      <c r="NTQ2476" s="124"/>
      <c r="NTR2476" s="124"/>
      <c r="NTS2476" s="124"/>
      <c r="NTT2476" s="124"/>
      <c r="NTU2476" s="124"/>
      <c r="NTV2476" s="124"/>
      <c r="NTW2476" s="124"/>
      <c r="NTX2476" s="124"/>
      <c r="NTY2476" s="124"/>
      <c r="NTZ2476" s="124"/>
      <c r="NUA2476" s="124"/>
      <c r="NUB2476" s="124"/>
      <c r="NUC2476" s="124"/>
      <c r="NUD2476" s="124"/>
      <c r="NUE2476" s="124"/>
      <c r="NUF2476" s="124"/>
      <c r="NUG2476" s="124"/>
      <c r="NUH2476" s="124"/>
      <c r="NUI2476" s="124"/>
      <c r="NUJ2476" s="124"/>
      <c r="NUK2476" s="124"/>
      <c r="NUL2476" s="124"/>
      <c r="NUM2476" s="124"/>
      <c r="NUN2476" s="124"/>
      <c r="NUO2476" s="124"/>
      <c r="NUP2476" s="124"/>
      <c r="NUQ2476" s="124"/>
      <c r="NUR2476" s="124"/>
      <c r="NUS2476" s="124"/>
      <c r="NUT2476" s="124"/>
      <c r="NUU2476" s="124"/>
      <c r="NUV2476" s="124"/>
      <c r="NUW2476" s="124"/>
      <c r="NUX2476" s="124"/>
      <c r="NUY2476" s="124"/>
      <c r="NUZ2476" s="124"/>
      <c r="NVA2476" s="124"/>
      <c r="NVB2476" s="124"/>
      <c r="NVC2476" s="124"/>
      <c r="NVD2476" s="124"/>
      <c r="NVE2476" s="124"/>
      <c r="NVF2476" s="124"/>
      <c r="NVG2476" s="124"/>
      <c r="NVH2476" s="124"/>
      <c r="NVI2476" s="124"/>
      <c r="NVJ2476" s="124"/>
      <c r="NVK2476" s="124"/>
      <c r="NVL2476" s="124"/>
      <c r="NVM2476" s="124"/>
      <c r="NVN2476" s="124"/>
      <c r="NVO2476" s="124"/>
      <c r="NVP2476" s="124"/>
      <c r="NVQ2476" s="124"/>
      <c r="NVR2476" s="124"/>
      <c r="NVS2476" s="124"/>
      <c r="NVT2476" s="124"/>
      <c r="NVU2476" s="124"/>
      <c r="NVV2476" s="124"/>
      <c r="NVW2476" s="124"/>
      <c r="NVX2476" s="124"/>
      <c r="NVY2476" s="124"/>
      <c r="NVZ2476" s="124"/>
      <c r="NWA2476" s="124"/>
      <c r="NWB2476" s="124"/>
      <c r="NWC2476" s="124"/>
      <c r="NWD2476" s="124"/>
      <c r="NWE2476" s="124"/>
      <c r="NWF2476" s="124"/>
      <c r="NWG2476" s="124"/>
      <c r="NWH2476" s="124"/>
      <c r="NWI2476" s="124"/>
      <c r="NWJ2476" s="124"/>
      <c r="NWK2476" s="124"/>
      <c r="NWL2476" s="124"/>
      <c r="NWM2476" s="124"/>
      <c r="NWN2476" s="124"/>
      <c r="NWO2476" s="124"/>
      <c r="NWP2476" s="124"/>
      <c r="NWQ2476" s="124"/>
      <c r="NWR2476" s="124"/>
      <c r="NWS2476" s="124"/>
      <c r="NWT2476" s="124"/>
      <c r="NWU2476" s="124"/>
      <c r="NWV2476" s="124"/>
      <c r="NWW2476" s="124"/>
      <c r="NWX2476" s="124"/>
      <c r="NWY2476" s="124"/>
      <c r="NWZ2476" s="124"/>
      <c r="NXA2476" s="124"/>
      <c r="NXB2476" s="124"/>
      <c r="NXC2476" s="124"/>
      <c r="NXD2476" s="124"/>
      <c r="NXE2476" s="124"/>
      <c r="NXF2476" s="124"/>
      <c r="NXG2476" s="124"/>
      <c r="NXH2476" s="124"/>
      <c r="NXI2476" s="124"/>
      <c r="NXJ2476" s="124"/>
      <c r="NXK2476" s="124"/>
      <c r="NXL2476" s="124"/>
      <c r="NXM2476" s="124"/>
      <c r="NXN2476" s="124"/>
      <c r="NXO2476" s="124"/>
      <c r="NXP2476" s="124"/>
      <c r="NXQ2476" s="124"/>
      <c r="NXR2476" s="124"/>
      <c r="NXS2476" s="124"/>
      <c r="NXT2476" s="124"/>
      <c r="NXU2476" s="124"/>
      <c r="NXV2476" s="124"/>
      <c r="NXW2476" s="124"/>
      <c r="NXX2476" s="124"/>
      <c r="NXY2476" s="124"/>
      <c r="NXZ2476" s="124"/>
      <c r="NYA2476" s="124"/>
      <c r="NYB2476" s="124"/>
      <c r="NYC2476" s="124"/>
      <c r="NYD2476" s="124"/>
      <c r="NYE2476" s="124"/>
      <c r="NYF2476" s="124"/>
      <c r="NYG2476" s="124"/>
      <c r="NYH2476" s="124"/>
      <c r="NYI2476" s="124"/>
      <c r="NYJ2476" s="124"/>
      <c r="NYK2476" s="124"/>
      <c r="NYL2476" s="124"/>
      <c r="NYM2476" s="124"/>
      <c r="NYN2476" s="124"/>
      <c r="NYO2476" s="124"/>
      <c r="NYP2476" s="124"/>
      <c r="NYQ2476" s="124"/>
      <c r="NYR2476" s="124"/>
      <c r="NYS2476" s="124"/>
      <c r="NYT2476" s="124"/>
      <c r="NYU2476" s="124"/>
      <c r="NYV2476" s="124"/>
      <c r="NYW2476" s="124"/>
      <c r="NYX2476" s="124"/>
      <c r="NYY2476" s="124"/>
      <c r="NYZ2476" s="124"/>
      <c r="NZA2476" s="124"/>
      <c r="NZB2476" s="124"/>
      <c r="NZC2476" s="124"/>
      <c r="NZD2476" s="124"/>
      <c r="NZE2476" s="124"/>
      <c r="NZF2476" s="124"/>
      <c r="NZG2476" s="124"/>
      <c r="NZH2476" s="124"/>
      <c r="NZI2476" s="124"/>
      <c r="NZJ2476" s="124"/>
      <c r="NZK2476" s="124"/>
      <c r="NZL2476" s="124"/>
      <c r="NZM2476" s="124"/>
      <c r="NZN2476" s="124"/>
      <c r="NZO2476" s="124"/>
      <c r="NZP2476" s="124"/>
      <c r="NZQ2476" s="124"/>
      <c r="NZR2476" s="124"/>
      <c r="NZS2476" s="124"/>
      <c r="NZT2476" s="124"/>
      <c r="NZU2476" s="124"/>
      <c r="NZV2476" s="124"/>
      <c r="NZW2476" s="124"/>
      <c r="NZX2476" s="124"/>
      <c r="NZY2476" s="124"/>
      <c r="NZZ2476" s="124"/>
      <c r="OAA2476" s="124"/>
      <c r="OAB2476" s="124"/>
      <c r="OAC2476" s="124"/>
      <c r="OAD2476" s="124"/>
      <c r="OAE2476" s="124"/>
      <c r="OAF2476" s="124"/>
      <c r="OAG2476" s="124"/>
      <c r="OAH2476" s="124"/>
      <c r="OAI2476" s="124"/>
      <c r="OAJ2476" s="124"/>
      <c r="OAK2476" s="124"/>
      <c r="OAL2476" s="124"/>
      <c r="OAM2476" s="124"/>
      <c r="OAN2476" s="124"/>
      <c r="OAO2476" s="124"/>
      <c r="OAP2476" s="124"/>
      <c r="OAQ2476" s="124"/>
      <c r="OAR2476" s="124"/>
      <c r="OAS2476" s="124"/>
      <c r="OAT2476" s="124"/>
      <c r="OAU2476" s="124"/>
      <c r="OAV2476" s="124"/>
      <c r="OAW2476" s="124"/>
      <c r="OAX2476" s="124"/>
      <c r="OAY2476" s="124"/>
      <c r="OAZ2476" s="124"/>
      <c r="OBA2476" s="124"/>
      <c r="OBB2476" s="124"/>
      <c r="OBC2476" s="124"/>
      <c r="OBD2476" s="124"/>
      <c r="OBE2476" s="124"/>
      <c r="OBF2476" s="124"/>
      <c r="OBG2476" s="124"/>
      <c r="OBH2476" s="124"/>
      <c r="OBI2476" s="124"/>
      <c r="OBJ2476" s="124"/>
      <c r="OBK2476" s="124"/>
      <c r="OBL2476" s="124"/>
      <c r="OBM2476" s="124"/>
      <c r="OBN2476" s="124"/>
      <c r="OBO2476" s="124"/>
      <c r="OBP2476" s="124"/>
      <c r="OBQ2476" s="124"/>
      <c r="OBR2476" s="124"/>
      <c r="OBS2476" s="124"/>
      <c r="OBT2476" s="124"/>
      <c r="OBU2476" s="124"/>
      <c r="OBV2476" s="124"/>
      <c r="OBW2476" s="124"/>
      <c r="OBX2476" s="124"/>
      <c r="OBY2476" s="124"/>
      <c r="OBZ2476" s="124"/>
      <c r="OCA2476" s="124"/>
      <c r="OCB2476" s="124"/>
      <c r="OCC2476" s="124"/>
      <c r="OCD2476" s="124"/>
      <c r="OCE2476" s="124"/>
      <c r="OCF2476" s="124"/>
      <c r="OCG2476" s="124"/>
      <c r="OCH2476" s="124"/>
      <c r="OCI2476" s="124"/>
      <c r="OCJ2476" s="124"/>
      <c r="OCK2476" s="124"/>
      <c r="OCL2476" s="124"/>
      <c r="OCM2476" s="124"/>
      <c r="OCN2476" s="124"/>
      <c r="OCO2476" s="124"/>
      <c r="OCP2476" s="124"/>
      <c r="OCQ2476" s="124"/>
      <c r="OCR2476" s="124"/>
      <c r="OCS2476" s="124"/>
      <c r="OCT2476" s="124"/>
      <c r="OCU2476" s="124"/>
      <c r="OCV2476" s="124"/>
      <c r="OCW2476" s="124"/>
      <c r="OCX2476" s="124"/>
      <c r="OCY2476" s="124"/>
      <c r="OCZ2476" s="124"/>
      <c r="ODA2476" s="124"/>
      <c r="ODB2476" s="124"/>
      <c r="ODC2476" s="124"/>
      <c r="ODD2476" s="124"/>
      <c r="ODE2476" s="124"/>
      <c r="ODF2476" s="124"/>
      <c r="ODG2476" s="124"/>
      <c r="ODH2476" s="124"/>
      <c r="ODI2476" s="124"/>
      <c r="ODJ2476" s="124"/>
      <c r="ODK2476" s="124"/>
      <c r="ODL2476" s="124"/>
      <c r="ODM2476" s="124"/>
      <c r="ODN2476" s="124"/>
      <c r="ODO2476" s="124"/>
      <c r="ODP2476" s="124"/>
      <c r="ODQ2476" s="124"/>
      <c r="ODR2476" s="124"/>
      <c r="ODS2476" s="124"/>
      <c r="ODT2476" s="124"/>
      <c r="ODU2476" s="124"/>
      <c r="ODV2476" s="124"/>
      <c r="ODW2476" s="124"/>
      <c r="ODX2476" s="124"/>
      <c r="ODY2476" s="124"/>
      <c r="ODZ2476" s="124"/>
      <c r="OEA2476" s="124"/>
      <c r="OEB2476" s="124"/>
      <c r="OEC2476" s="124"/>
      <c r="OED2476" s="124"/>
      <c r="OEE2476" s="124"/>
      <c r="OEF2476" s="124"/>
      <c r="OEG2476" s="124"/>
      <c r="OEH2476" s="124"/>
      <c r="OEI2476" s="124"/>
      <c r="OEJ2476" s="124"/>
      <c r="OEK2476" s="124"/>
      <c r="OEL2476" s="124"/>
      <c r="OEM2476" s="124"/>
      <c r="OEN2476" s="124"/>
      <c r="OEO2476" s="124"/>
      <c r="OEP2476" s="124"/>
      <c r="OEQ2476" s="124"/>
      <c r="OER2476" s="124"/>
      <c r="OES2476" s="124"/>
      <c r="OET2476" s="124"/>
      <c r="OEU2476" s="124"/>
      <c r="OEV2476" s="124"/>
      <c r="OEW2476" s="124"/>
      <c r="OEX2476" s="124"/>
      <c r="OEY2476" s="124"/>
      <c r="OEZ2476" s="124"/>
      <c r="OFA2476" s="124"/>
      <c r="OFB2476" s="124"/>
      <c r="OFC2476" s="124"/>
      <c r="OFD2476" s="124"/>
      <c r="OFE2476" s="124"/>
      <c r="OFF2476" s="124"/>
      <c r="OFG2476" s="124"/>
      <c r="OFH2476" s="124"/>
      <c r="OFI2476" s="124"/>
      <c r="OFJ2476" s="124"/>
      <c r="OFK2476" s="124"/>
      <c r="OFL2476" s="124"/>
      <c r="OFM2476" s="124"/>
      <c r="OFN2476" s="124"/>
      <c r="OFO2476" s="124"/>
      <c r="OFP2476" s="124"/>
      <c r="OFQ2476" s="124"/>
      <c r="OFR2476" s="124"/>
      <c r="OFS2476" s="124"/>
      <c r="OFT2476" s="124"/>
      <c r="OFU2476" s="124"/>
      <c r="OFV2476" s="124"/>
      <c r="OFW2476" s="124"/>
      <c r="OFX2476" s="124"/>
      <c r="OFY2476" s="124"/>
      <c r="OFZ2476" s="124"/>
      <c r="OGA2476" s="124"/>
      <c r="OGB2476" s="124"/>
      <c r="OGC2476" s="124"/>
      <c r="OGD2476" s="124"/>
      <c r="OGE2476" s="124"/>
      <c r="OGF2476" s="124"/>
      <c r="OGG2476" s="124"/>
      <c r="OGH2476" s="124"/>
      <c r="OGI2476" s="124"/>
      <c r="OGJ2476" s="124"/>
      <c r="OGK2476" s="124"/>
      <c r="OGL2476" s="124"/>
      <c r="OGM2476" s="124"/>
      <c r="OGN2476" s="124"/>
      <c r="OGO2476" s="124"/>
      <c r="OGP2476" s="124"/>
      <c r="OGQ2476" s="124"/>
      <c r="OGR2476" s="124"/>
      <c r="OGS2476" s="124"/>
      <c r="OGT2476" s="124"/>
      <c r="OGU2476" s="124"/>
      <c r="OGV2476" s="124"/>
      <c r="OGW2476" s="124"/>
      <c r="OGX2476" s="124"/>
      <c r="OGY2476" s="124"/>
      <c r="OGZ2476" s="124"/>
      <c r="OHA2476" s="124"/>
      <c r="OHB2476" s="124"/>
      <c r="OHC2476" s="124"/>
      <c r="OHD2476" s="124"/>
      <c r="OHE2476" s="124"/>
      <c r="OHF2476" s="124"/>
      <c r="OHG2476" s="124"/>
      <c r="OHH2476" s="124"/>
      <c r="OHI2476" s="124"/>
      <c r="OHJ2476" s="124"/>
      <c r="OHK2476" s="124"/>
      <c r="OHL2476" s="124"/>
      <c r="OHM2476" s="124"/>
      <c r="OHN2476" s="124"/>
      <c r="OHO2476" s="124"/>
      <c r="OHP2476" s="124"/>
      <c r="OHQ2476" s="124"/>
      <c r="OHR2476" s="124"/>
      <c r="OHS2476" s="124"/>
      <c r="OHT2476" s="124"/>
      <c r="OHU2476" s="124"/>
      <c r="OHV2476" s="124"/>
      <c r="OHW2476" s="124"/>
      <c r="OHX2476" s="124"/>
      <c r="OHY2476" s="124"/>
      <c r="OHZ2476" s="124"/>
      <c r="OIA2476" s="124"/>
      <c r="OIB2476" s="124"/>
      <c r="OIC2476" s="124"/>
      <c r="OID2476" s="124"/>
      <c r="OIE2476" s="124"/>
      <c r="OIF2476" s="124"/>
      <c r="OIG2476" s="124"/>
      <c r="OIH2476" s="124"/>
      <c r="OII2476" s="124"/>
      <c r="OIJ2476" s="124"/>
      <c r="OIK2476" s="124"/>
      <c r="OIL2476" s="124"/>
      <c r="OIM2476" s="124"/>
      <c r="OIN2476" s="124"/>
      <c r="OIO2476" s="124"/>
      <c r="OIP2476" s="124"/>
      <c r="OIQ2476" s="124"/>
      <c r="OIR2476" s="124"/>
      <c r="OIS2476" s="124"/>
      <c r="OIT2476" s="124"/>
      <c r="OIU2476" s="124"/>
      <c r="OIV2476" s="124"/>
      <c r="OIW2476" s="124"/>
      <c r="OIX2476" s="124"/>
      <c r="OIY2476" s="124"/>
      <c r="OIZ2476" s="124"/>
      <c r="OJA2476" s="124"/>
      <c r="OJB2476" s="124"/>
      <c r="OJC2476" s="124"/>
      <c r="OJD2476" s="124"/>
      <c r="OJE2476" s="124"/>
      <c r="OJF2476" s="124"/>
      <c r="OJG2476" s="124"/>
      <c r="OJH2476" s="124"/>
      <c r="OJI2476" s="124"/>
      <c r="OJJ2476" s="124"/>
      <c r="OJK2476" s="124"/>
      <c r="OJL2476" s="124"/>
      <c r="OJM2476" s="124"/>
      <c r="OJN2476" s="124"/>
      <c r="OJO2476" s="124"/>
      <c r="OJP2476" s="124"/>
      <c r="OJQ2476" s="124"/>
      <c r="OJR2476" s="124"/>
      <c r="OJS2476" s="124"/>
      <c r="OJT2476" s="124"/>
      <c r="OJU2476" s="124"/>
      <c r="OJV2476" s="124"/>
      <c r="OJW2476" s="124"/>
      <c r="OJX2476" s="124"/>
      <c r="OJY2476" s="124"/>
      <c r="OJZ2476" s="124"/>
      <c r="OKA2476" s="124"/>
      <c r="OKB2476" s="124"/>
      <c r="OKC2476" s="124"/>
      <c r="OKD2476" s="124"/>
      <c r="OKE2476" s="124"/>
      <c r="OKF2476" s="124"/>
      <c r="OKG2476" s="124"/>
      <c r="OKH2476" s="124"/>
      <c r="OKI2476" s="124"/>
      <c r="OKJ2476" s="124"/>
      <c r="OKK2476" s="124"/>
      <c r="OKL2476" s="124"/>
      <c r="OKM2476" s="124"/>
      <c r="OKN2476" s="124"/>
      <c r="OKO2476" s="124"/>
      <c r="OKP2476" s="124"/>
      <c r="OKQ2476" s="124"/>
      <c r="OKR2476" s="124"/>
      <c r="OKS2476" s="124"/>
      <c r="OKT2476" s="124"/>
      <c r="OKU2476" s="124"/>
      <c r="OKV2476" s="124"/>
      <c r="OKW2476" s="124"/>
      <c r="OKX2476" s="124"/>
      <c r="OKY2476" s="124"/>
      <c r="OKZ2476" s="124"/>
      <c r="OLA2476" s="124"/>
      <c r="OLB2476" s="124"/>
      <c r="OLC2476" s="124"/>
      <c r="OLD2476" s="124"/>
      <c r="OLE2476" s="124"/>
      <c r="OLF2476" s="124"/>
      <c r="OLG2476" s="124"/>
      <c r="OLH2476" s="124"/>
      <c r="OLI2476" s="124"/>
      <c r="OLJ2476" s="124"/>
      <c r="OLK2476" s="124"/>
      <c r="OLL2476" s="124"/>
      <c r="OLM2476" s="124"/>
      <c r="OLN2476" s="124"/>
      <c r="OLO2476" s="124"/>
      <c r="OLP2476" s="124"/>
      <c r="OLQ2476" s="124"/>
      <c r="OLR2476" s="124"/>
      <c r="OLS2476" s="124"/>
      <c r="OLT2476" s="124"/>
      <c r="OLU2476" s="124"/>
      <c r="OLV2476" s="124"/>
      <c r="OLW2476" s="124"/>
      <c r="OLX2476" s="124"/>
      <c r="OLY2476" s="124"/>
      <c r="OLZ2476" s="124"/>
      <c r="OMA2476" s="124"/>
      <c r="OMB2476" s="124"/>
      <c r="OMC2476" s="124"/>
      <c r="OMD2476" s="124"/>
      <c r="OME2476" s="124"/>
      <c r="OMF2476" s="124"/>
      <c r="OMG2476" s="124"/>
      <c r="OMH2476" s="124"/>
      <c r="OMI2476" s="124"/>
      <c r="OMJ2476" s="124"/>
      <c r="OMK2476" s="124"/>
      <c r="OML2476" s="124"/>
      <c r="OMM2476" s="124"/>
      <c r="OMN2476" s="124"/>
      <c r="OMO2476" s="124"/>
      <c r="OMP2476" s="124"/>
      <c r="OMQ2476" s="124"/>
      <c r="OMR2476" s="124"/>
      <c r="OMS2476" s="124"/>
      <c r="OMT2476" s="124"/>
      <c r="OMU2476" s="124"/>
      <c r="OMV2476" s="124"/>
      <c r="OMW2476" s="124"/>
      <c r="OMX2476" s="124"/>
      <c r="OMY2476" s="124"/>
      <c r="OMZ2476" s="124"/>
      <c r="ONA2476" s="124"/>
      <c r="ONB2476" s="124"/>
      <c r="ONC2476" s="124"/>
      <c r="OND2476" s="124"/>
      <c r="ONE2476" s="124"/>
      <c r="ONF2476" s="124"/>
      <c r="ONG2476" s="124"/>
      <c r="ONH2476" s="124"/>
      <c r="ONI2476" s="124"/>
      <c r="ONJ2476" s="124"/>
      <c r="ONK2476" s="124"/>
      <c r="ONL2476" s="124"/>
      <c r="ONM2476" s="124"/>
      <c r="ONN2476" s="124"/>
      <c r="ONO2476" s="124"/>
      <c r="ONP2476" s="124"/>
      <c r="ONQ2476" s="124"/>
      <c r="ONR2476" s="124"/>
      <c r="ONS2476" s="124"/>
      <c r="ONT2476" s="124"/>
      <c r="ONU2476" s="124"/>
      <c r="ONV2476" s="124"/>
      <c r="ONW2476" s="124"/>
      <c r="ONX2476" s="124"/>
      <c r="ONY2476" s="124"/>
      <c r="ONZ2476" s="124"/>
      <c r="OOA2476" s="124"/>
      <c r="OOB2476" s="124"/>
      <c r="OOC2476" s="124"/>
      <c r="OOD2476" s="124"/>
      <c r="OOE2476" s="124"/>
      <c r="OOF2476" s="124"/>
      <c r="OOG2476" s="124"/>
      <c r="OOH2476" s="124"/>
      <c r="OOI2476" s="124"/>
      <c r="OOJ2476" s="124"/>
      <c r="OOK2476" s="124"/>
      <c r="OOL2476" s="124"/>
      <c r="OOM2476" s="124"/>
      <c r="OON2476" s="124"/>
      <c r="OOO2476" s="124"/>
      <c r="OOP2476" s="124"/>
      <c r="OOQ2476" s="124"/>
      <c r="OOR2476" s="124"/>
      <c r="OOS2476" s="124"/>
      <c r="OOT2476" s="124"/>
      <c r="OOU2476" s="124"/>
      <c r="OOV2476" s="124"/>
      <c r="OOW2476" s="124"/>
      <c r="OOX2476" s="124"/>
      <c r="OOY2476" s="124"/>
      <c r="OOZ2476" s="124"/>
      <c r="OPA2476" s="124"/>
      <c r="OPB2476" s="124"/>
      <c r="OPC2476" s="124"/>
      <c r="OPD2476" s="124"/>
      <c r="OPE2476" s="124"/>
      <c r="OPF2476" s="124"/>
      <c r="OPG2476" s="124"/>
      <c r="OPH2476" s="124"/>
      <c r="OPI2476" s="124"/>
      <c r="OPJ2476" s="124"/>
      <c r="OPK2476" s="124"/>
      <c r="OPL2476" s="124"/>
      <c r="OPM2476" s="124"/>
      <c r="OPN2476" s="124"/>
      <c r="OPO2476" s="124"/>
      <c r="OPP2476" s="124"/>
      <c r="OPQ2476" s="124"/>
      <c r="OPR2476" s="124"/>
      <c r="OPS2476" s="124"/>
      <c r="OPT2476" s="124"/>
      <c r="OPU2476" s="124"/>
      <c r="OPV2476" s="124"/>
      <c r="OPW2476" s="124"/>
      <c r="OPX2476" s="124"/>
      <c r="OPY2476" s="124"/>
      <c r="OPZ2476" s="124"/>
      <c r="OQA2476" s="124"/>
      <c r="OQB2476" s="124"/>
      <c r="OQC2476" s="124"/>
      <c r="OQD2476" s="124"/>
      <c r="OQE2476" s="124"/>
      <c r="OQF2476" s="124"/>
      <c r="OQG2476" s="124"/>
      <c r="OQH2476" s="124"/>
      <c r="OQI2476" s="124"/>
      <c r="OQJ2476" s="124"/>
      <c r="OQK2476" s="124"/>
      <c r="OQL2476" s="124"/>
      <c r="OQM2476" s="124"/>
      <c r="OQN2476" s="124"/>
      <c r="OQO2476" s="124"/>
      <c r="OQP2476" s="124"/>
      <c r="OQQ2476" s="124"/>
      <c r="OQR2476" s="124"/>
      <c r="OQS2476" s="124"/>
      <c r="OQT2476" s="124"/>
      <c r="OQU2476" s="124"/>
      <c r="OQV2476" s="124"/>
      <c r="OQW2476" s="124"/>
      <c r="OQX2476" s="124"/>
      <c r="OQY2476" s="124"/>
      <c r="OQZ2476" s="124"/>
      <c r="ORA2476" s="124"/>
      <c r="ORB2476" s="124"/>
      <c r="ORC2476" s="124"/>
      <c r="ORD2476" s="124"/>
      <c r="ORE2476" s="124"/>
      <c r="ORF2476" s="124"/>
      <c r="ORG2476" s="124"/>
      <c r="ORH2476" s="124"/>
      <c r="ORI2476" s="124"/>
      <c r="ORJ2476" s="124"/>
      <c r="ORK2476" s="124"/>
      <c r="ORL2476" s="124"/>
      <c r="ORM2476" s="124"/>
      <c r="ORN2476" s="124"/>
      <c r="ORO2476" s="124"/>
      <c r="ORP2476" s="124"/>
      <c r="ORQ2476" s="124"/>
      <c r="ORR2476" s="124"/>
      <c r="ORS2476" s="124"/>
      <c r="ORT2476" s="124"/>
      <c r="ORU2476" s="124"/>
      <c r="ORV2476" s="124"/>
      <c r="ORW2476" s="124"/>
      <c r="ORX2476" s="124"/>
      <c r="ORY2476" s="124"/>
      <c r="ORZ2476" s="124"/>
      <c r="OSA2476" s="124"/>
      <c r="OSB2476" s="124"/>
      <c r="OSC2476" s="124"/>
      <c r="OSD2476" s="124"/>
      <c r="OSE2476" s="124"/>
      <c r="OSF2476" s="124"/>
      <c r="OSG2476" s="124"/>
      <c r="OSH2476" s="124"/>
      <c r="OSI2476" s="124"/>
      <c r="OSJ2476" s="124"/>
      <c r="OSK2476" s="124"/>
      <c r="OSL2476" s="124"/>
      <c r="OSM2476" s="124"/>
      <c r="OSN2476" s="124"/>
      <c r="OSO2476" s="124"/>
      <c r="OSP2476" s="124"/>
      <c r="OSQ2476" s="124"/>
      <c r="OSR2476" s="124"/>
      <c r="OSS2476" s="124"/>
      <c r="OST2476" s="124"/>
      <c r="OSU2476" s="124"/>
      <c r="OSV2476" s="124"/>
      <c r="OSW2476" s="124"/>
      <c r="OSX2476" s="124"/>
      <c r="OSY2476" s="124"/>
      <c r="OSZ2476" s="124"/>
      <c r="OTA2476" s="124"/>
      <c r="OTB2476" s="124"/>
      <c r="OTC2476" s="124"/>
      <c r="OTD2476" s="124"/>
      <c r="OTE2476" s="124"/>
      <c r="OTF2476" s="124"/>
      <c r="OTG2476" s="124"/>
      <c r="OTH2476" s="124"/>
      <c r="OTI2476" s="124"/>
      <c r="OTJ2476" s="124"/>
      <c r="OTK2476" s="124"/>
      <c r="OTL2476" s="124"/>
      <c r="OTM2476" s="124"/>
      <c r="OTN2476" s="124"/>
      <c r="OTO2476" s="124"/>
      <c r="OTP2476" s="124"/>
      <c r="OTQ2476" s="124"/>
      <c r="OTR2476" s="124"/>
      <c r="OTS2476" s="124"/>
      <c r="OTT2476" s="124"/>
      <c r="OTU2476" s="124"/>
      <c r="OTV2476" s="124"/>
      <c r="OTW2476" s="124"/>
      <c r="OTX2476" s="124"/>
      <c r="OTY2476" s="124"/>
      <c r="OTZ2476" s="124"/>
      <c r="OUA2476" s="124"/>
      <c r="OUB2476" s="124"/>
      <c r="OUC2476" s="124"/>
      <c r="OUD2476" s="124"/>
      <c r="OUE2476" s="124"/>
      <c r="OUF2476" s="124"/>
      <c r="OUG2476" s="124"/>
      <c r="OUH2476" s="124"/>
      <c r="OUI2476" s="124"/>
      <c r="OUJ2476" s="124"/>
      <c r="OUK2476" s="124"/>
      <c r="OUL2476" s="124"/>
      <c r="OUM2476" s="124"/>
      <c r="OUN2476" s="124"/>
      <c r="OUO2476" s="124"/>
      <c r="OUP2476" s="124"/>
      <c r="OUQ2476" s="124"/>
      <c r="OUR2476" s="124"/>
      <c r="OUS2476" s="124"/>
      <c r="OUT2476" s="124"/>
      <c r="OUU2476" s="124"/>
      <c r="OUV2476" s="124"/>
      <c r="OUW2476" s="124"/>
      <c r="OUX2476" s="124"/>
      <c r="OUY2476" s="124"/>
      <c r="OUZ2476" s="124"/>
      <c r="OVA2476" s="124"/>
      <c r="OVB2476" s="124"/>
      <c r="OVC2476" s="124"/>
      <c r="OVD2476" s="124"/>
      <c r="OVE2476" s="124"/>
      <c r="OVF2476" s="124"/>
      <c r="OVG2476" s="124"/>
      <c r="OVH2476" s="124"/>
      <c r="OVI2476" s="124"/>
      <c r="OVJ2476" s="124"/>
      <c r="OVK2476" s="124"/>
      <c r="OVL2476" s="124"/>
      <c r="OVM2476" s="124"/>
      <c r="OVN2476" s="124"/>
      <c r="OVO2476" s="124"/>
      <c r="OVP2476" s="124"/>
      <c r="OVQ2476" s="124"/>
      <c r="OVR2476" s="124"/>
      <c r="OVS2476" s="124"/>
      <c r="OVT2476" s="124"/>
      <c r="OVU2476" s="124"/>
      <c r="OVV2476" s="124"/>
      <c r="OVW2476" s="124"/>
      <c r="OVX2476" s="124"/>
      <c r="OVY2476" s="124"/>
      <c r="OVZ2476" s="124"/>
      <c r="OWA2476" s="124"/>
      <c r="OWB2476" s="124"/>
      <c r="OWC2476" s="124"/>
      <c r="OWD2476" s="124"/>
      <c r="OWE2476" s="124"/>
      <c r="OWF2476" s="124"/>
      <c r="OWG2476" s="124"/>
      <c r="OWH2476" s="124"/>
      <c r="OWI2476" s="124"/>
      <c r="OWJ2476" s="124"/>
      <c r="OWK2476" s="124"/>
      <c r="OWL2476" s="124"/>
      <c r="OWM2476" s="124"/>
      <c r="OWN2476" s="124"/>
      <c r="OWO2476" s="124"/>
      <c r="OWP2476" s="124"/>
      <c r="OWQ2476" s="124"/>
      <c r="OWR2476" s="124"/>
      <c r="OWS2476" s="124"/>
      <c r="OWT2476" s="124"/>
      <c r="OWU2476" s="124"/>
      <c r="OWV2476" s="124"/>
      <c r="OWW2476" s="124"/>
      <c r="OWX2476" s="124"/>
      <c r="OWY2476" s="124"/>
      <c r="OWZ2476" s="124"/>
      <c r="OXA2476" s="124"/>
      <c r="OXB2476" s="124"/>
      <c r="OXC2476" s="124"/>
      <c r="OXD2476" s="124"/>
      <c r="OXE2476" s="124"/>
      <c r="OXF2476" s="124"/>
      <c r="OXG2476" s="124"/>
      <c r="OXH2476" s="124"/>
      <c r="OXI2476" s="124"/>
      <c r="OXJ2476" s="124"/>
      <c r="OXK2476" s="124"/>
      <c r="OXL2476" s="124"/>
      <c r="OXM2476" s="124"/>
      <c r="OXN2476" s="124"/>
      <c r="OXO2476" s="124"/>
      <c r="OXP2476" s="124"/>
      <c r="OXQ2476" s="124"/>
      <c r="OXR2476" s="124"/>
      <c r="OXS2476" s="124"/>
      <c r="OXT2476" s="124"/>
      <c r="OXU2476" s="124"/>
      <c r="OXV2476" s="124"/>
      <c r="OXW2476" s="124"/>
      <c r="OXX2476" s="124"/>
      <c r="OXY2476" s="124"/>
      <c r="OXZ2476" s="124"/>
      <c r="OYA2476" s="124"/>
      <c r="OYB2476" s="124"/>
      <c r="OYC2476" s="124"/>
      <c r="OYD2476" s="124"/>
      <c r="OYE2476" s="124"/>
      <c r="OYF2476" s="124"/>
      <c r="OYG2476" s="124"/>
      <c r="OYH2476" s="124"/>
      <c r="OYI2476" s="124"/>
      <c r="OYJ2476" s="124"/>
      <c r="OYK2476" s="124"/>
      <c r="OYL2476" s="124"/>
      <c r="OYM2476" s="124"/>
      <c r="OYN2476" s="124"/>
      <c r="OYO2476" s="124"/>
      <c r="OYP2476" s="124"/>
      <c r="OYQ2476" s="124"/>
      <c r="OYR2476" s="124"/>
      <c r="OYS2476" s="124"/>
      <c r="OYT2476" s="124"/>
      <c r="OYU2476" s="124"/>
      <c r="OYV2476" s="124"/>
      <c r="OYW2476" s="124"/>
      <c r="OYX2476" s="124"/>
      <c r="OYY2476" s="124"/>
      <c r="OYZ2476" s="124"/>
      <c r="OZA2476" s="124"/>
      <c r="OZB2476" s="124"/>
      <c r="OZC2476" s="124"/>
      <c r="OZD2476" s="124"/>
      <c r="OZE2476" s="124"/>
      <c r="OZF2476" s="124"/>
      <c r="OZG2476" s="124"/>
      <c r="OZH2476" s="124"/>
      <c r="OZI2476" s="124"/>
      <c r="OZJ2476" s="124"/>
      <c r="OZK2476" s="124"/>
      <c r="OZL2476" s="124"/>
      <c r="OZM2476" s="124"/>
      <c r="OZN2476" s="124"/>
      <c r="OZO2476" s="124"/>
      <c r="OZP2476" s="124"/>
      <c r="OZQ2476" s="124"/>
      <c r="OZR2476" s="124"/>
      <c r="OZS2476" s="124"/>
      <c r="OZT2476" s="124"/>
      <c r="OZU2476" s="124"/>
      <c r="OZV2476" s="124"/>
      <c r="OZW2476" s="124"/>
      <c r="OZX2476" s="124"/>
      <c r="OZY2476" s="124"/>
      <c r="OZZ2476" s="124"/>
      <c r="PAA2476" s="124"/>
      <c r="PAB2476" s="124"/>
      <c r="PAC2476" s="124"/>
      <c r="PAD2476" s="124"/>
      <c r="PAE2476" s="124"/>
      <c r="PAF2476" s="124"/>
      <c r="PAG2476" s="124"/>
      <c r="PAH2476" s="124"/>
      <c r="PAI2476" s="124"/>
      <c r="PAJ2476" s="124"/>
      <c r="PAK2476" s="124"/>
      <c r="PAL2476" s="124"/>
      <c r="PAM2476" s="124"/>
      <c r="PAN2476" s="124"/>
      <c r="PAO2476" s="124"/>
      <c r="PAP2476" s="124"/>
      <c r="PAQ2476" s="124"/>
      <c r="PAR2476" s="124"/>
      <c r="PAS2476" s="124"/>
      <c r="PAT2476" s="124"/>
      <c r="PAU2476" s="124"/>
      <c r="PAV2476" s="124"/>
      <c r="PAW2476" s="124"/>
      <c r="PAX2476" s="124"/>
      <c r="PAY2476" s="124"/>
      <c r="PAZ2476" s="124"/>
      <c r="PBA2476" s="124"/>
      <c r="PBB2476" s="124"/>
      <c r="PBC2476" s="124"/>
      <c r="PBD2476" s="124"/>
      <c r="PBE2476" s="124"/>
      <c r="PBF2476" s="124"/>
      <c r="PBG2476" s="124"/>
      <c r="PBH2476" s="124"/>
      <c r="PBI2476" s="124"/>
      <c r="PBJ2476" s="124"/>
      <c r="PBK2476" s="124"/>
      <c r="PBL2476" s="124"/>
      <c r="PBM2476" s="124"/>
      <c r="PBN2476" s="124"/>
      <c r="PBO2476" s="124"/>
      <c r="PBP2476" s="124"/>
      <c r="PBQ2476" s="124"/>
      <c r="PBR2476" s="124"/>
      <c r="PBS2476" s="124"/>
      <c r="PBT2476" s="124"/>
      <c r="PBU2476" s="124"/>
      <c r="PBV2476" s="124"/>
      <c r="PBW2476" s="124"/>
      <c r="PBX2476" s="124"/>
      <c r="PBY2476" s="124"/>
      <c r="PBZ2476" s="124"/>
      <c r="PCA2476" s="124"/>
      <c r="PCB2476" s="124"/>
      <c r="PCC2476" s="124"/>
      <c r="PCD2476" s="124"/>
      <c r="PCE2476" s="124"/>
      <c r="PCF2476" s="124"/>
      <c r="PCG2476" s="124"/>
      <c r="PCH2476" s="124"/>
      <c r="PCI2476" s="124"/>
      <c r="PCJ2476" s="124"/>
      <c r="PCK2476" s="124"/>
      <c r="PCL2476" s="124"/>
      <c r="PCM2476" s="124"/>
      <c r="PCN2476" s="124"/>
      <c r="PCO2476" s="124"/>
      <c r="PCP2476" s="124"/>
      <c r="PCQ2476" s="124"/>
      <c r="PCR2476" s="124"/>
      <c r="PCS2476" s="124"/>
      <c r="PCT2476" s="124"/>
      <c r="PCU2476" s="124"/>
      <c r="PCV2476" s="124"/>
      <c r="PCW2476" s="124"/>
      <c r="PCX2476" s="124"/>
      <c r="PCY2476" s="124"/>
      <c r="PCZ2476" s="124"/>
      <c r="PDA2476" s="124"/>
      <c r="PDB2476" s="124"/>
      <c r="PDC2476" s="124"/>
      <c r="PDD2476" s="124"/>
      <c r="PDE2476" s="124"/>
      <c r="PDF2476" s="124"/>
      <c r="PDG2476" s="124"/>
      <c r="PDH2476" s="124"/>
      <c r="PDI2476" s="124"/>
      <c r="PDJ2476" s="124"/>
      <c r="PDK2476" s="124"/>
      <c r="PDL2476" s="124"/>
      <c r="PDM2476" s="124"/>
      <c r="PDN2476" s="124"/>
      <c r="PDO2476" s="124"/>
      <c r="PDP2476" s="124"/>
      <c r="PDQ2476" s="124"/>
      <c r="PDR2476" s="124"/>
      <c r="PDS2476" s="124"/>
      <c r="PDT2476" s="124"/>
      <c r="PDU2476" s="124"/>
      <c r="PDV2476" s="124"/>
      <c r="PDW2476" s="124"/>
      <c r="PDX2476" s="124"/>
      <c r="PDY2476" s="124"/>
      <c r="PDZ2476" s="124"/>
      <c r="PEA2476" s="124"/>
      <c r="PEB2476" s="124"/>
      <c r="PEC2476" s="124"/>
      <c r="PED2476" s="124"/>
      <c r="PEE2476" s="124"/>
      <c r="PEF2476" s="124"/>
      <c r="PEG2476" s="124"/>
      <c r="PEH2476" s="124"/>
      <c r="PEI2476" s="124"/>
      <c r="PEJ2476" s="124"/>
      <c r="PEK2476" s="124"/>
      <c r="PEL2476" s="124"/>
      <c r="PEM2476" s="124"/>
      <c r="PEN2476" s="124"/>
      <c r="PEO2476" s="124"/>
      <c r="PEP2476" s="124"/>
      <c r="PEQ2476" s="124"/>
      <c r="PER2476" s="124"/>
      <c r="PES2476" s="124"/>
      <c r="PET2476" s="124"/>
      <c r="PEU2476" s="124"/>
      <c r="PEV2476" s="124"/>
      <c r="PEW2476" s="124"/>
      <c r="PEX2476" s="124"/>
      <c r="PEY2476" s="124"/>
      <c r="PEZ2476" s="124"/>
      <c r="PFA2476" s="124"/>
      <c r="PFB2476" s="124"/>
      <c r="PFC2476" s="124"/>
      <c r="PFD2476" s="124"/>
      <c r="PFE2476" s="124"/>
      <c r="PFF2476" s="124"/>
      <c r="PFG2476" s="124"/>
      <c r="PFH2476" s="124"/>
      <c r="PFI2476" s="124"/>
      <c r="PFJ2476" s="124"/>
      <c r="PFK2476" s="124"/>
      <c r="PFL2476" s="124"/>
      <c r="PFM2476" s="124"/>
      <c r="PFN2476" s="124"/>
      <c r="PFO2476" s="124"/>
      <c r="PFP2476" s="124"/>
      <c r="PFQ2476" s="124"/>
      <c r="PFR2476" s="124"/>
      <c r="PFS2476" s="124"/>
      <c r="PFT2476" s="124"/>
      <c r="PFU2476" s="124"/>
      <c r="PFV2476" s="124"/>
      <c r="PFW2476" s="124"/>
      <c r="PFX2476" s="124"/>
      <c r="PFY2476" s="124"/>
      <c r="PFZ2476" s="124"/>
      <c r="PGA2476" s="124"/>
      <c r="PGB2476" s="124"/>
      <c r="PGC2476" s="124"/>
      <c r="PGD2476" s="124"/>
      <c r="PGE2476" s="124"/>
      <c r="PGF2476" s="124"/>
      <c r="PGG2476" s="124"/>
      <c r="PGH2476" s="124"/>
      <c r="PGI2476" s="124"/>
      <c r="PGJ2476" s="124"/>
      <c r="PGK2476" s="124"/>
      <c r="PGL2476" s="124"/>
      <c r="PGM2476" s="124"/>
      <c r="PGN2476" s="124"/>
      <c r="PGO2476" s="124"/>
      <c r="PGP2476" s="124"/>
      <c r="PGQ2476" s="124"/>
      <c r="PGR2476" s="124"/>
      <c r="PGS2476" s="124"/>
      <c r="PGT2476" s="124"/>
      <c r="PGU2476" s="124"/>
      <c r="PGV2476" s="124"/>
      <c r="PGW2476" s="124"/>
      <c r="PGX2476" s="124"/>
      <c r="PGY2476" s="124"/>
      <c r="PGZ2476" s="124"/>
      <c r="PHA2476" s="124"/>
      <c r="PHB2476" s="124"/>
      <c r="PHC2476" s="124"/>
      <c r="PHD2476" s="124"/>
      <c r="PHE2476" s="124"/>
      <c r="PHF2476" s="124"/>
      <c r="PHG2476" s="124"/>
      <c r="PHH2476" s="124"/>
      <c r="PHI2476" s="124"/>
      <c r="PHJ2476" s="124"/>
      <c r="PHK2476" s="124"/>
      <c r="PHL2476" s="124"/>
      <c r="PHM2476" s="124"/>
      <c r="PHN2476" s="124"/>
      <c r="PHO2476" s="124"/>
      <c r="PHP2476" s="124"/>
      <c r="PHQ2476" s="124"/>
      <c r="PHR2476" s="124"/>
      <c r="PHS2476" s="124"/>
      <c r="PHT2476" s="124"/>
      <c r="PHU2476" s="124"/>
      <c r="PHV2476" s="124"/>
      <c r="PHW2476" s="124"/>
      <c r="PHX2476" s="124"/>
      <c r="PHY2476" s="124"/>
      <c r="PHZ2476" s="124"/>
      <c r="PIA2476" s="124"/>
      <c r="PIB2476" s="124"/>
      <c r="PIC2476" s="124"/>
      <c r="PID2476" s="124"/>
      <c r="PIE2476" s="124"/>
      <c r="PIF2476" s="124"/>
      <c r="PIG2476" s="124"/>
      <c r="PIH2476" s="124"/>
      <c r="PII2476" s="124"/>
      <c r="PIJ2476" s="124"/>
      <c r="PIK2476" s="124"/>
      <c r="PIL2476" s="124"/>
      <c r="PIM2476" s="124"/>
      <c r="PIN2476" s="124"/>
      <c r="PIO2476" s="124"/>
      <c r="PIP2476" s="124"/>
      <c r="PIQ2476" s="124"/>
      <c r="PIR2476" s="124"/>
      <c r="PIS2476" s="124"/>
      <c r="PIT2476" s="124"/>
      <c r="PIU2476" s="124"/>
      <c r="PIV2476" s="124"/>
      <c r="PIW2476" s="124"/>
      <c r="PIX2476" s="124"/>
      <c r="PIY2476" s="124"/>
      <c r="PIZ2476" s="124"/>
      <c r="PJA2476" s="124"/>
      <c r="PJB2476" s="124"/>
      <c r="PJC2476" s="124"/>
      <c r="PJD2476" s="124"/>
      <c r="PJE2476" s="124"/>
      <c r="PJF2476" s="124"/>
      <c r="PJG2476" s="124"/>
      <c r="PJH2476" s="124"/>
      <c r="PJI2476" s="124"/>
      <c r="PJJ2476" s="124"/>
      <c r="PJK2476" s="124"/>
      <c r="PJL2476" s="124"/>
      <c r="PJM2476" s="124"/>
      <c r="PJN2476" s="124"/>
      <c r="PJO2476" s="124"/>
      <c r="PJP2476" s="124"/>
      <c r="PJQ2476" s="124"/>
      <c r="PJR2476" s="124"/>
      <c r="PJS2476" s="124"/>
      <c r="PJT2476" s="124"/>
      <c r="PJU2476" s="124"/>
      <c r="PJV2476" s="124"/>
      <c r="PJW2476" s="124"/>
      <c r="PJX2476" s="124"/>
      <c r="PJY2476" s="124"/>
      <c r="PJZ2476" s="124"/>
      <c r="PKA2476" s="124"/>
      <c r="PKB2476" s="124"/>
      <c r="PKC2476" s="124"/>
      <c r="PKD2476" s="124"/>
      <c r="PKE2476" s="124"/>
      <c r="PKF2476" s="124"/>
      <c r="PKG2476" s="124"/>
      <c r="PKH2476" s="124"/>
      <c r="PKI2476" s="124"/>
      <c r="PKJ2476" s="124"/>
      <c r="PKK2476" s="124"/>
      <c r="PKL2476" s="124"/>
      <c r="PKM2476" s="124"/>
      <c r="PKN2476" s="124"/>
      <c r="PKO2476" s="124"/>
      <c r="PKP2476" s="124"/>
      <c r="PKQ2476" s="124"/>
      <c r="PKR2476" s="124"/>
      <c r="PKS2476" s="124"/>
      <c r="PKT2476" s="124"/>
      <c r="PKU2476" s="124"/>
      <c r="PKV2476" s="124"/>
      <c r="PKW2476" s="124"/>
      <c r="PKX2476" s="124"/>
      <c r="PKY2476" s="124"/>
      <c r="PKZ2476" s="124"/>
      <c r="PLA2476" s="124"/>
      <c r="PLB2476" s="124"/>
      <c r="PLC2476" s="124"/>
      <c r="PLD2476" s="124"/>
      <c r="PLE2476" s="124"/>
      <c r="PLF2476" s="124"/>
      <c r="PLG2476" s="124"/>
      <c r="PLH2476" s="124"/>
      <c r="PLI2476" s="124"/>
      <c r="PLJ2476" s="124"/>
      <c r="PLK2476" s="124"/>
      <c r="PLL2476" s="124"/>
      <c r="PLM2476" s="124"/>
      <c r="PLN2476" s="124"/>
      <c r="PLO2476" s="124"/>
      <c r="PLP2476" s="124"/>
      <c r="PLQ2476" s="124"/>
      <c r="PLR2476" s="124"/>
      <c r="PLS2476" s="124"/>
      <c r="PLT2476" s="124"/>
      <c r="PLU2476" s="124"/>
      <c r="PLV2476" s="124"/>
      <c r="PLW2476" s="124"/>
      <c r="PLX2476" s="124"/>
      <c r="PLY2476" s="124"/>
      <c r="PLZ2476" s="124"/>
      <c r="PMA2476" s="124"/>
      <c r="PMB2476" s="124"/>
      <c r="PMC2476" s="124"/>
      <c r="PMD2476" s="124"/>
      <c r="PME2476" s="124"/>
      <c r="PMF2476" s="124"/>
      <c r="PMG2476" s="124"/>
      <c r="PMH2476" s="124"/>
      <c r="PMI2476" s="124"/>
      <c r="PMJ2476" s="124"/>
      <c r="PMK2476" s="124"/>
      <c r="PML2476" s="124"/>
      <c r="PMM2476" s="124"/>
      <c r="PMN2476" s="124"/>
      <c r="PMO2476" s="124"/>
      <c r="PMP2476" s="124"/>
      <c r="PMQ2476" s="124"/>
      <c r="PMR2476" s="124"/>
      <c r="PMS2476" s="124"/>
      <c r="PMT2476" s="124"/>
      <c r="PMU2476" s="124"/>
      <c r="PMV2476" s="124"/>
      <c r="PMW2476" s="124"/>
      <c r="PMX2476" s="124"/>
      <c r="PMY2476" s="124"/>
      <c r="PMZ2476" s="124"/>
      <c r="PNA2476" s="124"/>
      <c r="PNB2476" s="124"/>
      <c r="PNC2476" s="124"/>
      <c r="PND2476" s="124"/>
      <c r="PNE2476" s="124"/>
      <c r="PNF2476" s="124"/>
      <c r="PNG2476" s="124"/>
      <c r="PNH2476" s="124"/>
      <c r="PNI2476" s="124"/>
      <c r="PNJ2476" s="124"/>
      <c r="PNK2476" s="124"/>
      <c r="PNL2476" s="124"/>
      <c r="PNM2476" s="124"/>
      <c r="PNN2476" s="124"/>
      <c r="PNO2476" s="124"/>
      <c r="PNP2476" s="124"/>
      <c r="PNQ2476" s="124"/>
      <c r="PNR2476" s="124"/>
      <c r="PNS2476" s="124"/>
      <c r="PNT2476" s="124"/>
      <c r="PNU2476" s="124"/>
      <c r="PNV2476" s="124"/>
      <c r="PNW2476" s="124"/>
      <c r="PNX2476" s="124"/>
      <c r="PNY2476" s="124"/>
      <c r="PNZ2476" s="124"/>
      <c r="POA2476" s="124"/>
      <c r="POB2476" s="124"/>
      <c r="POC2476" s="124"/>
      <c r="POD2476" s="124"/>
      <c r="POE2476" s="124"/>
      <c r="POF2476" s="124"/>
      <c r="POG2476" s="124"/>
      <c r="POH2476" s="124"/>
      <c r="POI2476" s="124"/>
      <c r="POJ2476" s="124"/>
      <c r="POK2476" s="124"/>
      <c r="POL2476" s="124"/>
      <c r="POM2476" s="124"/>
      <c r="PON2476" s="124"/>
      <c r="POO2476" s="124"/>
      <c r="POP2476" s="124"/>
      <c r="POQ2476" s="124"/>
      <c r="POR2476" s="124"/>
      <c r="POS2476" s="124"/>
      <c r="POT2476" s="124"/>
      <c r="POU2476" s="124"/>
      <c r="POV2476" s="124"/>
      <c r="POW2476" s="124"/>
      <c r="POX2476" s="124"/>
      <c r="POY2476" s="124"/>
      <c r="POZ2476" s="124"/>
      <c r="PPA2476" s="124"/>
      <c r="PPB2476" s="124"/>
      <c r="PPC2476" s="124"/>
      <c r="PPD2476" s="124"/>
      <c r="PPE2476" s="124"/>
      <c r="PPF2476" s="124"/>
      <c r="PPG2476" s="124"/>
      <c r="PPH2476" s="124"/>
      <c r="PPI2476" s="124"/>
      <c r="PPJ2476" s="124"/>
      <c r="PPK2476" s="124"/>
      <c r="PPL2476" s="124"/>
      <c r="PPM2476" s="124"/>
      <c r="PPN2476" s="124"/>
      <c r="PPO2476" s="124"/>
      <c r="PPP2476" s="124"/>
      <c r="PPQ2476" s="124"/>
      <c r="PPR2476" s="124"/>
      <c r="PPS2476" s="124"/>
      <c r="PPT2476" s="124"/>
      <c r="PPU2476" s="124"/>
      <c r="PPV2476" s="124"/>
      <c r="PPW2476" s="124"/>
      <c r="PPX2476" s="124"/>
      <c r="PPY2476" s="124"/>
      <c r="PPZ2476" s="124"/>
      <c r="PQA2476" s="124"/>
      <c r="PQB2476" s="124"/>
      <c r="PQC2476" s="124"/>
      <c r="PQD2476" s="124"/>
      <c r="PQE2476" s="124"/>
      <c r="PQF2476" s="124"/>
      <c r="PQG2476" s="124"/>
      <c r="PQH2476" s="124"/>
      <c r="PQI2476" s="124"/>
      <c r="PQJ2476" s="124"/>
      <c r="PQK2476" s="124"/>
      <c r="PQL2476" s="124"/>
      <c r="PQM2476" s="124"/>
      <c r="PQN2476" s="124"/>
      <c r="PQO2476" s="124"/>
      <c r="PQP2476" s="124"/>
      <c r="PQQ2476" s="124"/>
      <c r="PQR2476" s="124"/>
      <c r="PQS2476" s="124"/>
      <c r="PQT2476" s="124"/>
      <c r="PQU2476" s="124"/>
      <c r="PQV2476" s="124"/>
      <c r="PQW2476" s="124"/>
      <c r="PQX2476" s="124"/>
      <c r="PQY2476" s="124"/>
      <c r="PQZ2476" s="124"/>
      <c r="PRA2476" s="124"/>
      <c r="PRB2476" s="124"/>
      <c r="PRC2476" s="124"/>
      <c r="PRD2476" s="124"/>
      <c r="PRE2476" s="124"/>
      <c r="PRF2476" s="124"/>
      <c r="PRG2476" s="124"/>
      <c r="PRH2476" s="124"/>
      <c r="PRI2476" s="124"/>
      <c r="PRJ2476" s="124"/>
      <c r="PRK2476" s="124"/>
      <c r="PRL2476" s="124"/>
      <c r="PRM2476" s="124"/>
      <c r="PRN2476" s="124"/>
      <c r="PRO2476" s="124"/>
      <c r="PRP2476" s="124"/>
      <c r="PRQ2476" s="124"/>
      <c r="PRR2476" s="124"/>
      <c r="PRS2476" s="124"/>
      <c r="PRT2476" s="124"/>
      <c r="PRU2476" s="124"/>
      <c r="PRV2476" s="124"/>
      <c r="PRW2476" s="124"/>
      <c r="PRX2476" s="124"/>
      <c r="PRY2476" s="124"/>
      <c r="PRZ2476" s="124"/>
      <c r="PSA2476" s="124"/>
      <c r="PSB2476" s="124"/>
      <c r="PSC2476" s="124"/>
      <c r="PSD2476" s="124"/>
      <c r="PSE2476" s="124"/>
      <c r="PSF2476" s="124"/>
      <c r="PSG2476" s="124"/>
      <c r="PSH2476" s="124"/>
      <c r="PSI2476" s="124"/>
      <c r="PSJ2476" s="124"/>
      <c r="PSK2476" s="124"/>
      <c r="PSL2476" s="124"/>
      <c r="PSM2476" s="124"/>
      <c r="PSN2476" s="124"/>
      <c r="PSO2476" s="124"/>
      <c r="PSP2476" s="124"/>
      <c r="PSQ2476" s="124"/>
      <c r="PSR2476" s="124"/>
      <c r="PSS2476" s="124"/>
      <c r="PST2476" s="124"/>
      <c r="PSU2476" s="124"/>
      <c r="PSV2476" s="124"/>
      <c r="PSW2476" s="124"/>
      <c r="PSX2476" s="124"/>
      <c r="PSY2476" s="124"/>
      <c r="PSZ2476" s="124"/>
      <c r="PTA2476" s="124"/>
      <c r="PTB2476" s="124"/>
      <c r="PTC2476" s="124"/>
      <c r="PTD2476" s="124"/>
      <c r="PTE2476" s="124"/>
      <c r="PTF2476" s="124"/>
      <c r="PTG2476" s="124"/>
      <c r="PTH2476" s="124"/>
      <c r="PTI2476" s="124"/>
      <c r="PTJ2476" s="124"/>
      <c r="PTK2476" s="124"/>
      <c r="PTL2476" s="124"/>
      <c r="PTM2476" s="124"/>
      <c r="PTN2476" s="124"/>
      <c r="PTO2476" s="124"/>
      <c r="PTP2476" s="124"/>
      <c r="PTQ2476" s="124"/>
      <c r="PTR2476" s="124"/>
      <c r="PTS2476" s="124"/>
      <c r="PTT2476" s="124"/>
      <c r="PTU2476" s="124"/>
      <c r="PTV2476" s="124"/>
      <c r="PTW2476" s="124"/>
      <c r="PTX2476" s="124"/>
      <c r="PTY2476" s="124"/>
      <c r="PTZ2476" s="124"/>
      <c r="PUA2476" s="124"/>
      <c r="PUB2476" s="124"/>
      <c r="PUC2476" s="124"/>
      <c r="PUD2476" s="124"/>
      <c r="PUE2476" s="124"/>
      <c r="PUF2476" s="124"/>
      <c r="PUG2476" s="124"/>
      <c r="PUH2476" s="124"/>
      <c r="PUI2476" s="124"/>
      <c r="PUJ2476" s="124"/>
      <c r="PUK2476" s="124"/>
      <c r="PUL2476" s="124"/>
      <c r="PUM2476" s="124"/>
      <c r="PUN2476" s="124"/>
      <c r="PUO2476" s="124"/>
      <c r="PUP2476" s="124"/>
      <c r="PUQ2476" s="124"/>
      <c r="PUR2476" s="124"/>
      <c r="PUS2476" s="124"/>
      <c r="PUT2476" s="124"/>
      <c r="PUU2476" s="124"/>
      <c r="PUV2476" s="124"/>
      <c r="PUW2476" s="124"/>
      <c r="PUX2476" s="124"/>
      <c r="PUY2476" s="124"/>
      <c r="PUZ2476" s="124"/>
      <c r="PVA2476" s="124"/>
      <c r="PVB2476" s="124"/>
      <c r="PVC2476" s="124"/>
      <c r="PVD2476" s="124"/>
      <c r="PVE2476" s="124"/>
      <c r="PVF2476" s="124"/>
      <c r="PVG2476" s="124"/>
      <c r="PVH2476" s="124"/>
      <c r="PVI2476" s="124"/>
      <c r="PVJ2476" s="124"/>
      <c r="PVK2476" s="124"/>
      <c r="PVL2476" s="124"/>
      <c r="PVM2476" s="124"/>
      <c r="PVN2476" s="124"/>
      <c r="PVO2476" s="124"/>
      <c r="PVP2476" s="124"/>
      <c r="PVQ2476" s="124"/>
      <c r="PVR2476" s="124"/>
      <c r="PVS2476" s="124"/>
      <c r="PVT2476" s="124"/>
      <c r="PVU2476" s="124"/>
      <c r="PVV2476" s="124"/>
      <c r="PVW2476" s="124"/>
      <c r="PVX2476" s="124"/>
      <c r="PVY2476" s="124"/>
      <c r="PVZ2476" s="124"/>
      <c r="PWA2476" s="124"/>
      <c r="PWB2476" s="124"/>
      <c r="PWC2476" s="124"/>
      <c r="PWD2476" s="124"/>
      <c r="PWE2476" s="124"/>
      <c r="PWF2476" s="124"/>
      <c r="PWG2476" s="124"/>
      <c r="PWH2476" s="124"/>
      <c r="PWI2476" s="124"/>
      <c r="PWJ2476" s="124"/>
      <c r="PWK2476" s="124"/>
      <c r="PWL2476" s="124"/>
      <c r="PWM2476" s="124"/>
      <c r="PWN2476" s="124"/>
      <c r="PWO2476" s="124"/>
      <c r="PWP2476" s="124"/>
      <c r="PWQ2476" s="124"/>
      <c r="PWR2476" s="124"/>
      <c r="PWS2476" s="124"/>
      <c r="PWT2476" s="124"/>
      <c r="PWU2476" s="124"/>
      <c r="PWV2476" s="124"/>
      <c r="PWW2476" s="124"/>
      <c r="PWX2476" s="124"/>
      <c r="PWY2476" s="124"/>
      <c r="PWZ2476" s="124"/>
      <c r="PXA2476" s="124"/>
      <c r="PXB2476" s="124"/>
      <c r="PXC2476" s="124"/>
      <c r="PXD2476" s="124"/>
      <c r="PXE2476" s="124"/>
      <c r="PXF2476" s="124"/>
      <c r="PXG2476" s="124"/>
      <c r="PXH2476" s="124"/>
      <c r="PXI2476" s="124"/>
      <c r="PXJ2476" s="124"/>
      <c r="PXK2476" s="124"/>
      <c r="PXL2476" s="124"/>
      <c r="PXM2476" s="124"/>
      <c r="PXN2476" s="124"/>
      <c r="PXO2476" s="124"/>
      <c r="PXP2476" s="124"/>
      <c r="PXQ2476" s="124"/>
      <c r="PXR2476" s="124"/>
      <c r="PXS2476" s="124"/>
      <c r="PXT2476" s="124"/>
      <c r="PXU2476" s="124"/>
      <c r="PXV2476" s="124"/>
      <c r="PXW2476" s="124"/>
      <c r="PXX2476" s="124"/>
      <c r="PXY2476" s="124"/>
      <c r="PXZ2476" s="124"/>
      <c r="PYA2476" s="124"/>
      <c r="PYB2476" s="124"/>
      <c r="PYC2476" s="124"/>
      <c r="PYD2476" s="124"/>
      <c r="PYE2476" s="124"/>
      <c r="PYF2476" s="124"/>
      <c r="PYG2476" s="124"/>
      <c r="PYH2476" s="124"/>
      <c r="PYI2476" s="124"/>
      <c r="PYJ2476" s="124"/>
      <c r="PYK2476" s="124"/>
      <c r="PYL2476" s="124"/>
      <c r="PYM2476" s="124"/>
      <c r="PYN2476" s="124"/>
      <c r="PYO2476" s="124"/>
      <c r="PYP2476" s="124"/>
      <c r="PYQ2476" s="124"/>
      <c r="PYR2476" s="124"/>
      <c r="PYS2476" s="124"/>
      <c r="PYT2476" s="124"/>
      <c r="PYU2476" s="124"/>
      <c r="PYV2476" s="124"/>
      <c r="PYW2476" s="124"/>
      <c r="PYX2476" s="124"/>
      <c r="PYY2476" s="124"/>
      <c r="PYZ2476" s="124"/>
      <c r="PZA2476" s="124"/>
      <c r="PZB2476" s="124"/>
      <c r="PZC2476" s="124"/>
      <c r="PZD2476" s="124"/>
      <c r="PZE2476" s="124"/>
      <c r="PZF2476" s="124"/>
      <c r="PZG2476" s="124"/>
      <c r="PZH2476" s="124"/>
      <c r="PZI2476" s="124"/>
      <c r="PZJ2476" s="124"/>
      <c r="PZK2476" s="124"/>
      <c r="PZL2476" s="124"/>
      <c r="PZM2476" s="124"/>
      <c r="PZN2476" s="124"/>
      <c r="PZO2476" s="124"/>
      <c r="PZP2476" s="124"/>
      <c r="PZQ2476" s="124"/>
      <c r="PZR2476" s="124"/>
      <c r="PZS2476" s="124"/>
      <c r="PZT2476" s="124"/>
      <c r="PZU2476" s="124"/>
      <c r="PZV2476" s="124"/>
      <c r="PZW2476" s="124"/>
      <c r="PZX2476" s="124"/>
      <c r="PZY2476" s="124"/>
      <c r="PZZ2476" s="124"/>
      <c r="QAA2476" s="124"/>
      <c r="QAB2476" s="124"/>
      <c r="QAC2476" s="124"/>
      <c r="QAD2476" s="124"/>
      <c r="QAE2476" s="124"/>
      <c r="QAF2476" s="124"/>
      <c r="QAG2476" s="124"/>
      <c r="QAH2476" s="124"/>
      <c r="QAI2476" s="124"/>
      <c r="QAJ2476" s="124"/>
      <c r="QAK2476" s="124"/>
      <c r="QAL2476" s="124"/>
      <c r="QAM2476" s="124"/>
      <c r="QAN2476" s="124"/>
      <c r="QAO2476" s="124"/>
      <c r="QAP2476" s="124"/>
      <c r="QAQ2476" s="124"/>
      <c r="QAR2476" s="124"/>
      <c r="QAS2476" s="124"/>
      <c r="QAT2476" s="124"/>
      <c r="QAU2476" s="124"/>
      <c r="QAV2476" s="124"/>
      <c r="QAW2476" s="124"/>
      <c r="QAX2476" s="124"/>
      <c r="QAY2476" s="124"/>
      <c r="QAZ2476" s="124"/>
      <c r="QBA2476" s="124"/>
      <c r="QBB2476" s="124"/>
      <c r="QBC2476" s="124"/>
      <c r="QBD2476" s="124"/>
      <c r="QBE2476" s="124"/>
      <c r="QBF2476" s="124"/>
      <c r="QBG2476" s="124"/>
      <c r="QBH2476" s="124"/>
      <c r="QBI2476" s="124"/>
      <c r="QBJ2476" s="124"/>
      <c r="QBK2476" s="124"/>
      <c r="QBL2476" s="124"/>
      <c r="QBM2476" s="124"/>
      <c r="QBN2476" s="124"/>
      <c r="QBO2476" s="124"/>
      <c r="QBP2476" s="124"/>
      <c r="QBQ2476" s="124"/>
      <c r="QBR2476" s="124"/>
      <c r="QBS2476" s="124"/>
      <c r="QBT2476" s="124"/>
      <c r="QBU2476" s="124"/>
      <c r="QBV2476" s="124"/>
      <c r="QBW2476" s="124"/>
      <c r="QBX2476" s="124"/>
      <c r="QBY2476" s="124"/>
      <c r="QBZ2476" s="124"/>
      <c r="QCA2476" s="124"/>
      <c r="QCB2476" s="124"/>
      <c r="QCC2476" s="124"/>
      <c r="QCD2476" s="124"/>
      <c r="QCE2476" s="124"/>
      <c r="QCF2476" s="124"/>
      <c r="QCG2476" s="124"/>
      <c r="QCH2476" s="124"/>
      <c r="QCI2476" s="124"/>
      <c r="QCJ2476" s="124"/>
      <c r="QCK2476" s="124"/>
      <c r="QCL2476" s="124"/>
      <c r="QCM2476" s="124"/>
      <c r="QCN2476" s="124"/>
      <c r="QCO2476" s="124"/>
      <c r="QCP2476" s="124"/>
      <c r="QCQ2476" s="124"/>
      <c r="QCR2476" s="124"/>
      <c r="QCS2476" s="124"/>
      <c r="QCT2476" s="124"/>
      <c r="QCU2476" s="124"/>
      <c r="QCV2476" s="124"/>
      <c r="QCW2476" s="124"/>
      <c r="QCX2476" s="124"/>
      <c r="QCY2476" s="124"/>
      <c r="QCZ2476" s="124"/>
      <c r="QDA2476" s="124"/>
      <c r="QDB2476" s="124"/>
      <c r="QDC2476" s="124"/>
      <c r="QDD2476" s="124"/>
      <c r="QDE2476" s="124"/>
      <c r="QDF2476" s="124"/>
      <c r="QDG2476" s="124"/>
      <c r="QDH2476" s="124"/>
      <c r="QDI2476" s="124"/>
      <c r="QDJ2476" s="124"/>
      <c r="QDK2476" s="124"/>
      <c r="QDL2476" s="124"/>
      <c r="QDM2476" s="124"/>
      <c r="QDN2476" s="124"/>
      <c r="QDO2476" s="124"/>
      <c r="QDP2476" s="124"/>
      <c r="QDQ2476" s="124"/>
      <c r="QDR2476" s="124"/>
      <c r="QDS2476" s="124"/>
      <c r="QDT2476" s="124"/>
      <c r="QDU2476" s="124"/>
      <c r="QDV2476" s="124"/>
      <c r="QDW2476" s="124"/>
      <c r="QDX2476" s="124"/>
      <c r="QDY2476" s="124"/>
      <c r="QDZ2476" s="124"/>
      <c r="QEA2476" s="124"/>
      <c r="QEB2476" s="124"/>
      <c r="QEC2476" s="124"/>
      <c r="QED2476" s="124"/>
      <c r="QEE2476" s="124"/>
      <c r="QEF2476" s="124"/>
      <c r="QEG2476" s="124"/>
      <c r="QEH2476" s="124"/>
      <c r="QEI2476" s="124"/>
      <c r="QEJ2476" s="124"/>
      <c r="QEK2476" s="124"/>
      <c r="QEL2476" s="124"/>
      <c r="QEM2476" s="124"/>
      <c r="QEN2476" s="124"/>
      <c r="QEO2476" s="124"/>
      <c r="QEP2476" s="124"/>
      <c r="QEQ2476" s="124"/>
      <c r="QER2476" s="124"/>
      <c r="QES2476" s="124"/>
      <c r="QET2476" s="124"/>
      <c r="QEU2476" s="124"/>
      <c r="QEV2476" s="124"/>
      <c r="QEW2476" s="124"/>
      <c r="QEX2476" s="124"/>
      <c r="QEY2476" s="124"/>
      <c r="QEZ2476" s="124"/>
      <c r="QFA2476" s="124"/>
      <c r="QFB2476" s="124"/>
      <c r="QFC2476" s="124"/>
      <c r="QFD2476" s="124"/>
      <c r="QFE2476" s="124"/>
      <c r="QFF2476" s="124"/>
      <c r="QFG2476" s="124"/>
      <c r="QFH2476" s="124"/>
      <c r="QFI2476" s="124"/>
      <c r="QFJ2476" s="124"/>
      <c r="QFK2476" s="124"/>
      <c r="QFL2476" s="124"/>
      <c r="QFM2476" s="124"/>
      <c r="QFN2476" s="124"/>
      <c r="QFO2476" s="124"/>
      <c r="QFP2476" s="124"/>
      <c r="QFQ2476" s="124"/>
      <c r="QFR2476" s="124"/>
      <c r="QFS2476" s="124"/>
      <c r="QFT2476" s="124"/>
      <c r="QFU2476" s="124"/>
      <c r="QFV2476" s="124"/>
      <c r="QFW2476" s="124"/>
      <c r="QFX2476" s="124"/>
      <c r="QFY2476" s="124"/>
      <c r="QFZ2476" s="124"/>
      <c r="QGA2476" s="124"/>
      <c r="QGB2476" s="124"/>
      <c r="QGC2476" s="124"/>
      <c r="QGD2476" s="124"/>
      <c r="QGE2476" s="124"/>
      <c r="QGF2476" s="124"/>
      <c r="QGG2476" s="124"/>
      <c r="QGH2476" s="124"/>
      <c r="QGI2476" s="124"/>
      <c r="QGJ2476" s="124"/>
      <c r="QGK2476" s="124"/>
      <c r="QGL2476" s="124"/>
      <c r="QGM2476" s="124"/>
      <c r="QGN2476" s="124"/>
      <c r="QGO2476" s="124"/>
      <c r="QGP2476" s="124"/>
      <c r="QGQ2476" s="124"/>
      <c r="QGR2476" s="124"/>
      <c r="QGS2476" s="124"/>
      <c r="QGT2476" s="124"/>
      <c r="QGU2476" s="124"/>
      <c r="QGV2476" s="124"/>
      <c r="QGW2476" s="124"/>
      <c r="QGX2476" s="124"/>
      <c r="QGY2476" s="124"/>
      <c r="QGZ2476" s="124"/>
      <c r="QHA2476" s="124"/>
      <c r="QHB2476" s="124"/>
      <c r="QHC2476" s="124"/>
      <c r="QHD2476" s="124"/>
      <c r="QHE2476" s="124"/>
      <c r="QHF2476" s="124"/>
      <c r="QHG2476" s="124"/>
      <c r="QHH2476" s="124"/>
      <c r="QHI2476" s="124"/>
      <c r="QHJ2476" s="124"/>
      <c r="QHK2476" s="124"/>
      <c r="QHL2476" s="124"/>
      <c r="QHM2476" s="124"/>
      <c r="QHN2476" s="124"/>
      <c r="QHO2476" s="124"/>
      <c r="QHP2476" s="124"/>
      <c r="QHQ2476" s="124"/>
      <c r="QHR2476" s="124"/>
      <c r="QHS2476" s="124"/>
      <c r="QHT2476" s="124"/>
      <c r="QHU2476" s="124"/>
      <c r="QHV2476" s="124"/>
      <c r="QHW2476" s="124"/>
      <c r="QHX2476" s="124"/>
      <c r="QHY2476" s="124"/>
      <c r="QHZ2476" s="124"/>
      <c r="QIA2476" s="124"/>
      <c r="QIB2476" s="124"/>
      <c r="QIC2476" s="124"/>
      <c r="QID2476" s="124"/>
      <c r="QIE2476" s="124"/>
      <c r="QIF2476" s="124"/>
      <c r="QIG2476" s="124"/>
      <c r="QIH2476" s="124"/>
      <c r="QII2476" s="124"/>
      <c r="QIJ2476" s="124"/>
      <c r="QIK2476" s="124"/>
      <c r="QIL2476" s="124"/>
      <c r="QIM2476" s="124"/>
      <c r="QIN2476" s="124"/>
      <c r="QIO2476" s="124"/>
      <c r="QIP2476" s="124"/>
      <c r="QIQ2476" s="124"/>
      <c r="QIR2476" s="124"/>
      <c r="QIS2476" s="124"/>
      <c r="QIT2476" s="124"/>
      <c r="QIU2476" s="124"/>
      <c r="QIV2476" s="124"/>
      <c r="QIW2476" s="124"/>
      <c r="QIX2476" s="124"/>
      <c r="QIY2476" s="124"/>
      <c r="QIZ2476" s="124"/>
      <c r="QJA2476" s="124"/>
      <c r="QJB2476" s="124"/>
      <c r="QJC2476" s="124"/>
      <c r="QJD2476" s="124"/>
      <c r="QJE2476" s="124"/>
      <c r="QJF2476" s="124"/>
      <c r="QJG2476" s="124"/>
      <c r="QJH2476" s="124"/>
      <c r="QJI2476" s="124"/>
      <c r="QJJ2476" s="124"/>
      <c r="QJK2476" s="124"/>
      <c r="QJL2476" s="124"/>
      <c r="QJM2476" s="124"/>
      <c r="QJN2476" s="124"/>
      <c r="QJO2476" s="124"/>
      <c r="QJP2476" s="124"/>
      <c r="QJQ2476" s="124"/>
      <c r="QJR2476" s="124"/>
      <c r="QJS2476" s="124"/>
      <c r="QJT2476" s="124"/>
      <c r="QJU2476" s="124"/>
      <c r="QJV2476" s="124"/>
      <c r="QJW2476" s="124"/>
      <c r="QJX2476" s="124"/>
      <c r="QJY2476" s="124"/>
      <c r="QJZ2476" s="124"/>
      <c r="QKA2476" s="124"/>
      <c r="QKB2476" s="124"/>
      <c r="QKC2476" s="124"/>
      <c r="QKD2476" s="124"/>
      <c r="QKE2476" s="124"/>
      <c r="QKF2476" s="124"/>
      <c r="QKG2476" s="124"/>
      <c r="QKH2476" s="124"/>
      <c r="QKI2476" s="124"/>
      <c r="QKJ2476" s="124"/>
      <c r="QKK2476" s="124"/>
      <c r="QKL2476" s="124"/>
      <c r="QKM2476" s="124"/>
      <c r="QKN2476" s="124"/>
      <c r="QKO2476" s="124"/>
      <c r="QKP2476" s="124"/>
      <c r="QKQ2476" s="124"/>
      <c r="QKR2476" s="124"/>
      <c r="QKS2476" s="124"/>
      <c r="QKT2476" s="124"/>
      <c r="QKU2476" s="124"/>
      <c r="QKV2476" s="124"/>
      <c r="QKW2476" s="124"/>
      <c r="QKX2476" s="124"/>
      <c r="QKY2476" s="124"/>
      <c r="QKZ2476" s="124"/>
      <c r="QLA2476" s="124"/>
      <c r="QLB2476" s="124"/>
      <c r="QLC2476" s="124"/>
      <c r="QLD2476" s="124"/>
      <c r="QLE2476" s="124"/>
      <c r="QLF2476" s="124"/>
      <c r="QLG2476" s="124"/>
      <c r="QLH2476" s="124"/>
      <c r="QLI2476" s="124"/>
      <c r="QLJ2476" s="124"/>
      <c r="QLK2476" s="124"/>
      <c r="QLL2476" s="124"/>
      <c r="QLM2476" s="124"/>
      <c r="QLN2476" s="124"/>
      <c r="QLO2476" s="124"/>
      <c r="QLP2476" s="124"/>
      <c r="QLQ2476" s="124"/>
      <c r="QLR2476" s="124"/>
      <c r="QLS2476" s="124"/>
      <c r="QLT2476" s="124"/>
      <c r="QLU2476" s="124"/>
      <c r="QLV2476" s="124"/>
      <c r="QLW2476" s="124"/>
      <c r="QLX2476" s="124"/>
      <c r="QLY2476" s="124"/>
      <c r="QLZ2476" s="124"/>
      <c r="QMA2476" s="124"/>
      <c r="QMB2476" s="124"/>
      <c r="QMC2476" s="124"/>
      <c r="QMD2476" s="124"/>
      <c r="QME2476" s="124"/>
      <c r="QMF2476" s="124"/>
      <c r="QMG2476" s="124"/>
      <c r="QMH2476" s="124"/>
      <c r="QMI2476" s="124"/>
      <c r="QMJ2476" s="124"/>
      <c r="QMK2476" s="124"/>
      <c r="QML2476" s="124"/>
      <c r="QMM2476" s="124"/>
      <c r="QMN2476" s="124"/>
      <c r="QMO2476" s="124"/>
      <c r="QMP2476" s="124"/>
      <c r="QMQ2476" s="124"/>
      <c r="QMR2476" s="124"/>
      <c r="QMS2476" s="124"/>
      <c r="QMT2476" s="124"/>
      <c r="QMU2476" s="124"/>
      <c r="QMV2476" s="124"/>
      <c r="QMW2476" s="124"/>
      <c r="QMX2476" s="124"/>
      <c r="QMY2476" s="124"/>
      <c r="QMZ2476" s="124"/>
      <c r="QNA2476" s="124"/>
      <c r="QNB2476" s="124"/>
      <c r="QNC2476" s="124"/>
      <c r="QND2476" s="124"/>
      <c r="QNE2476" s="124"/>
      <c r="QNF2476" s="124"/>
      <c r="QNG2476" s="124"/>
      <c r="QNH2476" s="124"/>
      <c r="QNI2476" s="124"/>
      <c r="QNJ2476" s="124"/>
      <c r="QNK2476" s="124"/>
      <c r="QNL2476" s="124"/>
      <c r="QNM2476" s="124"/>
      <c r="QNN2476" s="124"/>
      <c r="QNO2476" s="124"/>
      <c r="QNP2476" s="124"/>
      <c r="QNQ2476" s="124"/>
      <c r="QNR2476" s="124"/>
      <c r="QNS2476" s="124"/>
      <c r="QNT2476" s="124"/>
      <c r="QNU2476" s="124"/>
      <c r="QNV2476" s="124"/>
      <c r="QNW2476" s="124"/>
      <c r="QNX2476" s="124"/>
      <c r="QNY2476" s="124"/>
      <c r="QNZ2476" s="124"/>
      <c r="QOA2476" s="124"/>
      <c r="QOB2476" s="124"/>
      <c r="QOC2476" s="124"/>
      <c r="QOD2476" s="124"/>
      <c r="QOE2476" s="124"/>
      <c r="QOF2476" s="124"/>
      <c r="QOG2476" s="124"/>
      <c r="QOH2476" s="124"/>
      <c r="QOI2476" s="124"/>
      <c r="QOJ2476" s="124"/>
      <c r="QOK2476" s="124"/>
      <c r="QOL2476" s="124"/>
      <c r="QOM2476" s="124"/>
      <c r="QON2476" s="124"/>
      <c r="QOO2476" s="124"/>
      <c r="QOP2476" s="124"/>
      <c r="QOQ2476" s="124"/>
      <c r="QOR2476" s="124"/>
      <c r="QOS2476" s="124"/>
      <c r="QOT2476" s="124"/>
      <c r="QOU2476" s="124"/>
      <c r="QOV2476" s="124"/>
      <c r="QOW2476" s="124"/>
      <c r="QOX2476" s="124"/>
      <c r="QOY2476" s="124"/>
      <c r="QOZ2476" s="124"/>
      <c r="QPA2476" s="124"/>
      <c r="QPB2476" s="124"/>
      <c r="QPC2476" s="124"/>
      <c r="QPD2476" s="124"/>
      <c r="QPE2476" s="124"/>
      <c r="QPF2476" s="124"/>
      <c r="QPG2476" s="124"/>
      <c r="QPH2476" s="124"/>
      <c r="QPI2476" s="124"/>
      <c r="QPJ2476" s="124"/>
      <c r="QPK2476" s="124"/>
      <c r="QPL2476" s="124"/>
      <c r="QPM2476" s="124"/>
      <c r="QPN2476" s="124"/>
      <c r="QPO2476" s="124"/>
      <c r="QPP2476" s="124"/>
      <c r="QPQ2476" s="124"/>
      <c r="QPR2476" s="124"/>
      <c r="QPS2476" s="124"/>
      <c r="QPT2476" s="124"/>
      <c r="QPU2476" s="124"/>
      <c r="QPV2476" s="124"/>
      <c r="QPW2476" s="124"/>
      <c r="QPX2476" s="124"/>
      <c r="QPY2476" s="124"/>
      <c r="QPZ2476" s="124"/>
      <c r="QQA2476" s="124"/>
      <c r="QQB2476" s="124"/>
      <c r="QQC2476" s="124"/>
      <c r="QQD2476" s="124"/>
      <c r="QQE2476" s="124"/>
      <c r="QQF2476" s="124"/>
      <c r="QQG2476" s="124"/>
      <c r="QQH2476" s="124"/>
      <c r="QQI2476" s="124"/>
      <c r="QQJ2476" s="124"/>
      <c r="QQK2476" s="124"/>
      <c r="QQL2476" s="124"/>
      <c r="QQM2476" s="124"/>
      <c r="QQN2476" s="124"/>
      <c r="QQO2476" s="124"/>
      <c r="QQP2476" s="124"/>
      <c r="QQQ2476" s="124"/>
      <c r="QQR2476" s="124"/>
      <c r="QQS2476" s="124"/>
      <c r="QQT2476" s="124"/>
      <c r="QQU2476" s="124"/>
      <c r="QQV2476" s="124"/>
      <c r="QQW2476" s="124"/>
      <c r="QQX2476" s="124"/>
      <c r="QQY2476" s="124"/>
      <c r="QQZ2476" s="124"/>
      <c r="QRA2476" s="124"/>
      <c r="QRB2476" s="124"/>
      <c r="QRC2476" s="124"/>
      <c r="QRD2476" s="124"/>
      <c r="QRE2476" s="124"/>
      <c r="QRF2476" s="124"/>
      <c r="QRG2476" s="124"/>
      <c r="QRH2476" s="124"/>
      <c r="QRI2476" s="124"/>
      <c r="QRJ2476" s="124"/>
      <c r="QRK2476" s="124"/>
      <c r="QRL2476" s="124"/>
      <c r="QRM2476" s="124"/>
      <c r="QRN2476" s="124"/>
      <c r="QRO2476" s="124"/>
      <c r="QRP2476" s="124"/>
      <c r="QRQ2476" s="124"/>
      <c r="QRR2476" s="124"/>
      <c r="QRS2476" s="124"/>
      <c r="QRT2476" s="124"/>
      <c r="QRU2476" s="124"/>
      <c r="QRV2476" s="124"/>
      <c r="QRW2476" s="124"/>
      <c r="QRX2476" s="124"/>
      <c r="QRY2476" s="124"/>
      <c r="QRZ2476" s="124"/>
      <c r="QSA2476" s="124"/>
      <c r="QSB2476" s="124"/>
      <c r="QSC2476" s="124"/>
      <c r="QSD2476" s="124"/>
      <c r="QSE2476" s="124"/>
      <c r="QSF2476" s="124"/>
      <c r="QSG2476" s="124"/>
      <c r="QSH2476" s="124"/>
      <c r="QSI2476" s="124"/>
      <c r="QSJ2476" s="124"/>
      <c r="QSK2476" s="124"/>
      <c r="QSL2476" s="124"/>
      <c r="QSM2476" s="124"/>
      <c r="QSN2476" s="124"/>
      <c r="QSO2476" s="124"/>
      <c r="QSP2476" s="124"/>
      <c r="QSQ2476" s="124"/>
      <c r="QSR2476" s="124"/>
      <c r="QSS2476" s="124"/>
      <c r="QST2476" s="124"/>
      <c r="QSU2476" s="124"/>
      <c r="QSV2476" s="124"/>
      <c r="QSW2476" s="124"/>
      <c r="QSX2476" s="124"/>
      <c r="QSY2476" s="124"/>
      <c r="QSZ2476" s="124"/>
      <c r="QTA2476" s="124"/>
      <c r="QTB2476" s="124"/>
      <c r="QTC2476" s="124"/>
      <c r="QTD2476" s="124"/>
      <c r="QTE2476" s="124"/>
      <c r="QTF2476" s="124"/>
      <c r="QTG2476" s="124"/>
      <c r="QTH2476" s="124"/>
      <c r="QTI2476" s="124"/>
      <c r="QTJ2476" s="124"/>
      <c r="QTK2476" s="124"/>
      <c r="QTL2476" s="124"/>
      <c r="QTM2476" s="124"/>
      <c r="QTN2476" s="124"/>
      <c r="QTO2476" s="124"/>
      <c r="QTP2476" s="124"/>
      <c r="QTQ2476" s="124"/>
      <c r="QTR2476" s="124"/>
      <c r="QTS2476" s="124"/>
      <c r="QTT2476" s="124"/>
      <c r="QTU2476" s="124"/>
      <c r="QTV2476" s="124"/>
      <c r="QTW2476" s="124"/>
      <c r="QTX2476" s="124"/>
      <c r="QTY2476" s="124"/>
      <c r="QTZ2476" s="124"/>
      <c r="QUA2476" s="124"/>
      <c r="QUB2476" s="124"/>
      <c r="QUC2476" s="124"/>
      <c r="QUD2476" s="124"/>
      <c r="QUE2476" s="124"/>
      <c r="QUF2476" s="124"/>
      <c r="QUG2476" s="124"/>
      <c r="QUH2476" s="124"/>
      <c r="QUI2476" s="124"/>
      <c r="QUJ2476" s="124"/>
      <c r="QUK2476" s="124"/>
      <c r="QUL2476" s="124"/>
      <c r="QUM2476" s="124"/>
      <c r="QUN2476" s="124"/>
      <c r="QUO2476" s="124"/>
      <c r="QUP2476" s="124"/>
      <c r="QUQ2476" s="124"/>
      <c r="QUR2476" s="124"/>
      <c r="QUS2476" s="124"/>
      <c r="QUT2476" s="124"/>
      <c r="QUU2476" s="124"/>
      <c r="QUV2476" s="124"/>
      <c r="QUW2476" s="124"/>
      <c r="QUX2476" s="124"/>
      <c r="QUY2476" s="124"/>
      <c r="QUZ2476" s="124"/>
      <c r="QVA2476" s="124"/>
      <c r="QVB2476" s="124"/>
      <c r="QVC2476" s="124"/>
      <c r="QVD2476" s="124"/>
      <c r="QVE2476" s="124"/>
      <c r="QVF2476" s="124"/>
      <c r="QVG2476" s="124"/>
      <c r="QVH2476" s="124"/>
      <c r="QVI2476" s="124"/>
      <c r="QVJ2476" s="124"/>
      <c r="QVK2476" s="124"/>
      <c r="QVL2476" s="124"/>
      <c r="QVM2476" s="124"/>
      <c r="QVN2476" s="124"/>
      <c r="QVO2476" s="124"/>
      <c r="QVP2476" s="124"/>
      <c r="QVQ2476" s="124"/>
      <c r="QVR2476" s="124"/>
      <c r="QVS2476" s="124"/>
      <c r="QVT2476" s="124"/>
      <c r="QVU2476" s="124"/>
      <c r="QVV2476" s="124"/>
      <c r="QVW2476" s="124"/>
      <c r="QVX2476" s="124"/>
      <c r="QVY2476" s="124"/>
      <c r="QVZ2476" s="124"/>
      <c r="QWA2476" s="124"/>
      <c r="QWB2476" s="124"/>
      <c r="QWC2476" s="124"/>
      <c r="QWD2476" s="124"/>
      <c r="QWE2476" s="124"/>
      <c r="QWF2476" s="124"/>
      <c r="QWG2476" s="124"/>
      <c r="QWH2476" s="124"/>
      <c r="QWI2476" s="124"/>
      <c r="QWJ2476" s="124"/>
      <c r="QWK2476" s="124"/>
      <c r="QWL2476" s="124"/>
      <c r="QWM2476" s="124"/>
      <c r="QWN2476" s="124"/>
      <c r="QWO2476" s="124"/>
      <c r="QWP2476" s="124"/>
      <c r="QWQ2476" s="124"/>
      <c r="QWR2476" s="124"/>
      <c r="QWS2476" s="124"/>
      <c r="QWT2476" s="124"/>
      <c r="QWU2476" s="124"/>
      <c r="QWV2476" s="124"/>
      <c r="QWW2476" s="124"/>
      <c r="QWX2476" s="124"/>
      <c r="QWY2476" s="124"/>
      <c r="QWZ2476" s="124"/>
      <c r="QXA2476" s="124"/>
      <c r="QXB2476" s="124"/>
      <c r="QXC2476" s="124"/>
      <c r="QXD2476" s="124"/>
      <c r="QXE2476" s="124"/>
      <c r="QXF2476" s="124"/>
      <c r="QXG2476" s="124"/>
      <c r="QXH2476" s="124"/>
      <c r="QXI2476" s="124"/>
      <c r="QXJ2476" s="124"/>
      <c r="QXK2476" s="124"/>
      <c r="QXL2476" s="124"/>
      <c r="QXM2476" s="124"/>
      <c r="QXN2476" s="124"/>
      <c r="QXO2476" s="124"/>
      <c r="QXP2476" s="124"/>
      <c r="QXQ2476" s="124"/>
      <c r="QXR2476" s="124"/>
      <c r="QXS2476" s="124"/>
      <c r="QXT2476" s="124"/>
      <c r="QXU2476" s="124"/>
      <c r="QXV2476" s="124"/>
      <c r="QXW2476" s="124"/>
      <c r="QXX2476" s="124"/>
      <c r="QXY2476" s="124"/>
      <c r="QXZ2476" s="124"/>
      <c r="QYA2476" s="124"/>
      <c r="QYB2476" s="124"/>
      <c r="QYC2476" s="124"/>
      <c r="QYD2476" s="124"/>
      <c r="QYE2476" s="124"/>
      <c r="QYF2476" s="124"/>
      <c r="QYG2476" s="124"/>
      <c r="QYH2476" s="124"/>
      <c r="QYI2476" s="124"/>
      <c r="QYJ2476" s="124"/>
      <c r="QYK2476" s="124"/>
      <c r="QYL2476" s="124"/>
      <c r="QYM2476" s="124"/>
      <c r="QYN2476" s="124"/>
      <c r="QYO2476" s="124"/>
      <c r="QYP2476" s="124"/>
      <c r="QYQ2476" s="124"/>
      <c r="QYR2476" s="124"/>
      <c r="QYS2476" s="124"/>
      <c r="QYT2476" s="124"/>
      <c r="QYU2476" s="124"/>
      <c r="QYV2476" s="124"/>
      <c r="QYW2476" s="124"/>
      <c r="QYX2476" s="124"/>
      <c r="QYY2476" s="124"/>
      <c r="QYZ2476" s="124"/>
      <c r="QZA2476" s="124"/>
      <c r="QZB2476" s="124"/>
      <c r="QZC2476" s="124"/>
      <c r="QZD2476" s="124"/>
      <c r="QZE2476" s="124"/>
      <c r="QZF2476" s="124"/>
      <c r="QZG2476" s="124"/>
      <c r="QZH2476" s="124"/>
      <c r="QZI2476" s="124"/>
      <c r="QZJ2476" s="124"/>
      <c r="QZK2476" s="124"/>
      <c r="QZL2476" s="124"/>
      <c r="QZM2476" s="124"/>
      <c r="QZN2476" s="124"/>
      <c r="QZO2476" s="124"/>
      <c r="QZP2476" s="124"/>
      <c r="QZQ2476" s="124"/>
      <c r="QZR2476" s="124"/>
      <c r="QZS2476" s="124"/>
      <c r="QZT2476" s="124"/>
      <c r="QZU2476" s="124"/>
      <c r="QZV2476" s="124"/>
      <c r="QZW2476" s="124"/>
      <c r="QZX2476" s="124"/>
      <c r="QZY2476" s="124"/>
      <c r="QZZ2476" s="124"/>
      <c r="RAA2476" s="124"/>
      <c r="RAB2476" s="124"/>
      <c r="RAC2476" s="124"/>
      <c r="RAD2476" s="124"/>
      <c r="RAE2476" s="124"/>
      <c r="RAF2476" s="124"/>
      <c r="RAG2476" s="124"/>
      <c r="RAH2476" s="124"/>
      <c r="RAI2476" s="124"/>
      <c r="RAJ2476" s="124"/>
      <c r="RAK2476" s="124"/>
      <c r="RAL2476" s="124"/>
      <c r="RAM2476" s="124"/>
      <c r="RAN2476" s="124"/>
      <c r="RAO2476" s="124"/>
      <c r="RAP2476" s="124"/>
      <c r="RAQ2476" s="124"/>
      <c r="RAR2476" s="124"/>
      <c r="RAS2476" s="124"/>
      <c r="RAT2476" s="124"/>
      <c r="RAU2476" s="124"/>
      <c r="RAV2476" s="124"/>
      <c r="RAW2476" s="124"/>
      <c r="RAX2476" s="124"/>
      <c r="RAY2476" s="124"/>
      <c r="RAZ2476" s="124"/>
      <c r="RBA2476" s="124"/>
      <c r="RBB2476" s="124"/>
      <c r="RBC2476" s="124"/>
      <c r="RBD2476" s="124"/>
      <c r="RBE2476" s="124"/>
      <c r="RBF2476" s="124"/>
      <c r="RBG2476" s="124"/>
      <c r="RBH2476" s="124"/>
      <c r="RBI2476" s="124"/>
      <c r="RBJ2476" s="124"/>
      <c r="RBK2476" s="124"/>
      <c r="RBL2476" s="124"/>
      <c r="RBM2476" s="124"/>
      <c r="RBN2476" s="124"/>
      <c r="RBO2476" s="124"/>
      <c r="RBP2476" s="124"/>
      <c r="RBQ2476" s="124"/>
      <c r="RBR2476" s="124"/>
      <c r="RBS2476" s="124"/>
      <c r="RBT2476" s="124"/>
      <c r="RBU2476" s="124"/>
      <c r="RBV2476" s="124"/>
      <c r="RBW2476" s="124"/>
      <c r="RBX2476" s="124"/>
      <c r="RBY2476" s="124"/>
      <c r="RBZ2476" s="124"/>
      <c r="RCA2476" s="124"/>
      <c r="RCB2476" s="124"/>
      <c r="RCC2476" s="124"/>
      <c r="RCD2476" s="124"/>
      <c r="RCE2476" s="124"/>
      <c r="RCF2476" s="124"/>
      <c r="RCG2476" s="124"/>
      <c r="RCH2476" s="124"/>
      <c r="RCI2476" s="124"/>
      <c r="RCJ2476" s="124"/>
      <c r="RCK2476" s="124"/>
      <c r="RCL2476" s="124"/>
      <c r="RCM2476" s="124"/>
      <c r="RCN2476" s="124"/>
      <c r="RCO2476" s="124"/>
      <c r="RCP2476" s="124"/>
      <c r="RCQ2476" s="124"/>
      <c r="RCR2476" s="124"/>
      <c r="RCS2476" s="124"/>
      <c r="RCT2476" s="124"/>
      <c r="RCU2476" s="124"/>
      <c r="RCV2476" s="124"/>
      <c r="RCW2476" s="124"/>
      <c r="RCX2476" s="124"/>
      <c r="RCY2476" s="124"/>
      <c r="RCZ2476" s="124"/>
      <c r="RDA2476" s="124"/>
      <c r="RDB2476" s="124"/>
      <c r="RDC2476" s="124"/>
      <c r="RDD2476" s="124"/>
      <c r="RDE2476" s="124"/>
      <c r="RDF2476" s="124"/>
      <c r="RDG2476" s="124"/>
      <c r="RDH2476" s="124"/>
      <c r="RDI2476" s="124"/>
      <c r="RDJ2476" s="124"/>
      <c r="RDK2476" s="124"/>
      <c r="RDL2476" s="124"/>
      <c r="RDM2476" s="124"/>
      <c r="RDN2476" s="124"/>
      <c r="RDO2476" s="124"/>
      <c r="RDP2476" s="124"/>
      <c r="RDQ2476" s="124"/>
      <c r="RDR2476" s="124"/>
      <c r="RDS2476" s="124"/>
      <c r="RDT2476" s="124"/>
      <c r="RDU2476" s="124"/>
      <c r="RDV2476" s="124"/>
      <c r="RDW2476" s="124"/>
      <c r="RDX2476" s="124"/>
      <c r="RDY2476" s="124"/>
      <c r="RDZ2476" s="124"/>
      <c r="REA2476" s="124"/>
      <c r="REB2476" s="124"/>
      <c r="REC2476" s="124"/>
      <c r="RED2476" s="124"/>
      <c r="REE2476" s="124"/>
      <c r="REF2476" s="124"/>
      <c r="REG2476" s="124"/>
      <c r="REH2476" s="124"/>
      <c r="REI2476" s="124"/>
      <c r="REJ2476" s="124"/>
      <c r="REK2476" s="124"/>
      <c r="REL2476" s="124"/>
      <c r="REM2476" s="124"/>
      <c r="REN2476" s="124"/>
      <c r="REO2476" s="124"/>
      <c r="REP2476" s="124"/>
      <c r="REQ2476" s="124"/>
      <c r="RER2476" s="124"/>
      <c r="RES2476" s="124"/>
      <c r="RET2476" s="124"/>
      <c r="REU2476" s="124"/>
      <c r="REV2476" s="124"/>
      <c r="REW2476" s="124"/>
      <c r="REX2476" s="124"/>
      <c r="REY2476" s="124"/>
      <c r="REZ2476" s="124"/>
      <c r="RFA2476" s="124"/>
      <c r="RFB2476" s="124"/>
      <c r="RFC2476" s="124"/>
      <c r="RFD2476" s="124"/>
      <c r="RFE2476" s="124"/>
      <c r="RFF2476" s="124"/>
      <c r="RFG2476" s="124"/>
      <c r="RFH2476" s="124"/>
      <c r="RFI2476" s="124"/>
      <c r="RFJ2476" s="124"/>
      <c r="RFK2476" s="124"/>
      <c r="RFL2476" s="124"/>
      <c r="RFM2476" s="124"/>
      <c r="RFN2476" s="124"/>
      <c r="RFO2476" s="124"/>
      <c r="RFP2476" s="124"/>
      <c r="RFQ2476" s="124"/>
      <c r="RFR2476" s="124"/>
      <c r="RFS2476" s="124"/>
      <c r="RFT2476" s="124"/>
      <c r="RFU2476" s="124"/>
      <c r="RFV2476" s="124"/>
      <c r="RFW2476" s="124"/>
      <c r="RFX2476" s="124"/>
      <c r="RFY2476" s="124"/>
      <c r="RFZ2476" s="124"/>
      <c r="RGA2476" s="124"/>
      <c r="RGB2476" s="124"/>
      <c r="RGC2476" s="124"/>
      <c r="RGD2476" s="124"/>
      <c r="RGE2476" s="124"/>
      <c r="RGF2476" s="124"/>
      <c r="RGG2476" s="124"/>
      <c r="RGH2476" s="124"/>
      <c r="RGI2476" s="124"/>
      <c r="RGJ2476" s="124"/>
      <c r="RGK2476" s="124"/>
      <c r="RGL2476" s="124"/>
      <c r="RGM2476" s="124"/>
      <c r="RGN2476" s="124"/>
      <c r="RGO2476" s="124"/>
      <c r="RGP2476" s="124"/>
      <c r="RGQ2476" s="124"/>
      <c r="RGR2476" s="124"/>
      <c r="RGS2476" s="124"/>
      <c r="RGT2476" s="124"/>
      <c r="RGU2476" s="124"/>
      <c r="RGV2476" s="124"/>
      <c r="RGW2476" s="124"/>
      <c r="RGX2476" s="124"/>
      <c r="RGY2476" s="124"/>
      <c r="RGZ2476" s="124"/>
      <c r="RHA2476" s="124"/>
      <c r="RHB2476" s="124"/>
      <c r="RHC2476" s="124"/>
      <c r="RHD2476" s="124"/>
      <c r="RHE2476" s="124"/>
      <c r="RHF2476" s="124"/>
      <c r="RHG2476" s="124"/>
      <c r="RHH2476" s="124"/>
      <c r="RHI2476" s="124"/>
      <c r="RHJ2476" s="124"/>
      <c r="RHK2476" s="124"/>
      <c r="RHL2476" s="124"/>
      <c r="RHM2476" s="124"/>
      <c r="RHN2476" s="124"/>
      <c r="RHO2476" s="124"/>
      <c r="RHP2476" s="124"/>
      <c r="RHQ2476" s="124"/>
      <c r="RHR2476" s="124"/>
      <c r="RHS2476" s="124"/>
      <c r="RHT2476" s="124"/>
      <c r="RHU2476" s="124"/>
      <c r="RHV2476" s="124"/>
      <c r="RHW2476" s="124"/>
      <c r="RHX2476" s="124"/>
      <c r="RHY2476" s="124"/>
      <c r="RHZ2476" s="124"/>
      <c r="RIA2476" s="124"/>
      <c r="RIB2476" s="124"/>
      <c r="RIC2476" s="124"/>
      <c r="RID2476" s="124"/>
      <c r="RIE2476" s="124"/>
      <c r="RIF2476" s="124"/>
      <c r="RIG2476" s="124"/>
      <c r="RIH2476" s="124"/>
      <c r="RII2476" s="124"/>
      <c r="RIJ2476" s="124"/>
      <c r="RIK2476" s="124"/>
      <c r="RIL2476" s="124"/>
      <c r="RIM2476" s="124"/>
      <c r="RIN2476" s="124"/>
      <c r="RIO2476" s="124"/>
      <c r="RIP2476" s="124"/>
      <c r="RIQ2476" s="124"/>
      <c r="RIR2476" s="124"/>
      <c r="RIS2476" s="124"/>
      <c r="RIT2476" s="124"/>
      <c r="RIU2476" s="124"/>
      <c r="RIV2476" s="124"/>
      <c r="RIW2476" s="124"/>
      <c r="RIX2476" s="124"/>
      <c r="RIY2476" s="124"/>
      <c r="RIZ2476" s="124"/>
      <c r="RJA2476" s="124"/>
      <c r="RJB2476" s="124"/>
      <c r="RJC2476" s="124"/>
      <c r="RJD2476" s="124"/>
      <c r="RJE2476" s="124"/>
      <c r="RJF2476" s="124"/>
      <c r="RJG2476" s="124"/>
      <c r="RJH2476" s="124"/>
      <c r="RJI2476" s="124"/>
      <c r="RJJ2476" s="124"/>
      <c r="RJK2476" s="124"/>
      <c r="RJL2476" s="124"/>
      <c r="RJM2476" s="124"/>
      <c r="RJN2476" s="124"/>
      <c r="RJO2476" s="124"/>
      <c r="RJP2476" s="124"/>
      <c r="RJQ2476" s="124"/>
      <c r="RJR2476" s="124"/>
      <c r="RJS2476" s="124"/>
      <c r="RJT2476" s="124"/>
      <c r="RJU2476" s="124"/>
      <c r="RJV2476" s="124"/>
      <c r="RJW2476" s="124"/>
      <c r="RJX2476" s="124"/>
      <c r="RJY2476" s="124"/>
      <c r="RJZ2476" s="124"/>
      <c r="RKA2476" s="124"/>
      <c r="RKB2476" s="124"/>
      <c r="RKC2476" s="124"/>
      <c r="RKD2476" s="124"/>
      <c r="RKE2476" s="124"/>
      <c r="RKF2476" s="124"/>
      <c r="RKG2476" s="124"/>
      <c r="RKH2476" s="124"/>
      <c r="RKI2476" s="124"/>
      <c r="RKJ2476" s="124"/>
      <c r="RKK2476" s="124"/>
      <c r="RKL2476" s="124"/>
      <c r="RKM2476" s="124"/>
      <c r="RKN2476" s="124"/>
      <c r="RKO2476" s="124"/>
      <c r="RKP2476" s="124"/>
      <c r="RKQ2476" s="124"/>
      <c r="RKR2476" s="124"/>
      <c r="RKS2476" s="124"/>
      <c r="RKT2476" s="124"/>
      <c r="RKU2476" s="124"/>
      <c r="RKV2476" s="124"/>
      <c r="RKW2476" s="124"/>
      <c r="RKX2476" s="124"/>
      <c r="RKY2476" s="124"/>
      <c r="RKZ2476" s="124"/>
      <c r="RLA2476" s="124"/>
      <c r="RLB2476" s="124"/>
      <c r="RLC2476" s="124"/>
      <c r="RLD2476" s="124"/>
      <c r="RLE2476" s="124"/>
      <c r="RLF2476" s="124"/>
      <c r="RLG2476" s="124"/>
      <c r="RLH2476" s="124"/>
      <c r="RLI2476" s="124"/>
      <c r="RLJ2476" s="124"/>
      <c r="RLK2476" s="124"/>
      <c r="RLL2476" s="124"/>
      <c r="RLM2476" s="124"/>
      <c r="RLN2476" s="124"/>
      <c r="RLO2476" s="124"/>
      <c r="RLP2476" s="124"/>
      <c r="RLQ2476" s="124"/>
      <c r="RLR2476" s="124"/>
      <c r="RLS2476" s="124"/>
      <c r="RLT2476" s="124"/>
      <c r="RLU2476" s="124"/>
      <c r="RLV2476" s="124"/>
      <c r="RLW2476" s="124"/>
      <c r="RLX2476" s="124"/>
      <c r="RLY2476" s="124"/>
      <c r="RLZ2476" s="124"/>
      <c r="RMA2476" s="124"/>
      <c r="RMB2476" s="124"/>
      <c r="RMC2476" s="124"/>
      <c r="RMD2476" s="124"/>
      <c r="RME2476" s="124"/>
      <c r="RMF2476" s="124"/>
      <c r="RMG2476" s="124"/>
      <c r="RMH2476" s="124"/>
      <c r="RMI2476" s="124"/>
      <c r="RMJ2476" s="124"/>
      <c r="RMK2476" s="124"/>
      <c r="RML2476" s="124"/>
      <c r="RMM2476" s="124"/>
      <c r="RMN2476" s="124"/>
      <c r="RMO2476" s="124"/>
      <c r="RMP2476" s="124"/>
      <c r="RMQ2476" s="124"/>
      <c r="RMR2476" s="124"/>
      <c r="RMS2476" s="124"/>
      <c r="RMT2476" s="124"/>
      <c r="RMU2476" s="124"/>
      <c r="RMV2476" s="124"/>
      <c r="RMW2476" s="124"/>
      <c r="RMX2476" s="124"/>
      <c r="RMY2476" s="124"/>
      <c r="RMZ2476" s="124"/>
      <c r="RNA2476" s="124"/>
      <c r="RNB2476" s="124"/>
      <c r="RNC2476" s="124"/>
      <c r="RND2476" s="124"/>
      <c r="RNE2476" s="124"/>
      <c r="RNF2476" s="124"/>
      <c r="RNG2476" s="124"/>
      <c r="RNH2476" s="124"/>
      <c r="RNI2476" s="124"/>
      <c r="RNJ2476" s="124"/>
      <c r="RNK2476" s="124"/>
      <c r="RNL2476" s="124"/>
      <c r="RNM2476" s="124"/>
      <c r="RNN2476" s="124"/>
      <c r="RNO2476" s="124"/>
      <c r="RNP2476" s="124"/>
      <c r="RNQ2476" s="124"/>
      <c r="RNR2476" s="124"/>
      <c r="RNS2476" s="124"/>
      <c r="RNT2476" s="124"/>
      <c r="RNU2476" s="124"/>
      <c r="RNV2476" s="124"/>
      <c r="RNW2476" s="124"/>
      <c r="RNX2476" s="124"/>
      <c r="RNY2476" s="124"/>
      <c r="RNZ2476" s="124"/>
      <c r="ROA2476" s="124"/>
      <c r="ROB2476" s="124"/>
      <c r="ROC2476" s="124"/>
      <c r="ROD2476" s="124"/>
      <c r="ROE2476" s="124"/>
      <c r="ROF2476" s="124"/>
      <c r="ROG2476" s="124"/>
      <c r="ROH2476" s="124"/>
      <c r="ROI2476" s="124"/>
      <c r="ROJ2476" s="124"/>
      <c r="ROK2476" s="124"/>
      <c r="ROL2476" s="124"/>
      <c r="ROM2476" s="124"/>
      <c r="RON2476" s="124"/>
      <c r="ROO2476" s="124"/>
      <c r="ROP2476" s="124"/>
      <c r="ROQ2476" s="124"/>
      <c r="ROR2476" s="124"/>
      <c r="ROS2476" s="124"/>
      <c r="ROT2476" s="124"/>
      <c r="ROU2476" s="124"/>
      <c r="ROV2476" s="124"/>
      <c r="ROW2476" s="124"/>
      <c r="ROX2476" s="124"/>
      <c r="ROY2476" s="124"/>
      <c r="ROZ2476" s="124"/>
      <c r="RPA2476" s="124"/>
      <c r="RPB2476" s="124"/>
      <c r="RPC2476" s="124"/>
      <c r="RPD2476" s="124"/>
      <c r="RPE2476" s="124"/>
      <c r="RPF2476" s="124"/>
      <c r="RPG2476" s="124"/>
      <c r="RPH2476" s="124"/>
      <c r="RPI2476" s="124"/>
      <c r="RPJ2476" s="124"/>
      <c r="RPK2476" s="124"/>
      <c r="RPL2476" s="124"/>
      <c r="RPM2476" s="124"/>
      <c r="RPN2476" s="124"/>
      <c r="RPO2476" s="124"/>
      <c r="RPP2476" s="124"/>
      <c r="RPQ2476" s="124"/>
      <c r="RPR2476" s="124"/>
      <c r="RPS2476" s="124"/>
      <c r="RPT2476" s="124"/>
      <c r="RPU2476" s="124"/>
      <c r="RPV2476" s="124"/>
      <c r="RPW2476" s="124"/>
      <c r="RPX2476" s="124"/>
      <c r="RPY2476" s="124"/>
      <c r="RPZ2476" s="124"/>
      <c r="RQA2476" s="124"/>
      <c r="RQB2476" s="124"/>
      <c r="RQC2476" s="124"/>
      <c r="RQD2476" s="124"/>
      <c r="RQE2476" s="124"/>
      <c r="RQF2476" s="124"/>
      <c r="RQG2476" s="124"/>
      <c r="RQH2476" s="124"/>
      <c r="RQI2476" s="124"/>
      <c r="RQJ2476" s="124"/>
      <c r="RQK2476" s="124"/>
      <c r="RQL2476" s="124"/>
      <c r="RQM2476" s="124"/>
      <c r="RQN2476" s="124"/>
      <c r="RQO2476" s="124"/>
      <c r="RQP2476" s="124"/>
      <c r="RQQ2476" s="124"/>
      <c r="RQR2476" s="124"/>
      <c r="RQS2476" s="124"/>
      <c r="RQT2476" s="124"/>
      <c r="RQU2476" s="124"/>
      <c r="RQV2476" s="124"/>
      <c r="RQW2476" s="124"/>
      <c r="RQX2476" s="124"/>
      <c r="RQY2476" s="124"/>
      <c r="RQZ2476" s="124"/>
      <c r="RRA2476" s="124"/>
      <c r="RRB2476" s="124"/>
      <c r="RRC2476" s="124"/>
      <c r="RRD2476" s="124"/>
      <c r="RRE2476" s="124"/>
      <c r="RRF2476" s="124"/>
      <c r="RRG2476" s="124"/>
      <c r="RRH2476" s="124"/>
      <c r="RRI2476" s="124"/>
      <c r="RRJ2476" s="124"/>
      <c r="RRK2476" s="124"/>
      <c r="RRL2476" s="124"/>
      <c r="RRM2476" s="124"/>
      <c r="RRN2476" s="124"/>
      <c r="RRO2476" s="124"/>
      <c r="RRP2476" s="124"/>
      <c r="RRQ2476" s="124"/>
      <c r="RRR2476" s="124"/>
      <c r="RRS2476" s="124"/>
      <c r="RRT2476" s="124"/>
      <c r="RRU2476" s="124"/>
      <c r="RRV2476" s="124"/>
      <c r="RRW2476" s="124"/>
      <c r="RRX2476" s="124"/>
      <c r="RRY2476" s="124"/>
      <c r="RRZ2476" s="124"/>
      <c r="RSA2476" s="124"/>
      <c r="RSB2476" s="124"/>
      <c r="RSC2476" s="124"/>
      <c r="RSD2476" s="124"/>
      <c r="RSE2476" s="124"/>
      <c r="RSF2476" s="124"/>
      <c r="RSG2476" s="124"/>
      <c r="RSH2476" s="124"/>
      <c r="RSI2476" s="124"/>
      <c r="RSJ2476" s="124"/>
      <c r="RSK2476" s="124"/>
      <c r="RSL2476" s="124"/>
      <c r="RSM2476" s="124"/>
      <c r="RSN2476" s="124"/>
      <c r="RSO2476" s="124"/>
      <c r="RSP2476" s="124"/>
      <c r="RSQ2476" s="124"/>
      <c r="RSR2476" s="124"/>
      <c r="RSS2476" s="124"/>
      <c r="RST2476" s="124"/>
      <c r="RSU2476" s="124"/>
      <c r="RSV2476" s="124"/>
      <c r="RSW2476" s="124"/>
      <c r="RSX2476" s="124"/>
      <c r="RSY2476" s="124"/>
      <c r="RSZ2476" s="124"/>
      <c r="RTA2476" s="124"/>
      <c r="RTB2476" s="124"/>
      <c r="RTC2476" s="124"/>
      <c r="RTD2476" s="124"/>
      <c r="RTE2476" s="124"/>
      <c r="RTF2476" s="124"/>
      <c r="RTG2476" s="124"/>
      <c r="RTH2476" s="124"/>
      <c r="RTI2476" s="124"/>
      <c r="RTJ2476" s="124"/>
      <c r="RTK2476" s="124"/>
      <c r="RTL2476" s="124"/>
      <c r="RTM2476" s="124"/>
      <c r="RTN2476" s="124"/>
      <c r="RTO2476" s="124"/>
      <c r="RTP2476" s="124"/>
      <c r="RTQ2476" s="124"/>
      <c r="RTR2476" s="124"/>
      <c r="RTS2476" s="124"/>
      <c r="RTT2476" s="124"/>
      <c r="RTU2476" s="124"/>
      <c r="RTV2476" s="124"/>
      <c r="RTW2476" s="124"/>
      <c r="RTX2476" s="124"/>
      <c r="RTY2476" s="124"/>
      <c r="RTZ2476" s="124"/>
      <c r="RUA2476" s="124"/>
      <c r="RUB2476" s="124"/>
      <c r="RUC2476" s="124"/>
      <c r="RUD2476" s="124"/>
      <c r="RUE2476" s="124"/>
      <c r="RUF2476" s="124"/>
      <c r="RUG2476" s="124"/>
      <c r="RUH2476" s="124"/>
      <c r="RUI2476" s="124"/>
      <c r="RUJ2476" s="124"/>
      <c r="RUK2476" s="124"/>
      <c r="RUL2476" s="124"/>
      <c r="RUM2476" s="124"/>
      <c r="RUN2476" s="124"/>
      <c r="RUO2476" s="124"/>
      <c r="RUP2476" s="124"/>
      <c r="RUQ2476" s="124"/>
      <c r="RUR2476" s="124"/>
      <c r="RUS2476" s="124"/>
      <c r="RUT2476" s="124"/>
      <c r="RUU2476" s="124"/>
      <c r="RUV2476" s="124"/>
      <c r="RUW2476" s="124"/>
      <c r="RUX2476" s="124"/>
      <c r="RUY2476" s="124"/>
      <c r="RUZ2476" s="124"/>
      <c r="RVA2476" s="124"/>
      <c r="RVB2476" s="124"/>
      <c r="RVC2476" s="124"/>
      <c r="RVD2476" s="124"/>
      <c r="RVE2476" s="124"/>
      <c r="RVF2476" s="124"/>
      <c r="RVG2476" s="124"/>
      <c r="RVH2476" s="124"/>
      <c r="RVI2476" s="124"/>
      <c r="RVJ2476" s="124"/>
      <c r="RVK2476" s="124"/>
      <c r="RVL2476" s="124"/>
      <c r="RVM2476" s="124"/>
      <c r="RVN2476" s="124"/>
      <c r="RVO2476" s="124"/>
      <c r="RVP2476" s="124"/>
      <c r="RVQ2476" s="124"/>
      <c r="RVR2476" s="124"/>
      <c r="RVS2476" s="124"/>
      <c r="RVT2476" s="124"/>
      <c r="RVU2476" s="124"/>
      <c r="RVV2476" s="124"/>
      <c r="RVW2476" s="124"/>
      <c r="RVX2476" s="124"/>
      <c r="RVY2476" s="124"/>
      <c r="RVZ2476" s="124"/>
      <c r="RWA2476" s="124"/>
      <c r="RWB2476" s="124"/>
      <c r="RWC2476" s="124"/>
      <c r="RWD2476" s="124"/>
      <c r="RWE2476" s="124"/>
      <c r="RWF2476" s="124"/>
      <c r="RWG2476" s="124"/>
      <c r="RWH2476" s="124"/>
      <c r="RWI2476" s="124"/>
      <c r="RWJ2476" s="124"/>
      <c r="RWK2476" s="124"/>
      <c r="RWL2476" s="124"/>
      <c r="RWM2476" s="124"/>
      <c r="RWN2476" s="124"/>
      <c r="RWO2476" s="124"/>
      <c r="RWP2476" s="124"/>
      <c r="RWQ2476" s="124"/>
      <c r="RWR2476" s="124"/>
      <c r="RWS2476" s="124"/>
      <c r="RWT2476" s="124"/>
      <c r="RWU2476" s="124"/>
      <c r="RWV2476" s="124"/>
      <c r="RWW2476" s="124"/>
      <c r="RWX2476" s="124"/>
      <c r="RWY2476" s="124"/>
      <c r="RWZ2476" s="124"/>
      <c r="RXA2476" s="124"/>
      <c r="RXB2476" s="124"/>
      <c r="RXC2476" s="124"/>
      <c r="RXD2476" s="124"/>
      <c r="RXE2476" s="124"/>
      <c r="RXF2476" s="124"/>
      <c r="RXG2476" s="124"/>
      <c r="RXH2476" s="124"/>
      <c r="RXI2476" s="124"/>
      <c r="RXJ2476" s="124"/>
      <c r="RXK2476" s="124"/>
      <c r="RXL2476" s="124"/>
      <c r="RXM2476" s="124"/>
      <c r="RXN2476" s="124"/>
      <c r="RXO2476" s="124"/>
      <c r="RXP2476" s="124"/>
      <c r="RXQ2476" s="124"/>
      <c r="RXR2476" s="124"/>
      <c r="RXS2476" s="124"/>
      <c r="RXT2476" s="124"/>
      <c r="RXU2476" s="124"/>
      <c r="RXV2476" s="124"/>
      <c r="RXW2476" s="124"/>
      <c r="RXX2476" s="124"/>
      <c r="RXY2476" s="124"/>
      <c r="RXZ2476" s="124"/>
      <c r="RYA2476" s="124"/>
      <c r="RYB2476" s="124"/>
      <c r="RYC2476" s="124"/>
      <c r="RYD2476" s="124"/>
      <c r="RYE2476" s="124"/>
      <c r="RYF2476" s="124"/>
      <c r="RYG2476" s="124"/>
      <c r="RYH2476" s="124"/>
      <c r="RYI2476" s="124"/>
      <c r="RYJ2476" s="124"/>
      <c r="RYK2476" s="124"/>
      <c r="RYL2476" s="124"/>
      <c r="RYM2476" s="124"/>
      <c r="RYN2476" s="124"/>
      <c r="RYO2476" s="124"/>
      <c r="RYP2476" s="124"/>
      <c r="RYQ2476" s="124"/>
      <c r="RYR2476" s="124"/>
      <c r="RYS2476" s="124"/>
      <c r="RYT2476" s="124"/>
      <c r="RYU2476" s="124"/>
      <c r="RYV2476" s="124"/>
      <c r="RYW2476" s="124"/>
      <c r="RYX2476" s="124"/>
      <c r="RYY2476" s="124"/>
      <c r="RYZ2476" s="124"/>
      <c r="RZA2476" s="124"/>
      <c r="RZB2476" s="124"/>
      <c r="RZC2476" s="124"/>
      <c r="RZD2476" s="124"/>
      <c r="RZE2476" s="124"/>
      <c r="RZF2476" s="124"/>
      <c r="RZG2476" s="124"/>
      <c r="RZH2476" s="124"/>
      <c r="RZI2476" s="124"/>
      <c r="RZJ2476" s="124"/>
      <c r="RZK2476" s="124"/>
      <c r="RZL2476" s="124"/>
      <c r="RZM2476" s="124"/>
      <c r="RZN2476" s="124"/>
      <c r="RZO2476" s="124"/>
      <c r="RZP2476" s="124"/>
      <c r="RZQ2476" s="124"/>
      <c r="RZR2476" s="124"/>
      <c r="RZS2476" s="124"/>
      <c r="RZT2476" s="124"/>
      <c r="RZU2476" s="124"/>
      <c r="RZV2476" s="124"/>
      <c r="RZW2476" s="124"/>
      <c r="RZX2476" s="124"/>
      <c r="RZY2476" s="124"/>
      <c r="RZZ2476" s="124"/>
      <c r="SAA2476" s="124"/>
      <c r="SAB2476" s="124"/>
      <c r="SAC2476" s="124"/>
      <c r="SAD2476" s="124"/>
      <c r="SAE2476" s="124"/>
      <c r="SAF2476" s="124"/>
      <c r="SAG2476" s="124"/>
      <c r="SAH2476" s="124"/>
      <c r="SAI2476" s="124"/>
      <c r="SAJ2476" s="124"/>
      <c r="SAK2476" s="124"/>
      <c r="SAL2476" s="124"/>
      <c r="SAM2476" s="124"/>
      <c r="SAN2476" s="124"/>
      <c r="SAO2476" s="124"/>
      <c r="SAP2476" s="124"/>
      <c r="SAQ2476" s="124"/>
      <c r="SAR2476" s="124"/>
      <c r="SAS2476" s="124"/>
      <c r="SAT2476" s="124"/>
      <c r="SAU2476" s="124"/>
      <c r="SAV2476" s="124"/>
      <c r="SAW2476" s="124"/>
      <c r="SAX2476" s="124"/>
      <c r="SAY2476" s="124"/>
      <c r="SAZ2476" s="124"/>
      <c r="SBA2476" s="124"/>
      <c r="SBB2476" s="124"/>
      <c r="SBC2476" s="124"/>
      <c r="SBD2476" s="124"/>
      <c r="SBE2476" s="124"/>
      <c r="SBF2476" s="124"/>
      <c r="SBG2476" s="124"/>
      <c r="SBH2476" s="124"/>
      <c r="SBI2476" s="124"/>
      <c r="SBJ2476" s="124"/>
      <c r="SBK2476" s="124"/>
      <c r="SBL2476" s="124"/>
      <c r="SBM2476" s="124"/>
      <c r="SBN2476" s="124"/>
      <c r="SBO2476" s="124"/>
      <c r="SBP2476" s="124"/>
      <c r="SBQ2476" s="124"/>
      <c r="SBR2476" s="124"/>
      <c r="SBS2476" s="124"/>
      <c r="SBT2476" s="124"/>
      <c r="SBU2476" s="124"/>
      <c r="SBV2476" s="124"/>
      <c r="SBW2476" s="124"/>
      <c r="SBX2476" s="124"/>
      <c r="SBY2476" s="124"/>
      <c r="SBZ2476" s="124"/>
      <c r="SCA2476" s="124"/>
      <c r="SCB2476" s="124"/>
      <c r="SCC2476" s="124"/>
      <c r="SCD2476" s="124"/>
      <c r="SCE2476" s="124"/>
      <c r="SCF2476" s="124"/>
      <c r="SCG2476" s="124"/>
      <c r="SCH2476" s="124"/>
      <c r="SCI2476" s="124"/>
      <c r="SCJ2476" s="124"/>
      <c r="SCK2476" s="124"/>
      <c r="SCL2476" s="124"/>
      <c r="SCM2476" s="124"/>
      <c r="SCN2476" s="124"/>
      <c r="SCO2476" s="124"/>
      <c r="SCP2476" s="124"/>
      <c r="SCQ2476" s="124"/>
      <c r="SCR2476" s="124"/>
      <c r="SCS2476" s="124"/>
      <c r="SCT2476" s="124"/>
      <c r="SCU2476" s="124"/>
      <c r="SCV2476" s="124"/>
      <c r="SCW2476" s="124"/>
      <c r="SCX2476" s="124"/>
      <c r="SCY2476" s="124"/>
      <c r="SCZ2476" s="124"/>
      <c r="SDA2476" s="124"/>
      <c r="SDB2476" s="124"/>
      <c r="SDC2476" s="124"/>
      <c r="SDD2476" s="124"/>
      <c r="SDE2476" s="124"/>
      <c r="SDF2476" s="124"/>
      <c r="SDG2476" s="124"/>
      <c r="SDH2476" s="124"/>
      <c r="SDI2476" s="124"/>
      <c r="SDJ2476" s="124"/>
      <c r="SDK2476" s="124"/>
      <c r="SDL2476" s="124"/>
      <c r="SDM2476" s="124"/>
      <c r="SDN2476" s="124"/>
      <c r="SDO2476" s="124"/>
      <c r="SDP2476" s="124"/>
      <c r="SDQ2476" s="124"/>
      <c r="SDR2476" s="124"/>
      <c r="SDS2476" s="124"/>
      <c r="SDT2476" s="124"/>
      <c r="SDU2476" s="124"/>
      <c r="SDV2476" s="124"/>
      <c r="SDW2476" s="124"/>
      <c r="SDX2476" s="124"/>
      <c r="SDY2476" s="124"/>
      <c r="SDZ2476" s="124"/>
      <c r="SEA2476" s="124"/>
      <c r="SEB2476" s="124"/>
      <c r="SEC2476" s="124"/>
      <c r="SED2476" s="124"/>
      <c r="SEE2476" s="124"/>
      <c r="SEF2476" s="124"/>
      <c r="SEG2476" s="124"/>
      <c r="SEH2476" s="124"/>
      <c r="SEI2476" s="124"/>
      <c r="SEJ2476" s="124"/>
      <c r="SEK2476" s="124"/>
      <c r="SEL2476" s="124"/>
      <c r="SEM2476" s="124"/>
      <c r="SEN2476" s="124"/>
      <c r="SEO2476" s="124"/>
      <c r="SEP2476" s="124"/>
      <c r="SEQ2476" s="124"/>
      <c r="SER2476" s="124"/>
      <c r="SES2476" s="124"/>
      <c r="SET2476" s="124"/>
      <c r="SEU2476" s="124"/>
      <c r="SEV2476" s="124"/>
      <c r="SEW2476" s="124"/>
      <c r="SEX2476" s="124"/>
      <c r="SEY2476" s="124"/>
      <c r="SEZ2476" s="124"/>
      <c r="SFA2476" s="124"/>
      <c r="SFB2476" s="124"/>
      <c r="SFC2476" s="124"/>
      <c r="SFD2476" s="124"/>
      <c r="SFE2476" s="124"/>
      <c r="SFF2476" s="124"/>
      <c r="SFG2476" s="124"/>
      <c r="SFH2476" s="124"/>
      <c r="SFI2476" s="124"/>
      <c r="SFJ2476" s="124"/>
      <c r="SFK2476" s="124"/>
      <c r="SFL2476" s="124"/>
      <c r="SFM2476" s="124"/>
      <c r="SFN2476" s="124"/>
      <c r="SFO2476" s="124"/>
      <c r="SFP2476" s="124"/>
      <c r="SFQ2476" s="124"/>
      <c r="SFR2476" s="124"/>
      <c r="SFS2476" s="124"/>
      <c r="SFT2476" s="124"/>
      <c r="SFU2476" s="124"/>
      <c r="SFV2476" s="124"/>
      <c r="SFW2476" s="124"/>
      <c r="SFX2476" s="124"/>
      <c r="SFY2476" s="124"/>
      <c r="SFZ2476" s="124"/>
      <c r="SGA2476" s="124"/>
      <c r="SGB2476" s="124"/>
      <c r="SGC2476" s="124"/>
      <c r="SGD2476" s="124"/>
      <c r="SGE2476" s="124"/>
      <c r="SGF2476" s="124"/>
      <c r="SGG2476" s="124"/>
      <c r="SGH2476" s="124"/>
      <c r="SGI2476" s="124"/>
      <c r="SGJ2476" s="124"/>
      <c r="SGK2476" s="124"/>
      <c r="SGL2476" s="124"/>
      <c r="SGM2476" s="124"/>
      <c r="SGN2476" s="124"/>
      <c r="SGO2476" s="124"/>
      <c r="SGP2476" s="124"/>
      <c r="SGQ2476" s="124"/>
      <c r="SGR2476" s="124"/>
      <c r="SGS2476" s="124"/>
      <c r="SGT2476" s="124"/>
      <c r="SGU2476" s="124"/>
      <c r="SGV2476" s="124"/>
      <c r="SGW2476" s="124"/>
      <c r="SGX2476" s="124"/>
      <c r="SGY2476" s="124"/>
      <c r="SGZ2476" s="124"/>
      <c r="SHA2476" s="124"/>
      <c r="SHB2476" s="124"/>
      <c r="SHC2476" s="124"/>
      <c r="SHD2476" s="124"/>
      <c r="SHE2476" s="124"/>
      <c r="SHF2476" s="124"/>
      <c r="SHG2476" s="124"/>
      <c r="SHH2476" s="124"/>
      <c r="SHI2476" s="124"/>
      <c r="SHJ2476" s="124"/>
      <c r="SHK2476" s="124"/>
      <c r="SHL2476" s="124"/>
      <c r="SHM2476" s="124"/>
      <c r="SHN2476" s="124"/>
      <c r="SHO2476" s="124"/>
      <c r="SHP2476" s="124"/>
      <c r="SHQ2476" s="124"/>
      <c r="SHR2476" s="124"/>
      <c r="SHS2476" s="124"/>
      <c r="SHT2476" s="124"/>
      <c r="SHU2476" s="124"/>
      <c r="SHV2476" s="124"/>
      <c r="SHW2476" s="124"/>
      <c r="SHX2476" s="124"/>
      <c r="SHY2476" s="124"/>
      <c r="SHZ2476" s="124"/>
      <c r="SIA2476" s="124"/>
      <c r="SIB2476" s="124"/>
      <c r="SIC2476" s="124"/>
      <c r="SID2476" s="124"/>
      <c r="SIE2476" s="124"/>
      <c r="SIF2476" s="124"/>
      <c r="SIG2476" s="124"/>
      <c r="SIH2476" s="124"/>
      <c r="SII2476" s="124"/>
      <c r="SIJ2476" s="124"/>
      <c r="SIK2476" s="124"/>
      <c r="SIL2476" s="124"/>
      <c r="SIM2476" s="124"/>
      <c r="SIN2476" s="124"/>
      <c r="SIO2476" s="124"/>
      <c r="SIP2476" s="124"/>
      <c r="SIQ2476" s="124"/>
      <c r="SIR2476" s="124"/>
      <c r="SIS2476" s="124"/>
      <c r="SIT2476" s="124"/>
      <c r="SIU2476" s="124"/>
      <c r="SIV2476" s="124"/>
      <c r="SIW2476" s="124"/>
      <c r="SIX2476" s="124"/>
      <c r="SIY2476" s="124"/>
      <c r="SIZ2476" s="124"/>
      <c r="SJA2476" s="124"/>
      <c r="SJB2476" s="124"/>
      <c r="SJC2476" s="124"/>
      <c r="SJD2476" s="124"/>
      <c r="SJE2476" s="124"/>
      <c r="SJF2476" s="124"/>
      <c r="SJG2476" s="124"/>
      <c r="SJH2476" s="124"/>
      <c r="SJI2476" s="124"/>
      <c r="SJJ2476" s="124"/>
      <c r="SJK2476" s="124"/>
      <c r="SJL2476" s="124"/>
      <c r="SJM2476" s="124"/>
      <c r="SJN2476" s="124"/>
      <c r="SJO2476" s="124"/>
      <c r="SJP2476" s="124"/>
      <c r="SJQ2476" s="124"/>
      <c r="SJR2476" s="124"/>
      <c r="SJS2476" s="124"/>
      <c r="SJT2476" s="124"/>
      <c r="SJU2476" s="124"/>
      <c r="SJV2476" s="124"/>
      <c r="SJW2476" s="124"/>
      <c r="SJX2476" s="124"/>
      <c r="SJY2476" s="124"/>
      <c r="SJZ2476" s="124"/>
      <c r="SKA2476" s="124"/>
      <c r="SKB2476" s="124"/>
      <c r="SKC2476" s="124"/>
      <c r="SKD2476" s="124"/>
      <c r="SKE2476" s="124"/>
      <c r="SKF2476" s="124"/>
      <c r="SKG2476" s="124"/>
      <c r="SKH2476" s="124"/>
      <c r="SKI2476" s="124"/>
      <c r="SKJ2476" s="124"/>
      <c r="SKK2476" s="124"/>
      <c r="SKL2476" s="124"/>
      <c r="SKM2476" s="124"/>
      <c r="SKN2476" s="124"/>
      <c r="SKO2476" s="124"/>
      <c r="SKP2476" s="124"/>
      <c r="SKQ2476" s="124"/>
      <c r="SKR2476" s="124"/>
      <c r="SKS2476" s="124"/>
      <c r="SKT2476" s="124"/>
      <c r="SKU2476" s="124"/>
      <c r="SKV2476" s="124"/>
      <c r="SKW2476" s="124"/>
      <c r="SKX2476" s="124"/>
      <c r="SKY2476" s="124"/>
      <c r="SKZ2476" s="124"/>
      <c r="SLA2476" s="124"/>
      <c r="SLB2476" s="124"/>
      <c r="SLC2476" s="124"/>
      <c r="SLD2476" s="124"/>
      <c r="SLE2476" s="124"/>
      <c r="SLF2476" s="124"/>
      <c r="SLG2476" s="124"/>
      <c r="SLH2476" s="124"/>
      <c r="SLI2476" s="124"/>
      <c r="SLJ2476" s="124"/>
      <c r="SLK2476" s="124"/>
      <c r="SLL2476" s="124"/>
      <c r="SLM2476" s="124"/>
      <c r="SLN2476" s="124"/>
      <c r="SLO2476" s="124"/>
      <c r="SLP2476" s="124"/>
      <c r="SLQ2476" s="124"/>
      <c r="SLR2476" s="124"/>
      <c r="SLS2476" s="124"/>
      <c r="SLT2476" s="124"/>
      <c r="SLU2476" s="124"/>
      <c r="SLV2476" s="124"/>
      <c r="SLW2476" s="124"/>
      <c r="SLX2476" s="124"/>
      <c r="SLY2476" s="124"/>
      <c r="SLZ2476" s="124"/>
      <c r="SMA2476" s="124"/>
      <c r="SMB2476" s="124"/>
      <c r="SMC2476" s="124"/>
      <c r="SMD2476" s="124"/>
      <c r="SME2476" s="124"/>
      <c r="SMF2476" s="124"/>
      <c r="SMG2476" s="124"/>
      <c r="SMH2476" s="124"/>
      <c r="SMI2476" s="124"/>
      <c r="SMJ2476" s="124"/>
      <c r="SMK2476" s="124"/>
      <c r="SML2476" s="124"/>
      <c r="SMM2476" s="124"/>
      <c r="SMN2476" s="124"/>
      <c r="SMO2476" s="124"/>
      <c r="SMP2476" s="124"/>
      <c r="SMQ2476" s="124"/>
      <c r="SMR2476" s="124"/>
      <c r="SMS2476" s="124"/>
      <c r="SMT2476" s="124"/>
      <c r="SMU2476" s="124"/>
      <c r="SMV2476" s="124"/>
      <c r="SMW2476" s="124"/>
      <c r="SMX2476" s="124"/>
      <c r="SMY2476" s="124"/>
      <c r="SMZ2476" s="124"/>
      <c r="SNA2476" s="124"/>
      <c r="SNB2476" s="124"/>
      <c r="SNC2476" s="124"/>
      <c r="SND2476" s="124"/>
      <c r="SNE2476" s="124"/>
      <c r="SNF2476" s="124"/>
      <c r="SNG2476" s="124"/>
      <c r="SNH2476" s="124"/>
      <c r="SNI2476" s="124"/>
      <c r="SNJ2476" s="124"/>
      <c r="SNK2476" s="124"/>
      <c r="SNL2476" s="124"/>
      <c r="SNM2476" s="124"/>
      <c r="SNN2476" s="124"/>
      <c r="SNO2476" s="124"/>
      <c r="SNP2476" s="124"/>
      <c r="SNQ2476" s="124"/>
      <c r="SNR2476" s="124"/>
      <c r="SNS2476" s="124"/>
      <c r="SNT2476" s="124"/>
      <c r="SNU2476" s="124"/>
      <c r="SNV2476" s="124"/>
      <c r="SNW2476" s="124"/>
      <c r="SNX2476" s="124"/>
      <c r="SNY2476" s="124"/>
      <c r="SNZ2476" s="124"/>
      <c r="SOA2476" s="124"/>
      <c r="SOB2476" s="124"/>
      <c r="SOC2476" s="124"/>
      <c r="SOD2476" s="124"/>
      <c r="SOE2476" s="124"/>
      <c r="SOF2476" s="124"/>
      <c r="SOG2476" s="124"/>
      <c r="SOH2476" s="124"/>
      <c r="SOI2476" s="124"/>
      <c r="SOJ2476" s="124"/>
      <c r="SOK2476" s="124"/>
      <c r="SOL2476" s="124"/>
      <c r="SOM2476" s="124"/>
      <c r="SON2476" s="124"/>
      <c r="SOO2476" s="124"/>
      <c r="SOP2476" s="124"/>
      <c r="SOQ2476" s="124"/>
      <c r="SOR2476" s="124"/>
      <c r="SOS2476" s="124"/>
      <c r="SOT2476" s="124"/>
      <c r="SOU2476" s="124"/>
      <c r="SOV2476" s="124"/>
      <c r="SOW2476" s="124"/>
      <c r="SOX2476" s="124"/>
      <c r="SOY2476" s="124"/>
      <c r="SOZ2476" s="124"/>
      <c r="SPA2476" s="124"/>
      <c r="SPB2476" s="124"/>
      <c r="SPC2476" s="124"/>
      <c r="SPD2476" s="124"/>
      <c r="SPE2476" s="124"/>
      <c r="SPF2476" s="124"/>
      <c r="SPG2476" s="124"/>
      <c r="SPH2476" s="124"/>
      <c r="SPI2476" s="124"/>
      <c r="SPJ2476" s="124"/>
      <c r="SPK2476" s="124"/>
      <c r="SPL2476" s="124"/>
      <c r="SPM2476" s="124"/>
      <c r="SPN2476" s="124"/>
      <c r="SPO2476" s="124"/>
      <c r="SPP2476" s="124"/>
      <c r="SPQ2476" s="124"/>
      <c r="SPR2476" s="124"/>
      <c r="SPS2476" s="124"/>
      <c r="SPT2476" s="124"/>
      <c r="SPU2476" s="124"/>
      <c r="SPV2476" s="124"/>
      <c r="SPW2476" s="124"/>
      <c r="SPX2476" s="124"/>
      <c r="SPY2476" s="124"/>
      <c r="SPZ2476" s="124"/>
      <c r="SQA2476" s="124"/>
      <c r="SQB2476" s="124"/>
      <c r="SQC2476" s="124"/>
      <c r="SQD2476" s="124"/>
      <c r="SQE2476" s="124"/>
      <c r="SQF2476" s="124"/>
      <c r="SQG2476" s="124"/>
      <c r="SQH2476" s="124"/>
      <c r="SQI2476" s="124"/>
      <c r="SQJ2476" s="124"/>
      <c r="SQK2476" s="124"/>
      <c r="SQL2476" s="124"/>
      <c r="SQM2476" s="124"/>
      <c r="SQN2476" s="124"/>
      <c r="SQO2476" s="124"/>
      <c r="SQP2476" s="124"/>
      <c r="SQQ2476" s="124"/>
      <c r="SQR2476" s="124"/>
      <c r="SQS2476" s="124"/>
      <c r="SQT2476" s="124"/>
      <c r="SQU2476" s="124"/>
      <c r="SQV2476" s="124"/>
      <c r="SQW2476" s="124"/>
      <c r="SQX2476" s="124"/>
      <c r="SQY2476" s="124"/>
      <c r="SQZ2476" s="124"/>
      <c r="SRA2476" s="124"/>
      <c r="SRB2476" s="124"/>
      <c r="SRC2476" s="124"/>
      <c r="SRD2476" s="124"/>
      <c r="SRE2476" s="124"/>
      <c r="SRF2476" s="124"/>
      <c r="SRG2476" s="124"/>
      <c r="SRH2476" s="124"/>
      <c r="SRI2476" s="124"/>
      <c r="SRJ2476" s="124"/>
      <c r="SRK2476" s="124"/>
      <c r="SRL2476" s="124"/>
      <c r="SRM2476" s="124"/>
      <c r="SRN2476" s="124"/>
      <c r="SRO2476" s="124"/>
      <c r="SRP2476" s="124"/>
      <c r="SRQ2476" s="124"/>
      <c r="SRR2476" s="124"/>
      <c r="SRS2476" s="124"/>
      <c r="SRT2476" s="124"/>
      <c r="SRU2476" s="124"/>
      <c r="SRV2476" s="124"/>
      <c r="SRW2476" s="124"/>
      <c r="SRX2476" s="124"/>
      <c r="SRY2476" s="124"/>
      <c r="SRZ2476" s="124"/>
      <c r="SSA2476" s="124"/>
      <c r="SSB2476" s="124"/>
      <c r="SSC2476" s="124"/>
      <c r="SSD2476" s="124"/>
      <c r="SSE2476" s="124"/>
      <c r="SSF2476" s="124"/>
      <c r="SSG2476" s="124"/>
      <c r="SSH2476" s="124"/>
      <c r="SSI2476" s="124"/>
      <c r="SSJ2476" s="124"/>
      <c r="SSK2476" s="124"/>
      <c r="SSL2476" s="124"/>
      <c r="SSM2476" s="124"/>
      <c r="SSN2476" s="124"/>
      <c r="SSO2476" s="124"/>
      <c r="SSP2476" s="124"/>
      <c r="SSQ2476" s="124"/>
      <c r="SSR2476" s="124"/>
      <c r="SSS2476" s="124"/>
      <c r="SST2476" s="124"/>
      <c r="SSU2476" s="124"/>
      <c r="SSV2476" s="124"/>
      <c r="SSW2476" s="124"/>
      <c r="SSX2476" s="124"/>
      <c r="SSY2476" s="124"/>
      <c r="SSZ2476" s="124"/>
      <c r="STA2476" s="124"/>
      <c r="STB2476" s="124"/>
      <c r="STC2476" s="124"/>
      <c r="STD2476" s="124"/>
      <c r="STE2476" s="124"/>
      <c r="STF2476" s="124"/>
      <c r="STG2476" s="124"/>
      <c r="STH2476" s="124"/>
      <c r="STI2476" s="124"/>
      <c r="STJ2476" s="124"/>
      <c r="STK2476" s="124"/>
      <c r="STL2476" s="124"/>
      <c r="STM2476" s="124"/>
      <c r="STN2476" s="124"/>
      <c r="STO2476" s="124"/>
      <c r="STP2476" s="124"/>
      <c r="STQ2476" s="124"/>
      <c r="STR2476" s="124"/>
      <c r="STS2476" s="124"/>
      <c r="STT2476" s="124"/>
      <c r="STU2476" s="124"/>
      <c r="STV2476" s="124"/>
      <c r="STW2476" s="124"/>
      <c r="STX2476" s="124"/>
      <c r="STY2476" s="124"/>
      <c r="STZ2476" s="124"/>
      <c r="SUA2476" s="124"/>
      <c r="SUB2476" s="124"/>
      <c r="SUC2476" s="124"/>
      <c r="SUD2476" s="124"/>
      <c r="SUE2476" s="124"/>
      <c r="SUF2476" s="124"/>
      <c r="SUG2476" s="124"/>
      <c r="SUH2476" s="124"/>
      <c r="SUI2476" s="124"/>
      <c r="SUJ2476" s="124"/>
      <c r="SUK2476" s="124"/>
      <c r="SUL2476" s="124"/>
      <c r="SUM2476" s="124"/>
      <c r="SUN2476" s="124"/>
      <c r="SUO2476" s="124"/>
      <c r="SUP2476" s="124"/>
      <c r="SUQ2476" s="124"/>
      <c r="SUR2476" s="124"/>
      <c r="SUS2476" s="124"/>
      <c r="SUT2476" s="124"/>
      <c r="SUU2476" s="124"/>
      <c r="SUV2476" s="124"/>
      <c r="SUW2476" s="124"/>
      <c r="SUX2476" s="124"/>
      <c r="SUY2476" s="124"/>
      <c r="SUZ2476" s="124"/>
      <c r="SVA2476" s="124"/>
      <c r="SVB2476" s="124"/>
      <c r="SVC2476" s="124"/>
      <c r="SVD2476" s="124"/>
      <c r="SVE2476" s="124"/>
      <c r="SVF2476" s="124"/>
      <c r="SVG2476" s="124"/>
      <c r="SVH2476" s="124"/>
      <c r="SVI2476" s="124"/>
      <c r="SVJ2476" s="124"/>
      <c r="SVK2476" s="124"/>
      <c r="SVL2476" s="124"/>
      <c r="SVM2476" s="124"/>
      <c r="SVN2476" s="124"/>
      <c r="SVO2476" s="124"/>
      <c r="SVP2476" s="124"/>
      <c r="SVQ2476" s="124"/>
      <c r="SVR2476" s="124"/>
      <c r="SVS2476" s="124"/>
      <c r="SVT2476" s="124"/>
      <c r="SVU2476" s="124"/>
      <c r="SVV2476" s="124"/>
      <c r="SVW2476" s="124"/>
      <c r="SVX2476" s="124"/>
      <c r="SVY2476" s="124"/>
      <c r="SVZ2476" s="124"/>
      <c r="SWA2476" s="124"/>
      <c r="SWB2476" s="124"/>
      <c r="SWC2476" s="124"/>
      <c r="SWD2476" s="124"/>
      <c r="SWE2476" s="124"/>
      <c r="SWF2476" s="124"/>
      <c r="SWG2476" s="124"/>
      <c r="SWH2476" s="124"/>
      <c r="SWI2476" s="124"/>
      <c r="SWJ2476" s="124"/>
      <c r="SWK2476" s="124"/>
      <c r="SWL2476" s="124"/>
      <c r="SWM2476" s="124"/>
      <c r="SWN2476" s="124"/>
      <c r="SWO2476" s="124"/>
      <c r="SWP2476" s="124"/>
      <c r="SWQ2476" s="124"/>
      <c r="SWR2476" s="124"/>
      <c r="SWS2476" s="124"/>
      <c r="SWT2476" s="124"/>
      <c r="SWU2476" s="124"/>
      <c r="SWV2476" s="124"/>
      <c r="SWW2476" s="124"/>
      <c r="SWX2476" s="124"/>
      <c r="SWY2476" s="124"/>
      <c r="SWZ2476" s="124"/>
      <c r="SXA2476" s="124"/>
      <c r="SXB2476" s="124"/>
      <c r="SXC2476" s="124"/>
      <c r="SXD2476" s="124"/>
      <c r="SXE2476" s="124"/>
      <c r="SXF2476" s="124"/>
      <c r="SXG2476" s="124"/>
      <c r="SXH2476" s="124"/>
      <c r="SXI2476" s="124"/>
      <c r="SXJ2476" s="124"/>
      <c r="SXK2476" s="124"/>
      <c r="SXL2476" s="124"/>
      <c r="SXM2476" s="124"/>
      <c r="SXN2476" s="124"/>
      <c r="SXO2476" s="124"/>
      <c r="SXP2476" s="124"/>
      <c r="SXQ2476" s="124"/>
      <c r="SXR2476" s="124"/>
      <c r="SXS2476" s="124"/>
      <c r="SXT2476" s="124"/>
      <c r="SXU2476" s="124"/>
      <c r="SXV2476" s="124"/>
      <c r="SXW2476" s="124"/>
      <c r="SXX2476" s="124"/>
      <c r="SXY2476" s="124"/>
      <c r="SXZ2476" s="124"/>
      <c r="SYA2476" s="124"/>
      <c r="SYB2476" s="124"/>
      <c r="SYC2476" s="124"/>
      <c r="SYD2476" s="124"/>
      <c r="SYE2476" s="124"/>
      <c r="SYF2476" s="124"/>
      <c r="SYG2476" s="124"/>
      <c r="SYH2476" s="124"/>
      <c r="SYI2476" s="124"/>
      <c r="SYJ2476" s="124"/>
      <c r="SYK2476" s="124"/>
      <c r="SYL2476" s="124"/>
      <c r="SYM2476" s="124"/>
      <c r="SYN2476" s="124"/>
      <c r="SYO2476" s="124"/>
      <c r="SYP2476" s="124"/>
      <c r="SYQ2476" s="124"/>
      <c r="SYR2476" s="124"/>
      <c r="SYS2476" s="124"/>
      <c r="SYT2476" s="124"/>
      <c r="SYU2476" s="124"/>
      <c r="SYV2476" s="124"/>
      <c r="SYW2476" s="124"/>
      <c r="SYX2476" s="124"/>
      <c r="SYY2476" s="124"/>
      <c r="SYZ2476" s="124"/>
      <c r="SZA2476" s="124"/>
      <c r="SZB2476" s="124"/>
      <c r="SZC2476" s="124"/>
      <c r="SZD2476" s="124"/>
      <c r="SZE2476" s="124"/>
      <c r="SZF2476" s="124"/>
      <c r="SZG2476" s="124"/>
      <c r="SZH2476" s="124"/>
      <c r="SZI2476" s="124"/>
      <c r="SZJ2476" s="124"/>
      <c r="SZK2476" s="124"/>
      <c r="SZL2476" s="124"/>
      <c r="SZM2476" s="124"/>
      <c r="SZN2476" s="124"/>
      <c r="SZO2476" s="124"/>
      <c r="SZP2476" s="124"/>
      <c r="SZQ2476" s="124"/>
      <c r="SZR2476" s="124"/>
      <c r="SZS2476" s="124"/>
      <c r="SZT2476" s="124"/>
      <c r="SZU2476" s="124"/>
      <c r="SZV2476" s="124"/>
      <c r="SZW2476" s="124"/>
      <c r="SZX2476" s="124"/>
      <c r="SZY2476" s="124"/>
      <c r="SZZ2476" s="124"/>
      <c r="TAA2476" s="124"/>
      <c r="TAB2476" s="124"/>
      <c r="TAC2476" s="124"/>
      <c r="TAD2476" s="124"/>
      <c r="TAE2476" s="124"/>
      <c r="TAF2476" s="124"/>
      <c r="TAG2476" s="124"/>
      <c r="TAH2476" s="124"/>
      <c r="TAI2476" s="124"/>
      <c r="TAJ2476" s="124"/>
      <c r="TAK2476" s="124"/>
      <c r="TAL2476" s="124"/>
      <c r="TAM2476" s="124"/>
      <c r="TAN2476" s="124"/>
      <c r="TAO2476" s="124"/>
      <c r="TAP2476" s="124"/>
      <c r="TAQ2476" s="124"/>
      <c r="TAR2476" s="124"/>
      <c r="TAS2476" s="124"/>
      <c r="TAT2476" s="124"/>
      <c r="TAU2476" s="124"/>
      <c r="TAV2476" s="124"/>
      <c r="TAW2476" s="124"/>
      <c r="TAX2476" s="124"/>
      <c r="TAY2476" s="124"/>
      <c r="TAZ2476" s="124"/>
      <c r="TBA2476" s="124"/>
      <c r="TBB2476" s="124"/>
      <c r="TBC2476" s="124"/>
      <c r="TBD2476" s="124"/>
      <c r="TBE2476" s="124"/>
      <c r="TBF2476" s="124"/>
      <c r="TBG2476" s="124"/>
      <c r="TBH2476" s="124"/>
      <c r="TBI2476" s="124"/>
      <c r="TBJ2476" s="124"/>
      <c r="TBK2476" s="124"/>
      <c r="TBL2476" s="124"/>
      <c r="TBM2476" s="124"/>
      <c r="TBN2476" s="124"/>
      <c r="TBO2476" s="124"/>
      <c r="TBP2476" s="124"/>
      <c r="TBQ2476" s="124"/>
      <c r="TBR2476" s="124"/>
      <c r="TBS2476" s="124"/>
      <c r="TBT2476" s="124"/>
      <c r="TBU2476" s="124"/>
      <c r="TBV2476" s="124"/>
      <c r="TBW2476" s="124"/>
      <c r="TBX2476" s="124"/>
      <c r="TBY2476" s="124"/>
      <c r="TBZ2476" s="124"/>
      <c r="TCA2476" s="124"/>
      <c r="TCB2476" s="124"/>
      <c r="TCC2476" s="124"/>
      <c r="TCD2476" s="124"/>
      <c r="TCE2476" s="124"/>
      <c r="TCF2476" s="124"/>
      <c r="TCG2476" s="124"/>
      <c r="TCH2476" s="124"/>
      <c r="TCI2476" s="124"/>
      <c r="TCJ2476" s="124"/>
      <c r="TCK2476" s="124"/>
      <c r="TCL2476" s="124"/>
      <c r="TCM2476" s="124"/>
      <c r="TCN2476" s="124"/>
      <c r="TCO2476" s="124"/>
      <c r="TCP2476" s="124"/>
      <c r="TCQ2476" s="124"/>
      <c r="TCR2476" s="124"/>
      <c r="TCS2476" s="124"/>
      <c r="TCT2476" s="124"/>
      <c r="TCU2476" s="124"/>
      <c r="TCV2476" s="124"/>
      <c r="TCW2476" s="124"/>
      <c r="TCX2476" s="124"/>
      <c r="TCY2476" s="124"/>
      <c r="TCZ2476" s="124"/>
      <c r="TDA2476" s="124"/>
      <c r="TDB2476" s="124"/>
      <c r="TDC2476" s="124"/>
      <c r="TDD2476" s="124"/>
      <c r="TDE2476" s="124"/>
      <c r="TDF2476" s="124"/>
      <c r="TDG2476" s="124"/>
      <c r="TDH2476" s="124"/>
      <c r="TDI2476" s="124"/>
      <c r="TDJ2476" s="124"/>
      <c r="TDK2476" s="124"/>
      <c r="TDL2476" s="124"/>
      <c r="TDM2476" s="124"/>
      <c r="TDN2476" s="124"/>
      <c r="TDO2476" s="124"/>
      <c r="TDP2476" s="124"/>
      <c r="TDQ2476" s="124"/>
      <c r="TDR2476" s="124"/>
      <c r="TDS2476" s="124"/>
      <c r="TDT2476" s="124"/>
      <c r="TDU2476" s="124"/>
      <c r="TDV2476" s="124"/>
      <c r="TDW2476" s="124"/>
      <c r="TDX2476" s="124"/>
      <c r="TDY2476" s="124"/>
      <c r="TDZ2476" s="124"/>
      <c r="TEA2476" s="124"/>
      <c r="TEB2476" s="124"/>
      <c r="TEC2476" s="124"/>
      <c r="TED2476" s="124"/>
      <c r="TEE2476" s="124"/>
      <c r="TEF2476" s="124"/>
      <c r="TEG2476" s="124"/>
      <c r="TEH2476" s="124"/>
      <c r="TEI2476" s="124"/>
      <c r="TEJ2476" s="124"/>
      <c r="TEK2476" s="124"/>
      <c r="TEL2476" s="124"/>
      <c r="TEM2476" s="124"/>
      <c r="TEN2476" s="124"/>
      <c r="TEO2476" s="124"/>
      <c r="TEP2476" s="124"/>
      <c r="TEQ2476" s="124"/>
      <c r="TER2476" s="124"/>
      <c r="TES2476" s="124"/>
      <c r="TET2476" s="124"/>
      <c r="TEU2476" s="124"/>
      <c r="TEV2476" s="124"/>
      <c r="TEW2476" s="124"/>
      <c r="TEX2476" s="124"/>
      <c r="TEY2476" s="124"/>
      <c r="TEZ2476" s="124"/>
      <c r="TFA2476" s="124"/>
      <c r="TFB2476" s="124"/>
      <c r="TFC2476" s="124"/>
      <c r="TFD2476" s="124"/>
      <c r="TFE2476" s="124"/>
      <c r="TFF2476" s="124"/>
      <c r="TFG2476" s="124"/>
      <c r="TFH2476" s="124"/>
      <c r="TFI2476" s="124"/>
      <c r="TFJ2476" s="124"/>
      <c r="TFK2476" s="124"/>
      <c r="TFL2476" s="124"/>
      <c r="TFM2476" s="124"/>
      <c r="TFN2476" s="124"/>
      <c r="TFO2476" s="124"/>
      <c r="TFP2476" s="124"/>
      <c r="TFQ2476" s="124"/>
      <c r="TFR2476" s="124"/>
      <c r="TFS2476" s="124"/>
      <c r="TFT2476" s="124"/>
      <c r="TFU2476" s="124"/>
      <c r="TFV2476" s="124"/>
      <c r="TFW2476" s="124"/>
      <c r="TFX2476" s="124"/>
      <c r="TFY2476" s="124"/>
      <c r="TFZ2476" s="124"/>
      <c r="TGA2476" s="124"/>
      <c r="TGB2476" s="124"/>
      <c r="TGC2476" s="124"/>
      <c r="TGD2476" s="124"/>
      <c r="TGE2476" s="124"/>
      <c r="TGF2476" s="124"/>
      <c r="TGG2476" s="124"/>
      <c r="TGH2476" s="124"/>
      <c r="TGI2476" s="124"/>
      <c r="TGJ2476" s="124"/>
      <c r="TGK2476" s="124"/>
      <c r="TGL2476" s="124"/>
      <c r="TGM2476" s="124"/>
      <c r="TGN2476" s="124"/>
      <c r="TGO2476" s="124"/>
      <c r="TGP2476" s="124"/>
      <c r="TGQ2476" s="124"/>
      <c r="TGR2476" s="124"/>
      <c r="TGS2476" s="124"/>
      <c r="TGT2476" s="124"/>
      <c r="TGU2476" s="124"/>
      <c r="TGV2476" s="124"/>
      <c r="TGW2476" s="124"/>
      <c r="TGX2476" s="124"/>
      <c r="TGY2476" s="124"/>
      <c r="TGZ2476" s="124"/>
      <c r="THA2476" s="124"/>
      <c r="THB2476" s="124"/>
      <c r="THC2476" s="124"/>
      <c r="THD2476" s="124"/>
      <c r="THE2476" s="124"/>
      <c r="THF2476" s="124"/>
      <c r="THG2476" s="124"/>
      <c r="THH2476" s="124"/>
      <c r="THI2476" s="124"/>
      <c r="THJ2476" s="124"/>
      <c r="THK2476" s="124"/>
      <c r="THL2476" s="124"/>
      <c r="THM2476" s="124"/>
      <c r="THN2476" s="124"/>
      <c r="THO2476" s="124"/>
      <c r="THP2476" s="124"/>
      <c r="THQ2476" s="124"/>
      <c r="THR2476" s="124"/>
      <c r="THS2476" s="124"/>
      <c r="THT2476" s="124"/>
      <c r="THU2476" s="124"/>
      <c r="THV2476" s="124"/>
      <c r="THW2476" s="124"/>
      <c r="THX2476" s="124"/>
      <c r="THY2476" s="124"/>
      <c r="THZ2476" s="124"/>
      <c r="TIA2476" s="124"/>
      <c r="TIB2476" s="124"/>
      <c r="TIC2476" s="124"/>
      <c r="TID2476" s="124"/>
      <c r="TIE2476" s="124"/>
      <c r="TIF2476" s="124"/>
      <c r="TIG2476" s="124"/>
      <c r="TIH2476" s="124"/>
      <c r="TII2476" s="124"/>
      <c r="TIJ2476" s="124"/>
      <c r="TIK2476" s="124"/>
      <c r="TIL2476" s="124"/>
      <c r="TIM2476" s="124"/>
      <c r="TIN2476" s="124"/>
      <c r="TIO2476" s="124"/>
      <c r="TIP2476" s="124"/>
      <c r="TIQ2476" s="124"/>
      <c r="TIR2476" s="124"/>
      <c r="TIS2476" s="124"/>
      <c r="TIT2476" s="124"/>
      <c r="TIU2476" s="124"/>
      <c r="TIV2476" s="124"/>
      <c r="TIW2476" s="124"/>
      <c r="TIX2476" s="124"/>
      <c r="TIY2476" s="124"/>
      <c r="TIZ2476" s="124"/>
      <c r="TJA2476" s="124"/>
      <c r="TJB2476" s="124"/>
      <c r="TJC2476" s="124"/>
      <c r="TJD2476" s="124"/>
      <c r="TJE2476" s="124"/>
      <c r="TJF2476" s="124"/>
      <c r="TJG2476" s="124"/>
      <c r="TJH2476" s="124"/>
      <c r="TJI2476" s="124"/>
      <c r="TJJ2476" s="124"/>
      <c r="TJK2476" s="124"/>
      <c r="TJL2476" s="124"/>
      <c r="TJM2476" s="124"/>
      <c r="TJN2476" s="124"/>
      <c r="TJO2476" s="124"/>
      <c r="TJP2476" s="124"/>
      <c r="TJQ2476" s="124"/>
      <c r="TJR2476" s="124"/>
      <c r="TJS2476" s="124"/>
      <c r="TJT2476" s="124"/>
      <c r="TJU2476" s="124"/>
      <c r="TJV2476" s="124"/>
      <c r="TJW2476" s="124"/>
      <c r="TJX2476" s="124"/>
      <c r="TJY2476" s="124"/>
      <c r="TJZ2476" s="124"/>
      <c r="TKA2476" s="124"/>
      <c r="TKB2476" s="124"/>
      <c r="TKC2476" s="124"/>
      <c r="TKD2476" s="124"/>
      <c r="TKE2476" s="124"/>
      <c r="TKF2476" s="124"/>
      <c r="TKG2476" s="124"/>
      <c r="TKH2476" s="124"/>
      <c r="TKI2476" s="124"/>
      <c r="TKJ2476" s="124"/>
      <c r="TKK2476" s="124"/>
      <c r="TKL2476" s="124"/>
      <c r="TKM2476" s="124"/>
      <c r="TKN2476" s="124"/>
      <c r="TKO2476" s="124"/>
      <c r="TKP2476" s="124"/>
      <c r="TKQ2476" s="124"/>
      <c r="TKR2476" s="124"/>
      <c r="TKS2476" s="124"/>
      <c r="TKT2476" s="124"/>
      <c r="TKU2476" s="124"/>
      <c r="TKV2476" s="124"/>
      <c r="TKW2476" s="124"/>
      <c r="TKX2476" s="124"/>
      <c r="TKY2476" s="124"/>
      <c r="TKZ2476" s="124"/>
      <c r="TLA2476" s="124"/>
      <c r="TLB2476" s="124"/>
      <c r="TLC2476" s="124"/>
      <c r="TLD2476" s="124"/>
      <c r="TLE2476" s="124"/>
      <c r="TLF2476" s="124"/>
      <c r="TLG2476" s="124"/>
      <c r="TLH2476" s="124"/>
      <c r="TLI2476" s="124"/>
      <c r="TLJ2476" s="124"/>
      <c r="TLK2476" s="124"/>
      <c r="TLL2476" s="124"/>
      <c r="TLM2476" s="124"/>
      <c r="TLN2476" s="124"/>
      <c r="TLO2476" s="124"/>
      <c r="TLP2476" s="124"/>
      <c r="TLQ2476" s="124"/>
      <c r="TLR2476" s="124"/>
      <c r="TLS2476" s="124"/>
      <c r="TLT2476" s="124"/>
      <c r="TLU2476" s="124"/>
      <c r="TLV2476" s="124"/>
      <c r="TLW2476" s="124"/>
      <c r="TLX2476" s="124"/>
      <c r="TLY2476" s="124"/>
      <c r="TLZ2476" s="124"/>
      <c r="TMA2476" s="124"/>
      <c r="TMB2476" s="124"/>
      <c r="TMC2476" s="124"/>
      <c r="TMD2476" s="124"/>
      <c r="TME2476" s="124"/>
      <c r="TMF2476" s="124"/>
      <c r="TMG2476" s="124"/>
      <c r="TMH2476" s="124"/>
      <c r="TMI2476" s="124"/>
      <c r="TMJ2476" s="124"/>
      <c r="TMK2476" s="124"/>
      <c r="TML2476" s="124"/>
      <c r="TMM2476" s="124"/>
      <c r="TMN2476" s="124"/>
      <c r="TMO2476" s="124"/>
      <c r="TMP2476" s="124"/>
      <c r="TMQ2476" s="124"/>
      <c r="TMR2476" s="124"/>
      <c r="TMS2476" s="124"/>
      <c r="TMT2476" s="124"/>
      <c r="TMU2476" s="124"/>
      <c r="TMV2476" s="124"/>
      <c r="TMW2476" s="124"/>
      <c r="TMX2476" s="124"/>
      <c r="TMY2476" s="124"/>
      <c r="TMZ2476" s="124"/>
      <c r="TNA2476" s="124"/>
      <c r="TNB2476" s="124"/>
      <c r="TNC2476" s="124"/>
      <c r="TND2476" s="124"/>
      <c r="TNE2476" s="124"/>
      <c r="TNF2476" s="124"/>
      <c r="TNG2476" s="124"/>
      <c r="TNH2476" s="124"/>
      <c r="TNI2476" s="124"/>
      <c r="TNJ2476" s="124"/>
      <c r="TNK2476" s="124"/>
      <c r="TNL2476" s="124"/>
      <c r="TNM2476" s="124"/>
      <c r="TNN2476" s="124"/>
      <c r="TNO2476" s="124"/>
      <c r="TNP2476" s="124"/>
      <c r="TNQ2476" s="124"/>
      <c r="TNR2476" s="124"/>
      <c r="TNS2476" s="124"/>
      <c r="TNT2476" s="124"/>
      <c r="TNU2476" s="124"/>
      <c r="TNV2476" s="124"/>
      <c r="TNW2476" s="124"/>
      <c r="TNX2476" s="124"/>
      <c r="TNY2476" s="124"/>
      <c r="TNZ2476" s="124"/>
      <c r="TOA2476" s="124"/>
      <c r="TOB2476" s="124"/>
      <c r="TOC2476" s="124"/>
      <c r="TOD2476" s="124"/>
      <c r="TOE2476" s="124"/>
      <c r="TOF2476" s="124"/>
      <c r="TOG2476" s="124"/>
      <c r="TOH2476" s="124"/>
      <c r="TOI2476" s="124"/>
      <c r="TOJ2476" s="124"/>
      <c r="TOK2476" s="124"/>
      <c r="TOL2476" s="124"/>
      <c r="TOM2476" s="124"/>
      <c r="TON2476" s="124"/>
      <c r="TOO2476" s="124"/>
      <c r="TOP2476" s="124"/>
      <c r="TOQ2476" s="124"/>
      <c r="TOR2476" s="124"/>
      <c r="TOS2476" s="124"/>
      <c r="TOT2476" s="124"/>
      <c r="TOU2476" s="124"/>
      <c r="TOV2476" s="124"/>
      <c r="TOW2476" s="124"/>
      <c r="TOX2476" s="124"/>
      <c r="TOY2476" s="124"/>
      <c r="TOZ2476" s="124"/>
      <c r="TPA2476" s="124"/>
      <c r="TPB2476" s="124"/>
      <c r="TPC2476" s="124"/>
      <c r="TPD2476" s="124"/>
      <c r="TPE2476" s="124"/>
      <c r="TPF2476" s="124"/>
      <c r="TPG2476" s="124"/>
      <c r="TPH2476" s="124"/>
      <c r="TPI2476" s="124"/>
      <c r="TPJ2476" s="124"/>
      <c r="TPK2476" s="124"/>
      <c r="TPL2476" s="124"/>
      <c r="TPM2476" s="124"/>
      <c r="TPN2476" s="124"/>
      <c r="TPO2476" s="124"/>
      <c r="TPP2476" s="124"/>
      <c r="TPQ2476" s="124"/>
      <c r="TPR2476" s="124"/>
      <c r="TPS2476" s="124"/>
      <c r="TPT2476" s="124"/>
      <c r="TPU2476" s="124"/>
      <c r="TPV2476" s="124"/>
      <c r="TPW2476" s="124"/>
      <c r="TPX2476" s="124"/>
      <c r="TPY2476" s="124"/>
      <c r="TPZ2476" s="124"/>
      <c r="TQA2476" s="124"/>
      <c r="TQB2476" s="124"/>
      <c r="TQC2476" s="124"/>
      <c r="TQD2476" s="124"/>
      <c r="TQE2476" s="124"/>
      <c r="TQF2476" s="124"/>
      <c r="TQG2476" s="124"/>
      <c r="TQH2476" s="124"/>
      <c r="TQI2476" s="124"/>
      <c r="TQJ2476" s="124"/>
      <c r="TQK2476" s="124"/>
      <c r="TQL2476" s="124"/>
      <c r="TQM2476" s="124"/>
      <c r="TQN2476" s="124"/>
      <c r="TQO2476" s="124"/>
      <c r="TQP2476" s="124"/>
      <c r="TQQ2476" s="124"/>
      <c r="TQR2476" s="124"/>
      <c r="TQS2476" s="124"/>
      <c r="TQT2476" s="124"/>
      <c r="TQU2476" s="124"/>
      <c r="TQV2476" s="124"/>
      <c r="TQW2476" s="124"/>
      <c r="TQX2476" s="124"/>
      <c r="TQY2476" s="124"/>
      <c r="TQZ2476" s="124"/>
      <c r="TRA2476" s="124"/>
      <c r="TRB2476" s="124"/>
      <c r="TRC2476" s="124"/>
      <c r="TRD2476" s="124"/>
      <c r="TRE2476" s="124"/>
      <c r="TRF2476" s="124"/>
      <c r="TRG2476" s="124"/>
      <c r="TRH2476" s="124"/>
      <c r="TRI2476" s="124"/>
      <c r="TRJ2476" s="124"/>
      <c r="TRK2476" s="124"/>
      <c r="TRL2476" s="124"/>
      <c r="TRM2476" s="124"/>
      <c r="TRN2476" s="124"/>
      <c r="TRO2476" s="124"/>
      <c r="TRP2476" s="124"/>
      <c r="TRQ2476" s="124"/>
      <c r="TRR2476" s="124"/>
      <c r="TRS2476" s="124"/>
      <c r="TRT2476" s="124"/>
      <c r="TRU2476" s="124"/>
      <c r="TRV2476" s="124"/>
      <c r="TRW2476" s="124"/>
      <c r="TRX2476" s="124"/>
      <c r="TRY2476" s="124"/>
      <c r="TRZ2476" s="124"/>
      <c r="TSA2476" s="124"/>
      <c r="TSB2476" s="124"/>
      <c r="TSC2476" s="124"/>
      <c r="TSD2476" s="124"/>
      <c r="TSE2476" s="124"/>
      <c r="TSF2476" s="124"/>
      <c r="TSG2476" s="124"/>
      <c r="TSH2476" s="124"/>
      <c r="TSI2476" s="124"/>
      <c r="TSJ2476" s="124"/>
      <c r="TSK2476" s="124"/>
      <c r="TSL2476" s="124"/>
      <c r="TSM2476" s="124"/>
      <c r="TSN2476" s="124"/>
      <c r="TSO2476" s="124"/>
      <c r="TSP2476" s="124"/>
      <c r="TSQ2476" s="124"/>
      <c r="TSR2476" s="124"/>
      <c r="TSS2476" s="124"/>
      <c r="TST2476" s="124"/>
      <c r="TSU2476" s="124"/>
      <c r="TSV2476" s="124"/>
      <c r="TSW2476" s="124"/>
      <c r="TSX2476" s="124"/>
      <c r="TSY2476" s="124"/>
      <c r="TSZ2476" s="124"/>
      <c r="TTA2476" s="124"/>
      <c r="TTB2476" s="124"/>
      <c r="TTC2476" s="124"/>
      <c r="TTD2476" s="124"/>
      <c r="TTE2476" s="124"/>
      <c r="TTF2476" s="124"/>
      <c r="TTG2476" s="124"/>
      <c r="TTH2476" s="124"/>
      <c r="TTI2476" s="124"/>
      <c r="TTJ2476" s="124"/>
      <c r="TTK2476" s="124"/>
      <c r="TTL2476" s="124"/>
      <c r="TTM2476" s="124"/>
      <c r="TTN2476" s="124"/>
      <c r="TTO2476" s="124"/>
      <c r="TTP2476" s="124"/>
      <c r="TTQ2476" s="124"/>
      <c r="TTR2476" s="124"/>
      <c r="TTS2476" s="124"/>
      <c r="TTT2476" s="124"/>
      <c r="TTU2476" s="124"/>
      <c r="TTV2476" s="124"/>
      <c r="TTW2476" s="124"/>
      <c r="TTX2476" s="124"/>
      <c r="TTY2476" s="124"/>
      <c r="TTZ2476" s="124"/>
      <c r="TUA2476" s="124"/>
      <c r="TUB2476" s="124"/>
      <c r="TUC2476" s="124"/>
      <c r="TUD2476" s="124"/>
      <c r="TUE2476" s="124"/>
      <c r="TUF2476" s="124"/>
      <c r="TUG2476" s="124"/>
      <c r="TUH2476" s="124"/>
      <c r="TUI2476" s="124"/>
      <c r="TUJ2476" s="124"/>
      <c r="TUK2476" s="124"/>
      <c r="TUL2476" s="124"/>
      <c r="TUM2476" s="124"/>
      <c r="TUN2476" s="124"/>
      <c r="TUO2476" s="124"/>
      <c r="TUP2476" s="124"/>
      <c r="TUQ2476" s="124"/>
      <c r="TUR2476" s="124"/>
      <c r="TUS2476" s="124"/>
      <c r="TUT2476" s="124"/>
      <c r="TUU2476" s="124"/>
      <c r="TUV2476" s="124"/>
      <c r="TUW2476" s="124"/>
      <c r="TUX2476" s="124"/>
      <c r="TUY2476" s="124"/>
      <c r="TUZ2476" s="124"/>
      <c r="TVA2476" s="124"/>
      <c r="TVB2476" s="124"/>
      <c r="TVC2476" s="124"/>
      <c r="TVD2476" s="124"/>
      <c r="TVE2476" s="124"/>
      <c r="TVF2476" s="124"/>
      <c r="TVG2476" s="124"/>
      <c r="TVH2476" s="124"/>
      <c r="TVI2476" s="124"/>
      <c r="TVJ2476" s="124"/>
      <c r="TVK2476" s="124"/>
      <c r="TVL2476" s="124"/>
      <c r="TVM2476" s="124"/>
      <c r="TVN2476" s="124"/>
      <c r="TVO2476" s="124"/>
      <c r="TVP2476" s="124"/>
      <c r="TVQ2476" s="124"/>
      <c r="TVR2476" s="124"/>
      <c r="TVS2476" s="124"/>
      <c r="TVT2476" s="124"/>
      <c r="TVU2476" s="124"/>
      <c r="TVV2476" s="124"/>
      <c r="TVW2476" s="124"/>
      <c r="TVX2476" s="124"/>
      <c r="TVY2476" s="124"/>
      <c r="TVZ2476" s="124"/>
      <c r="TWA2476" s="124"/>
      <c r="TWB2476" s="124"/>
      <c r="TWC2476" s="124"/>
      <c r="TWD2476" s="124"/>
      <c r="TWE2476" s="124"/>
      <c r="TWF2476" s="124"/>
      <c r="TWG2476" s="124"/>
      <c r="TWH2476" s="124"/>
      <c r="TWI2476" s="124"/>
      <c r="TWJ2476" s="124"/>
      <c r="TWK2476" s="124"/>
      <c r="TWL2476" s="124"/>
      <c r="TWM2476" s="124"/>
      <c r="TWN2476" s="124"/>
      <c r="TWO2476" s="124"/>
      <c r="TWP2476" s="124"/>
      <c r="TWQ2476" s="124"/>
      <c r="TWR2476" s="124"/>
      <c r="TWS2476" s="124"/>
      <c r="TWT2476" s="124"/>
      <c r="TWU2476" s="124"/>
      <c r="TWV2476" s="124"/>
      <c r="TWW2476" s="124"/>
      <c r="TWX2476" s="124"/>
      <c r="TWY2476" s="124"/>
      <c r="TWZ2476" s="124"/>
      <c r="TXA2476" s="124"/>
      <c r="TXB2476" s="124"/>
      <c r="TXC2476" s="124"/>
      <c r="TXD2476" s="124"/>
      <c r="TXE2476" s="124"/>
      <c r="TXF2476" s="124"/>
      <c r="TXG2476" s="124"/>
      <c r="TXH2476" s="124"/>
      <c r="TXI2476" s="124"/>
      <c r="TXJ2476" s="124"/>
      <c r="TXK2476" s="124"/>
      <c r="TXL2476" s="124"/>
      <c r="TXM2476" s="124"/>
      <c r="TXN2476" s="124"/>
      <c r="TXO2476" s="124"/>
      <c r="TXP2476" s="124"/>
      <c r="TXQ2476" s="124"/>
      <c r="TXR2476" s="124"/>
      <c r="TXS2476" s="124"/>
      <c r="TXT2476" s="124"/>
      <c r="TXU2476" s="124"/>
      <c r="TXV2476" s="124"/>
      <c r="TXW2476" s="124"/>
      <c r="TXX2476" s="124"/>
      <c r="TXY2476" s="124"/>
      <c r="TXZ2476" s="124"/>
      <c r="TYA2476" s="124"/>
      <c r="TYB2476" s="124"/>
      <c r="TYC2476" s="124"/>
      <c r="TYD2476" s="124"/>
      <c r="TYE2476" s="124"/>
      <c r="TYF2476" s="124"/>
      <c r="TYG2476" s="124"/>
      <c r="TYH2476" s="124"/>
      <c r="TYI2476" s="124"/>
      <c r="TYJ2476" s="124"/>
      <c r="TYK2476" s="124"/>
      <c r="TYL2476" s="124"/>
      <c r="TYM2476" s="124"/>
      <c r="TYN2476" s="124"/>
      <c r="TYO2476" s="124"/>
      <c r="TYP2476" s="124"/>
      <c r="TYQ2476" s="124"/>
      <c r="TYR2476" s="124"/>
      <c r="TYS2476" s="124"/>
      <c r="TYT2476" s="124"/>
      <c r="TYU2476" s="124"/>
      <c r="TYV2476" s="124"/>
      <c r="TYW2476" s="124"/>
      <c r="TYX2476" s="124"/>
      <c r="TYY2476" s="124"/>
      <c r="TYZ2476" s="124"/>
      <c r="TZA2476" s="124"/>
      <c r="TZB2476" s="124"/>
      <c r="TZC2476" s="124"/>
      <c r="TZD2476" s="124"/>
      <c r="TZE2476" s="124"/>
      <c r="TZF2476" s="124"/>
      <c r="TZG2476" s="124"/>
      <c r="TZH2476" s="124"/>
      <c r="TZI2476" s="124"/>
      <c r="TZJ2476" s="124"/>
      <c r="TZK2476" s="124"/>
      <c r="TZL2476" s="124"/>
      <c r="TZM2476" s="124"/>
      <c r="TZN2476" s="124"/>
      <c r="TZO2476" s="124"/>
      <c r="TZP2476" s="124"/>
      <c r="TZQ2476" s="124"/>
      <c r="TZR2476" s="124"/>
      <c r="TZS2476" s="124"/>
      <c r="TZT2476" s="124"/>
      <c r="TZU2476" s="124"/>
      <c r="TZV2476" s="124"/>
      <c r="TZW2476" s="124"/>
      <c r="TZX2476" s="124"/>
      <c r="TZY2476" s="124"/>
      <c r="TZZ2476" s="124"/>
      <c r="UAA2476" s="124"/>
      <c r="UAB2476" s="124"/>
      <c r="UAC2476" s="124"/>
      <c r="UAD2476" s="124"/>
      <c r="UAE2476" s="124"/>
      <c r="UAF2476" s="124"/>
      <c r="UAG2476" s="124"/>
      <c r="UAH2476" s="124"/>
      <c r="UAI2476" s="124"/>
      <c r="UAJ2476" s="124"/>
      <c r="UAK2476" s="124"/>
      <c r="UAL2476" s="124"/>
      <c r="UAM2476" s="124"/>
      <c r="UAN2476" s="124"/>
      <c r="UAO2476" s="124"/>
      <c r="UAP2476" s="124"/>
      <c r="UAQ2476" s="124"/>
      <c r="UAR2476" s="124"/>
      <c r="UAS2476" s="124"/>
      <c r="UAT2476" s="124"/>
      <c r="UAU2476" s="124"/>
      <c r="UAV2476" s="124"/>
      <c r="UAW2476" s="124"/>
      <c r="UAX2476" s="124"/>
      <c r="UAY2476" s="124"/>
      <c r="UAZ2476" s="124"/>
      <c r="UBA2476" s="124"/>
      <c r="UBB2476" s="124"/>
      <c r="UBC2476" s="124"/>
      <c r="UBD2476" s="124"/>
      <c r="UBE2476" s="124"/>
      <c r="UBF2476" s="124"/>
      <c r="UBG2476" s="124"/>
      <c r="UBH2476" s="124"/>
      <c r="UBI2476" s="124"/>
      <c r="UBJ2476" s="124"/>
      <c r="UBK2476" s="124"/>
      <c r="UBL2476" s="124"/>
      <c r="UBM2476" s="124"/>
      <c r="UBN2476" s="124"/>
      <c r="UBO2476" s="124"/>
      <c r="UBP2476" s="124"/>
      <c r="UBQ2476" s="124"/>
      <c r="UBR2476" s="124"/>
      <c r="UBS2476" s="124"/>
      <c r="UBT2476" s="124"/>
      <c r="UBU2476" s="124"/>
      <c r="UBV2476" s="124"/>
      <c r="UBW2476" s="124"/>
      <c r="UBX2476" s="124"/>
      <c r="UBY2476" s="124"/>
      <c r="UBZ2476" s="124"/>
      <c r="UCA2476" s="124"/>
      <c r="UCB2476" s="124"/>
      <c r="UCC2476" s="124"/>
      <c r="UCD2476" s="124"/>
      <c r="UCE2476" s="124"/>
      <c r="UCF2476" s="124"/>
      <c r="UCG2476" s="124"/>
      <c r="UCH2476" s="124"/>
      <c r="UCI2476" s="124"/>
      <c r="UCJ2476" s="124"/>
      <c r="UCK2476" s="124"/>
      <c r="UCL2476" s="124"/>
      <c r="UCM2476" s="124"/>
      <c r="UCN2476" s="124"/>
      <c r="UCO2476" s="124"/>
      <c r="UCP2476" s="124"/>
      <c r="UCQ2476" s="124"/>
      <c r="UCR2476" s="124"/>
      <c r="UCS2476" s="124"/>
      <c r="UCT2476" s="124"/>
      <c r="UCU2476" s="124"/>
      <c r="UCV2476" s="124"/>
      <c r="UCW2476" s="124"/>
      <c r="UCX2476" s="124"/>
      <c r="UCY2476" s="124"/>
      <c r="UCZ2476" s="124"/>
      <c r="UDA2476" s="124"/>
      <c r="UDB2476" s="124"/>
      <c r="UDC2476" s="124"/>
      <c r="UDD2476" s="124"/>
      <c r="UDE2476" s="124"/>
      <c r="UDF2476" s="124"/>
      <c r="UDG2476" s="124"/>
      <c r="UDH2476" s="124"/>
      <c r="UDI2476" s="124"/>
      <c r="UDJ2476" s="124"/>
      <c r="UDK2476" s="124"/>
      <c r="UDL2476" s="124"/>
      <c r="UDM2476" s="124"/>
      <c r="UDN2476" s="124"/>
      <c r="UDO2476" s="124"/>
      <c r="UDP2476" s="124"/>
      <c r="UDQ2476" s="124"/>
      <c r="UDR2476" s="124"/>
      <c r="UDS2476" s="124"/>
      <c r="UDT2476" s="124"/>
      <c r="UDU2476" s="124"/>
      <c r="UDV2476" s="124"/>
      <c r="UDW2476" s="124"/>
      <c r="UDX2476" s="124"/>
      <c r="UDY2476" s="124"/>
      <c r="UDZ2476" s="124"/>
      <c r="UEA2476" s="124"/>
      <c r="UEB2476" s="124"/>
      <c r="UEC2476" s="124"/>
      <c r="UED2476" s="124"/>
      <c r="UEE2476" s="124"/>
      <c r="UEF2476" s="124"/>
      <c r="UEG2476" s="124"/>
      <c r="UEH2476" s="124"/>
      <c r="UEI2476" s="124"/>
      <c r="UEJ2476" s="124"/>
      <c r="UEK2476" s="124"/>
      <c r="UEL2476" s="124"/>
      <c r="UEM2476" s="124"/>
      <c r="UEN2476" s="124"/>
      <c r="UEO2476" s="124"/>
      <c r="UEP2476" s="124"/>
      <c r="UEQ2476" s="124"/>
      <c r="UER2476" s="124"/>
      <c r="UES2476" s="124"/>
      <c r="UET2476" s="124"/>
      <c r="UEU2476" s="124"/>
      <c r="UEV2476" s="124"/>
      <c r="UEW2476" s="124"/>
      <c r="UEX2476" s="124"/>
      <c r="UEY2476" s="124"/>
      <c r="UEZ2476" s="124"/>
      <c r="UFA2476" s="124"/>
      <c r="UFB2476" s="124"/>
      <c r="UFC2476" s="124"/>
      <c r="UFD2476" s="124"/>
      <c r="UFE2476" s="124"/>
      <c r="UFF2476" s="124"/>
      <c r="UFG2476" s="124"/>
      <c r="UFH2476" s="124"/>
      <c r="UFI2476" s="124"/>
      <c r="UFJ2476" s="124"/>
      <c r="UFK2476" s="124"/>
      <c r="UFL2476" s="124"/>
      <c r="UFM2476" s="124"/>
      <c r="UFN2476" s="124"/>
      <c r="UFO2476" s="124"/>
      <c r="UFP2476" s="124"/>
      <c r="UFQ2476" s="124"/>
      <c r="UFR2476" s="124"/>
      <c r="UFS2476" s="124"/>
      <c r="UFT2476" s="124"/>
      <c r="UFU2476" s="124"/>
      <c r="UFV2476" s="124"/>
      <c r="UFW2476" s="124"/>
      <c r="UFX2476" s="124"/>
      <c r="UFY2476" s="124"/>
      <c r="UFZ2476" s="124"/>
      <c r="UGA2476" s="124"/>
      <c r="UGB2476" s="124"/>
      <c r="UGC2476" s="124"/>
      <c r="UGD2476" s="124"/>
      <c r="UGE2476" s="124"/>
      <c r="UGF2476" s="124"/>
      <c r="UGG2476" s="124"/>
      <c r="UGH2476" s="124"/>
      <c r="UGI2476" s="124"/>
      <c r="UGJ2476" s="124"/>
      <c r="UGK2476" s="124"/>
      <c r="UGL2476" s="124"/>
      <c r="UGM2476" s="124"/>
      <c r="UGN2476" s="124"/>
      <c r="UGO2476" s="124"/>
      <c r="UGP2476" s="124"/>
      <c r="UGQ2476" s="124"/>
      <c r="UGR2476" s="124"/>
      <c r="UGS2476" s="124"/>
      <c r="UGT2476" s="124"/>
      <c r="UGU2476" s="124"/>
      <c r="UGV2476" s="124"/>
      <c r="UGW2476" s="124"/>
      <c r="UGX2476" s="124"/>
      <c r="UGY2476" s="124"/>
      <c r="UGZ2476" s="124"/>
      <c r="UHA2476" s="124"/>
      <c r="UHB2476" s="124"/>
      <c r="UHC2476" s="124"/>
      <c r="UHD2476" s="124"/>
      <c r="UHE2476" s="124"/>
      <c r="UHF2476" s="124"/>
      <c r="UHG2476" s="124"/>
      <c r="UHH2476" s="124"/>
      <c r="UHI2476" s="124"/>
      <c r="UHJ2476" s="124"/>
      <c r="UHK2476" s="124"/>
      <c r="UHL2476" s="124"/>
      <c r="UHM2476" s="124"/>
      <c r="UHN2476" s="124"/>
      <c r="UHO2476" s="124"/>
      <c r="UHP2476" s="124"/>
      <c r="UHQ2476" s="124"/>
      <c r="UHR2476" s="124"/>
      <c r="UHS2476" s="124"/>
      <c r="UHT2476" s="124"/>
      <c r="UHU2476" s="124"/>
      <c r="UHV2476" s="124"/>
      <c r="UHW2476" s="124"/>
      <c r="UHX2476" s="124"/>
      <c r="UHY2476" s="124"/>
      <c r="UHZ2476" s="124"/>
      <c r="UIA2476" s="124"/>
      <c r="UIB2476" s="124"/>
      <c r="UIC2476" s="124"/>
      <c r="UID2476" s="124"/>
      <c r="UIE2476" s="124"/>
      <c r="UIF2476" s="124"/>
      <c r="UIG2476" s="124"/>
      <c r="UIH2476" s="124"/>
      <c r="UII2476" s="124"/>
      <c r="UIJ2476" s="124"/>
      <c r="UIK2476" s="124"/>
      <c r="UIL2476" s="124"/>
      <c r="UIM2476" s="124"/>
      <c r="UIN2476" s="124"/>
      <c r="UIO2476" s="124"/>
      <c r="UIP2476" s="124"/>
      <c r="UIQ2476" s="124"/>
      <c r="UIR2476" s="124"/>
      <c r="UIS2476" s="124"/>
      <c r="UIT2476" s="124"/>
      <c r="UIU2476" s="124"/>
      <c r="UIV2476" s="124"/>
      <c r="UIW2476" s="124"/>
      <c r="UIX2476" s="124"/>
      <c r="UIY2476" s="124"/>
      <c r="UIZ2476" s="124"/>
      <c r="UJA2476" s="124"/>
      <c r="UJB2476" s="124"/>
      <c r="UJC2476" s="124"/>
      <c r="UJD2476" s="124"/>
      <c r="UJE2476" s="124"/>
      <c r="UJF2476" s="124"/>
      <c r="UJG2476" s="124"/>
      <c r="UJH2476" s="124"/>
      <c r="UJI2476" s="124"/>
      <c r="UJJ2476" s="124"/>
      <c r="UJK2476" s="124"/>
      <c r="UJL2476" s="124"/>
      <c r="UJM2476" s="124"/>
      <c r="UJN2476" s="124"/>
      <c r="UJO2476" s="124"/>
      <c r="UJP2476" s="124"/>
      <c r="UJQ2476" s="124"/>
      <c r="UJR2476" s="124"/>
      <c r="UJS2476" s="124"/>
      <c r="UJT2476" s="124"/>
      <c r="UJU2476" s="124"/>
      <c r="UJV2476" s="124"/>
      <c r="UJW2476" s="124"/>
      <c r="UJX2476" s="124"/>
      <c r="UJY2476" s="124"/>
      <c r="UJZ2476" s="124"/>
      <c r="UKA2476" s="124"/>
      <c r="UKB2476" s="124"/>
      <c r="UKC2476" s="124"/>
      <c r="UKD2476" s="124"/>
      <c r="UKE2476" s="124"/>
      <c r="UKF2476" s="124"/>
      <c r="UKG2476" s="124"/>
      <c r="UKH2476" s="124"/>
      <c r="UKI2476" s="124"/>
      <c r="UKJ2476" s="124"/>
      <c r="UKK2476" s="124"/>
      <c r="UKL2476" s="124"/>
      <c r="UKM2476" s="124"/>
      <c r="UKN2476" s="124"/>
      <c r="UKO2476" s="124"/>
      <c r="UKP2476" s="124"/>
      <c r="UKQ2476" s="124"/>
      <c r="UKR2476" s="124"/>
      <c r="UKS2476" s="124"/>
      <c r="UKT2476" s="124"/>
      <c r="UKU2476" s="124"/>
      <c r="UKV2476" s="124"/>
      <c r="UKW2476" s="124"/>
      <c r="UKX2476" s="124"/>
      <c r="UKY2476" s="124"/>
      <c r="UKZ2476" s="124"/>
      <c r="ULA2476" s="124"/>
      <c r="ULB2476" s="124"/>
      <c r="ULC2476" s="124"/>
      <c r="ULD2476" s="124"/>
      <c r="ULE2476" s="124"/>
      <c r="ULF2476" s="124"/>
      <c r="ULG2476" s="124"/>
      <c r="ULH2476" s="124"/>
      <c r="ULI2476" s="124"/>
      <c r="ULJ2476" s="124"/>
      <c r="ULK2476" s="124"/>
      <c r="ULL2476" s="124"/>
      <c r="ULM2476" s="124"/>
      <c r="ULN2476" s="124"/>
      <c r="ULO2476" s="124"/>
      <c r="ULP2476" s="124"/>
      <c r="ULQ2476" s="124"/>
      <c r="ULR2476" s="124"/>
      <c r="ULS2476" s="124"/>
      <c r="ULT2476" s="124"/>
      <c r="ULU2476" s="124"/>
      <c r="ULV2476" s="124"/>
      <c r="ULW2476" s="124"/>
      <c r="ULX2476" s="124"/>
      <c r="ULY2476" s="124"/>
      <c r="ULZ2476" s="124"/>
      <c r="UMA2476" s="124"/>
      <c r="UMB2476" s="124"/>
      <c r="UMC2476" s="124"/>
      <c r="UMD2476" s="124"/>
      <c r="UME2476" s="124"/>
      <c r="UMF2476" s="124"/>
      <c r="UMG2476" s="124"/>
      <c r="UMH2476" s="124"/>
      <c r="UMI2476" s="124"/>
      <c r="UMJ2476" s="124"/>
      <c r="UMK2476" s="124"/>
      <c r="UML2476" s="124"/>
      <c r="UMM2476" s="124"/>
      <c r="UMN2476" s="124"/>
      <c r="UMO2476" s="124"/>
      <c r="UMP2476" s="124"/>
      <c r="UMQ2476" s="124"/>
      <c r="UMR2476" s="124"/>
      <c r="UMS2476" s="124"/>
      <c r="UMT2476" s="124"/>
      <c r="UMU2476" s="124"/>
      <c r="UMV2476" s="124"/>
      <c r="UMW2476" s="124"/>
      <c r="UMX2476" s="124"/>
      <c r="UMY2476" s="124"/>
      <c r="UMZ2476" s="124"/>
      <c r="UNA2476" s="124"/>
      <c r="UNB2476" s="124"/>
      <c r="UNC2476" s="124"/>
      <c r="UND2476" s="124"/>
      <c r="UNE2476" s="124"/>
      <c r="UNF2476" s="124"/>
      <c r="UNG2476" s="124"/>
      <c r="UNH2476" s="124"/>
      <c r="UNI2476" s="124"/>
      <c r="UNJ2476" s="124"/>
      <c r="UNK2476" s="124"/>
      <c r="UNL2476" s="124"/>
      <c r="UNM2476" s="124"/>
      <c r="UNN2476" s="124"/>
      <c r="UNO2476" s="124"/>
      <c r="UNP2476" s="124"/>
      <c r="UNQ2476" s="124"/>
      <c r="UNR2476" s="124"/>
      <c r="UNS2476" s="124"/>
      <c r="UNT2476" s="124"/>
      <c r="UNU2476" s="124"/>
      <c r="UNV2476" s="124"/>
      <c r="UNW2476" s="124"/>
      <c r="UNX2476" s="124"/>
      <c r="UNY2476" s="124"/>
      <c r="UNZ2476" s="124"/>
      <c r="UOA2476" s="124"/>
      <c r="UOB2476" s="124"/>
      <c r="UOC2476" s="124"/>
      <c r="UOD2476" s="124"/>
      <c r="UOE2476" s="124"/>
      <c r="UOF2476" s="124"/>
      <c r="UOG2476" s="124"/>
      <c r="UOH2476" s="124"/>
      <c r="UOI2476" s="124"/>
      <c r="UOJ2476" s="124"/>
      <c r="UOK2476" s="124"/>
      <c r="UOL2476" s="124"/>
      <c r="UOM2476" s="124"/>
      <c r="UON2476" s="124"/>
      <c r="UOO2476" s="124"/>
      <c r="UOP2476" s="124"/>
      <c r="UOQ2476" s="124"/>
      <c r="UOR2476" s="124"/>
      <c r="UOS2476" s="124"/>
      <c r="UOT2476" s="124"/>
      <c r="UOU2476" s="124"/>
      <c r="UOV2476" s="124"/>
      <c r="UOW2476" s="124"/>
      <c r="UOX2476" s="124"/>
      <c r="UOY2476" s="124"/>
      <c r="UOZ2476" s="124"/>
      <c r="UPA2476" s="124"/>
      <c r="UPB2476" s="124"/>
      <c r="UPC2476" s="124"/>
      <c r="UPD2476" s="124"/>
      <c r="UPE2476" s="124"/>
      <c r="UPF2476" s="124"/>
      <c r="UPG2476" s="124"/>
      <c r="UPH2476" s="124"/>
      <c r="UPI2476" s="124"/>
      <c r="UPJ2476" s="124"/>
      <c r="UPK2476" s="124"/>
      <c r="UPL2476" s="124"/>
      <c r="UPM2476" s="124"/>
      <c r="UPN2476" s="124"/>
      <c r="UPO2476" s="124"/>
      <c r="UPP2476" s="124"/>
      <c r="UPQ2476" s="124"/>
      <c r="UPR2476" s="124"/>
      <c r="UPS2476" s="124"/>
      <c r="UPT2476" s="124"/>
      <c r="UPU2476" s="124"/>
      <c r="UPV2476" s="124"/>
      <c r="UPW2476" s="124"/>
      <c r="UPX2476" s="124"/>
      <c r="UPY2476" s="124"/>
      <c r="UPZ2476" s="124"/>
      <c r="UQA2476" s="124"/>
      <c r="UQB2476" s="124"/>
      <c r="UQC2476" s="124"/>
      <c r="UQD2476" s="124"/>
      <c r="UQE2476" s="124"/>
      <c r="UQF2476" s="124"/>
      <c r="UQG2476" s="124"/>
      <c r="UQH2476" s="124"/>
      <c r="UQI2476" s="124"/>
      <c r="UQJ2476" s="124"/>
      <c r="UQK2476" s="124"/>
      <c r="UQL2476" s="124"/>
      <c r="UQM2476" s="124"/>
      <c r="UQN2476" s="124"/>
      <c r="UQO2476" s="124"/>
      <c r="UQP2476" s="124"/>
      <c r="UQQ2476" s="124"/>
      <c r="UQR2476" s="124"/>
      <c r="UQS2476" s="124"/>
      <c r="UQT2476" s="124"/>
      <c r="UQU2476" s="124"/>
      <c r="UQV2476" s="124"/>
      <c r="UQW2476" s="124"/>
      <c r="UQX2476" s="124"/>
      <c r="UQY2476" s="124"/>
      <c r="UQZ2476" s="124"/>
      <c r="URA2476" s="124"/>
      <c r="URB2476" s="124"/>
      <c r="URC2476" s="124"/>
      <c r="URD2476" s="124"/>
      <c r="URE2476" s="124"/>
      <c r="URF2476" s="124"/>
      <c r="URG2476" s="124"/>
      <c r="URH2476" s="124"/>
      <c r="URI2476" s="124"/>
      <c r="URJ2476" s="124"/>
      <c r="URK2476" s="124"/>
      <c r="URL2476" s="124"/>
      <c r="URM2476" s="124"/>
      <c r="URN2476" s="124"/>
      <c r="URO2476" s="124"/>
      <c r="URP2476" s="124"/>
      <c r="URQ2476" s="124"/>
      <c r="URR2476" s="124"/>
      <c r="URS2476" s="124"/>
      <c r="URT2476" s="124"/>
      <c r="URU2476" s="124"/>
      <c r="URV2476" s="124"/>
      <c r="URW2476" s="124"/>
      <c r="URX2476" s="124"/>
      <c r="URY2476" s="124"/>
      <c r="URZ2476" s="124"/>
      <c r="USA2476" s="124"/>
      <c r="USB2476" s="124"/>
      <c r="USC2476" s="124"/>
      <c r="USD2476" s="124"/>
      <c r="USE2476" s="124"/>
      <c r="USF2476" s="124"/>
      <c r="USG2476" s="124"/>
      <c r="USH2476" s="124"/>
      <c r="USI2476" s="124"/>
      <c r="USJ2476" s="124"/>
      <c r="USK2476" s="124"/>
      <c r="USL2476" s="124"/>
      <c r="USM2476" s="124"/>
      <c r="USN2476" s="124"/>
      <c r="USO2476" s="124"/>
      <c r="USP2476" s="124"/>
      <c r="USQ2476" s="124"/>
      <c r="USR2476" s="124"/>
      <c r="USS2476" s="124"/>
      <c r="UST2476" s="124"/>
      <c r="USU2476" s="124"/>
      <c r="USV2476" s="124"/>
      <c r="USW2476" s="124"/>
      <c r="USX2476" s="124"/>
      <c r="USY2476" s="124"/>
      <c r="USZ2476" s="124"/>
      <c r="UTA2476" s="124"/>
      <c r="UTB2476" s="124"/>
      <c r="UTC2476" s="124"/>
      <c r="UTD2476" s="124"/>
      <c r="UTE2476" s="124"/>
      <c r="UTF2476" s="124"/>
      <c r="UTG2476" s="124"/>
      <c r="UTH2476" s="124"/>
      <c r="UTI2476" s="124"/>
      <c r="UTJ2476" s="124"/>
      <c r="UTK2476" s="124"/>
      <c r="UTL2476" s="124"/>
      <c r="UTM2476" s="124"/>
      <c r="UTN2476" s="124"/>
      <c r="UTO2476" s="124"/>
      <c r="UTP2476" s="124"/>
      <c r="UTQ2476" s="124"/>
      <c r="UTR2476" s="124"/>
      <c r="UTS2476" s="124"/>
      <c r="UTT2476" s="124"/>
      <c r="UTU2476" s="124"/>
      <c r="UTV2476" s="124"/>
      <c r="UTW2476" s="124"/>
      <c r="UTX2476" s="124"/>
      <c r="UTY2476" s="124"/>
      <c r="UTZ2476" s="124"/>
      <c r="UUA2476" s="124"/>
      <c r="UUB2476" s="124"/>
      <c r="UUC2476" s="124"/>
      <c r="UUD2476" s="124"/>
      <c r="UUE2476" s="124"/>
      <c r="UUF2476" s="124"/>
      <c r="UUG2476" s="124"/>
      <c r="UUH2476" s="124"/>
      <c r="UUI2476" s="124"/>
      <c r="UUJ2476" s="124"/>
      <c r="UUK2476" s="124"/>
      <c r="UUL2476" s="124"/>
      <c r="UUM2476" s="124"/>
      <c r="UUN2476" s="124"/>
      <c r="UUO2476" s="124"/>
      <c r="UUP2476" s="124"/>
      <c r="UUQ2476" s="124"/>
      <c r="UUR2476" s="124"/>
      <c r="UUS2476" s="124"/>
      <c r="UUT2476" s="124"/>
      <c r="UUU2476" s="124"/>
      <c r="UUV2476" s="124"/>
      <c r="UUW2476" s="124"/>
      <c r="UUX2476" s="124"/>
      <c r="UUY2476" s="124"/>
      <c r="UUZ2476" s="124"/>
      <c r="UVA2476" s="124"/>
      <c r="UVB2476" s="124"/>
      <c r="UVC2476" s="124"/>
      <c r="UVD2476" s="124"/>
      <c r="UVE2476" s="124"/>
      <c r="UVF2476" s="124"/>
      <c r="UVG2476" s="124"/>
      <c r="UVH2476" s="124"/>
      <c r="UVI2476" s="124"/>
      <c r="UVJ2476" s="124"/>
      <c r="UVK2476" s="124"/>
      <c r="UVL2476" s="124"/>
      <c r="UVM2476" s="124"/>
      <c r="UVN2476" s="124"/>
      <c r="UVO2476" s="124"/>
      <c r="UVP2476" s="124"/>
      <c r="UVQ2476" s="124"/>
      <c r="UVR2476" s="124"/>
      <c r="UVS2476" s="124"/>
      <c r="UVT2476" s="124"/>
      <c r="UVU2476" s="124"/>
      <c r="UVV2476" s="124"/>
      <c r="UVW2476" s="124"/>
      <c r="UVX2476" s="124"/>
      <c r="UVY2476" s="124"/>
      <c r="UVZ2476" s="124"/>
      <c r="UWA2476" s="124"/>
      <c r="UWB2476" s="124"/>
      <c r="UWC2476" s="124"/>
      <c r="UWD2476" s="124"/>
      <c r="UWE2476" s="124"/>
      <c r="UWF2476" s="124"/>
      <c r="UWG2476" s="124"/>
      <c r="UWH2476" s="124"/>
      <c r="UWI2476" s="124"/>
      <c r="UWJ2476" s="124"/>
      <c r="UWK2476" s="124"/>
      <c r="UWL2476" s="124"/>
      <c r="UWM2476" s="124"/>
      <c r="UWN2476" s="124"/>
      <c r="UWO2476" s="124"/>
      <c r="UWP2476" s="124"/>
      <c r="UWQ2476" s="124"/>
      <c r="UWR2476" s="124"/>
      <c r="UWS2476" s="124"/>
      <c r="UWT2476" s="124"/>
      <c r="UWU2476" s="124"/>
      <c r="UWV2476" s="124"/>
      <c r="UWW2476" s="124"/>
      <c r="UWX2476" s="124"/>
      <c r="UWY2476" s="124"/>
      <c r="UWZ2476" s="124"/>
      <c r="UXA2476" s="124"/>
      <c r="UXB2476" s="124"/>
      <c r="UXC2476" s="124"/>
      <c r="UXD2476" s="124"/>
      <c r="UXE2476" s="124"/>
      <c r="UXF2476" s="124"/>
      <c r="UXG2476" s="124"/>
      <c r="UXH2476" s="124"/>
      <c r="UXI2476" s="124"/>
      <c r="UXJ2476" s="124"/>
      <c r="UXK2476" s="124"/>
      <c r="UXL2476" s="124"/>
      <c r="UXM2476" s="124"/>
      <c r="UXN2476" s="124"/>
      <c r="UXO2476" s="124"/>
      <c r="UXP2476" s="124"/>
      <c r="UXQ2476" s="124"/>
      <c r="UXR2476" s="124"/>
      <c r="UXS2476" s="124"/>
      <c r="UXT2476" s="124"/>
      <c r="UXU2476" s="124"/>
      <c r="UXV2476" s="124"/>
      <c r="UXW2476" s="124"/>
      <c r="UXX2476" s="124"/>
      <c r="UXY2476" s="124"/>
      <c r="UXZ2476" s="124"/>
      <c r="UYA2476" s="124"/>
      <c r="UYB2476" s="124"/>
      <c r="UYC2476" s="124"/>
      <c r="UYD2476" s="124"/>
      <c r="UYE2476" s="124"/>
      <c r="UYF2476" s="124"/>
      <c r="UYG2476" s="124"/>
      <c r="UYH2476" s="124"/>
      <c r="UYI2476" s="124"/>
      <c r="UYJ2476" s="124"/>
      <c r="UYK2476" s="124"/>
      <c r="UYL2476" s="124"/>
      <c r="UYM2476" s="124"/>
      <c r="UYN2476" s="124"/>
      <c r="UYO2476" s="124"/>
      <c r="UYP2476" s="124"/>
      <c r="UYQ2476" s="124"/>
      <c r="UYR2476" s="124"/>
      <c r="UYS2476" s="124"/>
      <c r="UYT2476" s="124"/>
      <c r="UYU2476" s="124"/>
      <c r="UYV2476" s="124"/>
      <c r="UYW2476" s="124"/>
      <c r="UYX2476" s="124"/>
      <c r="UYY2476" s="124"/>
      <c r="UYZ2476" s="124"/>
      <c r="UZA2476" s="124"/>
      <c r="UZB2476" s="124"/>
      <c r="UZC2476" s="124"/>
      <c r="UZD2476" s="124"/>
      <c r="UZE2476" s="124"/>
      <c r="UZF2476" s="124"/>
      <c r="UZG2476" s="124"/>
      <c r="UZH2476" s="124"/>
      <c r="UZI2476" s="124"/>
      <c r="UZJ2476" s="124"/>
      <c r="UZK2476" s="124"/>
      <c r="UZL2476" s="124"/>
      <c r="UZM2476" s="124"/>
      <c r="UZN2476" s="124"/>
      <c r="UZO2476" s="124"/>
      <c r="UZP2476" s="124"/>
      <c r="UZQ2476" s="124"/>
      <c r="UZR2476" s="124"/>
      <c r="UZS2476" s="124"/>
      <c r="UZT2476" s="124"/>
      <c r="UZU2476" s="124"/>
      <c r="UZV2476" s="124"/>
      <c r="UZW2476" s="124"/>
      <c r="UZX2476" s="124"/>
      <c r="UZY2476" s="124"/>
      <c r="UZZ2476" s="124"/>
      <c r="VAA2476" s="124"/>
      <c r="VAB2476" s="124"/>
      <c r="VAC2476" s="124"/>
      <c r="VAD2476" s="124"/>
      <c r="VAE2476" s="124"/>
      <c r="VAF2476" s="124"/>
      <c r="VAG2476" s="124"/>
      <c r="VAH2476" s="124"/>
      <c r="VAI2476" s="124"/>
      <c r="VAJ2476" s="124"/>
      <c r="VAK2476" s="124"/>
      <c r="VAL2476" s="124"/>
      <c r="VAM2476" s="124"/>
      <c r="VAN2476" s="124"/>
      <c r="VAO2476" s="124"/>
      <c r="VAP2476" s="124"/>
      <c r="VAQ2476" s="124"/>
      <c r="VAR2476" s="124"/>
      <c r="VAS2476" s="124"/>
      <c r="VAT2476" s="124"/>
      <c r="VAU2476" s="124"/>
      <c r="VAV2476" s="124"/>
      <c r="VAW2476" s="124"/>
      <c r="VAX2476" s="124"/>
      <c r="VAY2476" s="124"/>
      <c r="VAZ2476" s="124"/>
      <c r="VBA2476" s="124"/>
      <c r="VBB2476" s="124"/>
      <c r="VBC2476" s="124"/>
      <c r="VBD2476" s="124"/>
      <c r="VBE2476" s="124"/>
      <c r="VBF2476" s="124"/>
      <c r="VBG2476" s="124"/>
      <c r="VBH2476" s="124"/>
      <c r="VBI2476" s="124"/>
      <c r="VBJ2476" s="124"/>
      <c r="VBK2476" s="124"/>
      <c r="VBL2476" s="124"/>
      <c r="VBM2476" s="124"/>
      <c r="VBN2476" s="124"/>
      <c r="VBO2476" s="124"/>
      <c r="VBP2476" s="124"/>
      <c r="VBQ2476" s="124"/>
      <c r="VBR2476" s="124"/>
      <c r="VBS2476" s="124"/>
      <c r="VBT2476" s="124"/>
      <c r="VBU2476" s="124"/>
      <c r="VBV2476" s="124"/>
      <c r="VBW2476" s="124"/>
      <c r="VBX2476" s="124"/>
      <c r="VBY2476" s="124"/>
      <c r="VBZ2476" s="124"/>
      <c r="VCA2476" s="124"/>
      <c r="VCB2476" s="124"/>
      <c r="VCC2476" s="124"/>
      <c r="VCD2476" s="124"/>
      <c r="VCE2476" s="124"/>
      <c r="VCF2476" s="124"/>
      <c r="VCG2476" s="124"/>
      <c r="VCH2476" s="124"/>
      <c r="VCI2476" s="124"/>
      <c r="VCJ2476" s="124"/>
      <c r="VCK2476" s="124"/>
      <c r="VCL2476" s="124"/>
      <c r="VCM2476" s="124"/>
      <c r="VCN2476" s="124"/>
      <c r="VCO2476" s="124"/>
      <c r="VCP2476" s="124"/>
      <c r="VCQ2476" s="124"/>
      <c r="VCR2476" s="124"/>
      <c r="VCS2476" s="124"/>
      <c r="VCT2476" s="124"/>
      <c r="VCU2476" s="124"/>
      <c r="VCV2476" s="124"/>
      <c r="VCW2476" s="124"/>
      <c r="VCX2476" s="124"/>
      <c r="VCY2476" s="124"/>
      <c r="VCZ2476" s="124"/>
      <c r="VDA2476" s="124"/>
      <c r="VDB2476" s="124"/>
      <c r="VDC2476" s="124"/>
      <c r="VDD2476" s="124"/>
      <c r="VDE2476" s="124"/>
      <c r="VDF2476" s="124"/>
      <c r="VDG2476" s="124"/>
      <c r="VDH2476" s="124"/>
      <c r="VDI2476" s="124"/>
      <c r="VDJ2476" s="124"/>
      <c r="VDK2476" s="124"/>
      <c r="VDL2476" s="124"/>
      <c r="VDM2476" s="124"/>
      <c r="VDN2476" s="124"/>
      <c r="VDO2476" s="124"/>
      <c r="VDP2476" s="124"/>
      <c r="VDQ2476" s="124"/>
      <c r="VDR2476" s="124"/>
      <c r="VDS2476" s="124"/>
      <c r="VDT2476" s="124"/>
      <c r="VDU2476" s="124"/>
      <c r="VDV2476" s="124"/>
      <c r="VDW2476" s="124"/>
      <c r="VDX2476" s="124"/>
      <c r="VDY2476" s="124"/>
      <c r="VDZ2476" s="124"/>
      <c r="VEA2476" s="124"/>
      <c r="VEB2476" s="124"/>
      <c r="VEC2476" s="124"/>
      <c r="VED2476" s="124"/>
      <c r="VEE2476" s="124"/>
      <c r="VEF2476" s="124"/>
      <c r="VEG2476" s="124"/>
      <c r="VEH2476" s="124"/>
      <c r="VEI2476" s="124"/>
      <c r="VEJ2476" s="124"/>
      <c r="VEK2476" s="124"/>
      <c r="VEL2476" s="124"/>
      <c r="VEM2476" s="124"/>
      <c r="VEN2476" s="124"/>
      <c r="VEO2476" s="124"/>
      <c r="VEP2476" s="124"/>
      <c r="VEQ2476" s="124"/>
      <c r="VER2476" s="124"/>
      <c r="VES2476" s="124"/>
      <c r="VET2476" s="124"/>
      <c r="VEU2476" s="124"/>
      <c r="VEV2476" s="124"/>
      <c r="VEW2476" s="124"/>
      <c r="VEX2476" s="124"/>
      <c r="VEY2476" s="124"/>
      <c r="VEZ2476" s="124"/>
      <c r="VFA2476" s="124"/>
      <c r="VFB2476" s="124"/>
      <c r="VFC2476" s="124"/>
      <c r="VFD2476" s="124"/>
      <c r="VFE2476" s="124"/>
      <c r="VFF2476" s="124"/>
      <c r="VFG2476" s="124"/>
      <c r="VFH2476" s="124"/>
      <c r="VFI2476" s="124"/>
      <c r="VFJ2476" s="124"/>
      <c r="VFK2476" s="124"/>
      <c r="VFL2476" s="124"/>
      <c r="VFM2476" s="124"/>
      <c r="VFN2476" s="124"/>
      <c r="VFO2476" s="124"/>
      <c r="VFP2476" s="124"/>
      <c r="VFQ2476" s="124"/>
      <c r="VFR2476" s="124"/>
      <c r="VFS2476" s="124"/>
      <c r="VFT2476" s="124"/>
      <c r="VFU2476" s="124"/>
      <c r="VFV2476" s="124"/>
      <c r="VFW2476" s="124"/>
      <c r="VFX2476" s="124"/>
      <c r="VFY2476" s="124"/>
      <c r="VFZ2476" s="124"/>
      <c r="VGA2476" s="124"/>
      <c r="VGB2476" s="124"/>
      <c r="VGC2476" s="124"/>
      <c r="VGD2476" s="124"/>
      <c r="VGE2476" s="124"/>
      <c r="VGF2476" s="124"/>
      <c r="VGG2476" s="124"/>
      <c r="VGH2476" s="124"/>
      <c r="VGI2476" s="124"/>
      <c r="VGJ2476" s="124"/>
      <c r="VGK2476" s="124"/>
      <c r="VGL2476" s="124"/>
      <c r="VGM2476" s="124"/>
      <c r="VGN2476" s="124"/>
      <c r="VGO2476" s="124"/>
      <c r="VGP2476" s="124"/>
      <c r="VGQ2476" s="124"/>
      <c r="VGR2476" s="124"/>
      <c r="VGS2476" s="124"/>
      <c r="VGT2476" s="124"/>
      <c r="VGU2476" s="124"/>
      <c r="VGV2476" s="124"/>
      <c r="VGW2476" s="124"/>
      <c r="VGX2476" s="124"/>
      <c r="VGY2476" s="124"/>
      <c r="VGZ2476" s="124"/>
      <c r="VHA2476" s="124"/>
      <c r="VHB2476" s="124"/>
      <c r="VHC2476" s="124"/>
      <c r="VHD2476" s="124"/>
      <c r="VHE2476" s="124"/>
      <c r="VHF2476" s="124"/>
      <c r="VHG2476" s="124"/>
      <c r="VHH2476" s="124"/>
      <c r="VHI2476" s="124"/>
      <c r="VHJ2476" s="124"/>
      <c r="VHK2476" s="124"/>
      <c r="VHL2476" s="124"/>
      <c r="VHM2476" s="124"/>
      <c r="VHN2476" s="124"/>
      <c r="VHO2476" s="124"/>
      <c r="VHP2476" s="124"/>
      <c r="VHQ2476" s="124"/>
      <c r="VHR2476" s="124"/>
      <c r="VHS2476" s="124"/>
      <c r="VHT2476" s="124"/>
      <c r="VHU2476" s="124"/>
      <c r="VHV2476" s="124"/>
      <c r="VHW2476" s="124"/>
      <c r="VHX2476" s="124"/>
      <c r="VHY2476" s="124"/>
      <c r="VHZ2476" s="124"/>
      <c r="VIA2476" s="124"/>
      <c r="VIB2476" s="124"/>
      <c r="VIC2476" s="124"/>
      <c r="VID2476" s="124"/>
      <c r="VIE2476" s="124"/>
      <c r="VIF2476" s="124"/>
      <c r="VIG2476" s="124"/>
      <c r="VIH2476" s="124"/>
      <c r="VII2476" s="124"/>
      <c r="VIJ2476" s="124"/>
      <c r="VIK2476" s="124"/>
      <c r="VIL2476" s="124"/>
      <c r="VIM2476" s="124"/>
      <c r="VIN2476" s="124"/>
      <c r="VIO2476" s="124"/>
      <c r="VIP2476" s="124"/>
      <c r="VIQ2476" s="124"/>
      <c r="VIR2476" s="124"/>
      <c r="VIS2476" s="124"/>
      <c r="VIT2476" s="124"/>
      <c r="VIU2476" s="124"/>
      <c r="VIV2476" s="124"/>
      <c r="VIW2476" s="124"/>
      <c r="VIX2476" s="124"/>
      <c r="VIY2476" s="124"/>
      <c r="VIZ2476" s="124"/>
      <c r="VJA2476" s="124"/>
      <c r="VJB2476" s="124"/>
      <c r="VJC2476" s="124"/>
      <c r="VJD2476" s="124"/>
      <c r="VJE2476" s="124"/>
      <c r="VJF2476" s="124"/>
      <c r="VJG2476" s="124"/>
      <c r="VJH2476" s="124"/>
      <c r="VJI2476" s="124"/>
      <c r="VJJ2476" s="124"/>
      <c r="VJK2476" s="124"/>
      <c r="VJL2476" s="124"/>
      <c r="VJM2476" s="124"/>
      <c r="VJN2476" s="124"/>
      <c r="VJO2476" s="124"/>
      <c r="VJP2476" s="124"/>
      <c r="VJQ2476" s="124"/>
      <c r="VJR2476" s="124"/>
      <c r="VJS2476" s="124"/>
      <c r="VJT2476" s="124"/>
      <c r="VJU2476" s="124"/>
      <c r="VJV2476" s="124"/>
      <c r="VJW2476" s="124"/>
      <c r="VJX2476" s="124"/>
      <c r="VJY2476" s="124"/>
      <c r="VJZ2476" s="124"/>
      <c r="VKA2476" s="124"/>
      <c r="VKB2476" s="124"/>
      <c r="VKC2476" s="124"/>
      <c r="VKD2476" s="124"/>
      <c r="VKE2476" s="124"/>
      <c r="VKF2476" s="124"/>
      <c r="VKG2476" s="124"/>
      <c r="VKH2476" s="124"/>
      <c r="VKI2476" s="124"/>
      <c r="VKJ2476" s="124"/>
      <c r="VKK2476" s="124"/>
      <c r="VKL2476" s="124"/>
      <c r="VKM2476" s="124"/>
      <c r="VKN2476" s="124"/>
      <c r="VKO2476" s="124"/>
      <c r="VKP2476" s="124"/>
      <c r="VKQ2476" s="124"/>
      <c r="VKR2476" s="124"/>
      <c r="VKS2476" s="124"/>
      <c r="VKT2476" s="124"/>
      <c r="VKU2476" s="124"/>
      <c r="VKV2476" s="124"/>
      <c r="VKW2476" s="124"/>
      <c r="VKX2476" s="124"/>
      <c r="VKY2476" s="124"/>
      <c r="VKZ2476" s="124"/>
      <c r="VLA2476" s="124"/>
      <c r="VLB2476" s="124"/>
      <c r="VLC2476" s="124"/>
      <c r="VLD2476" s="124"/>
      <c r="VLE2476" s="124"/>
      <c r="VLF2476" s="124"/>
      <c r="VLG2476" s="124"/>
      <c r="VLH2476" s="124"/>
      <c r="VLI2476" s="124"/>
      <c r="VLJ2476" s="124"/>
      <c r="VLK2476" s="124"/>
      <c r="VLL2476" s="124"/>
      <c r="VLM2476" s="124"/>
      <c r="VLN2476" s="124"/>
      <c r="VLO2476" s="124"/>
      <c r="VLP2476" s="124"/>
      <c r="VLQ2476" s="124"/>
      <c r="VLR2476" s="124"/>
      <c r="VLS2476" s="124"/>
      <c r="VLT2476" s="124"/>
      <c r="VLU2476" s="124"/>
      <c r="VLV2476" s="124"/>
      <c r="VLW2476" s="124"/>
      <c r="VLX2476" s="124"/>
      <c r="VLY2476" s="124"/>
      <c r="VLZ2476" s="124"/>
      <c r="VMA2476" s="124"/>
      <c r="VMB2476" s="124"/>
      <c r="VMC2476" s="124"/>
      <c r="VMD2476" s="124"/>
      <c r="VME2476" s="124"/>
      <c r="VMF2476" s="124"/>
      <c r="VMG2476" s="124"/>
      <c r="VMH2476" s="124"/>
      <c r="VMI2476" s="124"/>
      <c r="VMJ2476" s="124"/>
      <c r="VMK2476" s="124"/>
      <c r="VML2476" s="124"/>
      <c r="VMM2476" s="124"/>
      <c r="VMN2476" s="124"/>
      <c r="VMO2476" s="124"/>
      <c r="VMP2476" s="124"/>
      <c r="VMQ2476" s="124"/>
      <c r="VMR2476" s="124"/>
      <c r="VMS2476" s="124"/>
      <c r="VMT2476" s="124"/>
      <c r="VMU2476" s="124"/>
      <c r="VMV2476" s="124"/>
      <c r="VMW2476" s="124"/>
      <c r="VMX2476" s="124"/>
      <c r="VMY2476" s="124"/>
      <c r="VMZ2476" s="124"/>
      <c r="VNA2476" s="124"/>
      <c r="VNB2476" s="124"/>
      <c r="VNC2476" s="124"/>
      <c r="VND2476" s="124"/>
      <c r="VNE2476" s="124"/>
      <c r="VNF2476" s="124"/>
      <c r="VNG2476" s="124"/>
      <c r="VNH2476" s="124"/>
      <c r="VNI2476" s="124"/>
      <c r="VNJ2476" s="124"/>
      <c r="VNK2476" s="124"/>
      <c r="VNL2476" s="124"/>
      <c r="VNM2476" s="124"/>
      <c r="VNN2476" s="124"/>
      <c r="VNO2476" s="124"/>
      <c r="VNP2476" s="124"/>
      <c r="VNQ2476" s="124"/>
      <c r="VNR2476" s="124"/>
      <c r="VNS2476" s="124"/>
      <c r="VNT2476" s="124"/>
      <c r="VNU2476" s="124"/>
      <c r="VNV2476" s="124"/>
      <c r="VNW2476" s="124"/>
      <c r="VNX2476" s="124"/>
      <c r="VNY2476" s="124"/>
      <c r="VNZ2476" s="124"/>
      <c r="VOA2476" s="124"/>
      <c r="VOB2476" s="124"/>
      <c r="VOC2476" s="124"/>
      <c r="VOD2476" s="124"/>
      <c r="VOE2476" s="124"/>
      <c r="VOF2476" s="124"/>
      <c r="VOG2476" s="124"/>
      <c r="VOH2476" s="124"/>
      <c r="VOI2476" s="124"/>
      <c r="VOJ2476" s="124"/>
      <c r="VOK2476" s="124"/>
      <c r="VOL2476" s="124"/>
      <c r="VOM2476" s="124"/>
      <c r="VON2476" s="124"/>
      <c r="VOO2476" s="124"/>
      <c r="VOP2476" s="124"/>
      <c r="VOQ2476" s="124"/>
      <c r="VOR2476" s="124"/>
      <c r="VOS2476" s="124"/>
      <c r="VOT2476" s="124"/>
      <c r="VOU2476" s="124"/>
      <c r="VOV2476" s="124"/>
      <c r="VOW2476" s="124"/>
      <c r="VOX2476" s="124"/>
      <c r="VOY2476" s="124"/>
      <c r="VOZ2476" s="124"/>
      <c r="VPA2476" s="124"/>
      <c r="VPB2476" s="124"/>
      <c r="VPC2476" s="124"/>
      <c r="VPD2476" s="124"/>
      <c r="VPE2476" s="124"/>
      <c r="VPF2476" s="124"/>
      <c r="VPG2476" s="124"/>
      <c r="VPH2476" s="124"/>
      <c r="VPI2476" s="124"/>
      <c r="VPJ2476" s="124"/>
      <c r="VPK2476" s="124"/>
      <c r="VPL2476" s="124"/>
      <c r="VPM2476" s="124"/>
      <c r="VPN2476" s="124"/>
      <c r="VPO2476" s="124"/>
      <c r="VPP2476" s="124"/>
      <c r="VPQ2476" s="124"/>
      <c r="VPR2476" s="124"/>
      <c r="VPS2476" s="124"/>
      <c r="VPT2476" s="124"/>
      <c r="VPU2476" s="124"/>
      <c r="VPV2476" s="124"/>
      <c r="VPW2476" s="124"/>
      <c r="VPX2476" s="124"/>
      <c r="VPY2476" s="124"/>
      <c r="VPZ2476" s="124"/>
      <c r="VQA2476" s="124"/>
      <c r="VQB2476" s="124"/>
      <c r="VQC2476" s="124"/>
      <c r="VQD2476" s="124"/>
      <c r="VQE2476" s="124"/>
      <c r="VQF2476" s="124"/>
      <c r="VQG2476" s="124"/>
      <c r="VQH2476" s="124"/>
      <c r="VQI2476" s="124"/>
      <c r="VQJ2476" s="124"/>
      <c r="VQK2476" s="124"/>
      <c r="VQL2476" s="124"/>
      <c r="VQM2476" s="124"/>
      <c r="VQN2476" s="124"/>
      <c r="VQO2476" s="124"/>
      <c r="VQP2476" s="124"/>
      <c r="VQQ2476" s="124"/>
      <c r="VQR2476" s="124"/>
      <c r="VQS2476" s="124"/>
      <c r="VQT2476" s="124"/>
      <c r="VQU2476" s="124"/>
      <c r="VQV2476" s="124"/>
      <c r="VQW2476" s="124"/>
      <c r="VQX2476" s="124"/>
      <c r="VQY2476" s="124"/>
      <c r="VQZ2476" s="124"/>
      <c r="VRA2476" s="124"/>
      <c r="VRB2476" s="124"/>
      <c r="VRC2476" s="124"/>
      <c r="VRD2476" s="124"/>
      <c r="VRE2476" s="124"/>
      <c r="VRF2476" s="124"/>
      <c r="VRG2476" s="124"/>
      <c r="VRH2476" s="124"/>
      <c r="VRI2476" s="124"/>
      <c r="VRJ2476" s="124"/>
      <c r="VRK2476" s="124"/>
      <c r="VRL2476" s="124"/>
      <c r="VRM2476" s="124"/>
      <c r="VRN2476" s="124"/>
      <c r="VRO2476" s="124"/>
      <c r="VRP2476" s="124"/>
      <c r="VRQ2476" s="124"/>
      <c r="VRR2476" s="124"/>
      <c r="VRS2476" s="124"/>
      <c r="VRT2476" s="124"/>
      <c r="VRU2476" s="124"/>
      <c r="VRV2476" s="124"/>
      <c r="VRW2476" s="124"/>
      <c r="VRX2476" s="124"/>
      <c r="VRY2476" s="124"/>
      <c r="VRZ2476" s="124"/>
      <c r="VSA2476" s="124"/>
      <c r="VSB2476" s="124"/>
      <c r="VSC2476" s="124"/>
      <c r="VSD2476" s="124"/>
      <c r="VSE2476" s="124"/>
      <c r="VSF2476" s="124"/>
      <c r="VSG2476" s="124"/>
      <c r="VSH2476" s="124"/>
      <c r="VSI2476" s="124"/>
      <c r="VSJ2476" s="124"/>
      <c r="VSK2476" s="124"/>
      <c r="VSL2476" s="124"/>
      <c r="VSM2476" s="124"/>
      <c r="VSN2476" s="124"/>
      <c r="VSO2476" s="124"/>
      <c r="VSP2476" s="124"/>
      <c r="VSQ2476" s="124"/>
      <c r="VSR2476" s="124"/>
      <c r="VSS2476" s="124"/>
      <c r="VST2476" s="124"/>
      <c r="VSU2476" s="124"/>
      <c r="VSV2476" s="124"/>
      <c r="VSW2476" s="124"/>
      <c r="VSX2476" s="124"/>
      <c r="VSY2476" s="124"/>
      <c r="VSZ2476" s="124"/>
      <c r="VTA2476" s="124"/>
      <c r="VTB2476" s="124"/>
      <c r="VTC2476" s="124"/>
      <c r="VTD2476" s="124"/>
      <c r="VTE2476" s="124"/>
      <c r="VTF2476" s="124"/>
      <c r="VTG2476" s="124"/>
      <c r="VTH2476" s="124"/>
      <c r="VTI2476" s="124"/>
      <c r="VTJ2476" s="124"/>
      <c r="VTK2476" s="124"/>
      <c r="VTL2476" s="124"/>
      <c r="VTM2476" s="124"/>
      <c r="VTN2476" s="124"/>
      <c r="VTO2476" s="124"/>
      <c r="VTP2476" s="124"/>
      <c r="VTQ2476" s="124"/>
      <c r="VTR2476" s="124"/>
      <c r="VTS2476" s="124"/>
      <c r="VTT2476" s="124"/>
      <c r="VTU2476" s="124"/>
      <c r="VTV2476" s="124"/>
      <c r="VTW2476" s="124"/>
      <c r="VTX2476" s="124"/>
      <c r="VTY2476" s="124"/>
      <c r="VTZ2476" s="124"/>
      <c r="VUA2476" s="124"/>
      <c r="VUB2476" s="124"/>
      <c r="VUC2476" s="124"/>
      <c r="VUD2476" s="124"/>
      <c r="VUE2476" s="124"/>
      <c r="VUF2476" s="124"/>
      <c r="VUG2476" s="124"/>
      <c r="VUH2476" s="124"/>
      <c r="VUI2476" s="124"/>
      <c r="VUJ2476" s="124"/>
      <c r="VUK2476" s="124"/>
      <c r="VUL2476" s="124"/>
      <c r="VUM2476" s="124"/>
      <c r="VUN2476" s="124"/>
      <c r="VUO2476" s="124"/>
      <c r="VUP2476" s="124"/>
      <c r="VUQ2476" s="124"/>
      <c r="VUR2476" s="124"/>
      <c r="VUS2476" s="124"/>
      <c r="VUT2476" s="124"/>
      <c r="VUU2476" s="124"/>
      <c r="VUV2476" s="124"/>
      <c r="VUW2476" s="124"/>
      <c r="VUX2476" s="124"/>
      <c r="VUY2476" s="124"/>
      <c r="VUZ2476" s="124"/>
      <c r="VVA2476" s="124"/>
      <c r="VVB2476" s="124"/>
      <c r="VVC2476" s="124"/>
      <c r="VVD2476" s="124"/>
      <c r="VVE2476" s="124"/>
      <c r="VVF2476" s="124"/>
      <c r="VVG2476" s="124"/>
      <c r="VVH2476" s="124"/>
      <c r="VVI2476" s="124"/>
      <c r="VVJ2476" s="124"/>
      <c r="VVK2476" s="124"/>
      <c r="VVL2476" s="124"/>
      <c r="VVM2476" s="124"/>
      <c r="VVN2476" s="124"/>
      <c r="VVO2476" s="124"/>
      <c r="VVP2476" s="124"/>
      <c r="VVQ2476" s="124"/>
      <c r="VVR2476" s="124"/>
      <c r="VVS2476" s="124"/>
      <c r="VVT2476" s="124"/>
      <c r="VVU2476" s="124"/>
      <c r="VVV2476" s="124"/>
      <c r="VVW2476" s="124"/>
      <c r="VVX2476" s="124"/>
      <c r="VVY2476" s="124"/>
      <c r="VVZ2476" s="124"/>
      <c r="VWA2476" s="124"/>
      <c r="VWB2476" s="124"/>
      <c r="VWC2476" s="124"/>
      <c r="VWD2476" s="124"/>
      <c r="VWE2476" s="124"/>
      <c r="VWF2476" s="124"/>
      <c r="VWG2476" s="124"/>
      <c r="VWH2476" s="124"/>
      <c r="VWI2476" s="124"/>
      <c r="VWJ2476" s="124"/>
      <c r="VWK2476" s="124"/>
      <c r="VWL2476" s="124"/>
      <c r="VWM2476" s="124"/>
      <c r="VWN2476" s="124"/>
      <c r="VWO2476" s="124"/>
      <c r="VWP2476" s="124"/>
      <c r="VWQ2476" s="124"/>
      <c r="VWR2476" s="124"/>
      <c r="VWS2476" s="124"/>
      <c r="VWT2476" s="124"/>
      <c r="VWU2476" s="124"/>
      <c r="VWV2476" s="124"/>
      <c r="VWW2476" s="124"/>
      <c r="VWX2476" s="124"/>
      <c r="VWY2476" s="124"/>
      <c r="VWZ2476" s="124"/>
      <c r="VXA2476" s="124"/>
      <c r="VXB2476" s="124"/>
      <c r="VXC2476" s="124"/>
      <c r="VXD2476" s="124"/>
      <c r="VXE2476" s="124"/>
      <c r="VXF2476" s="124"/>
      <c r="VXG2476" s="124"/>
      <c r="VXH2476" s="124"/>
      <c r="VXI2476" s="124"/>
      <c r="VXJ2476" s="124"/>
      <c r="VXK2476" s="124"/>
      <c r="VXL2476" s="124"/>
      <c r="VXM2476" s="124"/>
      <c r="VXN2476" s="124"/>
      <c r="VXO2476" s="124"/>
      <c r="VXP2476" s="124"/>
      <c r="VXQ2476" s="124"/>
      <c r="VXR2476" s="124"/>
      <c r="VXS2476" s="124"/>
      <c r="VXT2476" s="124"/>
      <c r="VXU2476" s="124"/>
      <c r="VXV2476" s="124"/>
      <c r="VXW2476" s="124"/>
      <c r="VXX2476" s="124"/>
      <c r="VXY2476" s="124"/>
      <c r="VXZ2476" s="124"/>
      <c r="VYA2476" s="124"/>
      <c r="VYB2476" s="124"/>
      <c r="VYC2476" s="124"/>
      <c r="VYD2476" s="124"/>
      <c r="VYE2476" s="124"/>
      <c r="VYF2476" s="124"/>
      <c r="VYG2476" s="124"/>
      <c r="VYH2476" s="124"/>
      <c r="VYI2476" s="124"/>
      <c r="VYJ2476" s="124"/>
      <c r="VYK2476" s="124"/>
      <c r="VYL2476" s="124"/>
      <c r="VYM2476" s="124"/>
      <c r="VYN2476" s="124"/>
      <c r="VYO2476" s="124"/>
      <c r="VYP2476" s="124"/>
      <c r="VYQ2476" s="124"/>
      <c r="VYR2476" s="124"/>
      <c r="VYS2476" s="124"/>
      <c r="VYT2476" s="124"/>
      <c r="VYU2476" s="124"/>
      <c r="VYV2476" s="124"/>
      <c r="VYW2476" s="124"/>
      <c r="VYX2476" s="124"/>
      <c r="VYY2476" s="124"/>
      <c r="VYZ2476" s="124"/>
      <c r="VZA2476" s="124"/>
      <c r="VZB2476" s="124"/>
      <c r="VZC2476" s="124"/>
      <c r="VZD2476" s="124"/>
      <c r="VZE2476" s="124"/>
      <c r="VZF2476" s="124"/>
      <c r="VZG2476" s="124"/>
      <c r="VZH2476" s="124"/>
      <c r="VZI2476" s="124"/>
      <c r="VZJ2476" s="124"/>
      <c r="VZK2476" s="124"/>
      <c r="VZL2476" s="124"/>
      <c r="VZM2476" s="124"/>
      <c r="VZN2476" s="124"/>
      <c r="VZO2476" s="124"/>
      <c r="VZP2476" s="124"/>
      <c r="VZQ2476" s="124"/>
      <c r="VZR2476" s="124"/>
      <c r="VZS2476" s="124"/>
      <c r="VZT2476" s="124"/>
      <c r="VZU2476" s="124"/>
      <c r="VZV2476" s="124"/>
      <c r="VZW2476" s="124"/>
      <c r="VZX2476" s="124"/>
      <c r="VZY2476" s="124"/>
      <c r="VZZ2476" s="124"/>
      <c r="WAA2476" s="124"/>
      <c r="WAB2476" s="124"/>
      <c r="WAC2476" s="124"/>
      <c r="WAD2476" s="124"/>
      <c r="WAE2476" s="124"/>
      <c r="WAF2476" s="124"/>
      <c r="WAG2476" s="124"/>
      <c r="WAH2476" s="124"/>
      <c r="WAI2476" s="124"/>
      <c r="WAJ2476" s="124"/>
      <c r="WAK2476" s="124"/>
      <c r="WAL2476" s="124"/>
      <c r="WAM2476" s="124"/>
      <c r="WAN2476" s="124"/>
      <c r="WAO2476" s="124"/>
      <c r="WAP2476" s="124"/>
      <c r="WAQ2476" s="124"/>
      <c r="WAR2476" s="124"/>
      <c r="WAS2476" s="124"/>
      <c r="WAT2476" s="124"/>
      <c r="WAU2476" s="124"/>
      <c r="WAV2476" s="124"/>
      <c r="WAW2476" s="124"/>
      <c r="WAX2476" s="124"/>
      <c r="WAY2476" s="124"/>
      <c r="WAZ2476" s="124"/>
      <c r="WBA2476" s="124"/>
      <c r="WBB2476" s="124"/>
      <c r="WBC2476" s="124"/>
      <c r="WBD2476" s="124"/>
      <c r="WBE2476" s="124"/>
      <c r="WBF2476" s="124"/>
      <c r="WBG2476" s="124"/>
      <c r="WBH2476" s="124"/>
      <c r="WBI2476" s="124"/>
      <c r="WBJ2476" s="124"/>
      <c r="WBK2476" s="124"/>
      <c r="WBL2476" s="124"/>
      <c r="WBM2476" s="124"/>
      <c r="WBN2476" s="124"/>
      <c r="WBO2476" s="124"/>
      <c r="WBP2476" s="124"/>
      <c r="WBQ2476" s="124"/>
      <c r="WBR2476" s="124"/>
      <c r="WBS2476" s="124"/>
      <c r="WBT2476" s="124"/>
      <c r="WBU2476" s="124"/>
      <c r="WBV2476" s="124"/>
      <c r="WBW2476" s="124"/>
      <c r="WBX2476" s="124"/>
      <c r="WBY2476" s="124"/>
      <c r="WBZ2476" s="124"/>
      <c r="WCA2476" s="124"/>
      <c r="WCB2476" s="124"/>
      <c r="WCC2476" s="124"/>
      <c r="WCD2476" s="124"/>
      <c r="WCE2476" s="124"/>
      <c r="WCF2476" s="124"/>
      <c r="WCG2476" s="124"/>
      <c r="WCH2476" s="124"/>
      <c r="WCI2476" s="124"/>
      <c r="WCJ2476" s="124"/>
      <c r="WCK2476" s="124"/>
      <c r="WCL2476" s="124"/>
      <c r="WCM2476" s="124"/>
      <c r="WCN2476" s="124"/>
      <c r="WCO2476" s="124"/>
      <c r="WCP2476" s="124"/>
      <c r="WCQ2476" s="124"/>
      <c r="WCR2476" s="124"/>
      <c r="WCS2476" s="124"/>
      <c r="WCT2476" s="124"/>
      <c r="WCU2476" s="124"/>
      <c r="WCV2476" s="124"/>
      <c r="WCW2476" s="124"/>
      <c r="WCX2476" s="124"/>
      <c r="WCY2476" s="124"/>
      <c r="WCZ2476" s="124"/>
      <c r="WDA2476" s="124"/>
      <c r="WDB2476" s="124"/>
      <c r="WDC2476" s="124"/>
      <c r="WDD2476" s="124"/>
      <c r="WDE2476" s="124"/>
      <c r="WDF2476" s="124"/>
      <c r="WDG2476" s="124"/>
      <c r="WDH2476" s="124"/>
      <c r="WDI2476" s="124"/>
      <c r="WDJ2476" s="124"/>
      <c r="WDK2476" s="124"/>
      <c r="WDL2476" s="124"/>
      <c r="WDM2476" s="124"/>
      <c r="WDN2476" s="124"/>
      <c r="WDO2476" s="124"/>
      <c r="WDP2476" s="124"/>
      <c r="WDQ2476" s="124"/>
      <c r="WDR2476" s="124"/>
      <c r="WDS2476" s="124"/>
      <c r="WDT2476" s="124"/>
      <c r="WDU2476" s="124"/>
      <c r="WDV2476" s="124"/>
      <c r="WDW2476" s="124"/>
      <c r="WDX2476" s="124"/>
      <c r="WDY2476" s="124"/>
      <c r="WDZ2476" s="124"/>
      <c r="WEA2476" s="124"/>
      <c r="WEB2476" s="124"/>
      <c r="WEC2476" s="124"/>
      <c r="WED2476" s="124"/>
      <c r="WEE2476" s="124"/>
      <c r="WEF2476" s="124"/>
      <c r="WEG2476" s="124"/>
      <c r="WEH2476" s="124"/>
      <c r="WEI2476" s="124"/>
      <c r="WEJ2476" s="124"/>
      <c r="WEK2476" s="124"/>
      <c r="WEL2476" s="124"/>
      <c r="WEM2476" s="124"/>
      <c r="WEN2476" s="124"/>
      <c r="WEO2476" s="124"/>
      <c r="WEP2476" s="124"/>
      <c r="WEQ2476" s="124"/>
      <c r="WER2476" s="124"/>
      <c r="WES2476" s="124"/>
      <c r="WET2476" s="124"/>
      <c r="WEU2476" s="124"/>
      <c r="WEV2476" s="124"/>
      <c r="WEW2476" s="124"/>
      <c r="WEX2476" s="124"/>
      <c r="WEY2476" s="124"/>
      <c r="WEZ2476" s="124"/>
      <c r="WFA2476" s="124"/>
      <c r="WFB2476" s="124"/>
      <c r="WFC2476" s="124"/>
      <c r="WFD2476" s="124"/>
      <c r="WFE2476" s="124"/>
      <c r="WFF2476" s="124"/>
      <c r="WFG2476" s="124"/>
      <c r="WFH2476" s="124"/>
      <c r="WFI2476" s="124"/>
      <c r="WFJ2476" s="124"/>
      <c r="WFK2476" s="124"/>
      <c r="WFL2476" s="124"/>
      <c r="WFM2476" s="124"/>
      <c r="WFN2476" s="124"/>
      <c r="WFO2476" s="124"/>
      <c r="WFP2476" s="124"/>
      <c r="WFQ2476" s="124"/>
      <c r="WFR2476" s="124"/>
      <c r="WFS2476" s="124"/>
      <c r="WFT2476" s="124"/>
      <c r="WFU2476" s="124"/>
      <c r="WFV2476" s="124"/>
      <c r="WFW2476" s="124"/>
      <c r="WFX2476" s="124"/>
      <c r="WFY2476" s="124"/>
      <c r="WFZ2476" s="124"/>
      <c r="WGA2476" s="124"/>
      <c r="WGB2476" s="124"/>
      <c r="WGC2476" s="124"/>
      <c r="WGD2476" s="124"/>
      <c r="WGE2476" s="124"/>
      <c r="WGF2476" s="124"/>
      <c r="WGG2476" s="124"/>
      <c r="WGH2476" s="124"/>
      <c r="WGI2476" s="124"/>
      <c r="WGJ2476" s="124"/>
      <c r="WGK2476" s="124"/>
      <c r="WGL2476" s="124"/>
      <c r="WGM2476" s="124"/>
      <c r="WGN2476" s="124"/>
      <c r="WGO2476" s="124"/>
      <c r="WGP2476" s="124"/>
      <c r="WGQ2476" s="124"/>
      <c r="WGR2476" s="124"/>
      <c r="WGS2476" s="124"/>
      <c r="WGT2476" s="124"/>
      <c r="WGU2476" s="124"/>
      <c r="WGV2476" s="124"/>
      <c r="WGW2476" s="124"/>
      <c r="WGX2476" s="124"/>
      <c r="WGY2476" s="124"/>
      <c r="WGZ2476" s="124"/>
      <c r="WHA2476" s="124"/>
      <c r="WHB2476" s="124"/>
      <c r="WHC2476" s="124"/>
      <c r="WHD2476" s="124"/>
      <c r="WHE2476" s="124"/>
      <c r="WHF2476" s="124"/>
      <c r="WHG2476" s="124"/>
      <c r="WHH2476" s="124"/>
      <c r="WHI2476" s="124"/>
      <c r="WHJ2476" s="124"/>
      <c r="WHK2476" s="124"/>
      <c r="WHL2476" s="124"/>
      <c r="WHM2476" s="124"/>
      <c r="WHN2476" s="124"/>
      <c r="WHO2476" s="124"/>
      <c r="WHP2476" s="124"/>
      <c r="WHQ2476" s="124"/>
      <c r="WHR2476" s="124"/>
      <c r="WHS2476" s="124"/>
      <c r="WHT2476" s="124"/>
      <c r="WHU2476" s="124"/>
      <c r="WHV2476" s="124"/>
      <c r="WHW2476" s="124"/>
      <c r="WHX2476" s="124"/>
      <c r="WHY2476" s="124"/>
      <c r="WHZ2476" s="124"/>
      <c r="WIA2476" s="124"/>
      <c r="WIB2476" s="124"/>
      <c r="WIC2476" s="124"/>
      <c r="WID2476" s="124"/>
      <c r="WIE2476" s="124"/>
      <c r="WIF2476" s="124"/>
      <c r="WIG2476" s="124"/>
      <c r="WIH2476" s="124"/>
      <c r="WII2476" s="124"/>
      <c r="WIJ2476" s="124"/>
      <c r="WIK2476" s="124"/>
      <c r="WIL2476" s="124"/>
      <c r="WIM2476" s="124"/>
      <c r="WIN2476" s="124"/>
      <c r="WIO2476" s="124"/>
      <c r="WIP2476" s="124"/>
      <c r="WIQ2476" s="124"/>
      <c r="WIR2476" s="124"/>
      <c r="WIS2476" s="124"/>
      <c r="WIT2476" s="124"/>
      <c r="WIU2476" s="124"/>
      <c r="WIV2476" s="124"/>
      <c r="WIW2476" s="124"/>
      <c r="WIX2476" s="124"/>
      <c r="WIY2476" s="124"/>
      <c r="WIZ2476" s="124"/>
      <c r="WJA2476" s="124"/>
      <c r="WJB2476" s="124"/>
      <c r="WJC2476" s="124"/>
      <c r="WJD2476" s="124"/>
      <c r="WJE2476" s="124"/>
      <c r="WJF2476" s="124"/>
      <c r="WJG2476" s="124"/>
      <c r="WJH2476" s="124"/>
      <c r="WJI2476" s="124"/>
      <c r="WJJ2476" s="124"/>
      <c r="WJK2476" s="124"/>
      <c r="WJL2476" s="124"/>
      <c r="WJM2476" s="124"/>
      <c r="WJN2476" s="124"/>
      <c r="WJO2476" s="124"/>
      <c r="WJP2476" s="124"/>
      <c r="WJQ2476" s="124"/>
      <c r="WJR2476" s="124"/>
      <c r="WJS2476" s="124"/>
      <c r="WJT2476" s="124"/>
      <c r="WJU2476" s="124"/>
      <c r="WJV2476" s="124"/>
      <c r="WJW2476" s="124"/>
      <c r="WJX2476" s="124"/>
      <c r="WJY2476" s="124"/>
      <c r="WJZ2476" s="124"/>
      <c r="WKA2476" s="124"/>
      <c r="WKB2476" s="124"/>
      <c r="WKC2476" s="124"/>
      <c r="WKD2476" s="124"/>
      <c r="WKE2476" s="124"/>
      <c r="WKF2476" s="124"/>
      <c r="WKG2476" s="124"/>
      <c r="WKH2476" s="124"/>
      <c r="WKI2476" s="124"/>
      <c r="WKJ2476" s="124"/>
      <c r="WKK2476" s="124"/>
      <c r="WKL2476" s="124"/>
      <c r="WKM2476" s="124"/>
      <c r="WKN2476" s="124"/>
      <c r="WKO2476" s="124"/>
      <c r="WKP2476" s="124"/>
      <c r="WKQ2476" s="124"/>
      <c r="WKR2476" s="124"/>
      <c r="WKS2476" s="124"/>
      <c r="WKT2476" s="124"/>
      <c r="WKU2476" s="124"/>
      <c r="WKV2476" s="124"/>
      <c r="WKW2476" s="124"/>
      <c r="WKX2476" s="124"/>
      <c r="WKY2476" s="124"/>
      <c r="WKZ2476" s="124"/>
      <c r="WLA2476" s="124"/>
      <c r="WLB2476" s="124"/>
      <c r="WLC2476" s="124"/>
      <c r="WLD2476" s="124"/>
      <c r="WLE2476" s="124"/>
      <c r="WLF2476" s="124"/>
      <c r="WLG2476" s="124"/>
      <c r="WLH2476" s="124"/>
      <c r="WLI2476" s="124"/>
      <c r="WLJ2476" s="124"/>
      <c r="WLK2476" s="124"/>
      <c r="WLL2476" s="124"/>
      <c r="WLM2476" s="124"/>
      <c r="WLN2476" s="124"/>
      <c r="WLO2476" s="124"/>
      <c r="WLP2476" s="124"/>
      <c r="WLQ2476" s="124"/>
      <c r="WLR2476" s="124"/>
      <c r="WLS2476" s="124"/>
      <c r="WLT2476" s="124"/>
      <c r="WLU2476" s="124"/>
      <c r="WLV2476" s="124"/>
      <c r="WLW2476" s="124"/>
      <c r="WLX2476" s="124"/>
      <c r="WLY2476" s="124"/>
      <c r="WLZ2476" s="124"/>
      <c r="WMA2476" s="124"/>
      <c r="WMB2476" s="124"/>
      <c r="WMC2476" s="124"/>
      <c r="WMD2476" s="124"/>
      <c r="WME2476" s="124"/>
      <c r="WMF2476" s="124"/>
      <c r="WMG2476" s="124"/>
      <c r="WMH2476" s="124"/>
      <c r="WMI2476" s="124"/>
      <c r="WMJ2476" s="124"/>
      <c r="WMK2476" s="124"/>
      <c r="WML2476" s="124"/>
      <c r="WMM2476" s="124"/>
      <c r="WMN2476" s="124"/>
      <c r="WMO2476" s="124"/>
      <c r="WMP2476" s="124"/>
      <c r="WMQ2476" s="124"/>
      <c r="WMR2476" s="124"/>
      <c r="WMS2476" s="124"/>
      <c r="WMT2476" s="124"/>
      <c r="WMU2476" s="124"/>
      <c r="WMV2476" s="124"/>
      <c r="WMW2476" s="124"/>
      <c r="WMX2476" s="124"/>
      <c r="WMY2476" s="124"/>
      <c r="WMZ2476" s="124"/>
      <c r="WNA2476" s="124"/>
      <c r="WNB2476" s="124"/>
      <c r="WNC2476" s="124"/>
      <c r="WND2476" s="124"/>
      <c r="WNE2476" s="124"/>
      <c r="WNF2476" s="124"/>
      <c r="WNG2476" s="124"/>
      <c r="WNH2476" s="124"/>
      <c r="WNI2476" s="124"/>
      <c r="WNJ2476" s="124"/>
      <c r="WNK2476" s="124"/>
      <c r="WNL2476" s="124"/>
      <c r="WNM2476" s="124"/>
      <c r="WNN2476" s="124"/>
      <c r="WNO2476" s="124"/>
      <c r="WNP2476" s="124"/>
      <c r="WNQ2476" s="124"/>
      <c r="WNR2476" s="124"/>
      <c r="WNS2476" s="124"/>
      <c r="WNT2476" s="124"/>
      <c r="WNU2476" s="124"/>
      <c r="WNV2476" s="124"/>
      <c r="WNW2476" s="124"/>
      <c r="WNX2476" s="124"/>
      <c r="WNY2476" s="124"/>
      <c r="WNZ2476" s="124"/>
      <c r="WOA2476" s="124"/>
      <c r="WOB2476" s="124"/>
      <c r="WOC2476" s="124"/>
      <c r="WOD2476" s="124"/>
      <c r="WOE2476" s="124"/>
      <c r="WOF2476" s="124"/>
      <c r="WOG2476" s="124"/>
      <c r="WOH2476" s="124"/>
      <c r="WOI2476" s="124"/>
      <c r="WOJ2476" s="124"/>
      <c r="WOK2476" s="124"/>
      <c r="WOL2476" s="124"/>
      <c r="WOM2476" s="124"/>
      <c r="WON2476" s="124"/>
      <c r="WOO2476" s="124"/>
      <c r="WOP2476" s="124"/>
      <c r="WOQ2476" s="124"/>
      <c r="WOR2476" s="124"/>
      <c r="WOS2476" s="124"/>
      <c r="WOT2476" s="124"/>
      <c r="WOU2476" s="124"/>
      <c r="WOV2476" s="124"/>
      <c r="WOW2476" s="124"/>
      <c r="WOX2476" s="124"/>
      <c r="WOY2476" s="124"/>
      <c r="WOZ2476" s="124"/>
      <c r="WPA2476" s="124"/>
      <c r="WPB2476" s="124"/>
      <c r="WPC2476" s="124"/>
      <c r="WPD2476" s="124"/>
      <c r="WPE2476" s="124"/>
      <c r="WPF2476" s="124"/>
      <c r="WPG2476" s="124"/>
      <c r="WPH2476" s="124"/>
      <c r="WPI2476" s="124"/>
      <c r="WPJ2476" s="124"/>
      <c r="WPK2476" s="124"/>
      <c r="WPL2476" s="124"/>
      <c r="WPM2476" s="124"/>
      <c r="WPN2476" s="124"/>
      <c r="WPO2476" s="124"/>
      <c r="WPP2476" s="124"/>
      <c r="WPQ2476" s="124"/>
      <c r="WPR2476" s="124"/>
      <c r="WPS2476" s="124"/>
      <c r="WPT2476" s="124"/>
      <c r="WPU2476" s="124"/>
      <c r="WPV2476" s="124"/>
      <c r="WPW2476" s="124"/>
      <c r="WPX2476" s="124"/>
      <c r="WPY2476" s="124"/>
      <c r="WPZ2476" s="124"/>
      <c r="WQA2476" s="124"/>
      <c r="WQB2476" s="124"/>
      <c r="WQC2476" s="124"/>
      <c r="WQD2476" s="124"/>
      <c r="WQE2476" s="124"/>
      <c r="WQF2476" s="124"/>
      <c r="WQG2476" s="124"/>
      <c r="WQH2476" s="124"/>
      <c r="WQI2476" s="124"/>
      <c r="WQJ2476" s="124"/>
      <c r="WQK2476" s="124"/>
      <c r="WQL2476" s="124"/>
      <c r="WQM2476" s="124"/>
      <c r="WQN2476" s="124"/>
      <c r="WQO2476" s="124"/>
      <c r="WQP2476" s="124"/>
      <c r="WQQ2476" s="124"/>
      <c r="WQR2476" s="124"/>
      <c r="WQS2476" s="124"/>
      <c r="WQT2476" s="124"/>
      <c r="WQU2476" s="124"/>
      <c r="WQV2476" s="124"/>
      <c r="WQW2476" s="124"/>
      <c r="WQX2476" s="124"/>
      <c r="WQY2476" s="124"/>
      <c r="WQZ2476" s="124"/>
      <c r="WRA2476" s="124"/>
      <c r="WRB2476" s="124"/>
      <c r="WRC2476" s="124"/>
      <c r="WRD2476" s="124"/>
      <c r="WRE2476" s="124"/>
      <c r="WRF2476" s="124"/>
      <c r="WRG2476" s="124"/>
      <c r="WRH2476" s="124"/>
      <c r="WRI2476" s="124"/>
      <c r="WRJ2476" s="124"/>
      <c r="WRK2476" s="124"/>
      <c r="WRL2476" s="124"/>
      <c r="WRM2476" s="124"/>
      <c r="WRN2476" s="124"/>
      <c r="WRO2476" s="124"/>
      <c r="WRP2476" s="124"/>
      <c r="WRQ2476" s="124"/>
      <c r="WRR2476" s="124"/>
      <c r="WRS2476" s="124"/>
      <c r="WRT2476" s="124"/>
      <c r="WRU2476" s="124"/>
      <c r="WRV2476" s="124"/>
      <c r="WRW2476" s="124"/>
      <c r="WRX2476" s="124"/>
      <c r="WRY2476" s="124"/>
      <c r="WRZ2476" s="124"/>
      <c r="WSA2476" s="124"/>
      <c r="WSB2476" s="124"/>
      <c r="WSC2476" s="124"/>
      <c r="WSD2476" s="124"/>
      <c r="WSE2476" s="124"/>
      <c r="WSF2476" s="124"/>
      <c r="WSG2476" s="124"/>
      <c r="WSH2476" s="124"/>
      <c r="WSI2476" s="124"/>
      <c r="WSJ2476" s="124"/>
      <c r="WSK2476" s="124"/>
      <c r="WSL2476" s="124"/>
      <c r="WSM2476" s="124"/>
      <c r="WSN2476" s="124"/>
      <c r="WSO2476" s="124"/>
      <c r="WSP2476" s="124"/>
      <c r="WSQ2476" s="124"/>
      <c r="WSR2476" s="124"/>
      <c r="WSS2476" s="124"/>
      <c r="WST2476" s="124"/>
      <c r="WSU2476" s="124"/>
      <c r="WSV2476" s="124"/>
      <c r="WSW2476" s="124"/>
      <c r="WSX2476" s="124"/>
      <c r="WSY2476" s="124"/>
      <c r="WSZ2476" s="124"/>
      <c r="WTA2476" s="124"/>
      <c r="WTB2476" s="124"/>
      <c r="WTC2476" s="124"/>
      <c r="WTD2476" s="124"/>
      <c r="WTE2476" s="124"/>
      <c r="WTF2476" s="124"/>
      <c r="WTG2476" s="124"/>
      <c r="WTH2476" s="124"/>
      <c r="WTI2476" s="124"/>
      <c r="WTJ2476" s="124"/>
      <c r="WTK2476" s="124"/>
      <c r="WTL2476" s="124"/>
      <c r="WTM2476" s="124"/>
      <c r="WTN2476" s="124"/>
      <c r="WTO2476" s="124"/>
      <c r="WTP2476" s="124"/>
      <c r="WTQ2476" s="124"/>
      <c r="WTR2476" s="124"/>
      <c r="WTS2476" s="124"/>
      <c r="WTT2476" s="124"/>
      <c r="WTU2476" s="124"/>
      <c r="WTV2476" s="124"/>
      <c r="WTW2476" s="124"/>
      <c r="WTX2476" s="124"/>
      <c r="WTY2476" s="124"/>
      <c r="WTZ2476" s="124"/>
      <c r="WUA2476" s="124"/>
      <c r="WUB2476" s="124"/>
      <c r="WUC2476" s="124"/>
      <c r="WUD2476" s="124"/>
      <c r="WUE2476" s="124"/>
      <c r="WUF2476" s="124"/>
      <c r="WUG2476" s="124"/>
      <c r="WUH2476" s="124"/>
      <c r="WUI2476" s="124"/>
      <c r="WUJ2476" s="124"/>
      <c r="WUK2476" s="124"/>
      <c r="WUL2476" s="124"/>
      <c r="WUM2476" s="124"/>
      <c r="WUN2476" s="124"/>
      <c r="WUO2476" s="124"/>
      <c r="WUP2476" s="124"/>
      <c r="WUQ2476" s="124"/>
      <c r="WUR2476" s="124"/>
      <c r="WUS2476" s="124"/>
      <c r="WUT2476" s="124"/>
      <c r="WUU2476" s="124"/>
      <c r="WUV2476" s="124"/>
      <c r="WUW2476" s="124"/>
      <c r="WUX2476" s="124"/>
      <c r="WUY2476" s="124"/>
      <c r="WUZ2476" s="124"/>
      <c r="WVA2476" s="124"/>
      <c r="WVB2476" s="124"/>
      <c r="WVC2476" s="124"/>
      <c r="WVD2476" s="124"/>
      <c r="WVE2476" s="124"/>
      <c r="WVF2476" s="124"/>
      <c r="WVG2476" s="124"/>
      <c r="WVH2476" s="124"/>
      <c r="WVI2476" s="124"/>
      <c r="WVJ2476" s="124"/>
      <c r="WVK2476" s="124"/>
      <c r="WVL2476" s="124"/>
      <c r="WVM2476" s="124"/>
      <c r="WVN2476" s="124"/>
      <c r="WVO2476" s="124"/>
      <c r="WVP2476" s="124"/>
      <c r="WVQ2476" s="124"/>
      <c r="WVR2476" s="124"/>
      <c r="WVS2476" s="124"/>
      <c r="WVT2476" s="124"/>
      <c r="WVU2476" s="124"/>
      <c r="WVV2476" s="124"/>
      <c r="WVW2476" s="124"/>
      <c r="WVX2476" s="124"/>
      <c r="WVY2476" s="124"/>
      <c r="WVZ2476" s="124"/>
      <c r="WWA2476" s="124"/>
      <c r="WWB2476" s="124"/>
      <c r="WWC2476" s="124"/>
      <c r="WWD2476" s="124"/>
      <c r="WWE2476" s="124"/>
      <c r="WWF2476" s="124"/>
      <c r="WWG2476" s="124"/>
      <c r="WWH2476" s="124"/>
      <c r="WWI2476" s="124"/>
      <c r="WWJ2476" s="124"/>
      <c r="WWK2476" s="124"/>
      <c r="WWL2476" s="124"/>
      <c r="WWM2476" s="124"/>
      <c r="WWN2476" s="124"/>
      <c r="WWO2476" s="124"/>
      <c r="WWP2476" s="124"/>
      <c r="WWQ2476" s="124"/>
      <c r="WWR2476" s="124"/>
      <c r="WWS2476" s="124"/>
      <c r="WWT2476" s="124"/>
      <c r="WWU2476" s="124"/>
      <c r="WWV2476" s="124"/>
      <c r="WWW2476" s="124"/>
      <c r="WWX2476" s="124"/>
      <c r="WWY2476" s="124"/>
      <c r="WWZ2476" s="124"/>
      <c r="WXA2476" s="124"/>
      <c r="WXB2476" s="124"/>
      <c r="WXC2476" s="124"/>
      <c r="WXD2476" s="124"/>
      <c r="WXE2476" s="124"/>
      <c r="WXF2476" s="124"/>
      <c r="WXG2476" s="124"/>
      <c r="WXH2476" s="124"/>
      <c r="WXI2476" s="124"/>
      <c r="WXJ2476" s="124"/>
      <c r="WXK2476" s="124"/>
      <c r="WXL2476" s="124"/>
      <c r="WXM2476" s="124"/>
      <c r="WXN2476" s="124"/>
      <c r="WXO2476" s="124"/>
      <c r="WXP2476" s="124"/>
      <c r="WXQ2476" s="124"/>
      <c r="WXR2476" s="124"/>
      <c r="WXS2476" s="124"/>
      <c r="WXT2476" s="124"/>
      <c r="WXU2476" s="124"/>
      <c r="WXV2476" s="124"/>
      <c r="WXW2476" s="124"/>
      <c r="WXX2476" s="124"/>
      <c r="WXY2476" s="124"/>
      <c r="WXZ2476" s="124"/>
      <c r="WYA2476" s="124"/>
      <c r="WYB2476" s="124"/>
      <c r="WYC2476" s="124"/>
      <c r="WYD2476" s="124"/>
      <c r="WYE2476" s="124"/>
      <c r="WYF2476" s="124"/>
      <c r="WYG2476" s="124"/>
      <c r="WYH2476" s="124"/>
      <c r="WYI2476" s="124"/>
      <c r="WYJ2476" s="124"/>
      <c r="WYK2476" s="124"/>
      <c r="WYL2476" s="124"/>
      <c r="WYM2476" s="124"/>
      <c r="WYN2476" s="124"/>
      <c r="WYO2476" s="124"/>
      <c r="WYP2476" s="124"/>
      <c r="WYQ2476" s="124"/>
      <c r="WYR2476" s="124"/>
      <c r="WYS2476" s="124"/>
      <c r="WYT2476" s="124"/>
      <c r="WYU2476" s="124"/>
      <c r="WYV2476" s="124"/>
      <c r="WYW2476" s="124"/>
      <c r="WYX2476" s="124"/>
      <c r="WYY2476" s="124"/>
      <c r="WYZ2476" s="124"/>
      <c r="WZA2476" s="124"/>
      <c r="WZB2476" s="124"/>
      <c r="WZC2476" s="124"/>
      <c r="WZD2476" s="124"/>
      <c r="WZE2476" s="124"/>
      <c r="WZF2476" s="124"/>
      <c r="WZG2476" s="124"/>
      <c r="WZH2476" s="124"/>
      <c r="WZI2476" s="124"/>
      <c r="WZJ2476" s="124"/>
      <c r="WZK2476" s="124"/>
      <c r="WZL2476" s="124"/>
      <c r="WZM2476" s="124"/>
      <c r="WZN2476" s="124"/>
      <c r="WZO2476" s="124"/>
      <c r="WZP2476" s="124"/>
      <c r="WZQ2476" s="124"/>
      <c r="WZR2476" s="124"/>
      <c r="WZS2476" s="124"/>
      <c r="WZT2476" s="124"/>
      <c r="WZU2476" s="124"/>
      <c r="WZV2476" s="124"/>
      <c r="WZW2476" s="124"/>
      <c r="WZX2476" s="124"/>
      <c r="WZY2476" s="124"/>
      <c r="WZZ2476" s="124"/>
      <c r="XAA2476" s="124"/>
      <c r="XAB2476" s="124"/>
      <c r="XAC2476" s="124"/>
      <c r="XAD2476" s="124"/>
      <c r="XAE2476" s="124"/>
      <c r="XAF2476" s="124"/>
      <c r="XAG2476" s="124"/>
      <c r="XAH2476" s="124"/>
      <c r="XAI2476" s="124"/>
      <c r="XAJ2476" s="124"/>
      <c r="XAK2476" s="124"/>
      <c r="XAL2476" s="124"/>
      <c r="XAM2476" s="124"/>
      <c r="XAN2476" s="124"/>
      <c r="XAO2476" s="124"/>
      <c r="XAP2476" s="124"/>
      <c r="XAQ2476" s="124"/>
      <c r="XAR2476" s="124"/>
      <c r="XAS2476" s="124"/>
      <c r="XAT2476" s="124"/>
      <c r="XAU2476" s="124"/>
      <c r="XAV2476" s="124"/>
      <c r="XAW2476" s="124"/>
      <c r="XAX2476" s="124"/>
      <c r="XAY2476" s="124"/>
      <c r="XAZ2476" s="124"/>
      <c r="XBA2476" s="124"/>
      <c r="XBB2476" s="124"/>
      <c r="XBC2476" s="124"/>
      <c r="XBD2476" s="124"/>
      <c r="XBE2476" s="124"/>
      <c r="XBF2476" s="124"/>
      <c r="XBG2476" s="124"/>
      <c r="XBH2476" s="124"/>
      <c r="XBI2476" s="124"/>
      <c r="XBJ2476" s="124"/>
      <c r="XBK2476" s="124"/>
      <c r="XBL2476" s="124"/>
      <c r="XBM2476" s="124"/>
      <c r="XBN2476" s="124"/>
      <c r="XBO2476" s="124"/>
      <c r="XBP2476" s="124"/>
      <c r="XBQ2476" s="124"/>
      <c r="XBR2476" s="124"/>
      <c r="XBS2476" s="124"/>
      <c r="XBT2476" s="124"/>
      <c r="XBU2476" s="124"/>
      <c r="XBV2476" s="124"/>
      <c r="XBW2476" s="124"/>
      <c r="XBX2476" s="124"/>
      <c r="XBY2476" s="124"/>
      <c r="XBZ2476" s="124"/>
      <c r="XCA2476" s="124"/>
      <c r="XCB2476" s="124"/>
      <c r="XCC2476" s="124"/>
      <c r="XCD2476" s="124"/>
      <c r="XCE2476" s="124"/>
      <c r="XCF2476" s="124"/>
      <c r="XCG2476" s="124"/>
      <c r="XCH2476" s="124"/>
      <c r="XCI2476" s="124"/>
      <c r="XCJ2476" s="124"/>
      <c r="XCK2476" s="124"/>
      <c r="XCL2476" s="124"/>
      <c r="XCM2476" s="124"/>
      <c r="XCN2476" s="124"/>
      <c r="XCO2476" s="124"/>
      <c r="XCP2476" s="124"/>
      <c r="XCQ2476" s="124"/>
      <c r="XCR2476" s="124"/>
      <c r="XCS2476" s="124"/>
      <c r="XCT2476" s="124"/>
      <c r="XCU2476" s="124"/>
      <c r="XCV2476" s="124"/>
      <c r="XCW2476" s="124"/>
      <c r="XCX2476" s="124"/>
      <c r="XCY2476" s="124"/>
      <c r="XCZ2476" s="124"/>
      <c r="XDA2476" s="124"/>
      <c r="XDB2476" s="124"/>
      <c r="XDC2476" s="124"/>
      <c r="XDD2476" s="124"/>
      <c r="XDE2476" s="124"/>
      <c r="XDF2476" s="124"/>
      <c r="XDG2476" s="124"/>
      <c r="XDH2476" s="124"/>
      <c r="XDI2476" s="124"/>
      <c r="XDJ2476" s="124"/>
      <c r="XDK2476" s="124"/>
      <c r="XDL2476" s="124"/>
      <c r="XDM2476" s="124"/>
      <c r="XDN2476" s="124"/>
      <c r="XDO2476" s="124"/>
      <c r="XDP2476" s="124"/>
      <c r="XDQ2476" s="124"/>
      <c r="XDR2476" s="124"/>
      <c r="XDS2476" s="124"/>
      <c r="XDT2476" s="124"/>
      <c r="XDU2476" s="124"/>
      <c r="XDV2476" s="124"/>
      <c r="XDW2476" s="124"/>
      <c r="XDX2476" s="124"/>
      <c r="XDY2476" s="124"/>
      <c r="XDZ2476" s="124"/>
      <c r="XEA2476" s="124"/>
      <c r="XEB2476" s="124"/>
      <c r="XEC2476" s="124"/>
      <c r="XED2476" s="124"/>
      <c r="XEE2476" s="124"/>
      <c r="XEF2476" s="124"/>
      <c r="XEG2476" s="124"/>
      <c r="XEH2476" s="124"/>
      <c r="XEI2476" s="124"/>
      <c r="XEJ2476" s="124"/>
      <c r="XEK2476" s="124"/>
      <c r="XEL2476" s="124"/>
      <c r="XEM2476" s="124"/>
      <c r="XEN2476" s="124"/>
      <c r="XEO2476" s="124"/>
      <c r="XEP2476" s="124"/>
      <c r="XEQ2476" s="124"/>
      <c r="XER2476" s="124"/>
      <c r="XES2476" s="124"/>
      <c r="XET2476" s="124"/>
      <c r="XEU2476" s="124"/>
      <c r="XEV2476" s="124"/>
      <c r="XEW2476" s="124"/>
      <c r="XEX2476" s="124"/>
      <c r="XEY2476" s="124"/>
      <c r="XEZ2476" s="124"/>
      <c r="XFA2476" s="124"/>
      <c r="XFB2476" s="124"/>
      <c r="XFC2476" s="124"/>
    </row>
    <row r="2477" spans="1:16383" x14ac:dyDescent="0.2">
      <c r="A2477" s="119" t="s">
        <v>1001</v>
      </c>
      <c r="B2477" s="120" t="s">
        <v>265</v>
      </c>
      <c r="C2477" s="129">
        <v>214343</v>
      </c>
      <c r="D2477" s="129">
        <v>933.99</v>
      </c>
      <c r="E2477" s="129">
        <v>0</v>
      </c>
      <c r="F2477" s="129">
        <v>5369.61</v>
      </c>
      <c r="G2477" s="129">
        <v>208973.39</v>
      </c>
      <c r="H2477" s="129">
        <v>2.5</v>
      </c>
      <c r="I2477" s="129">
        <f>Community!J82</f>
        <v>-190000</v>
      </c>
      <c r="J2477" s="129">
        <f>Community!K82</f>
        <v>24343</v>
      </c>
      <c r="K2477" s="129">
        <f>Community!L82</f>
        <v>25438.435000000001</v>
      </c>
      <c r="L2477" s="129">
        <f>Community!M82</f>
        <v>26608.603010000003</v>
      </c>
      <c r="O2477" s="129">
        <f>Community!N82</f>
        <v>27832.598748460001</v>
      </c>
      <c r="P2477" s="123" t="str">
        <f t="shared" si="571"/>
        <v>305</v>
      </c>
    </row>
    <row r="2478" spans="1:16383" x14ac:dyDescent="0.2">
      <c r="A2478" s="119" t="s">
        <v>1002</v>
      </c>
      <c r="B2478" s="120" t="s">
        <v>268</v>
      </c>
      <c r="C2478" s="129">
        <v>341356</v>
      </c>
      <c r="D2478" s="129">
        <v>0</v>
      </c>
      <c r="E2478" s="129">
        <v>0</v>
      </c>
      <c r="F2478" s="129">
        <v>10854.94</v>
      </c>
      <c r="G2478" s="129">
        <v>330501.06</v>
      </c>
      <c r="H2478" s="129">
        <v>3.17</v>
      </c>
      <c r="I2478" s="129">
        <f>Community!J83</f>
        <v>-280000</v>
      </c>
      <c r="J2478" s="129">
        <f>Community!K83</f>
        <v>61356</v>
      </c>
      <c r="K2478" s="129">
        <f>Community!L83</f>
        <v>64117.02</v>
      </c>
      <c r="L2478" s="129">
        <f>Community!M83</f>
        <v>67066.402919999993</v>
      </c>
      <c r="O2478" s="129">
        <f>Community!N83</f>
        <v>70151.45745432</v>
      </c>
      <c r="P2478" s="123" t="str">
        <f t="shared" si="571"/>
        <v>305</v>
      </c>
    </row>
    <row r="2479" spans="1:16383" x14ac:dyDescent="0.2">
      <c r="A2479" s="119" t="s">
        <v>1003</v>
      </c>
      <c r="B2479" s="120" t="s">
        <v>268</v>
      </c>
      <c r="C2479" s="129">
        <v>299131</v>
      </c>
      <c r="D2479" s="129">
        <v>9185.7199999999993</v>
      </c>
      <c r="E2479" s="129">
        <v>31434.02</v>
      </c>
      <c r="F2479" s="129">
        <v>58497.86</v>
      </c>
      <c r="G2479" s="129">
        <v>240633.14</v>
      </c>
      <c r="H2479" s="129">
        <v>19.55</v>
      </c>
      <c r="I2479" s="129">
        <f>Community!J84</f>
        <v>-150000</v>
      </c>
      <c r="J2479" s="129">
        <f>Community!K84</f>
        <v>149131</v>
      </c>
      <c r="K2479" s="129">
        <f>Community!L84</f>
        <v>155841.89499999999</v>
      </c>
      <c r="L2479" s="129">
        <f>Community!M84</f>
        <v>163010.62216999999</v>
      </c>
      <c r="O2479" s="129">
        <f>Community!N84</f>
        <v>170509.11078982</v>
      </c>
      <c r="P2479" s="123" t="str">
        <f t="shared" si="571"/>
        <v>305</v>
      </c>
    </row>
    <row r="2480" spans="1:16383" x14ac:dyDescent="0.2">
      <c r="A2480" s="119" t="s">
        <v>1004</v>
      </c>
      <c r="B2480" s="120" t="s">
        <v>269</v>
      </c>
      <c r="C2480" s="129">
        <v>25440</v>
      </c>
      <c r="D2480" s="129">
        <v>0</v>
      </c>
      <c r="E2480" s="129">
        <v>13445.42</v>
      </c>
      <c r="F2480" s="129">
        <v>0</v>
      </c>
      <c r="G2480" s="129">
        <v>25440</v>
      </c>
      <c r="H2480" s="129">
        <v>0</v>
      </c>
      <c r="I2480" s="129">
        <f>Community!J85</f>
        <v>-10000</v>
      </c>
      <c r="J2480" s="129">
        <f>Community!K85</f>
        <v>15440</v>
      </c>
      <c r="K2480" s="129">
        <f>Community!L85</f>
        <v>16134.8</v>
      </c>
      <c r="L2480" s="129">
        <f>Community!M85</f>
        <v>16877.000799999998</v>
      </c>
      <c r="O2480" s="129">
        <f>Community!N85</f>
        <v>17653.342836799999</v>
      </c>
      <c r="P2480" s="123" t="str">
        <f t="shared" si="571"/>
        <v>305</v>
      </c>
    </row>
    <row r="2481" spans="1:16" x14ac:dyDescent="0.2">
      <c r="A2481" s="119" t="s">
        <v>1005</v>
      </c>
      <c r="B2481" s="120" t="s">
        <v>272</v>
      </c>
      <c r="C2481" s="129">
        <v>20324</v>
      </c>
      <c r="D2481" s="129">
        <v>0</v>
      </c>
      <c r="E2481" s="129">
        <v>0</v>
      </c>
      <c r="F2481" s="129">
        <v>281.32</v>
      </c>
      <c r="G2481" s="129">
        <v>20042.68</v>
      </c>
      <c r="H2481" s="129">
        <v>1.38</v>
      </c>
      <c r="I2481" s="129">
        <f>Community!J86</f>
        <v>-15000</v>
      </c>
      <c r="J2481" s="129">
        <f>Community!K86</f>
        <v>5324</v>
      </c>
      <c r="K2481" s="129">
        <f>Community!L86</f>
        <v>5563.58</v>
      </c>
      <c r="L2481" s="129">
        <f>Community!M86</f>
        <v>5819.50468</v>
      </c>
      <c r="O2481" s="129">
        <f>Community!N86</f>
        <v>6087.2018952799999</v>
      </c>
      <c r="P2481" s="123" t="str">
        <f t="shared" si="571"/>
        <v>306</v>
      </c>
    </row>
    <row r="2482" spans="1:16" x14ac:dyDescent="0.2">
      <c r="A2482" s="119"/>
      <c r="B2482" s="120"/>
      <c r="C2482" s="129"/>
      <c r="D2482" s="129"/>
      <c r="E2482" s="129"/>
      <c r="F2482" s="129"/>
      <c r="G2482" s="129"/>
      <c r="H2482" s="129"/>
      <c r="I2482" s="129">
        <f>Community!J87</f>
        <v>0</v>
      </c>
      <c r="J2482" s="129"/>
      <c r="K2482" s="129"/>
      <c r="L2482" s="129"/>
      <c r="O2482" s="129"/>
      <c r="P2482" s="123" t="str">
        <f t="shared" si="571"/>
        <v/>
      </c>
    </row>
    <row r="2483" spans="1:16" s="114" customFormat="1" ht="15" x14ac:dyDescent="0.25">
      <c r="A2483" s="118"/>
      <c r="B2483" s="117" t="s">
        <v>274</v>
      </c>
      <c r="C2483" s="128">
        <f>SUM(C2473:C2482)</f>
        <v>963421</v>
      </c>
      <c r="D2483" s="128">
        <f t="shared" ref="D2483:O2483" si="579">SUM(D2473:D2482)</f>
        <v>-280067.29000000004</v>
      </c>
      <c r="E2483" s="128">
        <f t="shared" si="579"/>
        <v>44879.44</v>
      </c>
      <c r="F2483" s="128">
        <f t="shared" si="579"/>
        <v>-434821.31</v>
      </c>
      <c r="G2483" s="128">
        <f t="shared" si="579"/>
        <v>231242.31000000006</v>
      </c>
      <c r="H2483" s="128">
        <f t="shared" si="579"/>
        <v>108.47999999999999</v>
      </c>
      <c r="I2483" s="128">
        <f t="shared" si="579"/>
        <v>-325000</v>
      </c>
      <c r="J2483" s="128">
        <f t="shared" si="579"/>
        <v>638421</v>
      </c>
      <c r="K2483" s="128">
        <f t="shared" si="579"/>
        <v>667059.94499999995</v>
      </c>
      <c r="L2483" s="128">
        <f t="shared" si="579"/>
        <v>697652.70247000002</v>
      </c>
      <c r="M2483" s="128">
        <f t="shared" si="579"/>
        <v>0</v>
      </c>
      <c r="N2483" s="128">
        <f t="shared" si="579"/>
        <v>0</v>
      </c>
      <c r="O2483" s="128">
        <f t="shared" si="579"/>
        <v>729652.72678362008</v>
      </c>
      <c r="P2483" s="123" t="str">
        <f t="shared" si="571"/>
        <v/>
      </c>
    </row>
    <row r="2484" spans="1:16" s="114" customFormat="1" ht="15" x14ac:dyDescent="0.25">
      <c r="A2484" s="118"/>
      <c r="B2484" s="117"/>
      <c r="C2484" s="128"/>
      <c r="D2484" s="128"/>
      <c r="E2484" s="128"/>
      <c r="F2484" s="128"/>
      <c r="G2484" s="128"/>
      <c r="H2484" s="128"/>
      <c r="I2484" s="129">
        <f>Community!J89</f>
        <v>0</v>
      </c>
      <c r="J2484" s="129"/>
      <c r="K2484" s="129"/>
      <c r="L2484" s="129"/>
      <c r="M2484" s="186"/>
      <c r="N2484" s="186"/>
      <c r="O2484" s="128"/>
      <c r="P2484" s="123" t="str">
        <f t="shared" si="571"/>
        <v/>
      </c>
    </row>
    <row r="2485" spans="1:16" s="114" customFormat="1" ht="15" x14ac:dyDescent="0.25">
      <c r="A2485" s="118"/>
      <c r="B2485" s="117" t="s">
        <v>275</v>
      </c>
      <c r="C2485" s="128"/>
      <c r="D2485" s="128"/>
      <c r="E2485" s="128"/>
      <c r="F2485" s="128"/>
      <c r="G2485" s="128"/>
      <c r="H2485" s="128"/>
      <c r="I2485" s="129">
        <f>Community!J90</f>
        <v>0</v>
      </c>
      <c r="J2485" s="129"/>
      <c r="K2485" s="129"/>
      <c r="L2485" s="129"/>
      <c r="M2485" s="186"/>
      <c r="N2485" s="186"/>
      <c r="O2485" s="128"/>
      <c r="P2485" s="123" t="str">
        <f t="shared" si="571"/>
        <v/>
      </c>
    </row>
    <row r="2486" spans="1:16" x14ac:dyDescent="0.2">
      <c r="A2486" s="119"/>
      <c r="B2486" s="120"/>
      <c r="C2486" s="129"/>
      <c r="D2486" s="129"/>
      <c r="E2486" s="129"/>
      <c r="F2486" s="129"/>
      <c r="G2486" s="129"/>
      <c r="H2486" s="129"/>
      <c r="I2486" s="129">
        <f>Community!J91</f>
        <v>0</v>
      </c>
      <c r="J2486" s="129"/>
      <c r="K2486" s="129"/>
      <c r="L2486" s="129"/>
      <c r="O2486" s="129"/>
      <c r="P2486" s="123" t="str">
        <f t="shared" si="571"/>
        <v/>
      </c>
    </row>
    <row r="2487" spans="1:16" x14ac:dyDescent="0.2">
      <c r="A2487" s="119" t="s">
        <v>1006</v>
      </c>
      <c r="B2487" s="120" t="s">
        <v>277</v>
      </c>
      <c r="C2487" s="129">
        <v>283871</v>
      </c>
      <c r="D2487" s="129">
        <v>25098</v>
      </c>
      <c r="E2487" s="129">
        <v>0</v>
      </c>
      <c r="F2487" s="129">
        <v>147105.32</v>
      </c>
      <c r="G2487" s="129">
        <v>136765.68</v>
      </c>
      <c r="H2487" s="129">
        <v>51.82</v>
      </c>
      <c r="I2487" s="129">
        <f>Community!J92</f>
        <v>0</v>
      </c>
      <c r="J2487" s="129">
        <f>Community!K92</f>
        <v>283871</v>
      </c>
      <c r="K2487" s="129">
        <f>Community!L92</f>
        <v>296645.19500000001</v>
      </c>
      <c r="L2487" s="129">
        <f>Community!M92</f>
        <v>310290.87397000002</v>
      </c>
      <c r="O2487" s="129">
        <f>Community!N92</f>
        <v>324564.25417262001</v>
      </c>
      <c r="P2487" s="123" t="str">
        <f t="shared" si="571"/>
        <v>320</v>
      </c>
    </row>
    <row r="2488" spans="1:16" x14ac:dyDescent="0.2">
      <c r="A2488" s="119" t="s">
        <v>1007</v>
      </c>
      <c r="B2488" s="120" t="s">
        <v>278</v>
      </c>
      <c r="C2488" s="129">
        <v>94743</v>
      </c>
      <c r="D2488" s="129">
        <v>0</v>
      </c>
      <c r="E2488" s="129">
        <v>29995</v>
      </c>
      <c r="F2488" s="129">
        <v>5494.56</v>
      </c>
      <c r="G2488" s="129">
        <v>89248.44</v>
      </c>
      <c r="H2488" s="129">
        <v>5.79</v>
      </c>
      <c r="I2488" s="129">
        <f>Community!J93</f>
        <v>25257</v>
      </c>
      <c r="J2488" s="129">
        <f>Community!K93</f>
        <v>120000</v>
      </c>
      <c r="K2488" s="129">
        <f>Community!L93</f>
        <v>125400</v>
      </c>
      <c r="L2488" s="129">
        <f>Community!M93</f>
        <v>131168.4</v>
      </c>
      <c r="O2488" s="129">
        <f>Community!N93</f>
        <v>137202.1464</v>
      </c>
      <c r="P2488" s="123" t="str">
        <f t="shared" si="571"/>
        <v>323</v>
      </c>
    </row>
    <row r="2489" spans="1:16" x14ac:dyDescent="0.2">
      <c r="A2489" s="119"/>
      <c r="B2489" s="120"/>
      <c r="C2489" s="129"/>
      <c r="D2489" s="129"/>
      <c r="E2489" s="129"/>
      <c r="F2489" s="129"/>
      <c r="G2489" s="129"/>
      <c r="H2489" s="129"/>
      <c r="I2489" s="129">
        <f>Community!J94</f>
        <v>0</v>
      </c>
      <c r="J2489" s="129"/>
      <c r="K2489" s="129"/>
      <c r="L2489" s="129"/>
      <c r="O2489" s="129"/>
      <c r="P2489" s="123" t="str">
        <f t="shared" si="571"/>
        <v/>
      </c>
    </row>
    <row r="2490" spans="1:16" s="114" customFormat="1" ht="15" x14ac:dyDescent="0.25">
      <c r="A2490" s="118"/>
      <c r="B2490" s="117" t="s">
        <v>279</v>
      </c>
      <c r="C2490" s="128">
        <f>SUM(C2487:C2489)</f>
        <v>378614</v>
      </c>
      <c r="D2490" s="128">
        <f t="shared" ref="D2490:O2490" si="580">SUM(D2487:D2489)</f>
        <v>25098</v>
      </c>
      <c r="E2490" s="128">
        <f t="shared" si="580"/>
        <v>29995</v>
      </c>
      <c r="F2490" s="128">
        <f t="shared" si="580"/>
        <v>152599.88</v>
      </c>
      <c r="G2490" s="128">
        <f t="shared" si="580"/>
        <v>226014.12</v>
      </c>
      <c r="H2490" s="128">
        <f t="shared" si="580"/>
        <v>57.61</v>
      </c>
      <c r="I2490" s="128">
        <f t="shared" si="580"/>
        <v>25257</v>
      </c>
      <c r="J2490" s="128">
        <f t="shared" si="580"/>
        <v>403871</v>
      </c>
      <c r="K2490" s="128">
        <f t="shared" si="580"/>
        <v>422045.19500000001</v>
      </c>
      <c r="L2490" s="128">
        <f t="shared" si="580"/>
        <v>441459.27396999998</v>
      </c>
      <c r="M2490" s="128">
        <f t="shared" si="580"/>
        <v>0</v>
      </c>
      <c r="N2490" s="128">
        <f t="shared" si="580"/>
        <v>0</v>
      </c>
      <c r="O2490" s="128">
        <f t="shared" si="580"/>
        <v>461766.40057261998</v>
      </c>
      <c r="P2490" s="123" t="str">
        <f t="shared" si="571"/>
        <v/>
      </c>
    </row>
    <row r="2491" spans="1:16" s="114" customFormat="1" ht="15" x14ac:dyDescent="0.25">
      <c r="A2491" s="118"/>
      <c r="B2491" s="117"/>
      <c r="C2491" s="128"/>
      <c r="D2491" s="128"/>
      <c r="E2491" s="128"/>
      <c r="F2491" s="128"/>
      <c r="G2491" s="128"/>
      <c r="H2491" s="128"/>
      <c r="I2491" s="129">
        <f>Community!J96</f>
        <v>0</v>
      </c>
      <c r="J2491" s="129"/>
      <c r="K2491" s="129"/>
      <c r="L2491" s="129"/>
      <c r="M2491" s="186"/>
      <c r="N2491" s="186"/>
      <c r="O2491" s="128"/>
      <c r="P2491" s="123" t="str">
        <f t="shared" si="571"/>
        <v/>
      </c>
    </row>
    <row r="2492" spans="1:16" s="114" customFormat="1" ht="15" x14ac:dyDescent="0.25">
      <c r="A2492" s="118"/>
      <c r="B2492" s="117" t="s">
        <v>290</v>
      </c>
      <c r="C2492" s="128"/>
      <c r="D2492" s="128"/>
      <c r="E2492" s="128"/>
      <c r="F2492" s="128"/>
      <c r="G2492" s="128"/>
      <c r="H2492" s="128"/>
      <c r="I2492" s="129">
        <f>Community!J97</f>
        <v>0</v>
      </c>
      <c r="J2492" s="129"/>
      <c r="K2492" s="129"/>
      <c r="L2492" s="129"/>
      <c r="M2492" s="186"/>
      <c r="N2492" s="186"/>
      <c r="O2492" s="128"/>
      <c r="P2492" s="123" t="str">
        <f t="shared" si="571"/>
        <v/>
      </c>
    </row>
    <row r="2493" spans="1:16" x14ac:dyDescent="0.2">
      <c r="A2493" s="119"/>
      <c r="B2493" s="120"/>
      <c r="C2493" s="129"/>
      <c r="D2493" s="129"/>
      <c r="E2493" s="129"/>
      <c r="F2493" s="129"/>
      <c r="G2493" s="129"/>
      <c r="H2493" s="129"/>
      <c r="I2493" s="129">
        <f>Community!J98</f>
        <v>0</v>
      </c>
      <c r="J2493" s="129"/>
      <c r="K2493" s="129"/>
      <c r="L2493" s="129"/>
      <c r="O2493" s="129"/>
      <c r="P2493" s="123" t="str">
        <f t="shared" si="571"/>
        <v/>
      </c>
    </row>
    <row r="2494" spans="1:16" x14ac:dyDescent="0.2">
      <c r="A2494" s="119" t="s">
        <v>1008</v>
      </c>
      <c r="B2494" s="120" t="s">
        <v>292</v>
      </c>
      <c r="C2494" s="129">
        <v>3371</v>
      </c>
      <c r="D2494" s="129">
        <v>1209.94</v>
      </c>
      <c r="E2494" s="129">
        <v>0</v>
      </c>
      <c r="F2494" s="129">
        <v>3647.06</v>
      </c>
      <c r="G2494" s="129">
        <v>-276.06</v>
      </c>
      <c r="H2494" s="129">
        <v>108.18</v>
      </c>
      <c r="I2494" s="129">
        <f>Community!J99</f>
        <v>0</v>
      </c>
      <c r="J2494" s="129">
        <f>Community!K99</f>
        <v>3371</v>
      </c>
      <c r="K2494" s="129">
        <f>Community!L99</f>
        <v>3522.6950000000002</v>
      </c>
      <c r="L2494" s="129">
        <f>Community!M99</f>
        <v>3684.7389700000003</v>
      </c>
      <c r="O2494" s="129">
        <f>Community!N99</f>
        <v>3854.2369626200002</v>
      </c>
      <c r="P2494" s="123" t="str">
        <f t="shared" si="571"/>
        <v>720</v>
      </c>
    </row>
    <row r="2495" spans="1:16" x14ac:dyDescent="0.2">
      <c r="A2495" s="119" t="s">
        <v>1009</v>
      </c>
      <c r="B2495" s="120" t="s">
        <v>293</v>
      </c>
      <c r="C2495" s="129">
        <v>20133</v>
      </c>
      <c r="D2495" s="129">
        <v>0</v>
      </c>
      <c r="E2495" s="129">
        <v>0</v>
      </c>
      <c r="F2495" s="129">
        <v>399.82</v>
      </c>
      <c r="G2495" s="129">
        <v>19733.18</v>
      </c>
      <c r="H2495" s="129">
        <v>1.98</v>
      </c>
      <c r="I2495" s="129">
        <f>Community!J100</f>
        <v>0</v>
      </c>
      <c r="J2495" s="129">
        <f>Community!K100</f>
        <v>20133</v>
      </c>
      <c r="K2495" s="129">
        <f>Community!L100</f>
        <v>21038.985000000001</v>
      </c>
      <c r="L2495" s="129">
        <f>Community!M100</f>
        <v>22006.778310000002</v>
      </c>
      <c r="O2495" s="129">
        <f>Community!N100</f>
        <v>23019.090112260001</v>
      </c>
      <c r="P2495" s="123" t="str">
        <f t="shared" si="571"/>
        <v>721</v>
      </c>
    </row>
    <row r="2496" spans="1:16" x14ac:dyDescent="0.2">
      <c r="A2496" s="119" t="s">
        <v>1010</v>
      </c>
      <c r="B2496" s="120" t="s">
        <v>296</v>
      </c>
      <c r="C2496" s="129">
        <v>170617</v>
      </c>
      <c r="D2496" s="129">
        <v>22430.080000000002</v>
      </c>
      <c r="E2496" s="129">
        <v>0</v>
      </c>
      <c r="F2496" s="129">
        <v>58270.41</v>
      </c>
      <c r="G2496" s="129">
        <v>112346.59</v>
      </c>
      <c r="H2496" s="129">
        <v>34.15</v>
      </c>
      <c r="I2496" s="129">
        <f>Community!J101</f>
        <v>0</v>
      </c>
      <c r="J2496" s="129">
        <f>Community!K101</f>
        <v>170617</v>
      </c>
      <c r="K2496" s="129">
        <f>Community!L101</f>
        <v>178294.76500000001</v>
      </c>
      <c r="L2496" s="129">
        <f>Community!M101</f>
        <v>186496.32419000001</v>
      </c>
      <c r="O2496" s="129">
        <f>Community!N101</f>
        <v>195075.15510274001</v>
      </c>
      <c r="P2496" s="123" t="str">
        <f t="shared" si="571"/>
        <v>723</v>
      </c>
    </row>
    <row r="2497" spans="1:16" x14ac:dyDescent="0.2">
      <c r="A2497" s="119" t="s">
        <v>1011</v>
      </c>
      <c r="B2497" s="120" t="s">
        <v>297</v>
      </c>
      <c r="C2497" s="129">
        <v>871352</v>
      </c>
      <c r="D2497" s="129">
        <v>119397.08</v>
      </c>
      <c r="E2497" s="129">
        <v>0</v>
      </c>
      <c r="F2497" s="129">
        <v>244299.16</v>
      </c>
      <c r="G2497" s="129">
        <v>627052.84</v>
      </c>
      <c r="H2497" s="129">
        <v>28.03</v>
      </c>
      <c r="I2497" s="129">
        <f>Community!J102</f>
        <v>0</v>
      </c>
      <c r="J2497" s="129">
        <f>Community!K102</f>
        <v>871352</v>
      </c>
      <c r="K2497" s="129">
        <f>Community!L102</f>
        <v>910562.84</v>
      </c>
      <c r="L2497" s="129">
        <f>Community!M102</f>
        <v>952448.73063999997</v>
      </c>
      <c r="O2497" s="129">
        <f>Community!N102</f>
        <v>996261.37224943994</v>
      </c>
      <c r="P2497" s="123" t="str">
        <f t="shared" si="571"/>
        <v>725</v>
      </c>
    </row>
    <row r="2498" spans="1:16" x14ac:dyDescent="0.2">
      <c r="A2498" s="119" t="s">
        <v>1012</v>
      </c>
      <c r="B2498" s="120" t="s">
        <v>298</v>
      </c>
      <c r="C2498" s="129">
        <v>0</v>
      </c>
      <c r="D2498" s="129">
        <v>832.28</v>
      </c>
      <c r="E2498" s="129">
        <v>0</v>
      </c>
      <c r="F2498" s="129">
        <v>2080.69</v>
      </c>
      <c r="G2498" s="129">
        <v>-2080.69</v>
      </c>
      <c r="H2498" s="129">
        <v>0</v>
      </c>
      <c r="I2498" s="129">
        <f>Community!J103</f>
        <v>0</v>
      </c>
      <c r="J2498" s="129">
        <f>Community!K103</f>
        <v>0</v>
      </c>
      <c r="K2498" s="129">
        <f>Community!L103</f>
        <v>0</v>
      </c>
      <c r="L2498" s="129">
        <f>Community!M103</f>
        <v>0</v>
      </c>
      <c r="O2498" s="129">
        <f>Community!N103</f>
        <v>0</v>
      </c>
      <c r="P2498" s="123" t="str">
        <f t="shared" si="571"/>
        <v>728</v>
      </c>
    </row>
    <row r="2499" spans="1:16" x14ac:dyDescent="0.2">
      <c r="A2499" s="119" t="s">
        <v>1013</v>
      </c>
      <c r="B2499" s="120" t="s">
        <v>299</v>
      </c>
      <c r="C2499" s="129">
        <v>5688</v>
      </c>
      <c r="D2499" s="129">
        <v>0</v>
      </c>
      <c r="E2499" s="129">
        <v>0</v>
      </c>
      <c r="F2499" s="129">
        <v>0</v>
      </c>
      <c r="G2499" s="129">
        <v>5688</v>
      </c>
      <c r="H2499" s="129">
        <v>0</v>
      </c>
      <c r="I2499" s="129">
        <f>Community!J104</f>
        <v>0</v>
      </c>
      <c r="J2499" s="129">
        <f>Community!K104</f>
        <v>5688</v>
      </c>
      <c r="K2499" s="129">
        <f>Community!L104</f>
        <v>5943.96</v>
      </c>
      <c r="L2499" s="129">
        <f>Community!M104</f>
        <v>6217.3821600000001</v>
      </c>
      <c r="O2499" s="129">
        <f>Community!N104</f>
        <v>6503.3817393600002</v>
      </c>
      <c r="P2499" s="123" t="str">
        <f t="shared" si="571"/>
        <v>728</v>
      </c>
    </row>
    <row r="2500" spans="1:16" x14ac:dyDescent="0.2">
      <c r="A2500" s="119" t="s">
        <v>1014</v>
      </c>
      <c r="B2500" s="120" t="s">
        <v>300</v>
      </c>
      <c r="C2500" s="129">
        <v>398294</v>
      </c>
      <c r="D2500" s="129">
        <v>75812.600000000006</v>
      </c>
      <c r="E2500" s="129">
        <v>0</v>
      </c>
      <c r="F2500" s="129">
        <v>172213.82</v>
      </c>
      <c r="G2500" s="129">
        <v>226080.18</v>
      </c>
      <c r="H2500" s="129">
        <v>43.23</v>
      </c>
      <c r="I2500" s="129">
        <f>Community!J105</f>
        <v>0</v>
      </c>
      <c r="J2500" s="129">
        <f>Community!K105</f>
        <v>398294</v>
      </c>
      <c r="K2500" s="129">
        <f>Community!L105</f>
        <v>416217.23</v>
      </c>
      <c r="L2500" s="129">
        <f>Community!M105</f>
        <v>435363.22258</v>
      </c>
      <c r="O2500" s="129">
        <f>Community!N105</f>
        <v>455389.93081867998</v>
      </c>
      <c r="P2500" s="123" t="str">
        <f t="shared" si="571"/>
        <v>728</v>
      </c>
    </row>
    <row r="2501" spans="1:16" x14ac:dyDescent="0.2">
      <c r="A2501" s="119" t="s">
        <v>1015</v>
      </c>
      <c r="B2501" s="120" t="s">
        <v>303</v>
      </c>
      <c r="C2501" s="129">
        <v>412489</v>
      </c>
      <c r="D2501" s="129">
        <v>60347.74</v>
      </c>
      <c r="E2501" s="129">
        <v>0</v>
      </c>
      <c r="F2501" s="129">
        <v>150869.35</v>
      </c>
      <c r="G2501" s="129">
        <v>261619.65</v>
      </c>
      <c r="H2501" s="129">
        <v>36.57</v>
      </c>
      <c r="I2501" s="129">
        <f>Community!J106</f>
        <v>0</v>
      </c>
      <c r="J2501" s="129">
        <f>Community!K106</f>
        <v>412489</v>
      </c>
      <c r="K2501" s="129">
        <f>Community!L106</f>
        <v>431051.005</v>
      </c>
      <c r="L2501" s="129">
        <f>Community!M106</f>
        <v>450879.35123000003</v>
      </c>
      <c r="O2501" s="129">
        <f>Community!N106</f>
        <v>471619.80138658005</v>
      </c>
      <c r="P2501" s="123" t="str">
        <f t="shared" si="571"/>
        <v>729</v>
      </c>
    </row>
    <row r="2502" spans="1:16" x14ac:dyDescent="0.2">
      <c r="A2502" s="119"/>
      <c r="B2502" s="120"/>
      <c r="C2502" s="129"/>
      <c r="D2502" s="129"/>
      <c r="E2502" s="129"/>
      <c r="F2502" s="129"/>
      <c r="G2502" s="129"/>
      <c r="H2502" s="129"/>
      <c r="I2502" s="129">
        <f>Community!J107</f>
        <v>0</v>
      </c>
      <c r="J2502" s="129"/>
      <c r="K2502" s="129"/>
      <c r="L2502" s="129"/>
      <c r="O2502" s="129"/>
      <c r="P2502" s="123" t="str">
        <f t="shared" si="571"/>
        <v/>
      </c>
    </row>
    <row r="2503" spans="1:16" s="114" customFormat="1" ht="15" x14ac:dyDescent="0.25">
      <c r="A2503" s="118"/>
      <c r="B2503" s="117" t="s">
        <v>304</v>
      </c>
      <c r="C2503" s="128">
        <f>SUM(C2494:C2502)</f>
        <v>1881944</v>
      </c>
      <c r="D2503" s="128">
        <f t="shared" ref="D2503:O2503" si="581">SUM(D2494:D2502)</f>
        <v>280029.72000000003</v>
      </c>
      <c r="E2503" s="128">
        <f t="shared" si="581"/>
        <v>0</v>
      </c>
      <c r="F2503" s="128">
        <f t="shared" si="581"/>
        <v>631780.31000000006</v>
      </c>
      <c r="G2503" s="128">
        <f t="shared" si="581"/>
        <v>1250163.69</v>
      </c>
      <c r="H2503" s="128">
        <f t="shared" si="581"/>
        <v>252.14</v>
      </c>
      <c r="I2503" s="128">
        <f t="shared" si="581"/>
        <v>0</v>
      </c>
      <c r="J2503" s="128">
        <f t="shared" si="581"/>
        <v>1881944</v>
      </c>
      <c r="K2503" s="128">
        <f t="shared" si="581"/>
        <v>1966631.48</v>
      </c>
      <c r="L2503" s="128">
        <f t="shared" si="581"/>
        <v>2057096.5280800001</v>
      </c>
      <c r="M2503" s="128">
        <f t="shared" si="581"/>
        <v>0</v>
      </c>
      <c r="N2503" s="128">
        <f t="shared" si="581"/>
        <v>0</v>
      </c>
      <c r="O2503" s="128">
        <f t="shared" si="581"/>
        <v>2151722.96837168</v>
      </c>
      <c r="P2503" s="123" t="str">
        <f t="shared" ref="P2503:P2566" si="582">MID(A2503,6,3)</f>
        <v/>
      </c>
    </row>
    <row r="2504" spans="1:16" s="114" customFormat="1" ht="15" x14ac:dyDescent="0.25">
      <c r="A2504" s="118"/>
      <c r="B2504" s="117"/>
      <c r="C2504" s="128"/>
      <c r="D2504" s="128"/>
      <c r="E2504" s="128"/>
      <c r="F2504" s="128"/>
      <c r="G2504" s="128"/>
      <c r="H2504" s="128"/>
      <c r="I2504" s="129">
        <f>Community!J109</f>
        <v>0</v>
      </c>
      <c r="J2504" s="129"/>
      <c r="K2504" s="129"/>
      <c r="L2504" s="129"/>
      <c r="M2504" s="186"/>
      <c r="N2504" s="186"/>
      <c r="O2504" s="128"/>
      <c r="P2504" s="123" t="str">
        <f t="shared" si="582"/>
        <v/>
      </c>
    </row>
    <row r="2505" spans="1:16" s="114" customFormat="1" ht="15" x14ac:dyDescent="0.25">
      <c r="A2505" s="118"/>
      <c r="B2505" s="117" t="s">
        <v>305</v>
      </c>
      <c r="C2505" s="128">
        <f>C2461+C2469+C2483+C2490+C2503</f>
        <v>4737531</v>
      </c>
      <c r="D2505" s="128">
        <f t="shared" ref="D2505:O2505" si="583">D2461+D2469+D2483+D2490+D2503</f>
        <v>-88010.289999999979</v>
      </c>
      <c r="E2505" s="128">
        <f t="shared" si="583"/>
        <v>74874.44</v>
      </c>
      <c r="F2505" s="128">
        <f t="shared" si="583"/>
        <v>360348.08000000013</v>
      </c>
      <c r="G2505" s="128">
        <f t="shared" si="583"/>
        <v>2043070.92</v>
      </c>
      <c r="H2505" s="128">
        <f t="shared" si="583"/>
        <v>995.28</v>
      </c>
      <c r="I2505" s="128">
        <f t="shared" si="583"/>
        <v>-389933.91000000003</v>
      </c>
      <c r="J2505" s="128">
        <f t="shared" si="583"/>
        <v>4347597.09</v>
      </c>
      <c r="K2505" s="128">
        <f t="shared" si="583"/>
        <v>4566832.7781249993</v>
      </c>
      <c r="L2505" s="128">
        <f t="shared" si="583"/>
        <v>4811325.7937137503</v>
      </c>
      <c r="M2505" s="128">
        <f t="shared" si="583"/>
        <v>136.2431</v>
      </c>
      <c r="N2505" s="128">
        <f t="shared" si="583"/>
        <v>0</v>
      </c>
      <c r="O2505" s="128">
        <f t="shared" si="583"/>
        <v>5069481.2375652324</v>
      </c>
      <c r="P2505" s="123" t="str">
        <f t="shared" si="582"/>
        <v/>
      </c>
    </row>
    <row r="2506" spans="1:16" s="114" customFormat="1" ht="15" x14ac:dyDescent="0.25">
      <c r="A2506" s="118"/>
      <c r="B2506" s="117"/>
      <c r="C2506" s="128"/>
      <c r="D2506" s="128"/>
      <c r="E2506" s="128"/>
      <c r="F2506" s="128"/>
      <c r="G2506" s="128"/>
      <c r="H2506" s="128"/>
      <c r="I2506" s="129">
        <f>Community!J111</f>
        <v>0</v>
      </c>
      <c r="J2506" s="129"/>
      <c r="K2506" s="186"/>
      <c r="L2506" s="186"/>
      <c r="M2506" s="186"/>
      <c r="N2506" s="186"/>
      <c r="O2506" s="128"/>
      <c r="P2506" s="123" t="str">
        <f t="shared" si="582"/>
        <v/>
      </c>
    </row>
    <row r="2507" spans="1:16" s="114" customFormat="1" ht="15" x14ac:dyDescent="0.25">
      <c r="A2507" s="118"/>
      <c r="B2507" s="117" t="s">
        <v>306</v>
      </c>
      <c r="C2507" s="128">
        <f>C2408+C2505</f>
        <v>3570531</v>
      </c>
      <c r="D2507" s="128">
        <f t="shared" ref="D2507:O2507" si="584">D2408+D2505</f>
        <v>-378197.29</v>
      </c>
      <c r="E2507" s="128">
        <f t="shared" si="584"/>
        <v>74874.44</v>
      </c>
      <c r="F2507" s="128">
        <f t="shared" si="584"/>
        <v>-163705.91999999987</v>
      </c>
      <c r="G2507" s="128">
        <f t="shared" si="584"/>
        <v>1400124.92</v>
      </c>
      <c r="H2507" s="128">
        <f t="shared" si="584"/>
        <v>1040.18</v>
      </c>
      <c r="I2507" s="128">
        <f t="shared" si="584"/>
        <v>-389933.91000000003</v>
      </c>
      <c r="J2507" s="128">
        <f t="shared" si="584"/>
        <v>3180597.09</v>
      </c>
      <c r="K2507" s="128">
        <f t="shared" si="584"/>
        <v>3262832.7781249993</v>
      </c>
      <c r="L2507" s="128">
        <f t="shared" si="584"/>
        <v>4811325.7937137503</v>
      </c>
      <c r="M2507" s="128">
        <f t="shared" si="584"/>
        <v>136.2431</v>
      </c>
      <c r="N2507" s="128">
        <f t="shared" si="584"/>
        <v>0</v>
      </c>
      <c r="O2507" s="128">
        <f t="shared" si="584"/>
        <v>5069481.2375652324</v>
      </c>
      <c r="P2507" s="123" t="str">
        <f t="shared" si="582"/>
        <v/>
      </c>
    </row>
    <row r="2508" spans="1:16" x14ac:dyDescent="0.2">
      <c r="A2508" s="119"/>
      <c r="B2508" s="120"/>
      <c r="C2508" s="129"/>
      <c r="D2508" s="129"/>
      <c r="E2508" s="129"/>
      <c r="F2508" s="129"/>
      <c r="G2508" s="129"/>
      <c r="H2508" s="129"/>
      <c r="I2508" s="129">
        <f>Community!J113</f>
        <v>0</v>
      </c>
      <c r="J2508" s="129"/>
      <c r="K2508" s="129"/>
      <c r="L2508" s="129"/>
      <c r="O2508" s="129"/>
      <c r="P2508" s="123" t="str">
        <f t="shared" si="582"/>
        <v/>
      </c>
    </row>
    <row r="2509" spans="1:16" s="114" customFormat="1" ht="15" x14ac:dyDescent="0.25">
      <c r="A2509" s="118"/>
      <c r="B2509" s="117" t="s">
        <v>1016</v>
      </c>
      <c r="C2509" s="128"/>
      <c r="D2509" s="128"/>
      <c r="E2509" s="128"/>
      <c r="F2509" s="128"/>
      <c r="G2509" s="128"/>
      <c r="H2509" s="128"/>
      <c r="I2509" s="129">
        <f>Community!J114</f>
        <v>0</v>
      </c>
      <c r="J2509" s="129"/>
      <c r="K2509" s="129"/>
      <c r="L2509" s="129"/>
      <c r="M2509" s="186"/>
      <c r="N2509" s="186"/>
      <c r="O2509" s="128"/>
      <c r="P2509" s="123" t="str">
        <f t="shared" si="582"/>
        <v/>
      </c>
    </row>
    <row r="2510" spans="1:16" s="114" customFormat="1" ht="15" x14ac:dyDescent="0.25">
      <c r="A2510" s="118"/>
      <c r="B2510" s="117" t="s">
        <v>96</v>
      </c>
      <c r="C2510" s="128"/>
      <c r="D2510" s="128"/>
      <c r="E2510" s="128"/>
      <c r="F2510" s="128"/>
      <c r="G2510" s="128"/>
      <c r="H2510" s="128"/>
      <c r="I2510" s="129">
        <f>Community!J115</f>
        <v>0</v>
      </c>
      <c r="J2510" s="129"/>
      <c r="K2510" s="129"/>
      <c r="L2510" s="129"/>
      <c r="M2510" s="186"/>
      <c r="N2510" s="186"/>
      <c r="O2510" s="128"/>
      <c r="P2510" s="123" t="str">
        <f t="shared" si="582"/>
        <v/>
      </c>
    </row>
    <row r="2511" spans="1:16" s="114" customFormat="1" ht="15" x14ac:dyDescent="0.25">
      <c r="A2511" s="118"/>
      <c r="B2511" s="117" t="s">
        <v>97</v>
      </c>
      <c r="C2511" s="128"/>
      <c r="D2511" s="128"/>
      <c r="E2511" s="128"/>
      <c r="F2511" s="128"/>
      <c r="G2511" s="128"/>
      <c r="H2511" s="128"/>
      <c r="I2511" s="129">
        <f>Community!J116</f>
        <v>0</v>
      </c>
      <c r="J2511" s="129"/>
      <c r="K2511" s="129"/>
      <c r="L2511" s="129"/>
      <c r="M2511" s="186"/>
      <c r="N2511" s="186"/>
      <c r="O2511" s="128"/>
      <c r="P2511" s="123" t="str">
        <f t="shared" si="582"/>
        <v/>
      </c>
    </row>
    <row r="2512" spans="1:16" s="114" customFormat="1" ht="15" x14ac:dyDescent="0.25">
      <c r="A2512" s="118"/>
      <c r="B2512" s="117" t="s">
        <v>148</v>
      </c>
      <c r="C2512" s="128"/>
      <c r="D2512" s="128"/>
      <c r="E2512" s="128"/>
      <c r="F2512" s="128"/>
      <c r="G2512" s="128"/>
      <c r="H2512" s="128"/>
      <c r="I2512" s="129">
        <f>Community!J117</f>
        <v>0</v>
      </c>
      <c r="J2512" s="129"/>
      <c r="K2512" s="129"/>
      <c r="L2512" s="129"/>
      <c r="M2512" s="186"/>
      <c r="N2512" s="186"/>
      <c r="O2512" s="128"/>
      <c r="P2512" s="123" t="str">
        <f t="shared" si="582"/>
        <v/>
      </c>
    </row>
    <row r="2513" spans="1:16" s="114" customFormat="1" ht="15" x14ac:dyDescent="0.25">
      <c r="A2513" s="118"/>
      <c r="B2513" s="117" t="s">
        <v>149</v>
      </c>
      <c r="C2513" s="128"/>
      <c r="D2513" s="128"/>
      <c r="E2513" s="128"/>
      <c r="F2513" s="128"/>
      <c r="G2513" s="128"/>
      <c r="H2513" s="128"/>
      <c r="I2513" s="129">
        <f>Community!J118</f>
        <v>0</v>
      </c>
      <c r="J2513" s="129"/>
      <c r="K2513" s="129"/>
      <c r="L2513" s="129"/>
      <c r="M2513" s="186"/>
      <c r="N2513" s="186"/>
      <c r="O2513" s="128"/>
      <c r="P2513" s="123" t="str">
        <f t="shared" si="582"/>
        <v/>
      </c>
    </row>
    <row r="2514" spans="1:16" x14ac:dyDescent="0.2">
      <c r="A2514" s="119"/>
      <c r="B2514" s="120"/>
      <c r="C2514" s="129"/>
      <c r="D2514" s="129"/>
      <c r="E2514" s="129"/>
      <c r="F2514" s="129"/>
      <c r="G2514" s="129"/>
      <c r="H2514" s="129"/>
      <c r="I2514" s="129">
        <f>Community!J119</f>
        <v>0</v>
      </c>
      <c r="J2514" s="129"/>
      <c r="K2514" s="129"/>
      <c r="L2514" s="129"/>
      <c r="O2514" s="129"/>
      <c r="P2514" s="123" t="str">
        <f t="shared" si="582"/>
        <v/>
      </c>
    </row>
    <row r="2515" spans="1:16" x14ac:dyDescent="0.2">
      <c r="A2515" s="119" t="s">
        <v>1017</v>
      </c>
      <c r="B2515" s="120" t="s">
        <v>150</v>
      </c>
      <c r="C2515" s="129">
        <v>686133</v>
      </c>
      <c r="D2515" s="129">
        <v>26143.759999999998</v>
      </c>
      <c r="E2515" s="129">
        <v>0</v>
      </c>
      <c r="F2515" s="129">
        <v>156862.56</v>
      </c>
      <c r="G2515" s="129">
        <v>529270.43999999994</v>
      </c>
      <c r="H2515" s="129">
        <v>22.86</v>
      </c>
      <c r="I2515" s="129">
        <f>Community!J120</f>
        <v>0</v>
      </c>
      <c r="J2515" s="129">
        <f>Community!K120</f>
        <v>686133</v>
      </c>
      <c r="K2515" s="129">
        <f>Community!L120</f>
        <v>729016.3125</v>
      </c>
      <c r="L2515" s="129">
        <f>Community!M120</f>
        <v>780047.45437499997</v>
      </c>
      <c r="O2515" s="129">
        <f>Community!N120</f>
        <v>834650.77618125</v>
      </c>
      <c r="P2515" s="123" t="str">
        <f t="shared" si="582"/>
        <v>110</v>
      </c>
    </row>
    <row r="2516" spans="1:16" x14ac:dyDescent="0.2">
      <c r="A2516" s="119" t="s">
        <v>1018</v>
      </c>
      <c r="B2516" s="120" t="s">
        <v>151</v>
      </c>
      <c r="C2516" s="129">
        <v>33502</v>
      </c>
      <c r="D2516" s="129">
        <v>8467.09</v>
      </c>
      <c r="E2516" s="129">
        <v>0</v>
      </c>
      <c r="F2516" s="129">
        <v>8467.09</v>
      </c>
      <c r="G2516" s="129">
        <v>25034.91</v>
      </c>
      <c r="H2516" s="129">
        <v>25.27</v>
      </c>
      <c r="I2516" s="129">
        <f>Community!J121</f>
        <v>-25034.91</v>
      </c>
      <c r="J2516" s="129">
        <f>Community!K121</f>
        <v>8467.09</v>
      </c>
      <c r="K2516" s="129">
        <f>Community!L121</f>
        <v>8996.2831249999999</v>
      </c>
      <c r="L2516" s="129">
        <f>Community!M121</f>
        <v>9626.0229437500002</v>
      </c>
      <c r="O2516" s="129">
        <f>Community!N121</f>
        <v>10299.8445498125</v>
      </c>
      <c r="P2516" s="123" t="str">
        <f t="shared" si="582"/>
        <v>110</v>
      </c>
    </row>
    <row r="2517" spans="1:16" x14ac:dyDescent="0.2">
      <c r="A2517" s="119" t="s">
        <v>1019</v>
      </c>
      <c r="B2517" s="120" t="s">
        <v>152</v>
      </c>
      <c r="C2517" s="129">
        <v>14100</v>
      </c>
      <c r="D2517" s="129">
        <v>0</v>
      </c>
      <c r="E2517" s="129">
        <v>0</v>
      </c>
      <c r="F2517" s="129">
        <v>0</v>
      </c>
      <c r="G2517" s="129">
        <v>14100</v>
      </c>
      <c r="H2517" s="129">
        <v>0</v>
      </c>
      <c r="I2517" s="129">
        <f>Community!J122</f>
        <v>0</v>
      </c>
      <c r="J2517" s="129">
        <f>Community!K122</f>
        <v>14100</v>
      </c>
      <c r="K2517" s="129">
        <f>Community!L122</f>
        <v>14981.25</v>
      </c>
      <c r="L2517" s="129">
        <f>Community!M122</f>
        <v>16029.9375</v>
      </c>
      <c r="O2517" s="129">
        <f>Community!N122</f>
        <v>17152.033125000002</v>
      </c>
      <c r="P2517" s="123" t="str">
        <f t="shared" si="582"/>
        <v>110</v>
      </c>
    </row>
    <row r="2518" spans="1:16" x14ac:dyDescent="0.2">
      <c r="A2518" s="119" t="s">
        <v>1020</v>
      </c>
      <c r="B2518" s="120" t="s">
        <v>155</v>
      </c>
      <c r="C2518" s="129">
        <v>23791</v>
      </c>
      <c r="D2518" s="129">
        <v>0</v>
      </c>
      <c r="E2518" s="129">
        <v>0</v>
      </c>
      <c r="F2518" s="129">
        <v>0</v>
      </c>
      <c r="G2518" s="129">
        <v>23791</v>
      </c>
      <c r="H2518" s="129">
        <v>0</v>
      </c>
      <c r="I2518" s="129">
        <f>Community!J123</f>
        <v>0</v>
      </c>
      <c r="J2518" s="129">
        <f>Community!K123</f>
        <v>23791</v>
      </c>
      <c r="K2518" s="129">
        <f>Community!L123</f>
        <v>25277.9375</v>
      </c>
      <c r="L2518" s="129">
        <f>Community!M123</f>
        <v>27047.393124999999</v>
      </c>
      <c r="O2518" s="129">
        <f>Community!N123</f>
        <v>28940.710643749997</v>
      </c>
      <c r="P2518" s="123" t="str">
        <f t="shared" si="582"/>
        <v>110</v>
      </c>
    </row>
    <row r="2519" spans="1:16" x14ac:dyDescent="0.2">
      <c r="A2519" s="119" t="s">
        <v>1021</v>
      </c>
      <c r="B2519" s="120" t="s">
        <v>156</v>
      </c>
      <c r="C2519" s="129">
        <v>97889</v>
      </c>
      <c r="D2519" s="129">
        <v>0</v>
      </c>
      <c r="E2519" s="129">
        <v>0</v>
      </c>
      <c r="F2519" s="129">
        <v>0</v>
      </c>
      <c r="G2519" s="129">
        <v>97889</v>
      </c>
      <c r="H2519" s="129">
        <v>0</v>
      </c>
      <c r="I2519" s="129">
        <f>Community!J124</f>
        <v>-97889</v>
      </c>
      <c r="J2519" s="129">
        <f>Community!K124</f>
        <v>0</v>
      </c>
      <c r="K2519" s="129">
        <f>Community!L124</f>
        <v>0</v>
      </c>
      <c r="L2519" s="129">
        <f>Community!M124</f>
        <v>0</v>
      </c>
      <c r="O2519" s="129">
        <f>Community!N124</f>
        <v>0</v>
      </c>
      <c r="P2519" s="123" t="str">
        <f t="shared" si="582"/>
        <v>110</v>
      </c>
    </row>
    <row r="2520" spans="1:16" x14ac:dyDescent="0.2">
      <c r="A2520" s="119" t="s">
        <v>1022</v>
      </c>
      <c r="B2520" s="120" t="s">
        <v>159</v>
      </c>
      <c r="C2520" s="129">
        <v>57178</v>
      </c>
      <c r="D2520" s="129">
        <v>0</v>
      </c>
      <c r="E2520" s="129">
        <v>0</v>
      </c>
      <c r="F2520" s="129">
        <v>0</v>
      </c>
      <c r="G2520" s="129">
        <v>57178</v>
      </c>
      <c r="H2520" s="129">
        <v>0</v>
      </c>
      <c r="I2520" s="129">
        <f>Community!J125</f>
        <v>0</v>
      </c>
      <c r="J2520" s="129">
        <f>Community!K125</f>
        <v>57178</v>
      </c>
      <c r="K2520" s="129">
        <f>Community!L125</f>
        <v>60751.625</v>
      </c>
      <c r="L2520" s="129">
        <f>Community!M125</f>
        <v>65004.238750000004</v>
      </c>
      <c r="O2520" s="129">
        <f>Community!N125</f>
        <v>69554.535462500004</v>
      </c>
      <c r="P2520" s="123" t="str">
        <f t="shared" si="582"/>
        <v>110</v>
      </c>
    </row>
    <row r="2521" spans="1:16" x14ac:dyDescent="0.2">
      <c r="A2521" s="119" t="s">
        <v>1023</v>
      </c>
      <c r="B2521" s="120" t="s">
        <v>161</v>
      </c>
      <c r="C2521" s="129">
        <v>57035</v>
      </c>
      <c r="D2521" s="129">
        <v>0</v>
      </c>
      <c r="E2521" s="129">
        <v>0</v>
      </c>
      <c r="F2521" s="129">
        <v>0</v>
      </c>
      <c r="G2521" s="129">
        <v>57035</v>
      </c>
      <c r="H2521" s="129">
        <v>0</v>
      </c>
      <c r="I2521" s="129">
        <f>Community!J126</f>
        <v>0</v>
      </c>
      <c r="J2521" s="129">
        <f>Community!K126</f>
        <v>57035</v>
      </c>
      <c r="K2521" s="129">
        <f>Community!L126</f>
        <v>60599.6875</v>
      </c>
      <c r="L2521" s="129">
        <f>Community!M126</f>
        <v>64841.665625000001</v>
      </c>
      <c r="O2521" s="129">
        <f>Community!N126</f>
        <v>69380.582218750002</v>
      </c>
      <c r="P2521" s="123" t="str">
        <f t="shared" si="582"/>
        <v>110</v>
      </c>
    </row>
    <row r="2522" spans="1:16" x14ac:dyDescent="0.2">
      <c r="A2522" s="119"/>
      <c r="B2522" s="120"/>
      <c r="C2522" s="129"/>
      <c r="D2522" s="129"/>
      <c r="E2522" s="129"/>
      <c r="F2522" s="129"/>
      <c r="G2522" s="129"/>
      <c r="H2522" s="129"/>
      <c r="I2522" s="129">
        <f>Community!J127</f>
        <v>0</v>
      </c>
      <c r="J2522" s="129"/>
      <c r="K2522" s="129"/>
      <c r="L2522" s="129"/>
      <c r="O2522" s="129"/>
      <c r="P2522" s="123" t="str">
        <f t="shared" si="582"/>
        <v/>
      </c>
    </row>
    <row r="2523" spans="1:16" s="114" customFormat="1" ht="15" x14ac:dyDescent="0.25">
      <c r="A2523" s="118"/>
      <c r="B2523" s="117" t="s">
        <v>165</v>
      </c>
      <c r="C2523" s="128">
        <f>SUM(C2515:C2522)</f>
        <v>969628</v>
      </c>
      <c r="D2523" s="128">
        <f t="shared" ref="D2523:O2523" si="585">SUM(D2515:D2522)</f>
        <v>34610.85</v>
      </c>
      <c r="E2523" s="128">
        <f t="shared" si="585"/>
        <v>0</v>
      </c>
      <c r="F2523" s="128">
        <f t="shared" si="585"/>
        <v>165329.65</v>
      </c>
      <c r="G2523" s="128">
        <f t="shared" si="585"/>
        <v>804298.35</v>
      </c>
      <c r="H2523" s="128">
        <f t="shared" si="585"/>
        <v>48.129999999999995</v>
      </c>
      <c r="I2523" s="128">
        <f t="shared" si="585"/>
        <v>-122923.91</v>
      </c>
      <c r="J2523" s="128">
        <f t="shared" si="585"/>
        <v>846704.09</v>
      </c>
      <c r="K2523" s="128">
        <f t="shared" si="585"/>
        <v>899623.09562499996</v>
      </c>
      <c r="L2523" s="128">
        <f t="shared" si="585"/>
        <v>962596.71231874998</v>
      </c>
      <c r="M2523" s="128">
        <f t="shared" si="585"/>
        <v>0</v>
      </c>
      <c r="N2523" s="128">
        <f t="shared" si="585"/>
        <v>0</v>
      </c>
      <c r="O2523" s="128">
        <f t="shared" si="585"/>
        <v>1029978.4821810626</v>
      </c>
      <c r="P2523" s="123" t="str">
        <f t="shared" si="582"/>
        <v/>
      </c>
    </row>
    <row r="2524" spans="1:16" s="114" customFormat="1" ht="15" x14ac:dyDescent="0.25">
      <c r="A2524" s="118"/>
      <c r="B2524" s="117"/>
      <c r="C2524" s="128"/>
      <c r="D2524" s="128"/>
      <c r="E2524" s="128"/>
      <c r="F2524" s="128"/>
      <c r="G2524" s="128"/>
      <c r="H2524" s="128"/>
      <c r="I2524" s="129">
        <f>Community!J129</f>
        <v>0</v>
      </c>
      <c r="J2524" s="129"/>
      <c r="K2524" s="129"/>
      <c r="L2524" s="129"/>
      <c r="M2524" s="186"/>
      <c r="N2524" s="186"/>
      <c r="O2524" s="128"/>
      <c r="P2524" s="123" t="str">
        <f t="shared" si="582"/>
        <v/>
      </c>
    </row>
    <row r="2525" spans="1:16" s="114" customFormat="1" ht="15" x14ac:dyDescent="0.25">
      <c r="A2525" s="118"/>
      <c r="B2525" s="117" t="s">
        <v>166</v>
      </c>
      <c r="C2525" s="128"/>
      <c r="D2525" s="128"/>
      <c r="E2525" s="128"/>
      <c r="F2525" s="128"/>
      <c r="G2525" s="128"/>
      <c r="H2525" s="128"/>
      <c r="I2525" s="129">
        <f>Community!J130</f>
        <v>0</v>
      </c>
      <c r="J2525" s="129"/>
      <c r="K2525" s="129"/>
      <c r="L2525" s="129"/>
      <c r="M2525" s="186"/>
      <c r="N2525" s="186"/>
      <c r="O2525" s="128"/>
      <c r="P2525" s="123" t="str">
        <f t="shared" si="582"/>
        <v/>
      </c>
    </row>
    <row r="2526" spans="1:16" x14ac:dyDescent="0.2">
      <c r="A2526" s="119"/>
      <c r="B2526" s="120"/>
      <c r="C2526" s="129"/>
      <c r="D2526" s="129"/>
      <c r="E2526" s="129"/>
      <c r="F2526" s="129"/>
      <c r="G2526" s="129"/>
      <c r="H2526" s="129"/>
      <c r="I2526" s="129">
        <f>Community!J131</f>
        <v>0</v>
      </c>
      <c r="J2526" s="129"/>
      <c r="K2526" s="129"/>
      <c r="L2526" s="129"/>
      <c r="O2526" s="129"/>
      <c r="P2526" s="123" t="str">
        <f t="shared" si="582"/>
        <v/>
      </c>
    </row>
    <row r="2527" spans="1:16" x14ac:dyDescent="0.2">
      <c r="A2527" s="119" t="s">
        <v>1024</v>
      </c>
      <c r="B2527" s="120" t="s">
        <v>167</v>
      </c>
      <c r="C2527" s="129">
        <v>225</v>
      </c>
      <c r="D2527" s="129">
        <v>9.32</v>
      </c>
      <c r="E2527" s="129">
        <v>0</v>
      </c>
      <c r="F2527" s="129">
        <v>55.92</v>
      </c>
      <c r="G2527" s="129">
        <v>169.08</v>
      </c>
      <c r="H2527" s="129">
        <v>24.85</v>
      </c>
      <c r="I2527" s="129">
        <f>Community!J132</f>
        <v>0</v>
      </c>
      <c r="J2527" s="129">
        <f>Community!K132</f>
        <v>225</v>
      </c>
      <c r="K2527" s="129">
        <f>Community!L132</f>
        <v>239.0625</v>
      </c>
      <c r="L2527" s="129">
        <f>Community!M132</f>
        <v>255.796875</v>
      </c>
      <c r="O2527" s="129">
        <f>Community!N132</f>
        <v>273.70265625000002</v>
      </c>
      <c r="P2527" s="123" t="str">
        <f t="shared" si="582"/>
        <v>130</v>
      </c>
    </row>
    <row r="2528" spans="1:16" x14ac:dyDescent="0.2">
      <c r="A2528" s="119" t="s">
        <v>1025</v>
      </c>
      <c r="B2528" s="120" t="s">
        <v>168</v>
      </c>
      <c r="C2528" s="129">
        <v>107816</v>
      </c>
      <c r="D2528" s="129">
        <v>1891.2</v>
      </c>
      <c r="E2528" s="129">
        <v>0</v>
      </c>
      <c r="F2528" s="129">
        <v>11347.2</v>
      </c>
      <c r="G2528" s="129">
        <v>96468.800000000003</v>
      </c>
      <c r="H2528" s="129">
        <v>10.52</v>
      </c>
      <c r="I2528" s="129">
        <f>Community!J133</f>
        <v>-80000</v>
      </c>
      <c r="J2528" s="129">
        <f>Community!K133</f>
        <v>27816</v>
      </c>
      <c r="K2528" s="129">
        <f>Community!L133</f>
        <v>29554.5</v>
      </c>
      <c r="L2528" s="129">
        <f>Community!M133</f>
        <v>31623.314999999999</v>
      </c>
      <c r="O2528" s="129">
        <f>Community!N133</f>
        <v>33836.947049999995</v>
      </c>
      <c r="P2528" s="123" t="str">
        <f t="shared" si="582"/>
        <v>130</v>
      </c>
    </row>
    <row r="2529" spans="1:16" x14ac:dyDescent="0.2">
      <c r="A2529" s="119" t="s">
        <v>1026</v>
      </c>
      <c r="B2529" s="120" t="s">
        <v>169</v>
      </c>
      <c r="C2529" s="129">
        <v>150949</v>
      </c>
      <c r="D2529" s="129">
        <v>5751.63</v>
      </c>
      <c r="E2529" s="129">
        <v>0</v>
      </c>
      <c r="F2529" s="129">
        <v>34509.78</v>
      </c>
      <c r="G2529" s="129">
        <v>116439.22</v>
      </c>
      <c r="H2529" s="129">
        <v>22.86</v>
      </c>
      <c r="I2529" s="129">
        <f>Community!J134</f>
        <v>0</v>
      </c>
      <c r="J2529" s="129">
        <f>Community!K134</f>
        <v>150949</v>
      </c>
      <c r="K2529" s="129">
        <f>Community!L134</f>
        <v>160383.3125</v>
      </c>
      <c r="L2529" s="129">
        <f>Community!M134</f>
        <v>171610.144375</v>
      </c>
      <c r="O2529" s="129">
        <f>Community!N134</f>
        <v>183622.85448124999</v>
      </c>
      <c r="P2529" s="123" t="str">
        <f t="shared" si="582"/>
        <v>130</v>
      </c>
    </row>
    <row r="2530" spans="1:16" x14ac:dyDescent="0.2">
      <c r="A2530" s="119" t="s">
        <v>1027</v>
      </c>
      <c r="B2530" s="120" t="s">
        <v>170</v>
      </c>
      <c r="C2530" s="129">
        <v>3570</v>
      </c>
      <c r="D2530" s="129">
        <v>148.72</v>
      </c>
      <c r="E2530" s="129">
        <v>0</v>
      </c>
      <c r="F2530" s="129">
        <v>892.32</v>
      </c>
      <c r="G2530" s="129">
        <v>2677.68</v>
      </c>
      <c r="H2530" s="129">
        <v>24.99</v>
      </c>
      <c r="I2530" s="129">
        <f>Community!J135</f>
        <v>0</v>
      </c>
      <c r="J2530" s="129">
        <f>Community!K135</f>
        <v>3570</v>
      </c>
      <c r="K2530" s="129">
        <f>Community!L135</f>
        <v>3793.125</v>
      </c>
      <c r="L2530" s="129">
        <f>Community!M135</f>
        <v>4058.6437500000002</v>
      </c>
      <c r="O2530" s="129">
        <f>Community!N135</f>
        <v>4342.7488125</v>
      </c>
      <c r="P2530" s="123" t="str">
        <f t="shared" si="582"/>
        <v>130</v>
      </c>
    </row>
    <row r="2531" spans="1:16" x14ac:dyDescent="0.2">
      <c r="A2531" s="119"/>
      <c r="B2531" s="120"/>
      <c r="C2531" s="129"/>
      <c r="D2531" s="129"/>
      <c r="E2531" s="129"/>
      <c r="F2531" s="129"/>
      <c r="G2531" s="129"/>
      <c r="H2531" s="129"/>
      <c r="I2531" s="129">
        <f>Community!J136</f>
        <v>0</v>
      </c>
      <c r="J2531" s="129"/>
      <c r="K2531" s="129"/>
      <c r="L2531" s="129"/>
      <c r="O2531" s="129"/>
      <c r="P2531" s="123" t="str">
        <f t="shared" si="582"/>
        <v/>
      </c>
    </row>
    <row r="2532" spans="1:16" s="114" customFormat="1" ht="15" x14ac:dyDescent="0.25">
      <c r="A2532" s="118"/>
      <c r="B2532" s="117" t="s">
        <v>171</v>
      </c>
      <c r="C2532" s="128">
        <f>SUM(C2527:C2531)</f>
        <v>262560</v>
      </c>
      <c r="D2532" s="128">
        <f t="shared" ref="D2532:O2532" si="586">SUM(D2527:D2531)</f>
        <v>7800.87</v>
      </c>
      <c r="E2532" s="128">
        <f t="shared" si="586"/>
        <v>0</v>
      </c>
      <c r="F2532" s="128">
        <f t="shared" si="586"/>
        <v>46805.22</v>
      </c>
      <c r="G2532" s="128">
        <f t="shared" si="586"/>
        <v>215754.78</v>
      </c>
      <c r="H2532" s="128">
        <f t="shared" si="586"/>
        <v>83.22</v>
      </c>
      <c r="I2532" s="128">
        <f t="shared" si="586"/>
        <v>-80000</v>
      </c>
      <c r="J2532" s="128">
        <f t="shared" si="586"/>
        <v>182560</v>
      </c>
      <c r="K2532" s="128">
        <f t="shared" si="586"/>
        <v>193970</v>
      </c>
      <c r="L2532" s="128">
        <f t="shared" si="586"/>
        <v>207547.9</v>
      </c>
      <c r="M2532" s="128">
        <f t="shared" si="586"/>
        <v>0</v>
      </c>
      <c r="N2532" s="128">
        <f t="shared" si="586"/>
        <v>0</v>
      </c>
      <c r="O2532" s="128">
        <f t="shared" si="586"/>
        <v>222076.253</v>
      </c>
      <c r="P2532" s="123" t="str">
        <f t="shared" si="582"/>
        <v/>
      </c>
    </row>
    <row r="2533" spans="1:16" s="114" customFormat="1" ht="15" x14ac:dyDescent="0.25">
      <c r="A2533" s="118"/>
      <c r="B2533" s="117"/>
      <c r="C2533" s="128"/>
      <c r="D2533" s="128"/>
      <c r="E2533" s="128"/>
      <c r="F2533" s="128"/>
      <c r="G2533" s="128"/>
      <c r="H2533" s="128"/>
      <c r="I2533" s="129">
        <f>Community!J138</f>
        <v>0</v>
      </c>
      <c r="J2533" s="129"/>
      <c r="K2533" s="129"/>
      <c r="L2533" s="129"/>
      <c r="M2533" s="186"/>
      <c r="N2533" s="186"/>
      <c r="O2533" s="128"/>
      <c r="P2533" s="123" t="str">
        <f t="shared" si="582"/>
        <v/>
      </c>
    </row>
    <row r="2534" spans="1:16" s="114" customFormat="1" ht="15" x14ac:dyDescent="0.25">
      <c r="A2534" s="118"/>
      <c r="B2534" s="117" t="s">
        <v>172</v>
      </c>
      <c r="C2534" s="128"/>
      <c r="D2534" s="128"/>
      <c r="E2534" s="128"/>
      <c r="F2534" s="128"/>
      <c r="G2534" s="128"/>
      <c r="H2534" s="128"/>
      <c r="I2534" s="129">
        <f>Community!J139</f>
        <v>0</v>
      </c>
      <c r="J2534" s="129"/>
      <c r="K2534" s="129"/>
      <c r="L2534" s="129"/>
      <c r="M2534" s="186"/>
      <c r="N2534" s="186"/>
      <c r="O2534" s="128"/>
      <c r="P2534" s="123" t="str">
        <f t="shared" si="582"/>
        <v/>
      </c>
    </row>
    <row r="2535" spans="1:16" x14ac:dyDescent="0.2">
      <c r="A2535" s="119"/>
      <c r="B2535" s="120"/>
      <c r="C2535" s="129"/>
      <c r="D2535" s="129"/>
      <c r="E2535" s="129"/>
      <c r="F2535" s="129"/>
      <c r="G2535" s="129"/>
      <c r="H2535" s="129"/>
      <c r="I2535" s="129">
        <f>Community!J140</f>
        <v>0</v>
      </c>
      <c r="J2535" s="129"/>
      <c r="K2535" s="129"/>
      <c r="L2535" s="129"/>
      <c r="O2535" s="129"/>
      <c r="P2535" s="123" t="str">
        <f t="shared" si="582"/>
        <v/>
      </c>
    </row>
    <row r="2536" spans="1:16" x14ac:dyDescent="0.2">
      <c r="A2536" s="119" t="s">
        <v>1028</v>
      </c>
      <c r="B2536" s="120" t="s">
        <v>173</v>
      </c>
      <c r="C2536" s="129">
        <v>19440</v>
      </c>
      <c r="D2536" s="129">
        <v>0</v>
      </c>
      <c r="E2536" s="129">
        <v>0</v>
      </c>
      <c r="F2536" s="129">
        <v>0</v>
      </c>
      <c r="G2536" s="129">
        <v>19440</v>
      </c>
      <c r="H2536" s="129">
        <v>0</v>
      </c>
      <c r="I2536" s="129">
        <f>Community!J141</f>
        <v>0</v>
      </c>
      <c r="J2536" s="129">
        <f>Community!K141</f>
        <v>19440</v>
      </c>
      <c r="K2536" s="129">
        <f>Community!L141</f>
        <v>20655</v>
      </c>
      <c r="L2536" s="129">
        <f>Community!M141</f>
        <v>22100.85</v>
      </c>
      <c r="O2536" s="129">
        <f>Community!N141</f>
        <v>23647.909499999998</v>
      </c>
      <c r="P2536" s="123" t="str">
        <f t="shared" si="582"/>
        <v>140</v>
      </c>
    </row>
    <row r="2537" spans="1:16" x14ac:dyDescent="0.2">
      <c r="A2537" s="119" t="s">
        <v>1029</v>
      </c>
      <c r="B2537" s="120" t="s">
        <v>174</v>
      </c>
      <c r="C2537" s="129">
        <v>30812</v>
      </c>
      <c r="D2537" s="129">
        <v>0</v>
      </c>
      <c r="E2537" s="129">
        <v>0</v>
      </c>
      <c r="F2537" s="129">
        <v>0</v>
      </c>
      <c r="G2537" s="129">
        <v>30812</v>
      </c>
      <c r="H2537" s="129">
        <v>0</v>
      </c>
      <c r="I2537" s="129">
        <f>Community!J142</f>
        <v>0</v>
      </c>
      <c r="J2537" s="129">
        <f>Community!K142</f>
        <v>30812</v>
      </c>
      <c r="K2537" s="129">
        <f>Community!L142</f>
        <v>32737.75</v>
      </c>
      <c r="L2537" s="129">
        <f>Community!M142</f>
        <v>35029.392500000002</v>
      </c>
      <c r="O2537" s="129">
        <f>Community!N142</f>
        <v>37481.449975000003</v>
      </c>
      <c r="P2537" s="123" t="str">
        <f t="shared" si="582"/>
        <v>140</v>
      </c>
    </row>
    <row r="2538" spans="1:16" x14ac:dyDescent="0.2">
      <c r="A2538" s="119" t="s">
        <v>1030</v>
      </c>
      <c r="B2538" s="120" t="s">
        <v>175</v>
      </c>
      <c r="C2538" s="129">
        <v>8784</v>
      </c>
      <c r="D2538" s="129">
        <v>0</v>
      </c>
      <c r="E2538" s="129">
        <v>0</v>
      </c>
      <c r="F2538" s="129">
        <v>0</v>
      </c>
      <c r="G2538" s="129">
        <v>8784</v>
      </c>
      <c r="H2538" s="129">
        <v>0</v>
      </c>
      <c r="I2538" s="129">
        <f>Community!J143</f>
        <v>0</v>
      </c>
      <c r="J2538" s="129">
        <f>Community!K143</f>
        <v>8784</v>
      </c>
      <c r="K2538" s="129">
        <f>Community!L143</f>
        <v>9333</v>
      </c>
      <c r="L2538" s="129">
        <f>Community!M143</f>
        <v>9986.31</v>
      </c>
      <c r="O2538" s="129">
        <f>Community!N143</f>
        <v>10685.351699999999</v>
      </c>
      <c r="P2538" s="123" t="str">
        <f t="shared" si="582"/>
        <v>142</v>
      </c>
    </row>
    <row r="2539" spans="1:16" x14ac:dyDescent="0.2">
      <c r="A2539" s="119"/>
      <c r="B2539" s="120"/>
      <c r="C2539" s="129"/>
      <c r="D2539" s="129"/>
      <c r="E2539" s="129"/>
      <c r="F2539" s="129"/>
      <c r="G2539" s="129"/>
      <c r="H2539" s="129"/>
      <c r="I2539" s="129">
        <f>Community!J144</f>
        <v>0</v>
      </c>
      <c r="J2539" s="129"/>
      <c r="K2539" s="129"/>
      <c r="L2539" s="129"/>
      <c r="O2539" s="129"/>
      <c r="P2539" s="123" t="str">
        <f t="shared" si="582"/>
        <v/>
      </c>
    </row>
    <row r="2540" spans="1:16" s="114" customFormat="1" ht="15" x14ac:dyDescent="0.25">
      <c r="A2540" s="118"/>
      <c r="B2540" s="117" t="s">
        <v>176</v>
      </c>
      <c r="C2540" s="128">
        <f>SUM(C2536:C2539)</f>
        <v>59036</v>
      </c>
      <c r="D2540" s="128">
        <f t="shared" ref="D2540:O2540" si="587">SUM(D2536:D2539)</f>
        <v>0</v>
      </c>
      <c r="E2540" s="128">
        <f t="shared" si="587"/>
        <v>0</v>
      </c>
      <c r="F2540" s="128">
        <f t="shared" si="587"/>
        <v>0</v>
      </c>
      <c r="G2540" s="128">
        <f t="shared" si="587"/>
        <v>59036</v>
      </c>
      <c r="H2540" s="128">
        <f t="shared" si="587"/>
        <v>0</v>
      </c>
      <c r="I2540" s="128">
        <f t="shared" si="587"/>
        <v>0</v>
      </c>
      <c r="J2540" s="128">
        <f t="shared" si="587"/>
        <v>59036</v>
      </c>
      <c r="K2540" s="128">
        <f t="shared" si="587"/>
        <v>62725.75</v>
      </c>
      <c r="L2540" s="128">
        <f t="shared" si="587"/>
        <v>67116.552500000005</v>
      </c>
      <c r="M2540" s="128">
        <f t="shared" si="587"/>
        <v>0</v>
      </c>
      <c r="N2540" s="128">
        <f t="shared" si="587"/>
        <v>0</v>
      </c>
      <c r="O2540" s="128">
        <f t="shared" si="587"/>
        <v>71814.711175000004</v>
      </c>
      <c r="P2540" s="123" t="str">
        <f t="shared" si="582"/>
        <v/>
      </c>
    </row>
    <row r="2541" spans="1:16" s="114" customFormat="1" ht="15" x14ac:dyDescent="0.25">
      <c r="A2541" s="118"/>
      <c r="B2541" s="117"/>
      <c r="C2541" s="128"/>
      <c r="D2541" s="128"/>
      <c r="E2541" s="128"/>
      <c r="F2541" s="128"/>
      <c r="G2541" s="128"/>
      <c r="H2541" s="128"/>
      <c r="I2541" s="129">
        <f>Community!J146</f>
        <v>0</v>
      </c>
      <c r="J2541" s="129"/>
      <c r="K2541" s="129"/>
      <c r="L2541" s="129"/>
      <c r="M2541" s="186"/>
      <c r="N2541" s="186"/>
      <c r="O2541" s="128"/>
      <c r="P2541" s="123" t="str">
        <f t="shared" si="582"/>
        <v/>
      </c>
    </row>
    <row r="2542" spans="1:16" s="114" customFormat="1" ht="15" x14ac:dyDescent="0.25">
      <c r="A2542" s="118"/>
      <c r="B2542" s="117" t="s">
        <v>177</v>
      </c>
      <c r="C2542" s="128">
        <f>C2523+C2532+C2540</f>
        <v>1291224</v>
      </c>
      <c r="D2542" s="128">
        <f t="shared" ref="D2542:O2542" si="588">D2523+D2532+D2540</f>
        <v>42411.72</v>
      </c>
      <c r="E2542" s="128">
        <f t="shared" si="588"/>
        <v>0</v>
      </c>
      <c r="F2542" s="128">
        <f t="shared" si="588"/>
        <v>212134.87</v>
      </c>
      <c r="G2542" s="128">
        <f t="shared" si="588"/>
        <v>1079089.1299999999</v>
      </c>
      <c r="H2542" s="128">
        <f t="shared" si="588"/>
        <v>131.35</v>
      </c>
      <c r="I2542" s="128">
        <f t="shared" si="588"/>
        <v>-202923.91</v>
      </c>
      <c r="J2542" s="128">
        <f t="shared" si="588"/>
        <v>1088300.0899999999</v>
      </c>
      <c r="K2542" s="128">
        <f t="shared" si="588"/>
        <v>1156318.8456250001</v>
      </c>
      <c r="L2542" s="128">
        <f t="shared" si="588"/>
        <v>1237261.16481875</v>
      </c>
      <c r="M2542" s="128">
        <f t="shared" si="588"/>
        <v>0</v>
      </c>
      <c r="N2542" s="128">
        <f t="shared" si="588"/>
        <v>0</v>
      </c>
      <c r="O2542" s="128">
        <f t="shared" si="588"/>
        <v>1323869.4463560625</v>
      </c>
      <c r="P2542" s="123" t="str">
        <f t="shared" si="582"/>
        <v/>
      </c>
    </row>
    <row r="2543" spans="1:16" s="114" customFormat="1" ht="15" x14ac:dyDescent="0.25">
      <c r="A2543" s="118"/>
      <c r="B2543" s="117"/>
      <c r="C2543" s="128"/>
      <c r="D2543" s="128"/>
      <c r="E2543" s="128"/>
      <c r="F2543" s="128"/>
      <c r="G2543" s="128"/>
      <c r="H2543" s="128"/>
      <c r="I2543" s="129">
        <f>Community!J148</f>
        <v>0</v>
      </c>
      <c r="J2543" s="129"/>
      <c r="K2543" s="129"/>
      <c r="L2543" s="129"/>
      <c r="M2543" s="186"/>
      <c r="N2543" s="186"/>
      <c r="O2543" s="128"/>
      <c r="P2543" s="123" t="str">
        <f t="shared" si="582"/>
        <v/>
      </c>
    </row>
    <row r="2544" spans="1:16" s="114" customFormat="1" ht="15" x14ac:dyDescent="0.25">
      <c r="A2544" s="118"/>
      <c r="B2544" s="117" t="s">
        <v>178</v>
      </c>
      <c r="C2544" s="128">
        <f>C2542</f>
        <v>1291224</v>
      </c>
      <c r="D2544" s="128">
        <f t="shared" ref="D2544:O2544" si="589">D2542</f>
        <v>42411.72</v>
      </c>
      <c r="E2544" s="128">
        <f t="shared" si="589"/>
        <v>0</v>
      </c>
      <c r="F2544" s="128">
        <f t="shared" si="589"/>
        <v>212134.87</v>
      </c>
      <c r="G2544" s="128">
        <f t="shared" si="589"/>
        <v>1079089.1299999999</v>
      </c>
      <c r="H2544" s="128">
        <f t="shared" si="589"/>
        <v>131.35</v>
      </c>
      <c r="I2544" s="128">
        <f t="shared" si="589"/>
        <v>-202923.91</v>
      </c>
      <c r="J2544" s="128">
        <f t="shared" si="589"/>
        <v>1088300.0899999999</v>
      </c>
      <c r="K2544" s="128">
        <f t="shared" si="589"/>
        <v>1156318.8456250001</v>
      </c>
      <c r="L2544" s="128">
        <f t="shared" si="589"/>
        <v>1237261.16481875</v>
      </c>
      <c r="M2544" s="128">
        <f t="shared" si="589"/>
        <v>0</v>
      </c>
      <c r="N2544" s="128">
        <f t="shared" si="589"/>
        <v>0</v>
      </c>
      <c r="O2544" s="128">
        <f t="shared" si="589"/>
        <v>1323869.4463560625</v>
      </c>
      <c r="P2544" s="123" t="str">
        <f t="shared" si="582"/>
        <v/>
      </c>
    </row>
    <row r="2545" spans="1:16" x14ac:dyDescent="0.2">
      <c r="A2545" s="119"/>
      <c r="B2545" s="120"/>
      <c r="C2545" s="129"/>
      <c r="D2545" s="129"/>
      <c r="E2545" s="129"/>
      <c r="F2545" s="129"/>
      <c r="G2545" s="129"/>
      <c r="H2545" s="129"/>
      <c r="I2545" s="129">
        <f>Community!J150</f>
        <v>0</v>
      </c>
      <c r="J2545" s="129"/>
      <c r="K2545" s="129"/>
      <c r="L2545" s="129"/>
      <c r="O2545" s="129"/>
      <c r="P2545" s="123" t="str">
        <f t="shared" si="582"/>
        <v/>
      </c>
    </row>
    <row r="2546" spans="1:16" s="114" customFormat="1" ht="15" x14ac:dyDescent="0.25">
      <c r="A2546" s="118"/>
      <c r="B2546" s="117" t="s">
        <v>241</v>
      </c>
      <c r="C2546" s="128"/>
      <c r="D2546" s="128"/>
      <c r="E2546" s="128"/>
      <c r="F2546" s="128"/>
      <c r="G2546" s="128"/>
      <c r="H2546" s="128"/>
      <c r="I2546" s="129">
        <f>Community!J151</f>
        <v>0</v>
      </c>
      <c r="J2546" s="129"/>
      <c r="K2546" s="129"/>
      <c r="L2546" s="129"/>
      <c r="M2546" s="186"/>
      <c r="N2546" s="186"/>
      <c r="O2546" s="128"/>
      <c r="P2546" s="123" t="str">
        <f t="shared" si="582"/>
        <v/>
      </c>
    </row>
    <row r="2547" spans="1:16" x14ac:dyDescent="0.2">
      <c r="A2547" s="119"/>
      <c r="B2547" s="120"/>
      <c r="C2547" s="129"/>
      <c r="D2547" s="129"/>
      <c r="E2547" s="129"/>
      <c r="F2547" s="129"/>
      <c r="G2547" s="129"/>
      <c r="H2547" s="129"/>
      <c r="I2547" s="129">
        <f>Community!J152</f>
        <v>0</v>
      </c>
      <c r="J2547" s="129"/>
      <c r="K2547" s="129"/>
      <c r="L2547" s="129"/>
      <c r="O2547" s="129"/>
      <c r="P2547" s="123" t="str">
        <f t="shared" si="582"/>
        <v/>
      </c>
    </row>
    <row r="2548" spans="1:16" x14ac:dyDescent="0.2">
      <c r="A2548" s="119" t="s">
        <v>1031</v>
      </c>
      <c r="B2548" s="120" t="s">
        <v>265</v>
      </c>
      <c r="C2548" s="129">
        <v>0</v>
      </c>
      <c r="D2548" s="129">
        <v>345.41</v>
      </c>
      <c r="E2548" s="129">
        <v>0</v>
      </c>
      <c r="F2548" s="129">
        <v>1649.11</v>
      </c>
      <c r="G2548" s="129">
        <v>-1649.11</v>
      </c>
      <c r="H2548" s="129">
        <v>0</v>
      </c>
      <c r="I2548" s="129">
        <f>Community!J153</f>
        <v>4000</v>
      </c>
      <c r="J2548" s="129">
        <f>Community!K153</f>
        <v>4000</v>
      </c>
      <c r="K2548" s="129">
        <f>Community!L153</f>
        <v>4180</v>
      </c>
      <c r="L2548" s="129">
        <f>Community!M153</f>
        <v>4372.28</v>
      </c>
      <c r="O2548" s="129">
        <f>Community!N153</f>
        <v>4573.40488</v>
      </c>
      <c r="P2548" s="123" t="str">
        <f t="shared" si="582"/>
        <v>305</v>
      </c>
    </row>
    <row r="2549" spans="1:16" x14ac:dyDescent="0.2">
      <c r="A2549" s="119"/>
      <c r="B2549" s="120"/>
      <c r="C2549" s="129"/>
      <c r="D2549" s="129"/>
      <c r="E2549" s="129"/>
      <c r="F2549" s="129"/>
      <c r="G2549" s="129"/>
      <c r="H2549" s="129"/>
      <c r="I2549" s="129">
        <f>Community!J154</f>
        <v>0</v>
      </c>
      <c r="J2549" s="129"/>
      <c r="K2549" s="129"/>
      <c r="L2549" s="129"/>
      <c r="O2549" s="129"/>
      <c r="P2549" s="123" t="str">
        <f t="shared" si="582"/>
        <v/>
      </c>
    </row>
    <row r="2550" spans="1:16" s="114" customFormat="1" ht="15" x14ac:dyDescent="0.25">
      <c r="A2550" s="118"/>
      <c r="B2550" s="117" t="s">
        <v>274</v>
      </c>
      <c r="C2550" s="128">
        <f>SUM(C2548:C2549)</f>
        <v>0</v>
      </c>
      <c r="D2550" s="128">
        <f t="shared" ref="D2550:O2550" si="590">SUM(D2548:D2549)</f>
        <v>345.41</v>
      </c>
      <c r="E2550" s="128">
        <f t="shared" si="590"/>
        <v>0</v>
      </c>
      <c r="F2550" s="128">
        <f t="shared" si="590"/>
        <v>1649.11</v>
      </c>
      <c r="G2550" s="128">
        <f t="shared" si="590"/>
        <v>-1649.11</v>
      </c>
      <c r="H2550" s="128">
        <f t="shared" si="590"/>
        <v>0</v>
      </c>
      <c r="I2550" s="128">
        <f t="shared" si="590"/>
        <v>4000</v>
      </c>
      <c r="J2550" s="128">
        <f t="shared" si="590"/>
        <v>4000</v>
      </c>
      <c r="K2550" s="128">
        <f t="shared" si="590"/>
        <v>4180</v>
      </c>
      <c r="L2550" s="128">
        <f t="shared" si="590"/>
        <v>4372.28</v>
      </c>
      <c r="M2550" s="128">
        <f t="shared" si="590"/>
        <v>0</v>
      </c>
      <c r="N2550" s="128">
        <f t="shared" si="590"/>
        <v>0</v>
      </c>
      <c r="O2550" s="128">
        <f t="shared" si="590"/>
        <v>4573.40488</v>
      </c>
      <c r="P2550" s="123" t="str">
        <f t="shared" si="582"/>
        <v/>
      </c>
    </row>
    <row r="2551" spans="1:16" s="114" customFormat="1" ht="15" x14ac:dyDescent="0.25">
      <c r="A2551" s="118"/>
      <c r="B2551" s="117"/>
      <c r="C2551" s="128"/>
      <c r="D2551" s="128"/>
      <c r="E2551" s="128"/>
      <c r="F2551" s="128"/>
      <c r="G2551" s="128"/>
      <c r="H2551" s="128"/>
      <c r="I2551" s="129">
        <f>Community!J156</f>
        <v>0</v>
      </c>
      <c r="J2551" s="129"/>
      <c r="K2551" s="129"/>
      <c r="L2551" s="129"/>
      <c r="M2551" s="186"/>
      <c r="N2551" s="186"/>
      <c r="O2551" s="128"/>
      <c r="P2551" s="123" t="str">
        <f t="shared" si="582"/>
        <v/>
      </c>
    </row>
    <row r="2552" spans="1:16" s="114" customFormat="1" ht="15" x14ac:dyDescent="0.25">
      <c r="A2552" s="118"/>
      <c r="B2552" s="117" t="s">
        <v>290</v>
      </c>
      <c r="C2552" s="128"/>
      <c r="D2552" s="128"/>
      <c r="E2552" s="128"/>
      <c r="F2552" s="128"/>
      <c r="G2552" s="128"/>
      <c r="H2552" s="128"/>
      <c r="I2552" s="129">
        <f>Community!J157</f>
        <v>0</v>
      </c>
      <c r="J2552" s="129"/>
      <c r="K2552" s="129"/>
      <c r="L2552" s="129"/>
      <c r="M2552" s="186"/>
      <c r="N2552" s="186"/>
      <c r="O2552" s="128"/>
      <c r="P2552" s="123" t="str">
        <f t="shared" si="582"/>
        <v/>
      </c>
    </row>
    <row r="2553" spans="1:16" x14ac:dyDescent="0.2">
      <c r="A2553" s="119"/>
      <c r="B2553" s="120"/>
      <c r="C2553" s="129"/>
      <c r="D2553" s="129"/>
      <c r="E2553" s="129"/>
      <c r="F2553" s="129"/>
      <c r="G2553" s="129"/>
      <c r="H2553" s="129"/>
      <c r="I2553" s="129">
        <f>Community!J158</f>
        <v>0</v>
      </c>
      <c r="J2553" s="129"/>
      <c r="K2553" s="129"/>
      <c r="L2553" s="129"/>
      <c r="O2553" s="129"/>
      <c r="P2553" s="123" t="str">
        <f t="shared" si="582"/>
        <v/>
      </c>
    </row>
    <row r="2554" spans="1:16" x14ac:dyDescent="0.2">
      <c r="A2554" s="119" t="s">
        <v>1032</v>
      </c>
      <c r="B2554" s="120" t="s">
        <v>292</v>
      </c>
      <c r="C2554" s="129">
        <v>3371</v>
      </c>
      <c r="D2554" s="129">
        <v>270.42</v>
      </c>
      <c r="E2554" s="129">
        <v>0</v>
      </c>
      <c r="F2554" s="129">
        <v>540.84</v>
      </c>
      <c r="G2554" s="129">
        <v>2830.16</v>
      </c>
      <c r="H2554" s="129">
        <v>16.04</v>
      </c>
      <c r="I2554" s="129">
        <f>Community!J159</f>
        <v>0</v>
      </c>
      <c r="J2554" s="129">
        <f>Community!K159</f>
        <v>3371</v>
      </c>
      <c r="K2554" s="129">
        <f>Community!L159</f>
        <v>3522.6950000000002</v>
      </c>
      <c r="L2554" s="129">
        <f>Community!M159</f>
        <v>3684.7389700000003</v>
      </c>
      <c r="O2554" s="129">
        <f>Community!N159</f>
        <v>3854.2369626200002</v>
      </c>
      <c r="P2554" s="123" t="str">
        <f t="shared" si="582"/>
        <v>720</v>
      </c>
    </row>
    <row r="2555" spans="1:16" x14ac:dyDescent="0.2">
      <c r="A2555" s="119" t="s">
        <v>1033</v>
      </c>
      <c r="B2555" s="120" t="s">
        <v>293</v>
      </c>
      <c r="C2555" s="129">
        <v>6582</v>
      </c>
      <c r="D2555" s="129">
        <v>1136.32</v>
      </c>
      <c r="E2555" s="129">
        <v>0</v>
      </c>
      <c r="F2555" s="129">
        <v>2306.33</v>
      </c>
      <c r="G2555" s="129">
        <v>4275.67</v>
      </c>
      <c r="H2555" s="129">
        <v>35.03</v>
      </c>
      <c r="I2555" s="129">
        <f>Community!J160</f>
        <v>0</v>
      </c>
      <c r="J2555" s="129">
        <f>Community!K160</f>
        <v>6582</v>
      </c>
      <c r="K2555" s="129">
        <f>Community!L160</f>
        <v>6878.19</v>
      </c>
      <c r="L2555" s="129">
        <f>Community!M160</f>
        <v>7194.5867399999997</v>
      </c>
      <c r="O2555" s="129">
        <f>Community!N160</f>
        <v>7525.5377300399996</v>
      </c>
      <c r="P2555" s="123" t="str">
        <f t="shared" si="582"/>
        <v>721</v>
      </c>
    </row>
    <row r="2556" spans="1:16" x14ac:dyDescent="0.2">
      <c r="A2556" s="119"/>
      <c r="B2556" s="120"/>
      <c r="C2556" s="129"/>
      <c r="D2556" s="129"/>
      <c r="E2556" s="129"/>
      <c r="F2556" s="129"/>
      <c r="G2556" s="129"/>
      <c r="H2556" s="129"/>
      <c r="I2556" s="129">
        <f>Community!J161</f>
        <v>0</v>
      </c>
      <c r="J2556" s="129"/>
      <c r="K2556" s="129"/>
      <c r="L2556" s="129"/>
      <c r="O2556" s="129"/>
      <c r="P2556" s="123" t="str">
        <f t="shared" si="582"/>
        <v/>
      </c>
    </row>
    <row r="2557" spans="1:16" s="114" customFormat="1" ht="15" x14ac:dyDescent="0.25">
      <c r="A2557" s="118"/>
      <c r="B2557" s="117" t="s">
        <v>304</v>
      </c>
      <c r="C2557" s="128">
        <f>SUM(C2554:C2556)</f>
        <v>9953</v>
      </c>
      <c r="D2557" s="128">
        <f t="shared" ref="D2557:O2557" si="591">SUM(D2554:D2556)</f>
        <v>1406.74</v>
      </c>
      <c r="E2557" s="128">
        <f t="shared" si="591"/>
        <v>0</v>
      </c>
      <c r="F2557" s="128">
        <f t="shared" si="591"/>
        <v>2847.17</v>
      </c>
      <c r="G2557" s="128">
        <f t="shared" si="591"/>
        <v>7105.83</v>
      </c>
      <c r="H2557" s="128">
        <f t="shared" si="591"/>
        <v>51.07</v>
      </c>
      <c r="I2557" s="128">
        <f t="shared" si="591"/>
        <v>0</v>
      </c>
      <c r="J2557" s="128">
        <f t="shared" si="591"/>
        <v>9953</v>
      </c>
      <c r="K2557" s="128">
        <f t="shared" si="591"/>
        <v>10400.885</v>
      </c>
      <c r="L2557" s="128">
        <f t="shared" si="591"/>
        <v>10879.325710000001</v>
      </c>
      <c r="M2557" s="128">
        <f t="shared" si="591"/>
        <v>0</v>
      </c>
      <c r="N2557" s="128">
        <f t="shared" si="591"/>
        <v>0</v>
      </c>
      <c r="O2557" s="128">
        <f t="shared" si="591"/>
        <v>11379.774692659999</v>
      </c>
      <c r="P2557" s="123" t="str">
        <f t="shared" si="582"/>
        <v/>
      </c>
    </row>
    <row r="2558" spans="1:16" s="114" customFormat="1" ht="15" x14ac:dyDescent="0.25">
      <c r="A2558" s="118"/>
      <c r="B2558" s="117"/>
      <c r="C2558" s="128"/>
      <c r="D2558" s="128"/>
      <c r="E2558" s="128"/>
      <c r="F2558" s="128"/>
      <c r="G2558" s="128"/>
      <c r="H2558" s="128"/>
      <c r="I2558" s="129">
        <f>Community!J163</f>
        <v>0</v>
      </c>
      <c r="J2558" s="129"/>
      <c r="K2558" s="129"/>
      <c r="L2558" s="129"/>
      <c r="M2558" s="186"/>
      <c r="N2558" s="186"/>
      <c r="O2558" s="128"/>
      <c r="P2558" s="123" t="str">
        <f t="shared" si="582"/>
        <v/>
      </c>
    </row>
    <row r="2559" spans="1:16" s="114" customFormat="1" ht="15" x14ac:dyDescent="0.25">
      <c r="A2559" s="118"/>
      <c r="B2559" s="117" t="s">
        <v>305</v>
      </c>
      <c r="C2559" s="128">
        <f>C2544+C2550+C2557</f>
        <v>1301177</v>
      </c>
      <c r="D2559" s="128">
        <f t="shared" ref="D2559:O2559" si="592">D2544+D2550+D2557</f>
        <v>44163.87</v>
      </c>
      <c r="E2559" s="128">
        <f t="shared" si="592"/>
        <v>0</v>
      </c>
      <c r="F2559" s="128">
        <f t="shared" si="592"/>
        <v>216631.15</v>
      </c>
      <c r="G2559" s="128">
        <f t="shared" si="592"/>
        <v>1084545.8499999999</v>
      </c>
      <c r="H2559" s="128">
        <f t="shared" si="592"/>
        <v>182.42</v>
      </c>
      <c r="I2559" s="128">
        <f t="shared" si="592"/>
        <v>-198923.91</v>
      </c>
      <c r="J2559" s="128">
        <f t="shared" si="592"/>
        <v>1102253.0899999999</v>
      </c>
      <c r="K2559" s="128">
        <f t="shared" si="592"/>
        <v>1170899.7306250001</v>
      </c>
      <c r="L2559" s="128">
        <f t="shared" si="592"/>
        <v>1252512.77052875</v>
      </c>
      <c r="M2559" s="128">
        <f t="shared" si="592"/>
        <v>0</v>
      </c>
      <c r="N2559" s="128">
        <f t="shared" si="592"/>
        <v>0</v>
      </c>
      <c r="O2559" s="128">
        <f t="shared" si="592"/>
        <v>1339822.6259287226</v>
      </c>
      <c r="P2559" s="123" t="str">
        <f t="shared" si="582"/>
        <v/>
      </c>
    </row>
    <row r="2560" spans="1:16" s="114" customFormat="1" ht="15" x14ac:dyDescent="0.25">
      <c r="A2560" s="118"/>
      <c r="B2560" s="117"/>
      <c r="C2560" s="128"/>
      <c r="D2560" s="128"/>
      <c r="E2560" s="128"/>
      <c r="F2560" s="128"/>
      <c r="G2560" s="128"/>
      <c r="H2560" s="128"/>
      <c r="I2560" s="129">
        <f>Community!J165</f>
        <v>0</v>
      </c>
      <c r="J2560" s="129"/>
      <c r="K2560" s="129"/>
      <c r="L2560" s="129"/>
      <c r="M2560" s="186"/>
      <c r="N2560" s="186"/>
      <c r="O2560" s="128"/>
      <c r="P2560" s="123" t="str">
        <f t="shared" si="582"/>
        <v/>
      </c>
    </row>
    <row r="2561" spans="1:16" s="114" customFormat="1" ht="15" x14ac:dyDescent="0.25">
      <c r="A2561" s="118"/>
      <c r="B2561" s="117" t="s">
        <v>306</v>
      </c>
      <c r="C2561" s="128">
        <f>C2559</f>
        <v>1301177</v>
      </c>
      <c r="D2561" s="128">
        <f t="shared" ref="D2561:O2561" si="593">D2559</f>
        <v>44163.87</v>
      </c>
      <c r="E2561" s="128">
        <f t="shared" si="593"/>
        <v>0</v>
      </c>
      <c r="F2561" s="128">
        <f t="shared" si="593"/>
        <v>216631.15</v>
      </c>
      <c r="G2561" s="128">
        <f t="shared" si="593"/>
        <v>1084545.8499999999</v>
      </c>
      <c r="H2561" s="128">
        <f t="shared" si="593"/>
        <v>182.42</v>
      </c>
      <c r="I2561" s="128">
        <f t="shared" si="593"/>
        <v>-198923.91</v>
      </c>
      <c r="J2561" s="128">
        <f t="shared" si="593"/>
        <v>1102253.0899999999</v>
      </c>
      <c r="K2561" s="128">
        <f t="shared" si="593"/>
        <v>1170899.7306250001</v>
      </c>
      <c r="L2561" s="128">
        <f t="shared" si="593"/>
        <v>1252512.77052875</v>
      </c>
      <c r="M2561" s="128">
        <f t="shared" si="593"/>
        <v>0</v>
      </c>
      <c r="N2561" s="128">
        <f t="shared" si="593"/>
        <v>0</v>
      </c>
      <c r="O2561" s="128">
        <f t="shared" si="593"/>
        <v>1339822.6259287226</v>
      </c>
      <c r="P2561" s="123" t="str">
        <f t="shared" si="582"/>
        <v/>
      </c>
    </row>
    <row r="2562" spans="1:16" x14ac:dyDescent="0.2">
      <c r="A2562" s="119"/>
      <c r="B2562" s="120"/>
      <c r="C2562" s="129"/>
      <c r="D2562" s="129"/>
      <c r="E2562" s="129"/>
      <c r="F2562" s="129"/>
      <c r="G2562" s="129"/>
      <c r="H2562" s="129"/>
      <c r="I2562" s="129">
        <f>Community!J167</f>
        <v>0</v>
      </c>
      <c r="J2562" s="129"/>
      <c r="K2562" s="129"/>
      <c r="L2562" s="129"/>
      <c r="O2562" s="129"/>
      <c r="P2562" s="123" t="str">
        <f t="shared" si="582"/>
        <v/>
      </c>
    </row>
    <row r="2563" spans="1:16" s="114" customFormat="1" ht="15" x14ac:dyDescent="0.25">
      <c r="A2563" s="118"/>
      <c r="B2563" s="117" t="s">
        <v>1034</v>
      </c>
      <c r="C2563" s="128"/>
      <c r="D2563" s="128"/>
      <c r="E2563" s="128"/>
      <c r="F2563" s="128"/>
      <c r="G2563" s="128"/>
      <c r="H2563" s="128"/>
      <c r="I2563" s="129">
        <f>Community!J168</f>
        <v>0</v>
      </c>
      <c r="J2563" s="129"/>
      <c r="K2563" s="129"/>
      <c r="L2563" s="129"/>
      <c r="M2563" s="186"/>
      <c r="N2563" s="186"/>
      <c r="O2563" s="128"/>
      <c r="P2563" s="123" t="str">
        <f t="shared" si="582"/>
        <v/>
      </c>
    </row>
    <row r="2564" spans="1:16" s="114" customFormat="1" ht="15" x14ac:dyDescent="0.25">
      <c r="A2564" s="118"/>
      <c r="B2564" s="117" t="s">
        <v>9</v>
      </c>
      <c r="C2564" s="128"/>
      <c r="D2564" s="128"/>
      <c r="E2564" s="128"/>
      <c r="F2564" s="128"/>
      <c r="G2564" s="128"/>
      <c r="H2564" s="128"/>
      <c r="I2564" s="129">
        <f>Community!J169</f>
        <v>0</v>
      </c>
      <c r="J2564" s="129"/>
      <c r="K2564" s="129"/>
      <c r="L2564" s="129"/>
      <c r="M2564" s="186"/>
      <c r="N2564" s="186"/>
      <c r="O2564" s="128"/>
      <c r="P2564" s="123" t="str">
        <f t="shared" si="582"/>
        <v/>
      </c>
    </row>
    <row r="2565" spans="1:16" s="114" customFormat="1" ht="15" x14ac:dyDescent="0.25">
      <c r="A2565" s="118"/>
      <c r="B2565" s="117" t="s">
        <v>10</v>
      </c>
      <c r="C2565" s="128"/>
      <c r="D2565" s="128"/>
      <c r="E2565" s="128"/>
      <c r="F2565" s="128"/>
      <c r="G2565" s="128"/>
      <c r="H2565" s="128"/>
      <c r="I2565" s="129">
        <f>Community!J170</f>
        <v>0</v>
      </c>
      <c r="J2565" s="129"/>
      <c r="K2565" s="129"/>
      <c r="L2565" s="129"/>
      <c r="M2565" s="186"/>
      <c r="N2565" s="186"/>
      <c r="O2565" s="128"/>
      <c r="P2565" s="123" t="str">
        <f t="shared" si="582"/>
        <v/>
      </c>
    </row>
    <row r="2566" spans="1:16" s="114" customFormat="1" ht="15" x14ac:dyDescent="0.25">
      <c r="A2566" s="118"/>
      <c r="B2566" s="117" t="s">
        <v>22</v>
      </c>
      <c r="C2566" s="128"/>
      <c r="D2566" s="128"/>
      <c r="E2566" s="128"/>
      <c r="F2566" s="128"/>
      <c r="G2566" s="128"/>
      <c r="H2566" s="128"/>
      <c r="I2566" s="129">
        <f>Community!J171</f>
        <v>0</v>
      </c>
      <c r="J2566" s="129"/>
      <c r="K2566" s="128"/>
      <c r="L2566" s="128"/>
      <c r="M2566" s="186"/>
      <c r="N2566" s="186"/>
      <c r="O2566" s="128"/>
      <c r="P2566" s="123" t="str">
        <f t="shared" si="582"/>
        <v/>
      </c>
    </row>
    <row r="2567" spans="1:16" x14ac:dyDescent="0.2">
      <c r="A2567" s="119"/>
      <c r="B2567" s="120"/>
      <c r="C2567" s="129"/>
      <c r="D2567" s="129"/>
      <c r="E2567" s="129"/>
      <c r="F2567" s="129"/>
      <c r="G2567" s="129"/>
      <c r="H2567" s="129"/>
      <c r="I2567" s="129">
        <f>Community!J172</f>
        <v>0</v>
      </c>
      <c r="J2567" s="129"/>
      <c r="K2567" s="129"/>
      <c r="L2567" s="129"/>
      <c r="O2567" s="129"/>
      <c r="P2567" s="123" t="str">
        <f t="shared" ref="P2567:P2630" si="594">MID(A2567,6,3)</f>
        <v/>
      </c>
    </row>
    <row r="2568" spans="1:16" x14ac:dyDescent="0.2">
      <c r="A2568" s="119" t="s">
        <v>1035</v>
      </c>
      <c r="B2568" s="120" t="s">
        <v>25</v>
      </c>
      <c r="C2568" s="129">
        <v>-827</v>
      </c>
      <c r="D2568" s="129">
        <v>0</v>
      </c>
      <c r="E2568" s="129">
        <v>0</v>
      </c>
      <c r="F2568" s="129">
        <v>-72.17</v>
      </c>
      <c r="G2568" s="129">
        <v>-754.83</v>
      </c>
      <c r="H2568" s="129">
        <v>8.7200000000000006</v>
      </c>
      <c r="I2568" s="129">
        <f>Community!J173</f>
        <v>0</v>
      </c>
      <c r="J2568" s="129">
        <f>Community!K173</f>
        <v>-827</v>
      </c>
      <c r="K2568" s="129">
        <f>Community!L173</f>
        <v>-864.21500000000003</v>
      </c>
      <c r="L2568" s="129">
        <f>Community!M173</f>
        <v>-905.69731999999999</v>
      </c>
      <c r="O2568" s="129">
        <f>Community!N173</f>
        <v>-947.35939671999995</v>
      </c>
      <c r="P2568" s="123" t="str">
        <f t="shared" si="594"/>
        <v>040</v>
      </c>
    </row>
    <row r="2569" spans="1:16" x14ac:dyDescent="0.2">
      <c r="A2569" s="119"/>
      <c r="B2569" s="120"/>
      <c r="C2569" s="129"/>
      <c r="D2569" s="129"/>
      <c r="E2569" s="129"/>
      <c r="F2569" s="129"/>
      <c r="G2569" s="129"/>
      <c r="H2569" s="129"/>
      <c r="I2569" s="129">
        <f>Community!J174</f>
        <v>0</v>
      </c>
      <c r="J2569" s="129"/>
      <c r="K2569" s="129"/>
      <c r="L2569" s="129"/>
      <c r="O2569" s="129"/>
      <c r="P2569" s="123" t="str">
        <f t="shared" si="594"/>
        <v/>
      </c>
    </row>
    <row r="2570" spans="1:16" s="114" customFormat="1" ht="15" x14ac:dyDescent="0.25">
      <c r="A2570" s="118"/>
      <c r="B2570" s="117" t="s">
        <v>28</v>
      </c>
      <c r="C2570" s="128">
        <f>SUM(C2568:C2569)</f>
        <v>-827</v>
      </c>
      <c r="D2570" s="128">
        <f t="shared" ref="D2570:O2570" si="595">SUM(D2568:D2569)</f>
        <v>0</v>
      </c>
      <c r="E2570" s="128">
        <f t="shared" si="595"/>
        <v>0</v>
      </c>
      <c r="F2570" s="128">
        <f t="shared" si="595"/>
        <v>-72.17</v>
      </c>
      <c r="G2570" s="128">
        <f t="shared" si="595"/>
        <v>-754.83</v>
      </c>
      <c r="H2570" s="128">
        <f t="shared" si="595"/>
        <v>8.7200000000000006</v>
      </c>
      <c r="I2570" s="128">
        <f t="shared" si="595"/>
        <v>0</v>
      </c>
      <c r="J2570" s="128">
        <f t="shared" si="595"/>
        <v>-827</v>
      </c>
      <c r="K2570" s="128">
        <f t="shared" si="595"/>
        <v>-864.21500000000003</v>
      </c>
      <c r="L2570" s="128">
        <f t="shared" si="595"/>
        <v>-905.69731999999999</v>
      </c>
      <c r="M2570" s="128">
        <f t="shared" si="595"/>
        <v>0</v>
      </c>
      <c r="N2570" s="128">
        <f t="shared" si="595"/>
        <v>0</v>
      </c>
      <c r="O2570" s="128">
        <f t="shared" si="595"/>
        <v>-947.35939671999995</v>
      </c>
      <c r="P2570" s="123" t="str">
        <f t="shared" si="594"/>
        <v/>
      </c>
    </row>
    <row r="2571" spans="1:16" s="114" customFormat="1" ht="15" x14ac:dyDescent="0.25">
      <c r="A2571" s="118"/>
      <c r="B2571" s="117"/>
      <c r="C2571" s="128"/>
      <c r="D2571" s="128"/>
      <c r="E2571" s="128"/>
      <c r="F2571" s="128"/>
      <c r="G2571" s="128"/>
      <c r="H2571" s="128"/>
      <c r="I2571" s="129">
        <f>Community!J176</f>
        <v>0</v>
      </c>
      <c r="J2571" s="129"/>
      <c r="K2571" s="129"/>
      <c r="L2571" s="129"/>
      <c r="M2571" s="186"/>
      <c r="N2571" s="186"/>
      <c r="O2571" s="128"/>
      <c r="P2571" s="123" t="str">
        <f t="shared" si="594"/>
        <v/>
      </c>
    </row>
    <row r="2572" spans="1:16" s="114" customFormat="1" ht="15" x14ac:dyDescent="0.25">
      <c r="A2572" s="118"/>
      <c r="B2572" s="117" t="s">
        <v>40</v>
      </c>
      <c r="C2572" s="128">
        <f>C2570</f>
        <v>-827</v>
      </c>
      <c r="D2572" s="128">
        <f t="shared" ref="D2572:O2572" si="596">D2570</f>
        <v>0</v>
      </c>
      <c r="E2572" s="128">
        <f t="shared" si="596"/>
        <v>0</v>
      </c>
      <c r="F2572" s="128">
        <f t="shared" si="596"/>
        <v>-72.17</v>
      </c>
      <c r="G2572" s="128">
        <f t="shared" si="596"/>
        <v>-754.83</v>
      </c>
      <c r="H2572" s="128">
        <f t="shared" si="596"/>
        <v>8.7200000000000006</v>
      </c>
      <c r="I2572" s="128">
        <f t="shared" si="596"/>
        <v>0</v>
      </c>
      <c r="J2572" s="128">
        <f t="shared" si="596"/>
        <v>-827</v>
      </c>
      <c r="K2572" s="128">
        <f t="shared" si="596"/>
        <v>-864.21500000000003</v>
      </c>
      <c r="L2572" s="128">
        <f t="shared" si="596"/>
        <v>-905.69731999999999</v>
      </c>
      <c r="M2572" s="128">
        <f t="shared" si="596"/>
        <v>0</v>
      </c>
      <c r="N2572" s="128">
        <f t="shared" si="596"/>
        <v>0</v>
      </c>
      <c r="O2572" s="128">
        <f t="shared" si="596"/>
        <v>-947.35939671999995</v>
      </c>
      <c r="P2572" s="123" t="str">
        <f t="shared" si="594"/>
        <v/>
      </c>
    </row>
    <row r="2573" spans="1:16" x14ac:dyDescent="0.2">
      <c r="A2573" s="119"/>
      <c r="B2573" s="120"/>
      <c r="C2573" s="129"/>
      <c r="D2573" s="129"/>
      <c r="E2573" s="129"/>
      <c r="F2573" s="129"/>
      <c r="G2573" s="129"/>
      <c r="H2573" s="129"/>
      <c r="I2573" s="129">
        <f>Community!J178</f>
        <v>0</v>
      </c>
      <c r="J2573" s="129"/>
      <c r="K2573" s="129"/>
      <c r="L2573" s="129"/>
      <c r="O2573" s="129"/>
      <c r="P2573" s="123" t="str">
        <f t="shared" si="594"/>
        <v/>
      </c>
    </row>
    <row r="2574" spans="1:16" s="114" customFormat="1" ht="15" x14ac:dyDescent="0.25">
      <c r="A2574" s="118"/>
      <c r="B2574" s="117" t="s">
        <v>41</v>
      </c>
      <c r="C2574" s="128"/>
      <c r="D2574" s="128"/>
      <c r="E2574" s="128"/>
      <c r="F2574" s="128"/>
      <c r="G2574" s="128"/>
      <c r="H2574" s="128"/>
      <c r="I2574" s="129">
        <f>Community!J179</f>
        <v>0</v>
      </c>
      <c r="J2574" s="129"/>
      <c r="K2574" s="129"/>
      <c r="L2574" s="129"/>
      <c r="M2574" s="186"/>
      <c r="N2574" s="186"/>
      <c r="O2574" s="128"/>
      <c r="P2574" s="123" t="str">
        <f t="shared" si="594"/>
        <v/>
      </c>
    </row>
    <row r="2575" spans="1:16" s="114" customFormat="1" ht="15" x14ac:dyDescent="0.25">
      <c r="A2575" s="118"/>
      <c r="B2575" s="117" t="s">
        <v>42</v>
      </c>
      <c r="C2575" s="128"/>
      <c r="D2575" s="128"/>
      <c r="E2575" s="128"/>
      <c r="F2575" s="128"/>
      <c r="G2575" s="128"/>
      <c r="H2575" s="128"/>
      <c r="I2575" s="129">
        <f>Community!J180</f>
        <v>0</v>
      </c>
      <c r="J2575" s="129"/>
      <c r="K2575" s="129"/>
      <c r="L2575" s="129"/>
      <c r="M2575" s="186"/>
      <c r="N2575" s="186"/>
      <c r="O2575" s="128"/>
      <c r="P2575" s="123" t="str">
        <f t="shared" si="594"/>
        <v/>
      </c>
    </row>
    <row r="2576" spans="1:16" s="114" customFormat="1" ht="15" x14ac:dyDescent="0.25">
      <c r="A2576" s="118"/>
      <c r="B2576" s="117" t="s">
        <v>70</v>
      </c>
      <c r="C2576" s="128"/>
      <c r="D2576" s="128"/>
      <c r="E2576" s="128"/>
      <c r="F2576" s="128"/>
      <c r="G2576" s="128"/>
      <c r="H2576" s="128"/>
      <c r="I2576" s="129">
        <f>Community!J181</f>
        <v>0</v>
      </c>
      <c r="J2576" s="129"/>
      <c r="K2576" s="128"/>
      <c r="L2576" s="128"/>
      <c r="M2576" s="186"/>
      <c r="N2576" s="186"/>
      <c r="O2576" s="128"/>
      <c r="P2576" s="123" t="str">
        <f t="shared" si="594"/>
        <v/>
      </c>
    </row>
    <row r="2577" spans="1:16" x14ac:dyDescent="0.2">
      <c r="A2577" s="119"/>
      <c r="B2577" s="120"/>
      <c r="C2577" s="129"/>
      <c r="D2577" s="129"/>
      <c r="E2577" s="129"/>
      <c r="F2577" s="129"/>
      <c r="G2577" s="129"/>
      <c r="H2577" s="129"/>
      <c r="I2577" s="129">
        <f>Community!J182</f>
        <v>0</v>
      </c>
      <c r="J2577" s="129"/>
      <c r="K2577" s="129"/>
      <c r="L2577" s="129"/>
      <c r="O2577" s="129"/>
      <c r="P2577" s="123" t="str">
        <f t="shared" si="594"/>
        <v/>
      </c>
    </row>
    <row r="2578" spans="1:16" x14ac:dyDescent="0.2">
      <c r="A2578" s="119" t="s">
        <v>1036</v>
      </c>
      <c r="B2578" s="120" t="s">
        <v>71</v>
      </c>
      <c r="C2578" s="129">
        <v>-310</v>
      </c>
      <c r="D2578" s="129">
        <v>0</v>
      </c>
      <c r="E2578" s="129">
        <v>0</v>
      </c>
      <c r="F2578" s="129">
        <v>0</v>
      </c>
      <c r="G2578" s="129">
        <v>-310</v>
      </c>
      <c r="H2578" s="129">
        <v>0</v>
      </c>
      <c r="I2578" s="129">
        <f>Community!J183</f>
        <v>0</v>
      </c>
      <c r="J2578" s="129">
        <f>Community!K183</f>
        <v>-310</v>
      </c>
      <c r="K2578" s="129">
        <f>Community!L183</f>
        <v>-323.95</v>
      </c>
      <c r="L2578" s="129">
        <f>Community!M183</f>
        <v>-338.85169999999999</v>
      </c>
      <c r="O2578" s="129">
        <f>Community!N183</f>
        <v>-354.43887819999998</v>
      </c>
      <c r="P2578" s="123" t="str">
        <f t="shared" si="594"/>
        <v>380</v>
      </c>
    </row>
    <row r="2579" spans="1:16" x14ac:dyDescent="0.2">
      <c r="A2579" s="119"/>
      <c r="B2579" s="120"/>
      <c r="C2579" s="129"/>
      <c r="D2579" s="129"/>
      <c r="E2579" s="129"/>
      <c r="F2579" s="129"/>
      <c r="G2579" s="129"/>
      <c r="H2579" s="129"/>
      <c r="I2579" s="129">
        <f>Community!J184</f>
        <v>0</v>
      </c>
      <c r="J2579" s="129"/>
      <c r="K2579" s="129"/>
      <c r="L2579" s="129"/>
      <c r="O2579" s="129"/>
      <c r="P2579" s="123" t="str">
        <f t="shared" si="594"/>
        <v/>
      </c>
    </row>
    <row r="2580" spans="1:16" s="114" customFormat="1" ht="15" x14ac:dyDescent="0.25">
      <c r="A2580" s="118"/>
      <c r="B2580" s="117" t="s">
        <v>77</v>
      </c>
      <c r="C2580" s="128">
        <f>SUM(C2578:C2579)</f>
        <v>-310</v>
      </c>
      <c r="D2580" s="128">
        <f t="shared" ref="D2580:O2580" si="597">SUM(D2578:D2579)</f>
        <v>0</v>
      </c>
      <c r="E2580" s="128">
        <f t="shared" si="597"/>
        <v>0</v>
      </c>
      <c r="F2580" s="128">
        <f t="shared" si="597"/>
        <v>0</v>
      </c>
      <c r="G2580" s="128">
        <f t="shared" si="597"/>
        <v>-310</v>
      </c>
      <c r="H2580" s="128">
        <f t="shared" si="597"/>
        <v>0</v>
      </c>
      <c r="I2580" s="128">
        <f t="shared" si="597"/>
        <v>0</v>
      </c>
      <c r="J2580" s="128">
        <f t="shared" si="597"/>
        <v>-310</v>
      </c>
      <c r="K2580" s="128">
        <f t="shared" si="597"/>
        <v>-323.95</v>
      </c>
      <c r="L2580" s="128">
        <f t="shared" si="597"/>
        <v>-338.85169999999999</v>
      </c>
      <c r="M2580" s="128">
        <f t="shared" si="597"/>
        <v>0</v>
      </c>
      <c r="N2580" s="128">
        <f t="shared" si="597"/>
        <v>0</v>
      </c>
      <c r="O2580" s="128">
        <f t="shared" si="597"/>
        <v>-354.43887819999998</v>
      </c>
      <c r="P2580" s="123" t="str">
        <f t="shared" si="594"/>
        <v/>
      </c>
    </row>
    <row r="2581" spans="1:16" s="114" customFormat="1" ht="15" x14ac:dyDescent="0.25">
      <c r="A2581" s="118"/>
      <c r="B2581" s="117"/>
      <c r="C2581" s="128"/>
      <c r="D2581" s="128"/>
      <c r="E2581" s="128"/>
      <c r="F2581" s="128"/>
      <c r="G2581" s="128"/>
      <c r="H2581" s="128"/>
      <c r="I2581" s="129">
        <f>Community!J186</f>
        <v>0</v>
      </c>
      <c r="J2581" s="129"/>
      <c r="K2581" s="129"/>
      <c r="L2581" s="129"/>
      <c r="M2581" s="186"/>
      <c r="N2581" s="186"/>
      <c r="O2581" s="128"/>
      <c r="P2581" s="123" t="str">
        <f t="shared" si="594"/>
        <v/>
      </c>
    </row>
    <row r="2582" spans="1:16" s="114" customFormat="1" ht="15" x14ac:dyDescent="0.25">
      <c r="A2582" s="118"/>
      <c r="B2582" s="117" t="s">
        <v>78</v>
      </c>
      <c r="C2582" s="128"/>
      <c r="D2582" s="128"/>
      <c r="E2582" s="128"/>
      <c r="F2582" s="128"/>
      <c r="G2582" s="128"/>
      <c r="H2582" s="128"/>
      <c r="I2582" s="129">
        <f ca="1">Community!J187</f>
        <v>0</v>
      </c>
      <c r="J2582" s="129"/>
      <c r="K2582" s="129"/>
      <c r="L2582" s="129"/>
      <c r="M2582" s="186"/>
      <c r="N2582" s="186"/>
      <c r="O2582" s="128"/>
      <c r="P2582" s="123" t="str">
        <f t="shared" si="594"/>
        <v/>
      </c>
    </row>
    <row r="2583" spans="1:16" x14ac:dyDescent="0.2">
      <c r="A2583" s="119"/>
      <c r="B2583" s="120"/>
      <c r="C2583" s="129"/>
      <c r="D2583" s="129"/>
      <c r="E2583" s="129"/>
      <c r="F2583" s="129"/>
      <c r="G2583" s="129"/>
      <c r="H2583" s="129"/>
      <c r="I2583" s="129">
        <f>Community!J188</f>
        <v>0</v>
      </c>
      <c r="J2583" s="129"/>
      <c r="K2583" s="129"/>
      <c r="L2583" s="129"/>
      <c r="O2583" s="129"/>
      <c r="P2583" s="123" t="str">
        <f t="shared" si="594"/>
        <v/>
      </c>
    </row>
    <row r="2584" spans="1:16" x14ac:dyDescent="0.2">
      <c r="A2584" s="119" t="s">
        <v>1037</v>
      </c>
      <c r="B2584" s="120" t="s">
        <v>79</v>
      </c>
      <c r="C2584" s="129">
        <v>-283935</v>
      </c>
      <c r="D2584" s="129">
        <v>-15256.34</v>
      </c>
      <c r="E2584" s="129">
        <v>0</v>
      </c>
      <c r="F2584" s="129">
        <v>-100969.64</v>
      </c>
      <c r="G2584" s="129">
        <v>-182965.36</v>
      </c>
      <c r="H2584" s="129">
        <v>35.56</v>
      </c>
      <c r="I2584" s="129">
        <f>Community!J189</f>
        <v>50000</v>
      </c>
      <c r="J2584" s="129">
        <f>Community!K189</f>
        <v>-233935</v>
      </c>
      <c r="K2584" s="129">
        <f>Community!L189</f>
        <v>-244462.07500000001</v>
      </c>
      <c r="L2584" s="129">
        <f>Community!M189</f>
        <v>-255707.33045000001</v>
      </c>
      <c r="O2584" s="129">
        <f>Community!N189</f>
        <v>-267469.86765070003</v>
      </c>
      <c r="P2584" s="123" t="str">
        <f t="shared" si="594"/>
        <v>401</v>
      </c>
    </row>
    <row r="2585" spans="1:16" x14ac:dyDescent="0.2">
      <c r="A2585" s="119"/>
      <c r="B2585" s="120"/>
      <c r="C2585" s="129"/>
      <c r="D2585" s="129"/>
      <c r="E2585" s="129"/>
      <c r="F2585" s="129"/>
      <c r="G2585" s="129"/>
      <c r="H2585" s="129"/>
      <c r="I2585" s="129">
        <f>Community!J190</f>
        <v>0</v>
      </c>
      <c r="J2585" s="129"/>
      <c r="K2585" s="129"/>
      <c r="L2585" s="129"/>
      <c r="O2585" s="129"/>
      <c r="P2585" s="123" t="str">
        <f t="shared" si="594"/>
        <v/>
      </c>
    </row>
    <row r="2586" spans="1:16" s="114" customFormat="1" ht="15" x14ac:dyDescent="0.25">
      <c r="A2586" s="118"/>
      <c r="B2586" s="117" t="s">
        <v>80</v>
      </c>
      <c r="C2586" s="128">
        <f>SUM(C2584:C2585)</f>
        <v>-283935</v>
      </c>
      <c r="D2586" s="128">
        <f t="shared" ref="D2586:O2586" si="598">SUM(D2584:D2585)</f>
        <v>-15256.34</v>
      </c>
      <c r="E2586" s="128">
        <f t="shared" si="598"/>
        <v>0</v>
      </c>
      <c r="F2586" s="128">
        <f t="shared" si="598"/>
        <v>-100969.64</v>
      </c>
      <c r="G2586" s="128">
        <f t="shared" si="598"/>
        <v>-182965.36</v>
      </c>
      <c r="H2586" s="128">
        <f t="shared" si="598"/>
        <v>35.56</v>
      </c>
      <c r="I2586" s="128">
        <f t="shared" si="598"/>
        <v>50000</v>
      </c>
      <c r="J2586" s="128">
        <f t="shared" si="598"/>
        <v>-233935</v>
      </c>
      <c r="K2586" s="128">
        <f t="shared" si="598"/>
        <v>-244462.07500000001</v>
      </c>
      <c r="L2586" s="128">
        <f t="shared" si="598"/>
        <v>-255707.33045000001</v>
      </c>
      <c r="M2586" s="128">
        <f t="shared" si="598"/>
        <v>0</v>
      </c>
      <c r="N2586" s="128">
        <f t="shared" si="598"/>
        <v>0</v>
      </c>
      <c r="O2586" s="128">
        <f t="shared" si="598"/>
        <v>-267469.86765070003</v>
      </c>
      <c r="P2586" s="123" t="str">
        <f t="shared" si="594"/>
        <v/>
      </c>
    </row>
    <row r="2587" spans="1:16" s="114" customFormat="1" ht="15" x14ac:dyDescent="0.25">
      <c r="A2587" s="118"/>
      <c r="B2587" s="117"/>
      <c r="C2587" s="128"/>
      <c r="D2587" s="128"/>
      <c r="E2587" s="128"/>
      <c r="F2587" s="128"/>
      <c r="G2587" s="128"/>
      <c r="H2587" s="128"/>
      <c r="I2587" s="129">
        <f>Community!J192</f>
        <v>0</v>
      </c>
      <c r="J2587" s="129"/>
      <c r="K2587" s="129"/>
      <c r="L2587" s="129"/>
      <c r="M2587" s="186"/>
      <c r="N2587" s="186"/>
      <c r="O2587" s="128"/>
      <c r="P2587" s="123" t="str">
        <f t="shared" si="594"/>
        <v/>
      </c>
    </row>
    <row r="2588" spans="1:16" s="114" customFormat="1" ht="15" x14ac:dyDescent="0.25">
      <c r="A2588" s="118"/>
      <c r="B2588" s="117" t="s">
        <v>81</v>
      </c>
      <c r="C2588" s="128"/>
      <c r="D2588" s="128"/>
      <c r="E2588" s="128"/>
      <c r="F2588" s="128"/>
      <c r="G2588" s="128"/>
      <c r="H2588" s="128"/>
      <c r="I2588" s="129">
        <f ca="1">Community!J193</f>
        <v>0</v>
      </c>
      <c r="J2588" s="129"/>
      <c r="K2588" s="129"/>
      <c r="L2588" s="129"/>
      <c r="M2588" s="186"/>
      <c r="N2588" s="186"/>
      <c r="O2588" s="128"/>
      <c r="P2588" s="123" t="str">
        <f t="shared" si="594"/>
        <v/>
      </c>
    </row>
    <row r="2589" spans="1:16" x14ac:dyDescent="0.2">
      <c r="A2589" s="119"/>
      <c r="B2589" s="120"/>
      <c r="C2589" s="129"/>
      <c r="D2589" s="129"/>
      <c r="E2589" s="129"/>
      <c r="F2589" s="129"/>
      <c r="G2589" s="129"/>
      <c r="H2589" s="129"/>
      <c r="I2589" s="129">
        <f>Community!J194</f>
        <v>0</v>
      </c>
      <c r="J2589" s="129"/>
      <c r="K2589" s="129"/>
      <c r="L2589" s="129"/>
      <c r="O2589" s="129"/>
      <c r="P2589" s="123" t="str">
        <f t="shared" si="594"/>
        <v/>
      </c>
    </row>
    <row r="2590" spans="1:16" x14ac:dyDescent="0.2">
      <c r="A2590" s="119" t="s">
        <v>1038</v>
      </c>
      <c r="B2590" s="120" t="s">
        <v>84</v>
      </c>
      <c r="C2590" s="129">
        <v>-2200</v>
      </c>
      <c r="D2590" s="129">
        <v>0</v>
      </c>
      <c r="E2590" s="129">
        <v>0</v>
      </c>
      <c r="F2590" s="129">
        <v>0</v>
      </c>
      <c r="G2590" s="129">
        <v>-2200</v>
      </c>
      <c r="H2590" s="129">
        <v>0</v>
      </c>
      <c r="I2590" s="129">
        <f>Community!J195</f>
        <v>0</v>
      </c>
      <c r="J2590" s="129">
        <f>Community!K195</f>
        <v>-2200</v>
      </c>
      <c r="K2590" s="129">
        <f>Community!L195</f>
        <v>-2299</v>
      </c>
      <c r="L2590" s="129">
        <f>Community!M195</f>
        <v>-2404.7539999999999</v>
      </c>
      <c r="O2590" s="129">
        <f>Community!N195</f>
        <v>-2515.3726839999999</v>
      </c>
      <c r="P2590" s="123" t="str">
        <f t="shared" si="594"/>
        <v>423</v>
      </c>
    </row>
    <row r="2591" spans="1:16" x14ac:dyDescent="0.2">
      <c r="A2591" s="119"/>
      <c r="B2591" s="120"/>
      <c r="C2591" s="129"/>
      <c r="D2591" s="129"/>
      <c r="E2591" s="129"/>
      <c r="F2591" s="129"/>
      <c r="G2591" s="129"/>
      <c r="H2591" s="129"/>
      <c r="I2591" s="129">
        <f>Community!J196</f>
        <v>0</v>
      </c>
      <c r="J2591" s="129"/>
      <c r="K2591" s="129"/>
      <c r="L2591" s="129"/>
      <c r="O2591" s="129"/>
      <c r="P2591" s="123" t="str">
        <f t="shared" si="594"/>
        <v/>
      </c>
    </row>
    <row r="2592" spans="1:16" s="114" customFormat="1" ht="15" x14ac:dyDescent="0.25">
      <c r="A2592" s="118"/>
      <c r="B2592" s="117" t="s">
        <v>90</v>
      </c>
      <c r="C2592" s="128">
        <f>SUM(C2590:C2591)</f>
        <v>-2200</v>
      </c>
      <c r="D2592" s="128">
        <f t="shared" ref="D2592:O2592" si="599">SUM(D2590:D2591)</f>
        <v>0</v>
      </c>
      <c r="E2592" s="128">
        <f t="shared" si="599"/>
        <v>0</v>
      </c>
      <c r="F2592" s="128">
        <f t="shared" si="599"/>
        <v>0</v>
      </c>
      <c r="G2592" s="128">
        <f t="shared" si="599"/>
        <v>-2200</v>
      </c>
      <c r="H2592" s="128">
        <f t="shared" si="599"/>
        <v>0</v>
      </c>
      <c r="I2592" s="128">
        <f t="shared" si="599"/>
        <v>0</v>
      </c>
      <c r="J2592" s="128">
        <f t="shared" si="599"/>
        <v>-2200</v>
      </c>
      <c r="K2592" s="128">
        <f t="shared" si="599"/>
        <v>-2299</v>
      </c>
      <c r="L2592" s="128">
        <f t="shared" si="599"/>
        <v>-2404.7539999999999</v>
      </c>
      <c r="M2592" s="128">
        <f t="shared" si="599"/>
        <v>0</v>
      </c>
      <c r="N2592" s="128">
        <f t="shared" si="599"/>
        <v>0</v>
      </c>
      <c r="O2592" s="128">
        <f t="shared" si="599"/>
        <v>-2515.3726839999999</v>
      </c>
      <c r="P2592" s="123" t="str">
        <f t="shared" si="594"/>
        <v/>
      </c>
    </row>
    <row r="2593" spans="1:16" s="114" customFormat="1" ht="15" x14ac:dyDescent="0.25">
      <c r="A2593" s="118"/>
      <c r="B2593" s="117"/>
      <c r="C2593" s="128"/>
      <c r="D2593" s="128"/>
      <c r="E2593" s="128"/>
      <c r="F2593" s="128"/>
      <c r="G2593" s="128"/>
      <c r="H2593" s="128"/>
      <c r="I2593" s="129">
        <f>Community!J198</f>
        <v>0</v>
      </c>
      <c r="J2593" s="129"/>
      <c r="K2593" s="129"/>
      <c r="L2593" s="129"/>
      <c r="M2593" s="186"/>
      <c r="N2593" s="186"/>
      <c r="O2593" s="128"/>
      <c r="P2593" s="123" t="str">
        <f t="shared" si="594"/>
        <v/>
      </c>
    </row>
    <row r="2594" spans="1:16" s="114" customFormat="1" ht="15" x14ac:dyDescent="0.25">
      <c r="A2594" s="118"/>
      <c r="B2594" s="117" t="s">
        <v>94</v>
      </c>
      <c r="C2594" s="128">
        <f>C2580+C2586+C2592</f>
        <v>-286445</v>
      </c>
      <c r="D2594" s="128">
        <f t="shared" ref="D2594:O2594" si="600">D2580+D2586+D2592</f>
        <v>-15256.34</v>
      </c>
      <c r="E2594" s="128">
        <f t="shared" si="600"/>
        <v>0</v>
      </c>
      <c r="F2594" s="128">
        <f t="shared" si="600"/>
        <v>-100969.64</v>
      </c>
      <c r="G2594" s="128">
        <f t="shared" si="600"/>
        <v>-185475.36</v>
      </c>
      <c r="H2594" s="128">
        <f t="shared" si="600"/>
        <v>35.56</v>
      </c>
      <c r="I2594" s="128">
        <f t="shared" si="600"/>
        <v>50000</v>
      </c>
      <c r="J2594" s="128">
        <f t="shared" si="600"/>
        <v>-236445</v>
      </c>
      <c r="K2594" s="128">
        <f t="shared" si="600"/>
        <v>-247085.02500000002</v>
      </c>
      <c r="L2594" s="128">
        <f t="shared" si="600"/>
        <v>-258450.93614999999</v>
      </c>
      <c r="M2594" s="128">
        <f t="shared" si="600"/>
        <v>0</v>
      </c>
      <c r="N2594" s="128">
        <f t="shared" si="600"/>
        <v>0</v>
      </c>
      <c r="O2594" s="128">
        <f t="shared" si="600"/>
        <v>-270339.67921290005</v>
      </c>
      <c r="P2594" s="123" t="str">
        <f t="shared" si="594"/>
        <v/>
      </c>
    </row>
    <row r="2595" spans="1:16" s="114" customFormat="1" ht="15" x14ac:dyDescent="0.25">
      <c r="A2595" s="118"/>
      <c r="B2595" s="117"/>
      <c r="C2595" s="128"/>
      <c r="D2595" s="128"/>
      <c r="E2595" s="128"/>
      <c r="F2595" s="128"/>
      <c r="G2595" s="128"/>
      <c r="H2595" s="128"/>
      <c r="I2595" s="129">
        <f>Community!J200</f>
        <v>0</v>
      </c>
      <c r="J2595" s="129"/>
      <c r="K2595" s="129"/>
      <c r="L2595" s="129"/>
      <c r="M2595" s="186"/>
      <c r="N2595" s="186"/>
      <c r="O2595" s="128"/>
      <c r="P2595" s="123" t="str">
        <f t="shared" si="594"/>
        <v/>
      </c>
    </row>
    <row r="2596" spans="1:16" s="114" customFormat="1" ht="15" x14ac:dyDescent="0.25">
      <c r="A2596" s="118"/>
      <c r="B2596" s="117" t="s">
        <v>95</v>
      </c>
      <c r="C2596" s="128">
        <f>C2572+C2594</f>
        <v>-287272</v>
      </c>
      <c r="D2596" s="128">
        <f t="shared" ref="D2596:O2596" si="601">D2572+D2594</f>
        <v>-15256.34</v>
      </c>
      <c r="E2596" s="128">
        <f t="shared" si="601"/>
        <v>0</v>
      </c>
      <c r="F2596" s="128">
        <f t="shared" si="601"/>
        <v>-101041.81</v>
      </c>
      <c r="G2596" s="128">
        <f t="shared" si="601"/>
        <v>-186230.18999999997</v>
      </c>
      <c r="H2596" s="128">
        <f t="shared" si="601"/>
        <v>44.28</v>
      </c>
      <c r="I2596" s="128">
        <f t="shared" si="601"/>
        <v>50000</v>
      </c>
      <c r="J2596" s="128">
        <f t="shared" si="601"/>
        <v>-237272</v>
      </c>
      <c r="K2596" s="128">
        <f t="shared" si="601"/>
        <v>-247949.24000000002</v>
      </c>
      <c r="L2596" s="128">
        <f t="shared" si="601"/>
        <v>-259356.63347</v>
      </c>
      <c r="M2596" s="128">
        <f t="shared" si="601"/>
        <v>0</v>
      </c>
      <c r="N2596" s="128">
        <f t="shared" si="601"/>
        <v>0</v>
      </c>
      <c r="O2596" s="128">
        <f t="shared" si="601"/>
        <v>-271287.03860962007</v>
      </c>
      <c r="P2596" s="123" t="str">
        <f t="shared" si="594"/>
        <v/>
      </c>
    </row>
    <row r="2597" spans="1:16" s="114" customFormat="1" ht="15" x14ac:dyDescent="0.25">
      <c r="A2597" s="118"/>
      <c r="B2597" s="117"/>
      <c r="C2597" s="128"/>
      <c r="D2597" s="128"/>
      <c r="E2597" s="128"/>
      <c r="F2597" s="128"/>
      <c r="G2597" s="128"/>
      <c r="H2597" s="128"/>
      <c r="I2597" s="129">
        <f>Community!J202</f>
        <v>0</v>
      </c>
      <c r="J2597" s="129"/>
      <c r="K2597" s="129"/>
      <c r="L2597" s="129"/>
      <c r="M2597" s="186"/>
      <c r="N2597" s="186"/>
      <c r="O2597" s="128"/>
      <c r="P2597" s="123" t="str">
        <f t="shared" si="594"/>
        <v/>
      </c>
    </row>
    <row r="2598" spans="1:16" s="114" customFormat="1" ht="15" x14ac:dyDescent="0.25">
      <c r="A2598" s="118"/>
      <c r="B2598" s="117" t="s">
        <v>96</v>
      </c>
      <c r="C2598" s="128"/>
      <c r="D2598" s="128"/>
      <c r="E2598" s="128"/>
      <c r="F2598" s="128"/>
      <c r="G2598" s="128"/>
      <c r="H2598" s="128"/>
      <c r="I2598" s="129">
        <f>Community!J203</f>
        <v>0</v>
      </c>
      <c r="J2598" s="129"/>
      <c r="K2598" s="129"/>
      <c r="L2598" s="129"/>
      <c r="M2598" s="186"/>
      <c r="N2598" s="186"/>
      <c r="O2598" s="128"/>
      <c r="P2598" s="123" t="str">
        <f t="shared" si="594"/>
        <v/>
      </c>
    </row>
    <row r="2599" spans="1:16" s="114" customFormat="1" ht="15" x14ac:dyDescent="0.25">
      <c r="A2599" s="118"/>
      <c r="B2599" s="117" t="s">
        <v>97</v>
      </c>
      <c r="C2599" s="128"/>
      <c r="D2599" s="128"/>
      <c r="E2599" s="128"/>
      <c r="F2599" s="128"/>
      <c r="G2599" s="128"/>
      <c r="H2599" s="128"/>
      <c r="I2599" s="129">
        <f>Community!J204</f>
        <v>0</v>
      </c>
      <c r="J2599" s="129"/>
      <c r="K2599" s="129"/>
      <c r="L2599" s="129"/>
      <c r="M2599" s="186"/>
      <c r="N2599" s="186"/>
      <c r="O2599" s="128"/>
      <c r="P2599" s="123" t="str">
        <f t="shared" si="594"/>
        <v/>
      </c>
    </row>
    <row r="2600" spans="1:16" s="114" customFormat="1" ht="15" x14ac:dyDescent="0.25">
      <c r="A2600" s="118"/>
      <c r="B2600" s="117" t="s">
        <v>148</v>
      </c>
      <c r="C2600" s="128"/>
      <c r="D2600" s="128"/>
      <c r="E2600" s="128"/>
      <c r="F2600" s="128"/>
      <c r="G2600" s="128"/>
      <c r="H2600" s="128"/>
      <c r="I2600" s="129">
        <f>Community!J205</f>
        <v>0</v>
      </c>
      <c r="J2600" s="129"/>
      <c r="K2600" s="129"/>
      <c r="L2600" s="129"/>
      <c r="M2600" s="186"/>
      <c r="N2600" s="186"/>
      <c r="O2600" s="128"/>
      <c r="P2600" s="123" t="str">
        <f t="shared" si="594"/>
        <v/>
      </c>
    </row>
    <row r="2601" spans="1:16" s="114" customFormat="1" ht="15" x14ac:dyDescent="0.25">
      <c r="A2601" s="118"/>
      <c r="B2601" s="117" t="s">
        <v>149</v>
      </c>
      <c r="C2601" s="128"/>
      <c r="D2601" s="128"/>
      <c r="E2601" s="128"/>
      <c r="F2601" s="128"/>
      <c r="G2601" s="128"/>
      <c r="H2601" s="128"/>
      <c r="I2601" s="129">
        <f>Community!J206</f>
        <v>0</v>
      </c>
      <c r="J2601" s="129"/>
      <c r="K2601" s="129"/>
      <c r="L2601" s="129"/>
      <c r="M2601" s="186"/>
      <c r="N2601" s="186"/>
      <c r="O2601" s="128"/>
      <c r="P2601" s="123" t="str">
        <f t="shared" si="594"/>
        <v/>
      </c>
    </row>
    <row r="2602" spans="1:16" x14ac:dyDescent="0.2">
      <c r="A2602" s="119"/>
      <c r="B2602" s="120"/>
      <c r="C2602" s="129"/>
      <c r="D2602" s="129"/>
      <c r="E2602" s="129"/>
      <c r="F2602" s="129"/>
      <c r="G2602" s="129"/>
      <c r="H2602" s="129"/>
      <c r="I2602" s="129">
        <f>Community!J207</f>
        <v>0</v>
      </c>
      <c r="J2602" s="129"/>
      <c r="K2602" s="129"/>
      <c r="L2602" s="129"/>
      <c r="O2602" s="129"/>
      <c r="P2602" s="123" t="str">
        <f t="shared" si="594"/>
        <v/>
      </c>
    </row>
    <row r="2603" spans="1:16" x14ac:dyDescent="0.2">
      <c r="A2603" s="119" t="s">
        <v>1039</v>
      </c>
      <c r="B2603" s="120" t="s">
        <v>150</v>
      </c>
      <c r="C2603" s="129">
        <v>642046</v>
      </c>
      <c r="D2603" s="129">
        <v>88004.33</v>
      </c>
      <c r="E2603" s="129">
        <v>0</v>
      </c>
      <c r="F2603" s="129">
        <v>528025.98</v>
      </c>
      <c r="G2603" s="129">
        <v>114020.02</v>
      </c>
      <c r="H2603" s="129">
        <v>82.24</v>
      </c>
      <c r="I2603" s="129">
        <f>Community!J208</f>
        <v>0</v>
      </c>
      <c r="J2603" s="129">
        <f>Community!K208</f>
        <v>642046</v>
      </c>
      <c r="K2603" s="129">
        <f>Community!L208</f>
        <v>682173.875</v>
      </c>
      <c r="L2603" s="129">
        <f>Community!M208</f>
        <v>729926.04625000001</v>
      </c>
      <c r="O2603" s="129">
        <f>Community!N208</f>
        <v>781020.86948750005</v>
      </c>
      <c r="P2603" s="123" t="str">
        <f t="shared" si="594"/>
        <v>110</v>
      </c>
    </row>
    <row r="2604" spans="1:16" x14ac:dyDescent="0.2">
      <c r="A2604" s="119" t="s">
        <v>1040</v>
      </c>
      <c r="B2604" s="120" t="s">
        <v>151</v>
      </c>
      <c r="C2604" s="129">
        <v>30002</v>
      </c>
      <c r="D2604" s="129">
        <v>16934.18</v>
      </c>
      <c r="E2604" s="129">
        <v>0</v>
      </c>
      <c r="F2604" s="129">
        <v>16934.18</v>
      </c>
      <c r="G2604" s="129">
        <v>13067.82</v>
      </c>
      <c r="H2604" s="129">
        <v>56.44</v>
      </c>
      <c r="I2604" s="129">
        <f>Community!J209</f>
        <v>-13067.82</v>
      </c>
      <c r="J2604" s="129">
        <f>Community!K209</f>
        <v>16934.18</v>
      </c>
      <c r="K2604" s="129">
        <f>Community!L209</f>
        <v>17992.56625</v>
      </c>
      <c r="L2604" s="129">
        <f>Community!M209</f>
        <v>19252.0458875</v>
      </c>
      <c r="O2604" s="129">
        <f>Community!N209</f>
        <v>20599.689099625</v>
      </c>
      <c r="P2604" s="123" t="str">
        <f t="shared" si="594"/>
        <v>110</v>
      </c>
    </row>
    <row r="2605" spans="1:16" x14ac:dyDescent="0.2">
      <c r="A2605" s="119" t="s">
        <v>1041</v>
      </c>
      <c r="B2605" s="120" t="s">
        <v>152</v>
      </c>
      <c r="C2605" s="129">
        <v>24000</v>
      </c>
      <c r="D2605" s="129">
        <v>3172.75</v>
      </c>
      <c r="E2605" s="129">
        <v>0</v>
      </c>
      <c r="F2605" s="129">
        <v>19036.5</v>
      </c>
      <c r="G2605" s="129">
        <v>4963.5</v>
      </c>
      <c r="H2605" s="129">
        <v>79.31</v>
      </c>
      <c r="I2605" s="129">
        <f>Community!J210</f>
        <v>0</v>
      </c>
      <c r="J2605" s="129">
        <f>Community!K210</f>
        <v>24000</v>
      </c>
      <c r="K2605" s="129">
        <f>Community!L210</f>
        <v>25500</v>
      </c>
      <c r="L2605" s="129">
        <f>Community!M210</f>
        <v>27285</v>
      </c>
      <c r="O2605" s="129">
        <f>Community!N210</f>
        <v>29194.95</v>
      </c>
      <c r="P2605" s="123" t="str">
        <f t="shared" si="594"/>
        <v>110</v>
      </c>
    </row>
    <row r="2606" spans="1:16" x14ac:dyDescent="0.2">
      <c r="A2606" s="119" t="s">
        <v>1042</v>
      </c>
      <c r="B2606" s="120" t="s">
        <v>153</v>
      </c>
      <c r="C2606" s="129">
        <v>10893</v>
      </c>
      <c r="D2606" s="129">
        <v>0</v>
      </c>
      <c r="E2606" s="129">
        <v>0</v>
      </c>
      <c r="F2606" s="129">
        <v>0</v>
      </c>
      <c r="G2606" s="129">
        <v>10893</v>
      </c>
      <c r="H2606" s="129">
        <v>0</v>
      </c>
      <c r="I2606" s="129">
        <f>Community!J211</f>
        <v>0</v>
      </c>
      <c r="J2606" s="129">
        <f>Community!K211</f>
        <v>10893</v>
      </c>
      <c r="K2606" s="129">
        <f>Community!L211</f>
        <v>11573.8125</v>
      </c>
      <c r="L2606" s="129">
        <f>Community!M211</f>
        <v>12383.979375000001</v>
      </c>
      <c r="O2606" s="129">
        <f>Community!N211</f>
        <v>13250.857931250001</v>
      </c>
      <c r="P2606" s="123" t="str">
        <f t="shared" si="594"/>
        <v>110</v>
      </c>
    </row>
    <row r="2607" spans="1:16" x14ac:dyDescent="0.2">
      <c r="A2607" s="119" t="s">
        <v>1043</v>
      </c>
      <c r="B2607" s="120" t="s">
        <v>155</v>
      </c>
      <c r="C2607" s="129">
        <v>21306</v>
      </c>
      <c r="D2607" s="129">
        <v>0</v>
      </c>
      <c r="E2607" s="129">
        <v>0</v>
      </c>
      <c r="F2607" s="129">
        <v>0</v>
      </c>
      <c r="G2607" s="129">
        <v>21306</v>
      </c>
      <c r="H2607" s="129">
        <v>0</v>
      </c>
      <c r="I2607" s="129">
        <f>Community!J212</f>
        <v>0</v>
      </c>
      <c r="J2607" s="129">
        <f>Community!K212</f>
        <v>21306</v>
      </c>
      <c r="K2607" s="129">
        <f>Community!L212</f>
        <v>22637.625</v>
      </c>
      <c r="L2607" s="129">
        <f>Community!M212</f>
        <v>24222.258750000001</v>
      </c>
      <c r="O2607" s="129">
        <f>Community!N212</f>
        <v>25917.8168625</v>
      </c>
      <c r="P2607" s="123" t="str">
        <f t="shared" si="594"/>
        <v>110</v>
      </c>
    </row>
    <row r="2608" spans="1:16" x14ac:dyDescent="0.2">
      <c r="A2608" s="119" t="s">
        <v>1044</v>
      </c>
      <c r="B2608" s="120" t="s">
        <v>156</v>
      </c>
      <c r="C2608" s="129">
        <v>160511</v>
      </c>
      <c r="D2608" s="129">
        <v>22001.08</v>
      </c>
      <c r="E2608" s="129">
        <v>0</v>
      </c>
      <c r="F2608" s="129">
        <v>132006.48000000001</v>
      </c>
      <c r="G2608" s="129">
        <v>28504.52</v>
      </c>
      <c r="H2608" s="129">
        <v>82.24</v>
      </c>
      <c r="I2608" s="129">
        <f>Community!J213</f>
        <v>0</v>
      </c>
      <c r="J2608" s="129">
        <f>Community!K213</f>
        <v>160511</v>
      </c>
      <c r="K2608" s="129">
        <f>Community!L213</f>
        <v>170542.9375</v>
      </c>
      <c r="L2608" s="129">
        <f>Community!M213</f>
        <v>182480.94312499999</v>
      </c>
      <c r="O2608" s="129">
        <f>Community!N213</f>
        <v>195254.60914374999</v>
      </c>
      <c r="P2608" s="123" t="str">
        <f t="shared" si="594"/>
        <v>110</v>
      </c>
    </row>
    <row r="2609" spans="1:16" x14ac:dyDescent="0.2">
      <c r="A2609" s="119" t="s">
        <v>1045</v>
      </c>
      <c r="B2609" s="120" t="s">
        <v>158</v>
      </c>
      <c r="C2609" s="129">
        <v>12961</v>
      </c>
      <c r="D2609" s="129">
        <v>0</v>
      </c>
      <c r="E2609" s="129">
        <v>0</v>
      </c>
      <c r="F2609" s="129">
        <v>0</v>
      </c>
      <c r="G2609" s="129">
        <v>12961</v>
      </c>
      <c r="H2609" s="129">
        <v>0</v>
      </c>
      <c r="I2609" s="129">
        <f>Community!J214</f>
        <v>-12961</v>
      </c>
      <c r="J2609" s="129">
        <f>Community!K214</f>
        <v>0</v>
      </c>
      <c r="K2609" s="129">
        <f>Community!L214</f>
        <v>0</v>
      </c>
      <c r="L2609" s="129">
        <f>Community!M214</f>
        <v>0</v>
      </c>
      <c r="O2609" s="129">
        <f>Community!N214</f>
        <v>0</v>
      </c>
      <c r="P2609" s="123" t="str">
        <f t="shared" si="594"/>
        <v>110</v>
      </c>
    </row>
    <row r="2610" spans="1:16" x14ac:dyDescent="0.2">
      <c r="A2610" s="119" t="s">
        <v>1046</v>
      </c>
      <c r="B2610" s="120" t="s">
        <v>159</v>
      </c>
      <c r="C2610" s="129">
        <v>53504</v>
      </c>
      <c r="D2610" s="129">
        <v>0</v>
      </c>
      <c r="E2610" s="129">
        <v>0</v>
      </c>
      <c r="F2610" s="129">
        <v>0</v>
      </c>
      <c r="G2610" s="129">
        <v>53504</v>
      </c>
      <c r="H2610" s="129">
        <v>0</v>
      </c>
      <c r="I2610" s="129">
        <f>Community!J215</f>
        <v>0</v>
      </c>
      <c r="J2610" s="129">
        <f>Community!K215</f>
        <v>53504</v>
      </c>
      <c r="K2610" s="129">
        <f>Community!L215</f>
        <v>56848</v>
      </c>
      <c r="L2610" s="129">
        <f>Community!M215</f>
        <v>60827.360000000001</v>
      </c>
      <c r="O2610" s="129">
        <f>Community!N215</f>
        <v>65085.275200000004</v>
      </c>
      <c r="P2610" s="123" t="str">
        <f t="shared" si="594"/>
        <v>110</v>
      </c>
    </row>
    <row r="2611" spans="1:16" x14ac:dyDescent="0.2">
      <c r="A2611" s="119" t="s">
        <v>1047</v>
      </c>
      <c r="B2611" s="120" t="s">
        <v>161</v>
      </c>
      <c r="C2611" s="129">
        <v>81402</v>
      </c>
      <c r="D2611" s="129">
        <v>0</v>
      </c>
      <c r="E2611" s="129">
        <v>0</v>
      </c>
      <c r="F2611" s="129">
        <v>0</v>
      </c>
      <c r="G2611" s="129">
        <v>81402</v>
      </c>
      <c r="H2611" s="129">
        <v>0</v>
      </c>
      <c r="I2611" s="129">
        <f>Community!J216</f>
        <v>0</v>
      </c>
      <c r="J2611" s="129">
        <f>Community!K216</f>
        <v>81402</v>
      </c>
      <c r="K2611" s="129">
        <f>Community!L216</f>
        <v>86489.625</v>
      </c>
      <c r="L2611" s="129">
        <f>Community!M216</f>
        <v>92543.898749999993</v>
      </c>
      <c r="O2611" s="129">
        <f>Community!N216</f>
        <v>99021.9716625</v>
      </c>
      <c r="P2611" s="123" t="str">
        <f t="shared" si="594"/>
        <v>110</v>
      </c>
    </row>
    <row r="2612" spans="1:16" x14ac:dyDescent="0.2">
      <c r="A2612" s="119" t="s">
        <v>1048</v>
      </c>
      <c r="B2612" s="120" t="s">
        <v>164</v>
      </c>
      <c r="C2612" s="129">
        <v>15692</v>
      </c>
      <c r="D2612" s="129">
        <v>1307.7</v>
      </c>
      <c r="E2612" s="129">
        <v>0</v>
      </c>
      <c r="F2612" s="129">
        <v>7846.2</v>
      </c>
      <c r="G2612" s="129">
        <v>7845.8</v>
      </c>
      <c r="H2612" s="129">
        <v>50</v>
      </c>
      <c r="I2612" s="129">
        <f>Community!J217</f>
        <v>0</v>
      </c>
      <c r="J2612" s="129">
        <f>Community!K217</f>
        <v>15692</v>
      </c>
      <c r="K2612" s="129">
        <f>Community!L217</f>
        <v>16672.75</v>
      </c>
      <c r="L2612" s="129">
        <f>Community!M217</f>
        <v>17839.842499999999</v>
      </c>
      <c r="O2612" s="129">
        <f>Community!N217</f>
        <v>19088.631474999998</v>
      </c>
      <c r="P2612" s="123" t="str">
        <f t="shared" si="594"/>
        <v>110</v>
      </c>
    </row>
    <row r="2613" spans="1:16" x14ac:dyDescent="0.2">
      <c r="A2613" s="119"/>
      <c r="B2613" s="120"/>
      <c r="C2613" s="129"/>
      <c r="D2613" s="129"/>
      <c r="E2613" s="129"/>
      <c r="F2613" s="129"/>
      <c r="G2613" s="129"/>
      <c r="H2613" s="129"/>
      <c r="I2613" s="129">
        <f>Community!J218</f>
        <v>0</v>
      </c>
      <c r="J2613" s="129"/>
      <c r="K2613" s="129"/>
      <c r="L2613" s="129"/>
      <c r="O2613" s="129"/>
      <c r="P2613" s="123" t="str">
        <f t="shared" si="594"/>
        <v/>
      </c>
    </row>
    <row r="2614" spans="1:16" s="114" customFormat="1" ht="15" x14ac:dyDescent="0.25">
      <c r="A2614" s="118"/>
      <c r="B2614" s="117" t="s">
        <v>165</v>
      </c>
      <c r="C2614" s="128">
        <f>SUM(C2603:C2613)</f>
        <v>1052317</v>
      </c>
      <c r="D2614" s="128">
        <f t="shared" ref="D2614:O2614" si="602">SUM(D2603:D2613)</f>
        <v>131420.04</v>
      </c>
      <c r="E2614" s="128">
        <f t="shared" si="602"/>
        <v>0</v>
      </c>
      <c r="F2614" s="128">
        <f t="shared" si="602"/>
        <v>703849.34</v>
      </c>
      <c r="G2614" s="128">
        <f t="shared" si="602"/>
        <v>348467.66</v>
      </c>
      <c r="H2614" s="128">
        <f t="shared" si="602"/>
        <v>350.23</v>
      </c>
      <c r="I2614" s="128">
        <f t="shared" si="602"/>
        <v>-26028.82</v>
      </c>
      <c r="J2614" s="128">
        <f t="shared" si="602"/>
        <v>1026288.18</v>
      </c>
      <c r="K2614" s="128">
        <f t="shared" si="602"/>
        <v>1090431.1912500001</v>
      </c>
      <c r="L2614" s="128">
        <f t="shared" si="602"/>
        <v>1166761.3746375002</v>
      </c>
      <c r="M2614" s="128">
        <f t="shared" si="602"/>
        <v>0</v>
      </c>
      <c r="N2614" s="128">
        <f t="shared" si="602"/>
        <v>0</v>
      </c>
      <c r="O2614" s="128">
        <f t="shared" si="602"/>
        <v>1248434.670862125</v>
      </c>
      <c r="P2614" s="123" t="str">
        <f t="shared" si="594"/>
        <v/>
      </c>
    </row>
    <row r="2615" spans="1:16" s="114" customFormat="1" ht="15" x14ac:dyDescent="0.25">
      <c r="A2615" s="118"/>
      <c r="B2615" s="117"/>
      <c r="C2615" s="128"/>
      <c r="D2615" s="128"/>
      <c r="E2615" s="128"/>
      <c r="F2615" s="128"/>
      <c r="G2615" s="128"/>
      <c r="H2615" s="128"/>
      <c r="I2615" s="129">
        <f>Community!J220</f>
        <v>0</v>
      </c>
      <c r="J2615" s="129"/>
      <c r="K2615" s="186"/>
      <c r="L2615" s="186"/>
      <c r="M2615" s="186"/>
      <c r="N2615" s="186"/>
      <c r="O2615" s="128"/>
      <c r="P2615" s="123" t="str">
        <f t="shared" si="594"/>
        <v/>
      </c>
    </row>
    <row r="2616" spans="1:16" s="114" customFormat="1" ht="15" x14ac:dyDescent="0.25">
      <c r="A2616" s="118"/>
      <c r="B2616" s="117" t="s">
        <v>166</v>
      </c>
      <c r="C2616" s="128"/>
      <c r="D2616" s="128"/>
      <c r="E2616" s="128"/>
      <c r="F2616" s="128"/>
      <c r="G2616" s="128"/>
      <c r="H2616" s="128"/>
      <c r="I2616" s="129">
        <f>Community!J221</f>
        <v>0</v>
      </c>
      <c r="J2616" s="129"/>
      <c r="K2616" s="129"/>
      <c r="L2616" s="129"/>
      <c r="M2616" s="186"/>
      <c r="N2616" s="186"/>
      <c r="O2616" s="128"/>
      <c r="P2616" s="123" t="str">
        <f t="shared" si="594"/>
        <v/>
      </c>
    </row>
    <row r="2617" spans="1:16" x14ac:dyDescent="0.2">
      <c r="A2617" s="119"/>
      <c r="B2617" s="120"/>
      <c r="C2617" s="129"/>
      <c r="D2617" s="129"/>
      <c r="E2617" s="129"/>
      <c r="F2617" s="129"/>
      <c r="G2617" s="129"/>
      <c r="H2617" s="129"/>
      <c r="I2617" s="129">
        <f>Community!J222</f>
        <v>0</v>
      </c>
      <c r="J2617" s="129"/>
      <c r="K2617" s="129"/>
      <c r="L2617" s="129"/>
      <c r="O2617" s="129"/>
      <c r="P2617" s="123" t="str">
        <f t="shared" si="594"/>
        <v/>
      </c>
    </row>
    <row r="2618" spans="1:16" x14ac:dyDescent="0.2">
      <c r="A2618" s="119" t="s">
        <v>1049</v>
      </c>
      <c r="B2618" s="120" t="s">
        <v>167</v>
      </c>
      <c r="C2618" s="129">
        <v>112</v>
      </c>
      <c r="D2618" s="129">
        <v>18.64</v>
      </c>
      <c r="E2618" s="129">
        <v>0</v>
      </c>
      <c r="F2618" s="129">
        <v>111.84</v>
      </c>
      <c r="G2618" s="129">
        <v>0.16</v>
      </c>
      <c r="H2618" s="129">
        <v>99.85</v>
      </c>
      <c r="I2618" s="129">
        <f>Community!J223</f>
        <v>38</v>
      </c>
      <c r="J2618" s="129">
        <f>Community!K223</f>
        <v>150</v>
      </c>
      <c r="K2618" s="129">
        <f>Community!L223</f>
        <v>159.375</v>
      </c>
      <c r="L2618" s="129">
        <f>Community!M223</f>
        <v>170.53125</v>
      </c>
      <c r="O2618" s="129">
        <f>Community!N223</f>
        <v>182.46843749999999</v>
      </c>
      <c r="P2618" s="123" t="str">
        <f t="shared" si="594"/>
        <v>130</v>
      </c>
    </row>
    <row r="2619" spans="1:16" x14ac:dyDescent="0.2">
      <c r="A2619" s="119" t="s">
        <v>1050</v>
      </c>
      <c r="B2619" s="120" t="s">
        <v>168</v>
      </c>
      <c r="C2619" s="129">
        <v>53908</v>
      </c>
      <c r="D2619" s="129">
        <v>7011.15</v>
      </c>
      <c r="E2619" s="129">
        <v>0</v>
      </c>
      <c r="F2619" s="129">
        <v>42066.9</v>
      </c>
      <c r="G2619" s="129">
        <v>11841.1</v>
      </c>
      <c r="H2619" s="129">
        <v>78.03</v>
      </c>
      <c r="I2619" s="129">
        <f>Community!J224</f>
        <v>0</v>
      </c>
      <c r="J2619" s="129">
        <f>Community!K224</f>
        <v>53908</v>
      </c>
      <c r="K2619" s="129">
        <f>Community!L224</f>
        <v>57277.25</v>
      </c>
      <c r="L2619" s="129">
        <f>Community!M224</f>
        <v>61286.657500000001</v>
      </c>
      <c r="O2619" s="129">
        <f>Community!N224</f>
        <v>65576.723525000009</v>
      </c>
      <c r="P2619" s="123" t="str">
        <f t="shared" si="594"/>
        <v>130</v>
      </c>
    </row>
    <row r="2620" spans="1:16" x14ac:dyDescent="0.2">
      <c r="A2620" s="119" t="s">
        <v>1051</v>
      </c>
      <c r="B2620" s="120" t="s">
        <v>169</v>
      </c>
      <c r="C2620" s="129">
        <v>141250</v>
      </c>
      <c r="D2620" s="129">
        <v>19360.95</v>
      </c>
      <c r="E2620" s="129">
        <v>0</v>
      </c>
      <c r="F2620" s="129">
        <v>116165.7</v>
      </c>
      <c r="G2620" s="129">
        <v>25084.3</v>
      </c>
      <c r="H2620" s="129">
        <v>82.24</v>
      </c>
      <c r="I2620" s="129">
        <f>Community!J225</f>
        <v>0</v>
      </c>
      <c r="J2620" s="129">
        <f>Community!K225</f>
        <v>141250</v>
      </c>
      <c r="K2620" s="129">
        <f>Community!L225</f>
        <v>150078.125</v>
      </c>
      <c r="L2620" s="129">
        <f>Community!M225</f>
        <v>160583.59375</v>
      </c>
      <c r="O2620" s="129">
        <f>Community!N225</f>
        <v>171824.4453125</v>
      </c>
      <c r="P2620" s="123" t="str">
        <f t="shared" si="594"/>
        <v>130</v>
      </c>
    </row>
    <row r="2621" spans="1:16" x14ac:dyDescent="0.2">
      <c r="A2621" s="119" t="s">
        <v>1052</v>
      </c>
      <c r="B2621" s="120" t="s">
        <v>170</v>
      </c>
      <c r="C2621" s="129">
        <v>1785</v>
      </c>
      <c r="D2621" s="129">
        <v>297.44</v>
      </c>
      <c r="E2621" s="129">
        <v>0</v>
      </c>
      <c r="F2621" s="129">
        <v>1784.64</v>
      </c>
      <c r="G2621" s="129">
        <v>0.36</v>
      </c>
      <c r="H2621" s="129">
        <v>99.97</v>
      </c>
      <c r="I2621" s="129">
        <f>Community!J226</f>
        <v>715</v>
      </c>
      <c r="J2621" s="129">
        <f>Community!K226</f>
        <v>2500</v>
      </c>
      <c r="K2621" s="129">
        <f>Community!L226</f>
        <v>2656.25</v>
      </c>
      <c r="L2621" s="129">
        <f>Community!M226</f>
        <v>2842.1875</v>
      </c>
      <c r="O2621" s="129">
        <f>Community!N226</f>
        <v>3041.140625</v>
      </c>
      <c r="P2621" s="123" t="str">
        <f t="shared" si="594"/>
        <v>130</v>
      </c>
    </row>
    <row r="2622" spans="1:16" x14ac:dyDescent="0.2">
      <c r="A2622" s="119"/>
      <c r="B2622" s="120"/>
      <c r="C2622" s="129"/>
      <c r="D2622" s="129"/>
      <c r="E2622" s="129"/>
      <c r="F2622" s="129"/>
      <c r="G2622" s="129"/>
      <c r="H2622" s="129"/>
      <c r="I2622" s="129">
        <f>Community!J227</f>
        <v>0</v>
      </c>
      <c r="J2622" s="129"/>
      <c r="K2622" s="129"/>
      <c r="L2622" s="129"/>
      <c r="O2622" s="129"/>
      <c r="P2622" s="123" t="str">
        <f t="shared" si="594"/>
        <v/>
      </c>
    </row>
    <row r="2623" spans="1:16" s="114" customFormat="1" ht="15" x14ac:dyDescent="0.25">
      <c r="A2623" s="118"/>
      <c r="B2623" s="117" t="s">
        <v>171</v>
      </c>
      <c r="C2623" s="128">
        <f>SUM(C2618:C2622)</f>
        <v>197055</v>
      </c>
      <c r="D2623" s="128">
        <f t="shared" ref="D2623:O2623" si="603">SUM(D2618:D2622)</f>
        <v>26688.18</v>
      </c>
      <c r="E2623" s="128">
        <f t="shared" si="603"/>
        <v>0</v>
      </c>
      <c r="F2623" s="128">
        <f t="shared" si="603"/>
        <v>160129.08000000002</v>
      </c>
      <c r="G2623" s="128">
        <f t="shared" si="603"/>
        <v>36925.919999999998</v>
      </c>
      <c r="H2623" s="128">
        <f t="shared" si="603"/>
        <v>360.09000000000003</v>
      </c>
      <c r="I2623" s="128">
        <f t="shared" si="603"/>
        <v>753</v>
      </c>
      <c r="J2623" s="128">
        <f t="shared" si="603"/>
        <v>197808</v>
      </c>
      <c r="K2623" s="128">
        <f t="shared" si="603"/>
        <v>210171</v>
      </c>
      <c r="L2623" s="128">
        <f t="shared" si="603"/>
        <v>224882.97</v>
      </c>
      <c r="M2623" s="128">
        <f t="shared" si="603"/>
        <v>0</v>
      </c>
      <c r="N2623" s="128">
        <f t="shared" si="603"/>
        <v>0</v>
      </c>
      <c r="O2623" s="128">
        <f t="shared" si="603"/>
        <v>240624.77790000002</v>
      </c>
      <c r="P2623" s="123" t="str">
        <f t="shared" si="594"/>
        <v/>
      </c>
    </row>
    <row r="2624" spans="1:16" s="114" customFormat="1" ht="15" x14ac:dyDescent="0.25">
      <c r="A2624" s="118"/>
      <c r="B2624" s="117"/>
      <c r="C2624" s="128"/>
      <c r="D2624" s="128"/>
      <c r="E2624" s="128"/>
      <c r="F2624" s="128"/>
      <c r="G2624" s="128"/>
      <c r="H2624" s="128"/>
      <c r="I2624" s="129">
        <f>Community!J229</f>
        <v>0</v>
      </c>
      <c r="J2624" s="129"/>
      <c r="K2624" s="129"/>
      <c r="L2624" s="129"/>
      <c r="M2624" s="186"/>
      <c r="N2624" s="186"/>
      <c r="O2624" s="128"/>
      <c r="P2624" s="123" t="str">
        <f t="shared" si="594"/>
        <v/>
      </c>
    </row>
    <row r="2625" spans="1:16" s="114" customFormat="1" ht="15" x14ac:dyDescent="0.25">
      <c r="A2625" s="118"/>
      <c r="B2625" s="117" t="s">
        <v>172</v>
      </c>
      <c r="C2625" s="128"/>
      <c r="D2625" s="128"/>
      <c r="E2625" s="128"/>
      <c r="F2625" s="128"/>
      <c r="G2625" s="128"/>
      <c r="H2625" s="128"/>
      <c r="I2625" s="129">
        <f>Community!J230</f>
        <v>0</v>
      </c>
      <c r="J2625" s="129"/>
      <c r="K2625" s="129"/>
      <c r="L2625" s="129"/>
      <c r="M2625" s="186"/>
      <c r="N2625" s="186"/>
      <c r="O2625" s="128"/>
      <c r="P2625" s="123" t="str">
        <f t="shared" si="594"/>
        <v/>
      </c>
    </row>
    <row r="2626" spans="1:16" x14ac:dyDescent="0.2">
      <c r="A2626" s="119"/>
      <c r="B2626" s="120"/>
      <c r="C2626" s="129"/>
      <c r="D2626" s="129"/>
      <c r="E2626" s="129"/>
      <c r="F2626" s="129"/>
      <c r="G2626" s="129"/>
      <c r="H2626" s="129"/>
      <c r="I2626" s="129">
        <f>Community!J231</f>
        <v>0</v>
      </c>
      <c r="J2626" s="129"/>
      <c r="K2626" s="129"/>
      <c r="L2626" s="129"/>
      <c r="O2626" s="129"/>
      <c r="P2626" s="123" t="str">
        <f t="shared" si="594"/>
        <v/>
      </c>
    </row>
    <row r="2627" spans="1:16" x14ac:dyDescent="0.2">
      <c r="A2627" s="119" t="s">
        <v>1053</v>
      </c>
      <c r="B2627" s="120" t="s">
        <v>173</v>
      </c>
      <c r="C2627" s="129">
        <v>11869</v>
      </c>
      <c r="D2627" s="129">
        <v>0</v>
      </c>
      <c r="E2627" s="129">
        <v>0</v>
      </c>
      <c r="F2627" s="129">
        <v>0</v>
      </c>
      <c r="G2627" s="129">
        <v>11869</v>
      </c>
      <c r="H2627" s="129">
        <v>0</v>
      </c>
      <c r="I2627" s="129">
        <f>Community!J232</f>
        <v>0</v>
      </c>
      <c r="J2627" s="129">
        <f>Community!K232</f>
        <v>11869</v>
      </c>
      <c r="K2627" s="129">
        <f>Community!L232</f>
        <v>12610.8125</v>
      </c>
      <c r="L2627" s="129">
        <f>Community!M232</f>
        <v>13493.569374999999</v>
      </c>
      <c r="O2627" s="129">
        <f>Community!N232</f>
        <v>14438.119231249999</v>
      </c>
      <c r="P2627" s="123" t="str">
        <f t="shared" si="594"/>
        <v>140</v>
      </c>
    </row>
    <row r="2628" spans="1:16" x14ac:dyDescent="0.2">
      <c r="A2628" s="119" t="s">
        <v>1054</v>
      </c>
      <c r="B2628" s="120" t="s">
        <v>174</v>
      </c>
      <c r="C2628" s="129">
        <v>19452</v>
      </c>
      <c r="D2628" s="129">
        <v>0</v>
      </c>
      <c r="E2628" s="129">
        <v>0</v>
      </c>
      <c r="F2628" s="129">
        <v>0</v>
      </c>
      <c r="G2628" s="129">
        <v>19452</v>
      </c>
      <c r="H2628" s="129">
        <v>0</v>
      </c>
      <c r="I2628" s="129">
        <f>Community!J233</f>
        <v>0</v>
      </c>
      <c r="J2628" s="129">
        <f>Community!K233</f>
        <v>19452</v>
      </c>
      <c r="K2628" s="129">
        <f>Community!L233</f>
        <v>20667.75</v>
      </c>
      <c r="L2628" s="129">
        <f>Community!M233</f>
        <v>22114.4925</v>
      </c>
      <c r="O2628" s="129">
        <f>Community!N233</f>
        <v>23662.506975</v>
      </c>
      <c r="P2628" s="123" t="str">
        <f t="shared" si="594"/>
        <v>140</v>
      </c>
    </row>
    <row r="2629" spans="1:16" x14ac:dyDescent="0.2">
      <c r="A2629" s="119" t="s">
        <v>1055</v>
      </c>
      <c r="B2629" s="120" t="s">
        <v>175</v>
      </c>
      <c r="C2629" s="129">
        <v>13540</v>
      </c>
      <c r="D2629" s="129">
        <v>0</v>
      </c>
      <c r="E2629" s="129">
        <v>0</v>
      </c>
      <c r="F2629" s="129">
        <v>0</v>
      </c>
      <c r="G2629" s="129">
        <v>13540</v>
      </c>
      <c r="H2629" s="129">
        <v>0</v>
      </c>
      <c r="I2629" s="129">
        <f>Community!J234</f>
        <v>0</v>
      </c>
      <c r="J2629" s="129">
        <f>Community!K234</f>
        <v>13540</v>
      </c>
      <c r="K2629" s="129">
        <f>Community!L234</f>
        <v>14386.25</v>
      </c>
      <c r="L2629" s="129">
        <f>Community!M234</f>
        <v>15393.2875</v>
      </c>
      <c r="O2629" s="129">
        <f>Community!N234</f>
        <v>16470.817625</v>
      </c>
      <c r="P2629" s="123" t="str">
        <f t="shared" si="594"/>
        <v>142</v>
      </c>
    </row>
    <row r="2630" spans="1:16" x14ac:dyDescent="0.2">
      <c r="A2630" s="119"/>
      <c r="B2630" s="120"/>
      <c r="C2630" s="129"/>
      <c r="D2630" s="129"/>
      <c r="E2630" s="129"/>
      <c r="F2630" s="129"/>
      <c r="G2630" s="129"/>
      <c r="H2630" s="129"/>
      <c r="I2630" s="129">
        <f>Community!J235</f>
        <v>0</v>
      </c>
      <c r="J2630" s="129"/>
      <c r="K2630" s="129"/>
      <c r="L2630" s="129"/>
      <c r="O2630" s="129"/>
      <c r="P2630" s="123" t="str">
        <f t="shared" si="594"/>
        <v/>
      </c>
    </row>
    <row r="2631" spans="1:16" s="114" customFormat="1" ht="15" x14ac:dyDescent="0.25">
      <c r="A2631" s="118"/>
      <c r="B2631" s="117" t="s">
        <v>176</v>
      </c>
      <c r="C2631" s="128">
        <f>SUM(C2627:C2630)</f>
        <v>44861</v>
      </c>
      <c r="D2631" s="128">
        <f t="shared" ref="D2631:O2631" si="604">SUM(D2627:D2630)</f>
        <v>0</v>
      </c>
      <c r="E2631" s="128">
        <f t="shared" si="604"/>
        <v>0</v>
      </c>
      <c r="F2631" s="128">
        <f t="shared" si="604"/>
        <v>0</v>
      </c>
      <c r="G2631" s="128">
        <f t="shared" si="604"/>
        <v>44861</v>
      </c>
      <c r="H2631" s="128">
        <f t="shared" si="604"/>
        <v>0</v>
      </c>
      <c r="I2631" s="128">
        <f t="shared" si="604"/>
        <v>0</v>
      </c>
      <c r="J2631" s="128">
        <f t="shared" si="604"/>
        <v>44861</v>
      </c>
      <c r="K2631" s="128">
        <f t="shared" si="604"/>
        <v>47664.8125</v>
      </c>
      <c r="L2631" s="128">
        <f t="shared" si="604"/>
        <v>51001.349374999998</v>
      </c>
      <c r="M2631" s="128">
        <f t="shared" si="604"/>
        <v>0</v>
      </c>
      <c r="N2631" s="128">
        <f t="shared" si="604"/>
        <v>0</v>
      </c>
      <c r="O2631" s="128">
        <f t="shared" si="604"/>
        <v>54571.443831249999</v>
      </c>
      <c r="P2631" s="123" t="str">
        <f t="shared" ref="P2631:P2694" si="605">MID(A2631,6,3)</f>
        <v/>
      </c>
    </row>
    <row r="2632" spans="1:16" s="114" customFormat="1" ht="15" x14ac:dyDescent="0.25">
      <c r="A2632" s="118"/>
      <c r="B2632" s="117"/>
      <c r="C2632" s="128"/>
      <c r="D2632" s="128"/>
      <c r="E2632" s="128"/>
      <c r="F2632" s="128"/>
      <c r="G2632" s="128"/>
      <c r="H2632" s="128"/>
      <c r="I2632" s="129">
        <f>Community!J237</f>
        <v>0</v>
      </c>
      <c r="J2632" s="129"/>
      <c r="K2632" s="129"/>
      <c r="L2632" s="129"/>
      <c r="M2632" s="186"/>
      <c r="N2632" s="186"/>
      <c r="O2632" s="128"/>
      <c r="P2632" s="123" t="str">
        <f t="shared" si="605"/>
        <v/>
      </c>
    </row>
    <row r="2633" spans="1:16" s="114" customFormat="1" ht="15" x14ac:dyDescent="0.25">
      <c r="A2633" s="118"/>
      <c r="B2633" s="117" t="s">
        <v>177</v>
      </c>
      <c r="C2633" s="128">
        <f>C2614+C2623+C2631</f>
        <v>1294233</v>
      </c>
      <c r="D2633" s="128">
        <f t="shared" ref="D2633:O2633" si="606">D2614+D2623+D2631</f>
        <v>158108.22</v>
      </c>
      <c r="E2633" s="128">
        <f t="shared" si="606"/>
        <v>0</v>
      </c>
      <c r="F2633" s="128">
        <f t="shared" si="606"/>
        <v>863978.41999999993</v>
      </c>
      <c r="G2633" s="128">
        <f t="shared" si="606"/>
        <v>430254.57999999996</v>
      </c>
      <c r="H2633" s="128">
        <f t="shared" si="606"/>
        <v>710.32</v>
      </c>
      <c r="I2633" s="128">
        <f t="shared" si="606"/>
        <v>-25275.82</v>
      </c>
      <c r="J2633" s="128">
        <f t="shared" si="606"/>
        <v>1268957.1800000002</v>
      </c>
      <c r="K2633" s="128">
        <f t="shared" si="606"/>
        <v>1348267.0037500001</v>
      </c>
      <c r="L2633" s="128">
        <f t="shared" si="606"/>
        <v>1442645.6940125001</v>
      </c>
      <c r="M2633" s="128">
        <f t="shared" si="606"/>
        <v>0</v>
      </c>
      <c r="N2633" s="128">
        <f t="shared" si="606"/>
        <v>0</v>
      </c>
      <c r="O2633" s="128">
        <f t="shared" si="606"/>
        <v>1543630.8925933752</v>
      </c>
      <c r="P2633" s="123" t="str">
        <f t="shared" si="605"/>
        <v/>
      </c>
    </row>
    <row r="2634" spans="1:16" s="114" customFormat="1" ht="15" x14ac:dyDescent="0.25">
      <c r="A2634" s="118"/>
      <c r="B2634" s="117"/>
      <c r="C2634" s="128"/>
      <c r="D2634" s="128"/>
      <c r="E2634" s="128"/>
      <c r="F2634" s="128"/>
      <c r="G2634" s="128"/>
      <c r="H2634" s="128"/>
      <c r="I2634" s="129">
        <f>Community!J239</f>
        <v>0</v>
      </c>
      <c r="J2634" s="129"/>
      <c r="K2634" s="129"/>
      <c r="L2634" s="129"/>
      <c r="M2634" s="186"/>
      <c r="N2634" s="186"/>
      <c r="O2634" s="128"/>
      <c r="P2634" s="123" t="str">
        <f t="shared" si="605"/>
        <v/>
      </c>
    </row>
    <row r="2635" spans="1:16" s="114" customFormat="1" ht="15" x14ac:dyDescent="0.25">
      <c r="A2635" s="118"/>
      <c r="B2635" s="117" t="s">
        <v>178</v>
      </c>
      <c r="C2635" s="128">
        <f>C2633</f>
        <v>1294233</v>
      </c>
      <c r="D2635" s="128">
        <f t="shared" ref="D2635:O2635" si="607">D2633</f>
        <v>158108.22</v>
      </c>
      <c r="E2635" s="128">
        <f t="shared" si="607"/>
        <v>0</v>
      </c>
      <c r="F2635" s="128">
        <f t="shared" si="607"/>
        <v>863978.41999999993</v>
      </c>
      <c r="G2635" s="128">
        <f t="shared" si="607"/>
        <v>430254.57999999996</v>
      </c>
      <c r="H2635" s="128">
        <f t="shared" si="607"/>
        <v>710.32</v>
      </c>
      <c r="I2635" s="128">
        <f t="shared" si="607"/>
        <v>-25275.82</v>
      </c>
      <c r="J2635" s="128">
        <f t="shared" si="607"/>
        <v>1268957.1800000002</v>
      </c>
      <c r="K2635" s="128">
        <f t="shared" si="607"/>
        <v>1348267.0037500001</v>
      </c>
      <c r="L2635" s="128">
        <f t="shared" si="607"/>
        <v>1442645.6940125001</v>
      </c>
      <c r="M2635" s="128">
        <f t="shared" si="607"/>
        <v>0</v>
      </c>
      <c r="N2635" s="128">
        <f t="shared" si="607"/>
        <v>0</v>
      </c>
      <c r="O2635" s="128">
        <f t="shared" si="607"/>
        <v>1543630.8925933752</v>
      </c>
      <c r="P2635" s="123" t="str">
        <f t="shared" si="605"/>
        <v/>
      </c>
    </row>
    <row r="2636" spans="1:16" s="114" customFormat="1" ht="15" x14ac:dyDescent="0.25">
      <c r="A2636" s="118"/>
      <c r="B2636" s="117"/>
      <c r="C2636" s="128"/>
      <c r="D2636" s="128"/>
      <c r="E2636" s="128"/>
      <c r="F2636" s="128"/>
      <c r="G2636" s="128"/>
      <c r="H2636" s="128"/>
      <c r="I2636" s="129">
        <f>Community!J241</f>
        <v>0</v>
      </c>
      <c r="J2636" s="129"/>
      <c r="K2636" s="129"/>
      <c r="L2636" s="129"/>
      <c r="M2636" s="186"/>
      <c r="N2636" s="186"/>
      <c r="O2636" s="128"/>
      <c r="P2636" s="123" t="str">
        <f t="shared" si="605"/>
        <v/>
      </c>
    </row>
    <row r="2637" spans="1:16" s="114" customFormat="1" ht="15" x14ac:dyDescent="0.25">
      <c r="A2637" s="118"/>
      <c r="B2637" s="117" t="s">
        <v>208</v>
      </c>
      <c r="C2637" s="128"/>
      <c r="D2637" s="128"/>
      <c r="E2637" s="128"/>
      <c r="F2637" s="128"/>
      <c r="G2637" s="128"/>
      <c r="H2637" s="128"/>
      <c r="I2637" s="129">
        <f ca="1">Community!J242</f>
        <v>0</v>
      </c>
      <c r="J2637" s="129"/>
      <c r="K2637" s="129"/>
      <c r="L2637" s="129"/>
      <c r="M2637" s="186"/>
      <c r="N2637" s="186"/>
      <c r="O2637" s="128"/>
      <c r="P2637" s="123" t="str">
        <f t="shared" si="605"/>
        <v/>
      </c>
    </row>
    <row r="2638" spans="1:16" s="114" customFormat="1" ht="15" x14ac:dyDescent="0.25">
      <c r="A2638" s="118"/>
      <c r="B2638" s="117" t="s">
        <v>209</v>
      </c>
      <c r="C2638" s="128"/>
      <c r="D2638" s="128"/>
      <c r="E2638" s="128"/>
      <c r="F2638" s="128"/>
      <c r="G2638" s="128"/>
      <c r="H2638" s="128"/>
      <c r="I2638" s="129">
        <f ca="1">Community!J243</f>
        <v>0</v>
      </c>
      <c r="J2638" s="129"/>
      <c r="K2638" s="129"/>
      <c r="L2638" s="129"/>
      <c r="M2638" s="186"/>
      <c r="N2638" s="186"/>
      <c r="O2638" s="128"/>
      <c r="P2638" s="123" t="str">
        <f t="shared" si="605"/>
        <v/>
      </c>
    </row>
    <row r="2639" spans="1:16" x14ac:dyDescent="0.2">
      <c r="A2639" s="119"/>
      <c r="B2639" s="120"/>
      <c r="C2639" s="129"/>
      <c r="D2639" s="129"/>
      <c r="E2639" s="129"/>
      <c r="F2639" s="129"/>
      <c r="G2639" s="129"/>
      <c r="H2639" s="129"/>
      <c r="I2639" s="129">
        <f>Community!J244</f>
        <v>0</v>
      </c>
      <c r="J2639" s="129"/>
      <c r="K2639" s="129"/>
      <c r="L2639" s="129"/>
      <c r="O2639" s="129"/>
      <c r="P2639" s="123" t="str">
        <f t="shared" si="605"/>
        <v/>
      </c>
    </row>
    <row r="2640" spans="1:16" x14ac:dyDescent="0.2">
      <c r="A2640" s="119" t="s">
        <v>1056</v>
      </c>
      <c r="B2640" s="120" t="s">
        <v>216</v>
      </c>
      <c r="C2640" s="129">
        <v>42400</v>
      </c>
      <c r="D2640" s="129">
        <v>0</v>
      </c>
      <c r="E2640" s="129">
        <v>0</v>
      </c>
      <c r="F2640" s="129">
        <v>28992</v>
      </c>
      <c r="G2640" s="129">
        <v>13408</v>
      </c>
      <c r="H2640" s="129">
        <v>68.37</v>
      </c>
      <c r="I2640" s="129">
        <f>Community!J245</f>
        <v>0</v>
      </c>
      <c r="J2640" s="129">
        <f>Community!K245</f>
        <v>42400</v>
      </c>
      <c r="K2640" s="129">
        <f>Community!L245</f>
        <v>44308</v>
      </c>
      <c r="L2640" s="129">
        <f>Community!M245</f>
        <v>46346.167999999998</v>
      </c>
      <c r="O2640" s="129">
        <f>Community!N245</f>
        <v>48478.091727999999</v>
      </c>
      <c r="P2640" s="123" t="str">
        <f t="shared" si="605"/>
        <v>265</v>
      </c>
    </row>
    <row r="2641" spans="1:16" x14ac:dyDescent="0.2">
      <c r="A2641" s="119"/>
      <c r="B2641" s="120"/>
      <c r="C2641" s="129"/>
      <c r="D2641" s="129"/>
      <c r="E2641" s="129"/>
      <c r="F2641" s="129"/>
      <c r="G2641" s="129"/>
      <c r="H2641" s="129"/>
      <c r="I2641" s="129">
        <f>Community!J246</f>
        <v>0</v>
      </c>
      <c r="J2641" s="129"/>
      <c r="K2641" s="129"/>
      <c r="L2641" s="129"/>
      <c r="O2641" s="129"/>
      <c r="P2641" s="123" t="str">
        <f t="shared" si="605"/>
        <v/>
      </c>
    </row>
    <row r="2642" spans="1:16" s="114" customFormat="1" ht="15" x14ac:dyDescent="0.25">
      <c r="A2642" s="118"/>
      <c r="B2642" s="117" t="s">
        <v>217</v>
      </c>
      <c r="C2642" s="128">
        <f>SUM(C2640:C2641)</f>
        <v>42400</v>
      </c>
      <c r="D2642" s="128">
        <f t="shared" ref="D2642:O2642" si="608">SUM(D2640:D2641)</f>
        <v>0</v>
      </c>
      <c r="E2642" s="128">
        <f t="shared" si="608"/>
        <v>0</v>
      </c>
      <c r="F2642" s="128">
        <f t="shared" si="608"/>
        <v>28992</v>
      </c>
      <c r="G2642" s="128">
        <f t="shared" si="608"/>
        <v>13408</v>
      </c>
      <c r="H2642" s="128">
        <f t="shared" si="608"/>
        <v>68.37</v>
      </c>
      <c r="I2642" s="128">
        <f t="shared" si="608"/>
        <v>0</v>
      </c>
      <c r="J2642" s="128">
        <f t="shared" si="608"/>
        <v>42400</v>
      </c>
      <c r="K2642" s="128">
        <f t="shared" si="608"/>
        <v>44308</v>
      </c>
      <c r="L2642" s="128">
        <f t="shared" si="608"/>
        <v>46346.167999999998</v>
      </c>
      <c r="M2642" s="128">
        <f t="shared" si="608"/>
        <v>0</v>
      </c>
      <c r="N2642" s="128">
        <f t="shared" si="608"/>
        <v>0</v>
      </c>
      <c r="O2642" s="128">
        <f t="shared" si="608"/>
        <v>48478.091727999999</v>
      </c>
      <c r="P2642" s="123" t="str">
        <f t="shared" si="605"/>
        <v/>
      </c>
    </row>
    <row r="2643" spans="1:16" s="114" customFormat="1" ht="15" x14ac:dyDescent="0.25">
      <c r="A2643" s="118"/>
      <c r="B2643" s="117"/>
      <c r="C2643" s="128"/>
      <c r="D2643" s="128"/>
      <c r="E2643" s="128"/>
      <c r="F2643" s="128"/>
      <c r="G2643" s="128"/>
      <c r="H2643" s="128"/>
      <c r="I2643" s="129">
        <f>Community!J248</f>
        <v>0</v>
      </c>
      <c r="J2643" s="129"/>
      <c r="K2643" s="129"/>
      <c r="L2643" s="129"/>
      <c r="M2643" s="186"/>
      <c r="N2643" s="186"/>
      <c r="O2643" s="128"/>
      <c r="P2643" s="123" t="str">
        <f t="shared" si="605"/>
        <v/>
      </c>
    </row>
    <row r="2644" spans="1:16" s="114" customFormat="1" ht="15" x14ac:dyDescent="0.25">
      <c r="A2644" s="118"/>
      <c r="B2644" s="117" t="s">
        <v>218</v>
      </c>
      <c r="C2644" s="128"/>
      <c r="D2644" s="128"/>
      <c r="E2644" s="128"/>
      <c r="F2644" s="128"/>
      <c r="G2644" s="128"/>
      <c r="H2644" s="128"/>
      <c r="I2644" s="129">
        <f ca="1">Community!J249</f>
        <v>0</v>
      </c>
      <c r="J2644" s="129"/>
      <c r="K2644" s="129"/>
      <c r="L2644" s="129"/>
      <c r="M2644" s="186"/>
      <c r="N2644" s="186"/>
      <c r="O2644" s="128"/>
      <c r="P2644" s="123" t="str">
        <f t="shared" si="605"/>
        <v/>
      </c>
    </row>
    <row r="2645" spans="1:16" x14ac:dyDescent="0.2">
      <c r="A2645" s="119"/>
      <c r="B2645" s="120"/>
      <c r="C2645" s="129"/>
      <c r="D2645" s="129"/>
      <c r="E2645" s="129"/>
      <c r="F2645" s="129"/>
      <c r="G2645" s="129"/>
      <c r="H2645" s="129"/>
      <c r="I2645" s="129">
        <f>Community!J250</f>
        <v>0</v>
      </c>
      <c r="J2645" s="129"/>
      <c r="K2645" s="129"/>
      <c r="L2645" s="129"/>
      <c r="O2645" s="129"/>
      <c r="P2645" s="123" t="str">
        <f t="shared" si="605"/>
        <v/>
      </c>
    </row>
    <row r="2646" spans="1:16" x14ac:dyDescent="0.2">
      <c r="A2646" s="119" t="s">
        <v>1057</v>
      </c>
      <c r="B2646" s="120" t="s">
        <v>222</v>
      </c>
      <c r="C2646" s="129">
        <v>59380</v>
      </c>
      <c r="D2646" s="129">
        <v>0</v>
      </c>
      <c r="E2646" s="129">
        <v>0</v>
      </c>
      <c r="F2646" s="129">
        <v>0</v>
      </c>
      <c r="G2646" s="129">
        <v>59380</v>
      </c>
      <c r="H2646" s="129">
        <v>0</v>
      </c>
      <c r="I2646" s="129">
        <f>Community!J251</f>
        <v>0</v>
      </c>
      <c r="J2646" s="129">
        <f>Community!K251</f>
        <v>59380</v>
      </c>
      <c r="K2646" s="129">
        <f>Community!L251</f>
        <v>62052.1</v>
      </c>
      <c r="L2646" s="129">
        <f>Community!M251</f>
        <v>64906.496599999999</v>
      </c>
      <c r="O2646" s="129">
        <f>Community!N251</f>
        <v>67892.195443599994</v>
      </c>
      <c r="P2646" s="123" t="str">
        <f t="shared" si="605"/>
        <v>270</v>
      </c>
    </row>
    <row r="2647" spans="1:16" x14ac:dyDescent="0.2">
      <c r="A2647" s="119"/>
      <c r="B2647" s="120"/>
      <c r="C2647" s="129"/>
      <c r="D2647" s="129"/>
      <c r="E2647" s="129"/>
      <c r="F2647" s="129"/>
      <c r="G2647" s="129"/>
      <c r="H2647" s="129"/>
      <c r="I2647" s="129">
        <f>Community!J252</f>
        <v>0</v>
      </c>
      <c r="J2647" s="129"/>
      <c r="K2647" s="129"/>
      <c r="L2647" s="129"/>
      <c r="O2647" s="129"/>
      <c r="P2647" s="123" t="str">
        <f t="shared" si="605"/>
        <v/>
      </c>
    </row>
    <row r="2648" spans="1:16" s="114" customFormat="1" ht="15" x14ac:dyDescent="0.25">
      <c r="A2648" s="118"/>
      <c r="B2648" s="117" t="s">
        <v>227</v>
      </c>
      <c r="C2648" s="128">
        <f>SUM(C2646:C2647)</f>
        <v>59380</v>
      </c>
      <c r="D2648" s="128">
        <f t="shared" ref="D2648:O2648" si="609">SUM(D2646:D2647)</f>
        <v>0</v>
      </c>
      <c r="E2648" s="128">
        <f t="shared" si="609"/>
        <v>0</v>
      </c>
      <c r="F2648" s="128">
        <f t="shared" si="609"/>
        <v>0</v>
      </c>
      <c r="G2648" s="128">
        <f t="shared" si="609"/>
        <v>59380</v>
      </c>
      <c r="H2648" s="128">
        <f t="shared" si="609"/>
        <v>0</v>
      </c>
      <c r="I2648" s="128">
        <f t="shared" si="609"/>
        <v>0</v>
      </c>
      <c r="J2648" s="128">
        <f t="shared" si="609"/>
        <v>59380</v>
      </c>
      <c r="K2648" s="128">
        <f t="shared" si="609"/>
        <v>62052.1</v>
      </c>
      <c r="L2648" s="128">
        <f t="shared" si="609"/>
        <v>64906.496599999999</v>
      </c>
      <c r="M2648" s="128">
        <f t="shared" si="609"/>
        <v>0</v>
      </c>
      <c r="N2648" s="128">
        <f t="shared" si="609"/>
        <v>0</v>
      </c>
      <c r="O2648" s="128">
        <f t="shared" si="609"/>
        <v>67892.195443599994</v>
      </c>
      <c r="P2648" s="123" t="str">
        <f t="shared" si="605"/>
        <v/>
      </c>
    </row>
    <row r="2649" spans="1:16" s="114" customFormat="1" ht="15" x14ac:dyDescent="0.25">
      <c r="A2649" s="118"/>
      <c r="B2649" s="117"/>
      <c r="C2649" s="128"/>
      <c r="D2649" s="128"/>
      <c r="E2649" s="128"/>
      <c r="F2649" s="128"/>
      <c r="G2649" s="128"/>
      <c r="H2649" s="128"/>
      <c r="I2649" s="129">
        <f>Community!J254</f>
        <v>0</v>
      </c>
      <c r="J2649" s="129"/>
      <c r="K2649" s="129"/>
      <c r="L2649" s="129"/>
      <c r="M2649" s="186"/>
      <c r="N2649" s="186"/>
      <c r="O2649" s="128"/>
      <c r="P2649" s="123" t="str">
        <f t="shared" si="605"/>
        <v/>
      </c>
    </row>
    <row r="2650" spans="1:16" s="114" customFormat="1" ht="15" x14ac:dyDescent="0.25">
      <c r="A2650" s="118"/>
      <c r="B2650" s="117" t="s">
        <v>228</v>
      </c>
      <c r="C2650" s="128"/>
      <c r="D2650" s="128"/>
      <c r="E2650" s="128"/>
      <c r="F2650" s="128"/>
      <c r="G2650" s="128"/>
      <c r="H2650" s="128"/>
      <c r="I2650" s="129">
        <f ca="1">Community!J255</f>
        <v>0</v>
      </c>
      <c r="J2650" s="129"/>
      <c r="K2650" s="129"/>
      <c r="L2650" s="129"/>
      <c r="M2650" s="186"/>
      <c r="N2650" s="186"/>
      <c r="O2650" s="128"/>
      <c r="P2650" s="123" t="str">
        <f t="shared" si="605"/>
        <v/>
      </c>
    </row>
    <row r="2651" spans="1:16" s="114" customFormat="1" ht="15" x14ac:dyDescent="0.25">
      <c r="A2651" s="118"/>
      <c r="B2651" s="117"/>
      <c r="C2651" s="128"/>
      <c r="D2651" s="128"/>
      <c r="E2651" s="128"/>
      <c r="F2651" s="128"/>
      <c r="G2651" s="128"/>
      <c r="H2651" s="128"/>
      <c r="I2651" s="129">
        <f>Community!J256</f>
        <v>0</v>
      </c>
      <c r="J2651" s="129"/>
      <c r="K2651" s="129"/>
      <c r="L2651" s="129"/>
      <c r="M2651" s="186"/>
      <c r="N2651" s="186"/>
      <c r="O2651" s="128"/>
      <c r="P2651" s="123" t="str">
        <f t="shared" si="605"/>
        <v/>
      </c>
    </row>
    <row r="2652" spans="1:16" x14ac:dyDescent="0.2">
      <c r="A2652" s="119" t="s">
        <v>1058</v>
      </c>
      <c r="B2652" s="120" t="s">
        <v>234</v>
      </c>
      <c r="C2652" s="129">
        <v>318000</v>
      </c>
      <c r="D2652" s="129">
        <v>59495</v>
      </c>
      <c r="E2652" s="129">
        <v>0</v>
      </c>
      <c r="F2652" s="129">
        <v>200379.38</v>
      </c>
      <c r="G2652" s="129">
        <v>117620.62</v>
      </c>
      <c r="H2652" s="129">
        <v>63.01</v>
      </c>
      <c r="I2652" s="129">
        <f>Community!J257</f>
        <v>0</v>
      </c>
      <c r="J2652" s="129">
        <f>Community!K257</f>
        <v>318000</v>
      </c>
      <c r="K2652" s="129">
        <f>Community!L257</f>
        <v>332310</v>
      </c>
      <c r="L2652" s="129">
        <f>Community!M257</f>
        <v>347596.26</v>
      </c>
      <c r="O2652" s="129">
        <f>Community!N257</f>
        <v>363585.68796000001</v>
      </c>
      <c r="P2652" s="123" t="str">
        <f t="shared" si="605"/>
        <v>283</v>
      </c>
    </row>
    <row r="2653" spans="1:16" x14ac:dyDescent="0.2">
      <c r="A2653" s="119" t="s">
        <v>1059</v>
      </c>
      <c r="B2653" s="120" t="s">
        <v>237</v>
      </c>
      <c r="C2653" s="129">
        <v>134336</v>
      </c>
      <c r="D2653" s="129">
        <v>0</v>
      </c>
      <c r="E2653" s="129">
        <v>29820</v>
      </c>
      <c r="F2653" s="129">
        <v>29500</v>
      </c>
      <c r="G2653" s="129">
        <v>104836</v>
      </c>
      <c r="H2653" s="129">
        <v>21.95</v>
      </c>
      <c r="I2653" s="129">
        <f>Community!J258</f>
        <v>0</v>
      </c>
      <c r="J2653" s="129">
        <f>Community!K258</f>
        <v>134336</v>
      </c>
      <c r="K2653" s="129">
        <f>Community!L258</f>
        <v>140381.12</v>
      </c>
      <c r="L2653" s="129">
        <f>Community!M258</f>
        <v>146838.65151999998</v>
      </c>
      <c r="O2653" s="129">
        <f>Community!N258</f>
        <v>153593.22948991999</v>
      </c>
      <c r="P2653" s="123" t="str">
        <f t="shared" si="605"/>
        <v>285</v>
      </c>
    </row>
    <row r="2654" spans="1:16" x14ac:dyDescent="0.2">
      <c r="A2654" s="119"/>
      <c r="B2654" s="120"/>
      <c r="C2654" s="129"/>
      <c r="D2654" s="129"/>
      <c r="E2654" s="129"/>
      <c r="F2654" s="129"/>
      <c r="G2654" s="129"/>
      <c r="H2654" s="129"/>
      <c r="I2654" s="129">
        <f>Community!J259</f>
        <v>0</v>
      </c>
      <c r="J2654" s="129"/>
      <c r="K2654" s="129"/>
      <c r="L2654" s="129"/>
      <c r="O2654" s="129"/>
      <c r="P2654" s="123" t="str">
        <f t="shared" si="605"/>
        <v/>
      </c>
    </row>
    <row r="2655" spans="1:16" s="114" customFormat="1" ht="15" x14ac:dyDescent="0.25">
      <c r="A2655" s="118"/>
      <c r="B2655" s="117" t="s">
        <v>239</v>
      </c>
      <c r="C2655" s="128">
        <f>SUM(C2652:C2654)</f>
        <v>452336</v>
      </c>
      <c r="D2655" s="128">
        <f t="shared" ref="D2655:O2655" si="610">SUM(D2652:D2654)</f>
        <v>59495</v>
      </c>
      <c r="E2655" s="128">
        <f t="shared" si="610"/>
        <v>29820</v>
      </c>
      <c r="F2655" s="128">
        <f t="shared" si="610"/>
        <v>229879.38</v>
      </c>
      <c r="G2655" s="128">
        <f t="shared" si="610"/>
        <v>222456.62</v>
      </c>
      <c r="H2655" s="128">
        <f t="shared" si="610"/>
        <v>84.96</v>
      </c>
      <c r="I2655" s="128">
        <f t="shared" si="610"/>
        <v>0</v>
      </c>
      <c r="J2655" s="128">
        <f t="shared" si="610"/>
        <v>452336</v>
      </c>
      <c r="K2655" s="128">
        <f t="shared" si="610"/>
        <v>472691.12</v>
      </c>
      <c r="L2655" s="128">
        <f t="shared" si="610"/>
        <v>494434.91151999997</v>
      </c>
      <c r="M2655" s="128">
        <f t="shared" si="610"/>
        <v>0</v>
      </c>
      <c r="N2655" s="128">
        <f t="shared" si="610"/>
        <v>0</v>
      </c>
      <c r="O2655" s="128">
        <f t="shared" si="610"/>
        <v>517178.91744991997</v>
      </c>
      <c r="P2655" s="123" t="str">
        <f t="shared" si="605"/>
        <v/>
      </c>
    </row>
    <row r="2656" spans="1:16" s="114" customFormat="1" ht="15" x14ac:dyDescent="0.25">
      <c r="A2656" s="118"/>
      <c r="B2656" s="117"/>
      <c r="C2656" s="128"/>
      <c r="D2656" s="128"/>
      <c r="E2656" s="128"/>
      <c r="F2656" s="128"/>
      <c r="G2656" s="128"/>
      <c r="H2656" s="128"/>
      <c r="I2656" s="129">
        <f>Community!J261</f>
        <v>0</v>
      </c>
      <c r="J2656" s="129"/>
      <c r="K2656" s="129"/>
      <c r="L2656" s="129"/>
      <c r="M2656" s="186"/>
      <c r="N2656" s="186"/>
      <c r="O2656" s="128"/>
      <c r="P2656" s="123" t="str">
        <f t="shared" si="605"/>
        <v/>
      </c>
    </row>
    <row r="2657" spans="1:16" s="114" customFormat="1" ht="15" x14ac:dyDescent="0.25">
      <c r="A2657" s="118"/>
      <c r="B2657" s="117" t="s">
        <v>240</v>
      </c>
      <c r="C2657" s="128">
        <f>C2642+C2648+C2655</f>
        <v>554116</v>
      </c>
      <c r="D2657" s="128">
        <f t="shared" ref="D2657:O2657" si="611">D2642+D2648+D2655</f>
        <v>59495</v>
      </c>
      <c r="E2657" s="128">
        <f t="shared" si="611"/>
        <v>29820</v>
      </c>
      <c r="F2657" s="128">
        <f t="shared" si="611"/>
        <v>258871.38</v>
      </c>
      <c r="G2657" s="128">
        <f t="shared" si="611"/>
        <v>295244.62</v>
      </c>
      <c r="H2657" s="128">
        <f t="shared" si="611"/>
        <v>153.32999999999998</v>
      </c>
      <c r="I2657" s="128">
        <f t="shared" si="611"/>
        <v>0</v>
      </c>
      <c r="J2657" s="128">
        <f t="shared" si="611"/>
        <v>554116</v>
      </c>
      <c r="K2657" s="128">
        <f t="shared" si="611"/>
        <v>579051.22</v>
      </c>
      <c r="L2657" s="128">
        <f t="shared" si="611"/>
        <v>605687.57611999998</v>
      </c>
      <c r="M2657" s="128">
        <f t="shared" si="611"/>
        <v>0</v>
      </c>
      <c r="N2657" s="128">
        <f t="shared" si="611"/>
        <v>0</v>
      </c>
      <c r="O2657" s="128">
        <f t="shared" si="611"/>
        <v>633549.20462152001</v>
      </c>
      <c r="P2657" s="123" t="str">
        <f t="shared" si="605"/>
        <v/>
      </c>
    </row>
    <row r="2658" spans="1:16" s="114" customFormat="1" ht="15" x14ac:dyDescent="0.25">
      <c r="A2658" s="118"/>
      <c r="B2658" s="117"/>
      <c r="C2658" s="128"/>
      <c r="D2658" s="128"/>
      <c r="E2658" s="128"/>
      <c r="F2658" s="128"/>
      <c r="G2658" s="128"/>
      <c r="H2658" s="128"/>
      <c r="I2658" s="129">
        <f>Community!J263</f>
        <v>0</v>
      </c>
      <c r="J2658" s="129"/>
      <c r="K2658" s="129"/>
      <c r="L2658" s="129"/>
      <c r="M2658" s="186"/>
      <c r="N2658" s="186"/>
      <c r="O2658" s="128"/>
      <c r="P2658" s="123" t="str">
        <f t="shared" si="605"/>
        <v/>
      </c>
    </row>
    <row r="2659" spans="1:16" s="114" customFormat="1" ht="15" x14ac:dyDescent="0.25">
      <c r="A2659" s="118"/>
      <c r="B2659" s="117" t="s">
        <v>241</v>
      </c>
      <c r="C2659" s="128"/>
      <c r="D2659" s="128"/>
      <c r="E2659" s="128"/>
      <c r="F2659" s="128"/>
      <c r="G2659" s="128"/>
      <c r="H2659" s="128"/>
      <c r="I2659" s="129">
        <f>Community!J264</f>
        <v>0</v>
      </c>
      <c r="J2659" s="129"/>
      <c r="K2659" s="129"/>
      <c r="L2659" s="129"/>
      <c r="M2659" s="186"/>
      <c r="N2659" s="186"/>
      <c r="O2659" s="128"/>
      <c r="P2659" s="123" t="str">
        <f t="shared" si="605"/>
        <v/>
      </c>
    </row>
    <row r="2660" spans="1:16" x14ac:dyDescent="0.2">
      <c r="A2660" s="119"/>
      <c r="B2660" s="120"/>
      <c r="C2660" s="129"/>
      <c r="D2660" s="129"/>
      <c r="E2660" s="129"/>
      <c r="F2660" s="129"/>
      <c r="G2660" s="129"/>
      <c r="H2660" s="129"/>
      <c r="I2660" s="129">
        <f>Community!J265</f>
        <v>0</v>
      </c>
      <c r="J2660" s="129"/>
      <c r="K2660" s="129"/>
      <c r="L2660" s="129"/>
      <c r="O2660" s="129"/>
      <c r="P2660" s="123" t="str">
        <f t="shared" si="605"/>
        <v/>
      </c>
    </row>
    <row r="2661" spans="1:16" x14ac:dyDescent="0.2">
      <c r="A2661" s="119" t="s">
        <v>1060</v>
      </c>
      <c r="B2661" s="120" t="s">
        <v>242</v>
      </c>
      <c r="C2661" s="129">
        <v>31800</v>
      </c>
      <c r="D2661" s="129">
        <v>0</v>
      </c>
      <c r="E2661" s="129">
        <v>0</v>
      </c>
      <c r="F2661" s="129">
        <v>0</v>
      </c>
      <c r="G2661" s="129">
        <v>31800</v>
      </c>
      <c r="H2661" s="129">
        <v>0</v>
      </c>
      <c r="I2661" s="129">
        <f>Community!J266</f>
        <v>0</v>
      </c>
      <c r="J2661" s="129">
        <f>Community!K266</f>
        <v>31800</v>
      </c>
      <c r="K2661" s="129">
        <f>Community!L266</f>
        <v>33231</v>
      </c>
      <c r="L2661" s="129">
        <f>Community!M266</f>
        <v>34759.625999999997</v>
      </c>
      <c r="O2661" s="129">
        <f>Community!N266</f>
        <v>36358.568796</v>
      </c>
      <c r="P2661" s="123" t="str">
        <f t="shared" si="605"/>
        <v>300</v>
      </c>
    </row>
    <row r="2662" spans="1:16" x14ac:dyDescent="0.2">
      <c r="A2662" s="119" t="s">
        <v>1061</v>
      </c>
      <c r="B2662" s="120" t="s">
        <v>260</v>
      </c>
      <c r="C2662" s="129">
        <v>31800</v>
      </c>
      <c r="D2662" s="129">
        <v>0</v>
      </c>
      <c r="E2662" s="129">
        <v>0</v>
      </c>
      <c r="F2662" s="129">
        <v>0</v>
      </c>
      <c r="G2662" s="129">
        <v>31800</v>
      </c>
      <c r="H2662" s="129">
        <v>0</v>
      </c>
      <c r="I2662" s="129">
        <f>Community!J267</f>
        <v>0</v>
      </c>
      <c r="J2662" s="129">
        <f>Community!K267</f>
        <v>31800</v>
      </c>
      <c r="K2662" s="129">
        <f>Community!L267</f>
        <v>33231</v>
      </c>
      <c r="L2662" s="129">
        <f>Community!M267</f>
        <v>34759.625999999997</v>
      </c>
      <c r="O2662" s="129">
        <f>Community!N267</f>
        <v>36358.568796</v>
      </c>
      <c r="P2662" s="123" t="str">
        <f t="shared" si="605"/>
        <v>304</v>
      </c>
    </row>
    <row r="2663" spans="1:16" x14ac:dyDescent="0.2">
      <c r="A2663" s="119" t="s">
        <v>1062</v>
      </c>
      <c r="B2663" s="120" t="s">
        <v>265</v>
      </c>
      <c r="C2663" s="129">
        <v>0</v>
      </c>
      <c r="D2663" s="129">
        <v>1312.11</v>
      </c>
      <c r="E2663" s="129">
        <v>0</v>
      </c>
      <c r="F2663" s="129">
        <v>7007</v>
      </c>
      <c r="G2663" s="129">
        <v>-7007</v>
      </c>
      <c r="H2663" s="129">
        <v>0</v>
      </c>
      <c r="I2663" s="129">
        <f>Community!J268</f>
        <v>15000</v>
      </c>
      <c r="J2663" s="129">
        <f>Community!K268</f>
        <v>15000</v>
      </c>
      <c r="K2663" s="129">
        <f>Community!L268</f>
        <v>15675</v>
      </c>
      <c r="L2663" s="129">
        <f>Community!M268</f>
        <v>16396.05</v>
      </c>
      <c r="O2663" s="129">
        <f>Community!N268</f>
        <v>17150.2683</v>
      </c>
      <c r="P2663" s="123" t="str">
        <f t="shared" si="605"/>
        <v>305</v>
      </c>
    </row>
    <row r="2664" spans="1:16" x14ac:dyDescent="0.2">
      <c r="A2664" s="119" t="s">
        <v>1063</v>
      </c>
      <c r="B2664" s="120" t="s">
        <v>268</v>
      </c>
      <c r="C2664" s="129">
        <v>0</v>
      </c>
      <c r="D2664" s="129">
        <v>8884.56</v>
      </c>
      <c r="E2664" s="129">
        <v>0</v>
      </c>
      <c r="F2664" s="129">
        <v>49052.86</v>
      </c>
      <c r="G2664" s="129">
        <v>-49052.86</v>
      </c>
      <c r="H2664" s="129">
        <v>0</v>
      </c>
      <c r="I2664" s="129">
        <f>Community!J269</f>
        <v>110000</v>
      </c>
      <c r="J2664" s="129">
        <f>Community!K269</f>
        <v>110000</v>
      </c>
      <c r="K2664" s="129">
        <f>Community!L269</f>
        <v>114950</v>
      </c>
      <c r="L2664" s="129">
        <f>Community!M269</f>
        <v>120237.7</v>
      </c>
      <c r="O2664" s="129">
        <f>Community!N269</f>
        <v>125768.6342</v>
      </c>
      <c r="P2664" s="123" t="str">
        <f t="shared" si="605"/>
        <v>305</v>
      </c>
    </row>
    <row r="2665" spans="1:16" x14ac:dyDescent="0.2">
      <c r="A2665" s="119"/>
      <c r="B2665" s="120"/>
      <c r="C2665" s="129"/>
      <c r="D2665" s="129"/>
      <c r="E2665" s="129"/>
      <c r="F2665" s="129"/>
      <c r="G2665" s="129"/>
      <c r="H2665" s="129"/>
      <c r="I2665" s="129">
        <f>Community!J270</f>
        <v>0</v>
      </c>
      <c r="J2665" s="129"/>
      <c r="K2665" s="129"/>
      <c r="L2665" s="129"/>
      <c r="O2665" s="129"/>
      <c r="P2665" s="123" t="str">
        <f t="shared" si="605"/>
        <v/>
      </c>
    </row>
    <row r="2666" spans="1:16" s="114" customFormat="1" ht="15" x14ac:dyDescent="0.25">
      <c r="A2666" s="118"/>
      <c r="B2666" s="117" t="s">
        <v>274</v>
      </c>
      <c r="C2666" s="128">
        <f>SUM(C2661:C2665)</f>
        <v>63600</v>
      </c>
      <c r="D2666" s="128">
        <f t="shared" ref="D2666:O2666" si="612">SUM(D2661:D2665)</f>
        <v>10196.67</v>
      </c>
      <c r="E2666" s="128">
        <f t="shared" si="612"/>
        <v>0</v>
      </c>
      <c r="F2666" s="128">
        <f t="shared" si="612"/>
        <v>56059.86</v>
      </c>
      <c r="G2666" s="128">
        <f t="shared" si="612"/>
        <v>7540.1399999999994</v>
      </c>
      <c r="H2666" s="128">
        <f t="shared" si="612"/>
        <v>0</v>
      </c>
      <c r="I2666" s="128">
        <f t="shared" si="612"/>
        <v>125000</v>
      </c>
      <c r="J2666" s="128">
        <f t="shared" si="612"/>
        <v>188600</v>
      </c>
      <c r="K2666" s="128">
        <f t="shared" si="612"/>
        <v>197087</v>
      </c>
      <c r="L2666" s="128">
        <f t="shared" si="612"/>
        <v>206153.00199999998</v>
      </c>
      <c r="M2666" s="128">
        <f t="shared" si="612"/>
        <v>0</v>
      </c>
      <c r="N2666" s="128">
        <f t="shared" si="612"/>
        <v>0</v>
      </c>
      <c r="O2666" s="128">
        <f t="shared" si="612"/>
        <v>215636.04009199998</v>
      </c>
      <c r="P2666" s="123" t="str">
        <f t="shared" si="605"/>
        <v/>
      </c>
    </row>
    <row r="2667" spans="1:16" s="114" customFormat="1" ht="15" x14ac:dyDescent="0.25">
      <c r="A2667" s="118"/>
      <c r="B2667" s="117"/>
      <c r="C2667" s="128"/>
      <c r="D2667" s="128"/>
      <c r="E2667" s="128"/>
      <c r="F2667" s="128"/>
      <c r="G2667" s="128"/>
      <c r="H2667" s="128"/>
      <c r="I2667" s="129">
        <f>Community!J272</f>
        <v>0</v>
      </c>
      <c r="J2667" s="129"/>
      <c r="K2667" s="129"/>
      <c r="L2667" s="129"/>
      <c r="M2667" s="186"/>
      <c r="N2667" s="186"/>
      <c r="O2667" s="128"/>
      <c r="P2667" s="123" t="str">
        <f t="shared" si="605"/>
        <v/>
      </c>
    </row>
    <row r="2668" spans="1:16" s="114" customFormat="1" ht="15" x14ac:dyDescent="0.25">
      <c r="A2668" s="118"/>
      <c r="B2668" s="117" t="s">
        <v>290</v>
      </c>
      <c r="C2668" s="128"/>
      <c r="D2668" s="128"/>
      <c r="E2668" s="128"/>
      <c r="F2668" s="128"/>
      <c r="G2668" s="128"/>
      <c r="H2668" s="128"/>
      <c r="I2668" s="129">
        <f ca="1">Community!J273</f>
        <v>0</v>
      </c>
      <c r="J2668" s="129"/>
      <c r="K2668" s="129"/>
      <c r="L2668" s="129"/>
      <c r="M2668" s="186"/>
      <c r="N2668" s="186"/>
      <c r="O2668" s="128"/>
      <c r="P2668" s="123" t="str">
        <f t="shared" si="605"/>
        <v/>
      </c>
    </row>
    <row r="2669" spans="1:16" x14ac:dyDescent="0.2">
      <c r="A2669" s="119"/>
      <c r="B2669" s="120"/>
      <c r="C2669" s="129"/>
      <c r="D2669" s="129"/>
      <c r="E2669" s="129"/>
      <c r="F2669" s="129"/>
      <c r="G2669" s="129"/>
      <c r="H2669" s="129"/>
      <c r="I2669" s="129">
        <f>Community!J274</f>
        <v>0</v>
      </c>
      <c r="J2669" s="129"/>
      <c r="K2669" s="129"/>
      <c r="L2669" s="129"/>
      <c r="O2669" s="129"/>
      <c r="P2669" s="123" t="str">
        <f t="shared" si="605"/>
        <v/>
      </c>
    </row>
    <row r="2670" spans="1:16" x14ac:dyDescent="0.2">
      <c r="A2670" s="119" t="s">
        <v>1064</v>
      </c>
      <c r="B2670" s="120" t="s">
        <v>293</v>
      </c>
      <c r="C2670" s="129">
        <v>2688</v>
      </c>
      <c r="D2670" s="129">
        <v>6072.92</v>
      </c>
      <c r="E2670" s="129">
        <v>0</v>
      </c>
      <c r="F2670" s="129">
        <v>12441.73</v>
      </c>
      <c r="G2670" s="129">
        <v>-9753.73</v>
      </c>
      <c r="H2670" s="129">
        <v>462.86</v>
      </c>
      <c r="I2670" s="129">
        <f>Community!J275</f>
        <v>0</v>
      </c>
      <c r="J2670" s="129">
        <f>Community!K275</f>
        <v>2688</v>
      </c>
      <c r="K2670" s="129">
        <f>Community!L275</f>
        <v>2808.96</v>
      </c>
      <c r="L2670" s="129">
        <f>Community!M275</f>
        <v>2938.1721600000001</v>
      </c>
      <c r="O2670" s="129">
        <f>Community!N275</f>
        <v>3073.3280793600002</v>
      </c>
      <c r="P2670" s="123" t="str">
        <f t="shared" si="605"/>
        <v>721</v>
      </c>
    </row>
    <row r="2671" spans="1:16" x14ac:dyDescent="0.2">
      <c r="A2671" s="119" t="s">
        <v>1065</v>
      </c>
      <c r="B2671" s="120" t="s">
        <v>296</v>
      </c>
      <c r="C2671" s="129">
        <v>34540</v>
      </c>
      <c r="D2671" s="129">
        <v>1303.6400000000001</v>
      </c>
      <c r="E2671" s="129">
        <v>0</v>
      </c>
      <c r="F2671" s="129">
        <v>3878.95</v>
      </c>
      <c r="G2671" s="129">
        <v>30661.05</v>
      </c>
      <c r="H2671" s="129">
        <v>11.23</v>
      </c>
      <c r="I2671" s="129">
        <f>Community!J276</f>
        <v>0</v>
      </c>
      <c r="J2671" s="129">
        <f>Community!K276</f>
        <v>34540</v>
      </c>
      <c r="K2671" s="129">
        <f>Community!L276</f>
        <v>36094.300000000003</v>
      </c>
      <c r="L2671" s="129">
        <f>Community!M276</f>
        <v>37754.637800000004</v>
      </c>
      <c r="O2671" s="129">
        <f>Community!N276</f>
        <v>39491.351138800004</v>
      </c>
      <c r="P2671" s="123" t="str">
        <f t="shared" si="605"/>
        <v>723</v>
      </c>
    </row>
    <row r="2672" spans="1:16" x14ac:dyDescent="0.2">
      <c r="A2672" s="119" t="s">
        <v>1066</v>
      </c>
      <c r="B2672" s="120" t="s">
        <v>300</v>
      </c>
      <c r="C2672" s="129">
        <v>0</v>
      </c>
      <c r="D2672" s="129">
        <v>99023.18</v>
      </c>
      <c r="E2672" s="129">
        <v>0</v>
      </c>
      <c r="F2672" s="129">
        <v>226604.23</v>
      </c>
      <c r="G2672" s="129">
        <v>-226604.23</v>
      </c>
      <c r="H2672" s="129">
        <v>0</v>
      </c>
      <c r="I2672" s="129">
        <f>Community!J277</f>
        <v>0</v>
      </c>
      <c r="J2672" s="129">
        <f>Community!K277</f>
        <v>0</v>
      </c>
      <c r="K2672" s="129">
        <f>Community!L277</f>
        <v>0</v>
      </c>
      <c r="L2672" s="129">
        <f>Community!M277</f>
        <v>0</v>
      </c>
      <c r="O2672" s="129">
        <f>Community!N277</f>
        <v>0</v>
      </c>
      <c r="P2672" s="123" t="str">
        <f t="shared" si="605"/>
        <v>728</v>
      </c>
    </row>
    <row r="2673" spans="1:16" x14ac:dyDescent="0.2">
      <c r="A2673" s="119" t="s">
        <v>1067</v>
      </c>
      <c r="B2673" s="120" t="s">
        <v>302</v>
      </c>
      <c r="C2673" s="129">
        <v>623329</v>
      </c>
      <c r="D2673" s="129">
        <v>0</v>
      </c>
      <c r="E2673" s="129">
        <v>0</v>
      </c>
      <c r="F2673" s="129">
        <v>0</v>
      </c>
      <c r="G2673" s="129">
        <v>623329</v>
      </c>
      <c r="H2673" s="129">
        <v>0</v>
      </c>
      <c r="I2673" s="129">
        <f>Community!J278</f>
        <v>0</v>
      </c>
      <c r="J2673" s="129">
        <f>Community!K278</f>
        <v>623329</v>
      </c>
      <c r="K2673" s="129">
        <f>Community!L278</f>
        <v>651378.80500000005</v>
      </c>
      <c r="L2673" s="129">
        <f>Community!M278</f>
        <v>681342.23003000009</v>
      </c>
      <c r="O2673" s="129">
        <f>Community!N278</f>
        <v>712683.97261138004</v>
      </c>
      <c r="P2673" s="123" t="str">
        <f t="shared" si="605"/>
        <v>728</v>
      </c>
    </row>
    <row r="2674" spans="1:16" x14ac:dyDescent="0.2">
      <c r="A2674" s="119" t="s">
        <v>1068</v>
      </c>
      <c r="B2674" s="120" t="s">
        <v>303</v>
      </c>
      <c r="C2674" s="129">
        <v>12477</v>
      </c>
      <c r="D2674" s="129">
        <v>1825.52</v>
      </c>
      <c r="E2674" s="129">
        <v>0</v>
      </c>
      <c r="F2674" s="129">
        <v>4563.8</v>
      </c>
      <c r="G2674" s="129">
        <v>7913.2</v>
      </c>
      <c r="H2674" s="129">
        <v>36.57</v>
      </c>
      <c r="I2674" s="129">
        <f>Community!J279</f>
        <v>0</v>
      </c>
      <c r="J2674" s="129">
        <f>Community!K279</f>
        <v>12477</v>
      </c>
      <c r="K2674" s="129">
        <f>Community!L279</f>
        <v>13038.465</v>
      </c>
      <c r="L2674" s="129">
        <f>Community!M279</f>
        <v>13638.23439</v>
      </c>
      <c r="O2674" s="129">
        <f>Community!N279</f>
        <v>14265.59317194</v>
      </c>
      <c r="P2674" s="123" t="str">
        <f t="shared" si="605"/>
        <v>729</v>
      </c>
    </row>
    <row r="2675" spans="1:16" x14ac:dyDescent="0.2">
      <c r="A2675" s="119"/>
      <c r="B2675" s="120"/>
      <c r="C2675" s="129"/>
      <c r="D2675" s="129"/>
      <c r="E2675" s="129"/>
      <c r="F2675" s="129"/>
      <c r="G2675" s="129"/>
      <c r="H2675" s="129"/>
      <c r="I2675" s="129">
        <f>Community!J280</f>
        <v>0</v>
      </c>
      <c r="J2675" s="129"/>
      <c r="K2675" s="129"/>
      <c r="L2675" s="129"/>
      <c r="O2675" s="129"/>
      <c r="P2675" s="123" t="str">
        <f t="shared" si="605"/>
        <v/>
      </c>
    </row>
    <row r="2676" spans="1:16" s="114" customFormat="1" ht="15" x14ac:dyDescent="0.25">
      <c r="A2676" s="118"/>
      <c r="B2676" s="117" t="s">
        <v>304</v>
      </c>
      <c r="C2676" s="128">
        <f>SUM(C2670:C2675)</f>
        <v>673034</v>
      </c>
      <c r="D2676" s="128">
        <f t="shared" ref="D2676:O2676" si="613">SUM(D2670:D2675)</f>
        <v>108225.26</v>
      </c>
      <c r="E2676" s="128">
        <f t="shared" si="613"/>
        <v>0</v>
      </c>
      <c r="F2676" s="128">
        <f t="shared" si="613"/>
        <v>247488.71</v>
      </c>
      <c r="G2676" s="128">
        <f t="shared" si="613"/>
        <v>425545.29</v>
      </c>
      <c r="H2676" s="128">
        <f t="shared" si="613"/>
        <v>510.66</v>
      </c>
      <c r="I2676" s="128">
        <f t="shared" si="613"/>
        <v>0</v>
      </c>
      <c r="J2676" s="128">
        <f t="shared" si="613"/>
        <v>673034</v>
      </c>
      <c r="K2676" s="128">
        <f t="shared" si="613"/>
        <v>703320.53</v>
      </c>
      <c r="L2676" s="128">
        <f t="shared" si="613"/>
        <v>735673.27438000008</v>
      </c>
      <c r="M2676" s="128">
        <f t="shared" si="613"/>
        <v>0</v>
      </c>
      <c r="N2676" s="128">
        <f t="shared" si="613"/>
        <v>0</v>
      </c>
      <c r="O2676" s="128">
        <f t="shared" si="613"/>
        <v>769514.24500147998</v>
      </c>
      <c r="P2676" s="123" t="str">
        <f t="shared" si="605"/>
        <v/>
      </c>
    </row>
    <row r="2677" spans="1:16" s="114" customFormat="1" ht="15" x14ac:dyDescent="0.25">
      <c r="A2677" s="118"/>
      <c r="B2677" s="117"/>
      <c r="C2677" s="128"/>
      <c r="D2677" s="128"/>
      <c r="E2677" s="128"/>
      <c r="F2677" s="128"/>
      <c r="G2677" s="128"/>
      <c r="H2677" s="128"/>
      <c r="I2677" s="129">
        <f>Community!J282</f>
        <v>0</v>
      </c>
      <c r="J2677" s="129"/>
      <c r="K2677" s="129"/>
      <c r="L2677" s="129"/>
      <c r="M2677" s="186"/>
      <c r="N2677" s="186"/>
      <c r="O2677" s="128"/>
      <c r="P2677" s="123" t="str">
        <f t="shared" si="605"/>
        <v/>
      </c>
    </row>
    <row r="2678" spans="1:16" s="114" customFormat="1" ht="15" x14ac:dyDescent="0.25">
      <c r="A2678" s="118"/>
      <c r="B2678" s="117" t="s">
        <v>305</v>
      </c>
      <c r="C2678" s="128">
        <f>C2635+C2657+C2666+C2676</f>
        <v>2584983</v>
      </c>
      <c r="D2678" s="128">
        <f t="shared" ref="D2678:O2678" si="614">D2635+D2657+D2666+D2676</f>
        <v>336025.15</v>
      </c>
      <c r="E2678" s="128">
        <f t="shared" si="614"/>
        <v>29820</v>
      </c>
      <c r="F2678" s="128">
        <f t="shared" si="614"/>
        <v>1426398.3699999999</v>
      </c>
      <c r="G2678" s="128">
        <f t="shared" si="614"/>
        <v>1158584.6299999999</v>
      </c>
      <c r="H2678" s="128">
        <f t="shared" si="614"/>
        <v>1374.3100000000002</v>
      </c>
      <c r="I2678" s="128">
        <f t="shared" si="614"/>
        <v>99724.18</v>
      </c>
      <c r="J2678" s="128">
        <f t="shared" si="614"/>
        <v>2684707.18</v>
      </c>
      <c r="K2678" s="128">
        <f t="shared" si="614"/>
        <v>2827725.7537500001</v>
      </c>
      <c r="L2678" s="128">
        <f t="shared" si="614"/>
        <v>2990159.5465125004</v>
      </c>
      <c r="M2678" s="128">
        <f t="shared" si="614"/>
        <v>0</v>
      </c>
      <c r="N2678" s="128">
        <f t="shared" si="614"/>
        <v>0</v>
      </c>
      <c r="O2678" s="128">
        <f t="shared" si="614"/>
        <v>3162330.3823083751</v>
      </c>
      <c r="P2678" s="123" t="str">
        <f t="shared" si="605"/>
        <v/>
      </c>
    </row>
    <row r="2679" spans="1:16" s="114" customFormat="1" ht="15" x14ac:dyDescent="0.25">
      <c r="A2679" s="118"/>
      <c r="B2679" s="117"/>
      <c r="C2679" s="128"/>
      <c r="D2679" s="128"/>
      <c r="E2679" s="128"/>
      <c r="F2679" s="128"/>
      <c r="G2679" s="128"/>
      <c r="H2679" s="128"/>
      <c r="I2679" s="129">
        <f>Community!J284</f>
        <v>0</v>
      </c>
      <c r="J2679" s="129"/>
      <c r="K2679" s="186"/>
      <c r="L2679" s="186"/>
      <c r="M2679" s="186"/>
      <c r="N2679" s="186"/>
      <c r="O2679" s="128"/>
      <c r="P2679" s="123" t="str">
        <f t="shared" si="605"/>
        <v/>
      </c>
    </row>
    <row r="2680" spans="1:16" s="114" customFormat="1" ht="15" x14ac:dyDescent="0.25">
      <c r="A2680" s="118"/>
      <c r="B2680" s="117" t="s">
        <v>306</v>
      </c>
      <c r="C2680" s="128">
        <f>C2596+C2678</f>
        <v>2297711</v>
      </c>
      <c r="D2680" s="128">
        <f t="shared" ref="D2680:O2680" si="615">D2596+D2678</f>
        <v>320768.81</v>
      </c>
      <c r="E2680" s="128">
        <f t="shared" si="615"/>
        <v>29820</v>
      </c>
      <c r="F2680" s="128">
        <f t="shared" si="615"/>
        <v>1325356.5599999998</v>
      </c>
      <c r="G2680" s="128">
        <f t="shared" si="615"/>
        <v>972354.44</v>
      </c>
      <c r="H2680" s="128">
        <f t="shared" si="615"/>
        <v>1418.5900000000001</v>
      </c>
      <c r="I2680" s="128">
        <f t="shared" si="615"/>
        <v>149724.18</v>
      </c>
      <c r="J2680" s="128">
        <f t="shared" si="615"/>
        <v>2447435.1800000002</v>
      </c>
      <c r="K2680" s="128">
        <f t="shared" si="615"/>
        <v>2579776.5137499999</v>
      </c>
      <c r="L2680" s="128">
        <f t="shared" si="615"/>
        <v>2730802.9130425006</v>
      </c>
      <c r="M2680" s="128">
        <f t="shared" si="615"/>
        <v>0</v>
      </c>
      <c r="N2680" s="128">
        <f t="shared" si="615"/>
        <v>0</v>
      </c>
      <c r="O2680" s="128">
        <f t="shared" si="615"/>
        <v>2891043.3436987549</v>
      </c>
      <c r="P2680" s="123" t="str">
        <f t="shared" si="605"/>
        <v/>
      </c>
    </row>
    <row r="2681" spans="1:16" x14ac:dyDescent="0.2">
      <c r="A2681" s="119"/>
      <c r="B2681" s="120"/>
      <c r="C2681" s="129"/>
      <c r="D2681" s="129"/>
      <c r="E2681" s="129"/>
      <c r="F2681" s="129"/>
      <c r="G2681" s="129"/>
      <c r="H2681" s="129"/>
      <c r="I2681" s="129">
        <f>Community!J286</f>
        <v>0</v>
      </c>
      <c r="J2681" s="129"/>
      <c r="K2681" s="129"/>
      <c r="L2681" s="129"/>
      <c r="O2681" s="129"/>
      <c r="P2681" s="123" t="str">
        <f t="shared" si="605"/>
        <v/>
      </c>
    </row>
    <row r="2682" spans="1:16" s="114" customFormat="1" ht="15" x14ac:dyDescent="0.25">
      <c r="A2682" s="118"/>
      <c r="B2682" s="117" t="s">
        <v>308</v>
      </c>
      <c r="C2682" s="128"/>
      <c r="D2682" s="128"/>
      <c r="E2682" s="128"/>
      <c r="F2682" s="128"/>
      <c r="G2682" s="128"/>
      <c r="H2682" s="128"/>
      <c r="I2682" s="129">
        <f>Community!J287</f>
        <v>0</v>
      </c>
      <c r="J2682" s="129"/>
      <c r="K2682" s="129"/>
      <c r="L2682" s="129"/>
      <c r="M2682" s="186"/>
      <c r="N2682" s="186"/>
      <c r="O2682" s="128"/>
      <c r="P2682" s="123" t="str">
        <f t="shared" si="605"/>
        <v/>
      </c>
    </row>
    <row r="2683" spans="1:16" x14ac:dyDescent="0.2">
      <c r="A2683" s="119"/>
      <c r="B2683" s="120"/>
      <c r="C2683" s="129"/>
      <c r="D2683" s="129"/>
      <c r="E2683" s="129"/>
      <c r="F2683" s="129"/>
      <c r="G2683" s="129"/>
      <c r="H2683" s="129"/>
      <c r="I2683" s="129">
        <f>Community!J288</f>
        <v>0</v>
      </c>
      <c r="J2683" s="129"/>
      <c r="K2683" s="129"/>
      <c r="L2683" s="129"/>
      <c r="O2683" s="129"/>
      <c r="P2683" s="123" t="str">
        <f t="shared" si="605"/>
        <v/>
      </c>
    </row>
    <row r="2684" spans="1:16" x14ac:dyDescent="0.2">
      <c r="A2684" s="119" t="s">
        <v>1069</v>
      </c>
      <c r="B2684" s="120" t="s">
        <v>1070</v>
      </c>
      <c r="C2684" s="129">
        <f>Community!D289</f>
        <v>900000</v>
      </c>
      <c r="D2684" s="129">
        <f>Community!E289</f>
        <v>-290187</v>
      </c>
      <c r="E2684" s="129">
        <f>Community!F289</f>
        <v>0</v>
      </c>
      <c r="F2684" s="129">
        <f>Community!G289</f>
        <v>-524054</v>
      </c>
      <c r="G2684" s="129">
        <f>Community!H289</f>
        <v>-642946</v>
      </c>
      <c r="H2684" s="129">
        <f>Community!I289</f>
        <v>44.9</v>
      </c>
      <c r="I2684" s="129">
        <f>Community!J289</f>
        <v>-185724</v>
      </c>
      <c r="J2684" s="129">
        <f>Community!K289</f>
        <v>714276</v>
      </c>
      <c r="K2684" s="129">
        <f>Community!L289</f>
        <v>0</v>
      </c>
      <c r="L2684" s="129">
        <f>Community!M289</f>
        <v>0</v>
      </c>
      <c r="M2684" s="129">
        <f>Community!N289</f>
        <v>0</v>
      </c>
      <c r="N2684" s="129">
        <f>Community!O289</f>
        <v>0</v>
      </c>
      <c r="O2684" s="129">
        <f>Community!N289</f>
        <v>0</v>
      </c>
      <c r="P2684" s="123" t="str">
        <f t="shared" si="605"/>
        <v>420</v>
      </c>
    </row>
    <row r="2685" spans="1:16" x14ac:dyDescent="0.2">
      <c r="A2685" s="119"/>
      <c r="B2685" s="120" t="s">
        <v>3064</v>
      </c>
      <c r="C2685" s="129">
        <f>Community!D290</f>
        <v>0</v>
      </c>
      <c r="D2685" s="129">
        <f>Community!E290</f>
        <v>0</v>
      </c>
      <c r="E2685" s="129">
        <f>Community!F290</f>
        <v>0</v>
      </c>
      <c r="F2685" s="129">
        <f>Community!G290</f>
        <v>0</v>
      </c>
      <c r="G2685" s="129">
        <f>Community!H290</f>
        <v>0</v>
      </c>
      <c r="H2685" s="129">
        <f>Community!I290</f>
        <v>0</v>
      </c>
      <c r="I2685" s="129">
        <f>Community!J290</f>
        <v>0</v>
      </c>
      <c r="J2685" s="129">
        <f>Community!K290</f>
        <v>0</v>
      </c>
      <c r="K2685" s="129">
        <f>Community!L290</f>
        <v>0</v>
      </c>
      <c r="L2685" s="129">
        <f>Community!M290</f>
        <v>400000</v>
      </c>
      <c r="M2685" s="129">
        <f>Community!N290</f>
        <v>0</v>
      </c>
      <c r="N2685" s="129">
        <f>Community!O290</f>
        <v>0</v>
      </c>
      <c r="O2685" s="129">
        <f>Community!P290</f>
        <v>0</v>
      </c>
      <c r="P2685" s="123" t="str">
        <f t="shared" si="605"/>
        <v/>
      </c>
    </row>
    <row r="2686" spans="1:16" x14ac:dyDescent="0.2">
      <c r="A2686" s="119"/>
      <c r="B2686" s="120" t="s">
        <v>3065</v>
      </c>
      <c r="C2686" s="129">
        <f>Community!D291</f>
        <v>0</v>
      </c>
      <c r="D2686" s="129">
        <f>Community!E291</f>
        <v>0</v>
      </c>
      <c r="E2686" s="129">
        <f>Community!F291</f>
        <v>0</v>
      </c>
      <c r="F2686" s="129">
        <f>Community!G291</f>
        <v>0</v>
      </c>
      <c r="G2686" s="129">
        <f>Community!H291</f>
        <v>0</v>
      </c>
      <c r="H2686" s="129">
        <f>Community!I291</f>
        <v>0</v>
      </c>
      <c r="I2686" s="129">
        <f>Community!J291</f>
        <v>0</v>
      </c>
      <c r="J2686" s="129">
        <f>Community!K291</f>
        <v>0</v>
      </c>
      <c r="K2686" s="129">
        <f>Community!L291</f>
        <v>0</v>
      </c>
      <c r="L2686" s="129">
        <f>Community!M291</f>
        <v>500000</v>
      </c>
      <c r="M2686" s="129">
        <f>Community!N291</f>
        <v>600000</v>
      </c>
      <c r="N2686" s="129">
        <f>Community!O291</f>
        <v>0</v>
      </c>
      <c r="O2686" s="129">
        <f>Community!N291</f>
        <v>600000</v>
      </c>
      <c r="P2686" s="123" t="str">
        <f t="shared" si="605"/>
        <v/>
      </c>
    </row>
    <row r="2687" spans="1:16" x14ac:dyDescent="0.2">
      <c r="A2687" s="119" t="s">
        <v>1071</v>
      </c>
      <c r="B2687" s="120" t="s">
        <v>1072</v>
      </c>
      <c r="C2687" s="129">
        <f>Community!D292</f>
        <v>1200000</v>
      </c>
      <c r="D2687" s="129">
        <v>0</v>
      </c>
      <c r="E2687" s="129">
        <v>0</v>
      </c>
      <c r="F2687" s="129">
        <v>0</v>
      </c>
      <c r="G2687" s="129">
        <v>1200000</v>
      </c>
      <c r="H2687" s="129">
        <v>0</v>
      </c>
      <c r="I2687" s="129">
        <f>Community!J292</f>
        <v>-1200000</v>
      </c>
      <c r="J2687" s="129">
        <f>Community!K292</f>
        <v>0</v>
      </c>
      <c r="K2687" s="129">
        <f>Community!L292</f>
        <v>0</v>
      </c>
      <c r="L2687" s="129">
        <f>Community!M292</f>
        <v>0</v>
      </c>
      <c r="O2687" s="129">
        <f>Community!N292</f>
        <v>0</v>
      </c>
      <c r="P2687" s="123" t="str">
        <f t="shared" si="605"/>
        <v>420</v>
      </c>
    </row>
    <row r="2688" spans="1:16" x14ac:dyDescent="0.2">
      <c r="A2688" s="119"/>
      <c r="B2688" s="120"/>
      <c r="C2688" s="129"/>
      <c r="D2688" s="129"/>
      <c r="E2688" s="129"/>
      <c r="F2688" s="129"/>
      <c r="G2688" s="129"/>
      <c r="H2688" s="129"/>
      <c r="I2688" s="129">
        <f>Community!J293</f>
        <v>0</v>
      </c>
      <c r="J2688" s="129"/>
      <c r="K2688" s="129"/>
      <c r="L2688" s="129"/>
      <c r="O2688" s="129"/>
      <c r="P2688" s="123" t="str">
        <f t="shared" si="605"/>
        <v/>
      </c>
    </row>
    <row r="2689" spans="1:16" s="114" customFormat="1" ht="15" x14ac:dyDescent="0.25">
      <c r="A2689" s="118"/>
      <c r="B2689" s="117" t="s">
        <v>320</v>
      </c>
      <c r="C2689" s="128">
        <f>SUM(C2684:C2688)</f>
        <v>2100000</v>
      </c>
      <c r="D2689" s="128">
        <f t="shared" ref="D2689:O2689" si="616">SUM(D2684:D2688)</f>
        <v>-290187</v>
      </c>
      <c r="E2689" s="128">
        <f t="shared" si="616"/>
        <v>0</v>
      </c>
      <c r="F2689" s="128">
        <f t="shared" si="616"/>
        <v>-524054</v>
      </c>
      <c r="G2689" s="128">
        <f t="shared" si="616"/>
        <v>557054</v>
      </c>
      <c r="H2689" s="128">
        <f t="shared" si="616"/>
        <v>44.9</v>
      </c>
      <c r="I2689" s="128">
        <f t="shared" si="616"/>
        <v>-1385724</v>
      </c>
      <c r="J2689" s="128">
        <f t="shared" si="616"/>
        <v>714276</v>
      </c>
      <c r="K2689" s="128">
        <f t="shared" si="616"/>
        <v>0</v>
      </c>
      <c r="L2689" s="128">
        <f t="shared" si="616"/>
        <v>900000</v>
      </c>
      <c r="M2689" s="128">
        <f t="shared" si="616"/>
        <v>600000</v>
      </c>
      <c r="N2689" s="128">
        <f t="shared" si="616"/>
        <v>0</v>
      </c>
      <c r="O2689" s="128">
        <f t="shared" si="616"/>
        <v>600000</v>
      </c>
      <c r="P2689" s="123" t="str">
        <f t="shared" si="605"/>
        <v/>
      </c>
    </row>
    <row r="2690" spans="1:16" s="114" customFormat="1" ht="15" x14ac:dyDescent="0.25">
      <c r="A2690" s="118"/>
      <c r="B2690" s="117"/>
      <c r="C2690" s="128"/>
      <c r="D2690" s="128"/>
      <c r="E2690" s="128"/>
      <c r="F2690" s="128"/>
      <c r="G2690" s="128"/>
      <c r="H2690" s="128"/>
      <c r="I2690" s="129">
        <f>Community!J295</f>
        <v>0</v>
      </c>
      <c r="J2690" s="129"/>
      <c r="K2690" s="129"/>
      <c r="L2690" s="129"/>
      <c r="M2690" s="186"/>
      <c r="N2690" s="186"/>
      <c r="O2690" s="128"/>
      <c r="P2690" s="123" t="str">
        <f t="shared" si="605"/>
        <v/>
      </c>
    </row>
    <row r="2691" spans="1:16" s="114" customFormat="1" ht="15" x14ac:dyDescent="0.25">
      <c r="A2691" s="118"/>
      <c r="B2691" s="117" t="s">
        <v>1073</v>
      </c>
      <c r="C2691" s="128"/>
      <c r="D2691" s="128"/>
      <c r="E2691" s="128"/>
      <c r="F2691" s="128"/>
      <c r="G2691" s="128"/>
      <c r="H2691" s="128"/>
      <c r="I2691" s="129">
        <f>Community!J296</f>
        <v>0</v>
      </c>
      <c r="J2691" s="129"/>
      <c r="K2691" s="129"/>
      <c r="L2691" s="129"/>
      <c r="M2691" s="186"/>
      <c r="N2691" s="186"/>
      <c r="O2691" s="128"/>
      <c r="P2691" s="123" t="str">
        <f t="shared" si="605"/>
        <v/>
      </c>
    </row>
    <row r="2692" spans="1:16" s="114" customFormat="1" ht="15" x14ac:dyDescent="0.25">
      <c r="A2692" s="118"/>
      <c r="B2692" s="117" t="s">
        <v>9</v>
      </c>
      <c r="C2692" s="128"/>
      <c r="D2692" s="128"/>
      <c r="E2692" s="128"/>
      <c r="F2692" s="128"/>
      <c r="G2692" s="128"/>
      <c r="H2692" s="128"/>
      <c r="I2692" s="129">
        <f>Community!J297</f>
        <v>0</v>
      </c>
      <c r="J2692" s="129"/>
      <c r="K2692" s="129"/>
      <c r="L2692" s="129"/>
      <c r="M2692" s="186"/>
      <c r="N2692" s="186"/>
      <c r="O2692" s="128"/>
      <c r="P2692" s="123" t="str">
        <f t="shared" si="605"/>
        <v/>
      </c>
    </row>
    <row r="2693" spans="1:16" s="114" customFormat="1" ht="15" x14ac:dyDescent="0.25">
      <c r="A2693" s="118"/>
      <c r="B2693" s="117" t="s">
        <v>10</v>
      </c>
      <c r="C2693" s="128"/>
      <c r="D2693" s="128"/>
      <c r="E2693" s="128"/>
      <c r="F2693" s="128"/>
      <c r="G2693" s="128"/>
      <c r="H2693" s="128"/>
      <c r="I2693" s="129">
        <f>Community!J298</f>
        <v>0</v>
      </c>
      <c r="J2693" s="129"/>
      <c r="K2693" s="129"/>
      <c r="L2693" s="129"/>
      <c r="M2693" s="186"/>
      <c r="N2693" s="186"/>
      <c r="O2693" s="128"/>
      <c r="P2693" s="123" t="str">
        <f t="shared" si="605"/>
        <v/>
      </c>
    </row>
    <row r="2694" spans="1:16" s="114" customFormat="1" ht="15" x14ac:dyDescent="0.25">
      <c r="A2694" s="118"/>
      <c r="B2694" s="117" t="s">
        <v>22</v>
      </c>
      <c r="C2694" s="128"/>
      <c r="D2694" s="128"/>
      <c r="E2694" s="128"/>
      <c r="F2694" s="128"/>
      <c r="G2694" s="128"/>
      <c r="H2694" s="128"/>
      <c r="I2694" s="129">
        <f>Community!J299</f>
        <v>0</v>
      </c>
      <c r="J2694" s="129"/>
      <c r="K2694" s="129"/>
      <c r="L2694" s="129"/>
      <c r="M2694" s="186"/>
      <c r="N2694" s="186"/>
      <c r="O2694" s="128"/>
      <c r="P2694" s="123" t="str">
        <f t="shared" si="605"/>
        <v/>
      </c>
    </row>
    <row r="2695" spans="1:16" x14ac:dyDescent="0.2">
      <c r="A2695" s="119"/>
      <c r="B2695" s="120"/>
      <c r="C2695" s="129"/>
      <c r="D2695" s="129"/>
      <c r="E2695" s="129"/>
      <c r="F2695" s="129"/>
      <c r="G2695" s="129"/>
      <c r="H2695" s="129"/>
      <c r="I2695" s="129">
        <f>Community!J300</f>
        <v>0</v>
      </c>
      <c r="J2695" s="129"/>
      <c r="K2695" s="129"/>
      <c r="L2695" s="129"/>
      <c r="O2695" s="129"/>
      <c r="P2695" s="123" t="str">
        <f t="shared" ref="P2695:P2758" si="617">MID(A2695,6,3)</f>
        <v/>
      </c>
    </row>
    <row r="2696" spans="1:16" x14ac:dyDescent="0.2">
      <c r="A2696" s="119" t="s">
        <v>1074</v>
      </c>
      <c r="B2696" s="120" t="s">
        <v>24</v>
      </c>
      <c r="C2696" s="129">
        <f>Community!D301</f>
        <v>-1200007</v>
      </c>
      <c r="D2696" s="129">
        <f>Community!E301</f>
        <v>-290187</v>
      </c>
      <c r="E2696" s="129">
        <f>Community!F301</f>
        <v>0</v>
      </c>
      <c r="F2696" s="129">
        <f>Community!G301</f>
        <v>-524054</v>
      </c>
      <c r="G2696" s="129">
        <f>Community!H301</f>
        <v>-642946</v>
      </c>
      <c r="H2696" s="129">
        <f>Community!I301</f>
        <v>44.9</v>
      </c>
      <c r="I2696" s="129">
        <f>Community!J301</f>
        <v>0</v>
      </c>
      <c r="J2696" s="129">
        <f>Community!K301</f>
        <v>-1200007</v>
      </c>
      <c r="K2696" s="129">
        <f>Community!L301</f>
        <v>-1254007.3149999999</v>
      </c>
      <c r="L2696" s="129">
        <f>Community!M301</f>
        <v>-1314199.66612</v>
      </c>
      <c r="M2696" s="129">
        <f>Community!N301</f>
        <v>-1374652.85076152</v>
      </c>
      <c r="N2696" s="129">
        <f>Community!O301</f>
        <v>0</v>
      </c>
      <c r="O2696" s="129">
        <f>Community!N301</f>
        <v>-1374652.85076152</v>
      </c>
      <c r="P2696" s="123" t="str">
        <f t="shared" si="617"/>
        <v>040</v>
      </c>
    </row>
    <row r="2697" spans="1:16" x14ac:dyDescent="0.2">
      <c r="A2697" s="119" t="s">
        <v>1075</v>
      </c>
      <c r="B2697" s="120" t="s">
        <v>26</v>
      </c>
      <c r="C2697" s="129">
        <v>0</v>
      </c>
      <c r="D2697" s="129">
        <v>0</v>
      </c>
      <c r="E2697" s="129">
        <v>0</v>
      </c>
      <c r="F2697" s="129">
        <v>-1814931.33</v>
      </c>
      <c r="G2697" s="129">
        <v>1814931.33</v>
      </c>
      <c r="H2697" s="129">
        <v>0</v>
      </c>
      <c r="I2697" s="129">
        <f>Community!J302</f>
        <v>0</v>
      </c>
      <c r="J2697" s="129">
        <f>Community!K302</f>
        <v>0</v>
      </c>
      <c r="K2697" s="129">
        <f>Community!L302</f>
        <v>0</v>
      </c>
      <c r="L2697" s="129">
        <f>Community!M302</f>
        <v>0</v>
      </c>
      <c r="O2697" s="129">
        <f>Community!N302</f>
        <v>0</v>
      </c>
      <c r="P2697" s="123" t="str">
        <f t="shared" si="617"/>
        <v>040</v>
      </c>
    </row>
    <row r="2698" spans="1:16" x14ac:dyDescent="0.2">
      <c r="A2698" s="119"/>
      <c r="B2698" s="120"/>
      <c r="C2698" s="129"/>
      <c r="D2698" s="129"/>
      <c r="E2698" s="129"/>
      <c r="F2698" s="129"/>
      <c r="G2698" s="129"/>
      <c r="H2698" s="129"/>
      <c r="I2698" s="129">
        <f>Community!J303</f>
        <v>0</v>
      </c>
      <c r="J2698" s="129"/>
      <c r="K2698" s="129"/>
      <c r="L2698" s="129"/>
      <c r="O2698" s="129"/>
      <c r="P2698" s="123" t="str">
        <f t="shared" si="617"/>
        <v/>
      </c>
    </row>
    <row r="2699" spans="1:16" s="114" customFormat="1" ht="15" x14ac:dyDescent="0.25">
      <c r="A2699" s="118"/>
      <c r="B2699" s="117" t="s">
        <v>28</v>
      </c>
      <c r="C2699" s="128">
        <f>SUM(C2696:C2698)</f>
        <v>-1200007</v>
      </c>
      <c r="D2699" s="128">
        <f t="shared" ref="D2699:O2699" si="618">SUM(D2696:D2698)</f>
        <v>-290187</v>
      </c>
      <c r="E2699" s="128">
        <f t="shared" si="618"/>
        <v>0</v>
      </c>
      <c r="F2699" s="128">
        <f t="shared" si="618"/>
        <v>-2338985.33</v>
      </c>
      <c r="G2699" s="128">
        <f t="shared" si="618"/>
        <v>1171985.33</v>
      </c>
      <c r="H2699" s="128">
        <f t="shared" si="618"/>
        <v>44.9</v>
      </c>
      <c r="I2699" s="128">
        <f t="shared" si="618"/>
        <v>0</v>
      </c>
      <c r="J2699" s="128">
        <f t="shared" si="618"/>
        <v>-1200007</v>
      </c>
      <c r="K2699" s="128">
        <f t="shared" si="618"/>
        <v>-1254007.3149999999</v>
      </c>
      <c r="L2699" s="128">
        <f t="shared" si="618"/>
        <v>-1314199.66612</v>
      </c>
      <c r="M2699" s="128">
        <f t="shared" si="618"/>
        <v>-1374652.85076152</v>
      </c>
      <c r="N2699" s="128">
        <f t="shared" si="618"/>
        <v>0</v>
      </c>
      <c r="O2699" s="128">
        <f t="shared" si="618"/>
        <v>-1374652.85076152</v>
      </c>
      <c r="P2699" s="123" t="str">
        <f t="shared" si="617"/>
        <v/>
      </c>
    </row>
    <row r="2700" spans="1:16" s="114" customFormat="1" ht="15" x14ac:dyDescent="0.25">
      <c r="A2700" s="118"/>
      <c r="B2700" s="117"/>
      <c r="C2700" s="128"/>
      <c r="D2700" s="128"/>
      <c r="E2700" s="128"/>
      <c r="F2700" s="128"/>
      <c r="G2700" s="128"/>
      <c r="H2700" s="128"/>
      <c r="I2700" s="129">
        <f>Community!J305</f>
        <v>0</v>
      </c>
      <c r="J2700" s="129"/>
      <c r="K2700" s="129"/>
      <c r="L2700" s="129"/>
      <c r="M2700" s="186"/>
      <c r="N2700" s="186"/>
      <c r="O2700" s="128"/>
      <c r="P2700" s="123" t="str">
        <f t="shared" si="617"/>
        <v/>
      </c>
    </row>
    <row r="2701" spans="1:16" s="114" customFormat="1" ht="15" x14ac:dyDescent="0.25">
      <c r="A2701" s="118"/>
      <c r="B2701" s="117" t="s">
        <v>40</v>
      </c>
      <c r="C2701" s="128">
        <f>C2699</f>
        <v>-1200007</v>
      </c>
      <c r="D2701" s="128">
        <f t="shared" ref="D2701:O2701" si="619">D2699</f>
        <v>-290187</v>
      </c>
      <c r="E2701" s="128">
        <f t="shared" si="619"/>
        <v>0</v>
      </c>
      <c r="F2701" s="128">
        <f t="shared" si="619"/>
        <v>-2338985.33</v>
      </c>
      <c r="G2701" s="128">
        <f t="shared" si="619"/>
        <v>1171985.33</v>
      </c>
      <c r="H2701" s="128">
        <f t="shared" si="619"/>
        <v>44.9</v>
      </c>
      <c r="I2701" s="128">
        <f t="shared" si="619"/>
        <v>0</v>
      </c>
      <c r="J2701" s="128">
        <f t="shared" si="619"/>
        <v>-1200007</v>
      </c>
      <c r="K2701" s="128">
        <f t="shared" si="619"/>
        <v>-1254007.3149999999</v>
      </c>
      <c r="L2701" s="128">
        <f t="shared" si="619"/>
        <v>-1314199.66612</v>
      </c>
      <c r="M2701" s="128">
        <f t="shared" si="619"/>
        <v>-1374652.85076152</v>
      </c>
      <c r="N2701" s="128">
        <f t="shared" si="619"/>
        <v>0</v>
      </c>
      <c r="O2701" s="128">
        <f t="shared" si="619"/>
        <v>-1374652.85076152</v>
      </c>
      <c r="P2701" s="123" t="str">
        <f t="shared" si="617"/>
        <v/>
      </c>
    </row>
    <row r="2702" spans="1:16" x14ac:dyDescent="0.2">
      <c r="A2702" s="119"/>
      <c r="B2702" s="120"/>
      <c r="C2702" s="129"/>
      <c r="D2702" s="129"/>
      <c r="E2702" s="129"/>
      <c r="F2702" s="129"/>
      <c r="G2702" s="129"/>
      <c r="H2702" s="129"/>
      <c r="I2702" s="129">
        <f>Community!J307</f>
        <v>0</v>
      </c>
      <c r="J2702" s="129"/>
      <c r="K2702" s="129"/>
      <c r="L2702" s="129"/>
      <c r="O2702" s="129"/>
      <c r="P2702" s="123" t="str">
        <f t="shared" si="617"/>
        <v/>
      </c>
    </row>
    <row r="2703" spans="1:16" s="114" customFormat="1" ht="15" x14ac:dyDescent="0.25">
      <c r="A2703" s="118"/>
      <c r="B2703" s="117" t="s">
        <v>41</v>
      </c>
      <c r="C2703" s="128"/>
      <c r="D2703" s="128"/>
      <c r="E2703" s="128"/>
      <c r="F2703" s="128"/>
      <c r="G2703" s="128"/>
      <c r="H2703" s="128"/>
      <c r="I2703" s="129">
        <f>Community!J308</f>
        <v>0</v>
      </c>
      <c r="J2703" s="129"/>
      <c r="K2703" s="129"/>
      <c r="L2703" s="129"/>
      <c r="M2703" s="186"/>
      <c r="N2703" s="186"/>
      <c r="O2703" s="128"/>
      <c r="P2703" s="123" t="str">
        <f t="shared" si="617"/>
        <v/>
      </c>
    </row>
    <row r="2704" spans="1:16" s="114" customFormat="1" ht="15" x14ac:dyDescent="0.25">
      <c r="A2704" s="118"/>
      <c r="B2704" s="117" t="s">
        <v>91</v>
      </c>
      <c r="C2704" s="128"/>
      <c r="D2704" s="128"/>
      <c r="E2704" s="128"/>
      <c r="F2704" s="128"/>
      <c r="G2704" s="128"/>
      <c r="H2704" s="128"/>
      <c r="I2704" s="129">
        <f>Community!J309</f>
        <v>0</v>
      </c>
      <c r="J2704" s="129"/>
      <c r="K2704" s="129"/>
      <c r="L2704" s="129"/>
      <c r="M2704" s="186"/>
      <c r="N2704" s="186"/>
      <c r="O2704" s="128"/>
      <c r="P2704" s="123" t="str">
        <f t="shared" si="617"/>
        <v/>
      </c>
    </row>
    <row r="2705" spans="1:16" x14ac:dyDescent="0.2">
      <c r="A2705" s="119"/>
      <c r="B2705" s="120"/>
      <c r="C2705" s="129"/>
      <c r="D2705" s="129"/>
      <c r="E2705" s="129"/>
      <c r="F2705" s="129"/>
      <c r="G2705" s="129"/>
      <c r="H2705" s="129"/>
      <c r="I2705" s="129">
        <f>Community!J310</f>
        <v>0</v>
      </c>
      <c r="J2705" s="129"/>
      <c r="K2705" s="129"/>
      <c r="L2705" s="129"/>
      <c r="O2705" s="129"/>
      <c r="P2705" s="123" t="str">
        <f t="shared" si="617"/>
        <v/>
      </c>
    </row>
    <row r="2706" spans="1:16" x14ac:dyDescent="0.2">
      <c r="A2706" s="119" t="s">
        <v>1076</v>
      </c>
      <c r="B2706" s="120" t="s">
        <v>92</v>
      </c>
      <c r="C2706" s="129">
        <v>-7065504</v>
      </c>
      <c r="D2706" s="129">
        <v>-667782.97</v>
      </c>
      <c r="E2706" s="129">
        <v>0</v>
      </c>
      <c r="F2706" s="129">
        <v>-2221218.98</v>
      </c>
      <c r="G2706" s="129">
        <v>-4844285.0199999996</v>
      </c>
      <c r="H2706" s="129">
        <v>31.43</v>
      </c>
      <c r="I2706" s="129">
        <f>Community!J311</f>
        <v>0</v>
      </c>
      <c r="J2706" s="129">
        <f>Community!K311</f>
        <v>-7065504</v>
      </c>
      <c r="K2706" s="129">
        <f>Community!L311</f>
        <v>-7383451.6799999997</v>
      </c>
      <c r="L2706" s="129">
        <f>Community!M311</f>
        <v>-7723090.4572799997</v>
      </c>
      <c r="O2706" s="129">
        <f>Community!N311</f>
        <v>-8078352.6183148799</v>
      </c>
      <c r="P2706" s="123" t="str">
        <f t="shared" si="617"/>
        <v>482</v>
      </c>
    </row>
    <row r="2707" spans="1:16" x14ac:dyDescent="0.2">
      <c r="A2707" s="119"/>
      <c r="B2707" s="120"/>
      <c r="C2707" s="129"/>
      <c r="D2707" s="129"/>
      <c r="E2707" s="129"/>
      <c r="F2707" s="129"/>
      <c r="G2707" s="129"/>
      <c r="H2707" s="129"/>
      <c r="I2707" s="129">
        <f>Community!J312</f>
        <v>0</v>
      </c>
      <c r="J2707" s="129"/>
      <c r="K2707" s="129"/>
      <c r="L2707" s="129"/>
      <c r="O2707" s="129"/>
      <c r="P2707" s="123" t="str">
        <f t="shared" si="617"/>
        <v/>
      </c>
    </row>
    <row r="2708" spans="1:16" s="114" customFormat="1" ht="15" x14ac:dyDescent="0.25">
      <c r="A2708" s="118"/>
      <c r="B2708" s="117" t="s">
        <v>93</v>
      </c>
      <c r="C2708" s="128">
        <f>SUM(C2706:C2707)</f>
        <v>-7065504</v>
      </c>
      <c r="D2708" s="128">
        <f t="shared" ref="D2708:O2708" si="620">SUM(D2706:D2707)</f>
        <v>-667782.97</v>
      </c>
      <c r="E2708" s="128">
        <f t="shared" si="620"/>
        <v>0</v>
      </c>
      <c r="F2708" s="128">
        <f t="shared" si="620"/>
        <v>-2221218.98</v>
      </c>
      <c r="G2708" s="128">
        <f t="shared" si="620"/>
        <v>-4844285.0199999996</v>
      </c>
      <c r="H2708" s="128">
        <f t="shared" si="620"/>
        <v>31.43</v>
      </c>
      <c r="I2708" s="128">
        <f t="shared" si="620"/>
        <v>0</v>
      </c>
      <c r="J2708" s="128">
        <f t="shared" si="620"/>
        <v>-7065504</v>
      </c>
      <c r="K2708" s="128">
        <f t="shared" si="620"/>
        <v>-7383451.6799999997</v>
      </c>
      <c r="L2708" s="128">
        <f t="shared" si="620"/>
        <v>-7723090.4572799997</v>
      </c>
      <c r="M2708" s="128">
        <f t="shared" si="620"/>
        <v>0</v>
      </c>
      <c r="N2708" s="128">
        <f t="shared" si="620"/>
        <v>0</v>
      </c>
      <c r="O2708" s="128">
        <f t="shared" si="620"/>
        <v>-8078352.6183148799</v>
      </c>
      <c r="P2708" s="123" t="str">
        <f t="shared" si="617"/>
        <v/>
      </c>
    </row>
    <row r="2709" spans="1:16" s="114" customFormat="1" ht="15" x14ac:dyDescent="0.25">
      <c r="A2709" s="118"/>
      <c r="B2709" s="117"/>
      <c r="C2709" s="128"/>
      <c r="D2709" s="128"/>
      <c r="E2709" s="128"/>
      <c r="F2709" s="128"/>
      <c r="G2709" s="128"/>
      <c r="H2709" s="128"/>
      <c r="I2709" s="129">
        <f>Community!J314</f>
        <v>0</v>
      </c>
      <c r="J2709" s="129"/>
      <c r="K2709" s="129"/>
      <c r="L2709" s="129"/>
      <c r="M2709" s="186"/>
      <c r="N2709" s="186"/>
      <c r="O2709" s="128"/>
      <c r="P2709" s="123" t="str">
        <f t="shared" si="617"/>
        <v/>
      </c>
    </row>
    <row r="2710" spans="1:16" s="114" customFormat="1" ht="15" x14ac:dyDescent="0.25">
      <c r="A2710" s="118"/>
      <c r="B2710" s="117" t="s">
        <v>94</v>
      </c>
      <c r="C2710" s="128">
        <f>C2708</f>
        <v>-7065504</v>
      </c>
      <c r="D2710" s="128">
        <f t="shared" ref="D2710:O2710" si="621">D2708</f>
        <v>-667782.97</v>
      </c>
      <c r="E2710" s="128">
        <f t="shared" si="621"/>
        <v>0</v>
      </c>
      <c r="F2710" s="128">
        <f t="shared" si="621"/>
        <v>-2221218.98</v>
      </c>
      <c r="G2710" s="128">
        <f t="shared" si="621"/>
        <v>-4844285.0199999996</v>
      </c>
      <c r="H2710" s="128">
        <f t="shared" si="621"/>
        <v>31.43</v>
      </c>
      <c r="I2710" s="128">
        <f t="shared" si="621"/>
        <v>0</v>
      </c>
      <c r="J2710" s="128">
        <f t="shared" si="621"/>
        <v>-7065504</v>
      </c>
      <c r="K2710" s="128">
        <f t="shared" si="621"/>
        <v>-7383451.6799999997</v>
      </c>
      <c r="L2710" s="128">
        <f t="shared" si="621"/>
        <v>-7723090.4572799997</v>
      </c>
      <c r="M2710" s="128">
        <f t="shared" si="621"/>
        <v>0</v>
      </c>
      <c r="N2710" s="128">
        <f t="shared" si="621"/>
        <v>0</v>
      </c>
      <c r="O2710" s="128">
        <f t="shared" si="621"/>
        <v>-8078352.6183148799</v>
      </c>
      <c r="P2710" s="123" t="str">
        <f t="shared" si="617"/>
        <v/>
      </c>
    </row>
    <row r="2711" spans="1:16" s="114" customFormat="1" ht="15" x14ac:dyDescent="0.25">
      <c r="A2711" s="118"/>
      <c r="B2711" s="117"/>
      <c r="C2711" s="128"/>
      <c r="D2711" s="128"/>
      <c r="E2711" s="128"/>
      <c r="F2711" s="128"/>
      <c r="G2711" s="128"/>
      <c r="H2711" s="128"/>
      <c r="I2711" s="129">
        <f>Community!J316</f>
        <v>0</v>
      </c>
      <c r="J2711" s="129"/>
      <c r="K2711" s="129"/>
      <c r="L2711" s="129"/>
      <c r="M2711" s="186"/>
      <c r="N2711" s="186"/>
      <c r="O2711" s="128"/>
      <c r="P2711" s="123" t="str">
        <f t="shared" si="617"/>
        <v/>
      </c>
    </row>
    <row r="2712" spans="1:16" s="114" customFormat="1" ht="15" x14ac:dyDescent="0.25">
      <c r="A2712" s="118"/>
      <c r="B2712" s="117" t="s">
        <v>95</v>
      </c>
      <c r="C2712" s="128">
        <f>C2701+C2710</f>
        <v>-8265511</v>
      </c>
      <c r="D2712" s="128">
        <f t="shared" ref="D2712:O2712" si="622">D2701+D2710</f>
        <v>-957969.97</v>
      </c>
      <c r="E2712" s="128">
        <f t="shared" si="622"/>
        <v>0</v>
      </c>
      <c r="F2712" s="128">
        <f t="shared" si="622"/>
        <v>-4560204.3100000005</v>
      </c>
      <c r="G2712" s="128">
        <f t="shared" si="622"/>
        <v>-3672299.6899999995</v>
      </c>
      <c r="H2712" s="128">
        <f t="shared" si="622"/>
        <v>76.33</v>
      </c>
      <c r="I2712" s="128">
        <f t="shared" si="622"/>
        <v>0</v>
      </c>
      <c r="J2712" s="128">
        <f t="shared" si="622"/>
        <v>-8265511</v>
      </c>
      <c r="K2712" s="128">
        <f t="shared" si="622"/>
        <v>-8637458.9949999992</v>
      </c>
      <c r="L2712" s="128">
        <f t="shared" si="622"/>
        <v>-9037290.123399999</v>
      </c>
      <c r="M2712" s="128">
        <f t="shared" si="622"/>
        <v>-1374652.85076152</v>
      </c>
      <c r="N2712" s="128">
        <f t="shared" si="622"/>
        <v>0</v>
      </c>
      <c r="O2712" s="128">
        <f t="shared" si="622"/>
        <v>-9453005.4690764006</v>
      </c>
      <c r="P2712" s="123" t="str">
        <f t="shared" si="617"/>
        <v/>
      </c>
    </row>
    <row r="2713" spans="1:16" s="114" customFormat="1" ht="15" x14ac:dyDescent="0.25">
      <c r="A2713" s="118"/>
      <c r="B2713" s="117"/>
      <c r="C2713" s="128"/>
      <c r="D2713" s="128"/>
      <c r="E2713" s="128"/>
      <c r="F2713" s="128"/>
      <c r="G2713" s="128"/>
      <c r="H2713" s="128"/>
      <c r="I2713" s="129">
        <f>Community!J318</f>
        <v>0</v>
      </c>
      <c r="J2713" s="129"/>
      <c r="K2713" s="129"/>
      <c r="L2713" s="129"/>
      <c r="M2713" s="186"/>
      <c r="N2713" s="186"/>
      <c r="O2713" s="128"/>
      <c r="P2713" s="123" t="str">
        <f t="shared" si="617"/>
        <v/>
      </c>
    </row>
    <row r="2714" spans="1:16" s="114" customFormat="1" ht="15" x14ac:dyDescent="0.25">
      <c r="A2714" s="118"/>
      <c r="B2714" s="117" t="s">
        <v>96</v>
      </c>
      <c r="C2714" s="128"/>
      <c r="D2714" s="128"/>
      <c r="E2714" s="128"/>
      <c r="F2714" s="128"/>
      <c r="G2714" s="128"/>
      <c r="H2714" s="128"/>
      <c r="I2714" s="129">
        <f>Community!J319</f>
        <v>0</v>
      </c>
      <c r="J2714" s="129"/>
      <c r="K2714" s="129"/>
      <c r="L2714" s="129"/>
      <c r="M2714" s="186"/>
      <c r="N2714" s="186"/>
      <c r="O2714" s="128"/>
      <c r="P2714" s="123" t="str">
        <f t="shared" si="617"/>
        <v/>
      </c>
    </row>
    <row r="2715" spans="1:16" s="114" customFormat="1" ht="15" x14ac:dyDescent="0.25">
      <c r="A2715" s="118"/>
      <c r="B2715" s="117" t="s">
        <v>97</v>
      </c>
      <c r="C2715" s="128"/>
      <c r="D2715" s="128"/>
      <c r="E2715" s="128"/>
      <c r="F2715" s="128"/>
      <c r="G2715" s="128"/>
      <c r="H2715" s="128"/>
      <c r="I2715" s="129">
        <f>Community!J320</f>
        <v>0</v>
      </c>
      <c r="J2715" s="129"/>
      <c r="K2715" s="129"/>
      <c r="L2715" s="129"/>
      <c r="M2715" s="186"/>
      <c r="N2715" s="186"/>
      <c r="O2715" s="128"/>
      <c r="P2715" s="123" t="str">
        <f t="shared" si="617"/>
        <v/>
      </c>
    </row>
    <row r="2716" spans="1:16" s="114" customFormat="1" ht="15" x14ac:dyDescent="0.25">
      <c r="A2716" s="118"/>
      <c r="B2716" s="117" t="s">
        <v>148</v>
      </c>
      <c r="C2716" s="128"/>
      <c r="D2716" s="128"/>
      <c r="E2716" s="128"/>
      <c r="F2716" s="128"/>
      <c r="G2716" s="128"/>
      <c r="H2716" s="128"/>
      <c r="I2716" s="129">
        <f>Community!J321</f>
        <v>0</v>
      </c>
      <c r="J2716" s="129"/>
      <c r="K2716" s="129"/>
      <c r="L2716" s="129"/>
      <c r="M2716" s="186"/>
      <c r="N2716" s="186"/>
      <c r="O2716" s="128"/>
      <c r="P2716" s="123" t="str">
        <f t="shared" si="617"/>
        <v/>
      </c>
    </row>
    <row r="2717" spans="1:16" s="114" customFormat="1" ht="15" x14ac:dyDescent="0.25">
      <c r="A2717" s="118"/>
      <c r="B2717" s="117" t="s">
        <v>149</v>
      </c>
      <c r="C2717" s="128"/>
      <c r="D2717" s="128"/>
      <c r="E2717" s="128"/>
      <c r="F2717" s="128"/>
      <c r="G2717" s="128"/>
      <c r="H2717" s="128"/>
      <c r="I2717" s="129">
        <f>Community!J322</f>
        <v>0</v>
      </c>
      <c r="J2717" s="129"/>
      <c r="K2717" s="129"/>
      <c r="L2717" s="129"/>
      <c r="M2717" s="186"/>
      <c r="N2717" s="186"/>
      <c r="O2717" s="128"/>
      <c r="P2717" s="123" t="str">
        <f t="shared" si="617"/>
        <v/>
      </c>
    </row>
    <row r="2718" spans="1:16" s="114" customFormat="1" ht="15" x14ac:dyDescent="0.25">
      <c r="A2718" s="118"/>
      <c r="B2718" s="117"/>
      <c r="C2718" s="128"/>
      <c r="D2718" s="128"/>
      <c r="E2718" s="128"/>
      <c r="F2718" s="128"/>
      <c r="G2718" s="128"/>
      <c r="H2718" s="128"/>
      <c r="I2718" s="129">
        <f>Community!J323</f>
        <v>0</v>
      </c>
      <c r="J2718" s="129"/>
      <c r="K2718" s="129"/>
      <c r="L2718" s="129"/>
      <c r="M2718" s="186"/>
      <c r="N2718" s="186"/>
      <c r="O2718" s="128"/>
      <c r="P2718" s="123" t="str">
        <f t="shared" si="617"/>
        <v/>
      </c>
    </row>
    <row r="2719" spans="1:16" x14ac:dyDescent="0.2">
      <c r="A2719" s="119" t="s">
        <v>1077</v>
      </c>
      <c r="B2719" s="120" t="s">
        <v>150</v>
      </c>
      <c r="C2719" s="129">
        <v>7800438</v>
      </c>
      <c r="D2719" s="129">
        <v>773148.57</v>
      </c>
      <c r="E2719" s="129">
        <v>0</v>
      </c>
      <c r="F2719" s="129">
        <v>4523817.3099999996</v>
      </c>
      <c r="G2719" s="129">
        <v>3276620.69</v>
      </c>
      <c r="H2719" s="129">
        <v>57.99</v>
      </c>
      <c r="I2719" s="129">
        <f>Community!J324</f>
        <v>0</v>
      </c>
      <c r="J2719" s="129">
        <f>Community!K324</f>
        <v>7800438</v>
      </c>
      <c r="K2719" s="129">
        <f>Community!L324</f>
        <v>8287965.375</v>
      </c>
      <c r="L2719" s="129">
        <f>Community!M324</f>
        <v>8868122.9512499999</v>
      </c>
      <c r="O2719" s="129">
        <f>Community!N324</f>
        <v>9488891.5578374993</v>
      </c>
      <c r="P2719" s="123" t="str">
        <f t="shared" si="617"/>
        <v>110</v>
      </c>
    </row>
    <row r="2720" spans="1:16" x14ac:dyDescent="0.2">
      <c r="A2720" s="119" t="s">
        <v>1078</v>
      </c>
      <c r="B2720" s="120" t="s">
        <v>151</v>
      </c>
      <c r="C2720" s="129">
        <v>364506</v>
      </c>
      <c r="D2720" s="129">
        <v>241264.53</v>
      </c>
      <c r="E2720" s="129">
        <v>0</v>
      </c>
      <c r="F2720" s="129">
        <v>680437.78</v>
      </c>
      <c r="G2720" s="129">
        <v>-315931.78000000003</v>
      </c>
      <c r="H2720" s="129">
        <v>186.67</v>
      </c>
      <c r="I2720" s="129">
        <f>Community!J325</f>
        <v>-144361.65999999992</v>
      </c>
      <c r="J2720" s="129">
        <f>Community!K325</f>
        <v>220144.34000000008</v>
      </c>
      <c r="K2720" s="129">
        <f>Community!L325</f>
        <v>233903.36125000007</v>
      </c>
      <c r="L2720" s="129">
        <f>Community!M325</f>
        <v>250276.59653750007</v>
      </c>
      <c r="O2720" s="129">
        <f>Community!N325</f>
        <v>267795.95829512505</v>
      </c>
      <c r="P2720" s="123" t="str">
        <f t="shared" si="617"/>
        <v>110</v>
      </c>
    </row>
    <row r="2721" spans="1:16" x14ac:dyDescent="0.2">
      <c r="A2721" s="119" t="s">
        <v>1079</v>
      </c>
      <c r="B2721" s="120" t="s">
        <v>152</v>
      </c>
      <c r="C2721" s="129">
        <v>136800</v>
      </c>
      <c r="D2721" s="129">
        <v>17266</v>
      </c>
      <c r="E2721" s="129">
        <v>0</v>
      </c>
      <c r="F2721" s="129">
        <v>103596</v>
      </c>
      <c r="G2721" s="129">
        <v>33204</v>
      </c>
      <c r="H2721" s="129">
        <v>75.72</v>
      </c>
      <c r="I2721" s="129">
        <f>Community!J326</f>
        <v>0</v>
      </c>
      <c r="J2721" s="129">
        <f>Community!K326</f>
        <v>136800</v>
      </c>
      <c r="K2721" s="129">
        <f>Community!L326</f>
        <v>145350</v>
      </c>
      <c r="L2721" s="129">
        <f>Community!M326</f>
        <v>155524.5</v>
      </c>
      <c r="O2721" s="129">
        <f>Community!N326</f>
        <v>166411.215</v>
      </c>
      <c r="P2721" s="123" t="str">
        <f t="shared" si="617"/>
        <v>110</v>
      </c>
    </row>
    <row r="2722" spans="1:16" x14ac:dyDescent="0.2">
      <c r="A2722" s="119" t="s">
        <v>1080</v>
      </c>
      <c r="B2722" s="120" t="s">
        <v>153</v>
      </c>
      <c r="C2722" s="129">
        <v>0</v>
      </c>
      <c r="D2722" s="129">
        <v>5446.57</v>
      </c>
      <c r="E2722" s="129">
        <v>0</v>
      </c>
      <c r="F2722" s="129">
        <v>32679.42</v>
      </c>
      <c r="G2722" s="129">
        <v>-32679.42</v>
      </c>
      <c r="H2722" s="129">
        <v>0</v>
      </c>
      <c r="I2722" s="129">
        <f>Community!J327</f>
        <v>65358.84</v>
      </c>
      <c r="J2722" s="129">
        <f>Community!K327</f>
        <v>65358.84</v>
      </c>
      <c r="K2722" s="129">
        <f>Community!L327</f>
        <v>69443.767500000002</v>
      </c>
      <c r="L2722" s="129">
        <f>Community!M327</f>
        <v>74304.831225000002</v>
      </c>
      <c r="O2722" s="129">
        <f>Community!N327</f>
        <v>79506.169410750008</v>
      </c>
      <c r="P2722" s="123" t="str">
        <f t="shared" si="617"/>
        <v>110</v>
      </c>
    </row>
    <row r="2723" spans="1:16" x14ac:dyDescent="0.2">
      <c r="A2723" s="119" t="s">
        <v>1081</v>
      </c>
      <c r="B2723" s="120" t="s">
        <v>155</v>
      </c>
      <c r="C2723" s="129">
        <v>258849</v>
      </c>
      <c r="D2723" s="129">
        <v>0</v>
      </c>
      <c r="E2723" s="129">
        <v>0</v>
      </c>
      <c r="F2723" s="129">
        <v>0</v>
      </c>
      <c r="G2723" s="129">
        <v>258849</v>
      </c>
      <c r="H2723" s="129">
        <v>0</v>
      </c>
      <c r="I2723" s="129">
        <f>Community!J328</f>
        <v>0</v>
      </c>
      <c r="J2723" s="129">
        <f>Community!K328</f>
        <v>258849</v>
      </c>
      <c r="K2723" s="129">
        <f>Community!L328</f>
        <v>275027.0625</v>
      </c>
      <c r="L2723" s="129">
        <f>Community!M328</f>
        <v>294278.95687499997</v>
      </c>
      <c r="O2723" s="129">
        <f>Community!N328</f>
        <v>314878.48385624995</v>
      </c>
      <c r="P2723" s="123" t="str">
        <f t="shared" si="617"/>
        <v>110</v>
      </c>
    </row>
    <row r="2724" spans="1:16" x14ac:dyDescent="0.2">
      <c r="A2724" s="119" t="s">
        <v>1082</v>
      </c>
      <c r="B2724" s="120" t="s">
        <v>156</v>
      </c>
      <c r="C2724" s="129">
        <v>241565</v>
      </c>
      <c r="D2724" s="129">
        <v>58869.45</v>
      </c>
      <c r="E2724" s="129">
        <v>0</v>
      </c>
      <c r="F2724" s="129">
        <v>349304.62</v>
      </c>
      <c r="G2724" s="129">
        <v>-107739.62</v>
      </c>
      <c r="H2724" s="129">
        <v>144.6</v>
      </c>
      <c r="I2724" s="129">
        <f>Community!J329</f>
        <v>457044.24</v>
      </c>
      <c r="J2724" s="129">
        <f>Community!K329</f>
        <v>698609.24</v>
      </c>
      <c r="K2724" s="129">
        <f>Community!L329</f>
        <v>742272.3175</v>
      </c>
      <c r="L2724" s="129">
        <f>Community!M329</f>
        <v>794231.37972500001</v>
      </c>
      <c r="O2724" s="129">
        <f>Community!N329</f>
        <v>849827.57630575006</v>
      </c>
      <c r="P2724" s="123" t="str">
        <f t="shared" si="617"/>
        <v>110</v>
      </c>
    </row>
    <row r="2725" spans="1:16" x14ac:dyDescent="0.2">
      <c r="A2725" s="119" t="s">
        <v>1083</v>
      </c>
      <c r="B2725" s="120" t="s">
        <v>157</v>
      </c>
      <c r="C2725" s="129">
        <v>258730</v>
      </c>
      <c r="D2725" s="129">
        <v>0</v>
      </c>
      <c r="E2725" s="129">
        <v>0</v>
      </c>
      <c r="F2725" s="129">
        <v>0</v>
      </c>
      <c r="G2725" s="129">
        <v>258730</v>
      </c>
      <c r="H2725" s="129">
        <v>0</v>
      </c>
      <c r="I2725" s="129">
        <f>Community!J330</f>
        <v>-258730</v>
      </c>
      <c r="J2725" s="129">
        <f>Community!K330</f>
        <v>0</v>
      </c>
      <c r="K2725" s="129">
        <f>Community!L330</f>
        <v>0</v>
      </c>
      <c r="L2725" s="129">
        <f>Community!M330</f>
        <v>0</v>
      </c>
      <c r="O2725" s="129">
        <f>Community!N330</f>
        <v>0</v>
      </c>
      <c r="P2725" s="123" t="str">
        <f t="shared" si="617"/>
        <v>110</v>
      </c>
    </row>
    <row r="2726" spans="1:16" x14ac:dyDescent="0.2">
      <c r="A2726" s="119" t="s">
        <v>1084</v>
      </c>
      <c r="B2726" s="120" t="s">
        <v>158</v>
      </c>
      <c r="C2726" s="129">
        <v>0</v>
      </c>
      <c r="D2726" s="129">
        <v>0</v>
      </c>
      <c r="E2726" s="129">
        <v>0</v>
      </c>
      <c r="F2726" s="129">
        <v>51951.46</v>
      </c>
      <c r="G2726" s="129">
        <v>-51951.46</v>
      </c>
      <c r="H2726" s="129">
        <v>0</v>
      </c>
      <c r="I2726" s="129">
        <f>Community!J331</f>
        <v>110000</v>
      </c>
      <c r="J2726" s="129">
        <f>Community!K331</f>
        <v>110000</v>
      </c>
      <c r="K2726" s="129">
        <f>Community!L331</f>
        <v>116875</v>
      </c>
      <c r="L2726" s="129">
        <f>Community!M331</f>
        <v>125056.25</v>
      </c>
      <c r="O2726" s="129">
        <f>Community!N331</f>
        <v>133810.1875</v>
      </c>
      <c r="P2726" s="123" t="str">
        <f t="shared" si="617"/>
        <v>110</v>
      </c>
    </row>
    <row r="2727" spans="1:16" x14ac:dyDescent="0.2">
      <c r="A2727" s="119" t="s">
        <v>1085</v>
      </c>
      <c r="B2727" s="120" t="s">
        <v>159</v>
      </c>
      <c r="C2727" s="129">
        <v>650036</v>
      </c>
      <c r="D2727" s="129">
        <v>0</v>
      </c>
      <c r="E2727" s="129">
        <v>0</v>
      </c>
      <c r="F2727" s="129">
        <v>0</v>
      </c>
      <c r="G2727" s="129">
        <v>650036</v>
      </c>
      <c r="H2727" s="129">
        <v>0</v>
      </c>
      <c r="I2727" s="129">
        <f>Community!J332</f>
        <v>0</v>
      </c>
      <c r="J2727" s="129">
        <f>Community!K332</f>
        <v>650036</v>
      </c>
      <c r="K2727" s="129">
        <f>Community!L332</f>
        <v>690663.25</v>
      </c>
      <c r="L2727" s="129">
        <f>Community!M332</f>
        <v>739009.67749999999</v>
      </c>
      <c r="O2727" s="129">
        <f>Community!N332</f>
        <v>790740.35492499999</v>
      </c>
      <c r="P2727" s="123" t="str">
        <f t="shared" si="617"/>
        <v>110</v>
      </c>
    </row>
    <row r="2728" spans="1:16" x14ac:dyDescent="0.2">
      <c r="A2728" s="119" t="s">
        <v>1086</v>
      </c>
      <c r="B2728" s="120" t="s">
        <v>160</v>
      </c>
      <c r="C2728" s="129">
        <v>115560</v>
      </c>
      <c r="D2728" s="129">
        <v>0</v>
      </c>
      <c r="E2728" s="129">
        <v>0</v>
      </c>
      <c r="F2728" s="129">
        <v>0</v>
      </c>
      <c r="G2728" s="129">
        <v>115560</v>
      </c>
      <c r="H2728" s="129">
        <v>0</v>
      </c>
      <c r="I2728" s="129">
        <f>Community!J333</f>
        <v>0</v>
      </c>
      <c r="J2728" s="129">
        <f>Community!K333</f>
        <v>115560</v>
      </c>
      <c r="K2728" s="129">
        <f>Community!L333</f>
        <v>122782.5</v>
      </c>
      <c r="L2728" s="129">
        <f>Community!M333</f>
        <v>131377.27499999999</v>
      </c>
      <c r="O2728" s="129">
        <f>Community!N333</f>
        <v>140573.68424999999</v>
      </c>
      <c r="P2728" s="123" t="str">
        <f t="shared" si="617"/>
        <v>110</v>
      </c>
    </row>
    <row r="2729" spans="1:16" x14ac:dyDescent="0.2">
      <c r="A2729" s="119" t="s">
        <v>1087</v>
      </c>
      <c r="B2729" s="120" t="s">
        <v>164</v>
      </c>
      <c r="C2729" s="129">
        <v>0</v>
      </c>
      <c r="D2729" s="129">
        <v>1307.7</v>
      </c>
      <c r="E2729" s="129">
        <v>0</v>
      </c>
      <c r="F2729" s="129">
        <v>7846.2</v>
      </c>
      <c r="G2729" s="129">
        <v>-7846.2</v>
      </c>
      <c r="H2729" s="129">
        <v>0</v>
      </c>
      <c r="I2729" s="129">
        <f>Community!J334</f>
        <v>15692.4</v>
      </c>
      <c r="J2729" s="129">
        <f>Community!K334</f>
        <v>15692.4</v>
      </c>
      <c r="K2729" s="129">
        <f>Community!L334</f>
        <v>16673.174999999999</v>
      </c>
      <c r="L2729" s="129">
        <f>Community!M334</f>
        <v>17840.29725</v>
      </c>
      <c r="O2729" s="129">
        <f>Community!N334</f>
        <v>19089.1180575</v>
      </c>
      <c r="P2729" s="123" t="str">
        <f t="shared" si="617"/>
        <v>110</v>
      </c>
    </row>
    <row r="2730" spans="1:16" x14ac:dyDescent="0.2">
      <c r="A2730" s="119"/>
      <c r="B2730" s="120"/>
      <c r="C2730" s="129"/>
      <c r="D2730" s="129"/>
      <c r="E2730" s="129"/>
      <c r="F2730" s="129"/>
      <c r="G2730" s="129"/>
      <c r="H2730" s="129"/>
      <c r="I2730" s="129">
        <f>Community!J335</f>
        <v>0</v>
      </c>
      <c r="J2730" s="129"/>
      <c r="K2730" s="129"/>
      <c r="L2730" s="129"/>
      <c r="O2730" s="129"/>
      <c r="P2730" s="123" t="str">
        <f t="shared" si="617"/>
        <v/>
      </c>
    </row>
    <row r="2731" spans="1:16" s="114" customFormat="1" ht="15" x14ac:dyDescent="0.25">
      <c r="A2731" s="118"/>
      <c r="B2731" s="117" t="s">
        <v>165</v>
      </c>
      <c r="C2731" s="128">
        <f>SUM(C2719:C2730)</f>
        <v>9826484</v>
      </c>
      <c r="D2731" s="128">
        <f t="shared" ref="D2731:O2731" si="623">SUM(D2719:D2730)</f>
        <v>1097302.8199999998</v>
      </c>
      <c r="E2731" s="128">
        <f t="shared" si="623"/>
        <v>0</v>
      </c>
      <c r="F2731" s="128">
        <f t="shared" si="623"/>
        <v>5749632.79</v>
      </c>
      <c r="G2731" s="128">
        <f t="shared" si="623"/>
        <v>4076851.21</v>
      </c>
      <c r="H2731" s="128">
        <f t="shared" si="623"/>
        <v>464.98</v>
      </c>
      <c r="I2731" s="128">
        <f t="shared" si="623"/>
        <v>245003.82000000004</v>
      </c>
      <c r="J2731" s="128">
        <f t="shared" si="623"/>
        <v>10071487.82</v>
      </c>
      <c r="K2731" s="128">
        <f t="shared" si="623"/>
        <v>10700955.808750002</v>
      </c>
      <c r="L2731" s="128">
        <f t="shared" si="623"/>
        <v>11450022.715362502</v>
      </c>
      <c r="M2731" s="128">
        <f t="shared" si="623"/>
        <v>0</v>
      </c>
      <c r="N2731" s="128">
        <f t="shared" si="623"/>
        <v>0</v>
      </c>
      <c r="O2731" s="128">
        <f t="shared" si="623"/>
        <v>12251524.305437876</v>
      </c>
      <c r="P2731" s="123" t="str">
        <f t="shared" si="617"/>
        <v/>
      </c>
    </row>
    <row r="2732" spans="1:16" s="114" customFormat="1" ht="15" x14ac:dyDescent="0.25">
      <c r="A2732" s="118"/>
      <c r="B2732" s="117"/>
      <c r="C2732" s="128"/>
      <c r="D2732" s="128"/>
      <c r="E2732" s="128"/>
      <c r="F2732" s="128"/>
      <c r="G2732" s="128"/>
      <c r="H2732" s="128"/>
      <c r="I2732" s="129">
        <f>Community!J337</f>
        <v>0</v>
      </c>
      <c r="J2732" s="129"/>
      <c r="K2732" s="129"/>
      <c r="L2732" s="129"/>
      <c r="M2732" s="186"/>
      <c r="N2732" s="186"/>
      <c r="O2732" s="128"/>
      <c r="P2732" s="123" t="str">
        <f t="shared" si="617"/>
        <v/>
      </c>
    </row>
    <row r="2733" spans="1:16" s="114" customFormat="1" ht="15" x14ac:dyDescent="0.25">
      <c r="A2733" s="118"/>
      <c r="B2733" s="117" t="s">
        <v>166</v>
      </c>
      <c r="C2733" s="128"/>
      <c r="D2733" s="128"/>
      <c r="E2733" s="128"/>
      <c r="F2733" s="128"/>
      <c r="G2733" s="128"/>
      <c r="H2733" s="128"/>
      <c r="I2733" s="129">
        <f>Community!J338</f>
        <v>0</v>
      </c>
      <c r="J2733" s="129"/>
      <c r="K2733" s="129"/>
      <c r="L2733" s="129"/>
      <c r="M2733" s="186"/>
      <c r="N2733" s="186"/>
      <c r="O2733" s="128"/>
      <c r="P2733" s="123" t="str">
        <f t="shared" si="617"/>
        <v/>
      </c>
    </row>
    <row r="2734" spans="1:16" x14ac:dyDescent="0.2">
      <c r="A2734" s="119"/>
      <c r="B2734" s="120"/>
      <c r="C2734" s="129"/>
      <c r="D2734" s="129"/>
      <c r="E2734" s="129"/>
      <c r="F2734" s="129"/>
      <c r="G2734" s="129"/>
      <c r="H2734" s="129"/>
      <c r="I2734" s="129">
        <f>Community!J339</f>
        <v>0</v>
      </c>
      <c r="J2734" s="129"/>
      <c r="K2734" s="129"/>
      <c r="L2734" s="129"/>
      <c r="O2734" s="129"/>
      <c r="P2734" s="123" t="str">
        <f t="shared" si="617"/>
        <v/>
      </c>
    </row>
    <row r="2735" spans="1:16" x14ac:dyDescent="0.2">
      <c r="A2735" s="119" t="s">
        <v>1088</v>
      </c>
      <c r="B2735" s="120" t="s">
        <v>167</v>
      </c>
      <c r="C2735" s="129">
        <v>2921</v>
      </c>
      <c r="D2735" s="129">
        <v>251.64</v>
      </c>
      <c r="E2735" s="129">
        <v>0</v>
      </c>
      <c r="F2735" s="129">
        <v>1463.24</v>
      </c>
      <c r="G2735" s="129">
        <v>1457.76</v>
      </c>
      <c r="H2735" s="129">
        <v>50.09</v>
      </c>
      <c r="I2735" s="129">
        <f>Community!J340</f>
        <v>0</v>
      </c>
      <c r="J2735" s="129">
        <f>Community!K340</f>
        <v>2921</v>
      </c>
      <c r="K2735" s="129">
        <f>Community!L340</f>
        <v>3103.5625</v>
      </c>
      <c r="L2735" s="129">
        <f>Community!M340</f>
        <v>3320.8118749999999</v>
      </c>
      <c r="O2735" s="129">
        <f>Community!N340</f>
        <v>3553.2687062499999</v>
      </c>
      <c r="P2735" s="123" t="str">
        <f t="shared" si="617"/>
        <v>130</v>
      </c>
    </row>
    <row r="2736" spans="1:16" x14ac:dyDescent="0.2">
      <c r="A2736" s="119" t="s">
        <v>1089</v>
      </c>
      <c r="B2736" s="120" t="s">
        <v>168</v>
      </c>
      <c r="C2736" s="129">
        <v>1401613</v>
      </c>
      <c r="D2736" s="129">
        <v>67974.06</v>
      </c>
      <c r="E2736" s="129">
        <v>0</v>
      </c>
      <c r="F2736" s="129">
        <v>406267.31</v>
      </c>
      <c r="G2736" s="129">
        <v>995345.69</v>
      </c>
      <c r="H2736" s="129">
        <v>28.98</v>
      </c>
      <c r="I2736" s="129">
        <f>Community!J341</f>
        <v>-500000</v>
      </c>
      <c r="J2736" s="129">
        <f>Community!K341</f>
        <v>901613</v>
      </c>
      <c r="K2736" s="129">
        <f>Community!L341</f>
        <v>957963.8125</v>
      </c>
      <c r="L2736" s="129">
        <f>Community!M341</f>
        <v>1025021.279375</v>
      </c>
      <c r="O2736" s="129">
        <f>Community!N341</f>
        <v>1096772.7689312501</v>
      </c>
      <c r="P2736" s="123" t="str">
        <f t="shared" si="617"/>
        <v>130</v>
      </c>
    </row>
    <row r="2737" spans="1:16" x14ac:dyDescent="0.2">
      <c r="A2737" s="119" t="s">
        <v>1090</v>
      </c>
      <c r="B2737" s="120" t="s">
        <v>169</v>
      </c>
      <c r="C2737" s="129">
        <v>1716096</v>
      </c>
      <c r="D2737" s="129">
        <v>144895.79</v>
      </c>
      <c r="E2737" s="129">
        <v>0</v>
      </c>
      <c r="F2737" s="129">
        <v>847540.13</v>
      </c>
      <c r="G2737" s="129">
        <v>868555.87</v>
      </c>
      <c r="H2737" s="129">
        <v>49.38</v>
      </c>
      <c r="I2737" s="129">
        <f>Community!J342</f>
        <v>0</v>
      </c>
      <c r="J2737" s="129">
        <f>Community!K342</f>
        <v>1716096</v>
      </c>
      <c r="K2737" s="129">
        <f>Community!L342</f>
        <v>1823352</v>
      </c>
      <c r="L2737" s="129">
        <f>Community!M342</f>
        <v>1950986.64</v>
      </c>
      <c r="O2737" s="129">
        <f>Community!N342</f>
        <v>2087555.7047999999</v>
      </c>
      <c r="P2737" s="123" t="str">
        <f t="shared" si="617"/>
        <v>130</v>
      </c>
    </row>
    <row r="2738" spans="1:16" x14ac:dyDescent="0.2">
      <c r="A2738" s="119" t="s">
        <v>1091</v>
      </c>
      <c r="B2738" s="120" t="s">
        <v>170</v>
      </c>
      <c r="C2738" s="129">
        <v>46410</v>
      </c>
      <c r="D2738" s="129">
        <v>4015.44</v>
      </c>
      <c r="E2738" s="129">
        <v>0</v>
      </c>
      <c r="F2738" s="129">
        <v>23349.040000000001</v>
      </c>
      <c r="G2738" s="129">
        <v>23060.959999999999</v>
      </c>
      <c r="H2738" s="129">
        <v>50.31</v>
      </c>
      <c r="I2738" s="129">
        <f>Community!J343</f>
        <v>0</v>
      </c>
      <c r="J2738" s="129">
        <f>Community!K343</f>
        <v>46410</v>
      </c>
      <c r="K2738" s="129">
        <f>Community!L343</f>
        <v>49310.625</v>
      </c>
      <c r="L2738" s="129">
        <f>Community!M343</f>
        <v>52762.368750000001</v>
      </c>
      <c r="O2738" s="129">
        <f>Community!N343</f>
        <v>56455.734562500002</v>
      </c>
      <c r="P2738" s="123" t="str">
        <f t="shared" si="617"/>
        <v>130</v>
      </c>
    </row>
    <row r="2739" spans="1:16" x14ac:dyDescent="0.2">
      <c r="A2739" s="119"/>
      <c r="B2739" s="120"/>
      <c r="C2739" s="129"/>
      <c r="D2739" s="129"/>
      <c r="E2739" s="129"/>
      <c r="F2739" s="129"/>
      <c r="G2739" s="129"/>
      <c r="H2739" s="129"/>
      <c r="I2739" s="129">
        <f>Community!J344</f>
        <v>0</v>
      </c>
      <c r="J2739" s="129"/>
      <c r="K2739" s="129"/>
      <c r="L2739" s="129"/>
      <c r="O2739" s="129"/>
      <c r="P2739" s="123" t="str">
        <f t="shared" si="617"/>
        <v/>
      </c>
    </row>
    <row r="2740" spans="1:16" s="114" customFormat="1" ht="15" x14ac:dyDescent="0.25">
      <c r="A2740" s="118"/>
      <c r="B2740" s="117" t="s">
        <v>171</v>
      </c>
      <c r="C2740" s="128">
        <f>SUM(C2735:C2739)</f>
        <v>3167040</v>
      </c>
      <c r="D2740" s="128">
        <f t="shared" ref="D2740:O2740" si="624">SUM(D2735:D2739)</f>
        <v>217136.93</v>
      </c>
      <c r="E2740" s="128">
        <f t="shared" si="624"/>
        <v>0</v>
      </c>
      <c r="F2740" s="128">
        <f t="shared" si="624"/>
        <v>1278619.72</v>
      </c>
      <c r="G2740" s="128">
        <f t="shared" si="624"/>
        <v>1888420.2799999998</v>
      </c>
      <c r="H2740" s="128">
        <f t="shared" si="624"/>
        <v>178.76000000000002</v>
      </c>
      <c r="I2740" s="128">
        <f t="shared" si="624"/>
        <v>-500000</v>
      </c>
      <c r="J2740" s="128">
        <f t="shared" si="624"/>
        <v>2667040</v>
      </c>
      <c r="K2740" s="128">
        <f t="shared" si="624"/>
        <v>2833730</v>
      </c>
      <c r="L2740" s="128">
        <f t="shared" si="624"/>
        <v>3032091.1</v>
      </c>
      <c r="M2740" s="128">
        <f t="shared" si="624"/>
        <v>0</v>
      </c>
      <c r="N2740" s="128">
        <f t="shared" si="624"/>
        <v>0</v>
      </c>
      <c r="O2740" s="128">
        <f t="shared" si="624"/>
        <v>3244337.477</v>
      </c>
      <c r="P2740" s="123" t="str">
        <f t="shared" si="617"/>
        <v/>
      </c>
    </row>
    <row r="2741" spans="1:16" s="114" customFormat="1" ht="15" x14ac:dyDescent="0.25">
      <c r="A2741" s="118"/>
      <c r="B2741" s="117"/>
      <c r="C2741" s="128"/>
      <c r="D2741" s="128"/>
      <c r="E2741" s="128"/>
      <c r="F2741" s="128"/>
      <c r="G2741" s="128"/>
      <c r="H2741" s="128"/>
      <c r="I2741" s="129">
        <f>Community!J346</f>
        <v>0</v>
      </c>
      <c r="J2741" s="129"/>
      <c r="K2741" s="129"/>
      <c r="L2741" s="129"/>
      <c r="M2741" s="186"/>
      <c r="N2741" s="186"/>
      <c r="O2741" s="128"/>
      <c r="P2741" s="123" t="str">
        <f t="shared" si="617"/>
        <v/>
      </c>
    </row>
    <row r="2742" spans="1:16" s="114" customFormat="1" ht="15" x14ac:dyDescent="0.25">
      <c r="A2742" s="118"/>
      <c r="B2742" s="117" t="s">
        <v>172</v>
      </c>
      <c r="C2742" s="128"/>
      <c r="D2742" s="128"/>
      <c r="E2742" s="128"/>
      <c r="F2742" s="128"/>
      <c r="G2742" s="128"/>
      <c r="H2742" s="128"/>
      <c r="I2742" s="129">
        <f>Community!J347</f>
        <v>0</v>
      </c>
      <c r="J2742" s="129"/>
      <c r="K2742" s="129"/>
      <c r="L2742" s="129"/>
      <c r="M2742" s="186"/>
      <c r="N2742" s="186"/>
      <c r="O2742" s="128"/>
      <c r="P2742" s="123" t="str">
        <f t="shared" si="617"/>
        <v/>
      </c>
    </row>
    <row r="2743" spans="1:16" x14ac:dyDescent="0.2">
      <c r="A2743" s="119"/>
      <c r="B2743" s="120"/>
      <c r="C2743" s="129"/>
      <c r="D2743" s="129"/>
      <c r="E2743" s="129"/>
      <c r="F2743" s="129"/>
      <c r="G2743" s="129"/>
      <c r="H2743" s="129"/>
      <c r="I2743" s="129">
        <f>Community!J348</f>
        <v>0</v>
      </c>
      <c r="J2743" s="129"/>
      <c r="K2743" s="129"/>
      <c r="L2743" s="129"/>
      <c r="O2743" s="129"/>
      <c r="P2743" s="123" t="str">
        <f t="shared" si="617"/>
        <v/>
      </c>
    </row>
    <row r="2744" spans="1:16" x14ac:dyDescent="0.2">
      <c r="A2744" s="119" t="s">
        <v>1092</v>
      </c>
      <c r="B2744" s="120" t="s">
        <v>173</v>
      </c>
      <c r="C2744" s="129">
        <v>111281</v>
      </c>
      <c r="D2744" s="129">
        <v>0</v>
      </c>
      <c r="E2744" s="129">
        <v>0</v>
      </c>
      <c r="F2744" s="129">
        <v>0</v>
      </c>
      <c r="G2744" s="129">
        <v>111281</v>
      </c>
      <c r="H2744" s="129">
        <v>0</v>
      </c>
      <c r="I2744" s="129">
        <f>Community!J349</f>
        <v>0</v>
      </c>
      <c r="J2744" s="129">
        <f>Community!K349</f>
        <v>111281</v>
      </c>
      <c r="K2744" s="129">
        <f>Community!L349</f>
        <v>118236.0625</v>
      </c>
      <c r="L2744" s="129">
        <f>Community!M349</f>
        <v>126512.58687500001</v>
      </c>
      <c r="O2744" s="129">
        <f>Community!N349</f>
        <v>135368.46795625001</v>
      </c>
      <c r="P2744" s="123" t="str">
        <f t="shared" si="617"/>
        <v>140</v>
      </c>
    </row>
    <row r="2745" spans="1:16" x14ac:dyDescent="0.2">
      <c r="A2745" s="119" t="s">
        <v>1093</v>
      </c>
      <c r="B2745" s="120" t="s">
        <v>174</v>
      </c>
      <c r="C2745" s="129">
        <v>84517</v>
      </c>
      <c r="D2745" s="129">
        <v>0</v>
      </c>
      <c r="E2745" s="129">
        <v>0</v>
      </c>
      <c r="F2745" s="129">
        <v>0</v>
      </c>
      <c r="G2745" s="129">
        <v>84517</v>
      </c>
      <c r="H2745" s="129">
        <v>0</v>
      </c>
      <c r="I2745" s="129">
        <f>Community!J350</f>
        <v>0</v>
      </c>
      <c r="J2745" s="129">
        <f>Community!K350</f>
        <v>84517</v>
      </c>
      <c r="K2745" s="129">
        <f>Community!L350</f>
        <v>89799.3125</v>
      </c>
      <c r="L2745" s="129">
        <f>Community!M350</f>
        <v>96085.264374999999</v>
      </c>
      <c r="O2745" s="129">
        <f>Community!N350</f>
        <v>102811.23288125001</v>
      </c>
      <c r="P2745" s="123" t="str">
        <f t="shared" si="617"/>
        <v>140</v>
      </c>
    </row>
    <row r="2746" spans="1:16" x14ac:dyDescent="0.2">
      <c r="A2746" s="119" t="s">
        <v>1094</v>
      </c>
      <c r="B2746" s="120" t="s">
        <v>175</v>
      </c>
      <c r="C2746" s="129">
        <v>120219</v>
      </c>
      <c r="D2746" s="129">
        <v>0</v>
      </c>
      <c r="E2746" s="129">
        <v>0</v>
      </c>
      <c r="F2746" s="129">
        <v>0</v>
      </c>
      <c r="G2746" s="129">
        <v>120219</v>
      </c>
      <c r="H2746" s="129">
        <v>0</v>
      </c>
      <c r="I2746" s="129">
        <f>Community!J351</f>
        <v>0</v>
      </c>
      <c r="J2746" s="129">
        <f>Community!K351</f>
        <v>120219</v>
      </c>
      <c r="K2746" s="129">
        <f>Community!L351</f>
        <v>127732.6875</v>
      </c>
      <c r="L2746" s="129">
        <f>Community!M351</f>
        <v>136673.97562499999</v>
      </c>
      <c r="O2746" s="129">
        <f>Community!N351</f>
        <v>146241.15391875</v>
      </c>
      <c r="P2746" s="123" t="str">
        <f t="shared" si="617"/>
        <v>142</v>
      </c>
    </row>
    <row r="2747" spans="1:16" x14ac:dyDescent="0.2">
      <c r="A2747" s="119"/>
      <c r="B2747" s="120"/>
      <c r="C2747" s="129"/>
      <c r="D2747" s="129"/>
      <c r="E2747" s="129"/>
      <c r="F2747" s="129"/>
      <c r="G2747" s="129"/>
      <c r="H2747" s="129"/>
      <c r="I2747" s="129">
        <f>Community!J352</f>
        <v>0</v>
      </c>
      <c r="J2747" s="129"/>
      <c r="K2747" s="129"/>
      <c r="L2747" s="129"/>
      <c r="O2747" s="129"/>
      <c r="P2747" s="123" t="str">
        <f t="shared" si="617"/>
        <v/>
      </c>
    </row>
    <row r="2748" spans="1:16" s="114" customFormat="1" ht="15" x14ac:dyDescent="0.25">
      <c r="A2748" s="118"/>
      <c r="B2748" s="117" t="s">
        <v>176</v>
      </c>
      <c r="C2748" s="128">
        <f>SUM(C2744:C2747)</f>
        <v>316017</v>
      </c>
      <c r="D2748" s="128">
        <f t="shared" ref="D2748:O2748" si="625">SUM(D2744:D2747)</f>
        <v>0</v>
      </c>
      <c r="E2748" s="128">
        <f t="shared" si="625"/>
        <v>0</v>
      </c>
      <c r="F2748" s="128">
        <f t="shared" si="625"/>
        <v>0</v>
      </c>
      <c r="G2748" s="128">
        <f t="shared" si="625"/>
        <v>316017</v>
      </c>
      <c r="H2748" s="128">
        <f t="shared" si="625"/>
        <v>0</v>
      </c>
      <c r="I2748" s="128">
        <f t="shared" si="625"/>
        <v>0</v>
      </c>
      <c r="J2748" s="128">
        <f t="shared" si="625"/>
        <v>316017</v>
      </c>
      <c r="K2748" s="128">
        <f t="shared" si="625"/>
        <v>335768.0625</v>
      </c>
      <c r="L2748" s="128">
        <f t="shared" si="625"/>
        <v>359271.82687500003</v>
      </c>
      <c r="M2748" s="128">
        <f t="shared" si="625"/>
        <v>0</v>
      </c>
      <c r="N2748" s="128">
        <f t="shared" si="625"/>
        <v>0</v>
      </c>
      <c r="O2748" s="128">
        <f t="shared" si="625"/>
        <v>384420.85475625005</v>
      </c>
      <c r="P2748" s="123" t="str">
        <f t="shared" si="617"/>
        <v/>
      </c>
    </row>
    <row r="2749" spans="1:16" s="114" customFormat="1" ht="15" x14ac:dyDescent="0.25">
      <c r="A2749" s="118"/>
      <c r="B2749" s="117"/>
      <c r="C2749" s="128"/>
      <c r="D2749" s="128"/>
      <c r="E2749" s="128"/>
      <c r="F2749" s="128"/>
      <c r="G2749" s="128"/>
      <c r="H2749" s="128"/>
      <c r="I2749" s="129">
        <f>Community!J354</f>
        <v>0</v>
      </c>
      <c r="J2749" s="129"/>
      <c r="K2749" s="129"/>
      <c r="L2749" s="129"/>
      <c r="M2749" s="186"/>
      <c r="N2749" s="186"/>
      <c r="O2749" s="128"/>
      <c r="P2749" s="123" t="str">
        <f t="shared" si="617"/>
        <v/>
      </c>
    </row>
    <row r="2750" spans="1:16" s="114" customFormat="1" ht="15" x14ac:dyDescent="0.25">
      <c r="A2750" s="118"/>
      <c r="B2750" s="117" t="s">
        <v>177</v>
      </c>
      <c r="C2750" s="128">
        <f>C2731+C2740+C2748</f>
        <v>13309541</v>
      </c>
      <c r="D2750" s="128">
        <f t="shared" ref="D2750:O2750" si="626">D2731+D2740+D2748</f>
        <v>1314439.7499999998</v>
      </c>
      <c r="E2750" s="128">
        <f t="shared" si="626"/>
        <v>0</v>
      </c>
      <c r="F2750" s="128">
        <f t="shared" si="626"/>
        <v>7028252.5099999998</v>
      </c>
      <c r="G2750" s="128">
        <f t="shared" si="626"/>
        <v>6281288.4900000002</v>
      </c>
      <c r="H2750" s="128">
        <f t="shared" si="626"/>
        <v>643.74</v>
      </c>
      <c r="I2750" s="128">
        <f t="shared" si="626"/>
        <v>-254996.17999999996</v>
      </c>
      <c r="J2750" s="128">
        <f t="shared" si="626"/>
        <v>13054544.82</v>
      </c>
      <c r="K2750" s="128">
        <f t="shared" si="626"/>
        <v>13870453.871250002</v>
      </c>
      <c r="L2750" s="128">
        <f t="shared" si="626"/>
        <v>14841385.642237501</v>
      </c>
      <c r="M2750" s="128">
        <f t="shared" si="626"/>
        <v>0</v>
      </c>
      <c r="N2750" s="128">
        <f t="shared" si="626"/>
        <v>0</v>
      </c>
      <c r="O2750" s="128">
        <f t="shared" si="626"/>
        <v>15880282.637194127</v>
      </c>
      <c r="P2750" s="123" t="str">
        <f t="shared" si="617"/>
        <v/>
      </c>
    </row>
    <row r="2751" spans="1:16" s="114" customFormat="1" ht="15" x14ac:dyDescent="0.25">
      <c r="A2751" s="118"/>
      <c r="B2751" s="117"/>
      <c r="C2751" s="128"/>
      <c r="D2751" s="128"/>
      <c r="E2751" s="128"/>
      <c r="F2751" s="128"/>
      <c r="G2751" s="128"/>
      <c r="H2751" s="128"/>
      <c r="I2751" s="129">
        <f>Community!J356</f>
        <v>0</v>
      </c>
      <c r="J2751" s="129"/>
      <c r="K2751" s="129"/>
      <c r="L2751" s="129"/>
      <c r="M2751" s="186"/>
      <c r="N2751" s="186"/>
      <c r="O2751" s="128"/>
      <c r="P2751" s="123" t="str">
        <f t="shared" si="617"/>
        <v/>
      </c>
    </row>
    <row r="2752" spans="1:16" s="114" customFormat="1" ht="15" x14ac:dyDescent="0.25">
      <c r="A2752" s="118"/>
      <c r="B2752" s="117" t="s">
        <v>178</v>
      </c>
      <c r="C2752" s="128">
        <f>C2750</f>
        <v>13309541</v>
      </c>
      <c r="D2752" s="128">
        <f t="shared" ref="D2752:O2752" si="627">D2750</f>
        <v>1314439.7499999998</v>
      </c>
      <c r="E2752" s="128">
        <f t="shared" si="627"/>
        <v>0</v>
      </c>
      <c r="F2752" s="128">
        <f t="shared" si="627"/>
        <v>7028252.5099999998</v>
      </c>
      <c r="G2752" s="128">
        <f t="shared" si="627"/>
        <v>6281288.4900000002</v>
      </c>
      <c r="H2752" s="128">
        <f t="shared" si="627"/>
        <v>643.74</v>
      </c>
      <c r="I2752" s="128">
        <f t="shared" si="627"/>
        <v>-254996.17999999996</v>
      </c>
      <c r="J2752" s="128">
        <f t="shared" si="627"/>
        <v>13054544.82</v>
      </c>
      <c r="K2752" s="128">
        <f t="shared" si="627"/>
        <v>13870453.871250002</v>
      </c>
      <c r="L2752" s="128">
        <f t="shared" si="627"/>
        <v>14841385.642237501</v>
      </c>
      <c r="M2752" s="128">
        <f t="shared" si="627"/>
        <v>0</v>
      </c>
      <c r="N2752" s="128">
        <f t="shared" si="627"/>
        <v>0</v>
      </c>
      <c r="O2752" s="128">
        <f t="shared" si="627"/>
        <v>15880282.637194127</v>
      </c>
      <c r="P2752" s="123" t="str">
        <f t="shared" si="617"/>
        <v/>
      </c>
    </row>
    <row r="2753" spans="1:16" s="114" customFormat="1" ht="15" x14ac:dyDescent="0.25">
      <c r="A2753" s="118"/>
      <c r="B2753" s="117"/>
      <c r="C2753" s="128"/>
      <c r="D2753" s="128"/>
      <c r="E2753" s="128"/>
      <c r="F2753" s="128"/>
      <c r="G2753" s="128"/>
      <c r="H2753" s="128"/>
      <c r="I2753" s="129">
        <f>Community!J358</f>
        <v>0</v>
      </c>
      <c r="J2753" s="129"/>
      <c r="K2753" s="129"/>
      <c r="L2753" s="129"/>
      <c r="M2753" s="186"/>
      <c r="N2753" s="186"/>
      <c r="O2753" s="128"/>
      <c r="P2753" s="123" t="str">
        <f t="shared" si="617"/>
        <v/>
      </c>
    </row>
    <row r="2754" spans="1:16" s="114" customFormat="1" ht="15" x14ac:dyDescent="0.25">
      <c r="A2754" s="118"/>
      <c r="B2754" s="117" t="s">
        <v>208</v>
      </c>
      <c r="C2754" s="128"/>
      <c r="D2754" s="128"/>
      <c r="E2754" s="128"/>
      <c r="F2754" s="128"/>
      <c r="G2754" s="128"/>
      <c r="H2754" s="128"/>
      <c r="I2754" s="129">
        <f>Community!J359</f>
        <v>0</v>
      </c>
      <c r="J2754" s="129"/>
      <c r="K2754" s="129"/>
      <c r="L2754" s="129"/>
      <c r="M2754" s="186"/>
      <c r="N2754" s="186"/>
      <c r="O2754" s="128"/>
      <c r="P2754" s="123" t="str">
        <f t="shared" si="617"/>
        <v/>
      </c>
    </row>
    <row r="2755" spans="1:16" s="114" customFormat="1" ht="15" x14ac:dyDescent="0.25">
      <c r="A2755" s="118"/>
      <c r="B2755" s="117" t="s">
        <v>228</v>
      </c>
      <c r="C2755" s="128"/>
      <c r="D2755" s="128"/>
      <c r="E2755" s="128"/>
      <c r="F2755" s="128"/>
      <c r="G2755" s="128"/>
      <c r="H2755" s="128"/>
      <c r="I2755" s="129">
        <f>Community!J360</f>
        <v>0</v>
      </c>
      <c r="J2755" s="129"/>
      <c r="K2755" s="129"/>
      <c r="L2755" s="129"/>
      <c r="M2755" s="186"/>
      <c r="N2755" s="186"/>
      <c r="O2755" s="128"/>
      <c r="P2755" s="123" t="str">
        <f t="shared" si="617"/>
        <v/>
      </c>
    </row>
    <row r="2756" spans="1:16" s="114" customFormat="1" ht="15" x14ac:dyDescent="0.25">
      <c r="A2756" s="118"/>
      <c r="B2756" s="117"/>
      <c r="C2756" s="128"/>
      <c r="D2756" s="128"/>
      <c r="E2756" s="128"/>
      <c r="F2756" s="128"/>
      <c r="G2756" s="128"/>
      <c r="H2756" s="128"/>
      <c r="I2756" s="129">
        <f>Community!J361</f>
        <v>0</v>
      </c>
      <c r="J2756" s="129"/>
      <c r="K2756" s="129"/>
      <c r="L2756" s="129"/>
      <c r="M2756" s="186"/>
      <c r="N2756" s="186"/>
      <c r="O2756" s="128"/>
      <c r="P2756" s="123" t="str">
        <f t="shared" si="617"/>
        <v/>
      </c>
    </row>
    <row r="2757" spans="1:16" x14ac:dyDescent="0.2">
      <c r="A2757" s="119" t="s">
        <v>1095</v>
      </c>
      <c r="B2757" s="120" t="s">
        <v>235</v>
      </c>
      <c r="C2757" s="129">
        <v>39987</v>
      </c>
      <c r="D2757" s="129">
        <v>12482.61</v>
      </c>
      <c r="E2757" s="129">
        <v>0</v>
      </c>
      <c r="F2757" s="129">
        <v>12482.61</v>
      </c>
      <c r="G2757" s="129">
        <v>27504.39</v>
      </c>
      <c r="H2757" s="129">
        <v>31.21</v>
      </c>
      <c r="I2757" s="129">
        <f>Community!J362</f>
        <v>0</v>
      </c>
      <c r="J2757" s="129">
        <f>Community!K362</f>
        <v>39987</v>
      </c>
      <c r="K2757" s="129">
        <f>Community!L362</f>
        <v>41786.415000000001</v>
      </c>
      <c r="L2757" s="129">
        <f>Community!M362</f>
        <v>43708.590089999998</v>
      </c>
      <c r="O2757" s="129">
        <f>Community!N362</f>
        <v>45719.185234140001</v>
      </c>
      <c r="P2757" s="123" t="str">
        <f t="shared" si="617"/>
        <v>283</v>
      </c>
    </row>
    <row r="2758" spans="1:16" x14ac:dyDescent="0.2">
      <c r="A2758" s="119"/>
      <c r="B2758" s="120"/>
      <c r="C2758" s="129"/>
      <c r="D2758" s="129"/>
      <c r="E2758" s="129"/>
      <c r="F2758" s="129"/>
      <c r="G2758" s="129"/>
      <c r="H2758" s="129"/>
      <c r="I2758" s="129">
        <f>Community!J363</f>
        <v>0</v>
      </c>
      <c r="J2758" s="129"/>
      <c r="K2758" s="129"/>
      <c r="L2758" s="129"/>
      <c r="O2758" s="129"/>
      <c r="P2758" s="123" t="str">
        <f t="shared" si="617"/>
        <v/>
      </c>
    </row>
    <row r="2759" spans="1:16" s="114" customFormat="1" ht="15" x14ac:dyDescent="0.25">
      <c r="A2759" s="118"/>
      <c r="B2759" s="117" t="s">
        <v>239</v>
      </c>
      <c r="C2759" s="128">
        <f>SUM(C2757:C2758)</f>
        <v>39987</v>
      </c>
      <c r="D2759" s="128">
        <f t="shared" ref="D2759:O2759" si="628">SUM(D2757:D2758)</f>
        <v>12482.61</v>
      </c>
      <c r="E2759" s="128">
        <f t="shared" si="628"/>
        <v>0</v>
      </c>
      <c r="F2759" s="128">
        <f t="shared" si="628"/>
        <v>12482.61</v>
      </c>
      <c r="G2759" s="128">
        <f t="shared" si="628"/>
        <v>27504.39</v>
      </c>
      <c r="H2759" s="128">
        <f t="shared" si="628"/>
        <v>31.21</v>
      </c>
      <c r="I2759" s="128">
        <f t="shared" si="628"/>
        <v>0</v>
      </c>
      <c r="J2759" s="128">
        <f t="shared" si="628"/>
        <v>39987</v>
      </c>
      <c r="K2759" s="128">
        <f t="shared" si="628"/>
        <v>41786.415000000001</v>
      </c>
      <c r="L2759" s="128">
        <f t="shared" si="628"/>
        <v>43708.590089999998</v>
      </c>
      <c r="M2759" s="128">
        <f t="shared" si="628"/>
        <v>0</v>
      </c>
      <c r="N2759" s="128">
        <f t="shared" si="628"/>
        <v>0</v>
      </c>
      <c r="O2759" s="128">
        <f t="shared" si="628"/>
        <v>45719.185234140001</v>
      </c>
      <c r="P2759" s="123" t="str">
        <f t="shared" ref="P2759:P2822" si="629">MID(A2759,6,3)</f>
        <v/>
      </c>
    </row>
    <row r="2760" spans="1:16" s="114" customFormat="1" ht="15" x14ac:dyDescent="0.25">
      <c r="A2760" s="118"/>
      <c r="B2760" s="117"/>
      <c r="C2760" s="128"/>
      <c r="D2760" s="128"/>
      <c r="E2760" s="128"/>
      <c r="F2760" s="128"/>
      <c r="G2760" s="128"/>
      <c r="H2760" s="128"/>
      <c r="I2760" s="129">
        <f>Community!J365</f>
        <v>0</v>
      </c>
      <c r="J2760" s="129"/>
      <c r="K2760" s="129"/>
      <c r="L2760" s="129"/>
      <c r="M2760" s="186"/>
      <c r="N2760" s="186"/>
      <c r="O2760" s="128"/>
      <c r="P2760" s="123" t="str">
        <f t="shared" si="629"/>
        <v/>
      </c>
    </row>
    <row r="2761" spans="1:16" s="114" customFormat="1" ht="15" x14ac:dyDescent="0.25">
      <c r="A2761" s="118"/>
      <c r="B2761" s="117" t="s">
        <v>240</v>
      </c>
      <c r="C2761" s="128">
        <f>SUM(C2759)</f>
        <v>39987</v>
      </c>
      <c r="D2761" s="128">
        <f t="shared" ref="D2761:O2761" si="630">SUM(D2759)</f>
        <v>12482.61</v>
      </c>
      <c r="E2761" s="128">
        <f t="shared" si="630"/>
        <v>0</v>
      </c>
      <c r="F2761" s="128">
        <f t="shared" si="630"/>
        <v>12482.61</v>
      </c>
      <c r="G2761" s="128">
        <f t="shared" si="630"/>
        <v>27504.39</v>
      </c>
      <c r="H2761" s="128">
        <f t="shared" si="630"/>
        <v>31.21</v>
      </c>
      <c r="I2761" s="128">
        <f t="shared" si="630"/>
        <v>0</v>
      </c>
      <c r="J2761" s="128">
        <f t="shared" si="630"/>
        <v>39987</v>
      </c>
      <c r="K2761" s="128">
        <f t="shared" si="630"/>
        <v>41786.415000000001</v>
      </c>
      <c r="L2761" s="128">
        <f t="shared" si="630"/>
        <v>43708.590089999998</v>
      </c>
      <c r="M2761" s="128">
        <f t="shared" si="630"/>
        <v>0</v>
      </c>
      <c r="N2761" s="128">
        <f t="shared" si="630"/>
        <v>0</v>
      </c>
      <c r="O2761" s="128">
        <f t="shared" si="630"/>
        <v>45719.185234140001</v>
      </c>
      <c r="P2761" s="123" t="str">
        <f t="shared" si="629"/>
        <v/>
      </c>
    </row>
    <row r="2762" spans="1:16" s="114" customFormat="1" ht="15" x14ac:dyDescent="0.25">
      <c r="A2762" s="118"/>
      <c r="B2762" s="117"/>
      <c r="C2762" s="128"/>
      <c r="D2762" s="128"/>
      <c r="E2762" s="128"/>
      <c r="F2762" s="128"/>
      <c r="G2762" s="128"/>
      <c r="H2762" s="128"/>
      <c r="I2762" s="129">
        <f>Community!J367</f>
        <v>0</v>
      </c>
      <c r="J2762" s="129"/>
      <c r="K2762" s="129"/>
      <c r="L2762" s="129"/>
      <c r="M2762" s="186"/>
      <c r="N2762" s="186"/>
      <c r="O2762" s="128"/>
      <c r="P2762" s="123" t="str">
        <f t="shared" si="629"/>
        <v/>
      </c>
    </row>
    <row r="2763" spans="1:16" s="114" customFormat="1" ht="15" x14ac:dyDescent="0.25">
      <c r="A2763" s="118"/>
      <c r="B2763" s="117" t="s">
        <v>241</v>
      </c>
      <c r="C2763" s="128"/>
      <c r="D2763" s="128"/>
      <c r="E2763" s="128"/>
      <c r="F2763" s="128"/>
      <c r="G2763" s="128"/>
      <c r="H2763" s="128"/>
      <c r="I2763" s="129">
        <f>Community!J368</f>
        <v>0</v>
      </c>
      <c r="J2763" s="129"/>
      <c r="K2763" s="129"/>
      <c r="L2763" s="129"/>
      <c r="M2763" s="186"/>
      <c r="N2763" s="186"/>
      <c r="O2763" s="128"/>
      <c r="P2763" s="123" t="str">
        <f t="shared" si="629"/>
        <v/>
      </c>
    </row>
    <row r="2764" spans="1:16" x14ac:dyDescent="0.2">
      <c r="A2764" s="119"/>
      <c r="B2764" s="120"/>
      <c r="C2764" s="129"/>
      <c r="D2764" s="129"/>
      <c r="E2764" s="129"/>
      <c r="F2764" s="129"/>
      <c r="G2764" s="129"/>
      <c r="H2764" s="129"/>
      <c r="I2764" s="129">
        <f>Community!J369</f>
        <v>0</v>
      </c>
      <c r="J2764" s="129"/>
      <c r="K2764" s="129"/>
      <c r="L2764" s="129"/>
      <c r="O2764" s="129"/>
      <c r="P2764" s="123" t="str">
        <f t="shared" si="629"/>
        <v/>
      </c>
    </row>
    <row r="2765" spans="1:16" x14ac:dyDescent="0.2">
      <c r="A2765" s="119" t="s">
        <v>1096</v>
      </c>
      <c r="B2765" s="120" t="s">
        <v>265</v>
      </c>
      <c r="C2765" s="129">
        <v>0</v>
      </c>
      <c r="D2765" s="129">
        <v>11047.47</v>
      </c>
      <c r="E2765" s="129">
        <v>0</v>
      </c>
      <c r="F2765" s="129">
        <v>58007.09</v>
      </c>
      <c r="G2765" s="129">
        <v>-58007.09</v>
      </c>
      <c r="H2765" s="129">
        <v>0</v>
      </c>
      <c r="I2765" s="129">
        <f>Community!J370</f>
        <v>174021.27</v>
      </c>
      <c r="J2765" s="129">
        <f>Community!K370</f>
        <v>174021.27</v>
      </c>
      <c r="K2765" s="129">
        <f>Community!L370</f>
        <v>181852.22714999999</v>
      </c>
      <c r="L2765" s="129">
        <f>Community!M370</f>
        <v>190217.42959889999</v>
      </c>
      <c r="O2765" s="129">
        <f>Community!N370</f>
        <v>198967.43136044941</v>
      </c>
      <c r="P2765" s="123" t="str">
        <f t="shared" si="629"/>
        <v>305</v>
      </c>
    </row>
    <row r="2766" spans="1:16" x14ac:dyDescent="0.2">
      <c r="A2766" s="119" t="s">
        <v>1097</v>
      </c>
      <c r="B2766" s="120" t="s">
        <v>268</v>
      </c>
      <c r="C2766" s="129">
        <v>0</v>
      </c>
      <c r="D2766" s="129">
        <v>18202.25</v>
      </c>
      <c r="E2766" s="129">
        <v>0</v>
      </c>
      <c r="F2766" s="129">
        <v>109824.85</v>
      </c>
      <c r="G2766" s="129">
        <v>-109824.85</v>
      </c>
      <c r="H2766" s="129">
        <v>0</v>
      </c>
      <c r="I2766" s="129">
        <f>Community!J371</f>
        <v>219649.7</v>
      </c>
      <c r="J2766" s="129">
        <f>Community!K371</f>
        <v>219649.7</v>
      </c>
      <c r="K2766" s="129">
        <f>Community!L371</f>
        <v>229533.93650000001</v>
      </c>
      <c r="L2766" s="129">
        <f>Community!M371</f>
        <v>240092.49757900002</v>
      </c>
      <c r="O2766" s="129">
        <f>Community!N371</f>
        <v>251136.75246763401</v>
      </c>
      <c r="P2766" s="123" t="str">
        <f t="shared" si="629"/>
        <v>305</v>
      </c>
    </row>
    <row r="2767" spans="1:16" x14ac:dyDescent="0.2">
      <c r="A2767" s="119"/>
      <c r="B2767" s="120"/>
      <c r="C2767" s="129"/>
      <c r="D2767" s="129"/>
      <c r="E2767" s="129"/>
      <c r="F2767" s="129"/>
      <c r="G2767" s="129"/>
      <c r="H2767" s="129"/>
      <c r="I2767" s="129">
        <f>Community!J372</f>
        <v>0</v>
      </c>
      <c r="J2767" s="129"/>
      <c r="K2767" s="129"/>
      <c r="L2767" s="129"/>
      <c r="O2767" s="129"/>
      <c r="P2767" s="123" t="str">
        <f t="shared" si="629"/>
        <v/>
      </c>
    </row>
    <row r="2768" spans="1:16" s="114" customFormat="1" ht="15" x14ac:dyDescent="0.25">
      <c r="A2768" s="118"/>
      <c r="B2768" s="117" t="s">
        <v>274</v>
      </c>
      <c r="C2768" s="128">
        <f>SUM(C2765:C2767)</f>
        <v>0</v>
      </c>
      <c r="D2768" s="128">
        <f t="shared" ref="D2768:O2768" si="631">SUM(D2765:D2767)</f>
        <v>29249.72</v>
      </c>
      <c r="E2768" s="128">
        <f t="shared" si="631"/>
        <v>0</v>
      </c>
      <c r="F2768" s="128">
        <f t="shared" si="631"/>
        <v>167831.94</v>
      </c>
      <c r="G2768" s="128">
        <f t="shared" si="631"/>
        <v>-167831.94</v>
      </c>
      <c r="H2768" s="128">
        <f t="shared" si="631"/>
        <v>0</v>
      </c>
      <c r="I2768" s="128">
        <f t="shared" si="631"/>
        <v>393670.97</v>
      </c>
      <c r="J2768" s="128">
        <f t="shared" si="631"/>
        <v>393670.97</v>
      </c>
      <c r="K2768" s="128">
        <f t="shared" si="631"/>
        <v>411386.16365</v>
      </c>
      <c r="L2768" s="128">
        <f t="shared" si="631"/>
        <v>430309.92717789998</v>
      </c>
      <c r="M2768" s="128">
        <f t="shared" si="631"/>
        <v>0</v>
      </c>
      <c r="N2768" s="128">
        <f t="shared" si="631"/>
        <v>0</v>
      </c>
      <c r="O2768" s="128">
        <f t="shared" si="631"/>
        <v>450104.18382808345</v>
      </c>
      <c r="P2768" s="123" t="str">
        <f t="shared" si="629"/>
        <v/>
      </c>
    </row>
    <row r="2769" spans="1:16" s="114" customFormat="1" ht="15" x14ac:dyDescent="0.25">
      <c r="A2769" s="118"/>
      <c r="B2769" s="117"/>
      <c r="C2769" s="128"/>
      <c r="D2769" s="128"/>
      <c r="E2769" s="128"/>
      <c r="F2769" s="128"/>
      <c r="G2769" s="128"/>
      <c r="H2769" s="128"/>
      <c r="I2769" s="129">
        <f>Community!J374</f>
        <v>0</v>
      </c>
      <c r="J2769" s="129"/>
      <c r="K2769" s="129"/>
      <c r="L2769" s="129"/>
      <c r="M2769" s="186"/>
      <c r="N2769" s="186"/>
      <c r="O2769" s="128"/>
      <c r="P2769" s="123" t="str">
        <f t="shared" si="629"/>
        <v/>
      </c>
    </row>
    <row r="2770" spans="1:16" s="114" customFormat="1" ht="15" x14ac:dyDescent="0.25">
      <c r="A2770" s="118"/>
      <c r="B2770" s="117" t="s">
        <v>290</v>
      </c>
      <c r="C2770" s="128"/>
      <c r="D2770" s="128"/>
      <c r="E2770" s="128"/>
      <c r="F2770" s="128"/>
      <c r="G2770" s="128"/>
      <c r="H2770" s="128"/>
      <c r="I2770" s="129">
        <f>Community!J375</f>
        <v>0</v>
      </c>
      <c r="J2770" s="129"/>
      <c r="K2770" s="129"/>
      <c r="L2770" s="129"/>
      <c r="M2770" s="186"/>
      <c r="N2770" s="186"/>
      <c r="O2770" s="128"/>
      <c r="P2770" s="123" t="str">
        <f t="shared" si="629"/>
        <v/>
      </c>
    </row>
    <row r="2771" spans="1:16" x14ac:dyDescent="0.2">
      <c r="A2771" s="119"/>
      <c r="B2771" s="120"/>
      <c r="C2771" s="129"/>
      <c r="D2771" s="129"/>
      <c r="E2771" s="129"/>
      <c r="F2771" s="129"/>
      <c r="G2771" s="129"/>
      <c r="H2771" s="129"/>
      <c r="I2771" s="129">
        <f>Community!J376</f>
        <v>0</v>
      </c>
      <c r="J2771" s="129"/>
      <c r="K2771" s="129"/>
      <c r="L2771" s="129"/>
      <c r="O2771" s="129"/>
      <c r="P2771" s="123" t="str">
        <f t="shared" si="629"/>
        <v/>
      </c>
    </row>
    <row r="2772" spans="1:16" x14ac:dyDescent="0.2">
      <c r="A2772" s="119" t="s">
        <v>1098</v>
      </c>
      <c r="B2772" s="120" t="s">
        <v>291</v>
      </c>
      <c r="C2772" s="129">
        <v>3371</v>
      </c>
      <c r="D2772" s="129">
        <v>806.98</v>
      </c>
      <c r="E2772" s="129">
        <v>0</v>
      </c>
      <c r="F2772" s="129">
        <v>2420.54</v>
      </c>
      <c r="G2772" s="129">
        <v>950.46</v>
      </c>
      <c r="H2772" s="129">
        <v>71.8</v>
      </c>
      <c r="I2772" s="129">
        <f>Community!J377</f>
        <v>0</v>
      </c>
      <c r="J2772" s="129">
        <f>Community!K377</f>
        <v>3371</v>
      </c>
      <c r="K2772" s="129">
        <f>Community!L377</f>
        <v>3522.6950000000002</v>
      </c>
      <c r="L2772" s="129">
        <f>Community!M377</f>
        <v>3684.7389700000003</v>
      </c>
      <c r="O2772" s="129">
        <f>Community!N377</f>
        <v>3854.2369626200002</v>
      </c>
      <c r="P2772" s="123" t="str">
        <f t="shared" si="629"/>
        <v>720</v>
      </c>
    </row>
    <row r="2773" spans="1:16" x14ac:dyDescent="0.2">
      <c r="A2773" s="119" t="s">
        <v>1099</v>
      </c>
      <c r="B2773" s="120" t="s">
        <v>292</v>
      </c>
      <c r="C2773" s="129">
        <v>3371</v>
      </c>
      <c r="D2773" s="129">
        <v>14814</v>
      </c>
      <c r="E2773" s="129">
        <v>0</v>
      </c>
      <c r="F2773" s="129">
        <v>43822.86</v>
      </c>
      <c r="G2773" s="129">
        <v>-40451.86</v>
      </c>
      <c r="H2773" s="129">
        <v>999.99</v>
      </c>
      <c r="I2773" s="129">
        <f>Community!J378</f>
        <v>0</v>
      </c>
      <c r="J2773" s="129">
        <f>Community!K378</f>
        <v>3371</v>
      </c>
      <c r="K2773" s="129">
        <f>Community!L378</f>
        <v>3522.6950000000002</v>
      </c>
      <c r="L2773" s="129">
        <f>Community!M378</f>
        <v>3684.7389700000003</v>
      </c>
      <c r="O2773" s="129">
        <f>Community!N378</f>
        <v>3854.2369626200002</v>
      </c>
      <c r="P2773" s="123" t="str">
        <f t="shared" si="629"/>
        <v>720</v>
      </c>
    </row>
    <row r="2774" spans="1:16" x14ac:dyDescent="0.2">
      <c r="A2774" s="119" t="s">
        <v>1100</v>
      </c>
      <c r="B2774" s="120" t="s">
        <v>293</v>
      </c>
      <c r="C2774" s="129">
        <v>62309</v>
      </c>
      <c r="D2774" s="129">
        <v>49865.599999999999</v>
      </c>
      <c r="E2774" s="129">
        <v>0</v>
      </c>
      <c r="F2774" s="129">
        <v>131292.57</v>
      </c>
      <c r="G2774" s="129">
        <v>-68983.570000000007</v>
      </c>
      <c r="H2774" s="129">
        <v>210.71</v>
      </c>
      <c r="I2774" s="129">
        <f>Community!J379</f>
        <v>0</v>
      </c>
      <c r="J2774" s="129">
        <f>Community!K379</f>
        <v>62309</v>
      </c>
      <c r="K2774" s="129">
        <f>Community!L379</f>
        <v>65112.904999999999</v>
      </c>
      <c r="L2774" s="129">
        <f>Community!M379</f>
        <v>68108.098629999993</v>
      </c>
      <c r="O2774" s="129">
        <f>Community!N379</f>
        <v>71241.071166979993</v>
      </c>
      <c r="P2774" s="123" t="str">
        <f t="shared" si="629"/>
        <v>721</v>
      </c>
    </row>
    <row r="2775" spans="1:16" x14ac:dyDescent="0.2">
      <c r="A2775" s="119" t="s">
        <v>1101</v>
      </c>
      <c r="B2775" s="120" t="s">
        <v>296</v>
      </c>
      <c r="C2775" s="129">
        <v>10426</v>
      </c>
      <c r="D2775" s="129">
        <v>2165.3000000000002</v>
      </c>
      <c r="E2775" s="129">
        <v>0</v>
      </c>
      <c r="F2775" s="129">
        <v>5472.99</v>
      </c>
      <c r="G2775" s="129">
        <v>4953.01</v>
      </c>
      <c r="H2775" s="129">
        <v>52.49</v>
      </c>
      <c r="I2775" s="129">
        <f>Community!J380</f>
        <v>0</v>
      </c>
      <c r="J2775" s="129">
        <f>Community!K380</f>
        <v>10426</v>
      </c>
      <c r="K2775" s="129">
        <f>Community!L380</f>
        <v>10895.17</v>
      </c>
      <c r="L2775" s="129">
        <f>Community!M380</f>
        <v>11396.347820000001</v>
      </c>
      <c r="O2775" s="129">
        <f>Community!N380</f>
        <v>11920.57981972</v>
      </c>
      <c r="P2775" s="123" t="str">
        <f t="shared" si="629"/>
        <v>723</v>
      </c>
    </row>
    <row r="2776" spans="1:16" x14ac:dyDescent="0.2">
      <c r="A2776" s="119" t="s">
        <v>1102</v>
      </c>
      <c r="B2776" s="120" t="s">
        <v>300</v>
      </c>
      <c r="C2776" s="129">
        <v>0</v>
      </c>
      <c r="D2776" s="129">
        <v>1643.84</v>
      </c>
      <c r="E2776" s="129">
        <v>0</v>
      </c>
      <c r="F2776" s="129">
        <v>4099.6000000000004</v>
      </c>
      <c r="G2776" s="129">
        <v>-4099.6000000000004</v>
      </c>
      <c r="H2776" s="129">
        <v>0</v>
      </c>
      <c r="I2776" s="129">
        <f>Community!J381</f>
        <v>0</v>
      </c>
      <c r="J2776" s="129">
        <f>Community!K381</f>
        <v>0</v>
      </c>
      <c r="K2776" s="129">
        <f>Community!L381</f>
        <v>0</v>
      </c>
      <c r="L2776" s="129">
        <f>Community!M381</f>
        <v>0</v>
      </c>
      <c r="O2776" s="129">
        <f>Community!N381</f>
        <v>0</v>
      </c>
      <c r="P2776" s="123" t="str">
        <f t="shared" si="629"/>
        <v>728</v>
      </c>
    </row>
    <row r="2777" spans="1:16" x14ac:dyDescent="0.2">
      <c r="A2777" s="119" t="s">
        <v>1103</v>
      </c>
      <c r="B2777" s="120" t="s">
        <v>301</v>
      </c>
      <c r="C2777" s="129">
        <v>11236</v>
      </c>
      <c r="D2777" s="129">
        <v>0</v>
      </c>
      <c r="E2777" s="129">
        <v>0</v>
      </c>
      <c r="F2777" s="129">
        <v>0</v>
      </c>
      <c r="G2777" s="129">
        <v>11236</v>
      </c>
      <c r="H2777" s="129">
        <v>0</v>
      </c>
      <c r="I2777" s="129">
        <f>Community!J382</f>
        <v>0</v>
      </c>
      <c r="J2777" s="129">
        <f>Community!K382</f>
        <v>11236</v>
      </c>
      <c r="K2777" s="129">
        <f>Community!L382</f>
        <v>11741.62</v>
      </c>
      <c r="L2777" s="129">
        <f>Community!M382</f>
        <v>12281.73452</v>
      </c>
      <c r="O2777" s="129">
        <f>Community!N382</f>
        <v>12846.694307919999</v>
      </c>
      <c r="P2777" s="123" t="str">
        <f t="shared" si="629"/>
        <v>728</v>
      </c>
    </row>
    <row r="2778" spans="1:16" x14ac:dyDescent="0.2">
      <c r="A2778" s="119"/>
      <c r="B2778" s="120"/>
      <c r="C2778" s="129"/>
      <c r="D2778" s="129"/>
      <c r="E2778" s="129"/>
      <c r="F2778" s="129"/>
      <c r="G2778" s="129"/>
      <c r="H2778" s="129"/>
      <c r="I2778" s="129">
        <f>Community!J383</f>
        <v>0</v>
      </c>
      <c r="J2778" s="129"/>
      <c r="K2778" s="129"/>
      <c r="L2778" s="129"/>
      <c r="O2778" s="129"/>
      <c r="P2778" s="123" t="str">
        <f t="shared" si="629"/>
        <v/>
      </c>
    </row>
    <row r="2779" spans="1:16" s="114" customFormat="1" ht="15" x14ac:dyDescent="0.25">
      <c r="A2779" s="118"/>
      <c r="B2779" s="117" t="s">
        <v>304</v>
      </c>
      <c r="C2779" s="128">
        <f>SUM(C2772:C2778)</f>
        <v>90713</v>
      </c>
      <c r="D2779" s="128">
        <f t="shared" ref="D2779:O2779" si="632">SUM(D2772:D2778)</f>
        <v>69295.72</v>
      </c>
      <c r="E2779" s="128">
        <f t="shared" si="632"/>
        <v>0</v>
      </c>
      <c r="F2779" s="128">
        <f t="shared" si="632"/>
        <v>187108.56</v>
      </c>
      <c r="G2779" s="128">
        <f t="shared" si="632"/>
        <v>-96395.560000000012</v>
      </c>
      <c r="H2779" s="128">
        <f t="shared" si="632"/>
        <v>1334.99</v>
      </c>
      <c r="I2779" s="128">
        <f t="shared" si="632"/>
        <v>0</v>
      </c>
      <c r="J2779" s="128">
        <f t="shared" si="632"/>
        <v>90713</v>
      </c>
      <c r="K2779" s="128">
        <f t="shared" si="632"/>
        <v>94795.084999999992</v>
      </c>
      <c r="L2779" s="128">
        <f t="shared" si="632"/>
        <v>99155.658909999984</v>
      </c>
      <c r="M2779" s="128">
        <f t="shared" si="632"/>
        <v>0</v>
      </c>
      <c r="N2779" s="128">
        <f t="shared" si="632"/>
        <v>0</v>
      </c>
      <c r="O2779" s="128">
        <f t="shared" si="632"/>
        <v>103716.81921986</v>
      </c>
      <c r="P2779" s="123" t="str">
        <f t="shared" si="629"/>
        <v/>
      </c>
    </row>
    <row r="2780" spans="1:16" s="114" customFormat="1" ht="15" x14ac:dyDescent="0.25">
      <c r="A2780" s="118"/>
      <c r="B2780" s="117"/>
      <c r="C2780" s="128"/>
      <c r="D2780" s="128"/>
      <c r="E2780" s="128"/>
      <c r="F2780" s="128"/>
      <c r="G2780" s="128"/>
      <c r="H2780" s="128"/>
      <c r="I2780" s="129">
        <f>Community!J385</f>
        <v>0</v>
      </c>
      <c r="J2780" s="129"/>
      <c r="K2780" s="129"/>
      <c r="L2780" s="129"/>
      <c r="M2780" s="186"/>
      <c r="N2780" s="186"/>
      <c r="O2780" s="128"/>
      <c r="P2780" s="123" t="str">
        <f t="shared" si="629"/>
        <v/>
      </c>
    </row>
    <row r="2781" spans="1:16" s="114" customFormat="1" ht="15" x14ac:dyDescent="0.25">
      <c r="A2781" s="118"/>
      <c r="B2781" s="117" t="s">
        <v>305</v>
      </c>
      <c r="C2781" s="128">
        <f>C2752+C2761+C2768+C2779</f>
        <v>13440241</v>
      </c>
      <c r="D2781" s="128">
        <f t="shared" ref="D2781:O2781" si="633">D2752+D2761+D2768+D2779</f>
        <v>1425467.7999999998</v>
      </c>
      <c r="E2781" s="128">
        <f t="shared" si="633"/>
        <v>0</v>
      </c>
      <c r="F2781" s="128">
        <f t="shared" si="633"/>
        <v>7395675.6200000001</v>
      </c>
      <c r="G2781" s="128">
        <f t="shared" si="633"/>
        <v>6044565.3799999999</v>
      </c>
      <c r="H2781" s="128">
        <f t="shared" si="633"/>
        <v>2009.94</v>
      </c>
      <c r="I2781" s="128">
        <f t="shared" si="633"/>
        <v>138674.79</v>
      </c>
      <c r="J2781" s="128">
        <f t="shared" si="633"/>
        <v>13578915.790000001</v>
      </c>
      <c r="K2781" s="128">
        <f t="shared" si="633"/>
        <v>14418421.534900002</v>
      </c>
      <c r="L2781" s="128">
        <f t="shared" si="633"/>
        <v>15414559.818415402</v>
      </c>
      <c r="M2781" s="128">
        <f t="shared" si="633"/>
        <v>0</v>
      </c>
      <c r="N2781" s="128">
        <f t="shared" si="633"/>
        <v>0</v>
      </c>
      <c r="O2781" s="128">
        <f t="shared" si="633"/>
        <v>16479822.825476211</v>
      </c>
      <c r="P2781" s="123" t="str">
        <f t="shared" si="629"/>
        <v/>
      </c>
    </row>
    <row r="2782" spans="1:16" s="114" customFormat="1" ht="15" x14ac:dyDescent="0.25">
      <c r="A2782" s="118"/>
      <c r="B2782" s="117"/>
      <c r="C2782" s="128"/>
      <c r="D2782" s="128"/>
      <c r="E2782" s="128"/>
      <c r="F2782" s="128"/>
      <c r="G2782" s="128"/>
      <c r="H2782" s="128"/>
      <c r="I2782" s="129">
        <f>Community!J387</f>
        <v>0</v>
      </c>
      <c r="J2782" s="129"/>
      <c r="K2782" s="129"/>
      <c r="L2782" s="129"/>
      <c r="M2782" s="186"/>
      <c r="N2782" s="186"/>
      <c r="O2782" s="128"/>
      <c r="P2782" s="123" t="str">
        <f t="shared" si="629"/>
        <v/>
      </c>
    </row>
    <row r="2783" spans="1:16" s="114" customFormat="1" ht="15" x14ac:dyDescent="0.25">
      <c r="A2783" s="118"/>
      <c r="B2783" s="117" t="s">
        <v>306</v>
      </c>
      <c r="C2783" s="128">
        <f>C2712+C2781</f>
        <v>5174730</v>
      </c>
      <c r="D2783" s="128">
        <f t="shared" ref="D2783:O2783" si="634">D2712+D2781</f>
        <v>467497.82999999984</v>
      </c>
      <c r="E2783" s="128">
        <f t="shared" si="634"/>
        <v>0</v>
      </c>
      <c r="F2783" s="128">
        <f t="shared" si="634"/>
        <v>2835471.3099999996</v>
      </c>
      <c r="G2783" s="128">
        <f t="shared" si="634"/>
        <v>2372265.6900000004</v>
      </c>
      <c r="H2783" s="128">
        <f t="shared" si="634"/>
        <v>2086.27</v>
      </c>
      <c r="I2783" s="128">
        <f t="shared" si="634"/>
        <v>138674.79</v>
      </c>
      <c r="J2783" s="128">
        <f t="shared" si="634"/>
        <v>5313404.790000001</v>
      </c>
      <c r="K2783" s="128">
        <f t="shared" si="634"/>
        <v>5780962.539900003</v>
      </c>
      <c r="L2783" s="128">
        <f t="shared" si="634"/>
        <v>6377269.6950154025</v>
      </c>
      <c r="M2783" s="128">
        <f t="shared" si="634"/>
        <v>-1374652.85076152</v>
      </c>
      <c r="N2783" s="128">
        <f t="shared" si="634"/>
        <v>0</v>
      </c>
      <c r="O2783" s="128">
        <f t="shared" si="634"/>
        <v>7026817.3563998099</v>
      </c>
      <c r="P2783" s="123" t="str">
        <f t="shared" si="629"/>
        <v/>
      </c>
    </row>
    <row r="2784" spans="1:16" s="114" customFormat="1" ht="15" x14ac:dyDescent="0.25">
      <c r="A2784" s="118"/>
      <c r="B2784" s="117"/>
      <c r="C2784" s="128"/>
      <c r="D2784" s="128"/>
      <c r="E2784" s="128"/>
      <c r="F2784" s="128"/>
      <c r="G2784" s="128"/>
      <c r="H2784" s="128"/>
      <c r="I2784" s="129">
        <f>Community!J389</f>
        <v>0</v>
      </c>
      <c r="J2784" s="129"/>
      <c r="K2784" s="129"/>
      <c r="L2784" s="129"/>
      <c r="M2784" s="186"/>
      <c r="N2784" s="186"/>
      <c r="O2784" s="128"/>
      <c r="P2784" s="123" t="str">
        <f t="shared" si="629"/>
        <v/>
      </c>
    </row>
    <row r="2785" spans="1:16" s="114" customFormat="1" ht="15" x14ac:dyDescent="0.25">
      <c r="A2785" s="118"/>
      <c r="B2785" s="117" t="s">
        <v>308</v>
      </c>
      <c r="C2785" s="128"/>
      <c r="D2785" s="128"/>
      <c r="E2785" s="128"/>
      <c r="F2785" s="128"/>
      <c r="G2785" s="128"/>
      <c r="H2785" s="128"/>
      <c r="I2785" s="129">
        <f>Community!J390</f>
        <v>0</v>
      </c>
      <c r="J2785" s="129"/>
      <c r="K2785" s="129"/>
      <c r="L2785" s="129"/>
      <c r="M2785" s="186"/>
      <c r="N2785" s="186"/>
      <c r="O2785" s="128"/>
      <c r="P2785" s="123" t="str">
        <f t="shared" si="629"/>
        <v/>
      </c>
    </row>
    <row r="2786" spans="1:16" s="114" customFormat="1" ht="15" x14ac:dyDescent="0.25">
      <c r="A2786" s="118"/>
      <c r="B2786" s="117"/>
      <c r="C2786" s="128"/>
      <c r="D2786" s="128"/>
      <c r="E2786" s="128"/>
      <c r="F2786" s="128"/>
      <c r="G2786" s="128"/>
      <c r="H2786" s="128"/>
      <c r="I2786" s="129">
        <f>Community!J391</f>
        <v>0</v>
      </c>
      <c r="J2786" s="129"/>
      <c r="K2786" s="129"/>
      <c r="L2786" s="129"/>
      <c r="M2786" s="186"/>
      <c r="N2786" s="186"/>
      <c r="O2786" s="128"/>
      <c r="P2786" s="123" t="str">
        <f t="shared" si="629"/>
        <v/>
      </c>
    </row>
    <row r="2787" spans="1:16" x14ac:dyDescent="0.2">
      <c r="A2787" s="119" t="s">
        <v>1104</v>
      </c>
      <c r="B2787" s="120" t="s">
        <v>1105</v>
      </c>
      <c r="C2787" s="129">
        <v>100000</v>
      </c>
      <c r="D2787" s="129">
        <v>0</v>
      </c>
      <c r="E2787" s="129">
        <v>0</v>
      </c>
      <c r="F2787" s="129">
        <v>0</v>
      </c>
      <c r="G2787" s="129">
        <v>100000</v>
      </c>
      <c r="H2787" s="129">
        <v>0</v>
      </c>
      <c r="I2787" s="129">
        <f>Community!J392</f>
        <v>-100000</v>
      </c>
      <c r="J2787" s="129">
        <f>Community!K392</f>
        <v>0</v>
      </c>
      <c r="K2787" s="129">
        <f>Community!L392</f>
        <v>300000</v>
      </c>
      <c r="L2787" s="129">
        <f>Community!M392</f>
        <v>0</v>
      </c>
      <c r="O2787" s="129">
        <f>Community!N392</f>
        <v>0</v>
      </c>
      <c r="P2787" s="123" t="str">
        <f t="shared" si="629"/>
        <v>456</v>
      </c>
    </row>
    <row r="2788" spans="1:16" x14ac:dyDescent="0.2">
      <c r="A2788" s="119"/>
      <c r="B2788" s="120"/>
      <c r="C2788" s="129"/>
      <c r="D2788" s="129"/>
      <c r="E2788" s="129"/>
      <c r="F2788" s="129"/>
      <c r="G2788" s="129"/>
      <c r="H2788" s="129"/>
      <c r="I2788" s="129">
        <f>Community!J393</f>
        <v>0</v>
      </c>
      <c r="J2788" s="129"/>
      <c r="K2788" s="129"/>
      <c r="L2788" s="129"/>
      <c r="O2788" s="129"/>
      <c r="P2788" s="123" t="str">
        <f t="shared" si="629"/>
        <v/>
      </c>
    </row>
    <row r="2789" spans="1:16" s="114" customFormat="1" ht="15" x14ac:dyDescent="0.25">
      <c r="A2789" s="118"/>
      <c r="B2789" s="117" t="s">
        <v>320</v>
      </c>
      <c r="C2789" s="128">
        <f>SUM(C2787:C2788)</f>
        <v>100000</v>
      </c>
      <c r="D2789" s="128">
        <f t="shared" ref="D2789:O2789" si="635">SUM(D2787:D2788)</f>
        <v>0</v>
      </c>
      <c r="E2789" s="128">
        <f t="shared" si="635"/>
        <v>0</v>
      </c>
      <c r="F2789" s="128">
        <f t="shared" si="635"/>
        <v>0</v>
      </c>
      <c r="G2789" s="128">
        <f t="shared" si="635"/>
        <v>100000</v>
      </c>
      <c r="H2789" s="128">
        <f t="shared" si="635"/>
        <v>0</v>
      </c>
      <c r="I2789" s="128">
        <f t="shared" si="635"/>
        <v>-100000</v>
      </c>
      <c r="J2789" s="128">
        <f t="shared" si="635"/>
        <v>0</v>
      </c>
      <c r="K2789" s="128">
        <f t="shared" si="635"/>
        <v>300000</v>
      </c>
      <c r="L2789" s="128">
        <f t="shared" si="635"/>
        <v>0</v>
      </c>
      <c r="M2789" s="128">
        <f t="shared" si="635"/>
        <v>0</v>
      </c>
      <c r="N2789" s="128">
        <f t="shared" si="635"/>
        <v>0</v>
      </c>
      <c r="O2789" s="128">
        <f t="shared" si="635"/>
        <v>0</v>
      </c>
      <c r="P2789" s="123" t="str">
        <f t="shared" si="629"/>
        <v/>
      </c>
    </row>
    <row r="2790" spans="1:16" s="114" customFormat="1" ht="15" x14ac:dyDescent="0.25">
      <c r="A2790" s="118"/>
      <c r="B2790" s="117"/>
      <c r="C2790" s="128"/>
      <c r="D2790" s="128"/>
      <c r="E2790" s="128"/>
      <c r="F2790" s="128"/>
      <c r="G2790" s="128"/>
      <c r="H2790" s="128"/>
      <c r="I2790" s="129">
        <f>Community!J395</f>
        <v>0</v>
      </c>
      <c r="J2790" s="129"/>
      <c r="K2790" s="129"/>
      <c r="L2790" s="129"/>
      <c r="M2790" s="186"/>
      <c r="N2790" s="186"/>
      <c r="O2790" s="128"/>
      <c r="P2790" s="123" t="str">
        <f t="shared" si="629"/>
        <v/>
      </c>
    </row>
    <row r="2791" spans="1:16" s="114" customFormat="1" ht="15" x14ac:dyDescent="0.25">
      <c r="A2791" s="118"/>
      <c r="B2791" s="117" t="s">
        <v>1106</v>
      </c>
      <c r="C2791" s="128"/>
      <c r="D2791" s="128"/>
      <c r="E2791" s="128"/>
      <c r="F2791" s="128"/>
      <c r="G2791" s="128"/>
      <c r="H2791" s="128"/>
      <c r="I2791" s="129">
        <f>Community!J396</f>
        <v>0</v>
      </c>
      <c r="J2791" s="129"/>
      <c r="K2791" s="129"/>
      <c r="L2791" s="129"/>
      <c r="M2791" s="186"/>
      <c r="N2791" s="186"/>
      <c r="O2791" s="128"/>
      <c r="P2791" s="123" t="str">
        <f t="shared" si="629"/>
        <v/>
      </c>
    </row>
    <row r="2792" spans="1:16" s="114" customFormat="1" ht="15" x14ac:dyDescent="0.25">
      <c r="A2792" s="118"/>
      <c r="B2792" s="117" t="s">
        <v>9</v>
      </c>
      <c r="C2792" s="128"/>
      <c r="D2792" s="128"/>
      <c r="E2792" s="128"/>
      <c r="F2792" s="128"/>
      <c r="G2792" s="128"/>
      <c r="H2792" s="128"/>
      <c r="I2792" s="129">
        <f>Community!J397</f>
        <v>0</v>
      </c>
      <c r="J2792" s="129"/>
      <c r="K2792" s="129"/>
      <c r="L2792" s="129"/>
      <c r="M2792" s="186"/>
      <c r="N2792" s="186"/>
      <c r="O2792" s="128"/>
      <c r="P2792" s="123" t="str">
        <f t="shared" si="629"/>
        <v/>
      </c>
    </row>
    <row r="2793" spans="1:16" s="114" customFormat="1" ht="15" x14ac:dyDescent="0.25">
      <c r="A2793" s="118"/>
      <c r="B2793" s="117" t="s">
        <v>81</v>
      </c>
      <c r="C2793" s="128"/>
      <c r="D2793" s="128"/>
      <c r="E2793" s="128"/>
      <c r="F2793" s="128"/>
      <c r="G2793" s="128"/>
      <c r="H2793" s="128"/>
      <c r="I2793" s="129">
        <f>Community!J398</f>
        <v>0</v>
      </c>
      <c r="J2793" s="129"/>
      <c r="K2793" s="129"/>
      <c r="L2793" s="129"/>
      <c r="M2793" s="186"/>
      <c r="N2793" s="186"/>
      <c r="O2793" s="128"/>
      <c r="P2793" s="123" t="str">
        <f t="shared" si="629"/>
        <v/>
      </c>
    </row>
    <row r="2794" spans="1:16" x14ac:dyDescent="0.2">
      <c r="A2794" s="119"/>
      <c r="B2794" s="120"/>
      <c r="C2794" s="129"/>
      <c r="D2794" s="129"/>
      <c r="E2794" s="129"/>
      <c r="F2794" s="129"/>
      <c r="G2794" s="129"/>
      <c r="H2794" s="129"/>
      <c r="I2794" s="129">
        <f>Community!J399</f>
        <v>0</v>
      </c>
      <c r="J2794" s="129"/>
      <c r="K2794" s="129"/>
      <c r="L2794" s="129"/>
      <c r="O2794" s="129"/>
      <c r="P2794" s="123" t="str">
        <f t="shared" si="629"/>
        <v/>
      </c>
    </row>
    <row r="2795" spans="1:16" x14ac:dyDescent="0.2">
      <c r="A2795" s="119" t="s">
        <v>1107</v>
      </c>
      <c r="B2795" s="120" t="s">
        <v>83</v>
      </c>
      <c r="C2795" s="129">
        <v>-12565</v>
      </c>
      <c r="D2795" s="129">
        <v>-3408.84</v>
      </c>
      <c r="E2795" s="129">
        <v>0</v>
      </c>
      <c r="F2795" s="129">
        <v>-4408.84</v>
      </c>
      <c r="G2795" s="129">
        <v>-8156.16</v>
      </c>
      <c r="H2795" s="129">
        <v>35.08</v>
      </c>
      <c r="I2795" s="129">
        <f>Community!J400</f>
        <v>0</v>
      </c>
      <c r="J2795" s="129">
        <f>Community!K400</f>
        <v>-12565</v>
      </c>
      <c r="K2795" s="129">
        <f>Community!L400</f>
        <v>-13130.424999999999</v>
      </c>
      <c r="L2795" s="129">
        <f>Community!M400</f>
        <v>-13734.42455</v>
      </c>
      <c r="O2795" s="129">
        <f>Community!N400</f>
        <v>-14366.2080793</v>
      </c>
      <c r="P2795" s="123" t="str">
        <f t="shared" si="629"/>
        <v>420</v>
      </c>
    </row>
    <row r="2796" spans="1:16" x14ac:dyDescent="0.2">
      <c r="A2796" s="119"/>
      <c r="B2796" s="120"/>
      <c r="C2796" s="129"/>
      <c r="D2796" s="129"/>
      <c r="E2796" s="129"/>
      <c r="F2796" s="129"/>
      <c r="G2796" s="129"/>
      <c r="H2796" s="129"/>
      <c r="I2796" s="129">
        <f>Community!J401</f>
        <v>0</v>
      </c>
      <c r="J2796" s="129"/>
      <c r="K2796" s="129"/>
      <c r="L2796" s="129"/>
      <c r="O2796" s="129"/>
      <c r="P2796" s="123" t="str">
        <f t="shared" si="629"/>
        <v/>
      </c>
    </row>
    <row r="2797" spans="1:16" s="114" customFormat="1" ht="15" x14ac:dyDescent="0.25">
      <c r="A2797" s="118"/>
      <c r="B2797" s="117" t="s">
        <v>90</v>
      </c>
      <c r="C2797" s="128">
        <f>SUM(C2795:C2796)</f>
        <v>-12565</v>
      </c>
      <c r="D2797" s="128">
        <f t="shared" ref="D2797:O2797" si="636">SUM(D2795:D2796)</f>
        <v>-3408.84</v>
      </c>
      <c r="E2797" s="128">
        <f t="shared" si="636"/>
        <v>0</v>
      </c>
      <c r="F2797" s="128">
        <f t="shared" si="636"/>
        <v>-4408.84</v>
      </c>
      <c r="G2797" s="128">
        <f t="shared" si="636"/>
        <v>-8156.16</v>
      </c>
      <c r="H2797" s="128">
        <f t="shared" si="636"/>
        <v>35.08</v>
      </c>
      <c r="I2797" s="128">
        <f t="shared" si="636"/>
        <v>0</v>
      </c>
      <c r="J2797" s="128">
        <f t="shared" si="636"/>
        <v>-12565</v>
      </c>
      <c r="K2797" s="128">
        <f t="shared" si="636"/>
        <v>-13130.424999999999</v>
      </c>
      <c r="L2797" s="128">
        <f t="shared" si="636"/>
        <v>-13734.42455</v>
      </c>
      <c r="M2797" s="128">
        <f t="shared" si="636"/>
        <v>0</v>
      </c>
      <c r="N2797" s="128">
        <f t="shared" si="636"/>
        <v>0</v>
      </c>
      <c r="O2797" s="128">
        <f t="shared" si="636"/>
        <v>-14366.2080793</v>
      </c>
      <c r="P2797" s="123" t="str">
        <f t="shared" si="629"/>
        <v/>
      </c>
    </row>
    <row r="2798" spans="1:16" s="114" customFormat="1" ht="15" x14ac:dyDescent="0.25">
      <c r="A2798" s="118"/>
      <c r="B2798" s="117"/>
      <c r="C2798" s="128"/>
      <c r="D2798" s="128"/>
      <c r="E2798" s="128"/>
      <c r="F2798" s="128"/>
      <c r="G2798" s="128"/>
      <c r="H2798" s="128"/>
      <c r="I2798" s="129">
        <f>Community!J403</f>
        <v>0</v>
      </c>
      <c r="J2798" s="129"/>
      <c r="K2798" s="129"/>
      <c r="L2798" s="129"/>
      <c r="M2798" s="186"/>
      <c r="N2798" s="186"/>
      <c r="O2798" s="128"/>
      <c r="P2798" s="123" t="str">
        <f t="shared" si="629"/>
        <v/>
      </c>
    </row>
    <row r="2799" spans="1:16" s="114" customFormat="1" ht="15" x14ac:dyDescent="0.25">
      <c r="A2799" s="118"/>
      <c r="B2799" s="117" t="s">
        <v>94</v>
      </c>
      <c r="C2799" s="128">
        <f>C2797</f>
        <v>-12565</v>
      </c>
      <c r="D2799" s="128">
        <f t="shared" ref="D2799:O2799" si="637">D2797</f>
        <v>-3408.84</v>
      </c>
      <c r="E2799" s="128">
        <f t="shared" si="637"/>
        <v>0</v>
      </c>
      <c r="F2799" s="128">
        <f t="shared" si="637"/>
        <v>-4408.84</v>
      </c>
      <c r="G2799" s="128">
        <f t="shared" si="637"/>
        <v>-8156.16</v>
      </c>
      <c r="H2799" s="128">
        <f t="shared" si="637"/>
        <v>35.08</v>
      </c>
      <c r="I2799" s="128">
        <f t="shared" si="637"/>
        <v>0</v>
      </c>
      <c r="J2799" s="128">
        <f t="shared" si="637"/>
        <v>-12565</v>
      </c>
      <c r="K2799" s="128">
        <f t="shared" si="637"/>
        <v>-13130.424999999999</v>
      </c>
      <c r="L2799" s="128">
        <f t="shared" si="637"/>
        <v>-13734.42455</v>
      </c>
      <c r="M2799" s="128">
        <f t="shared" si="637"/>
        <v>0</v>
      </c>
      <c r="N2799" s="128">
        <f t="shared" si="637"/>
        <v>0</v>
      </c>
      <c r="O2799" s="128">
        <f t="shared" si="637"/>
        <v>-14366.2080793</v>
      </c>
      <c r="P2799" s="123" t="str">
        <f t="shared" si="629"/>
        <v/>
      </c>
    </row>
    <row r="2800" spans="1:16" s="114" customFormat="1" ht="15" x14ac:dyDescent="0.25">
      <c r="A2800" s="118"/>
      <c r="B2800" s="117"/>
      <c r="C2800" s="128"/>
      <c r="D2800" s="128"/>
      <c r="E2800" s="128"/>
      <c r="F2800" s="128"/>
      <c r="G2800" s="128"/>
      <c r="H2800" s="128"/>
      <c r="I2800" s="129">
        <f>Community!J405</f>
        <v>0</v>
      </c>
      <c r="J2800" s="129"/>
      <c r="K2800" s="129"/>
      <c r="L2800" s="129"/>
      <c r="M2800" s="186"/>
      <c r="N2800" s="186"/>
      <c r="O2800" s="128"/>
      <c r="P2800" s="123" t="str">
        <f t="shared" si="629"/>
        <v/>
      </c>
    </row>
    <row r="2801" spans="1:16" s="114" customFormat="1" ht="15" x14ac:dyDescent="0.25">
      <c r="A2801" s="118"/>
      <c r="B2801" s="117" t="s">
        <v>95</v>
      </c>
      <c r="C2801" s="128">
        <f>C2799</f>
        <v>-12565</v>
      </c>
      <c r="D2801" s="128">
        <f t="shared" ref="D2801:O2801" si="638">D2799</f>
        <v>-3408.84</v>
      </c>
      <c r="E2801" s="128">
        <f t="shared" si="638"/>
        <v>0</v>
      </c>
      <c r="F2801" s="128">
        <f t="shared" si="638"/>
        <v>-4408.84</v>
      </c>
      <c r="G2801" s="128">
        <f t="shared" si="638"/>
        <v>-8156.16</v>
      </c>
      <c r="H2801" s="128">
        <f t="shared" si="638"/>
        <v>35.08</v>
      </c>
      <c r="I2801" s="128">
        <f t="shared" si="638"/>
        <v>0</v>
      </c>
      <c r="J2801" s="128">
        <f t="shared" si="638"/>
        <v>-12565</v>
      </c>
      <c r="K2801" s="128">
        <f t="shared" si="638"/>
        <v>-13130.424999999999</v>
      </c>
      <c r="L2801" s="128">
        <f t="shared" si="638"/>
        <v>-13734.42455</v>
      </c>
      <c r="M2801" s="128">
        <f t="shared" si="638"/>
        <v>0</v>
      </c>
      <c r="N2801" s="128">
        <f t="shared" si="638"/>
        <v>0</v>
      </c>
      <c r="O2801" s="128">
        <f t="shared" si="638"/>
        <v>-14366.2080793</v>
      </c>
      <c r="P2801" s="123" t="str">
        <f t="shared" si="629"/>
        <v/>
      </c>
    </row>
    <row r="2802" spans="1:16" s="114" customFormat="1" ht="15" x14ac:dyDescent="0.25">
      <c r="A2802" s="118"/>
      <c r="B2802" s="117"/>
      <c r="C2802" s="128"/>
      <c r="D2802" s="128"/>
      <c r="E2802" s="128"/>
      <c r="F2802" s="128"/>
      <c r="G2802" s="128"/>
      <c r="H2802" s="128"/>
      <c r="I2802" s="129">
        <f>Community!J407</f>
        <v>0</v>
      </c>
      <c r="J2802" s="129"/>
      <c r="K2802" s="129"/>
      <c r="L2802" s="129"/>
      <c r="M2802" s="186"/>
      <c r="N2802" s="186"/>
      <c r="O2802" s="128"/>
      <c r="P2802" s="123" t="str">
        <f t="shared" si="629"/>
        <v/>
      </c>
    </row>
    <row r="2803" spans="1:16" s="114" customFormat="1" ht="15" x14ac:dyDescent="0.25">
      <c r="A2803" s="118"/>
      <c r="B2803" s="117" t="s">
        <v>96</v>
      </c>
      <c r="C2803" s="128"/>
      <c r="D2803" s="128"/>
      <c r="E2803" s="128"/>
      <c r="F2803" s="128"/>
      <c r="G2803" s="128"/>
      <c r="H2803" s="128"/>
      <c r="I2803" s="129">
        <f>Community!J408</f>
        <v>0</v>
      </c>
      <c r="J2803" s="129"/>
      <c r="K2803" s="129"/>
      <c r="L2803" s="129"/>
      <c r="M2803" s="186"/>
      <c r="N2803" s="186"/>
      <c r="O2803" s="128"/>
      <c r="P2803" s="123" t="str">
        <f t="shared" si="629"/>
        <v/>
      </c>
    </row>
    <row r="2804" spans="1:16" s="114" customFormat="1" ht="15" x14ac:dyDescent="0.25">
      <c r="A2804" s="118"/>
      <c r="B2804" s="117" t="s">
        <v>97</v>
      </c>
      <c r="C2804" s="128"/>
      <c r="D2804" s="128"/>
      <c r="E2804" s="128"/>
      <c r="F2804" s="128"/>
      <c r="G2804" s="128"/>
      <c r="H2804" s="128"/>
      <c r="I2804" s="129">
        <f>Community!J409</f>
        <v>0</v>
      </c>
      <c r="J2804" s="129"/>
      <c r="K2804" s="129"/>
      <c r="L2804" s="129"/>
      <c r="M2804" s="186"/>
      <c r="N2804" s="186"/>
      <c r="O2804" s="128"/>
      <c r="P2804" s="123" t="str">
        <f t="shared" si="629"/>
        <v/>
      </c>
    </row>
    <row r="2805" spans="1:16" s="114" customFormat="1" ht="15" x14ac:dyDescent="0.25">
      <c r="A2805" s="118"/>
      <c r="B2805" s="117" t="s">
        <v>148</v>
      </c>
      <c r="C2805" s="128"/>
      <c r="D2805" s="128"/>
      <c r="E2805" s="128"/>
      <c r="F2805" s="128"/>
      <c r="G2805" s="128"/>
      <c r="H2805" s="128"/>
      <c r="I2805" s="129">
        <f>Community!J410</f>
        <v>0</v>
      </c>
      <c r="J2805" s="129"/>
      <c r="K2805" s="129"/>
      <c r="L2805" s="129"/>
      <c r="M2805" s="186"/>
      <c r="N2805" s="186"/>
      <c r="O2805" s="128"/>
      <c r="P2805" s="123" t="str">
        <f t="shared" si="629"/>
        <v/>
      </c>
    </row>
    <row r="2806" spans="1:16" s="114" customFormat="1" ht="15" x14ac:dyDescent="0.25">
      <c r="A2806" s="118"/>
      <c r="B2806" s="117" t="s">
        <v>149</v>
      </c>
      <c r="C2806" s="128"/>
      <c r="D2806" s="128"/>
      <c r="E2806" s="128"/>
      <c r="F2806" s="128"/>
      <c r="G2806" s="128"/>
      <c r="H2806" s="128"/>
      <c r="I2806" s="129">
        <f>Community!J411</f>
        <v>0</v>
      </c>
      <c r="J2806" s="129"/>
      <c r="K2806" s="129"/>
      <c r="L2806" s="129"/>
      <c r="M2806" s="186"/>
      <c r="N2806" s="186"/>
      <c r="O2806" s="128"/>
      <c r="P2806" s="123" t="str">
        <f t="shared" si="629"/>
        <v/>
      </c>
    </row>
    <row r="2807" spans="1:16" x14ac:dyDescent="0.2">
      <c r="A2807" s="119"/>
      <c r="B2807" s="120"/>
      <c r="C2807" s="129"/>
      <c r="D2807" s="129"/>
      <c r="E2807" s="129"/>
      <c r="F2807" s="129"/>
      <c r="G2807" s="129"/>
      <c r="H2807" s="129"/>
      <c r="I2807" s="129">
        <f>Community!J412</f>
        <v>0</v>
      </c>
      <c r="J2807" s="129"/>
      <c r="K2807" s="129"/>
      <c r="L2807" s="129"/>
      <c r="O2807" s="129"/>
      <c r="P2807" s="123" t="str">
        <f t="shared" si="629"/>
        <v/>
      </c>
    </row>
    <row r="2808" spans="1:16" x14ac:dyDescent="0.2">
      <c r="A2808" s="119" t="s">
        <v>1108</v>
      </c>
      <c r="B2808" s="120" t="s">
        <v>150</v>
      </c>
      <c r="C2808" s="129">
        <v>666935</v>
      </c>
      <c r="D2808" s="129">
        <v>56122.27</v>
      </c>
      <c r="E2808" s="129">
        <v>0</v>
      </c>
      <c r="F2808" s="129">
        <v>334452.17</v>
      </c>
      <c r="G2808" s="129">
        <v>332482.83</v>
      </c>
      <c r="H2808" s="129">
        <v>50.14</v>
      </c>
      <c r="I2808" s="129">
        <f>Community!J413</f>
        <v>0</v>
      </c>
      <c r="J2808" s="129">
        <f>Community!K413</f>
        <v>666935</v>
      </c>
      <c r="K2808" s="129">
        <f>Community!L413</f>
        <v>708618.4375</v>
      </c>
      <c r="L2808" s="129">
        <f>Community!M413</f>
        <v>758221.72812500002</v>
      </c>
      <c r="O2808" s="129">
        <f>Community!N413</f>
        <v>811297.24909375003</v>
      </c>
      <c r="P2808" s="123" t="str">
        <f t="shared" si="629"/>
        <v>110</v>
      </c>
    </row>
    <row r="2809" spans="1:16" x14ac:dyDescent="0.2">
      <c r="A2809" s="119" t="s">
        <v>1109</v>
      </c>
      <c r="B2809" s="120" t="s">
        <v>151</v>
      </c>
      <c r="C2809" s="129">
        <v>30877</v>
      </c>
      <c r="D2809" s="129">
        <v>16934.18</v>
      </c>
      <c r="E2809" s="129">
        <v>0</v>
      </c>
      <c r="F2809" s="129">
        <v>58597.38</v>
      </c>
      <c r="G2809" s="129">
        <v>-27720.38</v>
      </c>
      <c r="H2809" s="129">
        <v>189.77</v>
      </c>
      <c r="I2809" s="129">
        <f>Community!J414</f>
        <v>-13942.82</v>
      </c>
      <c r="J2809" s="129">
        <f>Community!K414</f>
        <v>16934.18</v>
      </c>
      <c r="K2809" s="129">
        <f>Community!L414</f>
        <v>17992.56625</v>
      </c>
      <c r="L2809" s="129">
        <f>Community!M414</f>
        <v>19252.0458875</v>
      </c>
      <c r="O2809" s="129">
        <f>Community!N414</f>
        <v>20599.689099625</v>
      </c>
      <c r="P2809" s="123" t="str">
        <f t="shared" si="629"/>
        <v>110</v>
      </c>
    </row>
    <row r="2810" spans="1:16" x14ac:dyDescent="0.2">
      <c r="A2810" s="119" t="s">
        <v>1110</v>
      </c>
      <c r="B2810" s="120" t="s">
        <v>155</v>
      </c>
      <c r="C2810" s="129">
        <v>21927</v>
      </c>
      <c r="D2810" s="129">
        <v>0</v>
      </c>
      <c r="E2810" s="129">
        <v>0</v>
      </c>
      <c r="F2810" s="129">
        <v>0</v>
      </c>
      <c r="G2810" s="129">
        <v>21927</v>
      </c>
      <c r="H2810" s="129">
        <v>0</v>
      </c>
      <c r="I2810" s="129">
        <f>Community!J415</f>
        <v>0</v>
      </c>
      <c r="J2810" s="129">
        <f>Community!K415</f>
        <v>21927</v>
      </c>
      <c r="K2810" s="129">
        <f>Community!L415</f>
        <v>23297.4375</v>
      </c>
      <c r="L2810" s="129">
        <f>Community!M415</f>
        <v>24928.258125</v>
      </c>
      <c r="O2810" s="129">
        <f>Community!N415</f>
        <v>26673.236193749999</v>
      </c>
      <c r="P2810" s="123" t="str">
        <f t="shared" si="629"/>
        <v>110</v>
      </c>
    </row>
    <row r="2811" spans="1:16" x14ac:dyDescent="0.2">
      <c r="A2811" s="119" t="s">
        <v>1111</v>
      </c>
      <c r="B2811" s="120" t="s">
        <v>157</v>
      </c>
      <c r="C2811" s="129">
        <v>58869</v>
      </c>
      <c r="D2811" s="129">
        <v>0</v>
      </c>
      <c r="E2811" s="129">
        <v>0</v>
      </c>
      <c r="F2811" s="129">
        <v>3652.12</v>
      </c>
      <c r="G2811" s="129">
        <v>55216.88</v>
      </c>
      <c r="H2811" s="129">
        <v>6.2</v>
      </c>
      <c r="I2811" s="129">
        <f>Community!J416</f>
        <v>0</v>
      </c>
      <c r="J2811" s="129">
        <f>Community!K416</f>
        <v>58869</v>
      </c>
      <c r="K2811" s="129">
        <f>Community!L416</f>
        <v>62548.3125</v>
      </c>
      <c r="L2811" s="129">
        <f>Community!M416</f>
        <v>66926.694375000006</v>
      </c>
      <c r="O2811" s="129">
        <f>Community!N416</f>
        <v>71611.562981250012</v>
      </c>
      <c r="P2811" s="123" t="str">
        <f t="shared" si="629"/>
        <v>110</v>
      </c>
    </row>
    <row r="2812" spans="1:16" x14ac:dyDescent="0.2">
      <c r="A2812" s="119" t="s">
        <v>1112</v>
      </c>
      <c r="B2812" s="120" t="s">
        <v>159</v>
      </c>
      <c r="C2812" s="129">
        <v>55578</v>
      </c>
      <c r="D2812" s="129">
        <v>0</v>
      </c>
      <c r="E2812" s="129">
        <v>0</v>
      </c>
      <c r="F2812" s="129">
        <v>0</v>
      </c>
      <c r="G2812" s="129">
        <v>55578</v>
      </c>
      <c r="H2812" s="129">
        <v>0</v>
      </c>
      <c r="I2812" s="129">
        <f>Community!J417</f>
        <v>0</v>
      </c>
      <c r="J2812" s="129">
        <f>Community!K417</f>
        <v>55578</v>
      </c>
      <c r="K2812" s="129">
        <f>Community!L417</f>
        <v>59051.625</v>
      </c>
      <c r="L2812" s="129">
        <f>Community!M417</f>
        <v>63185.238750000004</v>
      </c>
      <c r="O2812" s="129">
        <f>Community!N417</f>
        <v>67608.205462500002</v>
      </c>
      <c r="P2812" s="123" t="str">
        <f t="shared" si="629"/>
        <v>110</v>
      </c>
    </row>
    <row r="2813" spans="1:16" x14ac:dyDescent="0.2">
      <c r="A2813" s="119" t="s">
        <v>1113</v>
      </c>
      <c r="B2813" s="120" t="s">
        <v>161</v>
      </c>
      <c r="C2813" s="129">
        <v>19114</v>
      </c>
      <c r="D2813" s="129">
        <v>0</v>
      </c>
      <c r="E2813" s="129">
        <v>0</v>
      </c>
      <c r="F2813" s="129">
        <v>17863.63</v>
      </c>
      <c r="G2813" s="129">
        <v>1250.3699999999999</v>
      </c>
      <c r="H2813" s="129">
        <v>93.45</v>
      </c>
      <c r="I2813" s="129">
        <f>Community!J418</f>
        <v>0</v>
      </c>
      <c r="J2813" s="129">
        <f>Community!K418</f>
        <v>19114</v>
      </c>
      <c r="K2813" s="129">
        <f>Community!L418</f>
        <v>20308.625</v>
      </c>
      <c r="L2813" s="129">
        <f>Community!M418</f>
        <v>21730.228749999998</v>
      </c>
      <c r="O2813" s="129">
        <f>Community!N418</f>
        <v>23251.344762499997</v>
      </c>
      <c r="P2813" s="123" t="str">
        <f t="shared" si="629"/>
        <v>110</v>
      </c>
    </row>
    <row r="2814" spans="1:16" x14ac:dyDescent="0.2">
      <c r="A2814" s="119" t="s">
        <v>1114</v>
      </c>
      <c r="B2814" s="120" t="s">
        <v>162</v>
      </c>
      <c r="C2814" s="129">
        <v>0</v>
      </c>
      <c r="D2814" s="129">
        <v>0</v>
      </c>
      <c r="E2814" s="129">
        <v>0</v>
      </c>
      <c r="F2814" s="129">
        <v>1254.3599999999999</v>
      </c>
      <c r="G2814" s="129">
        <v>-1254.3599999999999</v>
      </c>
      <c r="H2814" s="129">
        <v>0</v>
      </c>
      <c r="I2814" s="129">
        <f>Community!J419</f>
        <v>3000</v>
      </c>
      <c r="J2814" s="129">
        <f>Community!K419</f>
        <v>3000</v>
      </c>
      <c r="K2814" s="129">
        <f>Community!L419</f>
        <v>3187.5</v>
      </c>
      <c r="L2814" s="129">
        <f>Community!M419</f>
        <v>3410.625</v>
      </c>
      <c r="O2814" s="129">
        <f>Community!N419</f>
        <v>3649.3687500000001</v>
      </c>
      <c r="P2814" s="123" t="str">
        <f t="shared" si="629"/>
        <v>110</v>
      </c>
    </row>
    <row r="2815" spans="1:16" x14ac:dyDescent="0.2">
      <c r="A2815" s="119"/>
      <c r="B2815" s="120"/>
      <c r="C2815" s="129"/>
      <c r="D2815" s="129"/>
      <c r="E2815" s="129"/>
      <c r="F2815" s="129"/>
      <c r="G2815" s="129"/>
      <c r="H2815" s="129"/>
      <c r="I2815" s="129">
        <f>Community!J420</f>
        <v>0</v>
      </c>
      <c r="J2815" s="129"/>
      <c r="O2815" s="129"/>
      <c r="P2815" s="123" t="str">
        <f t="shared" si="629"/>
        <v/>
      </c>
    </row>
    <row r="2816" spans="1:16" s="114" customFormat="1" ht="15" x14ac:dyDescent="0.25">
      <c r="A2816" s="118"/>
      <c r="B2816" s="117" t="s">
        <v>165</v>
      </c>
      <c r="C2816" s="128">
        <f>SUM(C2808:C2815)</f>
        <v>853300</v>
      </c>
      <c r="D2816" s="128">
        <f t="shared" ref="D2816:O2816" si="639">SUM(D2808:D2815)</f>
        <v>73056.45</v>
      </c>
      <c r="E2816" s="128">
        <f t="shared" si="639"/>
        <v>0</v>
      </c>
      <c r="F2816" s="128">
        <f t="shared" si="639"/>
        <v>415819.66</v>
      </c>
      <c r="G2816" s="128">
        <f t="shared" si="639"/>
        <v>437480.34</v>
      </c>
      <c r="H2816" s="128">
        <f t="shared" si="639"/>
        <v>339.56</v>
      </c>
      <c r="I2816" s="128">
        <f t="shared" si="639"/>
        <v>-10942.82</v>
      </c>
      <c r="J2816" s="128">
        <f t="shared" si="639"/>
        <v>842357.18</v>
      </c>
      <c r="K2816" s="128">
        <f t="shared" si="639"/>
        <v>895004.50375000003</v>
      </c>
      <c r="L2816" s="128">
        <f t="shared" si="639"/>
        <v>957654.81901250011</v>
      </c>
      <c r="M2816" s="128">
        <f t="shared" si="639"/>
        <v>0</v>
      </c>
      <c r="N2816" s="128">
        <f t="shared" si="639"/>
        <v>0</v>
      </c>
      <c r="O2816" s="128">
        <f t="shared" si="639"/>
        <v>1024690.6563433751</v>
      </c>
      <c r="P2816" s="123" t="str">
        <f t="shared" si="629"/>
        <v/>
      </c>
    </row>
    <row r="2817" spans="1:16" s="114" customFormat="1" ht="15" x14ac:dyDescent="0.25">
      <c r="A2817" s="118"/>
      <c r="B2817" s="117"/>
      <c r="C2817" s="128"/>
      <c r="D2817" s="128"/>
      <c r="E2817" s="128"/>
      <c r="F2817" s="128"/>
      <c r="G2817" s="128"/>
      <c r="H2817" s="128"/>
      <c r="I2817" s="129">
        <f>Community!J422</f>
        <v>0</v>
      </c>
      <c r="J2817" s="129"/>
      <c r="K2817" s="129"/>
      <c r="L2817" s="213"/>
      <c r="M2817" s="186"/>
      <c r="N2817" s="186"/>
      <c r="O2817" s="128"/>
      <c r="P2817" s="123" t="str">
        <f t="shared" si="629"/>
        <v/>
      </c>
    </row>
    <row r="2818" spans="1:16" s="114" customFormat="1" ht="15" x14ac:dyDescent="0.25">
      <c r="A2818" s="118"/>
      <c r="B2818" s="117" t="s">
        <v>166</v>
      </c>
      <c r="C2818" s="128"/>
      <c r="D2818" s="128"/>
      <c r="E2818" s="128"/>
      <c r="F2818" s="128"/>
      <c r="G2818" s="128"/>
      <c r="H2818" s="128"/>
      <c r="I2818" s="129">
        <f>Community!J423</f>
        <v>0</v>
      </c>
      <c r="J2818" s="129"/>
      <c r="K2818" s="129"/>
      <c r="L2818" s="213"/>
      <c r="M2818" s="186"/>
      <c r="N2818" s="186"/>
      <c r="O2818" s="128"/>
      <c r="P2818" s="123" t="str">
        <f t="shared" si="629"/>
        <v/>
      </c>
    </row>
    <row r="2819" spans="1:16" x14ac:dyDescent="0.2">
      <c r="A2819" s="119"/>
      <c r="B2819" s="120"/>
      <c r="C2819" s="129"/>
      <c r="D2819" s="129"/>
      <c r="E2819" s="129"/>
      <c r="F2819" s="129"/>
      <c r="G2819" s="129"/>
      <c r="H2819" s="129"/>
      <c r="I2819" s="129">
        <f>Community!J424</f>
        <v>0</v>
      </c>
      <c r="J2819" s="129"/>
      <c r="K2819" s="129"/>
      <c r="O2819" s="129"/>
      <c r="P2819" s="123" t="str">
        <f t="shared" si="629"/>
        <v/>
      </c>
    </row>
    <row r="2820" spans="1:16" x14ac:dyDescent="0.2">
      <c r="A2820" s="119" t="s">
        <v>1115</v>
      </c>
      <c r="B2820" s="120" t="s">
        <v>167</v>
      </c>
      <c r="C2820" s="129">
        <v>449</v>
      </c>
      <c r="D2820" s="129">
        <v>37.28</v>
      </c>
      <c r="E2820" s="129">
        <v>0</v>
      </c>
      <c r="F2820" s="129">
        <v>223.68</v>
      </c>
      <c r="G2820" s="129">
        <v>225.32</v>
      </c>
      <c r="H2820" s="129">
        <v>49.81</v>
      </c>
      <c r="I2820" s="129">
        <f>Community!J425</f>
        <v>0</v>
      </c>
      <c r="J2820" s="129">
        <f>Community!K425</f>
        <v>449</v>
      </c>
      <c r="K2820" s="129">
        <f>Community!L425</f>
        <v>477.0625</v>
      </c>
      <c r="L2820" s="129">
        <f>Community!M425</f>
        <v>510.45687499999997</v>
      </c>
      <c r="O2820" s="129">
        <f>Community!N425</f>
        <v>546.18885624999996</v>
      </c>
      <c r="P2820" s="123" t="str">
        <f t="shared" si="629"/>
        <v>130</v>
      </c>
    </row>
    <row r="2821" spans="1:16" x14ac:dyDescent="0.2">
      <c r="A2821" s="119" t="s">
        <v>1116</v>
      </c>
      <c r="B2821" s="120" t="s">
        <v>168</v>
      </c>
      <c r="C2821" s="129">
        <v>67191</v>
      </c>
      <c r="D2821" s="129">
        <v>6231</v>
      </c>
      <c r="E2821" s="129">
        <v>0</v>
      </c>
      <c r="F2821" s="129">
        <v>37386</v>
      </c>
      <c r="G2821" s="129">
        <v>29805</v>
      </c>
      <c r="H2821" s="129">
        <v>55.64</v>
      </c>
      <c r="I2821" s="129">
        <f>Community!J426</f>
        <v>0</v>
      </c>
      <c r="J2821" s="129">
        <f>Community!K426</f>
        <v>67191</v>
      </c>
      <c r="K2821" s="129">
        <f>Community!L426</f>
        <v>71390.4375</v>
      </c>
      <c r="L2821" s="129">
        <f>Community!M426</f>
        <v>76387.768125000002</v>
      </c>
      <c r="O2821" s="129">
        <f>Community!N426</f>
        <v>81734.911893750002</v>
      </c>
      <c r="P2821" s="123" t="str">
        <f t="shared" si="629"/>
        <v>130</v>
      </c>
    </row>
    <row r="2822" spans="1:16" x14ac:dyDescent="0.2">
      <c r="A2822" s="119" t="s">
        <v>1117</v>
      </c>
      <c r="B2822" s="120" t="s">
        <v>169</v>
      </c>
      <c r="C2822" s="129">
        <v>146726</v>
      </c>
      <c r="D2822" s="129">
        <v>11390.62</v>
      </c>
      <c r="E2822" s="129">
        <v>0</v>
      </c>
      <c r="F2822" s="129">
        <v>67897.960000000006</v>
      </c>
      <c r="G2822" s="129">
        <v>78828.039999999994</v>
      </c>
      <c r="H2822" s="129">
        <v>46.27</v>
      </c>
      <c r="I2822" s="129">
        <f>Community!J427</f>
        <v>0</v>
      </c>
      <c r="J2822" s="129">
        <f>Community!K427</f>
        <v>146726</v>
      </c>
      <c r="K2822" s="129">
        <f>Community!L427</f>
        <v>155896.375</v>
      </c>
      <c r="L2822" s="129">
        <f>Community!M427</f>
        <v>166809.12125</v>
      </c>
      <c r="O2822" s="129">
        <f>Community!N427</f>
        <v>178485.75973749999</v>
      </c>
      <c r="P2822" s="123" t="str">
        <f t="shared" si="629"/>
        <v>130</v>
      </c>
    </row>
    <row r="2823" spans="1:16" x14ac:dyDescent="0.2">
      <c r="A2823" s="119" t="s">
        <v>1118</v>
      </c>
      <c r="B2823" s="120" t="s">
        <v>170</v>
      </c>
      <c r="C2823" s="129">
        <v>7140</v>
      </c>
      <c r="D2823" s="129">
        <v>592.99</v>
      </c>
      <c r="E2823" s="129">
        <v>0</v>
      </c>
      <c r="F2823" s="129">
        <v>3559.83</v>
      </c>
      <c r="G2823" s="129">
        <v>3580.17</v>
      </c>
      <c r="H2823" s="129">
        <v>49.85</v>
      </c>
      <c r="I2823" s="129">
        <f>Community!J428</f>
        <v>0</v>
      </c>
      <c r="J2823" s="129">
        <f>Community!K428</f>
        <v>7140</v>
      </c>
      <c r="K2823" s="129">
        <f>Community!L428</f>
        <v>7586.25</v>
      </c>
      <c r="L2823" s="129">
        <f>Community!M428</f>
        <v>8117.2875000000004</v>
      </c>
      <c r="O2823" s="129">
        <f>Community!N428</f>
        <v>8685.497625</v>
      </c>
      <c r="P2823" s="123" t="str">
        <f t="shared" ref="P2823:P2886" si="640">MID(A2823,6,3)</f>
        <v>130</v>
      </c>
    </row>
    <row r="2824" spans="1:16" x14ac:dyDescent="0.2">
      <c r="A2824" s="119"/>
      <c r="B2824" s="120"/>
      <c r="C2824" s="129"/>
      <c r="D2824" s="129"/>
      <c r="E2824" s="129"/>
      <c r="F2824" s="129"/>
      <c r="G2824" s="129"/>
      <c r="H2824" s="129"/>
      <c r="I2824" s="129">
        <f>Community!J429</f>
        <v>0</v>
      </c>
      <c r="J2824" s="129"/>
      <c r="K2824" s="129"/>
      <c r="L2824" s="129"/>
      <c r="O2824" s="129"/>
      <c r="P2824" s="123" t="str">
        <f t="shared" si="640"/>
        <v/>
      </c>
    </row>
    <row r="2825" spans="1:16" s="114" customFormat="1" ht="15" x14ac:dyDescent="0.25">
      <c r="A2825" s="118"/>
      <c r="B2825" s="117" t="s">
        <v>171</v>
      </c>
      <c r="C2825" s="128">
        <f>SUM(C2820:C2824)</f>
        <v>221506</v>
      </c>
      <c r="D2825" s="128">
        <f t="shared" ref="D2825:O2825" si="641">SUM(D2820:D2824)</f>
        <v>18251.890000000003</v>
      </c>
      <c r="E2825" s="128">
        <f t="shared" si="641"/>
        <v>0</v>
      </c>
      <c r="F2825" s="128">
        <f t="shared" si="641"/>
        <v>109067.47000000002</v>
      </c>
      <c r="G2825" s="128">
        <f t="shared" si="641"/>
        <v>112438.52999999998</v>
      </c>
      <c r="H2825" s="128">
        <f t="shared" si="641"/>
        <v>201.57</v>
      </c>
      <c r="I2825" s="128">
        <f t="shared" si="641"/>
        <v>0</v>
      </c>
      <c r="J2825" s="128">
        <f t="shared" si="641"/>
        <v>221506</v>
      </c>
      <c r="K2825" s="128">
        <f t="shared" si="641"/>
        <v>235350.125</v>
      </c>
      <c r="L2825" s="128">
        <f t="shared" si="641"/>
        <v>251824.63375000001</v>
      </c>
      <c r="M2825" s="128">
        <f t="shared" si="641"/>
        <v>0</v>
      </c>
      <c r="N2825" s="128">
        <f t="shared" si="641"/>
        <v>0</v>
      </c>
      <c r="O2825" s="128">
        <f t="shared" si="641"/>
        <v>269452.35811249999</v>
      </c>
      <c r="P2825" s="123" t="str">
        <f t="shared" si="640"/>
        <v/>
      </c>
    </row>
    <row r="2826" spans="1:16" s="114" customFormat="1" ht="15" x14ac:dyDescent="0.25">
      <c r="A2826" s="118"/>
      <c r="B2826" s="117"/>
      <c r="C2826" s="128"/>
      <c r="D2826" s="128"/>
      <c r="E2826" s="128"/>
      <c r="F2826" s="128"/>
      <c r="G2826" s="128"/>
      <c r="H2826" s="128"/>
      <c r="I2826" s="129">
        <f>Community!J431</f>
        <v>0</v>
      </c>
      <c r="J2826" s="129"/>
      <c r="K2826" s="129"/>
      <c r="L2826" s="129"/>
      <c r="M2826" s="186"/>
      <c r="N2826" s="186"/>
      <c r="O2826" s="128"/>
      <c r="P2826" s="123" t="str">
        <f t="shared" si="640"/>
        <v/>
      </c>
    </row>
    <row r="2827" spans="1:16" s="114" customFormat="1" ht="15" x14ac:dyDescent="0.25">
      <c r="A2827" s="118"/>
      <c r="B2827" s="117" t="s">
        <v>172</v>
      </c>
      <c r="C2827" s="128"/>
      <c r="D2827" s="128"/>
      <c r="E2827" s="128"/>
      <c r="F2827" s="128"/>
      <c r="G2827" s="128"/>
      <c r="H2827" s="128"/>
      <c r="I2827" s="129">
        <f>Community!J432</f>
        <v>0</v>
      </c>
      <c r="J2827" s="129"/>
      <c r="K2827" s="129"/>
      <c r="L2827" s="129"/>
      <c r="M2827" s="186"/>
      <c r="N2827" s="186"/>
      <c r="O2827" s="128"/>
      <c r="P2827" s="123" t="str">
        <f t="shared" si="640"/>
        <v/>
      </c>
    </row>
    <row r="2828" spans="1:16" x14ac:dyDescent="0.2">
      <c r="A2828" s="119"/>
      <c r="B2828" s="120"/>
      <c r="C2828" s="129"/>
      <c r="D2828" s="129"/>
      <c r="E2828" s="129"/>
      <c r="F2828" s="129"/>
      <c r="G2828" s="129"/>
      <c r="H2828" s="129"/>
      <c r="I2828" s="129">
        <f>Community!J433</f>
        <v>0</v>
      </c>
      <c r="J2828" s="129"/>
      <c r="K2828" s="129"/>
      <c r="L2828" s="129"/>
      <c r="O2828" s="129"/>
      <c r="P2828" s="123" t="str">
        <f t="shared" si="640"/>
        <v/>
      </c>
    </row>
    <row r="2829" spans="1:16" x14ac:dyDescent="0.2">
      <c r="A2829" s="119" t="s">
        <v>1119</v>
      </c>
      <c r="B2829" s="120" t="s">
        <v>173</v>
      </c>
      <c r="C2829" s="129">
        <v>46893</v>
      </c>
      <c r="D2829" s="129">
        <v>0</v>
      </c>
      <c r="E2829" s="129">
        <v>0</v>
      </c>
      <c r="F2829" s="129">
        <v>0</v>
      </c>
      <c r="G2829" s="129">
        <v>46893</v>
      </c>
      <c r="H2829" s="129">
        <v>0</v>
      </c>
      <c r="I2829" s="129">
        <f>Community!J434</f>
        <v>0</v>
      </c>
      <c r="J2829" s="129">
        <f>Community!K434</f>
        <v>46893</v>
      </c>
      <c r="K2829" s="129">
        <f>Community!L434</f>
        <v>49823.8125</v>
      </c>
      <c r="L2829" s="129">
        <f>Community!M434</f>
        <v>53311.479375000003</v>
      </c>
      <c r="O2829" s="129">
        <f>Community!N434</f>
        <v>57043.282931250003</v>
      </c>
      <c r="P2829" s="123" t="str">
        <f t="shared" si="640"/>
        <v>140</v>
      </c>
    </row>
    <row r="2830" spans="1:16" x14ac:dyDescent="0.2">
      <c r="A2830" s="119" t="s">
        <v>1120</v>
      </c>
      <c r="B2830" s="120" t="s">
        <v>174</v>
      </c>
      <c r="C2830" s="129">
        <v>26482</v>
      </c>
      <c r="D2830" s="129">
        <v>0</v>
      </c>
      <c r="E2830" s="129">
        <v>0</v>
      </c>
      <c r="F2830" s="129">
        <v>0</v>
      </c>
      <c r="G2830" s="129">
        <v>26482</v>
      </c>
      <c r="H2830" s="129">
        <v>0</v>
      </c>
      <c r="I2830" s="129">
        <f>Community!J435</f>
        <v>0</v>
      </c>
      <c r="J2830" s="129">
        <f>Community!K435</f>
        <v>26482</v>
      </c>
      <c r="K2830" s="129">
        <f>Community!L435</f>
        <v>28137.125</v>
      </c>
      <c r="L2830" s="129">
        <f>Community!M435</f>
        <v>30106.723750000001</v>
      </c>
      <c r="O2830" s="129">
        <f>Community!N435</f>
        <v>32214.194412500001</v>
      </c>
      <c r="P2830" s="123" t="str">
        <f t="shared" si="640"/>
        <v>140</v>
      </c>
    </row>
    <row r="2831" spans="1:16" x14ac:dyDescent="0.2">
      <c r="A2831" s="119" t="s">
        <v>1121</v>
      </c>
      <c r="B2831" s="120" t="s">
        <v>175</v>
      </c>
      <c r="C2831" s="129">
        <v>4306</v>
      </c>
      <c r="D2831" s="129">
        <v>0</v>
      </c>
      <c r="E2831" s="129">
        <v>0</v>
      </c>
      <c r="F2831" s="129">
        <v>0</v>
      </c>
      <c r="G2831" s="129">
        <v>4306</v>
      </c>
      <c r="H2831" s="129">
        <v>0</v>
      </c>
      <c r="I2831" s="129">
        <f>Community!J436</f>
        <v>0</v>
      </c>
      <c r="J2831" s="129">
        <f>Community!K436</f>
        <v>4306</v>
      </c>
      <c r="K2831" s="129">
        <f>Community!L436</f>
        <v>4575.125</v>
      </c>
      <c r="L2831" s="129">
        <f>Community!M436</f>
        <v>4895.38375</v>
      </c>
      <c r="O2831" s="129">
        <f>Community!N436</f>
        <v>5238.0606124999995</v>
      </c>
      <c r="P2831" s="123" t="str">
        <f t="shared" si="640"/>
        <v>142</v>
      </c>
    </row>
    <row r="2832" spans="1:16" x14ac:dyDescent="0.2">
      <c r="A2832" s="119"/>
      <c r="B2832" s="120"/>
      <c r="C2832" s="129"/>
      <c r="D2832" s="129"/>
      <c r="E2832" s="129"/>
      <c r="F2832" s="129"/>
      <c r="G2832" s="129"/>
      <c r="H2832" s="129"/>
      <c r="I2832" s="129">
        <f>Community!J437</f>
        <v>0</v>
      </c>
      <c r="J2832" s="129"/>
      <c r="K2832" s="129"/>
      <c r="L2832" s="129"/>
      <c r="O2832" s="129"/>
      <c r="P2832" s="123" t="str">
        <f t="shared" si="640"/>
        <v/>
      </c>
    </row>
    <row r="2833" spans="1:16" s="114" customFormat="1" ht="15" x14ac:dyDescent="0.25">
      <c r="A2833" s="118"/>
      <c r="B2833" s="117" t="s">
        <v>176</v>
      </c>
      <c r="C2833" s="128">
        <f>SUM(C2829:C2832)</f>
        <v>77681</v>
      </c>
      <c r="D2833" s="128">
        <f t="shared" ref="D2833:O2833" si="642">SUM(D2829:D2832)</f>
        <v>0</v>
      </c>
      <c r="E2833" s="128">
        <f t="shared" si="642"/>
        <v>0</v>
      </c>
      <c r="F2833" s="128">
        <f t="shared" si="642"/>
        <v>0</v>
      </c>
      <c r="G2833" s="128">
        <f t="shared" si="642"/>
        <v>77681</v>
      </c>
      <c r="H2833" s="128">
        <f t="shared" si="642"/>
        <v>0</v>
      </c>
      <c r="I2833" s="128">
        <f t="shared" si="642"/>
        <v>0</v>
      </c>
      <c r="J2833" s="128">
        <f t="shared" si="642"/>
        <v>77681</v>
      </c>
      <c r="K2833" s="128">
        <f t="shared" si="642"/>
        <v>82536.0625</v>
      </c>
      <c r="L2833" s="128">
        <f t="shared" si="642"/>
        <v>88313.586874999994</v>
      </c>
      <c r="M2833" s="128">
        <f t="shared" si="642"/>
        <v>0</v>
      </c>
      <c r="N2833" s="128">
        <f t="shared" si="642"/>
        <v>0</v>
      </c>
      <c r="O2833" s="128">
        <f t="shared" si="642"/>
        <v>94495.537956250017</v>
      </c>
      <c r="P2833" s="123" t="str">
        <f t="shared" si="640"/>
        <v/>
      </c>
    </row>
    <row r="2834" spans="1:16" s="114" customFormat="1" ht="15" x14ac:dyDescent="0.25">
      <c r="A2834" s="118"/>
      <c r="B2834" s="117"/>
      <c r="C2834" s="128"/>
      <c r="D2834" s="128"/>
      <c r="E2834" s="128"/>
      <c r="F2834" s="128"/>
      <c r="G2834" s="128"/>
      <c r="H2834" s="128"/>
      <c r="I2834" s="129">
        <f>Community!J439</f>
        <v>0</v>
      </c>
      <c r="J2834" s="129"/>
      <c r="K2834" s="129"/>
      <c r="L2834" s="129"/>
      <c r="M2834" s="186"/>
      <c r="N2834" s="186"/>
      <c r="O2834" s="128"/>
      <c r="P2834" s="123" t="str">
        <f t="shared" si="640"/>
        <v/>
      </c>
    </row>
    <row r="2835" spans="1:16" s="114" customFormat="1" ht="15" x14ac:dyDescent="0.25">
      <c r="A2835" s="118"/>
      <c r="B2835" s="117" t="s">
        <v>177</v>
      </c>
      <c r="C2835" s="128">
        <f>C2816+C2825+C2833</f>
        <v>1152487</v>
      </c>
      <c r="D2835" s="128">
        <f t="shared" ref="D2835:O2835" si="643">D2816+D2825+D2833</f>
        <v>91308.34</v>
      </c>
      <c r="E2835" s="128">
        <f t="shared" si="643"/>
        <v>0</v>
      </c>
      <c r="F2835" s="128">
        <f t="shared" si="643"/>
        <v>524887.13</v>
      </c>
      <c r="G2835" s="128">
        <f t="shared" si="643"/>
        <v>627599.87</v>
      </c>
      <c r="H2835" s="128">
        <f t="shared" si="643"/>
        <v>541.13</v>
      </c>
      <c r="I2835" s="128">
        <f t="shared" si="643"/>
        <v>-10942.82</v>
      </c>
      <c r="J2835" s="128">
        <f t="shared" si="643"/>
        <v>1141544.1800000002</v>
      </c>
      <c r="K2835" s="128">
        <f t="shared" si="643"/>
        <v>1212890.6912500001</v>
      </c>
      <c r="L2835" s="128">
        <f t="shared" si="643"/>
        <v>1297793.0396375002</v>
      </c>
      <c r="M2835" s="128">
        <f t="shared" si="643"/>
        <v>0</v>
      </c>
      <c r="N2835" s="128">
        <f t="shared" si="643"/>
        <v>0</v>
      </c>
      <c r="O2835" s="128">
        <f t="shared" si="643"/>
        <v>1388638.5524121253</v>
      </c>
      <c r="P2835" s="123" t="str">
        <f t="shared" si="640"/>
        <v/>
      </c>
    </row>
    <row r="2836" spans="1:16" s="114" customFormat="1" ht="15" x14ac:dyDescent="0.25">
      <c r="A2836" s="118"/>
      <c r="B2836" s="117"/>
      <c r="C2836" s="128"/>
      <c r="D2836" s="128"/>
      <c r="E2836" s="128"/>
      <c r="F2836" s="128"/>
      <c r="G2836" s="128"/>
      <c r="H2836" s="128"/>
      <c r="I2836" s="129">
        <f>Community!J441</f>
        <v>0</v>
      </c>
      <c r="J2836" s="129"/>
      <c r="K2836" s="129"/>
      <c r="L2836" s="129"/>
      <c r="M2836" s="186"/>
      <c r="N2836" s="186"/>
      <c r="O2836" s="128"/>
      <c r="P2836" s="123" t="str">
        <f t="shared" si="640"/>
        <v/>
      </c>
    </row>
    <row r="2837" spans="1:16" s="114" customFormat="1" ht="15" x14ac:dyDescent="0.25">
      <c r="A2837" s="118"/>
      <c r="B2837" s="117" t="s">
        <v>178</v>
      </c>
      <c r="C2837" s="128">
        <f>C2835</f>
        <v>1152487</v>
      </c>
      <c r="D2837" s="128">
        <f t="shared" ref="D2837:O2837" si="644">D2835</f>
        <v>91308.34</v>
      </c>
      <c r="E2837" s="128">
        <f t="shared" si="644"/>
        <v>0</v>
      </c>
      <c r="F2837" s="128">
        <f t="shared" si="644"/>
        <v>524887.13</v>
      </c>
      <c r="G2837" s="128">
        <f t="shared" si="644"/>
        <v>627599.87</v>
      </c>
      <c r="H2837" s="128">
        <f t="shared" si="644"/>
        <v>541.13</v>
      </c>
      <c r="I2837" s="128">
        <f t="shared" si="644"/>
        <v>-10942.82</v>
      </c>
      <c r="J2837" s="128">
        <f t="shared" si="644"/>
        <v>1141544.1800000002</v>
      </c>
      <c r="K2837" s="128">
        <f t="shared" si="644"/>
        <v>1212890.6912500001</v>
      </c>
      <c r="L2837" s="128">
        <f t="shared" si="644"/>
        <v>1297793.0396375002</v>
      </c>
      <c r="M2837" s="128">
        <f t="shared" si="644"/>
        <v>0</v>
      </c>
      <c r="N2837" s="128">
        <f t="shared" si="644"/>
        <v>0</v>
      </c>
      <c r="O2837" s="128">
        <f t="shared" si="644"/>
        <v>1388638.5524121253</v>
      </c>
      <c r="P2837" s="123" t="str">
        <f t="shared" si="640"/>
        <v/>
      </c>
    </row>
    <row r="2838" spans="1:16" s="114" customFormat="1" ht="15" x14ac:dyDescent="0.25">
      <c r="A2838" s="118"/>
      <c r="B2838" s="117"/>
      <c r="C2838" s="128"/>
      <c r="D2838" s="128"/>
      <c r="E2838" s="128"/>
      <c r="F2838" s="128"/>
      <c r="G2838" s="128"/>
      <c r="H2838" s="128"/>
      <c r="I2838" s="129">
        <f>Community!J443</f>
        <v>0</v>
      </c>
      <c r="J2838" s="129"/>
      <c r="K2838" s="129"/>
      <c r="L2838" s="129"/>
      <c r="M2838" s="186"/>
      <c r="N2838" s="186"/>
      <c r="O2838" s="128"/>
      <c r="P2838" s="123" t="str">
        <f t="shared" si="640"/>
        <v/>
      </c>
    </row>
    <row r="2839" spans="1:16" s="114" customFormat="1" ht="15" x14ac:dyDescent="0.25">
      <c r="A2839" s="118"/>
      <c r="B2839" s="117" t="s">
        <v>208</v>
      </c>
      <c r="C2839" s="128"/>
      <c r="D2839" s="128"/>
      <c r="E2839" s="128"/>
      <c r="F2839" s="128"/>
      <c r="G2839" s="128"/>
      <c r="H2839" s="128"/>
      <c r="I2839" s="129">
        <f>Community!J444</f>
        <v>0</v>
      </c>
      <c r="J2839" s="129"/>
      <c r="K2839" s="129"/>
      <c r="L2839" s="129"/>
      <c r="M2839" s="186"/>
      <c r="N2839" s="186"/>
      <c r="O2839" s="128"/>
      <c r="P2839" s="123" t="str">
        <f t="shared" si="640"/>
        <v/>
      </c>
    </row>
    <row r="2840" spans="1:16" s="114" customFormat="1" ht="15" x14ac:dyDescent="0.25">
      <c r="A2840" s="118"/>
      <c r="B2840" s="117" t="s">
        <v>228</v>
      </c>
      <c r="C2840" s="128"/>
      <c r="D2840" s="128"/>
      <c r="E2840" s="128"/>
      <c r="F2840" s="128"/>
      <c r="G2840" s="128"/>
      <c r="H2840" s="128"/>
      <c r="I2840" s="129">
        <f>Community!J445</f>
        <v>0</v>
      </c>
      <c r="J2840" s="129"/>
      <c r="K2840" s="129"/>
      <c r="L2840" s="129"/>
      <c r="M2840" s="186"/>
      <c r="N2840" s="186"/>
      <c r="O2840" s="128"/>
      <c r="P2840" s="123" t="str">
        <f t="shared" si="640"/>
        <v/>
      </c>
    </row>
    <row r="2841" spans="1:16" s="114" customFormat="1" ht="15" x14ac:dyDescent="0.25">
      <c r="A2841" s="118"/>
      <c r="B2841" s="117"/>
      <c r="C2841" s="128"/>
      <c r="D2841" s="128"/>
      <c r="E2841" s="128"/>
      <c r="F2841" s="128"/>
      <c r="G2841" s="128"/>
      <c r="H2841" s="128"/>
      <c r="I2841" s="129">
        <f>Community!J446</f>
        <v>0</v>
      </c>
      <c r="J2841" s="129"/>
      <c r="K2841" s="129"/>
      <c r="L2841" s="129"/>
      <c r="M2841" s="186"/>
      <c r="N2841" s="186"/>
      <c r="O2841" s="128"/>
      <c r="P2841" s="123" t="str">
        <f t="shared" si="640"/>
        <v/>
      </c>
    </row>
    <row r="2842" spans="1:16" x14ac:dyDescent="0.2">
      <c r="A2842" s="119" t="s">
        <v>1122</v>
      </c>
      <c r="B2842" s="120" t="s">
        <v>234</v>
      </c>
      <c r="C2842" s="129">
        <v>159000</v>
      </c>
      <c r="D2842" s="129">
        <v>0</v>
      </c>
      <c r="E2842" s="129">
        <v>0</v>
      </c>
      <c r="F2842" s="129">
        <v>55600</v>
      </c>
      <c r="G2842" s="129">
        <v>103400</v>
      </c>
      <c r="H2842" s="129">
        <v>34.96</v>
      </c>
      <c r="I2842" s="129">
        <f>Community!J447</f>
        <v>0</v>
      </c>
      <c r="J2842" s="129">
        <f>Community!K447</f>
        <v>159000</v>
      </c>
      <c r="K2842" s="129">
        <f>Community!L447</f>
        <v>166155</v>
      </c>
      <c r="L2842" s="129">
        <f>Community!M447</f>
        <v>173798.13</v>
      </c>
      <c r="O2842" s="129">
        <f>Community!N447</f>
        <v>181792.84398000001</v>
      </c>
      <c r="P2842" s="123" t="str">
        <f t="shared" si="640"/>
        <v>283</v>
      </c>
    </row>
    <row r="2843" spans="1:16" x14ac:dyDescent="0.2">
      <c r="A2843" s="119"/>
      <c r="B2843" s="120"/>
      <c r="C2843" s="129"/>
      <c r="D2843" s="129"/>
      <c r="E2843" s="129"/>
      <c r="F2843" s="129"/>
      <c r="G2843" s="129"/>
      <c r="H2843" s="129"/>
      <c r="I2843" s="129">
        <f>Community!J448</f>
        <v>0</v>
      </c>
      <c r="J2843" s="129"/>
      <c r="K2843" s="129"/>
      <c r="L2843" s="129"/>
      <c r="O2843" s="129"/>
      <c r="P2843" s="123" t="str">
        <f t="shared" si="640"/>
        <v/>
      </c>
    </row>
    <row r="2844" spans="1:16" s="114" customFormat="1" ht="15" x14ac:dyDescent="0.25">
      <c r="A2844" s="118"/>
      <c r="B2844" s="117" t="s">
        <v>239</v>
      </c>
      <c r="C2844" s="128">
        <f>SUM(C2842:C2843)</f>
        <v>159000</v>
      </c>
      <c r="D2844" s="128">
        <f t="shared" ref="D2844:O2844" si="645">SUM(D2842:D2843)</f>
        <v>0</v>
      </c>
      <c r="E2844" s="128">
        <f t="shared" si="645"/>
        <v>0</v>
      </c>
      <c r="F2844" s="128">
        <f t="shared" si="645"/>
        <v>55600</v>
      </c>
      <c r="G2844" s="128">
        <f t="shared" si="645"/>
        <v>103400</v>
      </c>
      <c r="H2844" s="128">
        <f t="shared" si="645"/>
        <v>34.96</v>
      </c>
      <c r="I2844" s="128">
        <f t="shared" si="645"/>
        <v>0</v>
      </c>
      <c r="J2844" s="128">
        <f t="shared" si="645"/>
        <v>159000</v>
      </c>
      <c r="K2844" s="128">
        <f t="shared" si="645"/>
        <v>166155</v>
      </c>
      <c r="L2844" s="128">
        <f t="shared" si="645"/>
        <v>173798.13</v>
      </c>
      <c r="M2844" s="128">
        <f t="shared" si="645"/>
        <v>0</v>
      </c>
      <c r="N2844" s="128">
        <f t="shared" si="645"/>
        <v>0</v>
      </c>
      <c r="O2844" s="128">
        <f t="shared" si="645"/>
        <v>181792.84398000001</v>
      </c>
      <c r="P2844" s="123" t="str">
        <f t="shared" si="640"/>
        <v/>
      </c>
    </row>
    <row r="2845" spans="1:16" s="114" customFormat="1" ht="15" x14ac:dyDescent="0.25">
      <c r="A2845" s="118"/>
      <c r="B2845" s="117"/>
      <c r="C2845" s="128"/>
      <c r="D2845" s="128"/>
      <c r="E2845" s="128"/>
      <c r="F2845" s="128"/>
      <c r="G2845" s="128"/>
      <c r="H2845" s="128"/>
      <c r="I2845" s="129">
        <f>Community!J450</f>
        <v>0</v>
      </c>
      <c r="J2845" s="129"/>
      <c r="K2845" s="129"/>
      <c r="L2845" s="129"/>
      <c r="M2845" s="186"/>
      <c r="N2845" s="186"/>
      <c r="O2845" s="128"/>
      <c r="P2845" s="123" t="str">
        <f t="shared" si="640"/>
        <v/>
      </c>
    </row>
    <row r="2846" spans="1:16" s="114" customFormat="1" ht="15" x14ac:dyDescent="0.25">
      <c r="A2846" s="118"/>
      <c r="B2846" s="117" t="s">
        <v>240</v>
      </c>
      <c r="C2846" s="128">
        <f>C2844</f>
        <v>159000</v>
      </c>
      <c r="D2846" s="128">
        <f t="shared" ref="D2846:O2846" si="646">D2844</f>
        <v>0</v>
      </c>
      <c r="E2846" s="128">
        <f t="shared" si="646"/>
        <v>0</v>
      </c>
      <c r="F2846" s="128">
        <f t="shared" si="646"/>
        <v>55600</v>
      </c>
      <c r="G2846" s="128">
        <f t="shared" si="646"/>
        <v>103400</v>
      </c>
      <c r="H2846" s="128">
        <f t="shared" si="646"/>
        <v>34.96</v>
      </c>
      <c r="I2846" s="128">
        <f t="shared" si="646"/>
        <v>0</v>
      </c>
      <c r="J2846" s="128">
        <f t="shared" si="646"/>
        <v>159000</v>
      </c>
      <c r="K2846" s="128">
        <f t="shared" si="646"/>
        <v>166155</v>
      </c>
      <c r="L2846" s="128">
        <f t="shared" si="646"/>
        <v>173798.13</v>
      </c>
      <c r="M2846" s="128">
        <f t="shared" si="646"/>
        <v>0</v>
      </c>
      <c r="N2846" s="128">
        <f t="shared" si="646"/>
        <v>0</v>
      </c>
      <c r="O2846" s="128">
        <f t="shared" si="646"/>
        <v>181792.84398000001</v>
      </c>
      <c r="P2846" s="123" t="str">
        <f t="shared" si="640"/>
        <v/>
      </c>
    </row>
    <row r="2847" spans="1:16" s="114" customFormat="1" ht="15" x14ac:dyDescent="0.25">
      <c r="A2847" s="118"/>
      <c r="B2847" s="117"/>
      <c r="C2847" s="128"/>
      <c r="D2847" s="128"/>
      <c r="E2847" s="128"/>
      <c r="F2847" s="128"/>
      <c r="G2847" s="128"/>
      <c r="H2847" s="128"/>
      <c r="I2847" s="129">
        <f>Community!J452</f>
        <v>0</v>
      </c>
      <c r="J2847" s="129"/>
      <c r="K2847" s="129"/>
      <c r="L2847" s="129"/>
      <c r="M2847" s="186"/>
      <c r="N2847" s="186"/>
      <c r="O2847" s="128"/>
      <c r="P2847" s="123" t="str">
        <f t="shared" si="640"/>
        <v/>
      </c>
    </row>
    <row r="2848" spans="1:16" s="114" customFormat="1" ht="15" x14ac:dyDescent="0.25">
      <c r="A2848" s="118"/>
      <c r="B2848" s="117" t="s">
        <v>241</v>
      </c>
      <c r="C2848" s="128"/>
      <c r="D2848" s="128"/>
      <c r="E2848" s="128"/>
      <c r="F2848" s="128"/>
      <c r="G2848" s="128"/>
      <c r="H2848" s="128"/>
      <c r="I2848" s="129">
        <f>Community!J453</f>
        <v>0</v>
      </c>
      <c r="J2848" s="129"/>
      <c r="K2848" s="129"/>
      <c r="L2848" s="129"/>
      <c r="M2848" s="186"/>
      <c r="N2848" s="186"/>
      <c r="O2848" s="128"/>
      <c r="P2848" s="123" t="str">
        <f t="shared" si="640"/>
        <v/>
      </c>
    </row>
    <row r="2849" spans="1:16" x14ac:dyDescent="0.2">
      <c r="A2849" s="119"/>
      <c r="B2849" s="120"/>
      <c r="C2849" s="129"/>
      <c r="D2849" s="129"/>
      <c r="E2849" s="129"/>
      <c r="F2849" s="129"/>
      <c r="G2849" s="129"/>
      <c r="H2849" s="129"/>
      <c r="I2849" s="129">
        <f>Community!J454</f>
        <v>0</v>
      </c>
      <c r="J2849" s="129"/>
      <c r="K2849" s="129"/>
      <c r="L2849" s="129"/>
      <c r="O2849" s="129"/>
      <c r="P2849" s="123" t="str">
        <f t="shared" si="640"/>
        <v/>
      </c>
    </row>
    <row r="2850" spans="1:16" x14ac:dyDescent="0.2">
      <c r="A2850" s="119" t="s">
        <v>1123</v>
      </c>
      <c r="B2850" s="120" t="s">
        <v>265</v>
      </c>
      <c r="C2850" s="129">
        <v>0</v>
      </c>
      <c r="D2850" s="129">
        <v>750.78</v>
      </c>
      <c r="E2850" s="129">
        <v>0</v>
      </c>
      <c r="F2850" s="129">
        <v>4281.2</v>
      </c>
      <c r="G2850" s="129">
        <v>-4281.2</v>
      </c>
      <c r="H2850" s="129">
        <v>0</v>
      </c>
      <c r="I2850" s="129">
        <f>Community!J455</f>
        <v>8562.4</v>
      </c>
      <c r="J2850" s="129">
        <f>Community!K455</f>
        <v>8562.4</v>
      </c>
      <c r="K2850" s="129">
        <f>Community!L455</f>
        <v>8947.7079999999987</v>
      </c>
      <c r="L2850" s="129">
        <f>Community!M455</f>
        <v>9359.3025679999992</v>
      </c>
      <c r="O2850" s="129">
        <f>Community!N455</f>
        <v>9789.8304861279994</v>
      </c>
      <c r="P2850" s="123" t="str">
        <f t="shared" si="640"/>
        <v>305</v>
      </c>
    </row>
    <row r="2851" spans="1:16" x14ac:dyDescent="0.2">
      <c r="A2851" s="119"/>
      <c r="B2851" s="120"/>
      <c r="C2851" s="129"/>
      <c r="D2851" s="129"/>
      <c r="E2851" s="129"/>
      <c r="F2851" s="129"/>
      <c r="G2851" s="129"/>
      <c r="H2851" s="129"/>
      <c r="I2851" s="129">
        <f>Community!J456</f>
        <v>0</v>
      </c>
      <c r="J2851" s="129"/>
      <c r="K2851" s="129"/>
      <c r="L2851" s="129"/>
      <c r="O2851" s="129"/>
      <c r="P2851" s="123" t="str">
        <f t="shared" si="640"/>
        <v/>
      </c>
    </row>
    <row r="2852" spans="1:16" s="114" customFormat="1" ht="15" x14ac:dyDescent="0.25">
      <c r="A2852" s="118"/>
      <c r="B2852" s="117" t="s">
        <v>274</v>
      </c>
      <c r="C2852" s="128">
        <f>SUM(C2850:C2851)</f>
        <v>0</v>
      </c>
      <c r="D2852" s="128">
        <f t="shared" ref="D2852:O2852" si="647">SUM(D2850:D2851)</f>
        <v>750.78</v>
      </c>
      <c r="E2852" s="128">
        <f t="shared" si="647"/>
        <v>0</v>
      </c>
      <c r="F2852" s="128">
        <f t="shared" si="647"/>
        <v>4281.2</v>
      </c>
      <c r="G2852" s="128">
        <f t="shared" si="647"/>
        <v>-4281.2</v>
      </c>
      <c r="H2852" s="128">
        <f t="shared" si="647"/>
        <v>0</v>
      </c>
      <c r="I2852" s="128">
        <f t="shared" si="647"/>
        <v>8562.4</v>
      </c>
      <c r="J2852" s="128">
        <f t="shared" si="647"/>
        <v>8562.4</v>
      </c>
      <c r="K2852" s="128">
        <f t="shared" si="647"/>
        <v>8947.7079999999987</v>
      </c>
      <c r="L2852" s="128">
        <f t="shared" si="647"/>
        <v>9359.3025679999992</v>
      </c>
      <c r="M2852" s="128">
        <f t="shared" si="647"/>
        <v>0</v>
      </c>
      <c r="N2852" s="128">
        <f t="shared" si="647"/>
        <v>0</v>
      </c>
      <c r="O2852" s="128">
        <f t="shared" si="647"/>
        <v>9789.8304861279994</v>
      </c>
      <c r="P2852" s="123" t="str">
        <f t="shared" si="640"/>
        <v/>
      </c>
    </row>
    <row r="2853" spans="1:16" s="114" customFormat="1" ht="15" x14ac:dyDescent="0.25">
      <c r="A2853" s="118"/>
      <c r="B2853" s="117"/>
      <c r="C2853" s="128"/>
      <c r="D2853" s="128"/>
      <c r="E2853" s="128"/>
      <c r="F2853" s="128"/>
      <c r="G2853" s="128"/>
      <c r="H2853" s="128"/>
      <c r="I2853" s="129">
        <f>Community!J458</f>
        <v>0</v>
      </c>
      <c r="J2853" s="129"/>
      <c r="K2853" s="129"/>
      <c r="L2853" s="129"/>
      <c r="M2853" s="186"/>
      <c r="N2853" s="186"/>
      <c r="O2853" s="128"/>
      <c r="P2853" s="123" t="str">
        <f t="shared" si="640"/>
        <v/>
      </c>
    </row>
    <row r="2854" spans="1:16" s="114" customFormat="1" ht="15" x14ac:dyDescent="0.25">
      <c r="A2854" s="118"/>
      <c r="B2854" s="117" t="s">
        <v>290</v>
      </c>
      <c r="C2854" s="128"/>
      <c r="D2854" s="128"/>
      <c r="E2854" s="128"/>
      <c r="F2854" s="128"/>
      <c r="G2854" s="128"/>
      <c r="H2854" s="128"/>
      <c r="I2854" s="129">
        <f>Community!J459</f>
        <v>0</v>
      </c>
      <c r="J2854" s="129"/>
      <c r="K2854" s="129"/>
      <c r="L2854" s="129"/>
      <c r="M2854" s="186"/>
      <c r="N2854" s="186"/>
      <c r="O2854" s="128"/>
      <c r="P2854" s="123" t="str">
        <f t="shared" si="640"/>
        <v/>
      </c>
    </row>
    <row r="2855" spans="1:16" x14ac:dyDescent="0.2">
      <c r="A2855" s="119"/>
      <c r="B2855" s="120"/>
      <c r="C2855" s="129"/>
      <c r="D2855" s="129"/>
      <c r="E2855" s="129"/>
      <c r="F2855" s="129"/>
      <c r="G2855" s="129"/>
      <c r="H2855" s="129"/>
      <c r="I2855" s="129">
        <f>Community!J460</f>
        <v>0</v>
      </c>
      <c r="J2855" s="129"/>
      <c r="K2855" s="129"/>
      <c r="L2855" s="129"/>
      <c r="O2855" s="129"/>
      <c r="P2855" s="123" t="str">
        <f t="shared" si="640"/>
        <v/>
      </c>
    </row>
    <row r="2856" spans="1:16" x14ac:dyDescent="0.2">
      <c r="A2856" s="119" t="s">
        <v>1124</v>
      </c>
      <c r="B2856" s="120" t="s">
        <v>296</v>
      </c>
      <c r="C2856" s="129">
        <v>0</v>
      </c>
      <c r="D2856" s="129">
        <v>9027.1</v>
      </c>
      <c r="E2856" s="129">
        <v>0</v>
      </c>
      <c r="F2856" s="129">
        <v>18054.2</v>
      </c>
      <c r="G2856" s="129">
        <v>-18054.2</v>
      </c>
      <c r="H2856" s="129">
        <v>0</v>
      </c>
      <c r="I2856" s="129">
        <f>Community!J461</f>
        <v>0</v>
      </c>
      <c r="J2856" s="129">
        <f>Community!K461</f>
        <v>0</v>
      </c>
      <c r="K2856" s="129">
        <f>Community!L461</f>
        <v>0</v>
      </c>
      <c r="L2856" s="129">
        <f>Community!M461</f>
        <v>0</v>
      </c>
      <c r="O2856" s="129"/>
      <c r="P2856" s="123" t="str">
        <f t="shared" si="640"/>
        <v>723</v>
      </c>
    </row>
    <row r="2857" spans="1:16" x14ac:dyDescent="0.2">
      <c r="A2857" s="119"/>
      <c r="B2857" s="120"/>
      <c r="C2857" s="129"/>
      <c r="D2857" s="129"/>
      <c r="E2857" s="129"/>
      <c r="F2857" s="129"/>
      <c r="G2857" s="129"/>
      <c r="H2857" s="129"/>
      <c r="I2857" s="129">
        <f>Community!J462</f>
        <v>0</v>
      </c>
      <c r="J2857" s="129">
        <f>Community!K462</f>
        <v>0</v>
      </c>
      <c r="K2857" s="129">
        <f>Community!L462</f>
        <v>0</v>
      </c>
      <c r="L2857" s="129">
        <f>Community!M462</f>
        <v>0</v>
      </c>
      <c r="O2857" s="129"/>
      <c r="P2857" s="123" t="str">
        <f t="shared" si="640"/>
        <v/>
      </c>
    </row>
    <row r="2858" spans="1:16" s="114" customFormat="1" ht="15" x14ac:dyDescent="0.25">
      <c r="A2858" s="118"/>
      <c r="B2858" s="117" t="s">
        <v>304</v>
      </c>
      <c r="C2858" s="128">
        <v>0</v>
      </c>
      <c r="D2858" s="128">
        <v>9027.1</v>
      </c>
      <c r="E2858" s="128">
        <v>0</v>
      </c>
      <c r="F2858" s="128">
        <v>18054.2</v>
      </c>
      <c r="G2858" s="128">
        <v>-18054.2</v>
      </c>
      <c r="H2858" s="128">
        <v>0</v>
      </c>
      <c r="I2858" s="129">
        <f>Community!J463</f>
        <v>0</v>
      </c>
      <c r="J2858" s="129">
        <f>Community!K463</f>
        <v>0</v>
      </c>
      <c r="K2858" s="129">
        <f>Community!L463</f>
        <v>0</v>
      </c>
      <c r="L2858" s="129">
        <f>Community!M463</f>
        <v>0</v>
      </c>
      <c r="M2858" s="186"/>
      <c r="N2858" s="186"/>
      <c r="O2858" s="128"/>
      <c r="P2858" s="123" t="str">
        <f t="shared" si="640"/>
        <v/>
      </c>
    </row>
    <row r="2859" spans="1:16" s="114" customFormat="1" ht="15" x14ac:dyDescent="0.25">
      <c r="A2859" s="118"/>
      <c r="B2859" s="117"/>
      <c r="C2859" s="128"/>
      <c r="D2859" s="128"/>
      <c r="E2859" s="128"/>
      <c r="F2859" s="128"/>
      <c r="G2859" s="128"/>
      <c r="H2859" s="128"/>
      <c r="I2859" s="129">
        <f>Community!J464</f>
        <v>0</v>
      </c>
      <c r="J2859" s="129"/>
      <c r="K2859" s="129"/>
      <c r="L2859" s="129"/>
      <c r="M2859" s="186"/>
      <c r="N2859" s="186"/>
      <c r="O2859" s="128"/>
      <c r="P2859" s="123" t="str">
        <f t="shared" si="640"/>
        <v/>
      </c>
    </row>
    <row r="2860" spans="1:16" s="114" customFormat="1" ht="15" x14ac:dyDescent="0.25">
      <c r="A2860" s="118"/>
      <c r="B2860" s="117" t="s">
        <v>305</v>
      </c>
      <c r="C2860" s="128">
        <f>C2837+C2846+C2852+C2858</f>
        <v>1311487</v>
      </c>
      <c r="D2860" s="128">
        <f t="shared" ref="D2860:O2860" si="648">D2837+D2846+D2852+D2858</f>
        <v>101086.22</v>
      </c>
      <c r="E2860" s="128">
        <f t="shared" si="648"/>
        <v>0</v>
      </c>
      <c r="F2860" s="128">
        <f t="shared" si="648"/>
        <v>602822.52999999991</v>
      </c>
      <c r="G2860" s="128">
        <f t="shared" si="648"/>
        <v>708664.47000000009</v>
      </c>
      <c r="H2860" s="128">
        <f t="shared" si="648"/>
        <v>576.09</v>
      </c>
      <c r="I2860" s="128">
        <f t="shared" si="648"/>
        <v>-2380.42</v>
      </c>
      <c r="J2860" s="128">
        <f t="shared" si="648"/>
        <v>1309106.58</v>
      </c>
      <c r="K2860" s="128">
        <f t="shared" si="648"/>
        <v>1387993.3992500002</v>
      </c>
      <c r="L2860" s="128">
        <f t="shared" si="648"/>
        <v>1480950.4722055004</v>
      </c>
      <c r="M2860" s="128">
        <f t="shared" si="648"/>
        <v>0</v>
      </c>
      <c r="N2860" s="128">
        <f t="shared" si="648"/>
        <v>0</v>
      </c>
      <c r="O2860" s="128">
        <f t="shared" si="648"/>
        <v>1580221.2268782533</v>
      </c>
      <c r="P2860" s="123" t="str">
        <f t="shared" si="640"/>
        <v/>
      </c>
    </row>
    <row r="2861" spans="1:16" s="114" customFormat="1" ht="15" x14ac:dyDescent="0.25">
      <c r="A2861" s="118"/>
      <c r="B2861" s="117"/>
      <c r="C2861" s="128"/>
      <c r="D2861" s="128"/>
      <c r="E2861" s="128"/>
      <c r="F2861" s="128"/>
      <c r="G2861" s="128"/>
      <c r="H2861" s="128"/>
      <c r="I2861" s="129">
        <f>Community!J466</f>
        <v>0</v>
      </c>
      <c r="J2861" s="129"/>
      <c r="K2861" s="129"/>
      <c r="L2861" s="129"/>
      <c r="M2861" s="186"/>
      <c r="N2861" s="186"/>
      <c r="O2861" s="128"/>
      <c r="P2861" s="123" t="str">
        <f t="shared" si="640"/>
        <v/>
      </c>
    </row>
    <row r="2862" spans="1:16" s="114" customFormat="1" ht="15" x14ac:dyDescent="0.25">
      <c r="A2862" s="118"/>
      <c r="B2862" s="117" t="s">
        <v>306</v>
      </c>
      <c r="C2862" s="128">
        <f>C2801+C2860</f>
        <v>1298922</v>
      </c>
      <c r="D2862" s="128">
        <f t="shared" ref="D2862:O2862" si="649">D2801+D2860</f>
        <v>97677.38</v>
      </c>
      <c r="E2862" s="128">
        <f t="shared" si="649"/>
        <v>0</v>
      </c>
      <c r="F2862" s="128">
        <f t="shared" si="649"/>
        <v>598413.68999999994</v>
      </c>
      <c r="G2862" s="128">
        <f t="shared" si="649"/>
        <v>700508.31</v>
      </c>
      <c r="H2862" s="128">
        <f t="shared" si="649"/>
        <v>611.17000000000007</v>
      </c>
      <c r="I2862" s="128">
        <f t="shared" si="649"/>
        <v>-2380.42</v>
      </c>
      <c r="J2862" s="128">
        <f t="shared" si="649"/>
        <v>1296541.58</v>
      </c>
      <c r="K2862" s="128">
        <f t="shared" si="649"/>
        <v>1374862.9742500002</v>
      </c>
      <c r="L2862" s="128">
        <f t="shared" si="649"/>
        <v>1467216.0476555002</v>
      </c>
      <c r="M2862" s="128">
        <f t="shared" si="649"/>
        <v>0</v>
      </c>
      <c r="N2862" s="128">
        <f t="shared" si="649"/>
        <v>0</v>
      </c>
      <c r="O2862" s="128">
        <f t="shared" si="649"/>
        <v>1565855.0187989534</v>
      </c>
      <c r="P2862" s="123" t="str">
        <f t="shared" si="640"/>
        <v/>
      </c>
    </row>
    <row r="2863" spans="1:16" s="114" customFormat="1" ht="15" x14ac:dyDescent="0.25">
      <c r="A2863" s="118"/>
      <c r="B2863" s="117"/>
      <c r="C2863" s="128"/>
      <c r="D2863" s="128"/>
      <c r="E2863" s="128"/>
      <c r="F2863" s="128"/>
      <c r="G2863" s="128"/>
      <c r="H2863" s="128"/>
      <c r="I2863" s="129">
        <f>Community!J468</f>
        <v>0</v>
      </c>
      <c r="J2863" s="129"/>
      <c r="K2863" s="129"/>
      <c r="L2863" s="129"/>
      <c r="M2863" s="186"/>
      <c r="N2863" s="186"/>
      <c r="O2863" s="128"/>
      <c r="P2863" s="123" t="str">
        <f t="shared" si="640"/>
        <v/>
      </c>
    </row>
    <row r="2864" spans="1:16" s="114" customFormat="1" ht="15" x14ac:dyDescent="0.25">
      <c r="A2864" s="118"/>
      <c r="B2864" s="117" t="s">
        <v>308</v>
      </c>
      <c r="C2864" s="128"/>
      <c r="D2864" s="128"/>
      <c r="E2864" s="128"/>
      <c r="F2864" s="128"/>
      <c r="G2864" s="128"/>
      <c r="H2864" s="128"/>
      <c r="I2864" s="129">
        <f>Community!J469</f>
        <v>0</v>
      </c>
      <c r="J2864" s="129"/>
      <c r="K2864" s="129"/>
      <c r="L2864" s="129"/>
      <c r="M2864" s="186"/>
      <c r="N2864" s="186"/>
      <c r="O2864" s="128"/>
      <c r="P2864" s="123" t="str">
        <f t="shared" si="640"/>
        <v/>
      </c>
    </row>
    <row r="2865" spans="1:16" s="114" customFormat="1" ht="15" x14ac:dyDescent="0.25">
      <c r="A2865" s="118"/>
      <c r="B2865" s="117"/>
      <c r="C2865" s="128"/>
      <c r="D2865" s="128"/>
      <c r="E2865" s="128"/>
      <c r="F2865" s="128"/>
      <c r="G2865" s="128"/>
      <c r="H2865" s="128"/>
      <c r="I2865" s="129">
        <f>Community!J470</f>
        <v>0</v>
      </c>
      <c r="J2865" s="129"/>
      <c r="K2865" s="129"/>
      <c r="L2865" s="129"/>
      <c r="M2865" s="186"/>
      <c r="N2865" s="186"/>
      <c r="O2865" s="128"/>
      <c r="P2865" s="123" t="str">
        <f t="shared" si="640"/>
        <v/>
      </c>
    </row>
    <row r="2866" spans="1:16" s="114" customFormat="1" ht="15" x14ac:dyDescent="0.25">
      <c r="A2866" s="118"/>
      <c r="B2866" s="117" t="s">
        <v>1125</v>
      </c>
      <c r="C2866" s="128"/>
      <c r="D2866" s="128"/>
      <c r="E2866" s="128"/>
      <c r="F2866" s="128"/>
      <c r="G2866" s="128"/>
      <c r="H2866" s="128"/>
      <c r="I2866" s="129">
        <f>Community!J471</f>
        <v>0</v>
      </c>
      <c r="J2866" s="129"/>
      <c r="K2866" s="129"/>
      <c r="L2866" s="129"/>
      <c r="M2866" s="186"/>
      <c r="N2866" s="186"/>
      <c r="O2866" s="128"/>
      <c r="P2866" s="123" t="str">
        <f t="shared" si="640"/>
        <v/>
      </c>
    </row>
    <row r="2867" spans="1:16" s="114" customFormat="1" ht="15" x14ac:dyDescent="0.25">
      <c r="A2867" s="118"/>
      <c r="B2867" s="117" t="s">
        <v>9</v>
      </c>
      <c r="C2867" s="128"/>
      <c r="D2867" s="128"/>
      <c r="E2867" s="128"/>
      <c r="F2867" s="128"/>
      <c r="G2867" s="128"/>
      <c r="H2867" s="128"/>
      <c r="I2867" s="129">
        <f>Community!J472</f>
        <v>0</v>
      </c>
      <c r="J2867" s="129"/>
      <c r="K2867" s="129"/>
      <c r="L2867" s="129"/>
      <c r="M2867" s="186"/>
      <c r="N2867" s="186"/>
      <c r="O2867" s="128"/>
      <c r="P2867" s="123" t="str">
        <f t="shared" si="640"/>
        <v/>
      </c>
    </row>
    <row r="2868" spans="1:16" s="114" customFormat="1" ht="15" x14ac:dyDescent="0.25">
      <c r="A2868" s="118"/>
      <c r="B2868" s="117" t="s">
        <v>42</v>
      </c>
      <c r="C2868" s="128"/>
      <c r="D2868" s="128"/>
      <c r="E2868" s="128"/>
      <c r="F2868" s="128"/>
      <c r="G2868" s="128"/>
      <c r="H2868" s="128"/>
      <c r="I2868" s="129">
        <f>Community!J473</f>
        <v>0</v>
      </c>
      <c r="J2868" s="129"/>
      <c r="K2868" s="129"/>
      <c r="L2868" s="129"/>
      <c r="M2868" s="186"/>
      <c r="N2868" s="186"/>
      <c r="O2868" s="128"/>
      <c r="P2868" s="123" t="str">
        <f t="shared" si="640"/>
        <v/>
      </c>
    </row>
    <row r="2869" spans="1:16" x14ac:dyDescent="0.2">
      <c r="A2869" s="119"/>
      <c r="B2869" s="120"/>
      <c r="C2869" s="129"/>
      <c r="D2869" s="129"/>
      <c r="E2869" s="129"/>
      <c r="F2869" s="129"/>
      <c r="G2869" s="129"/>
      <c r="H2869" s="129"/>
      <c r="I2869" s="129">
        <f>Community!J474</f>
        <v>0</v>
      </c>
      <c r="J2869" s="129"/>
      <c r="K2869" s="129"/>
      <c r="L2869" s="129"/>
      <c r="O2869" s="129"/>
      <c r="P2869" s="123" t="str">
        <f t="shared" si="640"/>
        <v/>
      </c>
    </row>
    <row r="2870" spans="1:16" x14ac:dyDescent="0.2">
      <c r="A2870" s="119" t="s">
        <v>1126</v>
      </c>
      <c r="B2870" s="120" t="s">
        <v>49</v>
      </c>
      <c r="C2870" s="129">
        <v>-2285558</v>
      </c>
      <c r="D2870" s="129">
        <v>0</v>
      </c>
      <c r="E2870" s="129">
        <v>0</v>
      </c>
      <c r="F2870" s="129">
        <v>0</v>
      </c>
      <c r="G2870" s="129">
        <v>-2285558</v>
      </c>
      <c r="H2870" s="129">
        <v>0</v>
      </c>
      <c r="I2870" s="129">
        <f>Community!J475</f>
        <v>0</v>
      </c>
      <c r="J2870" s="129">
        <f>Community!K475</f>
        <v>-2285558</v>
      </c>
      <c r="K2870" s="129">
        <f>Community!L475</f>
        <v>-2388408.11</v>
      </c>
      <c r="L2870" s="129">
        <f>Community!M475</f>
        <v>-2498274.8830599999</v>
      </c>
      <c r="O2870" s="129">
        <f>Community!N475</f>
        <v>-2613195.5276807598</v>
      </c>
      <c r="P2870" s="123" t="str">
        <f t="shared" si="640"/>
        <v>322</v>
      </c>
    </row>
    <row r="2871" spans="1:16" x14ac:dyDescent="0.2">
      <c r="A2871" s="119" t="s">
        <v>1127</v>
      </c>
      <c r="B2871" s="120" t="s">
        <v>50</v>
      </c>
      <c r="C2871" s="129">
        <v>0</v>
      </c>
      <c r="D2871" s="129">
        <v>-183433.4</v>
      </c>
      <c r="E2871" s="129">
        <v>0</v>
      </c>
      <c r="F2871" s="129">
        <v>-1100205.7</v>
      </c>
      <c r="G2871" s="129">
        <v>1100205.7</v>
      </c>
      <c r="H2871" s="129">
        <v>0</v>
      </c>
      <c r="I2871" s="129">
        <f>Community!J476</f>
        <v>0</v>
      </c>
      <c r="J2871" s="129">
        <f>Community!K476</f>
        <v>0</v>
      </c>
      <c r="K2871" s="129">
        <f>Community!L476</f>
        <v>0</v>
      </c>
      <c r="L2871" s="129">
        <f>Community!M476</f>
        <v>0</v>
      </c>
      <c r="O2871" s="129">
        <f>Community!N476</f>
        <v>0</v>
      </c>
      <c r="P2871" s="123" t="str">
        <f t="shared" si="640"/>
        <v>322</v>
      </c>
    </row>
    <row r="2872" spans="1:16" x14ac:dyDescent="0.2">
      <c r="A2872" s="119" t="s">
        <v>1128</v>
      </c>
      <c r="B2872" s="120" t="s">
        <v>51</v>
      </c>
      <c r="C2872" s="129">
        <v>-2779</v>
      </c>
      <c r="D2872" s="129">
        <v>0</v>
      </c>
      <c r="E2872" s="129">
        <v>0</v>
      </c>
      <c r="F2872" s="129">
        <v>0</v>
      </c>
      <c r="G2872" s="129">
        <v>-2779</v>
      </c>
      <c r="H2872" s="129">
        <v>0</v>
      </c>
      <c r="I2872" s="129">
        <f>Community!J477</f>
        <v>0</v>
      </c>
      <c r="J2872" s="129">
        <f>Community!K477</f>
        <v>-2779</v>
      </c>
      <c r="K2872" s="129">
        <f>Community!L477</f>
        <v>-2904.0549999999998</v>
      </c>
      <c r="L2872" s="129">
        <f>Community!M477</f>
        <v>-3037.6415299999999</v>
      </c>
      <c r="O2872" s="129">
        <f>Community!N477</f>
        <v>-3177.37304038</v>
      </c>
      <c r="P2872" s="123" t="str">
        <f t="shared" si="640"/>
        <v>322</v>
      </c>
    </row>
    <row r="2873" spans="1:16" x14ac:dyDescent="0.2">
      <c r="A2873" s="119"/>
      <c r="B2873" s="120"/>
      <c r="C2873" s="129"/>
      <c r="D2873" s="129"/>
      <c r="E2873" s="129"/>
      <c r="F2873" s="129"/>
      <c r="G2873" s="129"/>
      <c r="H2873" s="129"/>
      <c r="I2873" s="129">
        <f>Community!J478</f>
        <v>0</v>
      </c>
      <c r="J2873" s="129"/>
      <c r="K2873" s="129"/>
      <c r="L2873" s="129"/>
      <c r="O2873" s="129"/>
      <c r="P2873" s="123" t="str">
        <f t="shared" si="640"/>
        <v/>
      </c>
    </row>
    <row r="2874" spans="1:16" s="114" customFormat="1" ht="15" x14ac:dyDescent="0.25">
      <c r="A2874" s="118"/>
      <c r="B2874" s="117" t="s">
        <v>55</v>
      </c>
      <c r="C2874" s="128">
        <f>SUM(C2870:C2873)</f>
        <v>-2288337</v>
      </c>
      <c r="D2874" s="128">
        <f t="shared" ref="D2874:O2874" si="650">SUM(D2870:D2873)</f>
        <v>-183433.4</v>
      </c>
      <c r="E2874" s="128">
        <f t="shared" si="650"/>
        <v>0</v>
      </c>
      <c r="F2874" s="128">
        <f t="shared" si="650"/>
        <v>-1100205.7</v>
      </c>
      <c r="G2874" s="128">
        <f t="shared" si="650"/>
        <v>-1188131.3</v>
      </c>
      <c r="H2874" s="128">
        <f t="shared" si="650"/>
        <v>0</v>
      </c>
      <c r="I2874" s="128">
        <f t="shared" si="650"/>
        <v>0</v>
      </c>
      <c r="J2874" s="128">
        <f t="shared" si="650"/>
        <v>-2288337</v>
      </c>
      <c r="K2874" s="128">
        <f t="shared" si="650"/>
        <v>-2391312.165</v>
      </c>
      <c r="L2874" s="128">
        <f t="shared" si="650"/>
        <v>-2501312.52459</v>
      </c>
      <c r="M2874" s="128">
        <f t="shared" si="650"/>
        <v>0</v>
      </c>
      <c r="N2874" s="128">
        <f t="shared" si="650"/>
        <v>0</v>
      </c>
      <c r="O2874" s="128">
        <f t="shared" si="650"/>
        <v>-2616372.9007211397</v>
      </c>
      <c r="P2874" s="123" t="str">
        <f t="shared" si="640"/>
        <v/>
      </c>
    </row>
    <row r="2875" spans="1:16" s="114" customFormat="1" ht="15" x14ac:dyDescent="0.25">
      <c r="A2875" s="118"/>
      <c r="B2875" s="117"/>
      <c r="C2875" s="128"/>
      <c r="D2875" s="128"/>
      <c r="E2875" s="128"/>
      <c r="F2875" s="128"/>
      <c r="G2875" s="128"/>
      <c r="H2875" s="128"/>
      <c r="I2875" s="129">
        <f>Community!J480</f>
        <v>0</v>
      </c>
      <c r="J2875" s="129"/>
      <c r="K2875" s="129"/>
      <c r="L2875" s="129"/>
      <c r="M2875" s="186"/>
      <c r="N2875" s="186"/>
      <c r="O2875" s="128"/>
      <c r="P2875" s="123" t="str">
        <f t="shared" si="640"/>
        <v/>
      </c>
    </row>
    <row r="2876" spans="1:16" s="114" customFormat="1" ht="15" x14ac:dyDescent="0.25">
      <c r="A2876" s="118"/>
      <c r="B2876" s="117" t="s">
        <v>56</v>
      </c>
      <c r="C2876" s="128"/>
      <c r="D2876" s="128"/>
      <c r="E2876" s="128"/>
      <c r="F2876" s="128"/>
      <c r="G2876" s="128"/>
      <c r="H2876" s="128"/>
      <c r="I2876" s="129">
        <f>Community!J481</f>
        <v>0</v>
      </c>
      <c r="J2876" s="129"/>
      <c r="K2876" s="129"/>
      <c r="L2876" s="129"/>
      <c r="M2876" s="186"/>
      <c r="N2876" s="186"/>
      <c r="O2876" s="128"/>
      <c r="P2876" s="123" t="str">
        <f t="shared" si="640"/>
        <v/>
      </c>
    </row>
    <row r="2877" spans="1:16" x14ac:dyDescent="0.2">
      <c r="A2877" s="119"/>
      <c r="B2877" s="120"/>
      <c r="C2877" s="129"/>
      <c r="D2877" s="129"/>
      <c r="E2877" s="129"/>
      <c r="F2877" s="129"/>
      <c r="G2877" s="129"/>
      <c r="H2877" s="129"/>
      <c r="I2877" s="129">
        <f>Community!J482</f>
        <v>0</v>
      </c>
      <c r="J2877" s="129"/>
      <c r="K2877" s="129"/>
      <c r="L2877" s="129"/>
      <c r="O2877" s="129"/>
      <c r="P2877" s="123" t="str">
        <f t="shared" si="640"/>
        <v/>
      </c>
    </row>
    <row r="2878" spans="1:16" x14ac:dyDescent="0.2">
      <c r="A2878" s="119" t="s">
        <v>1129</v>
      </c>
      <c r="B2878" s="120" t="s">
        <v>59</v>
      </c>
      <c r="C2878" s="129">
        <f>Community!D483</f>
        <v>-219191</v>
      </c>
      <c r="D2878" s="129">
        <f>Community!E483</f>
        <v>-17032.490000000002</v>
      </c>
      <c r="E2878" s="129">
        <f>Community!F483</f>
        <v>0</v>
      </c>
      <c r="F2878" s="129">
        <f>Community!G483</f>
        <v>-97021.84</v>
      </c>
      <c r="G2878" s="129">
        <f>Community!H483</f>
        <v>-122169.16</v>
      </c>
      <c r="H2878" s="129">
        <f>Community!I483</f>
        <v>44.26</v>
      </c>
      <c r="I2878" s="129">
        <f>Community!J483</f>
        <v>0</v>
      </c>
      <c r="J2878" s="129">
        <f>Community!K483</f>
        <v>-219191</v>
      </c>
      <c r="K2878" s="129">
        <f>Community!L483</f>
        <v>-229931.359</v>
      </c>
      <c r="L2878" s="129">
        <f>Community!M483</f>
        <v>-240968.064232</v>
      </c>
      <c r="M2878" s="129">
        <f>Community!N483</f>
        <v>-252534.531315136</v>
      </c>
      <c r="N2878" s="129">
        <f>Community!O483</f>
        <v>0</v>
      </c>
      <c r="O2878" s="129">
        <f>'Revenue per source'!M74</f>
        <v>-252534.531315136</v>
      </c>
      <c r="P2878" s="123" t="str">
        <f t="shared" si="640"/>
        <v>341</v>
      </c>
    </row>
    <row r="2879" spans="1:16" x14ac:dyDescent="0.2">
      <c r="A2879" s="119"/>
      <c r="B2879" s="120"/>
      <c r="C2879" s="129"/>
      <c r="D2879" s="129"/>
      <c r="E2879" s="129"/>
      <c r="F2879" s="129"/>
      <c r="G2879" s="129"/>
      <c r="H2879" s="129"/>
      <c r="I2879" s="129">
        <f>Community!J484</f>
        <v>0</v>
      </c>
      <c r="J2879" s="129"/>
      <c r="K2879" s="129"/>
      <c r="L2879" s="129"/>
      <c r="O2879" s="129"/>
      <c r="P2879" s="123" t="str">
        <f t="shared" si="640"/>
        <v/>
      </c>
    </row>
    <row r="2880" spans="1:16" s="114" customFormat="1" ht="15" x14ac:dyDescent="0.25">
      <c r="A2880" s="118"/>
      <c r="B2880" s="117" t="s">
        <v>64</v>
      </c>
      <c r="C2880" s="128">
        <f>SUM(C2878:C2879)</f>
        <v>-219191</v>
      </c>
      <c r="D2880" s="128">
        <f t="shared" ref="D2880:O2880" si="651">SUM(D2878:D2879)</f>
        <v>-17032.490000000002</v>
      </c>
      <c r="E2880" s="128">
        <f t="shared" si="651"/>
        <v>0</v>
      </c>
      <c r="F2880" s="128">
        <f t="shared" si="651"/>
        <v>-97021.84</v>
      </c>
      <c r="G2880" s="128">
        <f t="shared" si="651"/>
        <v>-122169.16</v>
      </c>
      <c r="H2880" s="128">
        <f t="shared" si="651"/>
        <v>44.26</v>
      </c>
      <c r="I2880" s="128">
        <f t="shared" si="651"/>
        <v>0</v>
      </c>
      <c r="J2880" s="128">
        <f t="shared" si="651"/>
        <v>-219191</v>
      </c>
      <c r="K2880" s="128">
        <f t="shared" si="651"/>
        <v>-229931.359</v>
      </c>
      <c r="L2880" s="128">
        <f t="shared" si="651"/>
        <v>-240968.064232</v>
      </c>
      <c r="M2880" s="128">
        <f t="shared" si="651"/>
        <v>-252534.531315136</v>
      </c>
      <c r="N2880" s="128">
        <f t="shared" si="651"/>
        <v>0</v>
      </c>
      <c r="O2880" s="128">
        <f t="shared" si="651"/>
        <v>-252534.531315136</v>
      </c>
      <c r="P2880" s="123" t="str">
        <f t="shared" si="640"/>
        <v/>
      </c>
    </row>
    <row r="2881" spans="1:16" x14ac:dyDescent="0.2">
      <c r="A2881" s="119"/>
      <c r="B2881" s="120"/>
      <c r="C2881" s="129"/>
      <c r="D2881" s="129"/>
      <c r="E2881" s="129"/>
      <c r="F2881" s="129"/>
      <c r="G2881" s="129"/>
      <c r="H2881" s="129"/>
      <c r="I2881" s="129">
        <f>Community!J486</f>
        <v>0</v>
      </c>
      <c r="J2881" s="129">
        <f>Community!K486</f>
        <v>0</v>
      </c>
      <c r="O2881" s="129"/>
      <c r="P2881" s="123" t="str">
        <f t="shared" si="640"/>
        <v/>
      </c>
    </row>
    <row r="2882" spans="1:16" s="114" customFormat="1" ht="15" x14ac:dyDescent="0.25">
      <c r="A2882" s="118"/>
      <c r="B2882" s="117" t="s">
        <v>94</v>
      </c>
      <c r="C2882" s="128">
        <v>-2507528</v>
      </c>
      <c r="D2882" s="128">
        <v>-2507528</v>
      </c>
      <c r="E2882" s="128">
        <v>-2507528</v>
      </c>
      <c r="F2882" s="128">
        <v>-2507528</v>
      </c>
      <c r="G2882" s="128">
        <v>-2507528</v>
      </c>
      <c r="H2882" s="128">
        <v>-2507528</v>
      </c>
      <c r="I2882" s="128">
        <v>-2507528</v>
      </c>
      <c r="J2882" s="128">
        <v>-2507528</v>
      </c>
      <c r="K2882" s="128">
        <v>-2507528</v>
      </c>
      <c r="L2882" s="128">
        <v>-2507528</v>
      </c>
      <c r="M2882" s="128">
        <v>-2507528</v>
      </c>
      <c r="N2882" s="128">
        <v>-2507528</v>
      </c>
      <c r="O2882" s="128">
        <v>-2507528</v>
      </c>
      <c r="P2882" s="123" t="str">
        <f t="shared" si="640"/>
        <v/>
      </c>
    </row>
    <row r="2883" spans="1:16" s="114" customFormat="1" ht="15" x14ac:dyDescent="0.25">
      <c r="A2883" s="118"/>
      <c r="B2883" s="117"/>
      <c r="C2883" s="128"/>
      <c r="D2883" s="128"/>
      <c r="E2883" s="128"/>
      <c r="F2883" s="128"/>
      <c r="G2883" s="128"/>
      <c r="H2883" s="128"/>
      <c r="I2883" s="129">
        <f>Community!J488</f>
        <v>0</v>
      </c>
      <c r="J2883" s="129"/>
      <c r="K2883" s="129"/>
      <c r="L2883" s="129"/>
      <c r="M2883" s="186"/>
      <c r="N2883" s="186"/>
      <c r="O2883" s="128"/>
      <c r="P2883" s="123" t="str">
        <f t="shared" si="640"/>
        <v/>
      </c>
    </row>
    <row r="2884" spans="1:16" s="114" customFormat="1" ht="15" x14ac:dyDescent="0.25">
      <c r="A2884" s="118"/>
      <c r="B2884" s="117" t="s">
        <v>95</v>
      </c>
      <c r="C2884" s="128">
        <f>C2882</f>
        <v>-2507528</v>
      </c>
      <c r="D2884" s="128">
        <f t="shared" ref="D2884:O2884" si="652">D2882</f>
        <v>-2507528</v>
      </c>
      <c r="E2884" s="128">
        <f t="shared" si="652"/>
        <v>-2507528</v>
      </c>
      <c r="F2884" s="128">
        <f t="shared" si="652"/>
        <v>-2507528</v>
      </c>
      <c r="G2884" s="128">
        <f t="shared" si="652"/>
        <v>-2507528</v>
      </c>
      <c r="H2884" s="128">
        <f t="shared" si="652"/>
        <v>-2507528</v>
      </c>
      <c r="I2884" s="128">
        <f t="shared" si="652"/>
        <v>-2507528</v>
      </c>
      <c r="J2884" s="128">
        <f t="shared" si="652"/>
        <v>-2507528</v>
      </c>
      <c r="K2884" s="128">
        <f t="shared" si="652"/>
        <v>-2507528</v>
      </c>
      <c r="L2884" s="128">
        <f t="shared" si="652"/>
        <v>-2507528</v>
      </c>
      <c r="M2884" s="128">
        <f t="shared" si="652"/>
        <v>-2507528</v>
      </c>
      <c r="N2884" s="128">
        <f t="shared" si="652"/>
        <v>-2507528</v>
      </c>
      <c r="O2884" s="128">
        <f t="shared" si="652"/>
        <v>-2507528</v>
      </c>
      <c r="P2884" s="123" t="str">
        <f t="shared" si="640"/>
        <v/>
      </c>
    </row>
    <row r="2885" spans="1:16" s="114" customFormat="1" ht="15" x14ac:dyDescent="0.25">
      <c r="A2885" s="118"/>
      <c r="B2885" s="117"/>
      <c r="C2885" s="128"/>
      <c r="D2885" s="128"/>
      <c r="E2885" s="128"/>
      <c r="F2885" s="128"/>
      <c r="G2885" s="128"/>
      <c r="H2885" s="128"/>
      <c r="I2885" s="129">
        <f>Community!J490</f>
        <v>0</v>
      </c>
      <c r="J2885" s="129"/>
      <c r="K2885" s="128"/>
      <c r="L2885" s="186"/>
      <c r="M2885" s="186"/>
      <c r="N2885" s="186"/>
      <c r="O2885" s="128"/>
      <c r="P2885" s="123" t="str">
        <f t="shared" si="640"/>
        <v/>
      </c>
    </row>
    <row r="2886" spans="1:16" s="114" customFormat="1" ht="15" x14ac:dyDescent="0.25">
      <c r="A2886" s="118"/>
      <c r="B2886" s="117" t="s">
        <v>96</v>
      </c>
      <c r="C2886" s="128"/>
      <c r="D2886" s="128"/>
      <c r="E2886" s="128"/>
      <c r="F2886" s="128"/>
      <c r="G2886" s="128"/>
      <c r="H2886" s="128"/>
      <c r="I2886" s="129">
        <f>Community!J491</f>
        <v>0</v>
      </c>
      <c r="J2886" s="129"/>
      <c r="K2886" s="129"/>
      <c r="L2886" s="213"/>
      <c r="M2886" s="186"/>
      <c r="N2886" s="186"/>
      <c r="O2886" s="128"/>
      <c r="P2886" s="123" t="str">
        <f t="shared" si="640"/>
        <v/>
      </c>
    </row>
    <row r="2887" spans="1:16" s="114" customFormat="1" ht="15" x14ac:dyDescent="0.25">
      <c r="A2887" s="118"/>
      <c r="B2887" s="117" t="s">
        <v>97</v>
      </c>
      <c r="C2887" s="128"/>
      <c r="D2887" s="128"/>
      <c r="E2887" s="128"/>
      <c r="F2887" s="128"/>
      <c r="G2887" s="128"/>
      <c r="H2887" s="128"/>
      <c r="I2887" s="129">
        <f>Community!J492</f>
        <v>0</v>
      </c>
      <c r="J2887" s="129"/>
      <c r="K2887" s="129"/>
      <c r="L2887" s="213"/>
      <c r="M2887" s="186"/>
      <c r="N2887" s="186"/>
      <c r="O2887" s="128"/>
      <c r="P2887" s="123" t="str">
        <f t="shared" ref="P2887:P2950" si="653">MID(A2887,6,3)</f>
        <v/>
      </c>
    </row>
    <row r="2888" spans="1:16" s="114" customFormat="1" ht="15" x14ac:dyDescent="0.25">
      <c r="A2888" s="118"/>
      <c r="B2888" s="117" t="s">
        <v>148</v>
      </c>
      <c r="C2888" s="128"/>
      <c r="D2888" s="128"/>
      <c r="E2888" s="128"/>
      <c r="F2888" s="128"/>
      <c r="G2888" s="128"/>
      <c r="H2888" s="128"/>
      <c r="I2888" s="129">
        <f>Community!J493</f>
        <v>0</v>
      </c>
      <c r="J2888" s="129"/>
      <c r="K2888" s="129"/>
      <c r="L2888" s="213"/>
      <c r="M2888" s="186"/>
      <c r="N2888" s="186"/>
      <c r="O2888" s="128"/>
      <c r="P2888" s="123" t="str">
        <f t="shared" si="653"/>
        <v/>
      </c>
    </row>
    <row r="2889" spans="1:16" s="114" customFormat="1" ht="15" x14ac:dyDescent="0.25">
      <c r="A2889" s="118"/>
      <c r="B2889" s="117" t="s">
        <v>149</v>
      </c>
      <c r="C2889" s="128"/>
      <c r="D2889" s="128"/>
      <c r="E2889" s="128"/>
      <c r="F2889" s="128"/>
      <c r="G2889" s="128"/>
      <c r="H2889" s="128"/>
      <c r="I2889" s="129">
        <f>Community!J494</f>
        <v>0</v>
      </c>
      <c r="J2889" s="129"/>
      <c r="K2889" s="129"/>
      <c r="L2889" s="213"/>
      <c r="M2889" s="186"/>
      <c r="N2889" s="186"/>
      <c r="O2889" s="128"/>
      <c r="P2889" s="123" t="str">
        <f t="shared" si="653"/>
        <v/>
      </c>
    </row>
    <row r="2890" spans="1:16" x14ac:dyDescent="0.2">
      <c r="A2890" s="119"/>
      <c r="B2890" s="120"/>
      <c r="C2890" s="129"/>
      <c r="D2890" s="129"/>
      <c r="E2890" s="129"/>
      <c r="F2890" s="129"/>
      <c r="G2890" s="129"/>
      <c r="H2890" s="129"/>
      <c r="I2890" s="129">
        <f>Community!J495</f>
        <v>0</v>
      </c>
      <c r="J2890" s="129"/>
      <c r="K2890" s="129"/>
      <c r="L2890" s="213"/>
      <c r="O2890" s="129"/>
      <c r="P2890" s="123" t="str">
        <f t="shared" si="653"/>
        <v/>
      </c>
    </row>
    <row r="2891" spans="1:16" x14ac:dyDescent="0.2">
      <c r="A2891" s="119" t="s">
        <v>1130</v>
      </c>
      <c r="B2891" s="120" t="s">
        <v>150</v>
      </c>
      <c r="C2891" s="129">
        <v>3160845</v>
      </c>
      <c r="D2891" s="129">
        <v>269862.99</v>
      </c>
      <c r="E2891" s="129">
        <v>0</v>
      </c>
      <c r="F2891" s="129">
        <v>1613754.55</v>
      </c>
      <c r="G2891" s="129">
        <v>1547090.45</v>
      </c>
      <c r="H2891" s="129">
        <v>51.05</v>
      </c>
      <c r="I2891" s="129">
        <f>Community!J496</f>
        <v>0</v>
      </c>
      <c r="J2891" s="129">
        <f>Community!K496</f>
        <v>3160845</v>
      </c>
      <c r="K2891" s="129">
        <f>Community!L496</f>
        <v>3358397.8125</v>
      </c>
      <c r="L2891" s="129">
        <f>Community!M496</f>
        <v>3593485.6593749998</v>
      </c>
      <c r="O2891" s="129">
        <f>Community!N496</f>
        <v>3845029.6555312499</v>
      </c>
      <c r="P2891" s="123" t="str">
        <f t="shared" si="653"/>
        <v>110</v>
      </c>
    </row>
    <row r="2892" spans="1:16" x14ac:dyDescent="0.2">
      <c r="A2892" s="119" t="s">
        <v>1131</v>
      </c>
      <c r="B2892" s="120" t="s">
        <v>151</v>
      </c>
      <c r="C2892" s="129">
        <v>146335</v>
      </c>
      <c r="D2892" s="129">
        <v>118539.26</v>
      </c>
      <c r="E2892" s="129">
        <v>0</v>
      </c>
      <c r="F2892" s="129">
        <v>193423.04</v>
      </c>
      <c r="G2892" s="129">
        <v>-47088.04</v>
      </c>
      <c r="H2892" s="129">
        <v>132.16999999999999</v>
      </c>
      <c r="I2892" s="129">
        <f>Community!J497</f>
        <v>-27795.740000000049</v>
      </c>
      <c r="J2892" s="129">
        <f>Community!K497</f>
        <v>118539.25999999995</v>
      </c>
      <c r="K2892" s="129">
        <f>Community!L497</f>
        <v>125947.96374999995</v>
      </c>
      <c r="L2892" s="129">
        <f>Community!M497</f>
        <v>134764.32121249996</v>
      </c>
      <c r="O2892" s="129">
        <f>Community!N497</f>
        <v>144197.82369737496</v>
      </c>
      <c r="P2892" s="123" t="str">
        <f t="shared" si="653"/>
        <v>110</v>
      </c>
    </row>
    <row r="2893" spans="1:16" x14ac:dyDescent="0.2">
      <c r="A2893" s="119" t="s">
        <v>1132</v>
      </c>
      <c r="B2893" s="120" t="s">
        <v>152</v>
      </c>
      <c r="C2893" s="129">
        <v>28200</v>
      </c>
      <c r="D2893" s="129">
        <v>2347.75</v>
      </c>
      <c r="E2893" s="129">
        <v>0</v>
      </c>
      <c r="F2893" s="129">
        <v>14086.5</v>
      </c>
      <c r="G2893" s="129">
        <v>14113.5</v>
      </c>
      <c r="H2893" s="129">
        <v>49.95</v>
      </c>
      <c r="I2893" s="129">
        <f>Community!J498</f>
        <v>0</v>
      </c>
      <c r="J2893" s="129">
        <f>Community!K498</f>
        <v>28200</v>
      </c>
      <c r="K2893" s="129">
        <f>Community!L498</f>
        <v>29962.5</v>
      </c>
      <c r="L2893" s="129">
        <f>Community!M498</f>
        <v>32059.875</v>
      </c>
      <c r="O2893" s="129">
        <f>Community!N498</f>
        <v>34304.066250000003</v>
      </c>
      <c r="P2893" s="123" t="str">
        <f t="shared" si="653"/>
        <v>110</v>
      </c>
    </row>
    <row r="2894" spans="1:16" x14ac:dyDescent="0.2">
      <c r="A2894" s="119" t="s">
        <v>1133</v>
      </c>
      <c r="B2894" s="120" t="s">
        <v>155</v>
      </c>
      <c r="C2894" s="129">
        <v>103918</v>
      </c>
      <c r="D2894" s="129">
        <v>0</v>
      </c>
      <c r="E2894" s="129">
        <v>0</v>
      </c>
      <c r="F2894" s="129">
        <v>0</v>
      </c>
      <c r="G2894" s="129">
        <v>103918</v>
      </c>
      <c r="H2894" s="129">
        <v>0</v>
      </c>
      <c r="I2894" s="129">
        <f>Community!J499</f>
        <v>0</v>
      </c>
      <c r="J2894" s="129">
        <f>Community!K499</f>
        <v>103918</v>
      </c>
      <c r="K2894" s="129">
        <f>Community!L499</f>
        <v>110412.875</v>
      </c>
      <c r="L2894" s="129">
        <f>Community!M499</f>
        <v>118141.77625</v>
      </c>
      <c r="O2894" s="129">
        <f>Community!N499</f>
        <v>126411.7005875</v>
      </c>
      <c r="P2894" s="123" t="str">
        <f t="shared" si="653"/>
        <v>110</v>
      </c>
    </row>
    <row r="2895" spans="1:16" x14ac:dyDescent="0.2">
      <c r="A2895" s="119" t="s">
        <v>1134</v>
      </c>
      <c r="B2895" s="120" t="s">
        <v>156</v>
      </c>
      <c r="C2895" s="129">
        <v>199536</v>
      </c>
      <c r="D2895" s="129">
        <v>16826.34</v>
      </c>
      <c r="E2895" s="129">
        <v>0</v>
      </c>
      <c r="F2895" s="129">
        <v>99964.36</v>
      </c>
      <c r="G2895" s="129">
        <v>99571.64</v>
      </c>
      <c r="H2895" s="129">
        <v>50.09</v>
      </c>
      <c r="I2895" s="129">
        <f>Community!J500</f>
        <v>0</v>
      </c>
      <c r="J2895" s="129">
        <f>Community!K500</f>
        <v>199536</v>
      </c>
      <c r="K2895" s="129">
        <f>Community!L500</f>
        <v>212007</v>
      </c>
      <c r="L2895" s="129">
        <f>Community!M500</f>
        <v>226847.49</v>
      </c>
      <c r="O2895" s="129">
        <f>Community!N500</f>
        <v>242726.8143</v>
      </c>
      <c r="P2895" s="123" t="str">
        <f t="shared" si="653"/>
        <v>110</v>
      </c>
    </row>
    <row r="2896" spans="1:16" x14ac:dyDescent="0.2">
      <c r="A2896" s="119" t="s">
        <v>1135</v>
      </c>
      <c r="B2896" s="120" t="s">
        <v>157</v>
      </c>
      <c r="C2896" s="129">
        <v>249992</v>
      </c>
      <c r="D2896" s="129">
        <v>0</v>
      </c>
      <c r="E2896" s="129">
        <v>0</v>
      </c>
      <c r="F2896" s="129">
        <v>11342.99</v>
      </c>
      <c r="G2896" s="129">
        <v>238649.01</v>
      </c>
      <c r="H2896" s="129">
        <v>4.53</v>
      </c>
      <c r="I2896" s="129">
        <f>Community!J501</f>
        <v>0</v>
      </c>
      <c r="J2896" s="129">
        <f>Community!K501</f>
        <v>249992</v>
      </c>
      <c r="K2896" s="129">
        <f>Community!L501</f>
        <v>265616.5</v>
      </c>
      <c r="L2896" s="129">
        <f>Community!M501</f>
        <v>284209.65500000003</v>
      </c>
      <c r="O2896" s="129">
        <f>Community!N501</f>
        <v>304104.33085000003</v>
      </c>
      <c r="P2896" s="123" t="str">
        <f t="shared" si="653"/>
        <v>110</v>
      </c>
    </row>
    <row r="2897" spans="1:16" x14ac:dyDescent="0.2">
      <c r="A2897" s="119" t="s">
        <v>1136</v>
      </c>
      <c r="B2897" s="120" t="s">
        <v>159</v>
      </c>
      <c r="C2897" s="129">
        <v>263404</v>
      </c>
      <c r="D2897" s="129">
        <v>0</v>
      </c>
      <c r="E2897" s="129">
        <v>0</v>
      </c>
      <c r="F2897" s="129">
        <v>0</v>
      </c>
      <c r="G2897" s="129">
        <v>263404</v>
      </c>
      <c r="H2897" s="129">
        <v>0</v>
      </c>
      <c r="I2897" s="129">
        <f>Community!J502</f>
        <v>0</v>
      </c>
      <c r="J2897" s="129">
        <f>Community!K502</f>
        <v>263404</v>
      </c>
      <c r="K2897" s="129">
        <f>Community!L502</f>
        <v>279866.75</v>
      </c>
      <c r="L2897" s="129">
        <f>Community!M502</f>
        <v>299457.42249999999</v>
      </c>
      <c r="O2897" s="129">
        <f>Community!N502</f>
        <v>320419.44207499997</v>
      </c>
      <c r="P2897" s="123" t="str">
        <f t="shared" si="653"/>
        <v>110</v>
      </c>
    </row>
    <row r="2898" spans="1:16" x14ac:dyDescent="0.2">
      <c r="A2898" s="119" t="s">
        <v>1137</v>
      </c>
      <c r="B2898" s="120" t="s">
        <v>161</v>
      </c>
      <c r="C2898" s="129">
        <v>56699</v>
      </c>
      <c r="D2898" s="129">
        <v>0</v>
      </c>
      <c r="E2898" s="129">
        <v>0</v>
      </c>
      <c r="F2898" s="129">
        <v>20595.439999999999</v>
      </c>
      <c r="G2898" s="129">
        <v>36103.56</v>
      </c>
      <c r="H2898" s="129">
        <v>36.32</v>
      </c>
      <c r="I2898" s="129">
        <f>Community!J503</f>
        <v>0</v>
      </c>
      <c r="J2898" s="129">
        <f>Community!K503</f>
        <v>56699</v>
      </c>
      <c r="K2898" s="129">
        <f>Community!L503</f>
        <v>60242.6875</v>
      </c>
      <c r="L2898" s="129">
        <f>Community!M503</f>
        <v>64459.675625000003</v>
      </c>
      <c r="O2898" s="129">
        <f>Community!N503</f>
        <v>68971.85291875001</v>
      </c>
      <c r="P2898" s="123" t="str">
        <f t="shared" si="653"/>
        <v>110</v>
      </c>
    </row>
    <row r="2899" spans="1:16" x14ac:dyDescent="0.2">
      <c r="A2899" s="119" t="s">
        <v>1138</v>
      </c>
      <c r="B2899" s="120" t="s">
        <v>162</v>
      </c>
      <c r="C2899" s="129">
        <v>0</v>
      </c>
      <c r="D2899" s="129">
        <v>2329.52</v>
      </c>
      <c r="E2899" s="129">
        <v>0</v>
      </c>
      <c r="F2899" s="129">
        <v>11264.09</v>
      </c>
      <c r="G2899" s="129">
        <v>-11264.09</v>
      </c>
      <c r="H2899" s="129">
        <v>0</v>
      </c>
      <c r="I2899" s="129">
        <f>Community!J504</f>
        <v>24000</v>
      </c>
      <c r="J2899" s="129">
        <f>Community!K504</f>
        <v>24000</v>
      </c>
      <c r="K2899" s="129">
        <f>Community!L504</f>
        <v>25500</v>
      </c>
      <c r="L2899" s="129">
        <f>Community!M504</f>
        <v>27285</v>
      </c>
      <c r="M2899" s="129">
        <f>Community!N504</f>
        <v>29194.95</v>
      </c>
      <c r="N2899" s="129">
        <f>Community!O504</f>
        <v>0</v>
      </c>
      <c r="O2899" s="129">
        <f>Community!N504</f>
        <v>29194.95</v>
      </c>
      <c r="P2899" s="123" t="str">
        <f t="shared" si="653"/>
        <v>110</v>
      </c>
    </row>
    <row r="2900" spans="1:16" x14ac:dyDescent="0.2">
      <c r="A2900" s="119"/>
      <c r="B2900" s="120"/>
      <c r="C2900" s="129"/>
      <c r="D2900" s="129"/>
      <c r="E2900" s="129"/>
      <c r="F2900" s="129"/>
      <c r="G2900" s="129"/>
      <c r="H2900" s="129"/>
      <c r="I2900" s="129">
        <f>Community!J505</f>
        <v>0</v>
      </c>
      <c r="J2900" s="129"/>
      <c r="K2900" s="129"/>
      <c r="L2900" s="129"/>
      <c r="O2900" s="129"/>
      <c r="P2900" s="123" t="str">
        <f t="shared" si="653"/>
        <v/>
      </c>
    </row>
    <row r="2901" spans="1:16" s="114" customFormat="1" ht="15" x14ac:dyDescent="0.25">
      <c r="A2901" s="118"/>
      <c r="B2901" s="117" t="s">
        <v>165</v>
      </c>
      <c r="C2901" s="128">
        <f>SUM(C2891:C2900)</f>
        <v>4208929</v>
      </c>
      <c r="D2901" s="128">
        <f t="shared" ref="D2901:O2901" si="654">SUM(D2891:D2900)</f>
        <v>409905.86000000004</v>
      </c>
      <c r="E2901" s="128">
        <f t="shared" si="654"/>
        <v>0</v>
      </c>
      <c r="F2901" s="128">
        <f t="shared" si="654"/>
        <v>1964430.9700000002</v>
      </c>
      <c r="G2901" s="128">
        <f t="shared" si="654"/>
        <v>2244498.0299999998</v>
      </c>
      <c r="H2901" s="128">
        <f t="shared" si="654"/>
        <v>324.10999999999996</v>
      </c>
      <c r="I2901" s="128">
        <f t="shared" si="654"/>
        <v>-3795.7400000000489</v>
      </c>
      <c r="J2901" s="128">
        <f t="shared" si="654"/>
        <v>4205133.26</v>
      </c>
      <c r="K2901" s="128">
        <f t="shared" si="654"/>
        <v>4467954.0887500001</v>
      </c>
      <c r="L2901" s="128">
        <f t="shared" si="654"/>
        <v>4780710.8749625003</v>
      </c>
      <c r="M2901" s="128">
        <f t="shared" si="654"/>
        <v>29194.95</v>
      </c>
      <c r="N2901" s="128">
        <f t="shared" si="654"/>
        <v>0</v>
      </c>
      <c r="O2901" s="128">
        <f t="shared" si="654"/>
        <v>5115360.6362098753</v>
      </c>
      <c r="P2901" s="123" t="str">
        <f t="shared" si="653"/>
        <v/>
      </c>
    </row>
    <row r="2902" spans="1:16" s="114" customFormat="1" ht="15" x14ac:dyDescent="0.25">
      <c r="A2902" s="118"/>
      <c r="B2902" s="117"/>
      <c r="C2902" s="128"/>
      <c r="D2902" s="128"/>
      <c r="E2902" s="128"/>
      <c r="F2902" s="128"/>
      <c r="G2902" s="128"/>
      <c r="H2902" s="128"/>
      <c r="I2902" s="129">
        <f>Community!J507</f>
        <v>0</v>
      </c>
      <c r="J2902" s="129"/>
      <c r="K2902" s="129"/>
      <c r="L2902" s="129"/>
      <c r="M2902" s="186"/>
      <c r="N2902" s="186"/>
      <c r="O2902" s="128"/>
      <c r="P2902" s="123" t="str">
        <f t="shared" si="653"/>
        <v/>
      </c>
    </row>
    <row r="2903" spans="1:16" s="114" customFormat="1" ht="15" x14ac:dyDescent="0.25">
      <c r="A2903" s="118"/>
      <c r="B2903" s="117" t="s">
        <v>166</v>
      </c>
      <c r="C2903" s="128"/>
      <c r="D2903" s="128"/>
      <c r="E2903" s="128"/>
      <c r="F2903" s="128"/>
      <c r="G2903" s="128"/>
      <c r="H2903" s="128"/>
      <c r="I2903" s="129">
        <f ca="1">Community!J508</f>
        <v>0</v>
      </c>
      <c r="J2903" s="129"/>
      <c r="K2903" s="129"/>
      <c r="L2903" s="129"/>
      <c r="M2903" s="186"/>
      <c r="N2903" s="186"/>
      <c r="O2903" s="128"/>
      <c r="P2903" s="123" t="str">
        <f t="shared" si="653"/>
        <v/>
      </c>
    </row>
    <row r="2904" spans="1:16" x14ac:dyDescent="0.2">
      <c r="A2904" s="119"/>
      <c r="B2904" s="120"/>
      <c r="C2904" s="129"/>
      <c r="D2904" s="129"/>
      <c r="E2904" s="129"/>
      <c r="F2904" s="129"/>
      <c r="G2904" s="129"/>
      <c r="H2904" s="129"/>
      <c r="I2904" s="129">
        <f>Community!J509</f>
        <v>0</v>
      </c>
      <c r="J2904" s="129"/>
      <c r="K2904" s="129"/>
      <c r="L2904" s="129"/>
      <c r="O2904" s="129"/>
      <c r="P2904" s="123" t="str">
        <f t="shared" si="653"/>
        <v/>
      </c>
    </row>
    <row r="2905" spans="1:16" x14ac:dyDescent="0.2">
      <c r="A2905" s="119" t="s">
        <v>1139</v>
      </c>
      <c r="B2905" s="120" t="s">
        <v>167</v>
      </c>
      <c r="C2905" s="129">
        <v>1573</v>
      </c>
      <c r="D2905" s="129">
        <v>139.80000000000001</v>
      </c>
      <c r="E2905" s="129">
        <v>0</v>
      </c>
      <c r="F2905" s="129">
        <v>838.8</v>
      </c>
      <c r="G2905" s="129">
        <v>734.2</v>
      </c>
      <c r="H2905" s="129">
        <v>53.32</v>
      </c>
      <c r="I2905" s="129">
        <f>Community!J510</f>
        <v>0</v>
      </c>
      <c r="J2905" s="129">
        <f>Community!K510</f>
        <v>1573</v>
      </c>
      <c r="K2905" s="129">
        <f>Community!L510</f>
        <v>1671.3125</v>
      </c>
      <c r="L2905" s="129">
        <f>Community!M510</f>
        <v>1788.3043749999999</v>
      </c>
      <c r="O2905" s="129">
        <f>Community!N510</f>
        <v>1913.48568125</v>
      </c>
      <c r="P2905" s="123" t="str">
        <f t="shared" si="653"/>
        <v>130</v>
      </c>
    </row>
    <row r="2906" spans="1:16" x14ac:dyDescent="0.2">
      <c r="A2906" s="119" t="s">
        <v>1140</v>
      </c>
      <c r="B2906" s="120" t="s">
        <v>168</v>
      </c>
      <c r="C2906" s="129">
        <v>268764</v>
      </c>
      <c r="D2906" s="129">
        <v>19670.400000000001</v>
      </c>
      <c r="E2906" s="129">
        <v>0</v>
      </c>
      <c r="F2906" s="129">
        <v>118022.39999999999</v>
      </c>
      <c r="G2906" s="129">
        <v>150741.6</v>
      </c>
      <c r="H2906" s="129">
        <v>43.91</v>
      </c>
      <c r="I2906" s="129">
        <f>Community!J511</f>
        <v>0</v>
      </c>
      <c r="J2906" s="129">
        <f>Community!K511</f>
        <v>268764</v>
      </c>
      <c r="K2906" s="129">
        <f>Community!L511</f>
        <v>285561.75</v>
      </c>
      <c r="L2906" s="129">
        <f>Community!M511</f>
        <v>305551.07250000001</v>
      </c>
      <c r="O2906" s="129">
        <f>Community!N511</f>
        <v>326939.64757500001</v>
      </c>
      <c r="P2906" s="123" t="str">
        <f t="shared" si="653"/>
        <v>130</v>
      </c>
    </row>
    <row r="2907" spans="1:16" x14ac:dyDescent="0.2">
      <c r="A2907" s="119" t="s">
        <v>1141</v>
      </c>
      <c r="B2907" s="120" t="s">
        <v>169</v>
      </c>
      <c r="C2907" s="129">
        <v>695386</v>
      </c>
      <c r="D2907" s="129">
        <v>56210.76</v>
      </c>
      <c r="E2907" s="129">
        <v>0</v>
      </c>
      <c r="F2907" s="129">
        <v>336230.41</v>
      </c>
      <c r="G2907" s="129">
        <v>359155.59</v>
      </c>
      <c r="H2907" s="129">
        <v>48.35</v>
      </c>
      <c r="I2907" s="129">
        <f>Community!J512</f>
        <v>0</v>
      </c>
      <c r="J2907" s="129">
        <f>Community!K512</f>
        <v>695386</v>
      </c>
      <c r="K2907" s="129">
        <f>Community!L512</f>
        <v>738847.625</v>
      </c>
      <c r="L2907" s="129">
        <f>Community!M512</f>
        <v>790566.95874999999</v>
      </c>
      <c r="O2907" s="129">
        <f>Community!N512</f>
        <v>845906.64586249995</v>
      </c>
      <c r="P2907" s="123" t="str">
        <f t="shared" si="653"/>
        <v>130</v>
      </c>
    </row>
    <row r="2908" spans="1:16" x14ac:dyDescent="0.2">
      <c r="A2908" s="119" t="s">
        <v>1142</v>
      </c>
      <c r="B2908" s="120" t="s">
        <v>170</v>
      </c>
      <c r="C2908" s="129">
        <v>24990</v>
      </c>
      <c r="D2908" s="129">
        <v>2199.0700000000002</v>
      </c>
      <c r="E2908" s="129">
        <v>0</v>
      </c>
      <c r="F2908" s="129">
        <v>13215.36</v>
      </c>
      <c r="G2908" s="129">
        <v>11774.64</v>
      </c>
      <c r="H2908" s="129">
        <v>52.88</v>
      </c>
      <c r="I2908" s="129">
        <f>Community!J513</f>
        <v>0</v>
      </c>
      <c r="J2908" s="129">
        <f>Community!K513</f>
        <v>24990</v>
      </c>
      <c r="K2908" s="129">
        <f>Community!L513</f>
        <v>26551.875</v>
      </c>
      <c r="L2908" s="129">
        <f>Community!M513</f>
        <v>28410.506249999999</v>
      </c>
      <c r="O2908" s="129">
        <f>Community!N513</f>
        <v>30399.241687499998</v>
      </c>
      <c r="P2908" s="123" t="str">
        <f t="shared" si="653"/>
        <v>130</v>
      </c>
    </row>
    <row r="2909" spans="1:16" x14ac:dyDescent="0.2">
      <c r="A2909" s="119"/>
      <c r="B2909" s="120"/>
      <c r="C2909" s="129"/>
      <c r="D2909" s="129"/>
      <c r="E2909" s="129"/>
      <c r="F2909" s="129"/>
      <c r="G2909" s="129"/>
      <c r="H2909" s="129"/>
      <c r="I2909" s="129">
        <f>Community!J514</f>
        <v>0</v>
      </c>
      <c r="J2909" s="129"/>
      <c r="K2909" s="129"/>
      <c r="L2909" s="129"/>
      <c r="O2909" s="129"/>
      <c r="P2909" s="123" t="str">
        <f t="shared" si="653"/>
        <v/>
      </c>
    </row>
    <row r="2910" spans="1:16" s="114" customFormat="1" ht="15" x14ac:dyDescent="0.25">
      <c r="A2910" s="118"/>
      <c r="B2910" s="117" t="s">
        <v>171</v>
      </c>
      <c r="C2910" s="128">
        <f>SUM(C2905:C2909)</f>
        <v>990713</v>
      </c>
      <c r="D2910" s="128">
        <f t="shared" ref="D2910:O2910" si="655">SUM(D2905:D2909)</f>
        <v>78220.030000000013</v>
      </c>
      <c r="E2910" s="128">
        <f t="shared" si="655"/>
        <v>0</v>
      </c>
      <c r="F2910" s="128">
        <f t="shared" si="655"/>
        <v>468306.97</v>
      </c>
      <c r="G2910" s="128">
        <f t="shared" si="655"/>
        <v>522406.03</v>
      </c>
      <c r="H2910" s="128">
        <f t="shared" si="655"/>
        <v>198.45999999999998</v>
      </c>
      <c r="I2910" s="128">
        <f t="shared" si="655"/>
        <v>0</v>
      </c>
      <c r="J2910" s="128">
        <f t="shared" si="655"/>
        <v>990713</v>
      </c>
      <c r="K2910" s="128">
        <f t="shared" si="655"/>
        <v>1052632.5625</v>
      </c>
      <c r="L2910" s="128">
        <f t="shared" si="655"/>
        <v>1126316.8418750002</v>
      </c>
      <c r="M2910" s="128">
        <f t="shared" si="655"/>
        <v>0</v>
      </c>
      <c r="N2910" s="128">
        <f t="shared" si="655"/>
        <v>0</v>
      </c>
      <c r="O2910" s="128">
        <f t="shared" si="655"/>
        <v>1205159.0208062499</v>
      </c>
      <c r="P2910" s="123" t="str">
        <f t="shared" si="653"/>
        <v/>
      </c>
    </row>
    <row r="2911" spans="1:16" s="114" customFormat="1" ht="15" x14ac:dyDescent="0.25">
      <c r="A2911" s="118"/>
      <c r="B2911" s="117"/>
      <c r="C2911" s="128"/>
      <c r="D2911" s="128"/>
      <c r="E2911" s="128"/>
      <c r="F2911" s="128"/>
      <c r="G2911" s="128"/>
      <c r="H2911" s="128"/>
      <c r="I2911" s="129">
        <f>Community!J516</f>
        <v>0</v>
      </c>
      <c r="J2911" s="129"/>
      <c r="K2911" s="129"/>
      <c r="L2911" s="129"/>
      <c r="M2911" s="186"/>
      <c r="N2911" s="186"/>
      <c r="O2911" s="128"/>
      <c r="P2911" s="123" t="str">
        <f t="shared" si="653"/>
        <v/>
      </c>
    </row>
    <row r="2912" spans="1:16" s="114" customFormat="1" ht="15" x14ac:dyDescent="0.25">
      <c r="A2912" s="118"/>
      <c r="B2912" s="117" t="s">
        <v>172</v>
      </c>
      <c r="C2912" s="128"/>
      <c r="D2912" s="128"/>
      <c r="E2912" s="128"/>
      <c r="F2912" s="128"/>
      <c r="G2912" s="128"/>
      <c r="H2912" s="128"/>
      <c r="I2912" s="129">
        <f ca="1">Community!J517</f>
        <v>0</v>
      </c>
      <c r="J2912" s="129"/>
      <c r="K2912" s="129"/>
      <c r="L2912" s="129"/>
      <c r="M2912" s="186"/>
      <c r="N2912" s="186"/>
      <c r="O2912" s="128"/>
      <c r="P2912" s="123" t="str">
        <f t="shared" si="653"/>
        <v/>
      </c>
    </row>
    <row r="2913" spans="1:16" x14ac:dyDescent="0.2">
      <c r="A2913" s="119"/>
      <c r="B2913" s="120"/>
      <c r="C2913" s="129"/>
      <c r="D2913" s="129"/>
      <c r="E2913" s="129"/>
      <c r="F2913" s="129"/>
      <c r="G2913" s="129"/>
      <c r="H2913" s="129"/>
      <c r="I2913" s="129">
        <f>Community!J518</f>
        <v>0</v>
      </c>
      <c r="J2913" s="129"/>
      <c r="K2913" s="129"/>
      <c r="L2913" s="129"/>
      <c r="O2913" s="129"/>
      <c r="P2913" s="123" t="str">
        <f t="shared" si="653"/>
        <v/>
      </c>
    </row>
    <row r="2914" spans="1:16" x14ac:dyDescent="0.2">
      <c r="A2914" s="119" t="s">
        <v>1143</v>
      </c>
      <c r="B2914" s="120" t="s">
        <v>173</v>
      </c>
      <c r="C2914" s="129">
        <v>56609</v>
      </c>
      <c r="D2914" s="129">
        <v>0</v>
      </c>
      <c r="E2914" s="129">
        <v>0</v>
      </c>
      <c r="F2914" s="129">
        <v>0</v>
      </c>
      <c r="G2914" s="129">
        <v>56609</v>
      </c>
      <c r="H2914" s="129">
        <v>0</v>
      </c>
      <c r="I2914" s="129">
        <f>Community!J519</f>
        <v>0</v>
      </c>
      <c r="J2914" s="129">
        <f>Community!K519</f>
        <v>56609</v>
      </c>
      <c r="K2914" s="129">
        <f>Community!L519</f>
        <v>60147.0625</v>
      </c>
      <c r="L2914" s="129">
        <f>Community!M519</f>
        <v>64357.356874999998</v>
      </c>
      <c r="O2914" s="129">
        <f>Community!N519</f>
        <v>68862.37185625</v>
      </c>
      <c r="P2914" s="123" t="str">
        <f t="shared" si="653"/>
        <v>140</v>
      </c>
    </row>
    <row r="2915" spans="1:16" x14ac:dyDescent="0.2">
      <c r="A2915" s="119" t="s">
        <v>1144</v>
      </c>
      <c r="B2915" s="120" t="s">
        <v>174</v>
      </c>
      <c r="C2915" s="129">
        <v>73319</v>
      </c>
      <c r="D2915" s="129">
        <v>0</v>
      </c>
      <c r="E2915" s="129">
        <v>0</v>
      </c>
      <c r="F2915" s="129">
        <v>0</v>
      </c>
      <c r="G2915" s="129">
        <v>73319</v>
      </c>
      <c r="H2915" s="129">
        <v>0</v>
      </c>
      <c r="I2915" s="129">
        <f>Community!J520</f>
        <v>0</v>
      </c>
      <c r="J2915" s="129">
        <f>Community!K520</f>
        <v>73319</v>
      </c>
      <c r="K2915" s="129">
        <f>Community!L520</f>
        <v>77901.4375</v>
      </c>
      <c r="L2915" s="129">
        <f>Community!M520</f>
        <v>83354.538125000006</v>
      </c>
      <c r="O2915" s="129">
        <f>Community!N520</f>
        <v>89189.355793750001</v>
      </c>
      <c r="P2915" s="123" t="str">
        <f t="shared" si="653"/>
        <v>140</v>
      </c>
    </row>
    <row r="2916" spans="1:16" x14ac:dyDescent="0.2">
      <c r="A2916" s="119" t="s">
        <v>1145</v>
      </c>
      <c r="B2916" s="120" t="s">
        <v>175</v>
      </c>
      <c r="C2916" s="129">
        <v>39991</v>
      </c>
      <c r="D2916" s="129">
        <v>0</v>
      </c>
      <c r="E2916" s="129">
        <v>0</v>
      </c>
      <c r="F2916" s="129">
        <v>0</v>
      </c>
      <c r="G2916" s="129">
        <v>39991</v>
      </c>
      <c r="H2916" s="129">
        <v>0</v>
      </c>
      <c r="I2916" s="129">
        <f>Community!J521</f>
        <v>0</v>
      </c>
      <c r="J2916" s="129">
        <f>Community!K521</f>
        <v>39991</v>
      </c>
      <c r="K2916" s="129">
        <f>Community!L521</f>
        <v>42490.4375</v>
      </c>
      <c r="L2916" s="129">
        <f>Community!M521</f>
        <v>45464.768125000002</v>
      </c>
      <c r="O2916" s="129">
        <f>Community!N521</f>
        <v>48647.301893750002</v>
      </c>
      <c r="P2916" s="123" t="str">
        <f t="shared" si="653"/>
        <v>142</v>
      </c>
    </row>
    <row r="2917" spans="1:16" x14ac:dyDescent="0.2">
      <c r="A2917" s="119"/>
      <c r="B2917" s="120"/>
      <c r="C2917" s="129"/>
      <c r="D2917" s="129"/>
      <c r="E2917" s="129"/>
      <c r="F2917" s="129"/>
      <c r="G2917" s="129"/>
      <c r="H2917" s="129"/>
      <c r="I2917" s="129">
        <f>Community!J522</f>
        <v>0</v>
      </c>
      <c r="J2917" s="129"/>
      <c r="K2917" s="129"/>
      <c r="L2917" s="129"/>
      <c r="O2917" s="129"/>
      <c r="P2917" s="123" t="str">
        <f t="shared" si="653"/>
        <v/>
      </c>
    </row>
    <row r="2918" spans="1:16" s="114" customFormat="1" ht="15" x14ac:dyDescent="0.25">
      <c r="A2918" s="118"/>
      <c r="B2918" s="117" t="s">
        <v>176</v>
      </c>
      <c r="C2918" s="128">
        <f>SUM(C2914:C2917)</f>
        <v>169919</v>
      </c>
      <c r="D2918" s="128">
        <f t="shared" ref="D2918:O2918" si="656">SUM(D2914:D2917)</f>
        <v>0</v>
      </c>
      <c r="E2918" s="128">
        <f t="shared" si="656"/>
        <v>0</v>
      </c>
      <c r="F2918" s="128">
        <f t="shared" si="656"/>
        <v>0</v>
      </c>
      <c r="G2918" s="128">
        <f t="shared" si="656"/>
        <v>169919</v>
      </c>
      <c r="H2918" s="128">
        <f t="shared" si="656"/>
        <v>0</v>
      </c>
      <c r="I2918" s="128">
        <f t="shared" si="656"/>
        <v>0</v>
      </c>
      <c r="J2918" s="128">
        <f t="shared" si="656"/>
        <v>169919</v>
      </c>
      <c r="K2918" s="128">
        <f t="shared" si="656"/>
        <v>180538.9375</v>
      </c>
      <c r="L2918" s="128">
        <f t="shared" si="656"/>
        <v>193176.66312500002</v>
      </c>
      <c r="M2918" s="128">
        <f t="shared" si="656"/>
        <v>0</v>
      </c>
      <c r="N2918" s="128">
        <f t="shared" si="656"/>
        <v>0</v>
      </c>
      <c r="O2918" s="128">
        <f t="shared" si="656"/>
        <v>206699.02954375002</v>
      </c>
      <c r="P2918" s="123" t="str">
        <f t="shared" si="653"/>
        <v/>
      </c>
    </row>
    <row r="2919" spans="1:16" s="114" customFormat="1" ht="15" x14ac:dyDescent="0.25">
      <c r="A2919" s="118"/>
      <c r="B2919" s="117"/>
      <c r="C2919" s="128"/>
      <c r="D2919" s="128"/>
      <c r="E2919" s="128"/>
      <c r="F2919" s="128"/>
      <c r="G2919" s="128"/>
      <c r="H2919" s="128"/>
      <c r="I2919" s="129">
        <f>Community!J524</f>
        <v>0</v>
      </c>
      <c r="J2919" s="129"/>
      <c r="K2919" s="129"/>
      <c r="L2919" s="129"/>
      <c r="M2919" s="186"/>
      <c r="N2919" s="186"/>
      <c r="O2919" s="128"/>
      <c r="P2919" s="123" t="str">
        <f t="shared" si="653"/>
        <v/>
      </c>
    </row>
    <row r="2920" spans="1:16" s="114" customFormat="1" ht="15" x14ac:dyDescent="0.25">
      <c r="A2920" s="118"/>
      <c r="B2920" s="117" t="s">
        <v>177</v>
      </c>
      <c r="C2920" s="128">
        <f>C2901+C2910+C2918</f>
        <v>5369561</v>
      </c>
      <c r="D2920" s="128">
        <f t="shared" ref="D2920:O2920" si="657">D2901+D2910+D2918</f>
        <v>488125.89000000007</v>
      </c>
      <c r="E2920" s="128">
        <f t="shared" si="657"/>
        <v>0</v>
      </c>
      <c r="F2920" s="128">
        <f t="shared" si="657"/>
        <v>2432737.9400000004</v>
      </c>
      <c r="G2920" s="128">
        <f t="shared" si="657"/>
        <v>2936823.0599999996</v>
      </c>
      <c r="H2920" s="128">
        <f t="shared" si="657"/>
        <v>522.56999999999994</v>
      </c>
      <c r="I2920" s="128">
        <f t="shared" si="657"/>
        <v>-3795.7400000000489</v>
      </c>
      <c r="J2920" s="128">
        <f t="shared" si="657"/>
        <v>5365765.26</v>
      </c>
      <c r="K2920" s="128">
        <f t="shared" si="657"/>
        <v>5701125.5887500001</v>
      </c>
      <c r="L2920" s="128">
        <f t="shared" si="657"/>
        <v>6100204.3799625002</v>
      </c>
      <c r="M2920" s="128">
        <f t="shared" si="657"/>
        <v>29194.95</v>
      </c>
      <c r="N2920" s="128">
        <f t="shared" si="657"/>
        <v>0</v>
      </c>
      <c r="O2920" s="128">
        <f t="shared" si="657"/>
        <v>6527218.6865598755</v>
      </c>
      <c r="P2920" s="123" t="str">
        <f t="shared" si="653"/>
        <v/>
      </c>
    </row>
    <row r="2921" spans="1:16" s="114" customFormat="1" ht="15" x14ac:dyDescent="0.25">
      <c r="A2921" s="118"/>
      <c r="B2921" s="117"/>
      <c r="C2921" s="128"/>
      <c r="D2921" s="128"/>
      <c r="E2921" s="128"/>
      <c r="F2921" s="128"/>
      <c r="G2921" s="128"/>
      <c r="H2921" s="128"/>
      <c r="I2921" s="129">
        <f>Community!J526</f>
        <v>0</v>
      </c>
      <c r="J2921" s="129"/>
      <c r="K2921" s="129"/>
      <c r="L2921" s="129"/>
      <c r="M2921" s="186"/>
      <c r="N2921" s="186"/>
      <c r="O2921" s="128"/>
      <c r="P2921" s="123" t="str">
        <f t="shared" si="653"/>
        <v/>
      </c>
    </row>
    <row r="2922" spans="1:16" s="114" customFormat="1" ht="15" x14ac:dyDescent="0.25">
      <c r="A2922" s="118"/>
      <c r="B2922" s="117" t="s">
        <v>178</v>
      </c>
      <c r="C2922" s="128">
        <f>C2920</f>
        <v>5369561</v>
      </c>
      <c r="D2922" s="128">
        <f t="shared" ref="D2922:O2922" si="658">D2920</f>
        <v>488125.89000000007</v>
      </c>
      <c r="E2922" s="128">
        <f t="shared" si="658"/>
        <v>0</v>
      </c>
      <c r="F2922" s="128">
        <f t="shared" si="658"/>
        <v>2432737.9400000004</v>
      </c>
      <c r="G2922" s="128">
        <f t="shared" si="658"/>
        <v>2936823.0599999996</v>
      </c>
      <c r="H2922" s="128">
        <f t="shared" si="658"/>
        <v>522.56999999999994</v>
      </c>
      <c r="I2922" s="128">
        <f t="shared" si="658"/>
        <v>-3795.7400000000489</v>
      </c>
      <c r="J2922" s="128">
        <f t="shared" si="658"/>
        <v>5365765.26</v>
      </c>
      <c r="K2922" s="128">
        <f t="shared" si="658"/>
        <v>5701125.5887500001</v>
      </c>
      <c r="L2922" s="128">
        <f t="shared" si="658"/>
        <v>6100204.3799625002</v>
      </c>
      <c r="M2922" s="128">
        <f t="shared" si="658"/>
        <v>29194.95</v>
      </c>
      <c r="N2922" s="128">
        <f t="shared" si="658"/>
        <v>0</v>
      </c>
      <c r="O2922" s="128">
        <f t="shared" si="658"/>
        <v>6527218.6865598755</v>
      </c>
      <c r="P2922" s="123" t="str">
        <f t="shared" si="653"/>
        <v/>
      </c>
    </row>
    <row r="2923" spans="1:16" s="114" customFormat="1" ht="15" x14ac:dyDescent="0.25">
      <c r="A2923" s="118"/>
      <c r="B2923" s="117"/>
      <c r="C2923" s="128"/>
      <c r="D2923" s="128"/>
      <c r="E2923" s="128"/>
      <c r="F2923" s="128"/>
      <c r="G2923" s="128"/>
      <c r="H2923" s="128"/>
      <c r="I2923" s="129">
        <f>Community!J528</f>
        <v>0</v>
      </c>
      <c r="J2923" s="129"/>
      <c r="K2923" s="129"/>
      <c r="L2923" s="129"/>
      <c r="M2923" s="186"/>
      <c r="N2923" s="186"/>
      <c r="O2923" s="128"/>
      <c r="P2923" s="123" t="str">
        <f t="shared" si="653"/>
        <v/>
      </c>
    </row>
    <row r="2924" spans="1:16" s="114" customFormat="1" ht="15" x14ac:dyDescent="0.25">
      <c r="A2924" s="118"/>
      <c r="B2924" s="117" t="s">
        <v>241</v>
      </c>
      <c r="C2924" s="128"/>
      <c r="D2924" s="128"/>
      <c r="E2924" s="128"/>
      <c r="F2924" s="128"/>
      <c r="G2924" s="128"/>
      <c r="H2924" s="128"/>
      <c r="I2924" s="129">
        <f>Community!J529</f>
        <v>0</v>
      </c>
      <c r="J2924" s="129"/>
      <c r="K2924" s="129"/>
      <c r="L2924" s="129"/>
      <c r="M2924" s="186"/>
      <c r="N2924" s="186"/>
      <c r="O2924" s="128"/>
      <c r="P2924" s="123" t="str">
        <f t="shared" si="653"/>
        <v/>
      </c>
    </row>
    <row r="2925" spans="1:16" x14ac:dyDescent="0.2">
      <c r="A2925" s="119"/>
      <c r="B2925" s="120"/>
      <c r="C2925" s="129"/>
      <c r="D2925" s="129"/>
      <c r="E2925" s="129"/>
      <c r="F2925" s="129"/>
      <c r="G2925" s="129"/>
      <c r="H2925" s="129"/>
      <c r="I2925" s="129">
        <f>Community!J530</f>
        <v>0</v>
      </c>
      <c r="J2925" s="129"/>
      <c r="K2925" s="129"/>
      <c r="L2925" s="129"/>
      <c r="O2925" s="129"/>
      <c r="P2925" s="123" t="str">
        <f t="shared" si="653"/>
        <v/>
      </c>
    </row>
    <row r="2926" spans="1:16" x14ac:dyDescent="0.2">
      <c r="A2926" s="119" t="s">
        <v>1146</v>
      </c>
      <c r="B2926" s="120" t="s">
        <v>245</v>
      </c>
      <c r="C2926" s="129">
        <v>1167000</v>
      </c>
      <c r="D2926" s="129">
        <v>102626</v>
      </c>
      <c r="E2926" s="129">
        <v>0</v>
      </c>
      <c r="F2926" s="129">
        <v>527389</v>
      </c>
      <c r="G2926" s="129">
        <v>639611</v>
      </c>
      <c r="H2926" s="129">
        <v>45.19</v>
      </c>
      <c r="I2926" s="129">
        <f>Community!J531</f>
        <v>0</v>
      </c>
      <c r="J2926" s="129">
        <f>Community!K531</f>
        <v>1167000</v>
      </c>
      <c r="K2926" s="129">
        <f>Community!L531</f>
        <v>1304000</v>
      </c>
      <c r="L2926" s="129">
        <f>Community!M531</f>
        <v>0</v>
      </c>
      <c r="O2926" s="129">
        <f>Community!N531</f>
        <v>0</v>
      </c>
      <c r="P2926" s="123" t="str">
        <f t="shared" si="653"/>
        <v>300</v>
      </c>
    </row>
    <row r="2927" spans="1:16" x14ac:dyDescent="0.2">
      <c r="A2927" s="119" t="s">
        <v>1147</v>
      </c>
      <c r="B2927" s="120" t="s">
        <v>255</v>
      </c>
      <c r="C2927" s="129">
        <v>41566</v>
      </c>
      <c r="D2927" s="129">
        <v>0</v>
      </c>
      <c r="E2927" s="129">
        <v>0</v>
      </c>
      <c r="F2927" s="129">
        <v>16800</v>
      </c>
      <c r="G2927" s="129">
        <v>24766</v>
      </c>
      <c r="H2927" s="129">
        <v>40.409999999999997</v>
      </c>
      <c r="I2927" s="129">
        <f>Community!J532</f>
        <v>0</v>
      </c>
      <c r="J2927" s="129">
        <f>Community!K532</f>
        <v>41566</v>
      </c>
      <c r="K2927" s="129">
        <f>Community!L532</f>
        <v>43436.47</v>
      </c>
      <c r="L2927" s="129">
        <f>Community!M532</f>
        <v>45434.547619999998</v>
      </c>
      <c r="O2927" s="129">
        <f>Community!N532</f>
        <v>47524.536810519996</v>
      </c>
      <c r="P2927" s="123" t="str">
        <f t="shared" si="653"/>
        <v>301</v>
      </c>
    </row>
    <row r="2928" spans="1:16" x14ac:dyDescent="0.2">
      <c r="A2928" s="119" t="s">
        <v>1148</v>
      </c>
      <c r="B2928" s="120" t="s">
        <v>255</v>
      </c>
      <c r="C2928" s="129">
        <v>41566</v>
      </c>
      <c r="D2928" s="129">
        <v>0</v>
      </c>
      <c r="E2928" s="129">
        <v>0</v>
      </c>
      <c r="F2928" s="129">
        <v>41125</v>
      </c>
      <c r="G2928" s="129">
        <v>441</v>
      </c>
      <c r="H2928" s="129">
        <v>98.93</v>
      </c>
      <c r="I2928" s="129">
        <f>Community!J533</f>
        <v>0</v>
      </c>
      <c r="J2928" s="129">
        <f>Community!K533</f>
        <v>41566</v>
      </c>
      <c r="K2928" s="129">
        <f>Community!L533</f>
        <v>43436.47</v>
      </c>
      <c r="L2928" s="129">
        <f>Community!M533</f>
        <v>45434.547619999998</v>
      </c>
      <c r="O2928" s="129">
        <f>Community!N533</f>
        <v>47524.536810519996</v>
      </c>
      <c r="P2928" s="123" t="str">
        <f t="shared" si="653"/>
        <v>301</v>
      </c>
    </row>
    <row r="2929" spans="1:16" x14ac:dyDescent="0.2">
      <c r="A2929" s="119" t="s">
        <v>1149</v>
      </c>
      <c r="B2929" s="120" t="s">
        <v>265</v>
      </c>
      <c r="C2929" s="129">
        <v>0</v>
      </c>
      <c r="D2929" s="129">
        <v>4090.9</v>
      </c>
      <c r="E2929" s="129">
        <v>0</v>
      </c>
      <c r="F2929" s="129">
        <v>19513.72</v>
      </c>
      <c r="G2929" s="129">
        <v>-19513.72</v>
      </c>
      <c r="H2929" s="129">
        <v>0</v>
      </c>
      <c r="I2929" s="129">
        <f>Community!J534</f>
        <v>40000</v>
      </c>
      <c r="J2929" s="129">
        <f>Community!K534</f>
        <v>40000</v>
      </c>
      <c r="K2929" s="129">
        <f>Community!L534</f>
        <v>41800</v>
      </c>
      <c r="L2929" s="129">
        <f>Community!M534</f>
        <v>43722.8</v>
      </c>
      <c r="O2929" s="129">
        <f>Community!N534</f>
        <v>45734.048800000004</v>
      </c>
      <c r="P2929" s="123" t="str">
        <f t="shared" si="653"/>
        <v>305</v>
      </c>
    </row>
    <row r="2930" spans="1:16" x14ac:dyDescent="0.2">
      <c r="A2930" s="119" t="s">
        <v>1150</v>
      </c>
      <c r="B2930" s="120" t="s">
        <v>268</v>
      </c>
      <c r="C2930" s="129">
        <v>0</v>
      </c>
      <c r="D2930" s="129">
        <v>21100.560000000001</v>
      </c>
      <c r="E2930" s="129">
        <v>0</v>
      </c>
      <c r="F2930" s="129">
        <v>59415.88</v>
      </c>
      <c r="G2930" s="129">
        <v>-59415.88</v>
      </c>
      <c r="H2930" s="129">
        <v>0</v>
      </c>
      <c r="I2930" s="129">
        <f>Community!J535</f>
        <v>120000</v>
      </c>
      <c r="J2930" s="129">
        <f>Community!K535</f>
        <v>120000</v>
      </c>
      <c r="K2930" s="129">
        <f>Community!L535</f>
        <v>125400</v>
      </c>
      <c r="L2930" s="129">
        <f>Community!M535</f>
        <v>131168.4</v>
      </c>
      <c r="O2930" s="129">
        <f>Community!N535</f>
        <v>137202.1464</v>
      </c>
      <c r="P2930" s="123" t="str">
        <f t="shared" si="653"/>
        <v>305</v>
      </c>
    </row>
    <row r="2931" spans="1:16" x14ac:dyDescent="0.2">
      <c r="A2931" s="119"/>
      <c r="B2931" s="120"/>
      <c r="C2931" s="129"/>
      <c r="D2931" s="129"/>
      <c r="E2931" s="129"/>
      <c r="F2931" s="129"/>
      <c r="G2931" s="129"/>
      <c r="H2931" s="129"/>
      <c r="I2931" s="129">
        <f>Community!J536</f>
        <v>0</v>
      </c>
      <c r="J2931" s="129"/>
      <c r="K2931" s="129"/>
      <c r="L2931" s="129"/>
      <c r="O2931" s="129"/>
      <c r="P2931" s="123" t="str">
        <f t="shared" si="653"/>
        <v/>
      </c>
    </row>
    <row r="2932" spans="1:16" s="114" customFormat="1" ht="15" x14ac:dyDescent="0.25">
      <c r="A2932" s="118"/>
      <c r="B2932" s="117" t="s">
        <v>274</v>
      </c>
      <c r="C2932" s="128">
        <f>SUM(C2926:C2931)</f>
        <v>1250132</v>
      </c>
      <c r="D2932" s="128">
        <f t="shared" ref="D2932:O2932" si="659">SUM(D2926:D2931)</f>
        <v>127817.45999999999</v>
      </c>
      <c r="E2932" s="128">
        <f t="shared" si="659"/>
        <v>0</v>
      </c>
      <c r="F2932" s="128">
        <f t="shared" si="659"/>
        <v>664243.6</v>
      </c>
      <c r="G2932" s="128">
        <f t="shared" si="659"/>
        <v>585888.4</v>
      </c>
      <c r="H2932" s="128">
        <f t="shared" si="659"/>
        <v>184.53</v>
      </c>
      <c r="I2932" s="128">
        <f t="shared" si="659"/>
        <v>160000</v>
      </c>
      <c r="J2932" s="128">
        <f t="shared" si="659"/>
        <v>1410132</v>
      </c>
      <c r="K2932" s="128">
        <f t="shared" si="659"/>
        <v>1558072.94</v>
      </c>
      <c r="L2932" s="128">
        <f t="shared" si="659"/>
        <v>265760.29524000001</v>
      </c>
      <c r="M2932" s="128">
        <f t="shared" si="659"/>
        <v>0</v>
      </c>
      <c r="N2932" s="128">
        <f t="shared" si="659"/>
        <v>0</v>
      </c>
      <c r="O2932" s="128">
        <f t="shared" si="659"/>
        <v>277985.26882103999</v>
      </c>
      <c r="P2932" s="123" t="str">
        <f t="shared" si="653"/>
        <v/>
      </c>
    </row>
    <row r="2933" spans="1:16" s="114" customFormat="1" ht="15" x14ac:dyDescent="0.25">
      <c r="A2933" s="118"/>
      <c r="B2933" s="117"/>
      <c r="C2933" s="128"/>
      <c r="D2933" s="128"/>
      <c r="E2933" s="128"/>
      <c r="F2933" s="128"/>
      <c r="G2933" s="128"/>
      <c r="H2933" s="128"/>
      <c r="I2933" s="129">
        <f>Community!J538</f>
        <v>0</v>
      </c>
      <c r="J2933" s="129"/>
      <c r="K2933" s="129"/>
      <c r="L2933" s="129"/>
      <c r="M2933" s="186"/>
      <c r="N2933" s="186"/>
      <c r="O2933" s="128"/>
      <c r="P2933" s="123" t="str">
        <f t="shared" si="653"/>
        <v/>
      </c>
    </row>
    <row r="2934" spans="1:16" s="114" customFormat="1" ht="15" x14ac:dyDescent="0.25">
      <c r="A2934" s="118"/>
      <c r="B2934" s="117" t="s">
        <v>305</v>
      </c>
      <c r="C2934" s="128">
        <f>C2922+C2932</f>
        <v>6619693</v>
      </c>
      <c r="D2934" s="128">
        <f t="shared" ref="D2934:O2934" si="660">D2922+D2932</f>
        <v>615943.35000000009</v>
      </c>
      <c r="E2934" s="128">
        <f t="shared" si="660"/>
        <v>0</v>
      </c>
      <c r="F2934" s="128">
        <f t="shared" si="660"/>
        <v>3096981.5400000005</v>
      </c>
      <c r="G2934" s="128">
        <f t="shared" si="660"/>
        <v>3522711.4599999995</v>
      </c>
      <c r="H2934" s="128">
        <f t="shared" si="660"/>
        <v>707.09999999999991</v>
      </c>
      <c r="I2934" s="128">
        <f t="shared" si="660"/>
        <v>156204.25999999995</v>
      </c>
      <c r="J2934" s="128">
        <f t="shared" si="660"/>
        <v>6775897.2599999998</v>
      </c>
      <c r="K2934" s="128">
        <f t="shared" si="660"/>
        <v>7259198.5287500005</v>
      </c>
      <c r="L2934" s="128">
        <f t="shared" si="660"/>
        <v>6365964.6752025001</v>
      </c>
      <c r="M2934" s="128">
        <f t="shared" si="660"/>
        <v>29194.95</v>
      </c>
      <c r="N2934" s="128">
        <f t="shared" si="660"/>
        <v>0</v>
      </c>
      <c r="O2934" s="128">
        <f t="shared" si="660"/>
        <v>6805203.9553809157</v>
      </c>
      <c r="P2934" s="123" t="str">
        <f t="shared" si="653"/>
        <v/>
      </c>
    </row>
    <row r="2935" spans="1:16" s="114" customFormat="1" ht="15" x14ac:dyDescent="0.25">
      <c r="A2935" s="118"/>
      <c r="B2935" s="117"/>
      <c r="C2935" s="128"/>
      <c r="D2935" s="128"/>
      <c r="E2935" s="128"/>
      <c r="F2935" s="128"/>
      <c r="G2935" s="128"/>
      <c r="H2935" s="128"/>
      <c r="I2935" s="129">
        <f>Community!J540</f>
        <v>0</v>
      </c>
      <c r="J2935" s="129"/>
      <c r="K2935" s="129"/>
      <c r="L2935" s="129"/>
      <c r="M2935" s="186"/>
      <c r="N2935" s="186"/>
      <c r="O2935" s="128"/>
      <c r="P2935" s="123" t="str">
        <f t="shared" si="653"/>
        <v/>
      </c>
    </row>
    <row r="2936" spans="1:16" s="114" customFormat="1" ht="15" x14ac:dyDescent="0.25">
      <c r="A2936" s="118"/>
      <c r="B2936" s="117" t="s">
        <v>306</v>
      </c>
      <c r="C2936" s="128">
        <f>C2884+C2934</f>
        <v>4112165</v>
      </c>
      <c r="D2936" s="128">
        <f t="shared" ref="D2936:O2936" si="661">D2884+D2934</f>
        <v>-1891584.65</v>
      </c>
      <c r="E2936" s="128">
        <f t="shared" si="661"/>
        <v>-2507528</v>
      </c>
      <c r="F2936" s="128">
        <f t="shared" si="661"/>
        <v>589453.5400000005</v>
      </c>
      <c r="G2936" s="128">
        <f t="shared" si="661"/>
        <v>1015183.4599999995</v>
      </c>
      <c r="H2936" s="128">
        <f t="shared" si="661"/>
        <v>-2506820.9</v>
      </c>
      <c r="I2936" s="128">
        <f t="shared" si="661"/>
        <v>-2351323.7400000002</v>
      </c>
      <c r="J2936" s="128">
        <f t="shared" si="661"/>
        <v>4268369.26</v>
      </c>
      <c r="K2936" s="128">
        <f t="shared" si="661"/>
        <v>4751670.5287500005</v>
      </c>
      <c r="L2936" s="128">
        <f t="shared" si="661"/>
        <v>3858436.6752025001</v>
      </c>
      <c r="M2936" s="128">
        <f t="shared" si="661"/>
        <v>-2478333.0499999998</v>
      </c>
      <c r="N2936" s="128">
        <f t="shared" si="661"/>
        <v>-2507528</v>
      </c>
      <c r="O2936" s="128">
        <f t="shared" si="661"/>
        <v>4297675.9553809157</v>
      </c>
      <c r="P2936" s="123" t="str">
        <f t="shared" si="653"/>
        <v/>
      </c>
    </row>
    <row r="2937" spans="1:16" s="124" customFormat="1" ht="15" x14ac:dyDescent="0.25">
      <c r="A2937" s="140"/>
      <c r="B2937" s="140"/>
      <c r="C2937" s="188"/>
      <c r="D2937" s="188"/>
      <c r="E2937" s="188"/>
      <c r="F2937" s="188"/>
      <c r="G2937" s="188"/>
      <c r="H2937" s="188"/>
      <c r="I2937" s="188"/>
      <c r="J2937" s="188"/>
      <c r="K2937" s="188"/>
      <c r="L2937" s="188"/>
      <c r="M2937" s="130"/>
      <c r="N2937" s="130"/>
      <c r="O2937" s="188"/>
      <c r="P2937" s="123" t="str">
        <f t="shared" si="653"/>
        <v/>
      </c>
    </row>
    <row r="2938" spans="1:16" s="114" customFormat="1" ht="15" x14ac:dyDescent="0.25">
      <c r="A2938" s="118"/>
      <c r="B2938" s="117" t="s">
        <v>1151</v>
      </c>
      <c r="C2938" s="128"/>
      <c r="D2938" s="128"/>
      <c r="E2938" s="128"/>
      <c r="F2938" s="128"/>
      <c r="G2938" s="128"/>
      <c r="H2938" s="128"/>
      <c r="I2938" s="128"/>
      <c r="J2938" s="128"/>
      <c r="K2938" s="128"/>
      <c r="L2938" s="128"/>
      <c r="M2938" s="186"/>
      <c r="N2938" s="186"/>
      <c r="O2938" s="128"/>
      <c r="P2938" s="123" t="str">
        <f t="shared" si="653"/>
        <v/>
      </c>
    </row>
    <row r="2939" spans="1:16" s="114" customFormat="1" ht="15" x14ac:dyDescent="0.25">
      <c r="A2939" s="118"/>
      <c r="B2939" s="117" t="s">
        <v>96</v>
      </c>
      <c r="C2939" s="128"/>
      <c r="D2939" s="128"/>
      <c r="E2939" s="128"/>
      <c r="F2939" s="128"/>
      <c r="G2939" s="128"/>
      <c r="H2939" s="128"/>
      <c r="I2939" s="128"/>
      <c r="J2939" s="128"/>
      <c r="K2939" s="128"/>
      <c r="L2939" s="128"/>
      <c r="M2939" s="186"/>
      <c r="N2939" s="186"/>
      <c r="O2939" s="128"/>
      <c r="P2939" s="123" t="str">
        <f t="shared" si="653"/>
        <v/>
      </c>
    </row>
    <row r="2940" spans="1:16" s="114" customFormat="1" ht="15" x14ac:dyDescent="0.25">
      <c r="A2940" s="118"/>
      <c r="B2940" s="117" t="s">
        <v>241</v>
      </c>
      <c r="C2940" s="128"/>
      <c r="D2940" s="128"/>
      <c r="E2940" s="128"/>
      <c r="F2940" s="128"/>
      <c r="G2940" s="128"/>
      <c r="H2940" s="128"/>
      <c r="I2940" s="128"/>
      <c r="J2940" s="128"/>
      <c r="K2940" s="128"/>
      <c r="L2940" s="128"/>
      <c r="M2940" s="186"/>
      <c r="N2940" s="186"/>
      <c r="O2940" s="128"/>
      <c r="P2940" s="123" t="str">
        <f t="shared" si="653"/>
        <v/>
      </c>
    </row>
    <row r="2941" spans="1:16" x14ac:dyDescent="0.2">
      <c r="A2941" s="119"/>
      <c r="B2941" s="120"/>
      <c r="C2941" s="129"/>
      <c r="D2941" s="129"/>
      <c r="E2941" s="129"/>
      <c r="F2941" s="129"/>
      <c r="G2941" s="129"/>
      <c r="H2941" s="129"/>
      <c r="I2941" s="129"/>
      <c r="J2941" s="129"/>
      <c r="K2941" s="129"/>
      <c r="L2941" s="129"/>
      <c r="O2941" s="129"/>
      <c r="P2941" s="123" t="str">
        <f t="shared" si="653"/>
        <v/>
      </c>
    </row>
    <row r="2942" spans="1:16" x14ac:dyDescent="0.2">
      <c r="A2942" s="119" t="s">
        <v>1152</v>
      </c>
      <c r="B2942" s="120" t="s">
        <v>265</v>
      </c>
      <c r="C2942" s="129">
        <v>0</v>
      </c>
      <c r="D2942" s="129">
        <v>0</v>
      </c>
      <c r="E2942" s="129">
        <v>0</v>
      </c>
      <c r="F2942" s="129">
        <v>1217.71</v>
      </c>
      <c r="G2942" s="129">
        <v>-1217.71</v>
      </c>
      <c r="H2942" s="129">
        <v>0</v>
      </c>
      <c r="I2942" s="129">
        <f>Technical!J7</f>
        <v>0</v>
      </c>
      <c r="J2942" s="129">
        <f>Technical!K7</f>
        <v>0</v>
      </c>
      <c r="K2942" s="129">
        <f>Technical!L7</f>
        <v>0</v>
      </c>
      <c r="L2942" s="129">
        <f>Technical!M7</f>
        <v>0</v>
      </c>
      <c r="O2942" s="129"/>
      <c r="P2942" s="123" t="str">
        <f t="shared" si="653"/>
        <v>305</v>
      </c>
    </row>
    <row r="2943" spans="1:16" x14ac:dyDescent="0.2">
      <c r="A2943" s="119"/>
      <c r="B2943" s="120"/>
      <c r="C2943" s="129"/>
      <c r="D2943" s="129"/>
      <c r="E2943" s="129"/>
      <c r="F2943" s="129"/>
      <c r="G2943" s="129"/>
      <c r="H2943" s="129"/>
      <c r="I2943" s="129">
        <f>Technical!J8</f>
        <v>0</v>
      </c>
      <c r="J2943" s="129">
        <f>Technical!K8</f>
        <v>0</v>
      </c>
      <c r="K2943" s="129">
        <f>Technical!L8</f>
        <v>0</v>
      </c>
      <c r="L2943" s="129">
        <f>Technical!M8</f>
        <v>0</v>
      </c>
      <c r="O2943" s="129"/>
      <c r="P2943" s="123" t="str">
        <f t="shared" si="653"/>
        <v/>
      </c>
    </row>
    <row r="2944" spans="1:16" s="114" customFormat="1" ht="15" x14ac:dyDescent="0.25">
      <c r="A2944" s="118"/>
      <c r="B2944" s="117" t="s">
        <v>274</v>
      </c>
      <c r="C2944" s="128">
        <v>0</v>
      </c>
      <c r="D2944" s="128">
        <v>0</v>
      </c>
      <c r="E2944" s="128">
        <v>0</v>
      </c>
      <c r="F2944" s="128">
        <v>0</v>
      </c>
      <c r="G2944" s="128">
        <v>0</v>
      </c>
      <c r="H2944" s="128">
        <v>0</v>
      </c>
      <c r="I2944" s="128">
        <v>0</v>
      </c>
      <c r="J2944" s="128">
        <v>0</v>
      </c>
      <c r="K2944" s="128">
        <v>0</v>
      </c>
      <c r="L2944" s="128">
        <v>0</v>
      </c>
      <c r="M2944" s="128">
        <v>0</v>
      </c>
      <c r="N2944" s="128">
        <v>0</v>
      </c>
      <c r="O2944" s="128">
        <v>0</v>
      </c>
      <c r="P2944" s="123" t="str">
        <f t="shared" si="653"/>
        <v/>
      </c>
    </row>
    <row r="2945" spans="1:16" x14ac:dyDescent="0.2">
      <c r="A2945" s="119"/>
      <c r="B2945" s="120"/>
      <c r="C2945" s="129"/>
      <c r="D2945" s="129"/>
      <c r="E2945" s="129"/>
      <c r="F2945" s="129"/>
      <c r="G2945" s="129"/>
      <c r="H2945" s="129"/>
      <c r="I2945" s="129">
        <f>Technical!J10</f>
        <v>0</v>
      </c>
      <c r="J2945" s="129"/>
      <c r="K2945" s="129"/>
      <c r="L2945" s="129"/>
      <c r="O2945" s="129"/>
      <c r="P2945" s="123" t="str">
        <f t="shared" si="653"/>
        <v/>
      </c>
    </row>
    <row r="2946" spans="1:16" s="114" customFormat="1" ht="15" x14ac:dyDescent="0.25">
      <c r="A2946" s="118"/>
      <c r="B2946" s="117" t="s">
        <v>290</v>
      </c>
      <c r="C2946" s="128"/>
      <c r="D2946" s="128"/>
      <c r="E2946" s="128"/>
      <c r="F2946" s="128"/>
      <c r="G2946" s="128"/>
      <c r="H2946" s="128"/>
      <c r="I2946" s="129">
        <f>Technical!J11</f>
        <v>0</v>
      </c>
      <c r="J2946" s="129"/>
      <c r="K2946" s="129"/>
      <c r="L2946" s="129"/>
      <c r="M2946" s="186"/>
      <c r="N2946" s="186"/>
      <c r="O2946" s="128"/>
      <c r="P2946" s="123" t="str">
        <f t="shared" si="653"/>
        <v/>
      </c>
    </row>
    <row r="2947" spans="1:16" x14ac:dyDescent="0.2">
      <c r="A2947" s="119"/>
      <c r="B2947" s="120"/>
      <c r="C2947" s="129"/>
      <c r="D2947" s="129"/>
      <c r="E2947" s="129"/>
      <c r="F2947" s="129"/>
      <c r="G2947" s="129"/>
      <c r="H2947" s="129"/>
      <c r="I2947" s="129">
        <f>Technical!J12</f>
        <v>0</v>
      </c>
      <c r="J2947" s="129"/>
      <c r="K2947" s="129"/>
      <c r="L2947" s="129"/>
      <c r="O2947" s="129"/>
      <c r="P2947" s="123" t="str">
        <f t="shared" si="653"/>
        <v/>
      </c>
    </row>
    <row r="2948" spans="1:16" x14ac:dyDescent="0.2">
      <c r="A2948" s="119" t="s">
        <v>1153</v>
      </c>
      <c r="B2948" s="120" t="s">
        <v>293</v>
      </c>
      <c r="C2948" s="129">
        <v>5806</v>
      </c>
      <c r="D2948" s="129">
        <v>1637.66</v>
      </c>
      <c r="E2948" s="129">
        <v>0</v>
      </c>
      <c r="F2948" s="129">
        <v>3275.32</v>
      </c>
      <c r="G2948" s="129">
        <v>2530.6799999999998</v>
      </c>
      <c r="H2948" s="129">
        <v>56.41</v>
      </c>
      <c r="I2948" s="129">
        <f>Technical!J13</f>
        <v>0</v>
      </c>
      <c r="J2948" s="129">
        <f>Technical!K13</f>
        <v>5806</v>
      </c>
      <c r="K2948" s="129">
        <f>Technical!L13</f>
        <v>6067.27</v>
      </c>
      <c r="L2948" s="129">
        <f>Technical!M13</f>
        <v>6346.3644200000008</v>
      </c>
      <c r="O2948" s="129">
        <f>Technical!N13</f>
        <v>6638.2971833200008</v>
      </c>
      <c r="P2948" s="123" t="str">
        <f t="shared" si="653"/>
        <v>721</v>
      </c>
    </row>
    <row r="2949" spans="1:16" x14ac:dyDescent="0.2">
      <c r="A2949" s="119" t="s">
        <v>1154</v>
      </c>
      <c r="B2949" s="120" t="s">
        <v>303</v>
      </c>
      <c r="C2949" s="129">
        <v>63245</v>
      </c>
      <c r="D2949" s="129">
        <v>0</v>
      </c>
      <c r="E2949" s="129">
        <v>0</v>
      </c>
      <c r="F2949" s="129">
        <v>9438.83</v>
      </c>
      <c r="G2949" s="129">
        <v>53806.17</v>
      </c>
      <c r="H2949" s="129">
        <v>14.92</v>
      </c>
      <c r="I2949" s="129">
        <f>Technical!J14</f>
        <v>0</v>
      </c>
      <c r="J2949" s="129">
        <f>Technical!K14</f>
        <v>63245</v>
      </c>
      <c r="K2949" s="129">
        <f>Technical!L14</f>
        <v>66091.024999999994</v>
      </c>
      <c r="L2949" s="129">
        <f>Technical!M14</f>
        <v>69131.212149999992</v>
      </c>
      <c r="O2949" s="129">
        <f>Technical!N14</f>
        <v>72311.247908899997</v>
      </c>
      <c r="P2949" s="123" t="str">
        <f t="shared" si="653"/>
        <v>729</v>
      </c>
    </row>
    <row r="2950" spans="1:16" x14ac:dyDescent="0.2">
      <c r="A2950" s="119"/>
      <c r="B2950" s="120"/>
      <c r="C2950" s="129"/>
      <c r="D2950" s="129"/>
      <c r="E2950" s="129"/>
      <c r="F2950" s="129"/>
      <c r="G2950" s="129"/>
      <c r="H2950" s="129"/>
      <c r="I2950" s="129">
        <f>Technical!J15</f>
        <v>0</v>
      </c>
      <c r="J2950" s="129"/>
      <c r="K2950" s="129"/>
      <c r="L2950" s="129"/>
      <c r="O2950" s="129"/>
      <c r="P2950" s="123" t="str">
        <f t="shared" si="653"/>
        <v/>
      </c>
    </row>
    <row r="2951" spans="1:16" s="114" customFormat="1" ht="15" x14ac:dyDescent="0.25">
      <c r="A2951" s="118"/>
      <c r="B2951" s="117" t="s">
        <v>304</v>
      </c>
      <c r="C2951" s="128">
        <f>SUM(C2948:C2950)</f>
        <v>69051</v>
      </c>
      <c r="D2951" s="128">
        <f t="shared" ref="D2951:O2951" si="662">SUM(D2948:D2950)</f>
        <v>1637.66</v>
      </c>
      <c r="E2951" s="128">
        <f t="shared" si="662"/>
        <v>0</v>
      </c>
      <c r="F2951" s="128">
        <f t="shared" si="662"/>
        <v>12714.15</v>
      </c>
      <c r="G2951" s="128">
        <f t="shared" si="662"/>
        <v>56336.85</v>
      </c>
      <c r="H2951" s="128">
        <f t="shared" si="662"/>
        <v>71.33</v>
      </c>
      <c r="I2951" s="128">
        <f t="shared" si="662"/>
        <v>0</v>
      </c>
      <c r="J2951" s="128">
        <f t="shared" si="662"/>
        <v>69051</v>
      </c>
      <c r="K2951" s="128">
        <f t="shared" si="662"/>
        <v>72158.294999999998</v>
      </c>
      <c r="L2951" s="128">
        <f t="shared" si="662"/>
        <v>75477.57656999999</v>
      </c>
      <c r="M2951" s="128">
        <f t="shared" si="662"/>
        <v>0</v>
      </c>
      <c r="N2951" s="128">
        <f t="shared" si="662"/>
        <v>0</v>
      </c>
      <c r="O2951" s="128">
        <f t="shared" si="662"/>
        <v>78949.545092219996</v>
      </c>
      <c r="P2951" s="123" t="str">
        <f t="shared" ref="P2951:P3014" si="663">MID(A2951,6,3)</f>
        <v/>
      </c>
    </row>
    <row r="2952" spans="1:16" s="114" customFormat="1" ht="15" x14ac:dyDescent="0.25">
      <c r="A2952" s="118"/>
      <c r="B2952" s="117"/>
      <c r="C2952" s="128"/>
      <c r="D2952" s="128"/>
      <c r="E2952" s="128"/>
      <c r="F2952" s="128"/>
      <c r="G2952" s="128"/>
      <c r="H2952" s="128"/>
      <c r="I2952" s="129">
        <f>Technical!J17</f>
        <v>0</v>
      </c>
      <c r="J2952" s="129"/>
      <c r="K2952" s="129"/>
      <c r="L2952" s="129"/>
      <c r="M2952" s="186"/>
      <c r="N2952" s="186"/>
      <c r="O2952" s="128"/>
      <c r="P2952" s="123" t="str">
        <f t="shared" si="663"/>
        <v/>
      </c>
    </row>
    <row r="2953" spans="1:16" s="114" customFormat="1" ht="15" x14ac:dyDescent="0.25">
      <c r="A2953" s="118"/>
      <c r="B2953" s="117" t="s">
        <v>305</v>
      </c>
      <c r="C2953" s="128">
        <f>C2951</f>
        <v>69051</v>
      </c>
      <c r="D2953" s="128">
        <f t="shared" ref="D2953:O2953" si="664">D2951</f>
        <v>1637.66</v>
      </c>
      <c r="E2953" s="128">
        <f t="shared" si="664"/>
        <v>0</v>
      </c>
      <c r="F2953" s="128">
        <f t="shared" si="664"/>
        <v>12714.15</v>
      </c>
      <c r="G2953" s="128">
        <f t="shared" si="664"/>
        <v>56336.85</v>
      </c>
      <c r="H2953" s="128">
        <f t="shared" si="664"/>
        <v>71.33</v>
      </c>
      <c r="I2953" s="128">
        <f t="shared" si="664"/>
        <v>0</v>
      </c>
      <c r="J2953" s="128">
        <f t="shared" si="664"/>
        <v>69051</v>
      </c>
      <c r="K2953" s="128">
        <f t="shared" si="664"/>
        <v>72158.294999999998</v>
      </c>
      <c r="L2953" s="128">
        <f t="shared" si="664"/>
        <v>75477.57656999999</v>
      </c>
      <c r="M2953" s="128">
        <f t="shared" si="664"/>
        <v>0</v>
      </c>
      <c r="N2953" s="128">
        <f t="shared" si="664"/>
        <v>0</v>
      </c>
      <c r="O2953" s="128">
        <f t="shared" si="664"/>
        <v>78949.545092219996</v>
      </c>
      <c r="P2953" s="123" t="str">
        <f t="shared" si="663"/>
        <v/>
      </c>
    </row>
    <row r="2954" spans="1:16" x14ac:dyDescent="0.2">
      <c r="A2954" s="119"/>
      <c r="B2954" s="120"/>
      <c r="C2954" s="129"/>
      <c r="D2954" s="129"/>
      <c r="E2954" s="129"/>
      <c r="F2954" s="129"/>
      <c r="G2954" s="129"/>
      <c r="H2954" s="129"/>
      <c r="I2954" s="129">
        <f>Technical!J19</f>
        <v>0</v>
      </c>
      <c r="J2954" s="129"/>
      <c r="O2954" s="129"/>
      <c r="P2954" s="123" t="str">
        <f t="shared" si="663"/>
        <v/>
      </c>
    </row>
    <row r="2955" spans="1:16" s="114" customFormat="1" ht="15" x14ac:dyDescent="0.25">
      <c r="A2955" s="118"/>
      <c r="B2955" s="117" t="s">
        <v>306</v>
      </c>
      <c r="C2955" s="128">
        <f>C2953</f>
        <v>69051</v>
      </c>
      <c r="D2955" s="128">
        <f t="shared" ref="D2955:O2955" si="665">D2953</f>
        <v>1637.66</v>
      </c>
      <c r="E2955" s="128">
        <f t="shared" si="665"/>
        <v>0</v>
      </c>
      <c r="F2955" s="128">
        <f t="shared" si="665"/>
        <v>12714.15</v>
      </c>
      <c r="G2955" s="128">
        <f t="shared" si="665"/>
        <v>56336.85</v>
      </c>
      <c r="H2955" s="128">
        <f t="shared" si="665"/>
        <v>71.33</v>
      </c>
      <c r="I2955" s="128">
        <f t="shared" si="665"/>
        <v>0</v>
      </c>
      <c r="J2955" s="128">
        <f t="shared" si="665"/>
        <v>69051</v>
      </c>
      <c r="K2955" s="128">
        <f t="shared" si="665"/>
        <v>72158.294999999998</v>
      </c>
      <c r="L2955" s="128">
        <f t="shared" si="665"/>
        <v>75477.57656999999</v>
      </c>
      <c r="M2955" s="128">
        <f t="shared" si="665"/>
        <v>0</v>
      </c>
      <c r="N2955" s="128">
        <f t="shared" si="665"/>
        <v>0</v>
      </c>
      <c r="O2955" s="128">
        <f t="shared" si="665"/>
        <v>78949.545092219996</v>
      </c>
      <c r="P2955" s="123" t="str">
        <f t="shared" si="663"/>
        <v/>
      </c>
    </row>
    <row r="2956" spans="1:16" s="114" customFormat="1" ht="15" x14ac:dyDescent="0.25">
      <c r="A2956" s="118"/>
      <c r="B2956" s="117"/>
      <c r="C2956" s="128"/>
      <c r="D2956" s="128"/>
      <c r="E2956" s="128"/>
      <c r="F2956" s="128"/>
      <c r="G2956" s="128"/>
      <c r="H2956" s="128"/>
      <c r="I2956" s="129">
        <f>Technical!J21</f>
        <v>0</v>
      </c>
      <c r="J2956" s="129"/>
      <c r="K2956" s="129"/>
      <c r="L2956" s="129"/>
      <c r="M2956" s="186"/>
      <c r="N2956" s="186"/>
      <c r="O2956" s="128"/>
      <c r="P2956" s="123" t="str">
        <f t="shared" si="663"/>
        <v/>
      </c>
    </row>
    <row r="2957" spans="1:16" s="114" customFormat="1" ht="15" x14ac:dyDescent="0.25">
      <c r="A2957" s="118"/>
      <c r="B2957" s="117" t="s">
        <v>1155</v>
      </c>
      <c r="C2957" s="128"/>
      <c r="D2957" s="128"/>
      <c r="E2957" s="128"/>
      <c r="F2957" s="128"/>
      <c r="G2957" s="128"/>
      <c r="H2957" s="128"/>
      <c r="I2957" s="129">
        <f>Technical!J22</f>
        <v>0</v>
      </c>
      <c r="J2957" s="129"/>
      <c r="K2957" s="129"/>
      <c r="L2957" s="129"/>
      <c r="M2957" s="186"/>
      <c r="N2957" s="186"/>
      <c r="O2957" s="128"/>
      <c r="P2957" s="123" t="str">
        <f t="shared" si="663"/>
        <v/>
      </c>
    </row>
    <row r="2958" spans="1:16" s="114" customFormat="1" ht="15" x14ac:dyDescent="0.25">
      <c r="A2958" s="118"/>
      <c r="B2958" s="117" t="s">
        <v>96</v>
      </c>
      <c r="C2958" s="128"/>
      <c r="D2958" s="128"/>
      <c r="E2958" s="128"/>
      <c r="F2958" s="128"/>
      <c r="G2958" s="128"/>
      <c r="H2958" s="128"/>
      <c r="I2958" s="129">
        <f>Technical!J23</f>
        <v>0</v>
      </c>
      <c r="J2958" s="129"/>
      <c r="K2958" s="129"/>
      <c r="L2958" s="129"/>
      <c r="M2958" s="186"/>
      <c r="N2958" s="186"/>
      <c r="O2958" s="128"/>
      <c r="P2958" s="123" t="str">
        <f t="shared" si="663"/>
        <v/>
      </c>
    </row>
    <row r="2959" spans="1:16" s="114" customFormat="1" ht="15" x14ac:dyDescent="0.25">
      <c r="A2959" s="118"/>
      <c r="B2959" s="117" t="s">
        <v>97</v>
      </c>
      <c r="C2959" s="128"/>
      <c r="D2959" s="128"/>
      <c r="E2959" s="128"/>
      <c r="F2959" s="128"/>
      <c r="G2959" s="128"/>
      <c r="H2959" s="128"/>
      <c r="I2959" s="129">
        <f>Technical!J24</f>
        <v>0</v>
      </c>
      <c r="J2959" s="129"/>
      <c r="K2959" s="129"/>
      <c r="L2959" s="129"/>
      <c r="M2959" s="186"/>
      <c r="N2959" s="186"/>
      <c r="O2959" s="128"/>
      <c r="P2959" s="123" t="str">
        <f t="shared" si="663"/>
        <v/>
      </c>
    </row>
    <row r="2960" spans="1:16" s="114" customFormat="1" ht="15" x14ac:dyDescent="0.25">
      <c r="A2960" s="118"/>
      <c r="B2960" s="117" t="s">
        <v>98</v>
      </c>
      <c r="C2960" s="128"/>
      <c r="D2960" s="128"/>
      <c r="E2960" s="128"/>
      <c r="F2960" s="128"/>
      <c r="G2960" s="128"/>
      <c r="H2960" s="128"/>
      <c r="I2960" s="129">
        <f>Technical!J25</f>
        <v>0</v>
      </c>
      <c r="J2960" s="129"/>
      <c r="K2960" s="129"/>
      <c r="L2960" s="129"/>
      <c r="M2960" s="186"/>
      <c r="N2960" s="186"/>
      <c r="O2960" s="128"/>
      <c r="P2960" s="123" t="str">
        <f t="shared" si="663"/>
        <v/>
      </c>
    </row>
    <row r="2961" spans="1:16" s="114" customFormat="1" ht="15" x14ac:dyDescent="0.25">
      <c r="A2961" s="118"/>
      <c r="B2961" s="117" t="s">
        <v>99</v>
      </c>
      <c r="C2961" s="128"/>
      <c r="D2961" s="128"/>
      <c r="E2961" s="128"/>
      <c r="F2961" s="128"/>
      <c r="G2961" s="128"/>
      <c r="H2961" s="128"/>
      <c r="I2961" s="129">
        <f>Technical!J26</f>
        <v>0</v>
      </c>
      <c r="J2961" s="129"/>
      <c r="K2961" s="129"/>
      <c r="L2961" s="129"/>
      <c r="M2961" s="186"/>
      <c r="N2961" s="186"/>
      <c r="O2961" s="128"/>
      <c r="P2961" s="123" t="str">
        <f t="shared" si="663"/>
        <v/>
      </c>
    </row>
    <row r="2962" spans="1:16" s="114" customFormat="1" ht="15" x14ac:dyDescent="0.25">
      <c r="A2962" s="118"/>
      <c r="B2962" s="117" t="s">
        <v>130</v>
      </c>
      <c r="C2962" s="128"/>
      <c r="D2962" s="128"/>
      <c r="E2962" s="128"/>
      <c r="F2962" s="128"/>
      <c r="G2962" s="128"/>
      <c r="H2962" s="128"/>
      <c r="I2962" s="129">
        <f>Technical!J27</f>
        <v>0</v>
      </c>
      <c r="J2962" s="129"/>
      <c r="K2962" s="129"/>
      <c r="L2962" s="129"/>
      <c r="M2962" s="186"/>
      <c r="N2962" s="186"/>
      <c r="O2962" s="128"/>
      <c r="P2962" s="123" t="str">
        <f t="shared" si="663"/>
        <v/>
      </c>
    </row>
    <row r="2963" spans="1:16" x14ac:dyDescent="0.2">
      <c r="A2963" s="119"/>
      <c r="B2963" s="120"/>
      <c r="C2963" s="129"/>
      <c r="D2963" s="129"/>
      <c r="E2963" s="129"/>
      <c r="F2963" s="129"/>
      <c r="G2963" s="129"/>
      <c r="H2963" s="129"/>
      <c r="I2963" s="129">
        <f>Technical!J28</f>
        <v>0</v>
      </c>
      <c r="J2963" s="129"/>
      <c r="K2963" s="129"/>
      <c r="L2963" s="129"/>
      <c r="O2963" s="129"/>
      <c r="P2963" s="123" t="str">
        <f t="shared" si="663"/>
        <v/>
      </c>
    </row>
    <row r="2964" spans="1:16" x14ac:dyDescent="0.2">
      <c r="A2964" s="119" t="s">
        <v>1156</v>
      </c>
      <c r="B2964" s="120" t="s">
        <v>131</v>
      </c>
      <c r="C2964" s="129">
        <v>651161</v>
      </c>
      <c r="D2964" s="129">
        <v>69034.649999999994</v>
      </c>
      <c r="E2964" s="129">
        <v>0</v>
      </c>
      <c r="F2964" s="129">
        <v>414207.9</v>
      </c>
      <c r="G2964" s="129">
        <v>236953.1</v>
      </c>
      <c r="H2964" s="129">
        <v>63.61</v>
      </c>
      <c r="I2964" s="129">
        <f>Technical!J29</f>
        <v>0</v>
      </c>
      <c r="J2964" s="129">
        <f>Technical!K29</f>
        <v>651161</v>
      </c>
      <c r="K2964" s="129">
        <f>Technical!L29</f>
        <v>691858.5625</v>
      </c>
      <c r="L2964" s="129">
        <f>Technical!M29</f>
        <v>740288.66187499999</v>
      </c>
      <c r="O2964" s="129">
        <f>Technical!N29</f>
        <v>792108.86820625002</v>
      </c>
      <c r="P2964" s="123" t="str">
        <f t="shared" si="663"/>
        <v>031</v>
      </c>
    </row>
    <row r="2965" spans="1:16" x14ac:dyDescent="0.2">
      <c r="A2965" s="119" t="s">
        <v>1157</v>
      </c>
      <c r="B2965" s="120" t="s">
        <v>132</v>
      </c>
      <c r="C2965" s="129">
        <v>32558</v>
      </c>
      <c r="D2965" s="129">
        <v>0</v>
      </c>
      <c r="E2965" s="129">
        <v>0</v>
      </c>
      <c r="F2965" s="129">
        <v>0</v>
      </c>
      <c r="G2965" s="129">
        <v>32558</v>
      </c>
      <c r="H2965" s="129">
        <v>0</v>
      </c>
      <c r="I2965" s="129">
        <f>Technical!J30</f>
        <v>0</v>
      </c>
      <c r="J2965" s="129">
        <f>Technical!K30</f>
        <v>32558</v>
      </c>
      <c r="K2965" s="129">
        <f>Technical!L30</f>
        <v>34592.875</v>
      </c>
      <c r="L2965" s="129">
        <f>Technical!M30</f>
        <v>37014.376250000001</v>
      </c>
      <c r="O2965" s="129">
        <f>Technical!N30</f>
        <v>39605.382587500004</v>
      </c>
      <c r="P2965" s="123" t="str">
        <f t="shared" si="663"/>
        <v>031</v>
      </c>
    </row>
    <row r="2966" spans="1:16" x14ac:dyDescent="0.2">
      <c r="A2966" s="119" t="s">
        <v>1158</v>
      </c>
      <c r="B2966" s="120" t="s">
        <v>133</v>
      </c>
      <c r="C2966" s="129">
        <v>40000</v>
      </c>
      <c r="D2966" s="129">
        <v>3333.33</v>
      </c>
      <c r="E2966" s="129">
        <v>0</v>
      </c>
      <c r="F2966" s="129">
        <v>19999.98</v>
      </c>
      <c r="G2966" s="129">
        <v>20000.02</v>
      </c>
      <c r="H2966" s="129">
        <v>49.99</v>
      </c>
      <c r="I2966" s="129">
        <f>Technical!J31</f>
        <v>0</v>
      </c>
      <c r="J2966" s="129">
        <f>Technical!K31</f>
        <v>40000</v>
      </c>
      <c r="K2966" s="129">
        <f>Technical!L31</f>
        <v>42500</v>
      </c>
      <c r="L2966" s="129">
        <f>Technical!M31</f>
        <v>45475</v>
      </c>
      <c r="O2966" s="129">
        <f>Technical!N31</f>
        <v>48658.25</v>
      </c>
      <c r="P2966" s="123" t="str">
        <f t="shared" si="663"/>
        <v>031</v>
      </c>
    </row>
    <row r="2967" spans="1:16" x14ac:dyDescent="0.2">
      <c r="A2967" s="119" t="s">
        <v>1159</v>
      </c>
      <c r="B2967" s="120" t="s">
        <v>134</v>
      </c>
      <c r="C2967" s="129">
        <v>206737</v>
      </c>
      <c r="D2967" s="129">
        <v>0</v>
      </c>
      <c r="E2967" s="129">
        <v>0</v>
      </c>
      <c r="F2967" s="129">
        <v>0</v>
      </c>
      <c r="G2967" s="129">
        <v>206737</v>
      </c>
      <c r="H2967" s="129">
        <v>0</v>
      </c>
      <c r="I2967" s="129">
        <f>Technical!J32</f>
        <v>0</v>
      </c>
      <c r="J2967" s="129">
        <f>Technical!K32</f>
        <v>206737</v>
      </c>
      <c r="K2967" s="129">
        <f>Technical!L32</f>
        <v>219658.0625</v>
      </c>
      <c r="L2967" s="129">
        <f>Technical!M32</f>
        <v>235034.12687499999</v>
      </c>
      <c r="O2967" s="129">
        <f>Technical!N32</f>
        <v>251486.51575624998</v>
      </c>
      <c r="P2967" s="123" t="str">
        <f t="shared" si="663"/>
        <v>031</v>
      </c>
    </row>
    <row r="2968" spans="1:16" x14ac:dyDescent="0.2">
      <c r="A2968" s="119" t="s">
        <v>1160</v>
      </c>
      <c r="B2968" s="120" t="s">
        <v>135</v>
      </c>
      <c r="C2968" s="129">
        <v>17000</v>
      </c>
      <c r="D2968" s="129">
        <v>0</v>
      </c>
      <c r="E2968" s="129">
        <v>0</v>
      </c>
      <c r="F2968" s="129">
        <v>0</v>
      </c>
      <c r="G2968" s="129">
        <v>17000</v>
      </c>
      <c r="H2968" s="129">
        <v>0</v>
      </c>
      <c r="I2968" s="129">
        <f>Technical!J33</f>
        <v>0</v>
      </c>
      <c r="J2968" s="129">
        <f>Technical!K33</f>
        <v>17000</v>
      </c>
      <c r="K2968" s="129">
        <f>Technical!L33</f>
        <v>18062.5</v>
      </c>
      <c r="L2968" s="129">
        <f>Technical!M33</f>
        <v>19326.875</v>
      </c>
      <c r="O2968" s="129">
        <f>Technical!N33</f>
        <v>20679.756249999999</v>
      </c>
      <c r="P2968" s="123" t="str">
        <f t="shared" si="663"/>
        <v>031</v>
      </c>
    </row>
    <row r="2969" spans="1:16" x14ac:dyDescent="0.2">
      <c r="A2969" s="119" t="s">
        <v>1161</v>
      </c>
      <c r="B2969" s="120" t="s">
        <v>136</v>
      </c>
      <c r="C2969" s="129">
        <v>18580</v>
      </c>
      <c r="D2969" s="129">
        <v>0</v>
      </c>
      <c r="E2969" s="129">
        <v>0</v>
      </c>
      <c r="F2969" s="129">
        <v>0</v>
      </c>
      <c r="G2969" s="129">
        <v>18580</v>
      </c>
      <c r="H2969" s="129">
        <v>0</v>
      </c>
      <c r="I2969" s="129">
        <f>Technical!J34</f>
        <v>0</v>
      </c>
      <c r="J2969" s="129">
        <f>Technical!K34</f>
        <v>18580</v>
      </c>
      <c r="K2969" s="129">
        <f>Technical!L34</f>
        <v>19741.25</v>
      </c>
      <c r="L2969" s="129">
        <f>Technical!M34</f>
        <v>21123.137500000001</v>
      </c>
      <c r="O2969" s="129">
        <f>Technical!N34</f>
        <v>22601.757125</v>
      </c>
      <c r="P2969" s="123" t="str">
        <f t="shared" si="663"/>
        <v>031</v>
      </c>
    </row>
    <row r="2970" spans="1:16" x14ac:dyDescent="0.2">
      <c r="A2970" s="119"/>
      <c r="B2970" s="120"/>
      <c r="C2970" s="129"/>
      <c r="D2970" s="129"/>
      <c r="E2970" s="129"/>
      <c r="F2970" s="129"/>
      <c r="G2970" s="129"/>
      <c r="H2970" s="129"/>
      <c r="I2970" s="129">
        <f>Technical!J35</f>
        <v>0</v>
      </c>
      <c r="J2970" s="129"/>
      <c r="K2970" s="129"/>
      <c r="L2970" s="129"/>
      <c r="O2970" s="129"/>
      <c r="P2970" s="123" t="str">
        <f t="shared" si="663"/>
        <v/>
      </c>
    </row>
    <row r="2971" spans="1:16" s="114" customFormat="1" ht="15" x14ac:dyDescent="0.25">
      <c r="A2971" s="118"/>
      <c r="B2971" s="117" t="s">
        <v>137</v>
      </c>
      <c r="C2971" s="128">
        <f>SUM(C2964:C2970)</f>
        <v>966036</v>
      </c>
      <c r="D2971" s="128">
        <f t="shared" ref="D2971:O2971" si="666">SUM(D2964:D2970)</f>
        <v>72367.98</v>
      </c>
      <c r="E2971" s="128">
        <f t="shared" si="666"/>
        <v>0</v>
      </c>
      <c r="F2971" s="128">
        <f t="shared" si="666"/>
        <v>434207.88</v>
      </c>
      <c r="G2971" s="128">
        <f t="shared" si="666"/>
        <v>531828.12</v>
      </c>
      <c r="H2971" s="128">
        <f t="shared" si="666"/>
        <v>113.6</v>
      </c>
      <c r="I2971" s="128">
        <f t="shared" si="666"/>
        <v>0</v>
      </c>
      <c r="J2971" s="128">
        <f t="shared" si="666"/>
        <v>966036</v>
      </c>
      <c r="K2971" s="128">
        <f t="shared" si="666"/>
        <v>1026413.25</v>
      </c>
      <c r="L2971" s="128">
        <f t="shared" si="666"/>
        <v>1098262.1775</v>
      </c>
      <c r="M2971" s="128">
        <f t="shared" si="666"/>
        <v>0</v>
      </c>
      <c r="N2971" s="128">
        <f t="shared" si="666"/>
        <v>0</v>
      </c>
      <c r="O2971" s="128">
        <f t="shared" si="666"/>
        <v>1175140.5299250002</v>
      </c>
      <c r="P2971" s="123" t="str">
        <f t="shared" si="663"/>
        <v/>
      </c>
    </row>
    <row r="2972" spans="1:16" s="114" customFormat="1" ht="15" x14ac:dyDescent="0.25">
      <c r="A2972" s="118"/>
      <c r="B2972" s="117"/>
      <c r="C2972" s="128"/>
      <c r="D2972" s="128"/>
      <c r="E2972" s="128"/>
      <c r="F2972" s="128"/>
      <c r="G2972" s="128"/>
      <c r="H2972" s="128"/>
      <c r="I2972" s="129">
        <f>Technical!J37</f>
        <v>0</v>
      </c>
      <c r="J2972" s="129"/>
      <c r="K2972" s="129"/>
      <c r="L2972" s="129"/>
      <c r="M2972" s="186"/>
      <c r="N2972" s="186"/>
      <c r="O2972" s="128"/>
      <c r="P2972" s="123" t="str">
        <f t="shared" si="663"/>
        <v/>
      </c>
    </row>
    <row r="2973" spans="1:16" s="114" customFormat="1" ht="15" x14ac:dyDescent="0.25">
      <c r="A2973" s="118"/>
      <c r="B2973" s="117" t="s">
        <v>146</v>
      </c>
      <c r="C2973" s="128">
        <f>C2971</f>
        <v>966036</v>
      </c>
      <c r="D2973" s="128">
        <f t="shared" ref="D2973:O2973" si="667">D2971</f>
        <v>72367.98</v>
      </c>
      <c r="E2973" s="128">
        <f t="shared" si="667"/>
        <v>0</v>
      </c>
      <c r="F2973" s="128">
        <f t="shared" si="667"/>
        <v>434207.88</v>
      </c>
      <c r="G2973" s="128">
        <f t="shared" si="667"/>
        <v>531828.12</v>
      </c>
      <c r="H2973" s="128">
        <f t="shared" si="667"/>
        <v>113.6</v>
      </c>
      <c r="I2973" s="128">
        <f t="shared" si="667"/>
        <v>0</v>
      </c>
      <c r="J2973" s="128">
        <f t="shared" si="667"/>
        <v>966036</v>
      </c>
      <c r="K2973" s="128">
        <f t="shared" si="667"/>
        <v>1026413.25</v>
      </c>
      <c r="L2973" s="128">
        <f t="shared" si="667"/>
        <v>1098262.1775</v>
      </c>
      <c r="M2973" s="128">
        <f t="shared" si="667"/>
        <v>0</v>
      </c>
      <c r="N2973" s="128">
        <f t="shared" si="667"/>
        <v>0</v>
      </c>
      <c r="O2973" s="128">
        <f t="shared" si="667"/>
        <v>1175140.5299250002</v>
      </c>
      <c r="P2973" s="123" t="str">
        <f t="shared" si="663"/>
        <v/>
      </c>
    </row>
    <row r="2974" spans="1:16" s="114" customFormat="1" ht="15" x14ac:dyDescent="0.25">
      <c r="A2974" s="118"/>
      <c r="B2974" s="117"/>
      <c r="C2974" s="128"/>
      <c r="D2974" s="128"/>
      <c r="E2974" s="128"/>
      <c r="F2974" s="128"/>
      <c r="G2974" s="128"/>
      <c r="H2974" s="128"/>
      <c r="I2974" s="129">
        <f>Technical!J39</f>
        <v>0</v>
      </c>
      <c r="J2974" s="129"/>
      <c r="K2974" s="129"/>
      <c r="L2974" s="129"/>
      <c r="M2974" s="186"/>
      <c r="N2974" s="186"/>
      <c r="O2974" s="128"/>
      <c r="P2974" s="123" t="str">
        <f t="shared" si="663"/>
        <v/>
      </c>
    </row>
    <row r="2975" spans="1:16" s="114" customFormat="1" ht="15" x14ac:dyDescent="0.25">
      <c r="A2975" s="118"/>
      <c r="B2975" s="117" t="s">
        <v>147</v>
      </c>
      <c r="C2975" s="128">
        <f>C2973</f>
        <v>966036</v>
      </c>
      <c r="D2975" s="128">
        <f t="shared" ref="D2975:O2975" si="668">D2973</f>
        <v>72367.98</v>
      </c>
      <c r="E2975" s="128">
        <f t="shared" si="668"/>
        <v>0</v>
      </c>
      <c r="F2975" s="128">
        <f t="shared" si="668"/>
        <v>434207.88</v>
      </c>
      <c r="G2975" s="128">
        <f t="shared" si="668"/>
        <v>531828.12</v>
      </c>
      <c r="H2975" s="128">
        <f t="shared" si="668"/>
        <v>113.6</v>
      </c>
      <c r="I2975" s="128">
        <f t="shared" si="668"/>
        <v>0</v>
      </c>
      <c r="J2975" s="128">
        <f t="shared" si="668"/>
        <v>966036</v>
      </c>
      <c r="K2975" s="128">
        <f t="shared" si="668"/>
        <v>1026413.25</v>
      </c>
      <c r="L2975" s="128">
        <f t="shared" si="668"/>
        <v>1098262.1775</v>
      </c>
      <c r="M2975" s="128">
        <f t="shared" si="668"/>
        <v>0</v>
      </c>
      <c r="N2975" s="128">
        <f t="shared" si="668"/>
        <v>0</v>
      </c>
      <c r="O2975" s="128">
        <f t="shared" si="668"/>
        <v>1175140.5299250002</v>
      </c>
      <c r="P2975" s="123" t="str">
        <f t="shared" si="663"/>
        <v/>
      </c>
    </row>
    <row r="2976" spans="1:16" s="114" customFormat="1" ht="15" x14ac:dyDescent="0.25">
      <c r="A2976" s="118"/>
      <c r="B2976" s="117"/>
      <c r="C2976" s="128"/>
      <c r="D2976" s="128"/>
      <c r="E2976" s="128"/>
      <c r="F2976" s="128"/>
      <c r="G2976" s="128"/>
      <c r="H2976" s="128"/>
      <c r="I2976" s="129">
        <f>Technical!J41</f>
        <v>0</v>
      </c>
      <c r="J2976" s="129"/>
      <c r="K2976" s="128"/>
      <c r="L2976" s="128"/>
      <c r="M2976" s="186"/>
      <c r="N2976" s="186"/>
      <c r="O2976" s="128"/>
      <c r="P2976" s="123" t="str">
        <f t="shared" si="663"/>
        <v/>
      </c>
    </row>
    <row r="2977" spans="1:16" s="114" customFormat="1" ht="15" x14ac:dyDescent="0.25">
      <c r="A2977" s="118"/>
      <c r="B2977" s="117" t="s">
        <v>148</v>
      </c>
      <c r="C2977" s="128"/>
      <c r="D2977" s="128"/>
      <c r="E2977" s="128"/>
      <c r="F2977" s="128"/>
      <c r="G2977" s="128"/>
      <c r="H2977" s="128"/>
      <c r="I2977" s="129">
        <f>Technical!J42</f>
        <v>0</v>
      </c>
      <c r="J2977" s="129"/>
      <c r="K2977" s="129"/>
      <c r="L2977" s="129"/>
      <c r="M2977" s="186"/>
      <c r="N2977" s="186"/>
      <c r="O2977" s="128"/>
      <c r="P2977" s="123" t="str">
        <f t="shared" si="663"/>
        <v/>
      </c>
    </row>
    <row r="2978" spans="1:16" s="114" customFormat="1" ht="15" x14ac:dyDescent="0.25">
      <c r="A2978" s="118"/>
      <c r="B2978" s="117" t="s">
        <v>149</v>
      </c>
      <c r="C2978" s="128"/>
      <c r="D2978" s="128"/>
      <c r="E2978" s="128"/>
      <c r="F2978" s="128"/>
      <c r="G2978" s="128"/>
      <c r="H2978" s="128"/>
      <c r="I2978" s="129">
        <f>Technical!J43</f>
        <v>0</v>
      </c>
      <c r="J2978" s="129"/>
      <c r="K2978" s="129"/>
      <c r="L2978" s="129"/>
      <c r="M2978" s="186"/>
      <c r="N2978" s="186"/>
      <c r="O2978" s="128"/>
      <c r="P2978" s="123" t="str">
        <f t="shared" si="663"/>
        <v/>
      </c>
    </row>
    <row r="2979" spans="1:16" s="114" customFormat="1" ht="15" x14ac:dyDescent="0.25">
      <c r="A2979" s="118"/>
      <c r="B2979" s="117"/>
      <c r="C2979" s="128"/>
      <c r="D2979" s="128"/>
      <c r="E2979" s="128"/>
      <c r="F2979" s="128"/>
      <c r="G2979" s="128"/>
      <c r="H2979" s="128"/>
      <c r="I2979" s="129">
        <f>Technical!J44</f>
        <v>0</v>
      </c>
      <c r="J2979" s="129"/>
      <c r="K2979" s="129"/>
      <c r="L2979" s="129"/>
      <c r="M2979" s="186"/>
      <c r="N2979" s="186"/>
      <c r="O2979" s="128"/>
      <c r="P2979" s="123" t="str">
        <f t="shared" si="663"/>
        <v/>
      </c>
    </row>
    <row r="2980" spans="1:16" x14ac:dyDescent="0.2">
      <c r="A2980" s="119" t="s">
        <v>1162</v>
      </c>
      <c r="B2980" s="120" t="s">
        <v>164</v>
      </c>
      <c r="C2980" s="129">
        <v>32457</v>
      </c>
      <c r="D2980" s="129">
        <v>0</v>
      </c>
      <c r="E2980" s="129">
        <v>0</v>
      </c>
      <c r="F2980" s="129">
        <v>0</v>
      </c>
      <c r="G2980" s="129">
        <v>32457</v>
      </c>
      <c r="H2980" s="129">
        <v>0</v>
      </c>
      <c r="I2980" s="129">
        <f>Technical!J45</f>
        <v>-32457</v>
      </c>
      <c r="J2980" s="129">
        <f>Technical!K45</f>
        <v>0</v>
      </c>
      <c r="K2980" s="129">
        <f>Technical!L45</f>
        <v>0</v>
      </c>
      <c r="L2980" s="129">
        <f>Technical!M45</f>
        <v>0</v>
      </c>
      <c r="O2980" s="129">
        <f>Technical!N45</f>
        <v>0</v>
      </c>
      <c r="P2980" s="123" t="str">
        <f t="shared" si="663"/>
        <v>110</v>
      </c>
    </row>
    <row r="2981" spans="1:16" x14ac:dyDescent="0.2">
      <c r="A2981" s="119"/>
      <c r="B2981" s="120"/>
      <c r="C2981" s="129"/>
      <c r="D2981" s="129"/>
      <c r="E2981" s="129"/>
      <c r="F2981" s="129"/>
      <c r="G2981" s="129"/>
      <c r="H2981" s="129"/>
      <c r="I2981" s="129">
        <f>Technical!J46</f>
        <v>0</v>
      </c>
      <c r="J2981" s="129"/>
      <c r="K2981" s="129"/>
      <c r="L2981" s="129"/>
      <c r="O2981" s="129"/>
      <c r="P2981" s="123" t="str">
        <f t="shared" si="663"/>
        <v/>
      </c>
    </row>
    <row r="2982" spans="1:16" s="114" customFormat="1" ht="15" x14ac:dyDescent="0.25">
      <c r="A2982" s="118"/>
      <c r="B2982" s="117" t="s">
        <v>165</v>
      </c>
      <c r="C2982" s="128">
        <f>SUM(C2980:C2981)</f>
        <v>32457</v>
      </c>
      <c r="D2982" s="128">
        <f t="shared" ref="D2982:O2982" si="669">SUM(D2980:D2981)</f>
        <v>0</v>
      </c>
      <c r="E2982" s="128">
        <f t="shared" si="669"/>
        <v>0</v>
      </c>
      <c r="F2982" s="128">
        <f t="shared" si="669"/>
        <v>0</v>
      </c>
      <c r="G2982" s="128">
        <f t="shared" si="669"/>
        <v>32457</v>
      </c>
      <c r="H2982" s="128">
        <f t="shared" si="669"/>
        <v>0</v>
      </c>
      <c r="I2982" s="128">
        <f t="shared" si="669"/>
        <v>-32457</v>
      </c>
      <c r="J2982" s="128">
        <f t="shared" si="669"/>
        <v>0</v>
      </c>
      <c r="K2982" s="128">
        <f t="shared" si="669"/>
        <v>0</v>
      </c>
      <c r="L2982" s="128">
        <f t="shared" si="669"/>
        <v>0</v>
      </c>
      <c r="M2982" s="128">
        <f t="shared" si="669"/>
        <v>0</v>
      </c>
      <c r="N2982" s="128">
        <f t="shared" si="669"/>
        <v>0</v>
      </c>
      <c r="O2982" s="128">
        <f t="shared" si="669"/>
        <v>0</v>
      </c>
      <c r="P2982" s="123" t="str">
        <f t="shared" si="663"/>
        <v/>
      </c>
    </row>
    <row r="2983" spans="1:16" x14ac:dyDescent="0.2">
      <c r="A2983" s="119"/>
      <c r="B2983" s="120"/>
      <c r="C2983" s="129"/>
      <c r="D2983" s="129"/>
      <c r="E2983" s="129"/>
      <c r="F2983" s="129"/>
      <c r="G2983" s="129"/>
      <c r="H2983" s="129"/>
      <c r="I2983" s="129">
        <f>Technical!J48</f>
        <v>0</v>
      </c>
      <c r="J2983" s="129"/>
      <c r="K2983" s="129"/>
      <c r="L2983" s="129"/>
      <c r="O2983" s="129"/>
      <c r="P2983" s="123" t="str">
        <f t="shared" si="663"/>
        <v/>
      </c>
    </row>
    <row r="2984" spans="1:16" s="114" customFormat="1" ht="15" x14ac:dyDescent="0.25">
      <c r="A2984" s="118"/>
      <c r="B2984" s="117" t="s">
        <v>177</v>
      </c>
      <c r="C2984" s="128">
        <f>C2982</f>
        <v>32457</v>
      </c>
      <c r="D2984" s="128">
        <f t="shared" ref="D2984:O2984" si="670">D2982</f>
        <v>0</v>
      </c>
      <c r="E2984" s="128">
        <f t="shared" si="670"/>
        <v>0</v>
      </c>
      <c r="F2984" s="128">
        <f t="shared" si="670"/>
        <v>0</v>
      </c>
      <c r="G2984" s="128">
        <f t="shared" si="670"/>
        <v>32457</v>
      </c>
      <c r="H2984" s="128">
        <f t="shared" si="670"/>
        <v>0</v>
      </c>
      <c r="I2984" s="128">
        <f t="shared" si="670"/>
        <v>-32457</v>
      </c>
      <c r="J2984" s="128">
        <f t="shared" si="670"/>
        <v>0</v>
      </c>
      <c r="K2984" s="128">
        <f t="shared" si="670"/>
        <v>0</v>
      </c>
      <c r="L2984" s="128">
        <f t="shared" si="670"/>
        <v>0</v>
      </c>
      <c r="M2984" s="128">
        <f t="shared" si="670"/>
        <v>0</v>
      </c>
      <c r="N2984" s="128">
        <f t="shared" si="670"/>
        <v>0</v>
      </c>
      <c r="O2984" s="128">
        <f t="shared" si="670"/>
        <v>0</v>
      </c>
      <c r="P2984" s="123" t="str">
        <f t="shared" si="663"/>
        <v/>
      </c>
    </row>
    <row r="2985" spans="1:16" s="114" customFormat="1" ht="15" x14ac:dyDescent="0.25">
      <c r="A2985" s="118"/>
      <c r="B2985" s="117"/>
      <c r="C2985" s="128"/>
      <c r="D2985" s="128"/>
      <c r="E2985" s="128"/>
      <c r="F2985" s="128"/>
      <c r="G2985" s="128"/>
      <c r="H2985" s="128"/>
      <c r="I2985" s="129">
        <f>Technical!J50</f>
        <v>0</v>
      </c>
      <c r="J2985" s="129"/>
      <c r="K2985" s="129"/>
      <c r="L2985" s="129"/>
      <c r="M2985" s="186"/>
      <c r="N2985" s="186"/>
      <c r="O2985" s="128"/>
      <c r="P2985" s="123" t="str">
        <f t="shared" si="663"/>
        <v/>
      </c>
    </row>
    <row r="2986" spans="1:16" s="114" customFormat="1" ht="15" x14ac:dyDescent="0.25">
      <c r="A2986" s="118"/>
      <c r="B2986" s="117" t="s">
        <v>178</v>
      </c>
      <c r="C2986" s="128">
        <f>C2975+C2984</f>
        <v>998493</v>
      </c>
      <c r="D2986" s="128">
        <f t="shared" ref="D2986:O2986" si="671">D2975+D2984</f>
        <v>72367.98</v>
      </c>
      <c r="E2986" s="128">
        <f t="shared" si="671"/>
        <v>0</v>
      </c>
      <c r="F2986" s="128">
        <f t="shared" si="671"/>
        <v>434207.88</v>
      </c>
      <c r="G2986" s="128">
        <f t="shared" si="671"/>
        <v>564285.12</v>
      </c>
      <c r="H2986" s="128">
        <f t="shared" si="671"/>
        <v>113.6</v>
      </c>
      <c r="I2986" s="128">
        <f t="shared" si="671"/>
        <v>-32457</v>
      </c>
      <c r="J2986" s="128">
        <f t="shared" si="671"/>
        <v>966036</v>
      </c>
      <c r="K2986" s="128">
        <f t="shared" si="671"/>
        <v>1026413.25</v>
      </c>
      <c r="L2986" s="128">
        <f t="shared" si="671"/>
        <v>1098262.1775</v>
      </c>
      <c r="M2986" s="128">
        <f t="shared" si="671"/>
        <v>0</v>
      </c>
      <c r="N2986" s="128">
        <f t="shared" si="671"/>
        <v>0</v>
      </c>
      <c r="O2986" s="128">
        <f t="shared" si="671"/>
        <v>1175140.5299250002</v>
      </c>
      <c r="P2986" s="123" t="str">
        <f t="shared" si="663"/>
        <v/>
      </c>
    </row>
    <row r="2987" spans="1:16" s="114" customFormat="1" ht="15" x14ac:dyDescent="0.25">
      <c r="A2987" s="118"/>
      <c r="B2987" s="117"/>
      <c r="C2987" s="128"/>
      <c r="D2987" s="128"/>
      <c r="E2987" s="128"/>
      <c r="F2987" s="128"/>
      <c r="G2987" s="128"/>
      <c r="H2987" s="128"/>
      <c r="I2987" s="129">
        <f>Technical!J52</f>
        <v>0</v>
      </c>
      <c r="J2987" s="129"/>
      <c r="K2987" s="129"/>
      <c r="L2987" s="129"/>
      <c r="M2987" s="186"/>
      <c r="N2987" s="186"/>
      <c r="O2987" s="128"/>
      <c r="P2987" s="123" t="str">
        <f t="shared" si="663"/>
        <v/>
      </c>
    </row>
    <row r="2988" spans="1:16" s="114" customFormat="1" ht="15" x14ac:dyDescent="0.25">
      <c r="A2988" s="118"/>
      <c r="B2988" s="117" t="s">
        <v>241</v>
      </c>
      <c r="C2988" s="128"/>
      <c r="D2988" s="128"/>
      <c r="E2988" s="128"/>
      <c r="F2988" s="128"/>
      <c r="G2988" s="128"/>
      <c r="H2988" s="128"/>
      <c r="I2988" s="129">
        <f>Technical!J53</f>
        <v>0</v>
      </c>
      <c r="J2988" s="129"/>
      <c r="K2988" s="129"/>
      <c r="L2988" s="129"/>
      <c r="M2988" s="186"/>
      <c r="N2988" s="186"/>
      <c r="O2988" s="128"/>
      <c r="P2988" s="123" t="str">
        <f t="shared" si="663"/>
        <v/>
      </c>
    </row>
    <row r="2989" spans="1:16" x14ac:dyDescent="0.2">
      <c r="A2989" s="119"/>
      <c r="B2989" s="120"/>
      <c r="C2989" s="129"/>
      <c r="D2989" s="129"/>
      <c r="E2989" s="129"/>
      <c r="F2989" s="129"/>
      <c r="G2989" s="129"/>
      <c r="H2989" s="129"/>
      <c r="I2989" s="129">
        <f>Technical!J54</f>
        <v>0</v>
      </c>
      <c r="J2989" s="129"/>
      <c r="K2989" s="129"/>
      <c r="L2989" s="129"/>
      <c r="O2989" s="129"/>
      <c r="P2989" s="123" t="str">
        <f t="shared" si="663"/>
        <v/>
      </c>
    </row>
    <row r="2990" spans="1:16" x14ac:dyDescent="0.2">
      <c r="A2990" s="119" t="s">
        <v>1163</v>
      </c>
      <c r="B2990" s="120" t="s">
        <v>253</v>
      </c>
      <c r="C2990" s="129">
        <v>2000</v>
      </c>
      <c r="D2990" s="129">
        <v>0</v>
      </c>
      <c r="E2990" s="129">
        <v>0</v>
      </c>
      <c r="F2990" s="129">
        <v>859.3</v>
      </c>
      <c r="G2990" s="129">
        <v>1140.7</v>
      </c>
      <c r="H2990" s="129">
        <v>42.96</v>
      </c>
      <c r="I2990" s="129">
        <f>Technical!J55</f>
        <v>0</v>
      </c>
      <c r="J2990" s="129">
        <f>Technical!K55</f>
        <v>2000</v>
      </c>
      <c r="K2990" s="129">
        <f>Technical!L55</f>
        <v>2000</v>
      </c>
      <c r="L2990" s="129">
        <f>Technical!M55</f>
        <v>2000</v>
      </c>
      <c r="O2990" s="129">
        <f>Technical!N55</f>
        <v>2000</v>
      </c>
      <c r="P2990" s="123" t="str">
        <f t="shared" si="663"/>
        <v>301</v>
      </c>
    </row>
    <row r="2991" spans="1:16" x14ac:dyDescent="0.2">
      <c r="A2991" s="119" t="s">
        <v>1164</v>
      </c>
      <c r="B2991" s="120" t="s">
        <v>265</v>
      </c>
      <c r="C2991" s="129">
        <v>0</v>
      </c>
      <c r="D2991" s="129">
        <v>706.91</v>
      </c>
      <c r="E2991" s="129">
        <v>0</v>
      </c>
      <c r="F2991" s="129">
        <v>3586.32</v>
      </c>
      <c r="G2991" s="129">
        <v>-3586.32</v>
      </c>
      <c r="H2991" s="129">
        <v>0</v>
      </c>
      <c r="I2991" s="129">
        <f>Technical!J56</f>
        <v>10000</v>
      </c>
      <c r="J2991" s="129">
        <f>Technical!K56</f>
        <v>10000</v>
      </c>
      <c r="K2991" s="129">
        <f>Technical!L56</f>
        <v>10450</v>
      </c>
      <c r="L2991" s="129">
        <f>Technical!M56</f>
        <v>10930.7</v>
      </c>
      <c r="O2991" s="129">
        <f>Technical!N56</f>
        <v>11433.512200000001</v>
      </c>
      <c r="P2991" s="123" t="str">
        <f t="shared" si="663"/>
        <v>305</v>
      </c>
    </row>
    <row r="2992" spans="1:16" x14ac:dyDescent="0.2">
      <c r="A2992" s="119" t="s">
        <v>1165</v>
      </c>
      <c r="B2992" s="120" t="s">
        <v>268</v>
      </c>
      <c r="C2992" s="129">
        <v>80329</v>
      </c>
      <c r="D2992" s="129">
        <v>15128.52</v>
      </c>
      <c r="E2992" s="129">
        <v>3651.54</v>
      </c>
      <c r="F2992" s="129">
        <v>87533.32</v>
      </c>
      <c r="G2992" s="129">
        <v>-7204.32</v>
      </c>
      <c r="H2992" s="129">
        <v>108.96</v>
      </c>
      <c r="I2992" s="129">
        <f>Technical!J57</f>
        <v>40000</v>
      </c>
      <c r="J2992" s="129">
        <f>Technical!K57</f>
        <v>120329</v>
      </c>
      <c r="K2992" s="129">
        <f>Technical!L57</f>
        <v>125743.80499999999</v>
      </c>
      <c r="L2992" s="129">
        <f>Technical!M57</f>
        <v>131528.02002999999</v>
      </c>
      <c r="O2992" s="129">
        <f>Technical!N57</f>
        <v>137578.30895137999</v>
      </c>
      <c r="P2992" s="123" t="str">
        <f t="shared" si="663"/>
        <v>305</v>
      </c>
    </row>
    <row r="2993" spans="1:16" x14ac:dyDescent="0.2">
      <c r="A2993" s="119" t="s">
        <v>1166</v>
      </c>
      <c r="B2993" s="120" t="s">
        <v>268</v>
      </c>
      <c r="C2993" s="129">
        <v>73677</v>
      </c>
      <c r="D2993" s="129">
        <v>0</v>
      </c>
      <c r="E2993" s="129">
        <v>0</v>
      </c>
      <c r="F2993" s="129">
        <v>72823.539999999994</v>
      </c>
      <c r="G2993" s="129">
        <v>853.46</v>
      </c>
      <c r="H2993" s="129">
        <v>98.84</v>
      </c>
      <c r="I2993" s="129">
        <f>Technical!J58</f>
        <v>30000</v>
      </c>
      <c r="J2993" s="129">
        <f>Technical!K58</f>
        <v>103677</v>
      </c>
      <c r="K2993" s="129">
        <f>Technical!L58</f>
        <v>108342.465</v>
      </c>
      <c r="L2993" s="129">
        <f>Technical!M58</f>
        <v>113326.21838999999</v>
      </c>
      <c r="O2993" s="129">
        <f>Technical!N58</f>
        <v>118539.22443593999</v>
      </c>
      <c r="P2993" s="123" t="str">
        <f t="shared" si="663"/>
        <v>305</v>
      </c>
    </row>
    <row r="2994" spans="1:16" x14ac:dyDescent="0.2">
      <c r="A2994" s="119" t="s">
        <v>1167</v>
      </c>
      <c r="B2994" s="120" t="s">
        <v>269</v>
      </c>
      <c r="C2994" s="129">
        <v>21200</v>
      </c>
      <c r="D2994" s="129">
        <v>0</v>
      </c>
      <c r="E2994" s="129">
        <v>0</v>
      </c>
      <c r="F2994" s="129">
        <v>0</v>
      </c>
      <c r="G2994" s="129">
        <v>21200</v>
      </c>
      <c r="H2994" s="129">
        <v>0</v>
      </c>
      <c r="I2994" s="129">
        <f>Technical!J59</f>
        <v>-15000</v>
      </c>
      <c r="J2994" s="129">
        <f>Technical!K59</f>
        <v>6200</v>
      </c>
      <c r="K2994" s="129">
        <f>Technical!L59</f>
        <v>6479</v>
      </c>
      <c r="L2994" s="129">
        <f>Technical!M59</f>
        <v>6777.0339999999997</v>
      </c>
      <c r="O2994" s="129">
        <f>Technical!N59</f>
        <v>7088.777564</v>
      </c>
      <c r="P2994" s="123" t="str">
        <f t="shared" si="663"/>
        <v>305</v>
      </c>
    </row>
    <row r="2995" spans="1:16" x14ac:dyDescent="0.2">
      <c r="A2995" s="119" t="s">
        <v>1168</v>
      </c>
      <c r="B2995" s="120" t="s">
        <v>272</v>
      </c>
      <c r="C2995" s="129">
        <v>34896</v>
      </c>
      <c r="D2995" s="129">
        <v>0</v>
      </c>
      <c r="E2995" s="129">
        <v>0</v>
      </c>
      <c r="F2995" s="129">
        <v>0</v>
      </c>
      <c r="G2995" s="129">
        <v>34896</v>
      </c>
      <c r="H2995" s="129">
        <v>0</v>
      </c>
      <c r="I2995" s="129">
        <f>Technical!J60</f>
        <v>-15000</v>
      </c>
      <c r="J2995" s="129">
        <f>Technical!K60</f>
        <v>19896</v>
      </c>
      <c r="K2995" s="129">
        <f>Technical!L60</f>
        <v>20791.32</v>
      </c>
      <c r="L2995" s="129">
        <f>Technical!M60</f>
        <v>21747.720720000001</v>
      </c>
      <c r="O2995" s="129">
        <f>Technical!N60</f>
        <v>22748.115873120001</v>
      </c>
      <c r="P2995" s="123" t="str">
        <f t="shared" si="663"/>
        <v>306</v>
      </c>
    </row>
    <row r="2996" spans="1:16" x14ac:dyDescent="0.2">
      <c r="A2996" s="119"/>
      <c r="B2996" s="120"/>
      <c r="C2996" s="129"/>
      <c r="D2996" s="129"/>
      <c r="E2996" s="129"/>
      <c r="F2996" s="129"/>
      <c r="G2996" s="129"/>
      <c r="H2996" s="129"/>
      <c r="I2996" s="129">
        <f>Technical!J61</f>
        <v>0</v>
      </c>
      <c r="J2996" s="129"/>
      <c r="K2996" s="129"/>
      <c r="L2996" s="129"/>
      <c r="O2996" s="129"/>
      <c r="P2996" s="123" t="str">
        <f t="shared" si="663"/>
        <v/>
      </c>
    </row>
    <row r="2997" spans="1:16" s="114" customFormat="1" ht="15" x14ac:dyDescent="0.25">
      <c r="A2997" s="118"/>
      <c r="B2997" s="117" t="s">
        <v>274</v>
      </c>
      <c r="C2997" s="128">
        <f>SUM(C2990:C2996)</f>
        <v>212102</v>
      </c>
      <c r="D2997" s="128">
        <f t="shared" ref="D2997:O2997" si="672">SUM(D2990:D2996)</f>
        <v>15835.43</v>
      </c>
      <c r="E2997" s="128">
        <f t="shared" si="672"/>
        <v>3651.54</v>
      </c>
      <c r="F2997" s="128">
        <f t="shared" si="672"/>
        <v>164802.47999999998</v>
      </c>
      <c r="G2997" s="128">
        <f t="shared" si="672"/>
        <v>47299.520000000004</v>
      </c>
      <c r="H2997" s="128">
        <f t="shared" si="672"/>
        <v>250.76</v>
      </c>
      <c r="I2997" s="128">
        <f t="shared" si="672"/>
        <v>50000</v>
      </c>
      <c r="J2997" s="128">
        <f t="shared" si="672"/>
        <v>262102</v>
      </c>
      <c r="K2997" s="128">
        <f t="shared" si="672"/>
        <v>273806.58999999997</v>
      </c>
      <c r="L2997" s="128">
        <f t="shared" si="672"/>
        <v>286309.69313999999</v>
      </c>
      <c r="M2997" s="128">
        <f t="shared" si="672"/>
        <v>0</v>
      </c>
      <c r="N2997" s="128">
        <f t="shared" si="672"/>
        <v>0</v>
      </c>
      <c r="O2997" s="128">
        <f t="shared" si="672"/>
        <v>299387.93902444001</v>
      </c>
      <c r="P2997" s="123" t="str">
        <f t="shared" si="663"/>
        <v/>
      </c>
    </row>
    <row r="2998" spans="1:16" s="114" customFormat="1" ht="15" x14ac:dyDescent="0.25">
      <c r="A2998" s="118"/>
      <c r="B2998" s="117"/>
      <c r="C2998" s="128"/>
      <c r="D2998" s="128"/>
      <c r="E2998" s="128"/>
      <c r="F2998" s="128"/>
      <c r="G2998" s="128"/>
      <c r="H2998" s="128"/>
      <c r="I2998" s="129">
        <f>Technical!J63</f>
        <v>0</v>
      </c>
      <c r="J2998" s="129"/>
      <c r="K2998" s="129"/>
      <c r="L2998" s="129"/>
      <c r="M2998" s="186"/>
      <c r="N2998" s="186"/>
      <c r="O2998" s="128"/>
      <c r="P2998" s="123" t="str">
        <f t="shared" si="663"/>
        <v/>
      </c>
    </row>
    <row r="2999" spans="1:16" s="114" customFormat="1" ht="15" x14ac:dyDescent="0.25">
      <c r="A2999" s="118"/>
      <c r="B2999" s="117" t="s">
        <v>275</v>
      </c>
      <c r="C2999" s="128"/>
      <c r="D2999" s="128"/>
      <c r="E2999" s="128"/>
      <c r="F2999" s="128"/>
      <c r="G2999" s="128"/>
      <c r="H2999" s="128"/>
      <c r="I2999" s="129">
        <f>Technical!J64</f>
        <v>0</v>
      </c>
      <c r="J2999" s="129"/>
      <c r="K2999" s="129"/>
      <c r="L2999" s="129"/>
      <c r="M2999" s="186"/>
      <c r="N2999" s="186"/>
      <c r="O2999" s="128"/>
      <c r="P2999" s="123" t="str">
        <f t="shared" si="663"/>
        <v/>
      </c>
    </row>
    <row r="3000" spans="1:16" x14ac:dyDescent="0.2">
      <c r="A3000" s="119"/>
      <c r="B3000" s="120"/>
      <c r="C3000" s="129"/>
      <c r="D3000" s="129"/>
      <c r="E3000" s="129"/>
      <c r="F3000" s="129"/>
      <c r="G3000" s="129"/>
      <c r="H3000" s="129"/>
      <c r="I3000" s="129">
        <f>Technical!J65</f>
        <v>0</v>
      </c>
      <c r="J3000" s="129"/>
      <c r="K3000" s="129"/>
      <c r="L3000" s="129"/>
      <c r="O3000" s="129"/>
      <c r="P3000" s="123" t="str">
        <f t="shared" si="663"/>
        <v/>
      </c>
    </row>
    <row r="3001" spans="1:16" x14ac:dyDescent="0.2">
      <c r="A3001" s="119" t="s">
        <v>1169</v>
      </c>
      <c r="B3001" s="120" t="s">
        <v>277</v>
      </c>
      <c r="C3001" s="129">
        <v>1967760</v>
      </c>
      <c r="D3001" s="129">
        <v>166226.1</v>
      </c>
      <c r="E3001" s="129">
        <v>0</v>
      </c>
      <c r="F3001" s="129">
        <v>1008339.75</v>
      </c>
      <c r="G3001" s="129">
        <v>959420.25</v>
      </c>
      <c r="H3001" s="129">
        <v>51.24</v>
      </c>
      <c r="I3001" s="129">
        <f>Technical!J66</f>
        <v>0</v>
      </c>
      <c r="J3001" s="129">
        <f>Technical!K66</f>
        <v>1967760</v>
      </c>
      <c r="K3001" s="129">
        <f>Technical!L66</f>
        <v>2056309.2</v>
      </c>
      <c r="L3001" s="129">
        <f>Technical!M66</f>
        <v>2150899.4232000001</v>
      </c>
      <c r="O3001" s="129">
        <f>Technical!N66</f>
        <v>2249840.7966672</v>
      </c>
      <c r="P3001" s="123" t="str">
        <f t="shared" si="663"/>
        <v>320</v>
      </c>
    </row>
    <row r="3002" spans="1:16" x14ac:dyDescent="0.2">
      <c r="A3002" s="119"/>
      <c r="B3002" s="120"/>
      <c r="C3002" s="129"/>
      <c r="D3002" s="129"/>
      <c r="E3002" s="129"/>
      <c r="F3002" s="129"/>
      <c r="G3002" s="129"/>
      <c r="H3002" s="129"/>
      <c r="I3002" s="129">
        <f>Technical!J67</f>
        <v>0</v>
      </c>
      <c r="J3002" s="129"/>
      <c r="K3002" s="129"/>
      <c r="L3002" s="129"/>
      <c r="O3002" s="129"/>
      <c r="P3002" s="123" t="str">
        <f t="shared" si="663"/>
        <v/>
      </c>
    </row>
    <row r="3003" spans="1:16" s="114" customFormat="1" ht="15" x14ac:dyDescent="0.25">
      <c r="A3003" s="118"/>
      <c r="B3003" s="117" t="s">
        <v>279</v>
      </c>
      <c r="C3003" s="128">
        <f>SUM(C3001:C3002)</f>
        <v>1967760</v>
      </c>
      <c r="D3003" s="128">
        <f t="shared" ref="D3003:O3003" si="673">SUM(D3001:D3002)</f>
        <v>166226.1</v>
      </c>
      <c r="E3003" s="128">
        <f t="shared" si="673"/>
        <v>0</v>
      </c>
      <c r="F3003" s="128">
        <f t="shared" si="673"/>
        <v>1008339.75</v>
      </c>
      <c r="G3003" s="128">
        <f t="shared" si="673"/>
        <v>959420.25</v>
      </c>
      <c r="H3003" s="128">
        <f t="shared" si="673"/>
        <v>51.24</v>
      </c>
      <c r="I3003" s="128">
        <f t="shared" si="673"/>
        <v>0</v>
      </c>
      <c r="J3003" s="128">
        <f t="shared" si="673"/>
        <v>1967760</v>
      </c>
      <c r="K3003" s="128">
        <f t="shared" si="673"/>
        <v>2056309.2</v>
      </c>
      <c r="L3003" s="128">
        <f t="shared" si="673"/>
        <v>2150899.4232000001</v>
      </c>
      <c r="M3003" s="128">
        <f t="shared" si="673"/>
        <v>0</v>
      </c>
      <c r="N3003" s="128">
        <f t="shared" si="673"/>
        <v>0</v>
      </c>
      <c r="O3003" s="128">
        <f t="shared" si="673"/>
        <v>2249840.7966672</v>
      </c>
      <c r="P3003" s="123" t="str">
        <f t="shared" si="663"/>
        <v/>
      </c>
    </row>
    <row r="3004" spans="1:16" s="114" customFormat="1" ht="15" x14ac:dyDescent="0.25">
      <c r="A3004" s="118"/>
      <c r="B3004" s="117"/>
      <c r="C3004" s="128"/>
      <c r="D3004" s="128"/>
      <c r="E3004" s="128"/>
      <c r="F3004" s="128"/>
      <c r="G3004" s="128"/>
      <c r="H3004" s="128"/>
      <c r="I3004" s="129">
        <f>Technical!J69</f>
        <v>0</v>
      </c>
      <c r="J3004" s="129"/>
      <c r="K3004" s="129"/>
      <c r="L3004" s="129"/>
      <c r="M3004" s="186"/>
      <c r="N3004" s="186"/>
      <c r="O3004" s="128"/>
      <c r="P3004" s="123" t="str">
        <f t="shared" si="663"/>
        <v/>
      </c>
    </row>
    <row r="3005" spans="1:16" s="114" customFormat="1" ht="15" x14ac:dyDescent="0.25">
      <c r="A3005" s="118"/>
      <c r="B3005" s="117" t="s">
        <v>305</v>
      </c>
      <c r="C3005" s="128">
        <f>C2986+C2997+C3003</f>
        <v>3178355</v>
      </c>
      <c r="D3005" s="128">
        <f t="shared" ref="D3005:O3005" si="674">D2986+D2997+D3003</f>
        <v>254429.51</v>
      </c>
      <c r="E3005" s="128">
        <f t="shared" si="674"/>
        <v>3651.54</v>
      </c>
      <c r="F3005" s="128">
        <f t="shared" si="674"/>
        <v>1607350.1099999999</v>
      </c>
      <c r="G3005" s="128">
        <f t="shared" si="674"/>
        <v>1571004.8900000001</v>
      </c>
      <c r="H3005" s="128">
        <f t="shared" si="674"/>
        <v>415.6</v>
      </c>
      <c r="I3005" s="128">
        <f t="shared" si="674"/>
        <v>17543</v>
      </c>
      <c r="J3005" s="128">
        <f t="shared" si="674"/>
        <v>3195898</v>
      </c>
      <c r="K3005" s="128">
        <f t="shared" si="674"/>
        <v>3356529.04</v>
      </c>
      <c r="L3005" s="128">
        <f t="shared" si="674"/>
        <v>3535471.2938399999</v>
      </c>
      <c r="M3005" s="128">
        <f t="shared" si="674"/>
        <v>0</v>
      </c>
      <c r="N3005" s="128">
        <f t="shared" si="674"/>
        <v>0</v>
      </c>
      <c r="O3005" s="128">
        <f t="shared" si="674"/>
        <v>3724369.2656166404</v>
      </c>
      <c r="P3005" s="123" t="str">
        <f t="shared" si="663"/>
        <v/>
      </c>
    </row>
    <row r="3006" spans="1:16" s="114" customFormat="1" ht="15" x14ac:dyDescent="0.25">
      <c r="A3006" s="118"/>
      <c r="B3006" s="117"/>
      <c r="C3006" s="128"/>
      <c r="D3006" s="128"/>
      <c r="E3006" s="128"/>
      <c r="F3006" s="128"/>
      <c r="G3006" s="128"/>
      <c r="H3006" s="128"/>
      <c r="I3006" s="129">
        <f>Technical!J71</f>
        <v>0</v>
      </c>
      <c r="J3006" s="129"/>
      <c r="K3006" s="129"/>
      <c r="L3006" s="129"/>
      <c r="M3006" s="186"/>
      <c r="N3006" s="186"/>
      <c r="O3006" s="128"/>
      <c r="P3006" s="123" t="str">
        <f t="shared" si="663"/>
        <v/>
      </c>
    </row>
    <row r="3007" spans="1:16" s="114" customFormat="1" ht="15" x14ac:dyDescent="0.25">
      <c r="A3007" s="118"/>
      <c r="B3007" s="117" t="s">
        <v>306</v>
      </c>
      <c r="C3007" s="128">
        <f>C3005</f>
        <v>3178355</v>
      </c>
      <c r="D3007" s="128">
        <f t="shared" ref="D3007:O3007" si="675">D3005</f>
        <v>254429.51</v>
      </c>
      <c r="E3007" s="128">
        <f t="shared" si="675"/>
        <v>3651.54</v>
      </c>
      <c r="F3007" s="128">
        <f t="shared" si="675"/>
        <v>1607350.1099999999</v>
      </c>
      <c r="G3007" s="128">
        <f t="shared" si="675"/>
        <v>1571004.8900000001</v>
      </c>
      <c r="H3007" s="128">
        <f t="shared" si="675"/>
        <v>415.6</v>
      </c>
      <c r="I3007" s="128">
        <f t="shared" si="675"/>
        <v>17543</v>
      </c>
      <c r="J3007" s="128">
        <f t="shared" si="675"/>
        <v>3195898</v>
      </c>
      <c r="K3007" s="128">
        <f t="shared" si="675"/>
        <v>3356529.04</v>
      </c>
      <c r="L3007" s="128">
        <f t="shared" si="675"/>
        <v>3535471.2938399999</v>
      </c>
      <c r="M3007" s="128">
        <f t="shared" si="675"/>
        <v>0</v>
      </c>
      <c r="N3007" s="128">
        <f t="shared" si="675"/>
        <v>0</v>
      </c>
      <c r="O3007" s="128">
        <f t="shared" si="675"/>
        <v>3724369.2656166404</v>
      </c>
      <c r="P3007" s="123" t="str">
        <f t="shared" si="663"/>
        <v/>
      </c>
    </row>
    <row r="3008" spans="1:16" s="114" customFormat="1" ht="15" x14ac:dyDescent="0.25">
      <c r="A3008" s="118"/>
      <c r="B3008" s="117"/>
      <c r="C3008" s="128"/>
      <c r="D3008" s="128"/>
      <c r="E3008" s="128"/>
      <c r="F3008" s="128"/>
      <c r="G3008" s="128"/>
      <c r="H3008" s="128"/>
      <c r="I3008" s="129">
        <f>Technical!J73</f>
        <v>0</v>
      </c>
      <c r="J3008" s="129"/>
      <c r="K3008" s="129"/>
      <c r="L3008" s="129"/>
      <c r="M3008" s="186"/>
      <c r="N3008" s="186"/>
      <c r="O3008" s="128"/>
      <c r="P3008" s="123" t="str">
        <f t="shared" si="663"/>
        <v/>
      </c>
    </row>
    <row r="3009" spans="1:16" s="114" customFormat="1" ht="15" x14ac:dyDescent="0.25">
      <c r="A3009" s="118"/>
      <c r="B3009" s="117" t="s">
        <v>1170</v>
      </c>
      <c r="C3009" s="128"/>
      <c r="D3009" s="128"/>
      <c r="E3009" s="128"/>
      <c r="F3009" s="128"/>
      <c r="G3009" s="128"/>
      <c r="H3009" s="128"/>
      <c r="I3009" s="129">
        <f>Technical!J74</f>
        <v>0</v>
      </c>
      <c r="J3009" s="129"/>
      <c r="K3009" s="129"/>
      <c r="L3009" s="129"/>
      <c r="M3009" s="186"/>
      <c r="N3009" s="186"/>
      <c r="O3009" s="128"/>
      <c r="P3009" s="123" t="str">
        <f t="shared" si="663"/>
        <v/>
      </c>
    </row>
    <row r="3010" spans="1:16" s="114" customFormat="1" ht="15" x14ac:dyDescent="0.25">
      <c r="A3010" s="118"/>
      <c r="B3010" s="117" t="s">
        <v>96</v>
      </c>
      <c r="C3010" s="128"/>
      <c r="D3010" s="128"/>
      <c r="E3010" s="128"/>
      <c r="F3010" s="128"/>
      <c r="G3010" s="128"/>
      <c r="H3010" s="128"/>
      <c r="I3010" s="129">
        <f>Technical!J75</f>
        <v>0</v>
      </c>
      <c r="J3010" s="129"/>
      <c r="K3010" s="129"/>
      <c r="L3010" s="129"/>
      <c r="M3010" s="186"/>
      <c r="N3010" s="186"/>
      <c r="O3010" s="128"/>
      <c r="P3010" s="123" t="str">
        <f t="shared" si="663"/>
        <v/>
      </c>
    </row>
    <row r="3011" spans="1:16" s="114" customFormat="1" ht="15" x14ac:dyDescent="0.25">
      <c r="A3011" s="118"/>
      <c r="B3011" s="117" t="s">
        <v>97</v>
      </c>
      <c r="C3011" s="128"/>
      <c r="D3011" s="128"/>
      <c r="E3011" s="128"/>
      <c r="F3011" s="128"/>
      <c r="G3011" s="128"/>
      <c r="H3011" s="128"/>
      <c r="I3011" s="129">
        <f>Technical!J76</f>
        <v>0</v>
      </c>
      <c r="J3011" s="129"/>
      <c r="K3011" s="129"/>
      <c r="L3011" s="129"/>
      <c r="M3011" s="186"/>
      <c r="N3011" s="186"/>
      <c r="O3011" s="128"/>
      <c r="P3011" s="123" t="str">
        <f t="shared" si="663"/>
        <v/>
      </c>
    </row>
    <row r="3012" spans="1:16" s="114" customFormat="1" ht="15" x14ac:dyDescent="0.25">
      <c r="A3012" s="118"/>
      <c r="B3012" s="117" t="s">
        <v>148</v>
      </c>
      <c r="C3012" s="128"/>
      <c r="D3012" s="128"/>
      <c r="E3012" s="128"/>
      <c r="F3012" s="128"/>
      <c r="G3012" s="128"/>
      <c r="H3012" s="128"/>
      <c r="I3012" s="129">
        <f>Technical!J77</f>
        <v>0</v>
      </c>
      <c r="J3012" s="129"/>
      <c r="K3012" s="129"/>
      <c r="L3012" s="129"/>
      <c r="M3012" s="186"/>
      <c r="N3012" s="186"/>
      <c r="O3012" s="128"/>
      <c r="P3012" s="123" t="str">
        <f t="shared" si="663"/>
        <v/>
      </c>
    </row>
    <row r="3013" spans="1:16" s="114" customFormat="1" ht="15" x14ac:dyDescent="0.25">
      <c r="A3013" s="118"/>
      <c r="B3013" s="117" t="s">
        <v>149</v>
      </c>
      <c r="C3013" s="128"/>
      <c r="D3013" s="128"/>
      <c r="E3013" s="128"/>
      <c r="F3013" s="128"/>
      <c r="G3013" s="128"/>
      <c r="H3013" s="128"/>
      <c r="I3013" s="129">
        <f>Technical!J78</f>
        <v>0</v>
      </c>
      <c r="J3013" s="129"/>
      <c r="K3013" s="129"/>
      <c r="L3013" s="129"/>
      <c r="M3013" s="186"/>
      <c r="N3013" s="186"/>
      <c r="O3013" s="128"/>
      <c r="P3013" s="123" t="str">
        <f t="shared" si="663"/>
        <v/>
      </c>
    </row>
    <row r="3014" spans="1:16" s="114" customFormat="1" ht="15" x14ac:dyDescent="0.25">
      <c r="A3014" s="118"/>
      <c r="B3014" s="117"/>
      <c r="C3014" s="128"/>
      <c r="D3014" s="128"/>
      <c r="E3014" s="128"/>
      <c r="F3014" s="128"/>
      <c r="G3014" s="128"/>
      <c r="H3014" s="128"/>
      <c r="I3014" s="129">
        <f>Technical!J79</f>
        <v>0</v>
      </c>
      <c r="J3014" s="129"/>
      <c r="K3014" s="129"/>
      <c r="L3014" s="129"/>
      <c r="M3014" s="186"/>
      <c r="N3014" s="186"/>
      <c r="O3014" s="128"/>
      <c r="P3014" s="123" t="str">
        <f t="shared" si="663"/>
        <v/>
      </c>
    </row>
    <row r="3015" spans="1:16" x14ac:dyDescent="0.2">
      <c r="A3015" s="119" t="s">
        <v>1171</v>
      </c>
      <c r="B3015" s="120" t="s">
        <v>150</v>
      </c>
      <c r="C3015" s="129">
        <v>2357397</v>
      </c>
      <c r="D3015" s="129">
        <v>157971.42000000001</v>
      </c>
      <c r="E3015" s="129">
        <v>0</v>
      </c>
      <c r="F3015" s="129">
        <v>887496.17</v>
      </c>
      <c r="G3015" s="129">
        <v>1469900.83</v>
      </c>
      <c r="H3015" s="129">
        <v>37.64</v>
      </c>
      <c r="I3015" s="129">
        <f>Technical!J80</f>
        <v>0</v>
      </c>
      <c r="J3015" s="129">
        <f>Technical!K80</f>
        <v>2357397</v>
      </c>
      <c r="K3015" s="129">
        <f>Technical!L80</f>
        <v>2504734.3125</v>
      </c>
      <c r="L3015" s="129">
        <f>Technical!M80</f>
        <v>2680065.714375</v>
      </c>
      <c r="O3015" s="129">
        <f>Technical!N80</f>
        <v>2867670.3143812502</v>
      </c>
      <c r="P3015" s="123" t="str">
        <f t="shared" ref="P3015:P3078" si="676">MID(A3015,6,3)</f>
        <v>110</v>
      </c>
    </row>
    <row r="3016" spans="1:16" x14ac:dyDescent="0.2">
      <c r="A3016" s="119" t="s">
        <v>1172</v>
      </c>
      <c r="B3016" s="120" t="s">
        <v>151</v>
      </c>
      <c r="C3016" s="129">
        <v>107339</v>
      </c>
      <c r="D3016" s="129">
        <v>63455.64</v>
      </c>
      <c r="E3016" s="129">
        <v>0</v>
      </c>
      <c r="F3016" s="129">
        <v>104221.82</v>
      </c>
      <c r="G3016" s="129">
        <v>3117.18</v>
      </c>
      <c r="H3016" s="129">
        <v>97.09</v>
      </c>
      <c r="I3016" s="129">
        <f>Technical!J81</f>
        <v>-65003.549999999988</v>
      </c>
      <c r="J3016" s="129">
        <f>Technical!K81</f>
        <v>42335.450000000012</v>
      </c>
      <c r="K3016" s="129">
        <f>Technical!L81</f>
        <v>44981.415625000009</v>
      </c>
      <c r="L3016" s="129">
        <f>Technical!M81</f>
        <v>48130.11471875001</v>
      </c>
      <c r="O3016" s="129">
        <f>Technical!N81</f>
        <v>51499.222749062508</v>
      </c>
      <c r="P3016" s="123" t="str">
        <f t="shared" si="676"/>
        <v>110</v>
      </c>
    </row>
    <row r="3017" spans="1:16" x14ac:dyDescent="0.2">
      <c r="A3017" s="119" t="s">
        <v>1173</v>
      </c>
      <c r="B3017" s="120" t="s">
        <v>152</v>
      </c>
      <c r="C3017" s="129">
        <v>14100</v>
      </c>
      <c r="D3017" s="129">
        <v>1175</v>
      </c>
      <c r="E3017" s="129">
        <v>0</v>
      </c>
      <c r="F3017" s="129">
        <v>7050</v>
      </c>
      <c r="G3017" s="129">
        <v>7050</v>
      </c>
      <c r="H3017" s="129">
        <v>50</v>
      </c>
      <c r="I3017" s="129">
        <f>Technical!J82</f>
        <v>0</v>
      </c>
      <c r="J3017" s="129">
        <f>Technical!K82</f>
        <v>14100</v>
      </c>
      <c r="K3017" s="129">
        <f>Technical!L82</f>
        <v>14981.25</v>
      </c>
      <c r="L3017" s="129">
        <f>Technical!M82</f>
        <v>16029.9375</v>
      </c>
      <c r="O3017" s="129">
        <f>Technical!N82</f>
        <v>17152.033125000002</v>
      </c>
      <c r="P3017" s="123" t="str">
        <f t="shared" si="676"/>
        <v>110</v>
      </c>
    </row>
    <row r="3018" spans="1:16" x14ac:dyDescent="0.2">
      <c r="A3018" s="119" t="s">
        <v>1174</v>
      </c>
      <c r="B3018" s="120" t="s">
        <v>153</v>
      </c>
      <c r="C3018" s="129">
        <v>21786</v>
      </c>
      <c r="D3018" s="129">
        <v>0</v>
      </c>
      <c r="E3018" s="129">
        <v>0</v>
      </c>
      <c r="F3018" s="129">
        <v>0</v>
      </c>
      <c r="G3018" s="129">
        <v>21786</v>
      </c>
      <c r="H3018" s="129">
        <v>0</v>
      </c>
      <c r="I3018" s="129">
        <f>Technical!J83</f>
        <v>0</v>
      </c>
      <c r="J3018" s="129">
        <f>Technical!K83</f>
        <v>21786</v>
      </c>
      <c r="K3018" s="129">
        <f>Technical!L83</f>
        <v>23147.625</v>
      </c>
      <c r="L3018" s="129">
        <f>Technical!M83</f>
        <v>24767.958750000002</v>
      </c>
      <c r="O3018" s="129">
        <f>Technical!N83</f>
        <v>26501.715862500001</v>
      </c>
      <c r="P3018" s="123" t="str">
        <f t="shared" si="676"/>
        <v>110</v>
      </c>
    </row>
    <row r="3019" spans="1:16" x14ac:dyDescent="0.2">
      <c r="A3019" s="119" t="s">
        <v>1175</v>
      </c>
      <c r="B3019" s="120" t="s">
        <v>155</v>
      </c>
      <c r="C3019" s="129">
        <v>76225</v>
      </c>
      <c r="D3019" s="129">
        <v>0</v>
      </c>
      <c r="E3019" s="129">
        <v>0</v>
      </c>
      <c r="F3019" s="129">
        <v>0</v>
      </c>
      <c r="G3019" s="129">
        <v>76225</v>
      </c>
      <c r="H3019" s="129">
        <v>0</v>
      </c>
      <c r="I3019" s="129">
        <f>Technical!J84</f>
        <v>0</v>
      </c>
      <c r="J3019" s="129">
        <f>Technical!K84</f>
        <v>76225</v>
      </c>
      <c r="K3019" s="129">
        <f>Technical!L84</f>
        <v>80989.0625</v>
      </c>
      <c r="L3019" s="129">
        <f>Technical!M84</f>
        <v>86658.296875</v>
      </c>
      <c r="O3019" s="129">
        <f>Technical!N84</f>
        <v>92724.377656249999</v>
      </c>
      <c r="P3019" s="123" t="str">
        <f t="shared" si="676"/>
        <v>110</v>
      </c>
    </row>
    <row r="3020" spans="1:16" x14ac:dyDescent="0.2">
      <c r="A3020" s="119" t="s">
        <v>1176</v>
      </c>
      <c r="B3020" s="120" t="s">
        <v>156</v>
      </c>
      <c r="C3020" s="129">
        <v>91702</v>
      </c>
      <c r="D3020" s="129">
        <v>7716.54</v>
      </c>
      <c r="E3020" s="129">
        <v>0</v>
      </c>
      <c r="F3020" s="129">
        <v>46299.24</v>
      </c>
      <c r="G3020" s="129">
        <v>45402.76</v>
      </c>
      <c r="H3020" s="129">
        <v>50.48</v>
      </c>
      <c r="I3020" s="129">
        <f>Technical!J85</f>
        <v>0</v>
      </c>
      <c r="J3020" s="129">
        <f>Technical!K85</f>
        <v>91702</v>
      </c>
      <c r="K3020" s="129">
        <f>Technical!L85</f>
        <v>97433.375</v>
      </c>
      <c r="L3020" s="129">
        <f>Technical!M85</f>
        <v>104253.71124999999</v>
      </c>
      <c r="O3020" s="129">
        <f>Technical!N85</f>
        <v>111551.4710375</v>
      </c>
      <c r="P3020" s="123" t="str">
        <f t="shared" si="676"/>
        <v>110</v>
      </c>
    </row>
    <row r="3021" spans="1:16" x14ac:dyDescent="0.2">
      <c r="A3021" s="119" t="s">
        <v>1177</v>
      </c>
      <c r="B3021" s="120" t="s">
        <v>157</v>
      </c>
      <c r="C3021" s="129">
        <v>98324</v>
      </c>
      <c r="D3021" s="129">
        <v>0</v>
      </c>
      <c r="E3021" s="129">
        <v>0</v>
      </c>
      <c r="F3021" s="129">
        <v>2826.32</v>
      </c>
      <c r="G3021" s="129">
        <v>95497.68</v>
      </c>
      <c r="H3021" s="129">
        <v>2.87</v>
      </c>
      <c r="I3021" s="129">
        <f>Technical!J86</f>
        <v>-60000</v>
      </c>
      <c r="J3021" s="129">
        <f>Technical!K86</f>
        <v>38324</v>
      </c>
      <c r="K3021" s="129">
        <f>Technical!L86</f>
        <v>40719.25</v>
      </c>
      <c r="L3021" s="129">
        <f>Technical!M86</f>
        <v>43569.597500000003</v>
      </c>
      <c r="O3021" s="129">
        <f>Technical!N86</f>
        <v>46619.469325000005</v>
      </c>
      <c r="P3021" s="123" t="str">
        <f t="shared" si="676"/>
        <v>110</v>
      </c>
    </row>
    <row r="3022" spans="1:16" x14ac:dyDescent="0.2">
      <c r="A3022" s="119" t="s">
        <v>1178</v>
      </c>
      <c r="B3022" s="120" t="s">
        <v>159</v>
      </c>
      <c r="C3022" s="129">
        <v>193210</v>
      </c>
      <c r="D3022" s="129">
        <v>0</v>
      </c>
      <c r="E3022" s="129">
        <v>0</v>
      </c>
      <c r="F3022" s="129">
        <v>0</v>
      </c>
      <c r="G3022" s="129">
        <v>193210</v>
      </c>
      <c r="H3022" s="129">
        <v>0</v>
      </c>
      <c r="I3022" s="129">
        <f>Technical!J87</f>
        <v>0</v>
      </c>
      <c r="J3022" s="129">
        <f>Technical!K87</f>
        <v>193210</v>
      </c>
      <c r="K3022" s="129">
        <f>Technical!L87</f>
        <v>205285.625</v>
      </c>
      <c r="L3022" s="129">
        <f>Technical!M87</f>
        <v>219655.61874999999</v>
      </c>
      <c r="O3022" s="129">
        <f>Technical!N87</f>
        <v>235031.5120625</v>
      </c>
      <c r="P3022" s="123" t="str">
        <f t="shared" si="676"/>
        <v>110</v>
      </c>
    </row>
    <row r="3023" spans="1:16" x14ac:dyDescent="0.2">
      <c r="A3023" s="119" t="s">
        <v>1179</v>
      </c>
      <c r="B3023" s="120" t="s">
        <v>162</v>
      </c>
      <c r="C3023" s="129">
        <v>0</v>
      </c>
      <c r="D3023" s="129">
        <v>5080.13</v>
      </c>
      <c r="E3023" s="129">
        <v>0</v>
      </c>
      <c r="F3023" s="129">
        <v>12312.92</v>
      </c>
      <c r="G3023" s="129">
        <v>-12312.92</v>
      </c>
      <c r="H3023" s="129">
        <v>0</v>
      </c>
      <c r="I3023" s="129">
        <f>Technical!J88</f>
        <v>60000</v>
      </c>
      <c r="J3023" s="129">
        <f>Technical!K88</f>
        <v>60000</v>
      </c>
      <c r="K3023" s="129">
        <f>Technical!L88</f>
        <v>63750</v>
      </c>
      <c r="L3023" s="129">
        <f>Technical!M88</f>
        <v>68212.5</v>
      </c>
      <c r="O3023" s="129">
        <f>Technical!N88</f>
        <v>72987.375</v>
      </c>
      <c r="P3023" s="123" t="str">
        <f t="shared" si="676"/>
        <v>110</v>
      </c>
    </row>
    <row r="3024" spans="1:16" x14ac:dyDescent="0.2">
      <c r="A3024" s="119"/>
      <c r="B3024" s="120"/>
      <c r="C3024" s="129"/>
      <c r="D3024" s="129"/>
      <c r="E3024" s="129"/>
      <c r="F3024" s="129"/>
      <c r="G3024" s="129"/>
      <c r="H3024" s="129"/>
      <c r="I3024" s="129">
        <f>Technical!J89</f>
        <v>0</v>
      </c>
      <c r="J3024" s="129"/>
      <c r="K3024" s="129"/>
      <c r="L3024" s="129"/>
      <c r="O3024" s="129"/>
      <c r="P3024" s="123" t="str">
        <f t="shared" si="676"/>
        <v/>
      </c>
    </row>
    <row r="3025" spans="1:16" s="114" customFormat="1" ht="15" x14ac:dyDescent="0.25">
      <c r="A3025" s="118"/>
      <c r="B3025" s="117" t="s">
        <v>165</v>
      </c>
      <c r="C3025" s="128">
        <f>SUM(C3015:C3024)</f>
        <v>2960083</v>
      </c>
      <c r="D3025" s="128">
        <f t="shared" ref="D3025:O3025" si="677">SUM(D3015:D3024)</f>
        <v>235398.73</v>
      </c>
      <c r="E3025" s="128">
        <f t="shared" si="677"/>
        <v>0</v>
      </c>
      <c r="F3025" s="128">
        <f t="shared" si="677"/>
        <v>1060206.47</v>
      </c>
      <c r="G3025" s="128">
        <f t="shared" si="677"/>
        <v>1899876.53</v>
      </c>
      <c r="H3025" s="128">
        <f t="shared" si="677"/>
        <v>238.08</v>
      </c>
      <c r="I3025" s="128">
        <f t="shared" si="677"/>
        <v>-65003.549999999988</v>
      </c>
      <c r="J3025" s="128">
        <f t="shared" si="677"/>
        <v>2895079.45</v>
      </c>
      <c r="K3025" s="128">
        <f t="shared" si="677"/>
        <v>3076021.9156249999</v>
      </c>
      <c r="L3025" s="128">
        <f t="shared" si="677"/>
        <v>3291343.4497187505</v>
      </c>
      <c r="M3025" s="128">
        <f t="shared" si="677"/>
        <v>0</v>
      </c>
      <c r="N3025" s="128">
        <f t="shared" si="677"/>
        <v>0</v>
      </c>
      <c r="O3025" s="128">
        <f t="shared" si="677"/>
        <v>3521737.4911990622</v>
      </c>
      <c r="P3025" s="123" t="str">
        <f t="shared" si="676"/>
        <v/>
      </c>
    </row>
    <row r="3026" spans="1:16" s="114" customFormat="1" ht="15" x14ac:dyDescent="0.25">
      <c r="A3026" s="118"/>
      <c r="B3026" s="117"/>
      <c r="C3026" s="128"/>
      <c r="D3026" s="128"/>
      <c r="E3026" s="128"/>
      <c r="F3026" s="128"/>
      <c r="G3026" s="128"/>
      <c r="H3026" s="128"/>
      <c r="I3026" s="129">
        <f>Technical!J91</f>
        <v>0</v>
      </c>
      <c r="J3026" s="129"/>
      <c r="K3026" s="129"/>
      <c r="L3026" s="129"/>
      <c r="M3026" s="186"/>
      <c r="N3026" s="186"/>
      <c r="O3026" s="128"/>
      <c r="P3026" s="123" t="str">
        <f t="shared" si="676"/>
        <v/>
      </c>
    </row>
    <row r="3027" spans="1:16" s="114" customFormat="1" ht="15" x14ac:dyDescent="0.25">
      <c r="A3027" s="118"/>
      <c r="B3027" s="117" t="s">
        <v>166</v>
      </c>
      <c r="C3027" s="128"/>
      <c r="D3027" s="128"/>
      <c r="E3027" s="128"/>
      <c r="F3027" s="128"/>
      <c r="G3027" s="128"/>
      <c r="H3027" s="128"/>
      <c r="I3027" s="129">
        <f>Technical!J92</f>
        <v>0</v>
      </c>
      <c r="J3027" s="129"/>
      <c r="K3027" s="129"/>
      <c r="L3027" s="129"/>
      <c r="M3027" s="186"/>
      <c r="N3027" s="186"/>
      <c r="O3027" s="128"/>
      <c r="P3027" s="123" t="str">
        <f t="shared" si="676"/>
        <v/>
      </c>
    </row>
    <row r="3028" spans="1:16" x14ac:dyDescent="0.2">
      <c r="A3028" s="119"/>
      <c r="B3028" s="120"/>
      <c r="C3028" s="129"/>
      <c r="D3028" s="129"/>
      <c r="E3028" s="129"/>
      <c r="F3028" s="129"/>
      <c r="G3028" s="129"/>
      <c r="H3028" s="129"/>
      <c r="I3028" s="129">
        <f>Technical!J93</f>
        <v>0</v>
      </c>
      <c r="J3028" s="129"/>
      <c r="K3028" s="129"/>
      <c r="L3028" s="129"/>
      <c r="O3028" s="129"/>
      <c r="P3028" s="123" t="str">
        <f t="shared" si="676"/>
        <v/>
      </c>
    </row>
    <row r="3029" spans="1:16" x14ac:dyDescent="0.2">
      <c r="A3029" s="119" t="s">
        <v>1180</v>
      </c>
      <c r="B3029" s="120" t="s">
        <v>167</v>
      </c>
      <c r="C3029" s="129">
        <v>1124</v>
      </c>
      <c r="D3029" s="129">
        <v>74.56</v>
      </c>
      <c r="E3029" s="129">
        <v>0</v>
      </c>
      <c r="F3029" s="129">
        <v>400.76</v>
      </c>
      <c r="G3029" s="129">
        <v>723.24</v>
      </c>
      <c r="H3029" s="129">
        <v>35.65</v>
      </c>
      <c r="I3029" s="129">
        <f>Technical!J94</f>
        <v>0</v>
      </c>
      <c r="J3029" s="129">
        <f>Technical!K94</f>
        <v>1124</v>
      </c>
      <c r="K3029" s="129">
        <f>Technical!L94</f>
        <v>1194.25</v>
      </c>
      <c r="L3029" s="129">
        <f>Technical!M94</f>
        <v>1277.8475000000001</v>
      </c>
      <c r="O3029" s="129">
        <f>Technical!N94</f>
        <v>1367.2968250000001</v>
      </c>
      <c r="P3029" s="123" t="str">
        <f t="shared" si="676"/>
        <v>130</v>
      </c>
    </row>
    <row r="3030" spans="1:16" x14ac:dyDescent="0.2">
      <c r="A3030" s="119" t="s">
        <v>1181</v>
      </c>
      <c r="B3030" s="120" t="s">
        <v>168</v>
      </c>
      <c r="C3030" s="129">
        <v>100786</v>
      </c>
      <c r="D3030" s="129">
        <v>6894</v>
      </c>
      <c r="E3030" s="129">
        <v>0</v>
      </c>
      <c r="F3030" s="129">
        <v>43106.400000000001</v>
      </c>
      <c r="G3030" s="129">
        <v>57679.6</v>
      </c>
      <c r="H3030" s="129">
        <v>42.77</v>
      </c>
      <c r="I3030" s="129">
        <f>Technical!J95</f>
        <v>0</v>
      </c>
      <c r="J3030" s="129">
        <f>Technical!K95</f>
        <v>100786</v>
      </c>
      <c r="K3030" s="129">
        <f>Technical!L95</f>
        <v>107085.125</v>
      </c>
      <c r="L3030" s="129">
        <f>Technical!M95</f>
        <v>114581.08375000001</v>
      </c>
      <c r="O3030" s="129">
        <f>Technical!N95</f>
        <v>122601.7596125</v>
      </c>
      <c r="P3030" s="123" t="str">
        <f t="shared" si="676"/>
        <v>130</v>
      </c>
    </row>
    <row r="3031" spans="1:16" x14ac:dyDescent="0.2">
      <c r="A3031" s="119" t="s">
        <v>1182</v>
      </c>
      <c r="B3031" s="120" t="s">
        <v>169</v>
      </c>
      <c r="C3031" s="129">
        <v>510074</v>
      </c>
      <c r="D3031" s="129">
        <v>30746.82</v>
      </c>
      <c r="E3031" s="129">
        <v>0</v>
      </c>
      <c r="F3031" s="129">
        <v>173621.12</v>
      </c>
      <c r="G3031" s="129">
        <v>336452.88</v>
      </c>
      <c r="H3031" s="129">
        <v>34.03</v>
      </c>
      <c r="I3031" s="129">
        <f>Technical!J96</f>
        <v>0</v>
      </c>
      <c r="J3031" s="129">
        <f>Technical!K96</f>
        <v>510074</v>
      </c>
      <c r="K3031" s="129">
        <f>Technical!L96</f>
        <v>541953.625</v>
      </c>
      <c r="L3031" s="129">
        <f>Technical!M96</f>
        <v>579890.37875000003</v>
      </c>
      <c r="O3031" s="129">
        <f>Technical!N96</f>
        <v>620482.70526250009</v>
      </c>
      <c r="P3031" s="123" t="str">
        <f t="shared" si="676"/>
        <v>130</v>
      </c>
    </row>
    <row r="3032" spans="1:16" x14ac:dyDescent="0.2">
      <c r="A3032" s="119" t="s">
        <v>1183</v>
      </c>
      <c r="B3032" s="120" t="s">
        <v>170</v>
      </c>
      <c r="C3032" s="129">
        <v>19635</v>
      </c>
      <c r="D3032" s="129">
        <v>1158.03</v>
      </c>
      <c r="E3032" s="129">
        <v>0</v>
      </c>
      <c r="F3032" s="129">
        <v>6363.23</v>
      </c>
      <c r="G3032" s="129">
        <v>13271.77</v>
      </c>
      <c r="H3032" s="129">
        <v>32.4</v>
      </c>
      <c r="I3032" s="129">
        <f>Technical!J97</f>
        <v>0</v>
      </c>
      <c r="J3032" s="129">
        <f>Technical!K97</f>
        <v>19635</v>
      </c>
      <c r="K3032" s="129">
        <f>Technical!L97</f>
        <v>20862.1875</v>
      </c>
      <c r="L3032" s="129">
        <f>Technical!M97</f>
        <v>22322.540625000001</v>
      </c>
      <c r="O3032" s="129">
        <f>Technical!N97</f>
        <v>23885.118468750003</v>
      </c>
      <c r="P3032" s="123" t="str">
        <f t="shared" si="676"/>
        <v>130</v>
      </c>
    </row>
    <row r="3033" spans="1:16" x14ac:dyDescent="0.2">
      <c r="A3033" s="119"/>
      <c r="B3033" s="120"/>
      <c r="C3033" s="129"/>
      <c r="D3033" s="129"/>
      <c r="E3033" s="129"/>
      <c r="F3033" s="129"/>
      <c r="G3033" s="129"/>
      <c r="H3033" s="129"/>
      <c r="I3033" s="129">
        <f>Technical!J98</f>
        <v>0</v>
      </c>
      <c r="J3033" s="129"/>
      <c r="K3033" s="129"/>
      <c r="L3033" s="129"/>
      <c r="O3033" s="129"/>
      <c r="P3033" s="123" t="str">
        <f t="shared" si="676"/>
        <v/>
      </c>
    </row>
    <row r="3034" spans="1:16" s="114" customFormat="1" ht="15" x14ac:dyDescent="0.25">
      <c r="A3034" s="118"/>
      <c r="B3034" s="117" t="s">
        <v>171</v>
      </c>
      <c r="C3034" s="128">
        <f>SUM(C3029:C3033)</f>
        <v>631619</v>
      </c>
      <c r="D3034" s="128">
        <f t="shared" ref="D3034:O3034" si="678">SUM(D3029:D3033)</f>
        <v>38873.409999999996</v>
      </c>
      <c r="E3034" s="128">
        <f t="shared" si="678"/>
        <v>0</v>
      </c>
      <c r="F3034" s="128">
        <f t="shared" si="678"/>
        <v>223491.51</v>
      </c>
      <c r="G3034" s="128">
        <f t="shared" si="678"/>
        <v>408127.49</v>
      </c>
      <c r="H3034" s="128">
        <f t="shared" si="678"/>
        <v>144.85</v>
      </c>
      <c r="I3034" s="128">
        <f t="shared" si="678"/>
        <v>0</v>
      </c>
      <c r="J3034" s="128">
        <f t="shared" si="678"/>
        <v>631619</v>
      </c>
      <c r="K3034" s="128">
        <f t="shared" si="678"/>
        <v>671095.1875</v>
      </c>
      <c r="L3034" s="128">
        <f t="shared" si="678"/>
        <v>718071.85062500008</v>
      </c>
      <c r="M3034" s="128">
        <f t="shared" si="678"/>
        <v>0</v>
      </c>
      <c r="N3034" s="128">
        <f t="shared" si="678"/>
        <v>0</v>
      </c>
      <c r="O3034" s="128">
        <f t="shared" si="678"/>
        <v>768336.88016875018</v>
      </c>
      <c r="P3034" s="123" t="str">
        <f t="shared" si="676"/>
        <v/>
      </c>
    </row>
    <row r="3035" spans="1:16" s="114" customFormat="1" ht="15" x14ac:dyDescent="0.25">
      <c r="A3035" s="118"/>
      <c r="B3035" s="117"/>
      <c r="C3035" s="128"/>
      <c r="D3035" s="128"/>
      <c r="E3035" s="128"/>
      <c r="F3035" s="128"/>
      <c r="G3035" s="128"/>
      <c r="H3035" s="128"/>
      <c r="I3035" s="129">
        <f>Technical!J100</f>
        <v>0</v>
      </c>
      <c r="J3035" s="129"/>
      <c r="K3035" s="129"/>
      <c r="L3035" s="129"/>
      <c r="M3035" s="186"/>
      <c r="N3035" s="186"/>
      <c r="O3035" s="128"/>
      <c r="P3035" s="123" t="str">
        <f t="shared" si="676"/>
        <v/>
      </c>
    </row>
    <row r="3036" spans="1:16" s="114" customFormat="1" ht="15" x14ac:dyDescent="0.25">
      <c r="A3036" s="118"/>
      <c r="B3036" s="117" t="s">
        <v>172</v>
      </c>
      <c r="C3036" s="128"/>
      <c r="D3036" s="128"/>
      <c r="E3036" s="128"/>
      <c r="F3036" s="128"/>
      <c r="G3036" s="128"/>
      <c r="H3036" s="128"/>
      <c r="I3036" s="129">
        <f>Technical!J101</f>
        <v>0</v>
      </c>
      <c r="J3036" s="129"/>
      <c r="K3036" s="129"/>
      <c r="L3036" s="129"/>
      <c r="M3036" s="186"/>
      <c r="N3036" s="186"/>
      <c r="O3036" s="128"/>
      <c r="P3036" s="123" t="str">
        <f t="shared" si="676"/>
        <v/>
      </c>
    </row>
    <row r="3037" spans="1:16" x14ac:dyDescent="0.2">
      <c r="A3037" s="119"/>
      <c r="B3037" s="120"/>
      <c r="C3037" s="129"/>
      <c r="D3037" s="129"/>
      <c r="E3037" s="129"/>
      <c r="F3037" s="129"/>
      <c r="G3037" s="129"/>
      <c r="H3037" s="129"/>
      <c r="I3037" s="129">
        <f>Technical!J102</f>
        <v>0</v>
      </c>
      <c r="J3037" s="129"/>
      <c r="K3037" s="129"/>
      <c r="L3037" s="129"/>
      <c r="O3037" s="129"/>
      <c r="P3037" s="123" t="str">
        <f t="shared" si="676"/>
        <v/>
      </c>
    </row>
    <row r="3038" spans="1:16" x14ac:dyDescent="0.2">
      <c r="A3038" s="119" t="s">
        <v>1184</v>
      </c>
      <c r="B3038" s="120" t="s">
        <v>173</v>
      </c>
      <c r="C3038" s="129">
        <v>13532</v>
      </c>
      <c r="D3038" s="129">
        <v>0</v>
      </c>
      <c r="E3038" s="129">
        <v>0</v>
      </c>
      <c r="F3038" s="129">
        <v>0</v>
      </c>
      <c r="G3038" s="129">
        <v>13532</v>
      </c>
      <c r="H3038" s="129">
        <v>0</v>
      </c>
      <c r="I3038" s="129">
        <f>Technical!J103</f>
        <v>0</v>
      </c>
      <c r="J3038" s="129">
        <f>Technical!K103</f>
        <v>13532</v>
      </c>
      <c r="K3038" s="129">
        <f>Technical!L103</f>
        <v>14377.75</v>
      </c>
      <c r="L3038" s="129">
        <f>Technical!M103</f>
        <v>15384.192499999999</v>
      </c>
      <c r="O3038" s="129">
        <f>Technical!N103</f>
        <v>16461.085974999998</v>
      </c>
      <c r="P3038" s="123" t="str">
        <f t="shared" si="676"/>
        <v>140</v>
      </c>
    </row>
    <row r="3039" spans="1:16" x14ac:dyDescent="0.2">
      <c r="A3039" s="119" t="s">
        <v>1185</v>
      </c>
      <c r="B3039" s="120" t="s">
        <v>174</v>
      </c>
      <c r="C3039" s="129">
        <v>8126</v>
      </c>
      <c r="D3039" s="129">
        <v>0</v>
      </c>
      <c r="E3039" s="129">
        <v>0</v>
      </c>
      <c r="F3039" s="129">
        <v>0</v>
      </c>
      <c r="G3039" s="129">
        <v>8126</v>
      </c>
      <c r="H3039" s="129">
        <v>0</v>
      </c>
      <c r="I3039" s="129">
        <f>Technical!J104</f>
        <v>0</v>
      </c>
      <c r="J3039" s="129">
        <f>Technical!K104</f>
        <v>8126</v>
      </c>
      <c r="K3039" s="129">
        <f>Technical!L104</f>
        <v>8633.875</v>
      </c>
      <c r="L3039" s="129">
        <f>Technical!M104</f>
        <v>9238.2462500000001</v>
      </c>
      <c r="O3039" s="129">
        <f>Technical!N104</f>
        <v>9884.9234875000002</v>
      </c>
      <c r="P3039" s="123" t="str">
        <f t="shared" si="676"/>
        <v>140</v>
      </c>
    </row>
    <row r="3040" spans="1:16" x14ac:dyDescent="0.2">
      <c r="A3040" s="119" t="s">
        <v>1186</v>
      </c>
      <c r="B3040" s="120" t="s">
        <v>175</v>
      </c>
      <c r="C3040" s="129">
        <v>23049</v>
      </c>
      <c r="D3040" s="129">
        <v>0</v>
      </c>
      <c r="E3040" s="129">
        <v>0</v>
      </c>
      <c r="F3040" s="129">
        <v>0</v>
      </c>
      <c r="G3040" s="129">
        <v>23049</v>
      </c>
      <c r="H3040" s="129">
        <v>0</v>
      </c>
      <c r="I3040" s="129">
        <f>Technical!J105</f>
        <v>0</v>
      </c>
      <c r="J3040" s="129">
        <f>Technical!K105</f>
        <v>23049</v>
      </c>
      <c r="K3040" s="129">
        <f>Technical!L105</f>
        <v>24489.5625</v>
      </c>
      <c r="L3040" s="129">
        <f>Technical!M105</f>
        <v>26203.831875</v>
      </c>
      <c r="O3040" s="129">
        <f>Technical!N105</f>
        <v>28038.10010625</v>
      </c>
      <c r="P3040" s="123" t="str">
        <f t="shared" si="676"/>
        <v>142</v>
      </c>
    </row>
    <row r="3041" spans="1:16" x14ac:dyDescent="0.2">
      <c r="A3041" s="119"/>
      <c r="B3041" s="120"/>
      <c r="C3041" s="129"/>
      <c r="D3041" s="129"/>
      <c r="E3041" s="129"/>
      <c r="F3041" s="129"/>
      <c r="G3041" s="129"/>
      <c r="H3041" s="129"/>
      <c r="I3041" s="129">
        <f>Technical!J106</f>
        <v>0</v>
      </c>
      <c r="J3041" s="129"/>
      <c r="K3041" s="129"/>
      <c r="L3041" s="129"/>
      <c r="O3041" s="129"/>
      <c r="P3041" s="123" t="str">
        <f t="shared" si="676"/>
        <v/>
      </c>
    </row>
    <row r="3042" spans="1:16" s="114" customFormat="1" ht="15" x14ac:dyDescent="0.25">
      <c r="A3042" s="118"/>
      <c r="B3042" s="117" t="s">
        <v>176</v>
      </c>
      <c r="C3042" s="128">
        <f>SUM(C3038:C3041)</f>
        <v>44707</v>
      </c>
      <c r="D3042" s="128">
        <f t="shared" ref="D3042:O3042" si="679">SUM(D3038:D3041)</f>
        <v>0</v>
      </c>
      <c r="E3042" s="128">
        <f t="shared" si="679"/>
        <v>0</v>
      </c>
      <c r="F3042" s="128">
        <f t="shared" si="679"/>
        <v>0</v>
      </c>
      <c r="G3042" s="128">
        <f t="shared" si="679"/>
        <v>44707</v>
      </c>
      <c r="H3042" s="128">
        <f t="shared" si="679"/>
        <v>0</v>
      </c>
      <c r="I3042" s="128">
        <f t="shared" si="679"/>
        <v>0</v>
      </c>
      <c r="J3042" s="128">
        <f t="shared" si="679"/>
        <v>44707</v>
      </c>
      <c r="K3042" s="128">
        <f t="shared" si="679"/>
        <v>47501.1875</v>
      </c>
      <c r="L3042" s="128">
        <f t="shared" si="679"/>
        <v>50826.270625000005</v>
      </c>
      <c r="M3042" s="128">
        <f t="shared" si="679"/>
        <v>0</v>
      </c>
      <c r="N3042" s="128">
        <f t="shared" si="679"/>
        <v>0</v>
      </c>
      <c r="O3042" s="128">
        <f t="shared" si="679"/>
        <v>54384.109568749998</v>
      </c>
      <c r="P3042" s="123" t="str">
        <f t="shared" si="676"/>
        <v/>
      </c>
    </row>
    <row r="3043" spans="1:16" s="114" customFormat="1" ht="15" x14ac:dyDescent="0.25">
      <c r="A3043" s="118"/>
      <c r="B3043" s="117"/>
      <c r="C3043" s="128"/>
      <c r="D3043" s="128"/>
      <c r="E3043" s="128"/>
      <c r="F3043" s="128"/>
      <c r="G3043" s="128"/>
      <c r="H3043" s="128"/>
      <c r="I3043" s="129">
        <f>Technical!J108</f>
        <v>0</v>
      </c>
      <c r="J3043" s="129"/>
      <c r="K3043" s="129"/>
      <c r="L3043" s="129"/>
      <c r="M3043" s="186"/>
      <c r="N3043" s="186"/>
      <c r="O3043" s="128"/>
      <c r="P3043" s="123" t="str">
        <f t="shared" si="676"/>
        <v/>
      </c>
    </row>
    <row r="3044" spans="1:16" s="114" customFormat="1" ht="15" x14ac:dyDescent="0.25">
      <c r="A3044" s="118"/>
      <c r="B3044" s="117" t="s">
        <v>177</v>
      </c>
      <c r="C3044" s="128">
        <f>C3025+C3034+C3042</f>
        <v>3636409</v>
      </c>
      <c r="D3044" s="128">
        <f t="shared" ref="D3044:O3044" si="680">D3025+D3034+D3042</f>
        <v>274272.14</v>
      </c>
      <c r="E3044" s="128">
        <f t="shared" si="680"/>
        <v>0</v>
      </c>
      <c r="F3044" s="128">
        <f t="shared" si="680"/>
        <v>1283697.98</v>
      </c>
      <c r="G3044" s="128">
        <f t="shared" si="680"/>
        <v>2352711.02</v>
      </c>
      <c r="H3044" s="128">
        <f t="shared" si="680"/>
        <v>382.93</v>
      </c>
      <c r="I3044" s="128">
        <f t="shared" si="680"/>
        <v>-65003.549999999988</v>
      </c>
      <c r="J3044" s="128">
        <f t="shared" si="680"/>
        <v>3571405.45</v>
      </c>
      <c r="K3044" s="128">
        <f t="shared" si="680"/>
        <v>3794618.2906249999</v>
      </c>
      <c r="L3044" s="128">
        <f t="shared" si="680"/>
        <v>4060241.5709687504</v>
      </c>
      <c r="M3044" s="128">
        <f t="shared" si="680"/>
        <v>0</v>
      </c>
      <c r="N3044" s="128">
        <f t="shared" si="680"/>
        <v>0</v>
      </c>
      <c r="O3044" s="128">
        <f t="shared" si="680"/>
        <v>4344458.4809365617</v>
      </c>
      <c r="P3044" s="123" t="str">
        <f t="shared" si="676"/>
        <v/>
      </c>
    </row>
    <row r="3045" spans="1:16" s="114" customFormat="1" ht="15" x14ac:dyDescent="0.25">
      <c r="A3045" s="118"/>
      <c r="B3045" s="117"/>
      <c r="C3045" s="128"/>
      <c r="D3045" s="128"/>
      <c r="E3045" s="128"/>
      <c r="F3045" s="128"/>
      <c r="G3045" s="128"/>
      <c r="H3045" s="128"/>
      <c r="I3045" s="129">
        <f>Technical!J110</f>
        <v>0</v>
      </c>
      <c r="J3045" s="129"/>
      <c r="K3045" s="129"/>
      <c r="L3045" s="129"/>
      <c r="M3045" s="186"/>
      <c r="N3045" s="186"/>
      <c r="O3045" s="128"/>
      <c r="P3045" s="123" t="str">
        <f t="shared" si="676"/>
        <v/>
      </c>
    </row>
    <row r="3046" spans="1:16" s="114" customFormat="1" ht="15" x14ac:dyDescent="0.25">
      <c r="A3046" s="118"/>
      <c r="B3046" s="117" t="s">
        <v>178</v>
      </c>
      <c r="C3046" s="128">
        <f>C3044</f>
        <v>3636409</v>
      </c>
      <c r="D3046" s="128">
        <f t="shared" ref="D3046:O3046" si="681">D3044</f>
        <v>274272.14</v>
      </c>
      <c r="E3046" s="128">
        <f t="shared" si="681"/>
        <v>0</v>
      </c>
      <c r="F3046" s="128">
        <f t="shared" si="681"/>
        <v>1283697.98</v>
      </c>
      <c r="G3046" s="128">
        <f t="shared" si="681"/>
        <v>2352711.02</v>
      </c>
      <c r="H3046" s="128">
        <f t="shared" si="681"/>
        <v>382.93</v>
      </c>
      <c r="I3046" s="128">
        <f t="shared" si="681"/>
        <v>-65003.549999999988</v>
      </c>
      <c r="J3046" s="128">
        <f t="shared" si="681"/>
        <v>3571405.45</v>
      </c>
      <c r="K3046" s="128">
        <f t="shared" si="681"/>
        <v>3794618.2906249999</v>
      </c>
      <c r="L3046" s="128">
        <f t="shared" si="681"/>
        <v>4060241.5709687504</v>
      </c>
      <c r="M3046" s="128">
        <f t="shared" si="681"/>
        <v>0</v>
      </c>
      <c r="N3046" s="128">
        <f t="shared" si="681"/>
        <v>0</v>
      </c>
      <c r="O3046" s="128">
        <f t="shared" si="681"/>
        <v>4344458.4809365617</v>
      </c>
      <c r="P3046" s="123" t="str">
        <f t="shared" si="676"/>
        <v/>
      </c>
    </row>
    <row r="3047" spans="1:16" s="114" customFormat="1" ht="15" x14ac:dyDescent="0.25">
      <c r="A3047" s="118"/>
      <c r="B3047" s="117"/>
      <c r="C3047" s="128"/>
      <c r="D3047" s="128"/>
      <c r="E3047" s="128"/>
      <c r="F3047" s="128"/>
      <c r="G3047" s="128"/>
      <c r="H3047" s="128"/>
      <c r="I3047" s="129">
        <f>Technical!J112</f>
        <v>0</v>
      </c>
      <c r="J3047" s="129"/>
      <c r="K3047" s="129"/>
      <c r="L3047" s="129"/>
      <c r="M3047" s="186"/>
      <c r="N3047" s="186"/>
      <c r="O3047" s="128"/>
      <c r="P3047" s="123" t="str">
        <f t="shared" si="676"/>
        <v/>
      </c>
    </row>
    <row r="3048" spans="1:16" s="114" customFormat="1" ht="15" x14ac:dyDescent="0.25">
      <c r="A3048" s="118"/>
      <c r="B3048" s="117" t="s">
        <v>208</v>
      </c>
      <c r="C3048" s="128"/>
      <c r="D3048" s="128"/>
      <c r="E3048" s="128"/>
      <c r="F3048" s="128"/>
      <c r="G3048" s="128"/>
      <c r="H3048" s="128"/>
      <c r="I3048" s="129">
        <f>Technical!J113</f>
        <v>0</v>
      </c>
      <c r="J3048" s="129"/>
      <c r="K3048" s="129"/>
      <c r="L3048" s="129"/>
      <c r="M3048" s="186"/>
      <c r="N3048" s="186"/>
      <c r="O3048" s="128"/>
      <c r="P3048" s="123" t="str">
        <f t="shared" si="676"/>
        <v/>
      </c>
    </row>
    <row r="3049" spans="1:16" s="114" customFormat="1" ht="15" x14ac:dyDescent="0.25">
      <c r="A3049" s="118"/>
      <c r="B3049" s="117"/>
      <c r="C3049" s="128"/>
      <c r="D3049" s="128"/>
      <c r="E3049" s="128"/>
      <c r="F3049" s="128"/>
      <c r="G3049" s="128"/>
      <c r="H3049" s="128"/>
      <c r="I3049" s="129">
        <f>Technical!J114</f>
        <v>0</v>
      </c>
      <c r="J3049" s="129"/>
      <c r="K3049" s="129"/>
      <c r="L3049" s="129"/>
      <c r="M3049" s="186"/>
      <c r="N3049" s="186"/>
      <c r="O3049" s="128"/>
      <c r="P3049" s="123" t="str">
        <f t="shared" si="676"/>
        <v/>
      </c>
    </row>
    <row r="3050" spans="1:16" s="114" customFormat="1" ht="15" x14ac:dyDescent="0.25">
      <c r="A3050" s="118"/>
      <c r="B3050" s="117" t="s">
        <v>228</v>
      </c>
      <c r="C3050" s="128"/>
      <c r="D3050" s="128"/>
      <c r="E3050" s="128"/>
      <c r="F3050" s="128"/>
      <c r="G3050" s="128"/>
      <c r="H3050" s="128"/>
      <c r="I3050" s="129">
        <f>Technical!J115</f>
        <v>0</v>
      </c>
      <c r="J3050" s="129"/>
      <c r="K3050" s="129"/>
      <c r="L3050" s="129"/>
      <c r="M3050" s="186"/>
      <c r="N3050" s="186"/>
      <c r="O3050" s="128"/>
      <c r="P3050" s="123" t="str">
        <f t="shared" si="676"/>
        <v/>
      </c>
    </row>
    <row r="3051" spans="1:16" s="114" customFormat="1" ht="15" x14ac:dyDescent="0.25">
      <c r="A3051" s="118"/>
      <c r="B3051" s="117"/>
      <c r="C3051" s="128"/>
      <c r="D3051" s="128"/>
      <c r="E3051" s="128"/>
      <c r="F3051" s="128"/>
      <c r="G3051" s="128"/>
      <c r="H3051" s="128"/>
      <c r="I3051" s="129">
        <f>Technical!J116</f>
        <v>0</v>
      </c>
      <c r="J3051" s="129"/>
      <c r="K3051" s="129"/>
      <c r="L3051" s="129"/>
      <c r="M3051" s="186"/>
      <c r="N3051" s="186"/>
      <c r="O3051" s="128"/>
      <c r="P3051" s="123" t="str">
        <f t="shared" si="676"/>
        <v/>
      </c>
    </row>
    <row r="3052" spans="1:16" x14ac:dyDescent="0.2">
      <c r="A3052" s="119" t="s">
        <v>1187</v>
      </c>
      <c r="B3052" s="120" t="s">
        <v>235</v>
      </c>
      <c r="C3052" s="129">
        <v>2700000</v>
      </c>
      <c r="D3052" s="129">
        <v>240960.1</v>
      </c>
      <c r="E3052" s="129">
        <v>404051.92</v>
      </c>
      <c r="F3052" s="129">
        <v>993600.88</v>
      </c>
      <c r="G3052" s="129">
        <v>1706399.12</v>
      </c>
      <c r="H3052" s="129">
        <v>36.799999999999997</v>
      </c>
      <c r="I3052" s="129">
        <f>Technical!J117</f>
        <v>0</v>
      </c>
      <c r="J3052" s="129">
        <f>Technical!K117</f>
        <v>2700000</v>
      </c>
      <c r="K3052" s="129">
        <f>Technical!L117</f>
        <v>2000000</v>
      </c>
      <c r="L3052" s="129">
        <f>Technical!M117</f>
        <v>2092000</v>
      </c>
      <c r="O3052" s="129">
        <f>Technical!N117</f>
        <v>2188232</v>
      </c>
      <c r="P3052" s="123" t="str">
        <f t="shared" si="676"/>
        <v>283</v>
      </c>
    </row>
    <row r="3053" spans="1:16" x14ac:dyDescent="0.2">
      <c r="A3053" s="119" t="s">
        <v>1188</v>
      </c>
      <c r="B3053" s="120" t="s">
        <v>235</v>
      </c>
      <c r="C3053" s="129">
        <v>900000</v>
      </c>
      <c r="D3053" s="129">
        <v>27500</v>
      </c>
      <c r="E3053" s="129">
        <v>12805.46</v>
      </c>
      <c r="F3053" s="129">
        <v>725508.67</v>
      </c>
      <c r="G3053" s="129">
        <v>174491.33</v>
      </c>
      <c r="H3053" s="129">
        <v>80.61</v>
      </c>
      <c r="I3053" s="129">
        <f>Technical!J119</f>
        <v>0</v>
      </c>
      <c r="J3053" s="129">
        <f>Technical!K119</f>
        <v>900000</v>
      </c>
      <c r="K3053" s="129">
        <f>Technical!L119</f>
        <v>0</v>
      </c>
      <c r="L3053" s="129">
        <f>Technical!M119</f>
        <v>0</v>
      </c>
      <c r="O3053" s="129">
        <f>Technical!N119</f>
        <v>0</v>
      </c>
      <c r="P3053" s="123" t="str">
        <f t="shared" si="676"/>
        <v>283</v>
      </c>
    </row>
    <row r="3054" spans="1:16" x14ac:dyDescent="0.2">
      <c r="A3054" s="119" t="s">
        <v>1189</v>
      </c>
      <c r="B3054" s="120" t="s">
        <v>236</v>
      </c>
      <c r="C3054" s="129">
        <v>1800000</v>
      </c>
      <c r="D3054" s="129">
        <v>0</v>
      </c>
      <c r="E3054" s="129">
        <v>161800</v>
      </c>
      <c r="F3054" s="129">
        <v>454843.78</v>
      </c>
      <c r="G3054" s="129">
        <v>1345156.22</v>
      </c>
      <c r="H3054" s="129">
        <v>25.26</v>
      </c>
      <c r="I3054" s="129">
        <f>Technical!J120</f>
        <v>0</v>
      </c>
      <c r="J3054" s="129">
        <f>Technical!K120</f>
        <v>1800000</v>
      </c>
      <c r="K3054" s="129">
        <f>Technical!L120</f>
        <v>1881000</v>
      </c>
      <c r="L3054" s="129">
        <f>Technical!M120</f>
        <v>1967526</v>
      </c>
      <c r="O3054" s="129">
        <f>Technical!N120</f>
        <v>2058032.196</v>
      </c>
      <c r="P3054" s="123" t="str">
        <f t="shared" si="676"/>
        <v>283</v>
      </c>
    </row>
    <row r="3055" spans="1:16" x14ac:dyDescent="0.2">
      <c r="A3055" s="119"/>
      <c r="B3055" s="120"/>
      <c r="C3055" s="129"/>
      <c r="D3055" s="129"/>
      <c r="E3055" s="129"/>
      <c r="F3055" s="129"/>
      <c r="G3055" s="129"/>
      <c r="H3055" s="129"/>
      <c r="I3055" s="129">
        <f>Technical!J121</f>
        <v>0</v>
      </c>
      <c r="J3055" s="129"/>
      <c r="K3055" s="129"/>
      <c r="L3055" s="129"/>
      <c r="O3055" s="129"/>
      <c r="P3055" s="123" t="str">
        <f t="shared" si="676"/>
        <v/>
      </c>
    </row>
    <row r="3056" spans="1:16" s="114" customFormat="1" ht="15" x14ac:dyDescent="0.25">
      <c r="A3056" s="118"/>
      <c r="B3056" s="117" t="s">
        <v>239</v>
      </c>
      <c r="C3056" s="128">
        <f>SUM(C3052:C3055)</f>
        <v>5400000</v>
      </c>
      <c r="D3056" s="128">
        <f t="shared" ref="D3056:O3056" si="682">SUM(D3052:D3055)</f>
        <v>268460.09999999998</v>
      </c>
      <c r="E3056" s="128">
        <f t="shared" si="682"/>
        <v>578657.38</v>
      </c>
      <c r="F3056" s="128">
        <f t="shared" si="682"/>
        <v>2173953.33</v>
      </c>
      <c r="G3056" s="128">
        <f t="shared" si="682"/>
        <v>3226046.67</v>
      </c>
      <c r="H3056" s="128">
        <f t="shared" si="682"/>
        <v>142.66999999999999</v>
      </c>
      <c r="I3056" s="128">
        <f t="shared" si="682"/>
        <v>0</v>
      </c>
      <c r="J3056" s="128">
        <f t="shared" si="682"/>
        <v>5400000</v>
      </c>
      <c r="K3056" s="128">
        <f t="shared" si="682"/>
        <v>3881000</v>
      </c>
      <c r="L3056" s="128">
        <f t="shared" si="682"/>
        <v>4059526</v>
      </c>
      <c r="M3056" s="128">
        <f t="shared" si="682"/>
        <v>0</v>
      </c>
      <c r="N3056" s="128">
        <f t="shared" si="682"/>
        <v>0</v>
      </c>
      <c r="O3056" s="128">
        <f t="shared" si="682"/>
        <v>4246264.1960000005</v>
      </c>
      <c r="P3056" s="123" t="str">
        <f t="shared" si="676"/>
        <v/>
      </c>
    </row>
    <row r="3057" spans="1:16" s="114" customFormat="1" ht="15" x14ac:dyDescent="0.25">
      <c r="A3057" s="118"/>
      <c r="B3057" s="117"/>
      <c r="C3057" s="128"/>
      <c r="D3057" s="128"/>
      <c r="E3057" s="128"/>
      <c r="F3057" s="128"/>
      <c r="G3057" s="128"/>
      <c r="H3057" s="128"/>
      <c r="I3057" s="129">
        <f>Technical!J123</f>
        <v>0</v>
      </c>
      <c r="J3057" s="129"/>
      <c r="K3057" s="129"/>
      <c r="L3057" s="129"/>
      <c r="M3057" s="186"/>
      <c r="N3057" s="186"/>
      <c r="O3057" s="128"/>
      <c r="P3057" s="123" t="str">
        <f t="shared" si="676"/>
        <v/>
      </c>
    </row>
    <row r="3058" spans="1:16" s="114" customFormat="1" ht="15" x14ac:dyDescent="0.25">
      <c r="A3058" s="118"/>
      <c r="B3058" s="117" t="s">
        <v>240</v>
      </c>
      <c r="C3058" s="128">
        <f>SUM(C3056)</f>
        <v>5400000</v>
      </c>
      <c r="D3058" s="128">
        <f t="shared" ref="D3058:O3058" si="683">SUM(D3056)</f>
        <v>268460.09999999998</v>
      </c>
      <c r="E3058" s="128">
        <f t="shared" si="683"/>
        <v>578657.38</v>
      </c>
      <c r="F3058" s="128">
        <f t="shared" si="683"/>
        <v>2173953.33</v>
      </c>
      <c r="G3058" s="128">
        <f t="shared" si="683"/>
        <v>3226046.67</v>
      </c>
      <c r="H3058" s="128">
        <f t="shared" si="683"/>
        <v>142.66999999999999</v>
      </c>
      <c r="I3058" s="128">
        <f t="shared" si="683"/>
        <v>0</v>
      </c>
      <c r="J3058" s="128">
        <f t="shared" si="683"/>
        <v>5400000</v>
      </c>
      <c r="K3058" s="128">
        <f t="shared" si="683"/>
        <v>3881000</v>
      </c>
      <c r="L3058" s="128">
        <f t="shared" si="683"/>
        <v>4059526</v>
      </c>
      <c r="M3058" s="128">
        <f t="shared" si="683"/>
        <v>0</v>
      </c>
      <c r="N3058" s="128">
        <f t="shared" si="683"/>
        <v>0</v>
      </c>
      <c r="O3058" s="128">
        <f t="shared" si="683"/>
        <v>4246264.1960000005</v>
      </c>
      <c r="P3058" s="123" t="str">
        <f t="shared" si="676"/>
        <v/>
      </c>
    </row>
    <row r="3059" spans="1:16" s="114" customFormat="1" ht="15" x14ac:dyDescent="0.25">
      <c r="A3059" s="118"/>
      <c r="B3059" s="117"/>
      <c r="C3059" s="128"/>
      <c r="D3059" s="128"/>
      <c r="E3059" s="128"/>
      <c r="F3059" s="128"/>
      <c r="G3059" s="128"/>
      <c r="H3059" s="128"/>
      <c r="I3059" s="129">
        <f>Technical!J125</f>
        <v>0</v>
      </c>
      <c r="J3059" s="129"/>
      <c r="K3059" s="129"/>
      <c r="L3059" s="129"/>
      <c r="M3059" s="186"/>
      <c r="N3059" s="186"/>
      <c r="O3059" s="128"/>
      <c r="P3059" s="123" t="str">
        <f t="shared" si="676"/>
        <v/>
      </c>
    </row>
    <row r="3060" spans="1:16" s="114" customFormat="1" ht="15" x14ac:dyDescent="0.25">
      <c r="A3060" s="118"/>
      <c r="B3060" s="117" t="s">
        <v>241</v>
      </c>
      <c r="C3060" s="128"/>
      <c r="D3060" s="128"/>
      <c r="E3060" s="128"/>
      <c r="F3060" s="128"/>
      <c r="G3060" s="128"/>
      <c r="H3060" s="128"/>
      <c r="I3060" s="129">
        <f>Technical!J126</f>
        <v>0</v>
      </c>
      <c r="J3060" s="129"/>
      <c r="K3060" s="129"/>
      <c r="L3060" s="129"/>
      <c r="M3060" s="186"/>
      <c r="N3060" s="186"/>
      <c r="O3060" s="128"/>
      <c r="P3060" s="123" t="str">
        <f t="shared" si="676"/>
        <v/>
      </c>
    </row>
    <row r="3061" spans="1:16" x14ac:dyDescent="0.2">
      <c r="A3061" s="119"/>
      <c r="B3061" s="120"/>
      <c r="C3061" s="129"/>
      <c r="D3061" s="129"/>
      <c r="E3061" s="129"/>
      <c r="F3061" s="129"/>
      <c r="G3061" s="129"/>
      <c r="H3061" s="129"/>
      <c r="I3061" s="129">
        <f>Technical!J127</f>
        <v>0</v>
      </c>
      <c r="J3061" s="129"/>
      <c r="K3061" s="129"/>
      <c r="L3061" s="129"/>
      <c r="O3061" s="129"/>
      <c r="P3061" s="123" t="str">
        <f t="shared" si="676"/>
        <v/>
      </c>
    </row>
    <row r="3062" spans="1:16" x14ac:dyDescent="0.2">
      <c r="A3062" s="119" t="s">
        <v>1190</v>
      </c>
      <c r="B3062" s="120" t="s">
        <v>256</v>
      </c>
      <c r="C3062" s="129">
        <v>36722</v>
      </c>
      <c r="D3062" s="129">
        <v>0</v>
      </c>
      <c r="E3062" s="129">
        <v>0</v>
      </c>
      <c r="F3062" s="129">
        <v>0</v>
      </c>
      <c r="G3062" s="129">
        <v>36722</v>
      </c>
      <c r="H3062" s="129">
        <v>0</v>
      </c>
      <c r="I3062" s="129">
        <f>Technical!J128</f>
        <v>0</v>
      </c>
      <c r="J3062" s="129">
        <f>Technical!K128</f>
        <v>36722</v>
      </c>
      <c r="K3062" s="129">
        <f>Technical!L128</f>
        <v>38374.49</v>
      </c>
      <c r="L3062" s="129">
        <f>Technical!M128</f>
        <v>40139.716540000001</v>
      </c>
      <c r="O3062" s="129">
        <f>Technical!N128</f>
        <v>41986.14350084</v>
      </c>
      <c r="P3062" s="123" t="str">
        <f t="shared" si="676"/>
        <v>301</v>
      </c>
    </row>
    <row r="3063" spans="1:16" x14ac:dyDescent="0.2">
      <c r="A3063" s="119" t="s">
        <v>1191</v>
      </c>
      <c r="B3063" s="120" t="s">
        <v>265</v>
      </c>
      <c r="C3063" s="129">
        <v>48487</v>
      </c>
      <c r="D3063" s="129">
        <v>2289.0100000000002</v>
      </c>
      <c r="E3063" s="129">
        <v>0</v>
      </c>
      <c r="F3063" s="129">
        <v>11063.26</v>
      </c>
      <c r="G3063" s="129">
        <v>37423.74</v>
      </c>
      <c r="H3063" s="129">
        <v>22.81</v>
      </c>
      <c r="I3063" s="129">
        <f>Technical!J129</f>
        <v>0</v>
      </c>
      <c r="J3063" s="129">
        <f>Technical!K129</f>
        <v>48487</v>
      </c>
      <c r="K3063" s="129">
        <f>Technical!L129</f>
        <v>50668.915000000001</v>
      </c>
      <c r="L3063" s="129">
        <f>Technical!M129</f>
        <v>52999.685089999999</v>
      </c>
      <c r="O3063" s="129">
        <f>Technical!N129</f>
        <v>55437.670604139996</v>
      </c>
      <c r="P3063" s="123" t="str">
        <f t="shared" si="676"/>
        <v>305</v>
      </c>
    </row>
    <row r="3064" spans="1:16" x14ac:dyDescent="0.2">
      <c r="A3064" s="119" t="s">
        <v>1192</v>
      </c>
      <c r="B3064" s="120" t="s">
        <v>268</v>
      </c>
      <c r="C3064" s="129">
        <v>0</v>
      </c>
      <c r="D3064" s="129">
        <v>5534.04</v>
      </c>
      <c r="E3064" s="129">
        <v>0</v>
      </c>
      <c r="F3064" s="129">
        <v>59934.45</v>
      </c>
      <c r="G3064" s="129">
        <v>-59934.45</v>
      </c>
      <c r="H3064" s="129">
        <v>0</v>
      </c>
      <c r="I3064" s="129">
        <f>Technical!J130</f>
        <v>90000</v>
      </c>
      <c r="J3064" s="129">
        <f>Technical!K130</f>
        <v>90000</v>
      </c>
      <c r="K3064" s="129">
        <f>Technical!L130</f>
        <v>94050</v>
      </c>
      <c r="L3064" s="129">
        <f>Technical!M130</f>
        <v>98376.3</v>
      </c>
      <c r="O3064" s="129">
        <f>Technical!N130</f>
        <v>102901.60980000001</v>
      </c>
      <c r="P3064" s="123" t="str">
        <f t="shared" si="676"/>
        <v>305</v>
      </c>
    </row>
    <row r="3065" spans="1:16" x14ac:dyDescent="0.2">
      <c r="A3065" s="119"/>
      <c r="B3065" s="120"/>
      <c r="C3065" s="129"/>
      <c r="D3065" s="129"/>
      <c r="E3065" s="129"/>
      <c r="F3065" s="129"/>
      <c r="G3065" s="129"/>
      <c r="H3065" s="129"/>
      <c r="I3065" s="129">
        <f>Technical!J131</f>
        <v>0</v>
      </c>
      <c r="J3065" s="129"/>
      <c r="K3065" s="129"/>
      <c r="L3065" s="129"/>
      <c r="O3065" s="129"/>
      <c r="P3065" s="123" t="str">
        <f t="shared" si="676"/>
        <v/>
      </c>
    </row>
    <row r="3066" spans="1:16" s="114" customFormat="1" ht="15" x14ac:dyDescent="0.25">
      <c r="A3066" s="118"/>
      <c r="B3066" s="117" t="s">
        <v>274</v>
      </c>
      <c r="C3066" s="128">
        <f>SUM(C3062:C3065)</f>
        <v>85209</v>
      </c>
      <c r="D3066" s="128">
        <f t="shared" ref="D3066:O3066" si="684">SUM(D3062:D3065)</f>
        <v>7823.05</v>
      </c>
      <c r="E3066" s="128">
        <f t="shared" si="684"/>
        <v>0</v>
      </c>
      <c r="F3066" s="128">
        <f t="shared" si="684"/>
        <v>70997.709999999992</v>
      </c>
      <c r="G3066" s="128">
        <f t="shared" si="684"/>
        <v>14211.289999999994</v>
      </c>
      <c r="H3066" s="128">
        <f t="shared" si="684"/>
        <v>22.81</v>
      </c>
      <c r="I3066" s="128">
        <f t="shared" si="684"/>
        <v>90000</v>
      </c>
      <c r="J3066" s="128">
        <f t="shared" si="684"/>
        <v>175209</v>
      </c>
      <c r="K3066" s="128">
        <f t="shared" si="684"/>
        <v>183093.405</v>
      </c>
      <c r="L3066" s="128">
        <f t="shared" si="684"/>
        <v>191515.70163000003</v>
      </c>
      <c r="M3066" s="128">
        <f t="shared" si="684"/>
        <v>0</v>
      </c>
      <c r="N3066" s="128">
        <f t="shared" si="684"/>
        <v>0</v>
      </c>
      <c r="O3066" s="128">
        <f t="shared" si="684"/>
        <v>200325.42390498001</v>
      </c>
      <c r="P3066" s="123" t="str">
        <f t="shared" si="676"/>
        <v/>
      </c>
    </row>
    <row r="3067" spans="1:16" s="114" customFormat="1" ht="15" x14ac:dyDescent="0.25">
      <c r="A3067" s="118"/>
      <c r="B3067" s="117"/>
      <c r="C3067" s="128"/>
      <c r="D3067" s="128"/>
      <c r="E3067" s="128"/>
      <c r="F3067" s="128"/>
      <c r="G3067" s="128"/>
      <c r="H3067" s="128"/>
      <c r="I3067" s="129">
        <f>Technical!J133</f>
        <v>0</v>
      </c>
      <c r="J3067" s="129"/>
      <c r="K3067" s="128"/>
      <c r="L3067" s="186"/>
      <c r="M3067" s="186"/>
      <c r="N3067" s="186"/>
      <c r="O3067" s="128"/>
      <c r="P3067" s="123" t="str">
        <f t="shared" si="676"/>
        <v/>
      </c>
    </row>
    <row r="3068" spans="1:16" s="114" customFormat="1" ht="15" x14ac:dyDescent="0.25">
      <c r="A3068" s="118"/>
      <c r="B3068" s="117" t="s">
        <v>275</v>
      </c>
      <c r="C3068" s="128"/>
      <c r="D3068" s="128"/>
      <c r="E3068" s="128"/>
      <c r="F3068" s="128"/>
      <c r="G3068" s="128"/>
      <c r="H3068" s="128"/>
      <c r="I3068" s="129">
        <f>Technical!J134</f>
        <v>0</v>
      </c>
      <c r="J3068" s="129"/>
      <c r="K3068" s="129"/>
      <c r="L3068" s="213"/>
      <c r="M3068" s="186"/>
      <c r="N3068" s="186"/>
      <c r="O3068" s="128"/>
      <c r="P3068" s="123" t="str">
        <f t="shared" si="676"/>
        <v/>
      </c>
    </row>
    <row r="3069" spans="1:16" s="114" customFormat="1" ht="15" x14ac:dyDescent="0.25">
      <c r="A3069" s="118"/>
      <c r="B3069" s="117"/>
      <c r="C3069" s="128"/>
      <c r="D3069" s="128"/>
      <c r="E3069" s="128"/>
      <c r="F3069" s="128"/>
      <c r="G3069" s="128"/>
      <c r="H3069" s="128"/>
      <c r="I3069" s="129">
        <f>Technical!J135</f>
        <v>0</v>
      </c>
      <c r="J3069" s="129"/>
      <c r="K3069" s="129"/>
      <c r="L3069" s="129"/>
      <c r="M3069" s="186"/>
      <c r="N3069" s="186"/>
      <c r="O3069" s="128"/>
      <c r="P3069" s="123" t="str">
        <f t="shared" si="676"/>
        <v/>
      </c>
    </row>
    <row r="3070" spans="1:16" x14ac:dyDescent="0.2">
      <c r="A3070" s="119" t="s">
        <v>1193</v>
      </c>
      <c r="B3070" s="120" t="s">
        <v>276</v>
      </c>
      <c r="C3070" s="129">
        <v>0</v>
      </c>
      <c r="D3070" s="129">
        <v>4148.08</v>
      </c>
      <c r="E3070" s="129">
        <v>0</v>
      </c>
      <c r="F3070" s="129">
        <v>95108.23</v>
      </c>
      <c r="G3070" s="129">
        <v>-95108.23</v>
      </c>
      <c r="H3070" s="129">
        <v>0</v>
      </c>
      <c r="I3070" s="129">
        <f>Technical!J136</f>
        <v>95109</v>
      </c>
      <c r="J3070" s="129">
        <f>Technical!K136</f>
        <v>95109</v>
      </c>
      <c r="K3070" s="129">
        <f>Technical!L136</f>
        <v>99388.904999999999</v>
      </c>
      <c r="L3070" s="129">
        <f>Technical!M136</f>
        <v>103960.79463</v>
      </c>
      <c r="O3070" s="129">
        <f>Technical!N136</f>
        <v>108742.99118298001</v>
      </c>
      <c r="P3070" s="123" t="str">
        <f t="shared" si="676"/>
        <v>320</v>
      </c>
    </row>
    <row r="3071" spans="1:16" x14ac:dyDescent="0.2">
      <c r="A3071" s="119"/>
      <c r="B3071" s="120"/>
      <c r="C3071" s="129"/>
      <c r="D3071" s="129"/>
      <c r="E3071" s="129"/>
      <c r="F3071" s="129"/>
      <c r="G3071" s="129"/>
      <c r="H3071" s="129"/>
      <c r="I3071" s="129">
        <f>Technical!J137</f>
        <v>0</v>
      </c>
      <c r="J3071" s="129"/>
      <c r="K3071" s="129"/>
      <c r="L3071" s="129"/>
      <c r="O3071" s="129"/>
      <c r="P3071" s="123" t="str">
        <f t="shared" si="676"/>
        <v/>
      </c>
    </row>
    <row r="3072" spans="1:16" s="114" customFormat="1" ht="15" x14ac:dyDescent="0.25">
      <c r="A3072" s="118"/>
      <c r="B3072" s="117" t="s">
        <v>279</v>
      </c>
      <c r="C3072" s="128">
        <f>SUM(C3070:C3071)</f>
        <v>0</v>
      </c>
      <c r="D3072" s="128">
        <f t="shared" ref="D3072:O3072" si="685">SUM(D3070:D3071)</f>
        <v>4148.08</v>
      </c>
      <c r="E3072" s="128">
        <f t="shared" si="685"/>
        <v>0</v>
      </c>
      <c r="F3072" s="128">
        <f t="shared" si="685"/>
        <v>95108.23</v>
      </c>
      <c r="G3072" s="128">
        <f t="shared" si="685"/>
        <v>-95108.23</v>
      </c>
      <c r="H3072" s="128">
        <f t="shared" si="685"/>
        <v>0</v>
      </c>
      <c r="I3072" s="128">
        <f t="shared" si="685"/>
        <v>95109</v>
      </c>
      <c r="J3072" s="128">
        <f t="shared" si="685"/>
        <v>95109</v>
      </c>
      <c r="K3072" s="128">
        <f t="shared" si="685"/>
        <v>99388.904999999999</v>
      </c>
      <c r="L3072" s="128">
        <f t="shared" si="685"/>
        <v>103960.79463</v>
      </c>
      <c r="M3072" s="128">
        <f t="shared" si="685"/>
        <v>0</v>
      </c>
      <c r="N3072" s="128">
        <f t="shared" si="685"/>
        <v>0</v>
      </c>
      <c r="O3072" s="128">
        <f t="shared" si="685"/>
        <v>108742.99118298001</v>
      </c>
      <c r="P3072" s="123" t="str">
        <f t="shared" si="676"/>
        <v/>
      </c>
    </row>
    <row r="3073" spans="1:16" s="114" customFormat="1" ht="15" x14ac:dyDescent="0.25">
      <c r="A3073" s="118"/>
      <c r="B3073" s="117"/>
      <c r="C3073" s="128"/>
      <c r="D3073" s="128"/>
      <c r="E3073" s="128"/>
      <c r="F3073" s="128"/>
      <c r="G3073" s="128"/>
      <c r="H3073" s="128"/>
      <c r="I3073" s="129">
        <f>Technical!J139</f>
        <v>0</v>
      </c>
      <c r="J3073" s="129"/>
      <c r="K3073" s="129"/>
      <c r="L3073" s="129"/>
      <c r="M3073" s="186"/>
      <c r="N3073" s="186"/>
      <c r="O3073" s="128"/>
      <c r="P3073" s="123" t="str">
        <f t="shared" si="676"/>
        <v/>
      </c>
    </row>
    <row r="3074" spans="1:16" s="114" customFormat="1" ht="15" x14ac:dyDescent="0.25">
      <c r="A3074" s="118"/>
      <c r="B3074" s="117" t="s">
        <v>290</v>
      </c>
      <c r="C3074" s="128"/>
      <c r="D3074" s="128"/>
      <c r="E3074" s="128"/>
      <c r="F3074" s="128"/>
      <c r="G3074" s="128"/>
      <c r="H3074" s="128"/>
      <c r="I3074" s="129">
        <f>Technical!J140</f>
        <v>0</v>
      </c>
      <c r="J3074" s="129"/>
      <c r="K3074" s="129"/>
      <c r="L3074" s="129"/>
      <c r="M3074" s="186"/>
      <c r="N3074" s="186"/>
      <c r="O3074" s="128"/>
      <c r="P3074" s="123" t="str">
        <f t="shared" si="676"/>
        <v/>
      </c>
    </row>
    <row r="3075" spans="1:16" x14ac:dyDescent="0.2">
      <c r="A3075" s="119"/>
      <c r="B3075" s="120"/>
      <c r="C3075" s="129"/>
      <c r="D3075" s="129"/>
      <c r="E3075" s="129"/>
      <c r="F3075" s="129"/>
      <c r="G3075" s="129"/>
      <c r="H3075" s="129"/>
      <c r="I3075" s="129">
        <f>Technical!J141</f>
        <v>0</v>
      </c>
      <c r="J3075" s="129"/>
      <c r="K3075" s="129"/>
      <c r="L3075" s="129"/>
      <c r="O3075" s="129"/>
      <c r="P3075" s="123" t="str">
        <f t="shared" si="676"/>
        <v/>
      </c>
    </row>
    <row r="3076" spans="1:16" x14ac:dyDescent="0.2">
      <c r="A3076" s="119" t="s">
        <v>1194</v>
      </c>
      <c r="B3076" s="120" t="s">
        <v>291</v>
      </c>
      <c r="C3076" s="129">
        <v>0</v>
      </c>
      <c r="D3076" s="129">
        <v>1452.06</v>
      </c>
      <c r="E3076" s="129">
        <v>0</v>
      </c>
      <c r="F3076" s="129">
        <v>3630.14</v>
      </c>
      <c r="G3076" s="129">
        <v>-3630.14</v>
      </c>
      <c r="H3076" s="129">
        <v>0</v>
      </c>
      <c r="I3076" s="129">
        <f>Technical!J142</f>
        <v>0</v>
      </c>
      <c r="J3076" s="129">
        <f>Technical!K142</f>
        <v>0</v>
      </c>
      <c r="K3076" s="129">
        <f>Technical!L142</f>
        <v>0</v>
      </c>
      <c r="L3076" s="129">
        <f>Technical!M142</f>
        <v>0</v>
      </c>
      <c r="O3076" s="129">
        <f>Technical!N142</f>
        <v>0</v>
      </c>
      <c r="P3076" s="123" t="str">
        <f t="shared" si="676"/>
        <v>720</v>
      </c>
    </row>
    <row r="3077" spans="1:16" x14ac:dyDescent="0.2">
      <c r="A3077" s="119" t="s">
        <v>1195</v>
      </c>
      <c r="B3077" s="120" t="s">
        <v>292</v>
      </c>
      <c r="C3077" s="129">
        <v>0</v>
      </c>
      <c r="D3077" s="129">
        <v>0</v>
      </c>
      <c r="E3077" s="129">
        <v>0</v>
      </c>
      <c r="F3077" s="129">
        <v>816.38</v>
      </c>
      <c r="G3077" s="129">
        <v>-816.38</v>
      </c>
      <c r="H3077" s="129">
        <v>0</v>
      </c>
      <c r="I3077" s="129">
        <f>Technical!J143</f>
        <v>0</v>
      </c>
      <c r="J3077" s="129">
        <f>Technical!K143</f>
        <v>0</v>
      </c>
      <c r="K3077" s="129">
        <f>Technical!L143</f>
        <v>0</v>
      </c>
      <c r="L3077" s="129">
        <f>Technical!M143</f>
        <v>0</v>
      </c>
      <c r="O3077" s="129">
        <f>Technical!N143</f>
        <v>0</v>
      </c>
      <c r="P3077" s="123" t="str">
        <f t="shared" si="676"/>
        <v>720</v>
      </c>
    </row>
    <row r="3078" spans="1:16" x14ac:dyDescent="0.2">
      <c r="A3078" s="119" t="s">
        <v>1196</v>
      </c>
      <c r="B3078" s="120" t="s">
        <v>293</v>
      </c>
      <c r="C3078" s="129">
        <v>476</v>
      </c>
      <c r="D3078" s="129">
        <v>1637.66</v>
      </c>
      <c r="E3078" s="129">
        <v>0</v>
      </c>
      <c r="F3078" s="129">
        <v>3298.45</v>
      </c>
      <c r="G3078" s="129">
        <v>-2822.45</v>
      </c>
      <c r="H3078" s="129">
        <v>692.95</v>
      </c>
      <c r="I3078" s="129">
        <f>Technical!J144</f>
        <v>0</v>
      </c>
      <c r="J3078" s="129">
        <f>Technical!K144</f>
        <v>476</v>
      </c>
      <c r="K3078" s="129">
        <f>Technical!L144</f>
        <v>497.42</v>
      </c>
      <c r="L3078" s="129">
        <f>Technical!M144</f>
        <v>520.30132000000003</v>
      </c>
      <c r="O3078" s="129">
        <f>Technical!N144</f>
        <v>544.23518072000002</v>
      </c>
      <c r="P3078" s="123" t="str">
        <f t="shared" si="676"/>
        <v>721</v>
      </c>
    </row>
    <row r="3079" spans="1:16" x14ac:dyDescent="0.2">
      <c r="A3079" s="119" t="s">
        <v>1197</v>
      </c>
      <c r="B3079" s="120" t="s">
        <v>294</v>
      </c>
      <c r="C3079" s="129">
        <v>0</v>
      </c>
      <c r="D3079" s="129">
        <v>19268.82</v>
      </c>
      <c r="E3079" s="129">
        <v>0</v>
      </c>
      <c r="F3079" s="129">
        <v>38537.64</v>
      </c>
      <c r="G3079" s="129">
        <v>-38537.64</v>
      </c>
      <c r="H3079" s="129">
        <v>0</v>
      </c>
      <c r="I3079" s="129">
        <f>Technical!J145</f>
        <v>3513156.6700000199</v>
      </c>
      <c r="J3079" s="129">
        <f>Technical!K145</f>
        <v>3513156.6700000199</v>
      </c>
      <c r="K3079" s="129">
        <f>Technical!L145</f>
        <v>3671248.7201500209</v>
      </c>
      <c r="L3079" s="129">
        <f>Technical!M145</f>
        <v>3840126.1612769216</v>
      </c>
      <c r="O3079" s="129">
        <f>Technical!N145</f>
        <v>4016771.9646956599</v>
      </c>
      <c r="P3079" s="123" t="str">
        <f t="shared" ref="P3079:P3142" si="686">MID(A3079,6,3)</f>
        <v>722</v>
      </c>
    </row>
    <row r="3080" spans="1:16" x14ac:dyDescent="0.2">
      <c r="A3080" s="119" t="s">
        <v>1198</v>
      </c>
      <c r="B3080" s="120" t="s">
        <v>296</v>
      </c>
      <c r="C3080" s="129">
        <v>530622</v>
      </c>
      <c r="D3080" s="129">
        <v>83062.559999999998</v>
      </c>
      <c r="E3080" s="129">
        <v>0</v>
      </c>
      <c r="F3080" s="129">
        <v>166311.91</v>
      </c>
      <c r="G3080" s="129">
        <v>364310.09</v>
      </c>
      <c r="H3080" s="129">
        <v>31.34</v>
      </c>
      <c r="I3080" s="129">
        <f>Technical!J146</f>
        <v>0</v>
      </c>
      <c r="J3080" s="129">
        <f>Technical!K146</f>
        <v>530622</v>
      </c>
      <c r="K3080" s="129">
        <f>Technical!L146</f>
        <v>554499.99</v>
      </c>
      <c r="L3080" s="129">
        <f>Technical!M146</f>
        <v>580006.98953999998</v>
      </c>
      <c r="O3080" s="129">
        <f>Technical!N146</f>
        <v>606687.31105884002</v>
      </c>
      <c r="P3080" s="123" t="str">
        <f t="shared" si="686"/>
        <v>723</v>
      </c>
    </row>
    <row r="3081" spans="1:16" x14ac:dyDescent="0.2">
      <c r="A3081" s="119" t="s">
        <v>1199</v>
      </c>
      <c r="B3081" s="120" t="s">
        <v>297</v>
      </c>
      <c r="C3081" s="129">
        <v>168850</v>
      </c>
      <c r="D3081" s="129">
        <v>20743.34</v>
      </c>
      <c r="E3081" s="129">
        <v>0</v>
      </c>
      <c r="F3081" s="129">
        <v>63932.480000000003</v>
      </c>
      <c r="G3081" s="129">
        <v>104917.52</v>
      </c>
      <c r="H3081" s="129">
        <v>37.86</v>
      </c>
      <c r="I3081" s="129">
        <f>Technical!J147</f>
        <v>0</v>
      </c>
      <c r="J3081" s="129">
        <f>Technical!K147</f>
        <v>168850</v>
      </c>
      <c r="K3081" s="129">
        <f>Technical!L147</f>
        <v>176448.25</v>
      </c>
      <c r="L3081" s="129">
        <f>Technical!M147</f>
        <v>184564.8695</v>
      </c>
      <c r="O3081" s="129">
        <f>Technical!N147</f>
        <v>193054.853497</v>
      </c>
      <c r="P3081" s="123" t="str">
        <f t="shared" si="686"/>
        <v>725</v>
      </c>
    </row>
    <row r="3082" spans="1:16" x14ac:dyDescent="0.2">
      <c r="A3082" s="119" t="s">
        <v>1200</v>
      </c>
      <c r="B3082" s="120" t="s">
        <v>298</v>
      </c>
      <c r="C3082" s="129">
        <v>2276857</v>
      </c>
      <c r="D3082" s="129">
        <v>306747.26</v>
      </c>
      <c r="E3082" s="129">
        <v>0</v>
      </c>
      <c r="F3082" s="129">
        <v>614234.24</v>
      </c>
      <c r="G3082" s="129">
        <v>1662622.76</v>
      </c>
      <c r="H3082" s="129">
        <v>26.97</v>
      </c>
      <c r="I3082" s="129">
        <f>Technical!J148</f>
        <v>2182253</v>
      </c>
      <c r="J3082" s="129">
        <f>Technical!K148</f>
        <v>4459110</v>
      </c>
      <c r="K3082" s="129">
        <f>Technical!L148</f>
        <v>4659769.95</v>
      </c>
      <c r="L3082" s="129">
        <f>Technical!M148</f>
        <v>4874119.3677000003</v>
      </c>
      <c r="O3082" s="129">
        <f>Technical!N148</f>
        <v>5098328.8586142007</v>
      </c>
      <c r="P3082" s="123" t="str">
        <f t="shared" si="686"/>
        <v>728</v>
      </c>
    </row>
    <row r="3083" spans="1:16" x14ac:dyDescent="0.2">
      <c r="A3083" s="119" t="s">
        <v>1201</v>
      </c>
      <c r="B3083" s="120" t="s">
        <v>303</v>
      </c>
      <c r="C3083" s="129">
        <v>3371</v>
      </c>
      <c r="D3083" s="129">
        <v>18877.68</v>
      </c>
      <c r="E3083" s="129">
        <v>0</v>
      </c>
      <c r="F3083" s="129">
        <v>37755.360000000001</v>
      </c>
      <c r="G3083" s="129">
        <v>-34384.36</v>
      </c>
      <c r="H3083" s="129">
        <v>999.99</v>
      </c>
      <c r="I3083" s="129">
        <f>Technical!J149</f>
        <v>0</v>
      </c>
      <c r="J3083" s="129">
        <f>Technical!K149</f>
        <v>3371</v>
      </c>
      <c r="K3083" s="129">
        <f>Technical!L149</f>
        <v>3522.6950000000002</v>
      </c>
      <c r="L3083" s="129">
        <f>Technical!M149</f>
        <v>3684.7389700000003</v>
      </c>
      <c r="O3083" s="129">
        <f>Technical!N149</f>
        <v>3854.2369626200002</v>
      </c>
      <c r="P3083" s="123" t="str">
        <f t="shared" si="686"/>
        <v>729</v>
      </c>
    </row>
    <row r="3084" spans="1:16" x14ac:dyDescent="0.2">
      <c r="A3084" s="119"/>
      <c r="B3084" s="120"/>
      <c r="C3084" s="129"/>
      <c r="D3084" s="129"/>
      <c r="E3084" s="129"/>
      <c r="F3084" s="129"/>
      <c r="G3084" s="129"/>
      <c r="H3084" s="129"/>
      <c r="I3084" s="129">
        <f>Technical!J150</f>
        <v>0</v>
      </c>
      <c r="J3084" s="129"/>
      <c r="K3084" s="129"/>
      <c r="L3084" s="129"/>
      <c r="O3084" s="129"/>
      <c r="P3084" s="123" t="str">
        <f t="shared" si="686"/>
        <v/>
      </c>
    </row>
    <row r="3085" spans="1:16" s="114" customFormat="1" ht="15" x14ac:dyDescent="0.25">
      <c r="A3085" s="118"/>
      <c r="B3085" s="117" t="s">
        <v>304</v>
      </c>
      <c r="C3085" s="128">
        <f>SUM(C3076:C3084)</f>
        <v>2980176</v>
      </c>
      <c r="D3085" s="128">
        <f t="shared" ref="D3085:O3085" si="687">SUM(D3076:D3084)</f>
        <v>451789.38</v>
      </c>
      <c r="E3085" s="128">
        <f t="shared" si="687"/>
        <v>0</v>
      </c>
      <c r="F3085" s="128">
        <f t="shared" si="687"/>
        <v>928516.6</v>
      </c>
      <c r="G3085" s="128">
        <f t="shared" si="687"/>
        <v>2051659.4</v>
      </c>
      <c r="H3085" s="128">
        <f t="shared" si="687"/>
        <v>1789.1100000000001</v>
      </c>
      <c r="I3085" s="128">
        <f t="shared" si="687"/>
        <v>5695409.6700000204</v>
      </c>
      <c r="J3085" s="128">
        <f t="shared" si="687"/>
        <v>8675585.6700000204</v>
      </c>
      <c r="K3085" s="128">
        <f t="shared" si="687"/>
        <v>9065987.0251500215</v>
      </c>
      <c r="L3085" s="128">
        <f t="shared" si="687"/>
        <v>9483022.4283069223</v>
      </c>
      <c r="M3085" s="128">
        <f t="shared" si="687"/>
        <v>0</v>
      </c>
      <c r="N3085" s="128">
        <f t="shared" si="687"/>
        <v>0</v>
      </c>
      <c r="O3085" s="128">
        <f t="shared" si="687"/>
        <v>9919241.4600090422</v>
      </c>
      <c r="P3085" s="123" t="str">
        <f t="shared" si="686"/>
        <v/>
      </c>
    </row>
    <row r="3086" spans="1:16" s="114" customFormat="1" ht="15" x14ac:dyDescent="0.25">
      <c r="A3086" s="118"/>
      <c r="B3086" s="117"/>
      <c r="C3086" s="128"/>
      <c r="D3086" s="128"/>
      <c r="E3086" s="128"/>
      <c r="F3086" s="128"/>
      <c r="G3086" s="128"/>
      <c r="H3086" s="128"/>
      <c r="I3086" s="129">
        <f>Technical!J152</f>
        <v>0</v>
      </c>
      <c r="J3086" s="129"/>
      <c r="K3086" s="129"/>
      <c r="L3086" s="129"/>
      <c r="M3086" s="186"/>
      <c r="N3086" s="186"/>
      <c r="O3086" s="128"/>
      <c r="P3086" s="123" t="str">
        <f t="shared" si="686"/>
        <v/>
      </c>
    </row>
    <row r="3087" spans="1:16" s="114" customFormat="1" ht="15" x14ac:dyDescent="0.25">
      <c r="A3087" s="118"/>
      <c r="B3087" s="117" t="s">
        <v>305</v>
      </c>
      <c r="C3087" s="128">
        <f>C3046+C3058+C3066+C3072+C3085</f>
        <v>12101794</v>
      </c>
      <c r="D3087" s="128">
        <f t="shared" ref="D3087:O3087" si="688">D3046+D3058+D3066+D3072+D3085</f>
        <v>1006492.75</v>
      </c>
      <c r="E3087" s="128">
        <f t="shared" si="688"/>
        <v>578657.38</v>
      </c>
      <c r="F3087" s="128">
        <f t="shared" si="688"/>
        <v>4552273.8499999996</v>
      </c>
      <c r="G3087" s="128">
        <f t="shared" si="688"/>
        <v>7549520.1499999985</v>
      </c>
      <c r="H3087" s="128">
        <f t="shared" si="688"/>
        <v>2337.52</v>
      </c>
      <c r="I3087" s="128">
        <f t="shared" si="688"/>
        <v>5815515.1200000206</v>
      </c>
      <c r="J3087" s="128">
        <f t="shared" si="688"/>
        <v>17917309.12000002</v>
      </c>
      <c r="K3087" s="128">
        <f t="shared" si="688"/>
        <v>17024087.625775024</v>
      </c>
      <c r="L3087" s="128">
        <f t="shared" si="688"/>
        <v>17898266.495535672</v>
      </c>
      <c r="M3087" s="128">
        <f t="shared" si="688"/>
        <v>0</v>
      </c>
      <c r="N3087" s="128">
        <f t="shared" si="688"/>
        <v>0</v>
      </c>
      <c r="O3087" s="128">
        <f t="shared" si="688"/>
        <v>18819032.552033566</v>
      </c>
      <c r="P3087" s="123" t="str">
        <f t="shared" si="686"/>
        <v/>
      </c>
    </row>
    <row r="3088" spans="1:16" x14ac:dyDescent="0.2">
      <c r="A3088" s="119"/>
      <c r="B3088" s="120"/>
      <c r="C3088" s="129"/>
      <c r="D3088" s="129"/>
      <c r="E3088" s="129"/>
      <c r="F3088" s="129"/>
      <c r="G3088" s="129"/>
      <c r="H3088" s="129"/>
      <c r="I3088" s="129">
        <f>Technical!J154</f>
        <v>0</v>
      </c>
      <c r="J3088" s="129"/>
      <c r="K3088" s="129"/>
      <c r="L3088" s="129"/>
      <c r="O3088" s="129"/>
      <c r="P3088" s="123" t="str">
        <f t="shared" si="686"/>
        <v/>
      </c>
    </row>
    <row r="3089" spans="1:16" s="114" customFormat="1" ht="15" x14ac:dyDescent="0.25">
      <c r="A3089" s="118"/>
      <c r="B3089" s="117" t="s">
        <v>306</v>
      </c>
      <c r="C3089" s="128">
        <f>C3087</f>
        <v>12101794</v>
      </c>
      <c r="D3089" s="128">
        <f t="shared" ref="D3089:O3089" si="689">D3087</f>
        <v>1006492.75</v>
      </c>
      <c r="E3089" s="128">
        <f t="shared" si="689"/>
        <v>578657.38</v>
      </c>
      <c r="F3089" s="128">
        <f t="shared" si="689"/>
        <v>4552273.8499999996</v>
      </c>
      <c r="G3089" s="128">
        <f t="shared" si="689"/>
        <v>7549520.1499999985</v>
      </c>
      <c r="H3089" s="128">
        <f t="shared" si="689"/>
        <v>2337.52</v>
      </c>
      <c r="I3089" s="128">
        <f t="shared" si="689"/>
        <v>5815515.1200000206</v>
      </c>
      <c r="J3089" s="128">
        <f t="shared" si="689"/>
        <v>17917309.12000002</v>
      </c>
      <c r="K3089" s="128">
        <f t="shared" si="689"/>
        <v>17024087.625775024</v>
      </c>
      <c r="L3089" s="128">
        <f t="shared" si="689"/>
        <v>17898266.495535672</v>
      </c>
      <c r="M3089" s="128">
        <f t="shared" si="689"/>
        <v>0</v>
      </c>
      <c r="N3089" s="128">
        <f t="shared" si="689"/>
        <v>0</v>
      </c>
      <c r="O3089" s="128">
        <f t="shared" si="689"/>
        <v>18819032.552033566</v>
      </c>
      <c r="P3089" s="123" t="str">
        <f t="shared" si="686"/>
        <v/>
      </c>
    </row>
    <row r="3090" spans="1:16" s="114" customFormat="1" ht="15" x14ac:dyDescent="0.25">
      <c r="A3090" s="118"/>
      <c r="B3090" s="117"/>
      <c r="C3090" s="128"/>
      <c r="D3090" s="128"/>
      <c r="E3090" s="128"/>
      <c r="F3090" s="128"/>
      <c r="G3090" s="128"/>
      <c r="H3090" s="128"/>
      <c r="I3090" s="129">
        <f>Technical!J156</f>
        <v>0</v>
      </c>
      <c r="J3090" s="129"/>
      <c r="K3090" s="129"/>
      <c r="L3090" s="129"/>
      <c r="M3090" s="186"/>
      <c r="N3090" s="186"/>
      <c r="O3090" s="128"/>
      <c r="P3090" s="123" t="str">
        <f t="shared" si="686"/>
        <v/>
      </c>
    </row>
    <row r="3091" spans="1:16" s="114" customFormat="1" ht="15" x14ac:dyDescent="0.25">
      <c r="A3091" s="118"/>
      <c r="B3091" s="117" t="s">
        <v>308</v>
      </c>
      <c r="C3091" s="128"/>
      <c r="D3091" s="128"/>
      <c r="E3091" s="128"/>
      <c r="F3091" s="128"/>
      <c r="G3091" s="128"/>
      <c r="H3091" s="128"/>
      <c r="I3091" s="128">
        <f>Technical!J157</f>
        <v>0</v>
      </c>
      <c r="J3091" s="128"/>
      <c r="K3091" s="128"/>
      <c r="L3091" s="128"/>
      <c r="M3091" s="186"/>
      <c r="N3091" s="186"/>
      <c r="O3091" s="128"/>
      <c r="P3091" s="123" t="str">
        <f t="shared" si="686"/>
        <v/>
      </c>
    </row>
    <row r="3092" spans="1:16" x14ac:dyDescent="0.2">
      <c r="A3092" s="119"/>
      <c r="B3092" s="120"/>
      <c r="C3092" s="129"/>
      <c r="D3092" s="129"/>
      <c r="E3092" s="129"/>
      <c r="F3092" s="129"/>
      <c r="G3092" s="129"/>
      <c r="H3092" s="129"/>
      <c r="I3092" s="129">
        <f>Technical!J158</f>
        <v>0</v>
      </c>
      <c r="J3092" s="129"/>
      <c r="K3092" s="129"/>
      <c r="L3092" s="129"/>
      <c r="O3092" s="129"/>
      <c r="P3092" s="123" t="str">
        <f t="shared" si="686"/>
        <v/>
      </c>
    </row>
    <row r="3093" spans="1:16" x14ac:dyDescent="0.2">
      <c r="A3093" s="119" t="s">
        <v>1202</v>
      </c>
      <c r="B3093" s="120" t="s">
        <v>1203</v>
      </c>
      <c r="C3093" s="129">
        <f>Technical!D159</f>
        <v>1000000</v>
      </c>
      <c r="D3093" s="129">
        <f>Technical!E159</f>
        <v>0</v>
      </c>
      <c r="E3093" s="129">
        <f>Technical!F159</f>
        <v>0</v>
      </c>
      <c r="F3093" s="129">
        <f>Technical!G159</f>
        <v>1217.71</v>
      </c>
      <c r="G3093" s="129">
        <f>Technical!H159</f>
        <v>-1217.71</v>
      </c>
      <c r="H3093" s="129">
        <f>Technical!I159</f>
        <v>0</v>
      </c>
      <c r="I3093" s="129">
        <f>Technical!J159</f>
        <v>-37820</v>
      </c>
      <c r="J3093" s="129">
        <f>Technical!K159</f>
        <v>962180</v>
      </c>
      <c r="K3093" s="129">
        <f>Technical!L159</f>
        <v>0</v>
      </c>
      <c r="L3093" s="129">
        <f>Technical!M159</f>
        <v>0</v>
      </c>
      <c r="M3093" s="129">
        <f>Technical!N159</f>
        <v>0</v>
      </c>
      <c r="N3093" s="129">
        <f>Technical!O159</f>
        <v>0</v>
      </c>
      <c r="O3093" s="129">
        <f>Technical!P159</f>
        <v>0</v>
      </c>
      <c r="P3093" s="123" t="str">
        <f t="shared" si="686"/>
        <v>420</v>
      </c>
    </row>
    <row r="3094" spans="1:16" x14ac:dyDescent="0.2">
      <c r="A3094" s="119" t="s">
        <v>1204</v>
      </c>
      <c r="B3094" s="120" t="s">
        <v>1205</v>
      </c>
      <c r="C3094" s="129">
        <f>Technical!D160</f>
        <v>3000000</v>
      </c>
      <c r="D3094" s="129">
        <f>Technical!E160</f>
        <v>0</v>
      </c>
      <c r="E3094" s="129">
        <f>Technical!F160</f>
        <v>0</v>
      </c>
      <c r="F3094" s="129">
        <f>Technical!G160</f>
        <v>1217.71</v>
      </c>
      <c r="G3094" s="129">
        <f>Technical!H160</f>
        <v>-1217.71</v>
      </c>
      <c r="H3094" s="129">
        <f>Technical!I160</f>
        <v>0</v>
      </c>
      <c r="I3094" s="129">
        <f>Technical!J160</f>
        <v>-3000000</v>
      </c>
      <c r="J3094" s="129">
        <f>Technical!K160</f>
        <v>0</v>
      </c>
      <c r="K3094" s="129">
        <f>Technical!L160</f>
        <v>0</v>
      </c>
      <c r="L3094" s="129">
        <f>Technical!M160</f>
        <v>0</v>
      </c>
      <c r="M3094" s="129">
        <f>Technical!N160</f>
        <v>0</v>
      </c>
      <c r="N3094" s="129">
        <f>Technical!O160</f>
        <v>0</v>
      </c>
      <c r="O3094" s="129">
        <f>Technical!P160</f>
        <v>0</v>
      </c>
      <c r="P3094" s="123" t="str">
        <f t="shared" si="686"/>
        <v>456</v>
      </c>
    </row>
    <row r="3095" spans="1:16" x14ac:dyDescent="0.2">
      <c r="A3095" s="119" t="s">
        <v>1206</v>
      </c>
      <c r="B3095" s="120" t="s">
        <v>1207</v>
      </c>
      <c r="C3095" s="129">
        <f>Technical!D161</f>
        <v>2220000</v>
      </c>
      <c r="D3095" s="129">
        <f>Technical!E161</f>
        <v>0</v>
      </c>
      <c r="E3095" s="129">
        <f>Technical!F161</f>
        <v>0</v>
      </c>
      <c r="F3095" s="129">
        <f>Technical!G161</f>
        <v>1217.71</v>
      </c>
      <c r="G3095" s="129">
        <f>Technical!H161</f>
        <v>-1217.71</v>
      </c>
      <c r="H3095" s="129">
        <f>Technical!I161</f>
        <v>0</v>
      </c>
      <c r="I3095" s="129">
        <f>Technical!J161</f>
        <v>-2220000</v>
      </c>
      <c r="J3095" s="129">
        <f>Technical!K161</f>
        <v>0</v>
      </c>
      <c r="K3095" s="129">
        <f>Technical!L161</f>
        <v>1260000</v>
      </c>
      <c r="L3095" s="129">
        <f>Technical!M161</f>
        <v>1260000</v>
      </c>
      <c r="M3095" s="129">
        <f>Technical!N161</f>
        <v>0</v>
      </c>
      <c r="N3095" s="129">
        <f>Technical!O161</f>
        <v>0</v>
      </c>
      <c r="O3095" s="129">
        <f>Technical!P161</f>
        <v>0</v>
      </c>
      <c r="P3095" s="123" t="str">
        <f t="shared" si="686"/>
        <v>472</v>
      </c>
    </row>
    <row r="3096" spans="1:16" x14ac:dyDescent="0.2">
      <c r="A3096" s="119" t="s">
        <v>1208</v>
      </c>
      <c r="B3096" s="120" t="s">
        <v>1209</v>
      </c>
      <c r="C3096" s="129">
        <f>Technical!D162</f>
        <v>17000000</v>
      </c>
      <c r="D3096" s="129">
        <f>Technical!E162</f>
        <v>0</v>
      </c>
      <c r="E3096" s="129">
        <f>Technical!F162</f>
        <v>0</v>
      </c>
      <c r="F3096" s="129">
        <f>Technical!G162</f>
        <v>1217.71</v>
      </c>
      <c r="G3096" s="129">
        <f>Technical!H162</f>
        <v>-1217.71</v>
      </c>
      <c r="H3096" s="129">
        <f>Technical!I162</f>
        <v>0</v>
      </c>
      <c r="I3096" s="129">
        <f>Technical!J162</f>
        <v>8110000</v>
      </c>
      <c r="J3096" s="129">
        <f>Technical!K162</f>
        <v>25110000</v>
      </c>
      <c r="K3096" s="129">
        <f>Technical!L162</f>
        <v>4172137.84</v>
      </c>
      <c r="L3096" s="129">
        <f>Technical!M162</f>
        <v>0</v>
      </c>
      <c r="M3096" s="129">
        <f>Technical!N162</f>
        <v>0</v>
      </c>
      <c r="N3096" s="129">
        <f>Technical!O162</f>
        <v>0</v>
      </c>
      <c r="O3096" s="129">
        <f>Technical!P162</f>
        <v>0</v>
      </c>
      <c r="P3096" s="123" t="str">
        <f t="shared" si="686"/>
        <v>472</v>
      </c>
    </row>
    <row r="3097" spans="1:16" x14ac:dyDescent="0.2">
      <c r="A3097" s="119" t="s">
        <v>1210</v>
      </c>
      <c r="B3097" s="120" t="s">
        <v>1355</v>
      </c>
      <c r="C3097" s="129">
        <f>Technical!D163</f>
        <v>16393450</v>
      </c>
      <c r="D3097" s="129">
        <f>Technical!E163</f>
        <v>0</v>
      </c>
      <c r="E3097" s="129">
        <f>Technical!F163</f>
        <v>0</v>
      </c>
      <c r="F3097" s="129">
        <f>Technical!G163</f>
        <v>1217.71</v>
      </c>
      <c r="G3097" s="129">
        <f>Technical!H163</f>
        <v>-1217.71</v>
      </c>
      <c r="H3097" s="129">
        <f>Technical!I163</f>
        <v>0</v>
      </c>
      <c r="I3097" s="129">
        <f>Technical!J163</f>
        <v>0</v>
      </c>
      <c r="J3097" s="129">
        <f>Technical!K163</f>
        <v>16393450</v>
      </c>
      <c r="K3097" s="129">
        <f>Technical!L163</f>
        <v>14152231.92</v>
      </c>
      <c r="L3097" s="129">
        <f>Technical!M163</f>
        <v>0</v>
      </c>
      <c r="M3097" s="129">
        <f>Technical!N163</f>
        <v>0</v>
      </c>
      <c r="N3097" s="129">
        <f>Technical!O163</f>
        <v>0</v>
      </c>
      <c r="O3097" s="129">
        <f>Technical!P163</f>
        <v>0</v>
      </c>
      <c r="P3097" s="123" t="str">
        <f t="shared" si="686"/>
        <v>472</v>
      </c>
    </row>
    <row r="3098" spans="1:16" x14ac:dyDescent="0.2">
      <c r="A3098" s="119" t="s">
        <v>1211</v>
      </c>
      <c r="B3098" s="120" t="s">
        <v>1212</v>
      </c>
      <c r="C3098" s="129">
        <f>Technical!D164</f>
        <v>3000000</v>
      </c>
      <c r="D3098" s="129">
        <f>Technical!E164</f>
        <v>0</v>
      </c>
      <c r="E3098" s="129">
        <f>Technical!F164</f>
        <v>0</v>
      </c>
      <c r="F3098" s="129">
        <f>Technical!G164</f>
        <v>1217.71</v>
      </c>
      <c r="G3098" s="129">
        <f>Technical!H164</f>
        <v>-1217.71</v>
      </c>
      <c r="H3098" s="129">
        <f>Technical!I164</f>
        <v>0</v>
      </c>
      <c r="I3098" s="129">
        <f>Technical!J164</f>
        <v>-1384000</v>
      </c>
      <c r="J3098" s="129">
        <f>Technical!K164</f>
        <v>1616000</v>
      </c>
      <c r="K3098" s="129">
        <f>Technical!L164</f>
        <v>3000000</v>
      </c>
      <c r="L3098" s="129">
        <f>Technical!M164</f>
        <v>0</v>
      </c>
      <c r="M3098" s="129">
        <f>Technical!N164</f>
        <v>0</v>
      </c>
      <c r="N3098" s="129">
        <f>Technical!O164</f>
        <v>0</v>
      </c>
      <c r="O3098" s="129">
        <f>Technical!P164</f>
        <v>0</v>
      </c>
      <c r="P3098" s="123" t="str">
        <f t="shared" si="686"/>
        <v>473</v>
      </c>
    </row>
    <row r="3099" spans="1:16" x14ac:dyDescent="0.2">
      <c r="A3099" s="119" t="s">
        <v>1213</v>
      </c>
      <c r="B3099" s="120" t="s">
        <v>1214</v>
      </c>
      <c r="C3099" s="129">
        <f>Technical!D165</f>
        <v>800000</v>
      </c>
      <c r="D3099" s="129">
        <v>0</v>
      </c>
      <c r="E3099" s="129">
        <v>65070.25</v>
      </c>
      <c r="F3099" s="129">
        <v>433801.68</v>
      </c>
      <c r="G3099" s="129">
        <v>366198.32</v>
      </c>
      <c r="H3099" s="129">
        <v>54.22</v>
      </c>
      <c r="I3099" s="129">
        <f>Technical!J165</f>
        <v>0</v>
      </c>
      <c r="J3099" s="129">
        <f>Technical!K165</f>
        <v>800000</v>
      </c>
      <c r="K3099" s="129">
        <f>Technical!L165</f>
        <v>0</v>
      </c>
      <c r="L3099" s="129">
        <f>Technical!M165</f>
        <v>0</v>
      </c>
      <c r="O3099" s="129"/>
      <c r="P3099" s="123" t="str">
        <f t="shared" si="686"/>
        <v>473</v>
      </c>
    </row>
    <row r="3100" spans="1:16" x14ac:dyDescent="0.2">
      <c r="A3100" s="119" t="s">
        <v>1215</v>
      </c>
      <c r="B3100" s="120" t="s">
        <v>1216</v>
      </c>
      <c r="C3100" s="129">
        <f>Technical!D166</f>
        <v>2127821</v>
      </c>
      <c r="D3100" s="129">
        <f>Technical!E166</f>
        <v>0</v>
      </c>
      <c r="E3100" s="129">
        <f>Technical!F166</f>
        <v>0</v>
      </c>
      <c r="F3100" s="129">
        <f>Technical!G166</f>
        <v>1217.71</v>
      </c>
      <c r="G3100" s="129">
        <f>Technical!H166</f>
        <v>-1217.71</v>
      </c>
      <c r="H3100" s="129">
        <f>Technical!I166</f>
        <v>0</v>
      </c>
      <c r="I3100" s="129">
        <f>Technical!J166</f>
        <v>0</v>
      </c>
      <c r="J3100" s="129">
        <f>Technical!K166</f>
        <v>2127821</v>
      </c>
      <c r="K3100" s="129">
        <f>Technical!L166</f>
        <v>0</v>
      </c>
      <c r="L3100" s="129">
        <f>Technical!M166</f>
        <v>0</v>
      </c>
      <c r="M3100" s="129">
        <f>Technical!N166</f>
        <v>0</v>
      </c>
      <c r="N3100" s="129">
        <f>Technical!O166</f>
        <v>0</v>
      </c>
      <c r="O3100" s="129">
        <f>Technical!P166</f>
        <v>0</v>
      </c>
      <c r="P3100" s="123" t="str">
        <f t="shared" si="686"/>
        <v>474</v>
      </c>
    </row>
    <row r="3101" spans="1:16" x14ac:dyDescent="0.2">
      <c r="A3101" s="119" t="s">
        <v>1345</v>
      </c>
      <c r="B3101" s="120" t="s">
        <v>1346</v>
      </c>
      <c r="C3101" s="129">
        <f>Technical!D167</f>
        <v>0</v>
      </c>
      <c r="D3101" s="129">
        <f>Technical!E167</f>
        <v>0</v>
      </c>
      <c r="E3101" s="129">
        <f>Technical!F167</f>
        <v>0</v>
      </c>
      <c r="F3101" s="129">
        <f>Technical!G167</f>
        <v>1217.71</v>
      </c>
      <c r="G3101" s="129">
        <f>Technical!H167</f>
        <v>-1217.71</v>
      </c>
      <c r="H3101" s="129">
        <f>Technical!I167</f>
        <v>0</v>
      </c>
      <c r="I3101" s="129">
        <f>Technical!J167</f>
        <v>0</v>
      </c>
      <c r="J3101" s="129">
        <f>Technical!K167</f>
        <v>0</v>
      </c>
      <c r="K3101" s="129">
        <f>Technical!L167</f>
        <v>0</v>
      </c>
      <c r="L3101" s="129">
        <f>Technical!M167</f>
        <v>0</v>
      </c>
      <c r="M3101" s="129">
        <f>Technical!N167</f>
        <v>0</v>
      </c>
      <c r="N3101" s="129">
        <f>Technical!O167</f>
        <v>0</v>
      </c>
      <c r="O3101" s="129">
        <f>Technical!N167</f>
        <v>0</v>
      </c>
      <c r="P3101" s="123" t="str">
        <f t="shared" si="686"/>
        <v>472</v>
      </c>
    </row>
    <row r="3102" spans="1:16" x14ac:dyDescent="0.2">
      <c r="A3102" s="119"/>
      <c r="B3102" s="120" t="s">
        <v>1347</v>
      </c>
      <c r="C3102" s="129">
        <f>Technical!D168</f>
        <v>0</v>
      </c>
      <c r="D3102" s="129">
        <f>Technical!E168</f>
        <v>0</v>
      </c>
      <c r="E3102" s="129">
        <f>Technical!F168</f>
        <v>0</v>
      </c>
      <c r="F3102" s="129">
        <f>Technical!G168</f>
        <v>0</v>
      </c>
      <c r="G3102" s="129">
        <f>Technical!H168</f>
        <v>0</v>
      </c>
      <c r="H3102" s="129">
        <f>Technical!I168</f>
        <v>0</v>
      </c>
      <c r="I3102" s="129">
        <f>Technical!J168</f>
        <v>0</v>
      </c>
      <c r="J3102" s="129">
        <f>Technical!K168</f>
        <v>0</v>
      </c>
      <c r="K3102" s="129">
        <f>Technical!L168</f>
        <v>0</v>
      </c>
      <c r="L3102" s="129">
        <f>Technical!M168</f>
        <v>4800000</v>
      </c>
      <c r="M3102" s="129">
        <f>Technical!N168</f>
        <v>8000000</v>
      </c>
      <c r="N3102" s="129">
        <f>Technical!O168</f>
        <v>0</v>
      </c>
      <c r="O3102" s="129">
        <f>Technical!N168</f>
        <v>8000000</v>
      </c>
      <c r="P3102" s="123" t="str">
        <f t="shared" si="686"/>
        <v/>
      </c>
    </row>
    <row r="3103" spans="1:16" x14ac:dyDescent="0.2">
      <c r="A3103" s="119"/>
      <c r="B3103" s="120" t="s">
        <v>1348</v>
      </c>
      <c r="C3103" s="129">
        <f>Technical!D169</f>
        <v>0</v>
      </c>
      <c r="D3103" s="129">
        <f>Technical!E169</f>
        <v>0</v>
      </c>
      <c r="E3103" s="129">
        <f>Technical!F169</f>
        <v>0</v>
      </c>
      <c r="F3103" s="129">
        <f>Technical!G169</f>
        <v>0</v>
      </c>
      <c r="G3103" s="129">
        <f>Technical!H169</f>
        <v>0</v>
      </c>
      <c r="H3103" s="129">
        <f>Technical!I169</f>
        <v>0</v>
      </c>
      <c r="I3103" s="129">
        <f>Technical!J169</f>
        <v>0</v>
      </c>
      <c r="J3103" s="129">
        <f>Technical!K169</f>
        <v>0</v>
      </c>
      <c r="K3103" s="129">
        <f>Technical!L169</f>
        <v>0</v>
      </c>
      <c r="L3103" s="129">
        <f>Technical!M169</f>
        <v>0</v>
      </c>
      <c r="M3103" s="129">
        <f>Technical!N169</f>
        <v>0</v>
      </c>
      <c r="N3103" s="129">
        <f>Technical!O169</f>
        <v>0</v>
      </c>
      <c r="O3103" s="129">
        <f>Technical!N169</f>
        <v>0</v>
      </c>
      <c r="P3103" s="123" t="str">
        <f t="shared" si="686"/>
        <v/>
      </c>
    </row>
    <row r="3104" spans="1:16" x14ac:dyDescent="0.2">
      <c r="A3104" s="119"/>
      <c r="B3104" s="120" t="s">
        <v>1349</v>
      </c>
      <c r="C3104" s="129">
        <f>Technical!D170</f>
        <v>0</v>
      </c>
      <c r="D3104" s="129">
        <f>Technical!E170</f>
        <v>0</v>
      </c>
      <c r="E3104" s="129">
        <f>Technical!F170</f>
        <v>0</v>
      </c>
      <c r="F3104" s="129">
        <f>Technical!G170</f>
        <v>0</v>
      </c>
      <c r="G3104" s="129">
        <f>Technical!H170</f>
        <v>0</v>
      </c>
      <c r="H3104" s="129">
        <f>Technical!I170</f>
        <v>0</v>
      </c>
      <c r="I3104" s="129">
        <f>Technical!J170</f>
        <v>0</v>
      </c>
      <c r="J3104" s="129">
        <f>Technical!K170</f>
        <v>0</v>
      </c>
      <c r="K3104" s="129">
        <f>Technical!L170</f>
        <v>0</v>
      </c>
      <c r="L3104" s="129">
        <f>Technical!M170</f>
        <v>0</v>
      </c>
      <c r="M3104" s="129">
        <f>Technical!N170</f>
        <v>0</v>
      </c>
      <c r="N3104" s="129">
        <f>Technical!O170</f>
        <v>0</v>
      </c>
      <c r="O3104" s="129">
        <f>Technical!P170</f>
        <v>0</v>
      </c>
      <c r="P3104" s="123" t="str">
        <f t="shared" si="686"/>
        <v/>
      </c>
    </row>
    <row r="3105" spans="1:16" x14ac:dyDescent="0.2">
      <c r="A3105" s="119" t="s">
        <v>1350</v>
      </c>
      <c r="B3105" s="120" t="s">
        <v>1351</v>
      </c>
      <c r="C3105" s="129">
        <f>Technical!D171</f>
        <v>0</v>
      </c>
      <c r="D3105" s="129">
        <f>Technical!E171</f>
        <v>0</v>
      </c>
      <c r="E3105" s="129">
        <f>Technical!F171</f>
        <v>0</v>
      </c>
      <c r="F3105" s="129">
        <f>Technical!G171</f>
        <v>1217.71</v>
      </c>
      <c r="G3105" s="129">
        <f>Technical!H171</f>
        <v>-1217.71</v>
      </c>
      <c r="H3105" s="129">
        <f>Technical!I171</f>
        <v>0</v>
      </c>
      <c r="I3105" s="129">
        <f>Technical!J171</f>
        <v>0</v>
      </c>
      <c r="J3105" s="129">
        <f>Technical!K171</f>
        <v>0</v>
      </c>
      <c r="K3105" s="129">
        <f>Technical!L171</f>
        <v>14861980.24</v>
      </c>
      <c r="L3105" s="129">
        <f>Technical!M171</f>
        <v>2988019.78</v>
      </c>
      <c r="M3105" s="129">
        <f>Technical!N171</f>
        <v>0</v>
      </c>
      <c r="N3105" s="129">
        <f>Technical!O171</f>
        <v>0</v>
      </c>
      <c r="O3105" s="129">
        <f>Technical!N171</f>
        <v>0</v>
      </c>
      <c r="P3105" s="123" t="str">
        <f t="shared" si="686"/>
        <v>472</v>
      </c>
    </row>
    <row r="3106" spans="1:16" x14ac:dyDescent="0.2">
      <c r="A3106" s="119" t="s">
        <v>1352</v>
      </c>
      <c r="B3106" s="120" t="s">
        <v>1353</v>
      </c>
      <c r="C3106" s="129">
        <f>Technical!D172</f>
        <v>0</v>
      </c>
      <c r="D3106" s="129">
        <f>Technical!E172</f>
        <v>0</v>
      </c>
      <c r="E3106" s="129">
        <f>Technical!F172</f>
        <v>0</v>
      </c>
      <c r="F3106" s="129">
        <f>Technical!G172</f>
        <v>1217.71</v>
      </c>
      <c r="G3106" s="129">
        <f>Technical!H172</f>
        <v>-1217.71</v>
      </c>
      <c r="H3106" s="129">
        <f>Technical!I172</f>
        <v>0</v>
      </c>
      <c r="I3106" s="129">
        <f>Technical!J172</f>
        <v>0</v>
      </c>
      <c r="J3106" s="129">
        <f>Technical!K172</f>
        <v>0</v>
      </c>
      <c r="K3106" s="129">
        <f>Technical!L172</f>
        <v>0</v>
      </c>
      <c r="L3106" s="129">
        <f>Technical!M172</f>
        <v>12105000</v>
      </c>
      <c r="M3106" s="129">
        <f>Technical!N172</f>
        <v>7000000</v>
      </c>
      <c r="N3106" s="129">
        <f>Technical!O172</f>
        <v>0</v>
      </c>
      <c r="O3106" s="129">
        <f>Technical!N172</f>
        <v>7000000</v>
      </c>
      <c r="P3106" s="123" t="str">
        <f t="shared" si="686"/>
        <v>472</v>
      </c>
    </row>
    <row r="3107" spans="1:16" x14ac:dyDescent="0.2">
      <c r="A3107" s="119"/>
      <c r="B3107" s="120" t="s">
        <v>3067</v>
      </c>
      <c r="C3107" s="129">
        <f>Technical!D173</f>
        <v>0</v>
      </c>
      <c r="D3107" s="129">
        <f>Technical!E173</f>
        <v>0</v>
      </c>
      <c r="E3107" s="129">
        <f>Technical!F173</f>
        <v>0</v>
      </c>
      <c r="F3107" s="129">
        <f>Technical!G173</f>
        <v>0</v>
      </c>
      <c r="G3107" s="129">
        <f>Technical!H173</f>
        <v>0</v>
      </c>
      <c r="H3107" s="129">
        <f>Technical!I173</f>
        <v>0</v>
      </c>
      <c r="I3107" s="129">
        <f>Technical!J173</f>
        <v>0</v>
      </c>
      <c r="J3107" s="129">
        <f>Technical!K173</f>
        <v>0</v>
      </c>
      <c r="K3107" s="129">
        <f>Technical!L173</f>
        <v>0</v>
      </c>
      <c r="L3107" s="129">
        <f>Technical!M173</f>
        <v>2000000</v>
      </c>
      <c r="M3107" s="129">
        <f>Technical!N173</f>
        <v>6000000</v>
      </c>
      <c r="N3107" s="129">
        <f>Technical!O173</f>
        <v>0</v>
      </c>
      <c r="O3107" s="129">
        <f>Technical!N173</f>
        <v>6000000</v>
      </c>
      <c r="P3107" s="123" t="str">
        <f t="shared" si="686"/>
        <v/>
      </c>
    </row>
    <row r="3108" spans="1:16" x14ac:dyDescent="0.2">
      <c r="A3108" s="119"/>
      <c r="B3108" s="120" t="s">
        <v>3068</v>
      </c>
      <c r="C3108" s="129">
        <f>Technical!D174</f>
        <v>0</v>
      </c>
      <c r="D3108" s="129">
        <f>Technical!E174</f>
        <v>0</v>
      </c>
      <c r="E3108" s="129">
        <f>Technical!F174</f>
        <v>0</v>
      </c>
      <c r="F3108" s="129">
        <f>Technical!G174</f>
        <v>0</v>
      </c>
      <c r="G3108" s="129">
        <f>Technical!H174</f>
        <v>0</v>
      </c>
      <c r="H3108" s="129">
        <f>Technical!I174</f>
        <v>0</v>
      </c>
      <c r="I3108" s="129">
        <f>Technical!J174</f>
        <v>0</v>
      </c>
      <c r="J3108" s="129">
        <f>Technical!K174</f>
        <v>0</v>
      </c>
      <c r="K3108" s="129">
        <f>Technical!L174</f>
        <v>0</v>
      </c>
      <c r="L3108" s="129">
        <f>Technical!M174</f>
        <v>2000000</v>
      </c>
      <c r="M3108" s="129">
        <f>Technical!N174</f>
        <v>6000000</v>
      </c>
      <c r="N3108" s="129">
        <f>Technical!O174</f>
        <v>0</v>
      </c>
      <c r="O3108" s="129">
        <f>Technical!N174</f>
        <v>6000000</v>
      </c>
      <c r="P3108" s="123" t="str">
        <f t="shared" si="686"/>
        <v/>
      </c>
    </row>
    <row r="3109" spans="1:16" x14ac:dyDescent="0.2">
      <c r="A3109" s="119"/>
      <c r="B3109" s="120" t="s">
        <v>3069</v>
      </c>
      <c r="C3109" s="129">
        <f>Technical!D175</f>
        <v>0</v>
      </c>
      <c r="D3109" s="129">
        <f>Technical!E175</f>
        <v>0</v>
      </c>
      <c r="E3109" s="129">
        <f>Technical!F175</f>
        <v>0</v>
      </c>
      <c r="F3109" s="129">
        <f>Technical!G175</f>
        <v>0</v>
      </c>
      <c r="G3109" s="129">
        <f>Technical!H175</f>
        <v>0</v>
      </c>
      <c r="H3109" s="129">
        <f>Technical!I175</f>
        <v>0</v>
      </c>
      <c r="I3109" s="129">
        <f>Technical!J175</f>
        <v>0</v>
      </c>
      <c r="J3109" s="129">
        <f>Technical!K175</f>
        <v>0</v>
      </c>
      <c r="K3109" s="129">
        <f>Technical!L175</f>
        <v>0</v>
      </c>
      <c r="L3109" s="129">
        <f>Technical!M175</f>
        <v>2000000</v>
      </c>
      <c r="M3109" s="129">
        <f>Technical!N175</f>
        <v>5905050</v>
      </c>
      <c r="N3109" s="129">
        <f>Technical!O175</f>
        <v>0</v>
      </c>
      <c r="O3109" s="129">
        <f>Technical!N175</f>
        <v>5905050</v>
      </c>
      <c r="P3109" s="123" t="str">
        <f t="shared" si="686"/>
        <v/>
      </c>
    </row>
    <row r="3110" spans="1:16" x14ac:dyDescent="0.2">
      <c r="A3110" s="119"/>
      <c r="B3110" s="120" t="s">
        <v>3043</v>
      </c>
      <c r="C3110" s="129">
        <f>Technical!D177</f>
        <v>0</v>
      </c>
      <c r="D3110" s="129">
        <f>Technical!E177</f>
        <v>0</v>
      </c>
      <c r="E3110" s="129">
        <f>Technical!F177</f>
        <v>0</v>
      </c>
      <c r="F3110" s="129">
        <f>Technical!G177</f>
        <v>0</v>
      </c>
      <c r="G3110" s="129">
        <f>Technical!H177</f>
        <v>0</v>
      </c>
      <c r="H3110" s="129">
        <f>Technical!I177</f>
        <v>0</v>
      </c>
      <c r="I3110" s="129">
        <f>Technical!J177</f>
        <v>0</v>
      </c>
      <c r="J3110" s="129">
        <f>Technical!K177</f>
        <v>0</v>
      </c>
      <c r="K3110" s="129">
        <v>0</v>
      </c>
      <c r="L3110" s="129">
        <f>Technical!M177</f>
        <v>12259030</v>
      </c>
      <c r="M3110" s="129">
        <f>Technical!N177</f>
        <v>6000000</v>
      </c>
      <c r="N3110" s="129">
        <f>Technical!O177</f>
        <v>0</v>
      </c>
      <c r="O3110" s="129">
        <f>Technical!N177</f>
        <v>6000000</v>
      </c>
      <c r="P3110" s="123" t="str">
        <f t="shared" si="686"/>
        <v/>
      </c>
    </row>
    <row r="3111" spans="1:16" x14ac:dyDescent="0.2">
      <c r="A3111" s="119"/>
      <c r="B3111" s="120" t="s">
        <v>3042</v>
      </c>
      <c r="C3111" s="129">
        <f>Technical!D178</f>
        <v>0</v>
      </c>
      <c r="D3111" s="129">
        <f>Technical!E178</f>
        <v>0</v>
      </c>
      <c r="E3111" s="129">
        <f>Technical!F178</f>
        <v>0</v>
      </c>
      <c r="F3111" s="129">
        <f>Technical!G178</f>
        <v>0</v>
      </c>
      <c r="G3111" s="129">
        <f>Technical!H178</f>
        <v>0</v>
      </c>
      <c r="H3111" s="129">
        <f>Technical!I178</f>
        <v>0</v>
      </c>
      <c r="I3111" s="129">
        <f>Technical!J178</f>
        <v>0</v>
      </c>
      <c r="J3111" s="129">
        <f>Technical!K178</f>
        <v>0</v>
      </c>
      <c r="K3111" s="129">
        <f>Technical!L178</f>
        <v>0</v>
      </c>
      <c r="L3111" s="129">
        <f>Technical!M178</f>
        <v>0</v>
      </c>
      <c r="M3111" s="129">
        <f>Technical!N178</f>
        <v>0</v>
      </c>
      <c r="N3111" s="129">
        <f>Technical!O178</f>
        <v>0</v>
      </c>
      <c r="O3111" s="129">
        <f>Technical!N178</f>
        <v>0</v>
      </c>
      <c r="P3111" s="123" t="str">
        <f t="shared" si="686"/>
        <v/>
      </c>
    </row>
    <row r="3112" spans="1:16" x14ac:dyDescent="0.2">
      <c r="A3112" s="119"/>
      <c r="B3112" s="120"/>
      <c r="C3112" s="129"/>
      <c r="D3112" s="129"/>
      <c r="E3112" s="129"/>
      <c r="F3112" s="129"/>
      <c r="G3112" s="129"/>
      <c r="H3112" s="129"/>
      <c r="I3112" s="129" t="e">
        <f>Technical!#REF!</f>
        <v>#REF!</v>
      </c>
      <c r="J3112" s="129"/>
      <c r="K3112" s="129"/>
      <c r="L3112" s="129"/>
      <c r="O3112" s="129"/>
      <c r="P3112" s="123" t="str">
        <f t="shared" si="686"/>
        <v/>
      </c>
    </row>
    <row r="3113" spans="1:16" s="114" customFormat="1" ht="15" x14ac:dyDescent="0.25">
      <c r="A3113" s="118"/>
      <c r="B3113" s="117" t="s">
        <v>320</v>
      </c>
      <c r="C3113" s="128">
        <f>SUM(C3093:C3112)</f>
        <v>45541271</v>
      </c>
      <c r="D3113" s="128">
        <f t="shared" ref="D3113:O3113" si="690">SUM(D3093:D3112)</f>
        <v>0</v>
      </c>
      <c r="E3113" s="128">
        <f t="shared" si="690"/>
        <v>65070.25</v>
      </c>
      <c r="F3113" s="128">
        <f t="shared" si="690"/>
        <v>445978.78000000009</v>
      </c>
      <c r="G3113" s="128">
        <f t="shared" si="690"/>
        <v>354021.21999999991</v>
      </c>
      <c r="H3113" s="128">
        <f t="shared" si="690"/>
        <v>54.22</v>
      </c>
      <c r="I3113" s="128" t="e">
        <f t="shared" si="690"/>
        <v>#REF!</v>
      </c>
      <c r="J3113" s="128">
        <f t="shared" si="690"/>
        <v>47009451</v>
      </c>
      <c r="K3113" s="128">
        <f t="shared" si="690"/>
        <v>37446350</v>
      </c>
      <c r="L3113" s="128">
        <f t="shared" si="690"/>
        <v>39412049.780000001</v>
      </c>
      <c r="M3113" s="128">
        <f t="shared" si="690"/>
        <v>38905050</v>
      </c>
      <c r="N3113" s="128">
        <f t="shared" si="690"/>
        <v>0</v>
      </c>
      <c r="O3113" s="128">
        <f t="shared" si="690"/>
        <v>38905050</v>
      </c>
      <c r="P3113" s="123" t="str">
        <f t="shared" si="686"/>
        <v/>
      </c>
    </row>
    <row r="3114" spans="1:16" s="114" customFormat="1" ht="15" x14ac:dyDescent="0.25">
      <c r="A3114" s="118"/>
      <c r="B3114" s="117"/>
      <c r="C3114" s="128"/>
      <c r="D3114" s="128"/>
      <c r="E3114" s="128"/>
      <c r="F3114" s="128"/>
      <c r="G3114" s="128"/>
      <c r="H3114" s="128"/>
      <c r="I3114" s="129">
        <f>Technical!J181</f>
        <v>0</v>
      </c>
      <c r="J3114" s="129"/>
      <c r="K3114" s="129"/>
      <c r="L3114" s="129"/>
      <c r="M3114" s="186"/>
      <c r="N3114" s="186"/>
      <c r="O3114" s="128"/>
      <c r="P3114" s="123" t="str">
        <f t="shared" si="686"/>
        <v/>
      </c>
    </row>
    <row r="3115" spans="1:16" s="114" customFormat="1" ht="15" x14ac:dyDescent="0.25">
      <c r="A3115" s="118"/>
      <c r="B3115" s="117" t="s">
        <v>1217</v>
      </c>
      <c r="C3115" s="128"/>
      <c r="D3115" s="128"/>
      <c r="E3115" s="128"/>
      <c r="F3115" s="128"/>
      <c r="G3115" s="128"/>
      <c r="H3115" s="128"/>
      <c r="I3115" s="129">
        <f>Technical!J182</f>
        <v>0</v>
      </c>
      <c r="J3115" s="129"/>
      <c r="K3115" s="129"/>
      <c r="L3115" s="129"/>
      <c r="M3115" s="186"/>
      <c r="N3115" s="186"/>
      <c r="O3115" s="128"/>
      <c r="P3115" s="123" t="str">
        <f t="shared" si="686"/>
        <v/>
      </c>
    </row>
    <row r="3116" spans="1:16" s="114" customFormat="1" ht="15" x14ac:dyDescent="0.25">
      <c r="A3116" s="118"/>
      <c r="B3116" s="117" t="s">
        <v>9</v>
      </c>
      <c r="C3116" s="128"/>
      <c r="D3116" s="128"/>
      <c r="E3116" s="128"/>
      <c r="F3116" s="128"/>
      <c r="G3116" s="128"/>
      <c r="H3116" s="128"/>
      <c r="I3116" s="129">
        <f>Technical!J183</f>
        <v>0</v>
      </c>
      <c r="J3116" s="129"/>
      <c r="K3116" s="129"/>
      <c r="L3116" s="129"/>
      <c r="M3116" s="186"/>
      <c r="N3116" s="186"/>
      <c r="O3116" s="128"/>
      <c r="P3116" s="123" t="str">
        <f t="shared" si="686"/>
        <v/>
      </c>
    </row>
    <row r="3117" spans="1:16" s="114" customFormat="1" ht="15" x14ac:dyDescent="0.25">
      <c r="A3117" s="118"/>
      <c r="B3117" s="117" t="s">
        <v>10</v>
      </c>
      <c r="C3117" s="128"/>
      <c r="D3117" s="128"/>
      <c r="E3117" s="128"/>
      <c r="F3117" s="128"/>
      <c r="G3117" s="128"/>
      <c r="H3117" s="128"/>
      <c r="I3117" s="129">
        <f>Technical!J184</f>
        <v>0</v>
      </c>
      <c r="J3117" s="129"/>
      <c r="K3117" s="129"/>
      <c r="L3117" s="129"/>
      <c r="M3117" s="186"/>
      <c r="N3117" s="186"/>
      <c r="O3117" s="128"/>
      <c r="P3117" s="123" t="str">
        <f t="shared" si="686"/>
        <v/>
      </c>
    </row>
    <row r="3118" spans="1:16" s="114" customFormat="1" ht="15" x14ac:dyDescent="0.25">
      <c r="A3118" s="118"/>
      <c r="B3118" s="117" t="s">
        <v>29</v>
      </c>
      <c r="C3118" s="128"/>
      <c r="D3118" s="128"/>
      <c r="E3118" s="128"/>
      <c r="F3118" s="128"/>
      <c r="G3118" s="128"/>
      <c r="H3118" s="128"/>
      <c r="I3118" s="129">
        <f>Technical!J185</f>
        <v>0</v>
      </c>
      <c r="J3118" s="129"/>
      <c r="K3118" s="129"/>
      <c r="L3118" s="129"/>
      <c r="M3118" s="186"/>
      <c r="N3118" s="186"/>
      <c r="O3118" s="128"/>
      <c r="P3118" s="123" t="str">
        <f t="shared" si="686"/>
        <v/>
      </c>
    </row>
    <row r="3119" spans="1:16" s="114" customFormat="1" ht="15" x14ac:dyDescent="0.25">
      <c r="A3119" s="118"/>
      <c r="B3119" s="117" t="s">
        <v>30</v>
      </c>
      <c r="C3119" s="128"/>
      <c r="D3119" s="128"/>
      <c r="E3119" s="128"/>
      <c r="F3119" s="128"/>
      <c r="G3119" s="128"/>
      <c r="H3119" s="128"/>
      <c r="I3119" s="129">
        <f>Technical!J186</f>
        <v>0</v>
      </c>
      <c r="J3119" s="129"/>
      <c r="K3119" s="129"/>
      <c r="L3119" s="129"/>
      <c r="M3119" s="186"/>
      <c r="N3119" s="186"/>
      <c r="O3119" s="128"/>
      <c r="P3119" s="123" t="str">
        <f t="shared" si="686"/>
        <v/>
      </c>
    </row>
    <row r="3120" spans="1:16" x14ac:dyDescent="0.2">
      <c r="A3120" s="119"/>
      <c r="B3120" s="120"/>
      <c r="C3120" s="129"/>
      <c r="D3120" s="129"/>
      <c r="E3120" s="129"/>
      <c r="F3120" s="129"/>
      <c r="G3120" s="129"/>
      <c r="H3120" s="129"/>
      <c r="I3120" s="129">
        <f>Technical!J187</f>
        <v>0</v>
      </c>
      <c r="J3120" s="129"/>
      <c r="K3120" s="129"/>
      <c r="L3120" s="129"/>
      <c r="O3120" s="129"/>
      <c r="P3120" s="123" t="str">
        <f t="shared" si="686"/>
        <v/>
      </c>
    </row>
    <row r="3121" spans="1:16" x14ac:dyDescent="0.2">
      <c r="A3121" s="119" t="s">
        <v>1218</v>
      </c>
      <c r="B3121" s="120" t="s">
        <v>33</v>
      </c>
      <c r="C3121" s="129">
        <v>-1757550</v>
      </c>
      <c r="D3121" s="129">
        <v>-474821.9</v>
      </c>
      <c r="E3121" s="129">
        <v>0</v>
      </c>
      <c r="F3121" s="129">
        <v>-932309.88</v>
      </c>
      <c r="G3121" s="129">
        <v>-825240.12</v>
      </c>
      <c r="H3121" s="129">
        <v>53.04</v>
      </c>
      <c r="I3121" s="129">
        <f>Technical!J188</f>
        <v>0</v>
      </c>
      <c r="J3121" s="129">
        <f>Technical!K188</f>
        <v>-1757550</v>
      </c>
      <c r="K3121" s="129">
        <f>Technical!L188</f>
        <v>-1746650</v>
      </c>
      <c r="L3121" s="129">
        <f>Technical!M188</f>
        <v>-1886950</v>
      </c>
      <c r="O3121" s="129">
        <f>Technical!N188</f>
        <v>-1989600</v>
      </c>
      <c r="P3121" s="123" t="str">
        <f t="shared" si="686"/>
        <v>178</v>
      </c>
    </row>
    <row r="3122" spans="1:16" x14ac:dyDescent="0.2">
      <c r="A3122" s="119"/>
      <c r="B3122" s="120"/>
      <c r="C3122" s="129"/>
      <c r="D3122" s="129"/>
      <c r="E3122" s="129"/>
      <c r="F3122" s="129"/>
      <c r="G3122" s="129"/>
      <c r="H3122" s="129"/>
      <c r="I3122" s="129">
        <f>Technical!J189</f>
        <v>0</v>
      </c>
      <c r="J3122" s="129"/>
      <c r="K3122" s="129"/>
      <c r="L3122" s="129"/>
      <c r="O3122" s="129"/>
      <c r="P3122" s="123" t="str">
        <f t="shared" si="686"/>
        <v/>
      </c>
    </row>
    <row r="3123" spans="1:16" s="114" customFormat="1" ht="15" x14ac:dyDescent="0.25">
      <c r="A3123" s="118"/>
      <c r="B3123" s="117" t="s">
        <v>35</v>
      </c>
      <c r="C3123" s="128">
        <f>SUM(C3121:C3122)</f>
        <v>-1757550</v>
      </c>
      <c r="D3123" s="128">
        <f t="shared" ref="D3123:O3123" si="691">SUM(D3121:D3122)</f>
        <v>-474821.9</v>
      </c>
      <c r="E3123" s="128">
        <f t="shared" si="691"/>
        <v>0</v>
      </c>
      <c r="F3123" s="128">
        <f t="shared" si="691"/>
        <v>-932309.88</v>
      </c>
      <c r="G3123" s="128">
        <f t="shared" si="691"/>
        <v>-825240.12</v>
      </c>
      <c r="H3123" s="128">
        <f t="shared" si="691"/>
        <v>53.04</v>
      </c>
      <c r="I3123" s="128">
        <f t="shared" si="691"/>
        <v>0</v>
      </c>
      <c r="J3123" s="128">
        <f t="shared" si="691"/>
        <v>-1757550</v>
      </c>
      <c r="K3123" s="128">
        <f t="shared" si="691"/>
        <v>-1746650</v>
      </c>
      <c r="L3123" s="128">
        <f t="shared" si="691"/>
        <v>-1886950</v>
      </c>
      <c r="M3123" s="128">
        <f t="shared" si="691"/>
        <v>0</v>
      </c>
      <c r="N3123" s="128">
        <f t="shared" si="691"/>
        <v>0</v>
      </c>
      <c r="O3123" s="128">
        <f t="shared" si="691"/>
        <v>-1989600</v>
      </c>
      <c r="P3123" s="123" t="str">
        <f t="shared" si="686"/>
        <v/>
      </c>
    </row>
    <row r="3124" spans="1:16" s="114" customFormat="1" ht="15" x14ac:dyDescent="0.25">
      <c r="A3124" s="118"/>
      <c r="B3124" s="117"/>
      <c r="C3124" s="128"/>
      <c r="D3124" s="128"/>
      <c r="E3124" s="128"/>
      <c r="F3124" s="128"/>
      <c r="G3124" s="128"/>
      <c r="H3124" s="128"/>
      <c r="I3124" s="129">
        <f>Technical!J191</f>
        <v>0</v>
      </c>
      <c r="J3124" s="129"/>
      <c r="K3124" s="129"/>
      <c r="L3124" s="129"/>
      <c r="M3124" s="186"/>
      <c r="N3124" s="186"/>
      <c r="O3124" s="128"/>
      <c r="P3124" s="123" t="str">
        <f t="shared" si="686"/>
        <v/>
      </c>
    </row>
    <row r="3125" spans="1:16" s="114" customFormat="1" ht="15" x14ac:dyDescent="0.25">
      <c r="A3125" s="118"/>
      <c r="B3125" s="117" t="s">
        <v>36</v>
      </c>
      <c r="C3125" s="128"/>
      <c r="D3125" s="128"/>
      <c r="E3125" s="128"/>
      <c r="F3125" s="128"/>
      <c r="G3125" s="128"/>
      <c r="H3125" s="128"/>
      <c r="I3125" s="129">
        <f>Technical!J192</f>
        <v>0</v>
      </c>
      <c r="J3125" s="129"/>
      <c r="K3125" s="129"/>
      <c r="L3125" s="129"/>
      <c r="M3125" s="186"/>
      <c r="N3125" s="186"/>
      <c r="O3125" s="128"/>
      <c r="P3125" s="123" t="str">
        <f t="shared" si="686"/>
        <v/>
      </c>
    </row>
    <row r="3126" spans="1:16" x14ac:dyDescent="0.2">
      <c r="A3126" s="119"/>
      <c r="B3126" s="120"/>
      <c r="C3126" s="129"/>
      <c r="D3126" s="129"/>
      <c r="E3126" s="129"/>
      <c r="F3126" s="129"/>
      <c r="G3126" s="129"/>
      <c r="H3126" s="129"/>
      <c r="I3126" s="129">
        <f>Technical!J193</f>
        <v>0</v>
      </c>
      <c r="J3126" s="129"/>
      <c r="K3126" s="129"/>
      <c r="L3126" s="129"/>
      <c r="O3126" s="129"/>
      <c r="P3126" s="123" t="str">
        <f t="shared" si="686"/>
        <v/>
      </c>
    </row>
    <row r="3127" spans="1:16" x14ac:dyDescent="0.2">
      <c r="A3127" s="119" t="s">
        <v>1219</v>
      </c>
      <c r="B3127" s="120" t="s">
        <v>37</v>
      </c>
      <c r="C3127" s="129">
        <v>-33393460</v>
      </c>
      <c r="D3127" s="129">
        <v>-16715989.720000001</v>
      </c>
      <c r="E3127" s="129">
        <v>0</v>
      </c>
      <c r="F3127" s="129">
        <v>-31038466.530000001</v>
      </c>
      <c r="G3127" s="129">
        <v>-2354993.4700000002</v>
      </c>
      <c r="H3127" s="129">
        <v>92.94</v>
      </c>
      <c r="I3127" s="129">
        <f>Technical!J194</f>
        <v>0</v>
      </c>
      <c r="J3127" s="129">
        <f>Technical!K194</f>
        <v>-43119460</v>
      </c>
      <c r="K3127" s="129">
        <f>Technical!L194</f>
        <v>-33186350</v>
      </c>
      <c r="L3127" s="129">
        <f>Technical!M194</f>
        <v>-35852050</v>
      </c>
      <c r="M3127" s="129">
        <f>Technical!N194</f>
        <v>-37802400</v>
      </c>
      <c r="N3127" s="129">
        <f>Technical!O194</f>
        <v>0</v>
      </c>
      <c r="O3127" s="129">
        <f>Technical!N194</f>
        <v>-37802400</v>
      </c>
      <c r="P3127" s="123" t="str">
        <f t="shared" si="686"/>
        <v>258</v>
      </c>
    </row>
    <row r="3128" spans="1:16" x14ac:dyDescent="0.2">
      <c r="A3128" s="119"/>
      <c r="B3128" s="120"/>
      <c r="C3128" s="129"/>
      <c r="D3128" s="129"/>
      <c r="E3128" s="129"/>
      <c r="F3128" s="129"/>
      <c r="G3128" s="129"/>
      <c r="H3128" s="129"/>
      <c r="I3128" s="129">
        <f>Technical!J195</f>
        <v>0</v>
      </c>
      <c r="J3128" s="129"/>
      <c r="K3128" s="129"/>
      <c r="L3128" s="129"/>
      <c r="O3128" s="129"/>
      <c r="P3128" s="123" t="str">
        <f t="shared" si="686"/>
        <v/>
      </c>
    </row>
    <row r="3129" spans="1:16" s="114" customFormat="1" ht="15" x14ac:dyDescent="0.25">
      <c r="A3129" s="118"/>
      <c r="B3129" s="117" t="s">
        <v>38</v>
      </c>
      <c r="C3129" s="128">
        <f>SUM(C3127:C3128)</f>
        <v>-33393460</v>
      </c>
      <c r="D3129" s="128">
        <f t="shared" ref="D3129:O3129" si="692">SUM(D3127:D3128)</f>
        <v>-16715989.720000001</v>
      </c>
      <c r="E3129" s="128">
        <f t="shared" si="692"/>
        <v>0</v>
      </c>
      <c r="F3129" s="128">
        <f t="shared" si="692"/>
        <v>-31038466.530000001</v>
      </c>
      <c r="G3129" s="128">
        <f t="shared" si="692"/>
        <v>-2354993.4700000002</v>
      </c>
      <c r="H3129" s="128">
        <f t="shared" si="692"/>
        <v>92.94</v>
      </c>
      <c r="I3129" s="128">
        <f t="shared" si="692"/>
        <v>0</v>
      </c>
      <c r="J3129" s="128">
        <f t="shared" si="692"/>
        <v>-43119460</v>
      </c>
      <c r="K3129" s="128">
        <f t="shared" si="692"/>
        <v>-33186350</v>
      </c>
      <c r="L3129" s="128">
        <f t="shared" si="692"/>
        <v>-35852050</v>
      </c>
      <c r="M3129" s="128">
        <f t="shared" si="692"/>
        <v>-37802400</v>
      </c>
      <c r="N3129" s="128">
        <f t="shared" si="692"/>
        <v>0</v>
      </c>
      <c r="O3129" s="128">
        <f t="shared" si="692"/>
        <v>-37802400</v>
      </c>
      <c r="P3129" s="123" t="str">
        <f t="shared" si="686"/>
        <v/>
      </c>
    </row>
    <row r="3130" spans="1:16" s="114" customFormat="1" ht="15" x14ac:dyDescent="0.25">
      <c r="A3130" s="118"/>
      <c r="B3130" s="117"/>
      <c r="C3130" s="128"/>
      <c r="D3130" s="128"/>
      <c r="E3130" s="128"/>
      <c r="F3130" s="128"/>
      <c r="G3130" s="128"/>
      <c r="H3130" s="128"/>
      <c r="I3130" s="128">
        <f>Technical!J197</f>
        <v>0</v>
      </c>
      <c r="J3130" s="128"/>
      <c r="K3130" s="128"/>
      <c r="L3130" s="128"/>
      <c r="M3130" s="186"/>
      <c r="N3130" s="186"/>
      <c r="O3130" s="128"/>
      <c r="P3130" s="123" t="str">
        <f t="shared" si="686"/>
        <v/>
      </c>
    </row>
    <row r="3131" spans="1:16" s="114" customFormat="1" ht="15" x14ac:dyDescent="0.25">
      <c r="A3131" s="118"/>
      <c r="B3131" s="117" t="s">
        <v>39</v>
      </c>
      <c r="C3131" s="128">
        <f>C3123+C3129</f>
        <v>-35151010</v>
      </c>
      <c r="D3131" s="128">
        <f t="shared" ref="D3131:O3131" si="693">D3123+D3129</f>
        <v>-17190811.620000001</v>
      </c>
      <c r="E3131" s="128">
        <f t="shared" si="693"/>
        <v>0</v>
      </c>
      <c r="F3131" s="128">
        <f t="shared" si="693"/>
        <v>-31970776.41</v>
      </c>
      <c r="G3131" s="128">
        <f t="shared" si="693"/>
        <v>-3180233.5900000003</v>
      </c>
      <c r="H3131" s="128">
        <f t="shared" si="693"/>
        <v>145.97999999999999</v>
      </c>
      <c r="I3131" s="128">
        <f t="shared" si="693"/>
        <v>0</v>
      </c>
      <c r="J3131" s="128">
        <f t="shared" si="693"/>
        <v>-44877010</v>
      </c>
      <c r="K3131" s="128">
        <f t="shared" si="693"/>
        <v>-34933000</v>
      </c>
      <c r="L3131" s="128">
        <f t="shared" si="693"/>
        <v>-37739000</v>
      </c>
      <c r="M3131" s="128">
        <f t="shared" si="693"/>
        <v>-37802400</v>
      </c>
      <c r="N3131" s="128">
        <f t="shared" si="693"/>
        <v>0</v>
      </c>
      <c r="O3131" s="128">
        <f t="shared" si="693"/>
        <v>-39792000</v>
      </c>
      <c r="P3131" s="123" t="str">
        <f t="shared" si="686"/>
        <v/>
      </c>
    </row>
    <row r="3132" spans="1:16" s="114" customFormat="1" ht="15" x14ac:dyDescent="0.25">
      <c r="A3132" s="118"/>
      <c r="B3132" s="117"/>
      <c r="C3132" s="128"/>
      <c r="D3132" s="128"/>
      <c r="E3132" s="128"/>
      <c r="F3132" s="128"/>
      <c r="G3132" s="128"/>
      <c r="H3132" s="128"/>
      <c r="I3132" s="128"/>
      <c r="J3132" s="128"/>
      <c r="K3132" s="128"/>
      <c r="L3132" s="128"/>
      <c r="M3132" s="186"/>
      <c r="N3132" s="186"/>
      <c r="O3132" s="128"/>
      <c r="P3132" s="123" t="str">
        <f t="shared" si="686"/>
        <v/>
      </c>
    </row>
    <row r="3133" spans="1:16" s="114" customFormat="1" ht="15" x14ac:dyDescent="0.25">
      <c r="A3133" s="118"/>
      <c r="B3133" s="117" t="s">
        <v>40</v>
      </c>
      <c r="C3133" s="128">
        <f>SUM(C3131:C3132)</f>
        <v>-35151010</v>
      </c>
      <c r="D3133" s="128">
        <f t="shared" ref="D3133:O3133" si="694">SUM(D3131:D3132)</f>
        <v>-17190811.620000001</v>
      </c>
      <c r="E3133" s="128">
        <f t="shared" si="694"/>
        <v>0</v>
      </c>
      <c r="F3133" s="128">
        <f t="shared" si="694"/>
        <v>-31970776.41</v>
      </c>
      <c r="G3133" s="128">
        <f t="shared" si="694"/>
        <v>-3180233.5900000003</v>
      </c>
      <c r="H3133" s="128">
        <f t="shared" si="694"/>
        <v>145.97999999999999</v>
      </c>
      <c r="I3133" s="128">
        <f t="shared" si="694"/>
        <v>0</v>
      </c>
      <c r="J3133" s="128">
        <f t="shared" si="694"/>
        <v>-44877010</v>
      </c>
      <c r="K3133" s="128">
        <f t="shared" si="694"/>
        <v>-34933000</v>
      </c>
      <c r="L3133" s="128">
        <f t="shared" si="694"/>
        <v>-37739000</v>
      </c>
      <c r="M3133" s="128">
        <f t="shared" si="694"/>
        <v>-37802400</v>
      </c>
      <c r="N3133" s="128">
        <f t="shared" si="694"/>
        <v>0</v>
      </c>
      <c r="O3133" s="128">
        <f t="shared" si="694"/>
        <v>-39792000</v>
      </c>
      <c r="P3133" s="123" t="str">
        <f t="shared" si="686"/>
        <v/>
      </c>
    </row>
    <row r="3134" spans="1:16" s="114" customFormat="1" ht="15" x14ac:dyDescent="0.25">
      <c r="A3134" s="118"/>
      <c r="B3134" s="117"/>
      <c r="C3134" s="128"/>
      <c r="D3134" s="128"/>
      <c r="E3134" s="128"/>
      <c r="F3134" s="128"/>
      <c r="G3134" s="128"/>
      <c r="H3134" s="128"/>
      <c r="I3134" s="129">
        <f>Technical!J201</f>
        <v>0</v>
      </c>
      <c r="J3134" s="129"/>
      <c r="K3134" s="129"/>
      <c r="L3134" s="129"/>
      <c r="M3134" s="186"/>
      <c r="N3134" s="186"/>
      <c r="O3134" s="128"/>
      <c r="P3134" s="123" t="str">
        <f t="shared" si="686"/>
        <v/>
      </c>
    </row>
    <row r="3135" spans="1:16" s="114" customFormat="1" ht="15" x14ac:dyDescent="0.25">
      <c r="A3135" s="118"/>
      <c r="B3135" s="117" t="s">
        <v>95</v>
      </c>
      <c r="C3135" s="128">
        <f>C3133</f>
        <v>-35151010</v>
      </c>
      <c r="D3135" s="128">
        <f t="shared" ref="D3135:O3135" si="695">D3133</f>
        <v>-17190811.620000001</v>
      </c>
      <c r="E3135" s="128">
        <f t="shared" si="695"/>
        <v>0</v>
      </c>
      <c r="F3135" s="128">
        <f t="shared" si="695"/>
        <v>-31970776.41</v>
      </c>
      <c r="G3135" s="128">
        <f t="shared" si="695"/>
        <v>-3180233.5900000003</v>
      </c>
      <c r="H3135" s="128">
        <f t="shared" si="695"/>
        <v>145.97999999999999</v>
      </c>
      <c r="I3135" s="128">
        <f t="shared" si="695"/>
        <v>0</v>
      </c>
      <c r="J3135" s="128">
        <f t="shared" si="695"/>
        <v>-44877010</v>
      </c>
      <c r="K3135" s="128">
        <f t="shared" si="695"/>
        <v>-34933000</v>
      </c>
      <c r="L3135" s="128">
        <f t="shared" si="695"/>
        <v>-37739000</v>
      </c>
      <c r="M3135" s="128">
        <f t="shared" si="695"/>
        <v>-37802400</v>
      </c>
      <c r="N3135" s="128">
        <f t="shared" si="695"/>
        <v>0</v>
      </c>
      <c r="O3135" s="128">
        <f t="shared" si="695"/>
        <v>-39792000</v>
      </c>
      <c r="P3135" s="123" t="str">
        <f t="shared" si="686"/>
        <v/>
      </c>
    </row>
    <row r="3136" spans="1:16" s="114" customFormat="1" ht="15" x14ac:dyDescent="0.25">
      <c r="A3136" s="118"/>
      <c r="B3136" s="117"/>
      <c r="C3136" s="128"/>
      <c r="D3136" s="128"/>
      <c r="E3136" s="128"/>
      <c r="F3136" s="128"/>
      <c r="G3136" s="128"/>
      <c r="H3136" s="128"/>
      <c r="I3136" s="129">
        <f>Technical!J203</f>
        <v>0</v>
      </c>
      <c r="J3136" s="129"/>
      <c r="K3136" s="129"/>
      <c r="L3136" s="129"/>
      <c r="M3136" s="186"/>
      <c r="N3136" s="186"/>
      <c r="O3136" s="128"/>
      <c r="P3136" s="123" t="str">
        <f t="shared" si="686"/>
        <v/>
      </c>
    </row>
    <row r="3137" spans="1:16" s="114" customFormat="1" ht="15" x14ac:dyDescent="0.25">
      <c r="A3137" s="118"/>
      <c r="B3137" s="117" t="s">
        <v>96</v>
      </c>
      <c r="C3137" s="128"/>
      <c r="D3137" s="128"/>
      <c r="E3137" s="128"/>
      <c r="F3137" s="128"/>
      <c r="G3137" s="128"/>
      <c r="H3137" s="128"/>
      <c r="I3137" s="129">
        <f>Technical!J204</f>
        <v>0</v>
      </c>
      <c r="J3137" s="129"/>
      <c r="K3137" s="129"/>
      <c r="L3137" s="129"/>
      <c r="M3137" s="186"/>
      <c r="N3137" s="186"/>
      <c r="O3137" s="128"/>
      <c r="P3137" s="123" t="str">
        <f t="shared" si="686"/>
        <v/>
      </c>
    </row>
    <row r="3138" spans="1:16" s="114" customFormat="1" ht="15" x14ac:dyDescent="0.25">
      <c r="A3138" s="118"/>
      <c r="B3138" s="117" t="s">
        <v>97</v>
      </c>
      <c r="C3138" s="128"/>
      <c r="D3138" s="128"/>
      <c r="E3138" s="128"/>
      <c r="F3138" s="128"/>
      <c r="G3138" s="128"/>
      <c r="H3138" s="128"/>
      <c r="I3138" s="129">
        <f>Technical!J205</f>
        <v>0</v>
      </c>
      <c r="J3138" s="129"/>
      <c r="K3138" s="129"/>
      <c r="L3138" s="129"/>
      <c r="M3138" s="186"/>
      <c r="N3138" s="186"/>
      <c r="O3138" s="128"/>
      <c r="P3138" s="123" t="str">
        <f t="shared" si="686"/>
        <v/>
      </c>
    </row>
    <row r="3139" spans="1:16" s="114" customFormat="1" ht="15" x14ac:dyDescent="0.25">
      <c r="A3139" s="118"/>
      <c r="B3139" s="117" t="s">
        <v>148</v>
      </c>
      <c r="C3139" s="128"/>
      <c r="D3139" s="128"/>
      <c r="E3139" s="128"/>
      <c r="F3139" s="128"/>
      <c r="G3139" s="128"/>
      <c r="H3139" s="128"/>
      <c r="I3139" s="129">
        <f>Technical!J206</f>
        <v>0</v>
      </c>
      <c r="J3139" s="129"/>
      <c r="K3139" s="129"/>
      <c r="L3139" s="129"/>
      <c r="M3139" s="186"/>
      <c r="N3139" s="186"/>
      <c r="O3139" s="128"/>
      <c r="P3139" s="123" t="str">
        <f t="shared" si="686"/>
        <v/>
      </c>
    </row>
    <row r="3140" spans="1:16" s="114" customFormat="1" ht="15" x14ac:dyDescent="0.25">
      <c r="A3140" s="118"/>
      <c r="B3140" s="117" t="s">
        <v>149</v>
      </c>
      <c r="C3140" s="128"/>
      <c r="D3140" s="128"/>
      <c r="E3140" s="128"/>
      <c r="F3140" s="128"/>
      <c r="G3140" s="128"/>
      <c r="H3140" s="128"/>
      <c r="I3140" s="129">
        <f>Technical!J207</f>
        <v>0</v>
      </c>
      <c r="J3140" s="129"/>
      <c r="K3140" s="129"/>
      <c r="L3140" s="129"/>
      <c r="M3140" s="186"/>
      <c r="N3140" s="186"/>
      <c r="O3140" s="128"/>
      <c r="P3140" s="123" t="str">
        <f t="shared" si="686"/>
        <v/>
      </c>
    </row>
    <row r="3141" spans="1:16" x14ac:dyDescent="0.2">
      <c r="A3141" s="119"/>
      <c r="B3141" s="120"/>
      <c r="C3141" s="129"/>
      <c r="D3141" s="129"/>
      <c r="E3141" s="129"/>
      <c r="F3141" s="129"/>
      <c r="G3141" s="129"/>
      <c r="H3141" s="129"/>
      <c r="I3141" s="129">
        <f>Technical!J208</f>
        <v>0</v>
      </c>
      <c r="J3141" s="129"/>
      <c r="K3141" s="129"/>
      <c r="L3141" s="129"/>
      <c r="O3141" s="129"/>
      <c r="P3141" s="123" t="str">
        <f t="shared" si="686"/>
        <v/>
      </c>
    </row>
    <row r="3142" spans="1:16" x14ac:dyDescent="0.2">
      <c r="A3142" s="119" t="s">
        <v>1220</v>
      </c>
      <c r="B3142" s="120" t="s">
        <v>150</v>
      </c>
      <c r="C3142" s="129">
        <v>1709823</v>
      </c>
      <c r="D3142" s="129">
        <v>135890.74</v>
      </c>
      <c r="E3142" s="129">
        <v>0</v>
      </c>
      <c r="F3142" s="129">
        <v>949444.86</v>
      </c>
      <c r="G3142" s="129">
        <v>760378.14</v>
      </c>
      <c r="H3142" s="129">
        <v>55.52</v>
      </c>
      <c r="I3142" s="129">
        <f>Technical!J209</f>
        <v>0</v>
      </c>
      <c r="J3142" s="129">
        <f>Technical!K209</f>
        <v>1709823</v>
      </c>
      <c r="K3142" s="129">
        <f>Technical!L209</f>
        <v>1746650</v>
      </c>
      <c r="L3142" s="129">
        <f>Technical!M209</f>
        <v>1886950</v>
      </c>
      <c r="O3142" s="129">
        <f>Technical!N209</f>
        <v>1989600</v>
      </c>
      <c r="P3142" s="123" t="str">
        <f t="shared" si="686"/>
        <v>110</v>
      </c>
    </row>
    <row r="3143" spans="1:16" x14ac:dyDescent="0.2">
      <c r="A3143" s="119" t="s">
        <v>1221</v>
      </c>
      <c r="B3143" s="120" t="s">
        <v>151</v>
      </c>
      <c r="C3143" s="129">
        <v>0</v>
      </c>
      <c r="D3143" s="129">
        <v>16934.18</v>
      </c>
      <c r="E3143" s="129">
        <v>0</v>
      </c>
      <c r="F3143" s="129">
        <v>16934.18</v>
      </c>
      <c r="G3143" s="129">
        <v>-16934.18</v>
      </c>
      <c r="H3143" s="129">
        <v>0</v>
      </c>
      <c r="I3143" s="129">
        <f>Technical!J210</f>
        <v>16934</v>
      </c>
      <c r="J3143" s="129">
        <f>Technical!K210</f>
        <v>16934</v>
      </c>
      <c r="K3143" s="129">
        <f>Technical!L210</f>
        <v>17992.375</v>
      </c>
      <c r="L3143" s="129">
        <f>Technical!M210</f>
        <v>19251.841250000001</v>
      </c>
      <c r="O3143" s="129">
        <f>Technical!N210</f>
        <v>20599.4701375</v>
      </c>
      <c r="P3143" s="123" t="str">
        <f t="shared" ref="P3143:P3206" si="696">MID(A3143,6,3)</f>
        <v>110</v>
      </c>
    </row>
    <row r="3144" spans="1:16" x14ac:dyDescent="0.2">
      <c r="A3144" s="119"/>
      <c r="B3144" s="120"/>
      <c r="C3144" s="129"/>
      <c r="D3144" s="129"/>
      <c r="E3144" s="129"/>
      <c r="F3144" s="129"/>
      <c r="G3144" s="129"/>
      <c r="H3144" s="129"/>
      <c r="I3144" s="129">
        <f>Technical!J211</f>
        <v>0</v>
      </c>
      <c r="J3144" s="129"/>
      <c r="K3144" s="129"/>
      <c r="L3144" s="129"/>
      <c r="O3144" s="129"/>
      <c r="P3144" s="123" t="str">
        <f t="shared" si="696"/>
        <v/>
      </c>
    </row>
    <row r="3145" spans="1:16" s="114" customFormat="1" ht="15" x14ac:dyDescent="0.25">
      <c r="A3145" s="118"/>
      <c r="B3145" s="117" t="s">
        <v>165</v>
      </c>
      <c r="C3145" s="128">
        <f>SUM(C3142:C3144)</f>
        <v>1709823</v>
      </c>
      <c r="D3145" s="128">
        <f t="shared" ref="D3145:O3145" si="697">SUM(D3142:D3144)</f>
        <v>152824.91999999998</v>
      </c>
      <c r="E3145" s="128">
        <f t="shared" si="697"/>
        <v>0</v>
      </c>
      <c r="F3145" s="128">
        <f t="shared" si="697"/>
        <v>966379.04</v>
      </c>
      <c r="G3145" s="128">
        <f t="shared" si="697"/>
        <v>743443.96</v>
      </c>
      <c r="H3145" s="128">
        <f t="shared" si="697"/>
        <v>55.52</v>
      </c>
      <c r="I3145" s="128">
        <f t="shared" si="697"/>
        <v>16934</v>
      </c>
      <c r="J3145" s="128">
        <f t="shared" si="697"/>
        <v>1726757</v>
      </c>
      <c r="K3145" s="128">
        <f t="shared" si="697"/>
        <v>1764642.375</v>
      </c>
      <c r="L3145" s="128">
        <f t="shared" si="697"/>
        <v>1906201.8412500001</v>
      </c>
      <c r="M3145" s="128">
        <f t="shared" si="697"/>
        <v>0</v>
      </c>
      <c r="N3145" s="128">
        <f t="shared" si="697"/>
        <v>0</v>
      </c>
      <c r="O3145" s="128">
        <f t="shared" si="697"/>
        <v>2010199.4701375</v>
      </c>
      <c r="P3145" s="123" t="str">
        <f t="shared" si="696"/>
        <v/>
      </c>
    </row>
    <row r="3146" spans="1:16" s="114" customFormat="1" ht="15" x14ac:dyDescent="0.25">
      <c r="A3146" s="118"/>
      <c r="B3146" s="117"/>
      <c r="C3146" s="128"/>
      <c r="D3146" s="128"/>
      <c r="E3146" s="128"/>
      <c r="F3146" s="128"/>
      <c r="G3146" s="128"/>
      <c r="H3146" s="128"/>
      <c r="I3146" s="129">
        <f>Technical!J213</f>
        <v>0</v>
      </c>
      <c r="J3146" s="129"/>
      <c r="K3146" s="129"/>
      <c r="L3146" s="129"/>
      <c r="M3146" s="186"/>
      <c r="N3146" s="186"/>
      <c r="O3146" s="128"/>
      <c r="P3146" s="123" t="str">
        <f t="shared" si="696"/>
        <v/>
      </c>
    </row>
    <row r="3147" spans="1:16" s="114" customFormat="1" ht="15" x14ac:dyDescent="0.25">
      <c r="A3147" s="118"/>
      <c r="B3147" s="117" t="s">
        <v>166</v>
      </c>
      <c r="C3147" s="128"/>
      <c r="D3147" s="128"/>
      <c r="E3147" s="128"/>
      <c r="F3147" s="128"/>
      <c r="G3147" s="128"/>
      <c r="H3147" s="128"/>
      <c r="I3147" s="129">
        <f>Technical!J214</f>
        <v>0</v>
      </c>
      <c r="J3147" s="129"/>
      <c r="K3147" s="129"/>
      <c r="L3147" s="129"/>
      <c r="M3147" s="186"/>
      <c r="N3147" s="186"/>
      <c r="O3147" s="128"/>
      <c r="P3147" s="123" t="str">
        <f t="shared" si="696"/>
        <v/>
      </c>
    </row>
    <row r="3148" spans="1:16" x14ac:dyDescent="0.2">
      <c r="A3148" s="119"/>
      <c r="B3148" s="120"/>
      <c r="C3148" s="129"/>
      <c r="D3148" s="129"/>
      <c r="E3148" s="129"/>
      <c r="F3148" s="129"/>
      <c r="G3148" s="129"/>
      <c r="H3148" s="129"/>
      <c r="I3148" s="129">
        <f>Technical!J215</f>
        <v>0</v>
      </c>
      <c r="J3148" s="129"/>
      <c r="K3148" s="129"/>
      <c r="L3148" s="129"/>
      <c r="O3148" s="129"/>
      <c r="P3148" s="123" t="str">
        <f t="shared" si="696"/>
        <v/>
      </c>
    </row>
    <row r="3149" spans="1:16" x14ac:dyDescent="0.2">
      <c r="A3149" s="119" t="s">
        <v>1222</v>
      </c>
      <c r="B3149" s="120" t="s">
        <v>170</v>
      </c>
      <c r="C3149" s="129">
        <v>0</v>
      </c>
      <c r="D3149" s="129">
        <v>148.72</v>
      </c>
      <c r="E3149" s="129">
        <v>0</v>
      </c>
      <c r="F3149" s="129">
        <v>844.88</v>
      </c>
      <c r="G3149" s="129">
        <v>-844.88</v>
      </c>
      <c r="H3149" s="129">
        <v>0</v>
      </c>
      <c r="I3149" s="129">
        <f>Technical!J216</f>
        <v>1800</v>
      </c>
      <c r="J3149" s="129">
        <f>Technical!K216</f>
        <v>1800</v>
      </c>
      <c r="K3149" s="129">
        <f>Technical!L216</f>
        <v>1912.5</v>
      </c>
      <c r="L3149" s="129">
        <f>Technical!M216</f>
        <v>2046.375</v>
      </c>
      <c r="O3149" s="129">
        <f>Technical!N216</f>
        <v>2189.6212500000001</v>
      </c>
      <c r="P3149" s="123" t="str">
        <f t="shared" si="696"/>
        <v>130</v>
      </c>
    </row>
    <row r="3150" spans="1:16" x14ac:dyDescent="0.2">
      <c r="A3150" s="119"/>
      <c r="B3150" s="120"/>
      <c r="C3150" s="129"/>
      <c r="D3150" s="129"/>
      <c r="E3150" s="129"/>
      <c r="F3150" s="129"/>
      <c r="G3150" s="129"/>
      <c r="H3150" s="129"/>
      <c r="I3150" s="129">
        <f>Technical!J217</f>
        <v>0</v>
      </c>
      <c r="J3150" s="129"/>
      <c r="K3150" s="129"/>
      <c r="L3150" s="129"/>
      <c r="O3150" s="129"/>
      <c r="P3150" s="123" t="str">
        <f t="shared" si="696"/>
        <v/>
      </c>
    </row>
    <row r="3151" spans="1:16" s="114" customFormat="1" ht="15" x14ac:dyDescent="0.25">
      <c r="A3151" s="118"/>
      <c r="B3151" s="117" t="s">
        <v>171</v>
      </c>
      <c r="C3151" s="128">
        <f>SUM(C3149:C3150)</f>
        <v>0</v>
      </c>
      <c r="D3151" s="128">
        <f t="shared" ref="D3151:O3151" si="698">SUM(D3149:D3150)</f>
        <v>148.72</v>
      </c>
      <c r="E3151" s="128">
        <f t="shared" si="698"/>
        <v>0</v>
      </c>
      <c r="F3151" s="128">
        <f t="shared" si="698"/>
        <v>844.88</v>
      </c>
      <c r="G3151" s="128">
        <f t="shared" si="698"/>
        <v>-844.88</v>
      </c>
      <c r="H3151" s="128">
        <f t="shared" si="698"/>
        <v>0</v>
      </c>
      <c r="I3151" s="128">
        <f t="shared" si="698"/>
        <v>1800</v>
      </c>
      <c r="J3151" s="128">
        <f t="shared" si="698"/>
        <v>1800</v>
      </c>
      <c r="K3151" s="128">
        <f t="shared" si="698"/>
        <v>1912.5</v>
      </c>
      <c r="L3151" s="128">
        <f t="shared" si="698"/>
        <v>2046.375</v>
      </c>
      <c r="M3151" s="128">
        <f t="shared" si="698"/>
        <v>0</v>
      </c>
      <c r="N3151" s="128">
        <f t="shared" si="698"/>
        <v>0</v>
      </c>
      <c r="O3151" s="128">
        <f t="shared" si="698"/>
        <v>2189.6212500000001</v>
      </c>
      <c r="P3151" s="123" t="str">
        <f t="shared" si="696"/>
        <v/>
      </c>
    </row>
    <row r="3152" spans="1:16" s="114" customFormat="1" ht="15" x14ac:dyDescent="0.25">
      <c r="A3152" s="118"/>
      <c r="B3152" s="117"/>
      <c r="C3152" s="128"/>
      <c r="D3152" s="128"/>
      <c r="E3152" s="128"/>
      <c r="F3152" s="128"/>
      <c r="G3152" s="128"/>
      <c r="H3152" s="128"/>
      <c r="I3152" s="129">
        <f>Technical!J219</f>
        <v>0</v>
      </c>
      <c r="J3152" s="129"/>
      <c r="K3152" s="129"/>
      <c r="L3152" s="129"/>
      <c r="M3152" s="186"/>
      <c r="N3152" s="186"/>
      <c r="O3152" s="128"/>
      <c r="P3152" s="123" t="str">
        <f t="shared" si="696"/>
        <v/>
      </c>
    </row>
    <row r="3153" spans="1:16" s="114" customFormat="1" ht="15" x14ac:dyDescent="0.25">
      <c r="A3153" s="118"/>
      <c r="B3153" s="117" t="s">
        <v>177</v>
      </c>
      <c r="C3153" s="128">
        <f>C3145+C3151</f>
        <v>1709823</v>
      </c>
      <c r="D3153" s="128">
        <f t="shared" ref="D3153:O3153" si="699">D3145+D3151</f>
        <v>152973.63999999998</v>
      </c>
      <c r="E3153" s="128">
        <f t="shared" si="699"/>
        <v>0</v>
      </c>
      <c r="F3153" s="128">
        <f t="shared" si="699"/>
        <v>967223.92</v>
      </c>
      <c r="G3153" s="128">
        <f t="shared" si="699"/>
        <v>742599.08</v>
      </c>
      <c r="H3153" s="128">
        <f t="shared" si="699"/>
        <v>55.52</v>
      </c>
      <c r="I3153" s="128">
        <f t="shared" si="699"/>
        <v>18734</v>
      </c>
      <c r="J3153" s="128">
        <f t="shared" si="699"/>
        <v>1728557</v>
      </c>
      <c r="K3153" s="128">
        <f t="shared" si="699"/>
        <v>1766554.875</v>
      </c>
      <c r="L3153" s="128">
        <f t="shared" si="699"/>
        <v>1908248.2162500001</v>
      </c>
      <c r="M3153" s="128">
        <f t="shared" si="699"/>
        <v>0</v>
      </c>
      <c r="N3153" s="128">
        <f t="shared" si="699"/>
        <v>0</v>
      </c>
      <c r="O3153" s="128">
        <f t="shared" si="699"/>
        <v>2012389.0913875001</v>
      </c>
      <c r="P3153" s="123" t="str">
        <f t="shared" si="696"/>
        <v/>
      </c>
    </row>
    <row r="3154" spans="1:16" s="114" customFormat="1" ht="15" x14ac:dyDescent="0.25">
      <c r="A3154" s="118"/>
      <c r="B3154" s="117"/>
      <c r="C3154" s="128"/>
      <c r="D3154" s="128"/>
      <c r="E3154" s="128"/>
      <c r="F3154" s="128"/>
      <c r="G3154" s="128"/>
      <c r="H3154" s="128"/>
      <c r="I3154" s="129">
        <f>Technical!J221</f>
        <v>0</v>
      </c>
      <c r="J3154" s="129"/>
      <c r="K3154" s="129"/>
      <c r="L3154" s="129"/>
      <c r="M3154" s="186"/>
      <c r="N3154" s="186"/>
      <c r="O3154" s="128"/>
      <c r="P3154" s="123" t="str">
        <f t="shared" si="696"/>
        <v/>
      </c>
    </row>
    <row r="3155" spans="1:16" s="114" customFormat="1" ht="15" x14ac:dyDescent="0.25">
      <c r="A3155" s="118"/>
      <c r="B3155" s="117" t="s">
        <v>178</v>
      </c>
      <c r="C3155" s="128">
        <f>C3153</f>
        <v>1709823</v>
      </c>
      <c r="D3155" s="128">
        <f t="shared" ref="D3155:O3155" si="700">D3153</f>
        <v>152973.63999999998</v>
      </c>
      <c r="E3155" s="128">
        <f t="shared" si="700"/>
        <v>0</v>
      </c>
      <c r="F3155" s="128">
        <f t="shared" si="700"/>
        <v>967223.92</v>
      </c>
      <c r="G3155" s="128">
        <f t="shared" si="700"/>
        <v>742599.08</v>
      </c>
      <c r="H3155" s="128">
        <f t="shared" si="700"/>
        <v>55.52</v>
      </c>
      <c r="I3155" s="128">
        <f t="shared" si="700"/>
        <v>18734</v>
      </c>
      <c r="J3155" s="128">
        <f t="shared" si="700"/>
        <v>1728557</v>
      </c>
      <c r="K3155" s="128">
        <f t="shared" si="700"/>
        <v>1766554.875</v>
      </c>
      <c r="L3155" s="128">
        <f t="shared" si="700"/>
        <v>1908248.2162500001</v>
      </c>
      <c r="M3155" s="128">
        <f t="shared" si="700"/>
        <v>0</v>
      </c>
      <c r="N3155" s="128">
        <f t="shared" si="700"/>
        <v>0</v>
      </c>
      <c r="O3155" s="128">
        <f t="shared" si="700"/>
        <v>2012389.0913875001</v>
      </c>
      <c r="P3155" s="123" t="str">
        <f t="shared" si="696"/>
        <v/>
      </c>
    </row>
    <row r="3156" spans="1:16" x14ac:dyDescent="0.2">
      <c r="A3156" s="119"/>
      <c r="B3156" s="120"/>
      <c r="C3156" s="129"/>
      <c r="D3156" s="129"/>
      <c r="E3156" s="129"/>
      <c r="F3156" s="129"/>
      <c r="G3156" s="129"/>
      <c r="H3156" s="129"/>
      <c r="I3156" s="129">
        <f>Technical!J223</f>
        <v>0</v>
      </c>
      <c r="J3156" s="129"/>
      <c r="K3156" s="129"/>
      <c r="L3156" s="129"/>
      <c r="O3156" s="129"/>
      <c r="P3156" s="123" t="str">
        <f t="shared" si="696"/>
        <v/>
      </c>
    </row>
    <row r="3157" spans="1:16" s="114" customFormat="1" ht="15" x14ac:dyDescent="0.25">
      <c r="A3157" s="118"/>
      <c r="B3157" s="117" t="s">
        <v>208</v>
      </c>
      <c r="C3157" s="128"/>
      <c r="D3157" s="128"/>
      <c r="E3157" s="128"/>
      <c r="F3157" s="128"/>
      <c r="G3157" s="128"/>
      <c r="H3157" s="128"/>
      <c r="I3157" s="129">
        <f>Technical!J224</f>
        <v>0</v>
      </c>
      <c r="J3157" s="129"/>
      <c r="K3157" s="129"/>
      <c r="L3157" s="129"/>
      <c r="M3157" s="186"/>
      <c r="N3157" s="186"/>
      <c r="O3157" s="128"/>
      <c r="P3157" s="123" t="str">
        <f t="shared" si="696"/>
        <v/>
      </c>
    </row>
    <row r="3158" spans="1:16" s="114" customFormat="1" ht="15" x14ac:dyDescent="0.25">
      <c r="A3158" s="118"/>
      <c r="B3158" s="117"/>
      <c r="C3158" s="128"/>
      <c r="D3158" s="128"/>
      <c r="E3158" s="128"/>
      <c r="F3158" s="128"/>
      <c r="G3158" s="128"/>
      <c r="H3158" s="128"/>
      <c r="I3158" s="129">
        <f>Technical!J225</f>
        <v>0</v>
      </c>
      <c r="J3158" s="129"/>
      <c r="K3158" s="129"/>
      <c r="L3158" s="129"/>
      <c r="M3158" s="186"/>
      <c r="N3158" s="186"/>
      <c r="O3158" s="128"/>
      <c r="P3158" s="123" t="str">
        <f t="shared" si="696"/>
        <v/>
      </c>
    </row>
    <row r="3159" spans="1:16" s="114" customFormat="1" ht="15" x14ac:dyDescent="0.25">
      <c r="A3159" s="118"/>
      <c r="B3159" s="117" t="s">
        <v>218</v>
      </c>
      <c r="C3159" s="128"/>
      <c r="D3159" s="128"/>
      <c r="E3159" s="128"/>
      <c r="F3159" s="128"/>
      <c r="G3159" s="128"/>
      <c r="H3159" s="128"/>
      <c r="I3159" s="129">
        <f>Technical!J226</f>
        <v>0</v>
      </c>
      <c r="J3159" s="129"/>
      <c r="K3159" s="129"/>
      <c r="L3159" s="129"/>
      <c r="M3159" s="186"/>
      <c r="N3159" s="186"/>
      <c r="O3159" s="128"/>
      <c r="P3159" s="123" t="str">
        <f t="shared" si="696"/>
        <v/>
      </c>
    </row>
    <row r="3160" spans="1:16" x14ac:dyDescent="0.2">
      <c r="A3160" s="119"/>
      <c r="B3160" s="120"/>
      <c r="C3160" s="129"/>
      <c r="D3160" s="129"/>
      <c r="E3160" s="129"/>
      <c r="F3160" s="129"/>
      <c r="G3160" s="129"/>
      <c r="H3160" s="129"/>
      <c r="I3160" s="129">
        <f>Technical!J227</f>
        <v>0</v>
      </c>
      <c r="J3160" s="129"/>
      <c r="K3160" s="129"/>
      <c r="L3160" s="129"/>
      <c r="O3160" s="129"/>
      <c r="P3160" s="123" t="str">
        <f t="shared" si="696"/>
        <v/>
      </c>
    </row>
    <row r="3161" spans="1:16" x14ac:dyDescent="0.2">
      <c r="A3161" s="119" t="s">
        <v>1223</v>
      </c>
      <c r="B3161" s="120" t="s">
        <v>222</v>
      </c>
      <c r="C3161" s="129">
        <v>47727</v>
      </c>
      <c r="D3161" s="129">
        <v>13267.91</v>
      </c>
      <c r="E3161" s="129">
        <v>15292.8</v>
      </c>
      <c r="F3161" s="129">
        <v>26033.15</v>
      </c>
      <c r="G3161" s="129">
        <v>21693.85</v>
      </c>
      <c r="H3161" s="129">
        <v>54.54</v>
      </c>
      <c r="I3161" s="129">
        <f>Technical!J228</f>
        <v>0</v>
      </c>
      <c r="J3161" s="129">
        <f>Technical!K228</f>
        <v>47727</v>
      </c>
      <c r="K3161" s="129">
        <f>Technical!L228</f>
        <v>49874.714999999997</v>
      </c>
      <c r="L3161" s="129">
        <f>Technical!M228</f>
        <v>52168.951889999997</v>
      </c>
      <c r="O3161" s="129">
        <f>Technical!N228</f>
        <v>54568.723676939997</v>
      </c>
      <c r="P3161" s="123" t="str">
        <f t="shared" si="696"/>
        <v>270</v>
      </c>
    </row>
    <row r="3162" spans="1:16" x14ac:dyDescent="0.2">
      <c r="A3162" s="119" t="s">
        <v>1224</v>
      </c>
      <c r="B3162" s="120" t="s">
        <v>223</v>
      </c>
      <c r="C3162" s="129">
        <v>1000000</v>
      </c>
      <c r="D3162" s="129">
        <v>0</v>
      </c>
      <c r="E3162" s="129">
        <v>0</v>
      </c>
      <c r="F3162" s="129">
        <v>0</v>
      </c>
      <c r="G3162" s="129">
        <v>1000000</v>
      </c>
      <c r="H3162" s="129">
        <v>0</v>
      </c>
      <c r="I3162" s="129">
        <f>Technical!J229</f>
        <v>-247025</v>
      </c>
      <c r="J3162" s="129">
        <f>Technical!K229</f>
        <v>752975</v>
      </c>
      <c r="K3162" s="129">
        <f>Technical!L229</f>
        <v>0</v>
      </c>
      <c r="L3162" s="129">
        <f>Technical!M229</f>
        <v>0</v>
      </c>
      <c r="O3162" s="129"/>
      <c r="P3162" s="123" t="str">
        <f t="shared" si="696"/>
        <v>270</v>
      </c>
    </row>
    <row r="3163" spans="1:16" x14ac:dyDescent="0.2">
      <c r="A3163" s="119"/>
      <c r="B3163" s="120"/>
      <c r="C3163" s="129"/>
      <c r="D3163" s="129"/>
      <c r="E3163" s="129"/>
      <c r="F3163" s="129"/>
      <c r="G3163" s="129"/>
      <c r="H3163" s="129"/>
      <c r="I3163" s="129">
        <f>Technical!J230</f>
        <v>0</v>
      </c>
      <c r="J3163" s="129"/>
      <c r="K3163" s="129"/>
      <c r="L3163" s="129"/>
      <c r="O3163" s="129"/>
      <c r="P3163" s="123" t="str">
        <f t="shared" si="696"/>
        <v/>
      </c>
    </row>
    <row r="3164" spans="1:16" s="114" customFormat="1" ht="15" x14ac:dyDescent="0.25">
      <c r="A3164" s="118"/>
      <c r="B3164" s="117" t="s">
        <v>227</v>
      </c>
      <c r="C3164" s="128">
        <f>SUM(C3161:C3163)</f>
        <v>1047727</v>
      </c>
      <c r="D3164" s="128">
        <f t="shared" ref="D3164:O3164" si="701">SUM(D3161:D3163)</f>
        <v>13267.91</v>
      </c>
      <c r="E3164" s="128">
        <f t="shared" si="701"/>
        <v>15292.8</v>
      </c>
      <c r="F3164" s="128">
        <f t="shared" si="701"/>
        <v>26033.15</v>
      </c>
      <c r="G3164" s="128">
        <f t="shared" si="701"/>
        <v>1021693.85</v>
      </c>
      <c r="H3164" s="128">
        <f t="shared" si="701"/>
        <v>54.54</v>
      </c>
      <c r="I3164" s="128">
        <f t="shared" si="701"/>
        <v>-247025</v>
      </c>
      <c r="J3164" s="128">
        <f t="shared" si="701"/>
        <v>800702</v>
      </c>
      <c r="K3164" s="128">
        <f t="shared" si="701"/>
        <v>49874.714999999997</v>
      </c>
      <c r="L3164" s="128">
        <f t="shared" si="701"/>
        <v>52168.951889999997</v>
      </c>
      <c r="M3164" s="128">
        <f t="shared" si="701"/>
        <v>0</v>
      </c>
      <c r="N3164" s="128">
        <f t="shared" si="701"/>
        <v>0</v>
      </c>
      <c r="O3164" s="128">
        <f t="shared" si="701"/>
        <v>54568.723676939997</v>
      </c>
      <c r="P3164" s="123" t="str">
        <f t="shared" si="696"/>
        <v/>
      </c>
    </row>
    <row r="3165" spans="1:16" s="114" customFormat="1" ht="15" x14ac:dyDescent="0.25">
      <c r="A3165" s="118"/>
      <c r="B3165" s="117"/>
      <c r="C3165" s="128"/>
      <c r="D3165" s="128"/>
      <c r="E3165" s="128"/>
      <c r="F3165" s="128"/>
      <c r="G3165" s="128"/>
      <c r="H3165" s="128"/>
      <c r="I3165" s="129">
        <f>Technical!J232</f>
        <v>0</v>
      </c>
      <c r="J3165" s="129"/>
      <c r="K3165" s="129"/>
      <c r="L3165" s="129"/>
      <c r="M3165" s="186"/>
      <c r="N3165" s="186"/>
      <c r="O3165" s="128"/>
      <c r="P3165" s="123" t="str">
        <f t="shared" si="696"/>
        <v/>
      </c>
    </row>
    <row r="3166" spans="1:16" s="114" customFormat="1" ht="15" x14ac:dyDescent="0.25">
      <c r="A3166" s="118"/>
      <c r="B3166" s="117" t="s">
        <v>240</v>
      </c>
      <c r="C3166" s="128">
        <f>C3164</f>
        <v>1047727</v>
      </c>
      <c r="D3166" s="128">
        <f t="shared" ref="D3166:O3166" si="702">D3164</f>
        <v>13267.91</v>
      </c>
      <c r="E3166" s="128">
        <f t="shared" si="702"/>
        <v>15292.8</v>
      </c>
      <c r="F3166" s="128">
        <f t="shared" si="702"/>
        <v>26033.15</v>
      </c>
      <c r="G3166" s="128">
        <f t="shared" si="702"/>
        <v>1021693.85</v>
      </c>
      <c r="H3166" s="128">
        <f t="shared" si="702"/>
        <v>54.54</v>
      </c>
      <c r="I3166" s="128">
        <f t="shared" si="702"/>
        <v>-247025</v>
      </c>
      <c r="J3166" s="128">
        <f t="shared" si="702"/>
        <v>800702</v>
      </c>
      <c r="K3166" s="128">
        <f t="shared" si="702"/>
        <v>49874.714999999997</v>
      </c>
      <c r="L3166" s="128">
        <f t="shared" si="702"/>
        <v>52168.951889999997</v>
      </c>
      <c r="M3166" s="128">
        <f t="shared" si="702"/>
        <v>0</v>
      </c>
      <c r="N3166" s="128">
        <f t="shared" si="702"/>
        <v>0</v>
      </c>
      <c r="O3166" s="128">
        <f t="shared" si="702"/>
        <v>54568.723676939997</v>
      </c>
      <c r="P3166" s="123" t="str">
        <f t="shared" si="696"/>
        <v/>
      </c>
    </row>
    <row r="3167" spans="1:16" s="114" customFormat="1" ht="15" x14ac:dyDescent="0.25">
      <c r="A3167" s="118"/>
      <c r="B3167" s="117"/>
      <c r="C3167" s="128"/>
      <c r="D3167" s="128"/>
      <c r="E3167" s="128"/>
      <c r="F3167" s="128"/>
      <c r="G3167" s="128"/>
      <c r="H3167" s="128"/>
      <c r="I3167" s="129">
        <f>Technical!J234</f>
        <v>0</v>
      </c>
      <c r="J3167" s="129"/>
      <c r="K3167" s="129"/>
      <c r="L3167" s="129"/>
      <c r="M3167" s="186"/>
      <c r="N3167" s="186"/>
      <c r="O3167" s="128"/>
      <c r="P3167" s="123" t="str">
        <f t="shared" si="696"/>
        <v/>
      </c>
    </row>
    <row r="3168" spans="1:16" s="114" customFormat="1" ht="15" x14ac:dyDescent="0.25">
      <c r="A3168" s="118"/>
      <c r="B3168" s="117" t="s">
        <v>241</v>
      </c>
      <c r="C3168" s="128"/>
      <c r="D3168" s="128"/>
      <c r="E3168" s="128"/>
      <c r="F3168" s="128"/>
      <c r="G3168" s="128"/>
      <c r="H3168" s="128"/>
      <c r="I3168" s="129">
        <f>Technical!J235</f>
        <v>0</v>
      </c>
      <c r="J3168" s="129"/>
      <c r="K3168" s="129"/>
      <c r="L3168" s="129"/>
      <c r="M3168" s="186"/>
      <c r="N3168" s="186"/>
      <c r="O3168" s="128"/>
      <c r="P3168" s="123" t="str">
        <f t="shared" si="696"/>
        <v/>
      </c>
    </row>
    <row r="3169" spans="1:16" x14ac:dyDescent="0.2">
      <c r="A3169" s="119"/>
      <c r="B3169" s="120"/>
      <c r="C3169" s="129"/>
      <c r="D3169" s="129"/>
      <c r="E3169" s="129"/>
      <c r="F3169" s="129"/>
      <c r="G3169" s="129"/>
      <c r="H3169" s="129"/>
      <c r="I3169" s="129">
        <f>Technical!J236</f>
        <v>0</v>
      </c>
      <c r="J3169" s="129"/>
      <c r="K3169" s="129"/>
      <c r="L3169" s="129"/>
      <c r="O3169" s="129"/>
      <c r="P3169" s="123" t="str">
        <f t="shared" si="696"/>
        <v/>
      </c>
    </row>
    <row r="3170" spans="1:16" x14ac:dyDescent="0.2">
      <c r="A3170" s="119" t="s">
        <v>1225</v>
      </c>
      <c r="B3170" s="120" t="s">
        <v>265</v>
      </c>
      <c r="C3170" s="129">
        <v>0</v>
      </c>
      <c r="D3170" s="129">
        <v>1302.07</v>
      </c>
      <c r="E3170" s="129">
        <v>0</v>
      </c>
      <c r="F3170" s="129">
        <v>6759.85</v>
      </c>
      <c r="G3170" s="129">
        <v>-6759.85</v>
      </c>
      <c r="H3170" s="129">
        <v>0</v>
      </c>
      <c r="I3170" s="129">
        <f>Technical!J237</f>
        <v>15000</v>
      </c>
      <c r="J3170" s="129">
        <f>Technical!K237</f>
        <v>15000</v>
      </c>
      <c r="K3170" s="129">
        <f>Technical!L237</f>
        <v>15937.5</v>
      </c>
      <c r="L3170" s="129">
        <f>Technical!M237</f>
        <v>17053.125</v>
      </c>
      <c r="O3170" s="129">
        <f>Technical!N237</f>
        <v>18246.84375</v>
      </c>
      <c r="P3170" s="123" t="str">
        <f t="shared" si="696"/>
        <v>305</v>
      </c>
    </row>
    <row r="3171" spans="1:16" x14ac:dyDescent="0.2">
      <c r="A3171" s="119" t="s">
        <v>1226</v>
      </c>
      <c r="B3171" s="120" t="s">
        <v>268</v>
      </c>
      <c r="C3171" s="129">
        <v>0</v>
      </c>
      <c r="D3171" s="129">
        <v>225</v>
      </c>
      <c r="E3171" s="129">
        <v>0</v>
      </c>
      <c r="F3171" s="129">
        <v>1125</v>
      </c>
      <c r="G3171" s="129">
        <v>-1125</v>
      </c>
      <c r="H3171" s="129">
        <v>0</v>
      </c>
      <c r="I3171" s="129">
        <f>Technical!J238</f>
        <v>4000</v>
      </c>
      <c r="J3171" s="129">
        <f>Technical!K238</f>
        <v>4000</v>
      </c>
      <c r="K3171" s="129">
        <f>Technical!L238</f>
        <v>4250</v>
      </c>
      <c r="L3171" s="129">
        <f>Technical!M238</f>
        <v>4547.5</v>
      </c>
      <c r="O3171" s="129">
        <f>Technical!N238</f>
        <v>4865.8249999999998</v>
      </c>
      <c r="P3171" s="123" t="str">
        <f t="shared" si="696"/>
        <v>305</v>
      </c>
    </row>
    <row r="3172" spans="1:16" x14ac:dyDescent="0.2">
      <c r="A3172" s="119"/>
      <c r="B3172" s="120"/>
      <c r="C3172" s="129"/>
      <c r="D3172" s="129"/>
      <c r="E3172" s="129"/>
      <c r="F3172" s="129"/>
      <c r="G3172" s="129"/>
      <c r="H3172" s="129"/>
      <c r="I3172" s="129">
        <f>Technical!J239</f>
        <v>0</v>
      </c>
      <c r="J3172" s="129"/>
      <c r="K3172" s="129"/>
      <c r="L3172" s="129"/>
      <c r="O3172" s="129"/>
      <c r="P3172" s="123" t="str">
        <f t="shared" si="696"/>
        <v/>
      </c>
    </row>
    <row r="3173" spans="1:16" s="114" customFormat="1" ht="15" x14ac:dyDescent="0.25">
      <c r="A3173" s="118"/>
      <c r="B3173" s="117" t="s">
        <v>274</v>
      </c>
      <c r="C3173" s="128">
        <f>SUM(C3170:C3172)</f>
        <v>0</v>
      </c>
      <c r="D3173" s="128">
        <f t="shared" ref="D3173:O3173" si="703">SUM(D3170:D3172)</f>
        <v>1527.07</v>
      </c>
      <c r="E3173" s="128">
        <f t="shared" si="703"/>
        <v>0</v>
      </c>
      <c r="F3173" s="128">
        <f t="shared" si="703"/>
        <v>7884.85</v>
      </c>
      <c r="G3173" s="128">
        <f t="shared" si="703"/>
        <v>-7884.85</v>
      </c>
      <c r="H3173" s="128">
        <f t="shared" si="703"/>
        <v>0</v>
      </c>
      <c r="I3173" s="128">
        <f t="shared" si="703"/>
        <v>19000</v>
      </c>
      <c r="J3173" s="128">
        <f t="shared" si="703"/>
        <v>19000</v>
      </c>
      <c r="K3173" s="128">
        <f t="shared" si="703"/>
        <v>20187.5</v>
      </c>
      <c r="L3173" s="128">
        <f t="shared" si="703"/>
        <v>21600.625</v>
      </c>
      <c r="M3173" s="128">
        <f t="shared" si="703"/>
        <v>0</v>
      </c>
      <c r="N3173" s="128">
        <f t="shared" si="703"/>
        <v>0</v>
      </c>
      <c r="O3173" s="128">
        <f t="shared" si="703"/>
        <v>23112.668750000001</v>
      </c>
      <c r="P3173" s="123" t="str">
        <f t="shared" si="696"/>
        <v/>
      </c>
    </row>
    <row r="3174" spans="1:16" x14ac:dyDescent="0.2">
      <c r="A3174" s="119"/>
      <c r="B3174" s="120"/>
      <c r="C3174" s="129"/>
      <c r="D3174" s="129"/>
      <c r="E3174" s="129"/>
      <c r="F3174" s="129"/>
      <c r="G3174" s="129"/>
      <c r="H3174" s="129"/>
      <c r="I3174" s="129">
        <f>Technical!J241</f>
        <v>0</v>
      </c>
      <c r="J3174" s="129"/>
      <c r="K3174" s="129"/>
      <c r="L3174" s="129"/>
      <c r="O3174" s="129"/>
      <c r="P3174" s="123" t="str">
        <f t="shared" si="696"/>
        <v/>
      </c>
    </row>
    <row r="3175" spans="1:16" s="114" customFormat="1" ht="15" x14ac:dyDescent="0.25">
      <c r="A3175" s="118"/>
      <c r="B3175" s="117" t="s">
        <v>290</v>
      </c>
      <c r="C3175" s="128"/>
      <c r="D3175" s="128"/>
      <c r="E3175" s="128"/>
      <c r="F3175" s="128"/>
      <c r="G3175" s="128"/>
      <c r="H3175" s="128"/>
      <c r="I3175" s="129">
        <f>Technical!J242</f>
        <v>0</v>
      </c>
      <c r="J3175" s="129"/>
      <c r="K3175" s="129"/>
      <c r="L3175" s="129"/>
      <c r="M3175" s="186"/>
      <c r="N3175" s="186"/>
      <c r="O3175" s="128"/>
      <c r="P3175" s="123" t="str">
        <f t="shared" si="696"/>
        <v/>
      </c>
    </row>
    <row r="3176" spans="1:16" x14ac:dyDescent="0.2">
      <c r="A3176" s="119"/>
      <c r="B3176" s="120"/>
      <c r="C3176" s="129"/>
      <c r="D3176" s="129"/>
      <c r="E3176" s="129"/>
      <c r="F3176" s="129"/>
      <c r="G3176" s="129"/>
      <c r="H3176" s="129"/>
      <c r="I3176" s="129">
        <f>Technical!J243</f>
        <v>0</v>
      </c>
      <c r="J3176" s="129"/>
      <c r="K3176" s="129"/>
      <c r="L3176" s="129"/>
      <c r="O3176" s="129"/>
      <c r="P3176" s="123" t="str">
        <f t="shared" si="696"/>
        <v/>
      </c>
    </row>
    <row r="3177" spans="1:16" x14ac:dyDescent="0.2">
      <c r="A3177" s="119" t="s">
        <v>1227</v>
      </c>
      <c r="B3177" s="120" t="s">
        <v>291</v>
      </c>
      <c r="C3177" s="129">
        <v>3371</v>
      </c>
      <c r="D3177" s="129">
        <v>2569.56</v>
      </c>
      <c r="E3177" s="129">
        <v>0</v>
      </c>
      <c r="F3177" s="129">
        <v>6386.42</v>
      </c>
      <c r="G3177" s="129">
        <v>-3015.42</v>
      </c>
      <c r="H3177" s="129">
        <v>189.45</v>
      </c>
      <c r="I3177" s="129">
        <f>Technical!J244</f>
        <v>0</v>
      </c>
      <c r="J3177" s="129">
        <f>Technical!K244</f>
        <v>3371</v>
      </c>
      <c r="K3177" s="129">
        <f>Technical!L244</f>
        <v>3522.6950000000002</v>
      </c>
      <c r="L3177" s="129">
        <f>Technical!M244</f>
        <v>3684.7389700000003</v>
      </c>
      <c r="O3177" s="129">
        <f>Technical!N244</f>
        <v>3854.2369626200002</v>
      </c>
      <c r="P3177" s="123" t="str">
        <f t="shared" si="696"/>
        <v>720</v>
      </c>
    </row>
    <row r="3178" spans="1:16" x14ac:dyDescent="0.2">
      <c r="A3178" s="119" t="s">
        <v>1228</v>
      </c>
      <c r="B3178" s="120" t="s">
        <v>292</v>
      </c>
      <c r="C3178" s="129">
        <v>46972</v>
      </c>
      <c r="D3178" s="129">
        <v>3207.94</v>
      </c>
      <c r="E3178" s="129">
        <v>0</v>
      </c>
      <c r="F3178" s="129">
        <v>9049.99</v>
      </c>
      <c r="G3178" s="129">
        <v>37922.01</v>
      </c>
      <c r="H3178" s="129">
        <v>19.260000000000002</v>
      </c>
      <c r="I3178" s="129">
        <f>Technical!J245</f>
        <v>0</v>
      </c>
      <c r="J3178" s="129">
        <f>Technical!K245</f>
        <v>46972</v>
      </c>
      <c r="K3178" s="129">
        <f>Technical!L245</f>
        <v>49085.74</v>
      </c>
      <c r="L3178" s="129">
        <f>Technical!M245</f>
        <v>51343.68404</v>
      </c>
      <c r="O3178" s="129">
        <f>Technical!N245</f>
        <v>53705.493505840001</v>
      </c>
      <c r="P3178" s="123" t="str">
        <f t="shared" si="696"/>
        <v>720</v>
      </c>
    </row>
    <row r="3179" spans="1:16" x14ac:dyDescent="0.2">
      <c r="A3179" s="119" t="s">
        <v>1229</v>
      </c>
      <c r="B3179" s="120" t="s">
        <v>293</v>
      </c>
      <c r="C3179" s="129">
        <v>15501</v>
      </c>
      <c r="D3179" s="129">
        <v>2360.06</v>
      </c>
      <c r="E3179" s="129">
        <v>0</v>
      </c>
      <c r="F3179" s="129">
        <v>5237.12</v>
      </c>
      <c r="G3179" s="129">
        <v>10263.879999999999</v>
      </c>
      <c r="H3179" s="129">
        <v>33.78</v>
      </c>
      <c r="I3179" s="129">
        <f>Technical!J246</f>
        <v>0</v>
      </c>
      <c r="J3179" s="129">
        <f>Technical!K246</f>
        <v>15501</v>
      </c>
      <c r="K3179" s="129">
        <f>Technical!L246</f>
        <v>16198.545</v>
      </c>
      <c r="L3179" s="129">
        <f>Technical!M246</f>
        <v>16943.678070000002</v>
      </c>
      <c r="O3179" s="129">
        <f>Technical!N246</f>
        <v>17723.08726122</v>
      </c>
      <c r="P3179" s="123" t="str">
        <f t="shared" si="696"/>
        <v>721</v>
      </c>
    </row>
    <row r="3180" spans="1:16" x14ac:dyDescent="0.2">
      <c r="A3180" s="119"/>
      <c r="B3180" s="120"/>
      <c r="C3180" s="129"/>
      <c r="D3180" s="129"/>
      <c r="E3180" s="129"/>
      <c r="F3180" s="129"/>
      <c r="G3180" s="129"/>
      <c r="H3180" s="129"/>
      <c r="I3180" s="129">
        <f>Technical!J247</f>
        <v>0</v>
      </c>
      <c r="J3180" s="129"/>
      <c r="K3180" s="129"/>
      <c r="L3180" s="129"/>
      <c r="O3180" s="129"/>
      <c r="P3180" s="123" t="str">
        <f t="shared" si="696"/>
        <v/>
      </c>
    </row>
    <row r="3181" spans="1:16" s="114" customFormat="1" ht="15" x14ac:dyDescent="0.25">
      <c r="A3181" s="118"/>
      <c r="B3181" s="117" t="s">
        <v>304</v>
      </c>
      <c r="C3181" s="128">
        <f>SUM(C3177:C3180)</f>
        <v>65844</v>
      </c>
      <c r="D3181" s="128">
        <f t="shared" ref="D3181:O3181" si="704">SUM(D3177:D3180)</f>
        <v>8137.5599999999995</v>
      </c>
      <c r="E3181" s="128">
        <f t="shared" si="704"/>
        <v>0</v>
      </c>
      <c r="F3181" s="128">
        <f t="shared" si="704"/>
        <v>20673.53</v>
      </c>
      <c r="G3181" s="128">
        <f t="shared" si="704"/>
        <v>45170.47</v>
      </c>
      <c r="H3181" s="128">
        <f t="shared" si="704"/>
        <v>242.48999999999998</v>
      </c>
      <c r="I3181" s="128">
        <f t="shared" si="704"/>
        <v>0</v>
      </c>
      <c r="J3181" s="128">
        <f t="shared" si="704"/>
        <v>65844</v>
      </c>
      <c r="K3181" s="128">
        <f t="shared" si="704"/>
        <v>68806.98</v>
      </c>
      <c r="L3181" s="128">
        <f t="shared" si="704"/>
        <v>71972.101079999993</v>
      </c>
      <c r="M3181" s="128">
        <f t="shared" si="704"/>
        <v>0</v>
      </c>
      <c r="N3181" s="128">
        <f t="shared" si="704"/>
        <v>0</v>
      </c>
      <c r="O3181" s="128">
        <f t="shared" si="704"/>
        <v>75282.817729679999</v>
      </c>
      <c r="P3181" s="123" t="str">
        <f t="shared" si="696"/>
        <v/>
      </c>
    </row>
    <row r="3182" spans="1:16" x14ac:dyDescent="0.2">
      <c r="A3182" s="119"/>
      <c r="B3182" s="120"/>
      <c r="C3182" s="129"/>
      <c r="D3182" s="129"/>
      <c r="E3182" s="129"/>
      <c r="F3182" s="129"/>
      <c r="G3182" s="129"/>
      <c r="H3182" s="129"/>
      <c r="I3182" s="129">
        <f>Technical!J249</f>
        <v>0</v>
      </c>
      <c r="J3182" s="129"/>
      <c r="K3182" s="129"/>
      <c r="L3182" s="129"/>
      <c r="O3182" s="129"/>
      <c r="P3182" s="123" t="str">
        <f t="shared" si="696"/>
        <v/>
      </c>
    </row>
    <row r="3183" spans="1:16" s="114" customFormat="1" ht="15" x14ac:dyDescent="0.25">
      <c r="A3183" s="118"/>
      <c r="B3183" s="117" t="s">
        <v>305</v>
      </c>
      <c r="C3183" s="128">
        <f>C3155+C3166+C3173+C3181</f>
        <v>2823394</v>
      </c>
      <c r="D3183" s="128">
        <f t="shared" ref="D3183:O3183" si="705">D3155+D3166+D3173+D3181</f>
        <v>175906.18</v>
      </c>
      <c r="E3183" s="128">
        <f t="shared" si="705"/>
        <v>15292.8</v>
      </c>
      <c r="F3183" s="128">
        <f t="shared" si="705"/>
        <v>1021815.4500000001</v>
      </c>
      <c r="G3183" s="128">
        <f t="shared" si="705"/>
        <v>1801578.5499999998</v>
      </c>
      <c r="H3183" s="128">
        <f t="shared" si="705"/>
        <v>352.54999999999995</v>
      </c>
      <c r="I3183" s="128">
        <f t="shared" si="705"/>
        <v>-209291</v>
      </c>
      <c r="J3183" s="128">
        <f t="shared" si="705"/>
        <v>2614103</v>
      </c>
      <c r="K3183" s="128">
        <f t="shared" si="705"/>
        <v>1905424.07</v>
      </c>
      <c r="L3183" s="128">
        <f t="shared" si="705"/>
        <v>2053989.8942199999</v>
      </c>
      <c r="M3183" s="128">
        <f t="shared" si="705"/>
        <v>0</v>
      </c>
      <c r="N3183" s="128">
        <f t="shared" si="705"/>
        <v>0</v>
      </c>
      <c r="O3183" s="128">
        <f t="shared" si="705"/>
        <v>2165353.3015441201</v>
      </c>
      <c r="P3183" s="123" t="str">
        <f t="shared" si="696"/>
        <v/>
      </c>
    </row>
    <row r="3184" spans="1:16" s="114" customFormat="1" ht="15" x14ac:dyDescent="0.25">
      <c r="A3184" s="118"/>
      <c r="B3184" s="117"/>
      <c r="C3184" s="128"/>
      <c r="D3184" s="128"/>
      <c r="E3184" s="128"/>
      <c r="F3184" s="128"/>
      <c r="G3184" s="128"/>
      <c r="H3184" s="128"/>
      <c r="I3184" s="129">
        <f>Technical!J251</f>
        <v>0</v>
      </c>
      <c r="J3184" s="129"/>
      <c r="K3184" s="129"/>
      <c r="L3184" s="129"/>
      <c r="M3184" s="186"/>
      <c r="N3184" s="186"/>
      <c r="O3184" s="128"/>
      <c r="P3184" s="123" t="str">
        <f t="shared" si="696"/>
        <v/>
      </c>
    </row>
    <row r="3185" spans="1:16" s="114" customFormat="1" ht="15" x14ac:dyDescent="0.25">
      <c r="A3185" s="118"/>
      <c r="B3185" s="117" t="s">
        <v>306</v>
      </c>
      <c r="C3185" s="128">
        <f>C3135+C3183</f>
        <v>-32327616</v>
      </c>
      <c r="D3185" s="128">
        <f t="shared" ref="D3185:O3185" si="706">D3135+D3183</f>
        <v>-17014905.440000001</v>
      </c>
      <c r="E3185" s="128">
        <f t="shared" si="706"/>
        <v>15292.8</v>
      </c>
      <c r="F3185" s="128">
        <f t="shared" si="706"/>
        <v>-30948960.960000001</v>
      </c>
      <c r="G3185" s="128">
        <f t="shared" si="706"/>
        <v>-1378655.0400000005</v>
      </c>
      <c r="H3185" s="128">
        <f t="shared" si="706"/>
        <v>498.53</v>
      </c>
      <c r="I3185" s="128">
        <f t="shared" si="706"/>
        <v>-209291</v>
      </c>
      <c r="J3185" s="128">
        <f t="shared" si="706"/>
        <v>-42262907</v>
      </c>
      <c r="K3185" s="128">
        <f t="shared" si="706"/>
        <v>-33027575.93</v>
      </c>
      <c r="L3185" s="128">
        <f t="shared" si="706"/>
        <v>-35685010.105779998</v>
      </c>
      <c r="M3185" s="128">
        <f t="shared" si="706"/>
        <v>-37802400</v>
      </c>
      <c r="N3185" s="128">
        <f t="shared" si="706"/>
        <v>0</v>
      </c>
      <c r="O3185" s="128">
        <f t="shared" si="706"/>
        <v>-37626646.698455878</v>
      </c>
      <c r="P3185" s="123" t="str">
        <f t="shared" si="696"/>
        <v/>
      </c>
    </row>
    <row r="3186" spans="1:16" x14ac:dyDescent="0.2">
      <c r="A3186" s="119"/>
      <c r="B3186" s="120"/>
      <c r="C3186" s="129"/>
      <c r="D3186" s="129"/>
      <c r="E3186" s="129"/>
      <c r="F3186" s="129"/>
      <c r="G3186" s="129"/>
      <c r="H3186" s="129"/>
      <c r="I3186" s="129">
        <f>Technical!J253</f>
        <v>0</v>
      </c>
      <c r="J3186" s="129"/>
      <c r="K3186" s="129"/>
      <c r="L3186" s="129"/>
      <c r="O3186" s="129"/>
      <c r="P3186" s="123" t="str">
        <f t="shared" si="696"/>
        <v/>
      </c>
    </row>
    <row r="3187" spans="1:16" s="114" customFormat="1" ht="15" x14ac:dyDescent="0.25">
      <c r="A3187" s="118"/>
      <c r="B3187" s="117" t="s">
        <v>1230</v>
      </c>
      <c r="C3187" s="128"/>
      <c r="D3187" s="128"/>
      <c r="E3187" s="128"/>
      <c r="F3187" s="128"/>
      <c r="G3187" s="128"/>
      <c r="H3187" s="128"/>
      <c r="I3187" s="129">
        <f>Technical!J254</f>
        <v>0</v>
      </c>
      <c r="J3187" s="129"/>
      <c r="K3187" s="129"/>
      <c r="L3187" s="129"/>
      <c r="M3187" s="186"/>
      <c r="N3187" s="186"/>
      <c r="O3187" s="128"/>
      <c r="P3187" s="123" t="str">
        <f t="shared" si="696"/>
        <v/>
      </c>
    </row>
    <row r="3188" spans="1:16" s="114" customFormat="1" ht="15" x14ac:dyDescent="0.25">
      <c r="A3188" s="118"/>
      <c r="B3188" s="117" t="s">
        <v>9</v>
      </c>
      <c r="C3188" s="128"/>
      <c r="D3188" s="128"/>
      <c r="E3188" s="128"/>
      <c r="F3188" s="128"/>
      <c r="G3188" s="128"/>
      <c r="H3188" s="128"/>
      <c r="I3188" s="129">
        <f>Technical!J255</f>
        <v>0</v>
      </c>
      <c r="J3188" s="129"/>
      <c r="K3188" s="129"/>
      <c r="L3188" s="129"/>
      <c r="M3188" s="186"/>
      <c r="N3188" s="186"/>
      <c r="O3188" s="128"/>
      <c r="P3188" s="123" t="str">
        <f t="shared" si="696"/>
        <v/>
      </c>
    </row>
    <row r="3189" spans="1:16" s="114" customFormat="1" ht="15" x14ac:dyDescent="0.25">
      <c r="A3189" s="118"/>
      <c r="B3189" s="117" t="s">
        <v>10</v>
      </c>
      <c r="C3189" s="128"/>
      <c r="D3189" s="128"/>
      <c r="E3189" s="128"/>
      <c r="F3189" s="128"/>
      <c r="G3189" s="128"/>
      <c r="H3189" s="128"/>
      <c r="I3189" s="129">
        <f>Technical!J256</f>
        <v>0</v>
      </c>
      <c r="J3189" s="129"/>
      <c r="K3189" s="129"/>
      <c r="L3189" s="129"/>
      <c r="M3189" s="186"/>
      <c r="N3189" s="186"/>
      <c r="O3189" s="128"/>
      <c r="P3189" s="123" t="str">
        <f t="shared" si="696"/>
        <v/>
      </c>
    </row>
    <row r="3190" spans="1:16" s="114" customFormat="1" ht="15" x14ac:dyDescent="0.25">
      <c r="A3190" s="118"/>
      <c r="B3190" s="117" t="s">
        <v>22</v>
      </c>
      <c r="C3190" s="128"/>
      <c r="D3190" s="128"/>
      <c r="E3190" s="128"/>
      <c r="F3190" s="128"/>
      <c r="G3190" s="128"/>
      <c r="H3190" s="128"/>
      <c r="I3190" s="129">
        <f>Technical!J257</f>
        <v>0</v>
      </c>
      <c r="J3190" s="129"/>
      <c r="K3190" s="129"/>
      <c r="L3190" s="129"/>
      <c r="M3190" s="186"/>
      <c r="N3190" s="186"/>
      <c r="O3190" s="128"/>
      <c r="P3190" s="123" t="str">
        <f t="shared" si="696"/>
        <v/>
      </c>
    </row>
    <row r="3191" spans="1:16" x14ac:dyDescent="0.2">
      <c r="A3191" s="119"/>
      <c r="B3191" s="120"/>
      <c r="C3191" s="129"/>
      <c r="D3191" s="129"/>
      <c r="E3191" s="129"/>
      <c r="F3191" s="129"/>
      <c r="G3191" s="129"/>
      <c r="H3191" s="129"/>
      <c r="I3191" s="129">
        <f>Technical!J258</f>
        <v>0</v>
      </c>
      <c r="J3191" s="129"/>
      <c r="K3191" s="129"/>
      <c r="L3191" s="129"/>
      <c r="O3191" s="129"/>
      <c r="P3191" s="123" t="str">
        <f t="shared" si="696"/>
        <v/>
      </c>
    </row>
    <row r="3192" spans="1:16" x14ac:dyDescent="0.2">
      <c r="A3192" s="119" t="s">
        <v>1231</v>
      </c>
      <c r="B3192" s="120" t="s">
        <v>23</v>
      </c>
      <c r="C3192" s="129">
        <v>-30535</v>
      </c>
      <c r="D3192" s="129">
        <v>0</v>
      </c>
      <c r="E3192" s="129">
        <v>0</v>
      </c>
      <c r="F3192" s="129">
        <v>0</v>
      </c>
      <c r="G3192" s="129">
        <v>-30535</v>
      </c>
      <c r="H3192" s="129">
        <v>0</v>
      </c>
      <c r="I3192" s="129">
        <f>Technical!J259</f>
        <v>0</v>
      </c>
      <c r="J3192" s="129">
        <f>Technical!K259</f>
        <v>0</v>
      </c>
      <c r="K3192" s="129">
        <f>Technical!L259</f>
        <v>-32367.1</v>
      </c>
      <c r="L3192" s="129">
        <f>Technical!M259</f>
        <v>-34632.796999999999</v>
      </c>
      <c r="O3192" s="129">
        <f>Technical!N259</f>
        <v>-37403.420760000001</v>
      </c>
      <c r="P3192" s="123" t="str">
        <f t="shared" si="696"/>
        <v>040</v>
      </c>
    </row>
    <row r="3193" spans="1:16" x14ac:dyDescent="0.2">
      <c r="A3193" s="119"/>
      <c r="B3193" s="120"/>
      <c r="C3193" s="129"/>
      <c r="D3193" s="129"/>
      <c r="E3193" s="129"/>
      <c r="F3193" s="129"/>
      <c r="G3193" s="129"/>
      <c r="H3193" s="129"/>
      <c r="I3193" s="129">
        <f>Technical!J260</f>
        <v>0</v>
      </c>
      <c r="J3193" s="129"/>
      <c r="K3193" s="129"/>
      <c r="L3193" s="129"/>
      <c r="O3193" s="129"/>
      <c r="P3193" s="123" t="str">
        <f t="shared" si="696"/>
        <v/>
      </c>
    </row>
    <row r="3194" spans="1:16" s="114" customFormat="1" ht="15" x14ac:dyDescent="0.25">
      <c r="A3194" s="118"/>
      <c r="B3194" s="117" t="s">
        <v>28</v>
      </c>
      <c r="C3194" s="128">
        <f>SUM(C3192:C3193)</f>
        <v>-30535</v>
      </c>
      <c r="D3194" s="128">
        <f t="shared" ref="D3194:O3194" si="707">SUM(D3192:D3193)</f>
        <v>0</v>
      </c>
      <c r="E3194" s="128">
        <f t="shared" si="707"/>
        <v>0</v>
      </c>
      <c r="F3194" s="128">
        <f t="shared" si="707"/>
        <v>0</v>
      </c>
      <c r="G3194" s="128">
        <f t="shared" si="707"/>
        <v>-30535</v>
      </c>
      <c r="H3194" s="128">
        <f t="shared" si="707"/>
        <v>0</v>
      </c>
      <c r="I3194" s="128">
        <f t="shared" si="707"/>
        <v>0</v>
      </c>
      <c r="J3194" s="128">
        <f t="shared" si="707"/>
        <v>0</v>
      </c>
      <c r="K3194" s="128">
        <f t="shared" si="707"/>
        <v>-32367.1</v>
      </c>
      <c r="L3194" s="128">
        <f t="shared" si="707"/>
        <v>-34632.796999999999</v>
      </c>
      <c r="M3194" s="128">
        <f t="shared" si="707"/>
        <v>0</v>
      </c>
      <c r="N3194" s="128">
        <f t="shared" si="707"/>
        <v>0</v>
      </c>
      <c r="O3194" s="128">
        <f t="shared" si="707"/>
        <v>-37403.420760000001</v>
      </c>
      <c r="P3194" s="123" t="str">
        <f t="shared" si="696"/>
        <v/>
      </c>
    </row>
    <row r="3195" spans="1:16" s="114" customFormat="1" ht="15" x14ac:dyDescent="0.25">
      <c r="A3195" s="118"/>
      <c r="B3195" s="117"/>
      <c r="C3195" s="128"/>
      <c r="D3195" s="128"/>
      <c r="E3195" s="128"/>
      <c r="F3195" s="128"/>
      <c r="G3195" s="128"/>
      <c r="H3195" s="128"/>
      <c r="I3195" s="128"/>
      <c r="J3195" s="128"/>
      <c r="K3195" s="128"/>
      <c r="L3195" s="128"/>
      <c r="M3195" s="214"/>
      <c r="N3195" s="214"/>
      <c r="O3195" s="128"/>
      <c r="P3195" s="123" t="str">
        <f t="shared" si="696"/>
        <v/>
      </c>
    </row>
    <row r="3196" spans="1:16" s="114" customFormat="1" ht="15" x14ac:dyDescent="0.25">
      <c r="A3196" s="118"/>
      <c r="B3196" s="117" t="s">
        <v>36</v>
      </c>
      <c r="C3196" s="128"/>
      <c r="D3196" s="128"/>
      <c r="E3196" s="128"/>
      <c r="F3196" s="128"/>
      <c r="G3196" s="128"/>
      <c r="H3196" s="128"/>
      <c r="I3196" s="128"/>
      <c r="J3196" s="128"/>
      <c r="K3196" s="128"/>
      <c r="L3196" s="128"/>
      <c r="M3196" s="214"/>
      <c r="N3196" s="214"/>
      <c r="O3196" s="128"/>
      <c r="P3196" s="123" t="str">
        <f t="shared" si="696"/>
        <v/>
      </c>
    </row>
    <row r="3197" spans="1:16" s="114" customFormat="1" ht="15" x14ac:dyDescent="0.25">
      <c r="A3197" s="118"/>
      <c r="B3197" s="117"/>
      <c r="C3197" s="128"/>
      <c r="D3197" s="128"/>
      <c r="E3197" s="128"/>
      <c r="F3197" s="128"/>
      <c r="G3197" s="128"/>
      <c r="H3197" s="128"/>
      <c r="I3197" s="128"/>
      <c r="J3197" s="128"/>
      <c r="K3197" s="128"/>
      <c r="L3197" s="128"/>
      <c r="M3197" s="214"/>
      <c r="N3197" s="214"/>
      <c r="O3197" s="128"/>
      <c r="P3197" s="123" t="str">
        <f t="shared" si="696"/>
        <v/>
      </c>
    </row>
    <row r="3198" spans="1:16" x14ac:dyDescent="0.2">
      <c r="A3198" s="119"/>
      <c r="B3198" s="120" t="s">
        <v>3040</v>
      </c>
      <c r="C3198" s="129">
        <f>Technical!D265</f>
        <v>0</v>
      </c>
      <c r="D3198" s="129">
        <f>Technical!E265</f>
        <v>0</v>
      </c>
      <c r="E3198" s="129">
        <f>Technical!F265</f>
        <v>0</v>
      </c>
      <c r="F3198" s="129">
        <f>Technical!G265</f>
        <v>0</v>
      </c>
      <c r="G3198" s="129">
        <f>Technical!H265</f>
        <v>0</v>
      </c>
      <c r="H3198" s="129">
        <f>Technical!I265</f>
        <v>0</v>
      </c>
      <c r="I3198" s="129">
        <f>Technical!J265</f>
        <v>0</v>
      </c>
      <c r="J3198" s="129">
        <f>Technical!K265</f>
        <v>0</v>
      </c>
      <c r="K3198" s="129">
        <f>Technical!L265</f>
        <v>-3000000</v>
      </c>
      <c r="L3198" s="129">
        <f>Technical!M265</f>
        <v>0</v>
      </c>
      <c r="M3198" s="129">
        <f>Technical!N265</f>
        <v>0</v>
      </c>
      <c r="N3198" s="129">
        <f>Technical!O265</f>
        <v>0</v>
      </c>
      <c r="O3198" s="129">
        <f>Technical!N265</f>
        <v>0</v>
      </c>
      <c r="P3198" s="123" t="str">
        <f t="shared" si="696"/>
        <v/>
      </c>
    </row>
    <row r="3199" spans="1:16" x14ac:dyDescent="0.2">
      <c r="A3199" s="119"/>
      <c r="B3199" s="120" t="s">
        <v>3041</v>
      </c>
      <c r="C3199" s="129">
        <f>Technical!D266</f>
        <v>0</v>
      </c>
      <c r="D3199" s="129">
        <f>Technical!E266</f>
        <v>0</v>
      </c>
      <c r="E3199" s="129">
        <f>Technical!F266</f>
        <v>0</v>
      </c>
      <c r="F3199" s="129">
        <f>Technical!G266</f>
        <v>0</v>
      </c>
      <c r="G3199" s="129">
        <f>Technical!H266</f>
        <v>0</v>
      </c>
      <c r="H3199" s="129">
        <f>Technical!I266</f>
        <v>0</v>
      </c>
      <c r="I3199" s="129">
        <f>Technical!J266</f>
        <v>0</v>
      </c>
      <c r="J3199" s="129">
        <f>Technical!K266</f>
        <v>0</v>
      </c>
      <c r="K3199" s="129">
        <f>Technical!L266</f>
        <v>-13000000</v>
      </c>
      <c r="L3199" s="129">
        <f>Technical!M266</f>
        <v>-6000000</v>
      </c>
      <c r="M3199" s="129">
        <f>Technical!N266</f>
        <v>-7000000</v>
      </c>
      <c r="N3199" s="129">
        <f>Technical!O266</f>
        <v>0</v>
      </c>
      <c r="O3199" s="129">
        <f>Technical!N266</f>
        <v>-7000000</v>
      </c>
      <c r="P3199" s="123" t="str">
        <f t="shared" si="696"/>
        <v/>
      </c>
    </row>
    <row r="3200" spans="1:16" s="114" customFormat="1" ht="15" x14ac:dyDescent="0.25">
      <c r="A3200" s="118"/>
      <c r="B3200" s="117"/>
      <c r="C3200" s="128"/>
      <c r="D3200" s="128"/>
      <c r="E3200" s="128"/>
      <c r="F3200" s="128"/>
      <c r="G3200" s="128"/>
      <c r="H3200" s="128"/>
      <c r="I3200" s="128"/>
      <c r="J3200" s="128"/>
      <c r="K3200" s="128"/>
      <c r="L3200" s="128"/>
      <c r="M3200" s="214"/>
      <c r="N3200" s="214"/>
      <c r="O3200" s="128"/>
      <c r="P3200" s="123" t="str">
        <f t="shared" si="696"/>
        <v/>
      </c>
    </row>
    <row r="3201" spans="1:16" s="114" customFormat="1" ht="15" x14ac:dyDescent="0.25">
      <c r="A3201" s="118"/>
      <c r="B3201" s="117" t="s">
        <v>38</v>
      </c>
      <c r="C3201" s="128">
        <f>SUM(C3198:C3200)</f>
        <v>0</v>
      </c>
      <c r="D3201" s="128">
        <f t="shared" ref="D3201:O3201" si="708">SUM(D3198:D3200)</f>
        <v>0</v>
      </c>
      <c r="E3201" s="128">
        <f t="shared" si="708"/>
        <v>0</v>
      </c>
      <c r="F3201" s="128">
        <f t="shared" si="708"/>
        <v>0</v>
      </c>
      <c r="G3201" s="128">
        <f t="shared" si="708"/>
        <v>0</v>
      </c>
      <c r="H3201" s="128">
        <f t="shared" si="708"/>
        <v>0</v>
      </c>
      <c r="I3201" s="128">
        <f t="shared" si="708"/>
        <v>0</v>
      </c>
      <c r="J3201" s="128">
        <f t="shared" si="708"/>
        <v>0</v>
      </c>
      <c r="K3201" s="128">
        <f t="shared" si="708"/>
        <v>-16000000</v>
      </c>
      <c r="L3201" s="128">
        <f t="shared" si="708"/>
        <v>-6000000</v>
      </c>
      <c r="M3201" s="128">
        <f t="shared" si="708"/>
        <v>-7000000</v>
      </c>
      <c r="N3201" s="128">
        <f t="shared" si="708"/>
        <v>0</v>
      </c>
      <c r="O3201" s="128">
        <f t="shared" si="708"/>
        <v>-7000000</v>
      </c>
      <c r="P3201" s="123" t="str">
        <f t="shared" si="696"/>
        <v/>
      </c>
    </row>
    <row r="3202" spans="1:16" s="114" customFormat="1" ht="15" x14ac:dyDescent="0.25">
      <c r="A3202" s="118"/>
      <c r="B3202" s="117"/>
      <c r="C3202" s="128"/>
      <c r="D3202" s="128"/>
      <c r="E3202" s="128"/>
      <c r="F3202" s="128"/>
      <c r="G3202" s="128"/>
      <c r="H3202" s="128"/>
      <c r="I3202" s="128"/>
      <c r="J3202" s="128"/>
      <c r="K3202" s="128"/>
      <c r="L3202" s="128"/>
      <c r="M3202" s="214"/>
      <c r="N3202" s="214"/>
      <c r="O3202" s="128"/>
      <c r="P3202" s="123" t="str">
        <f t="shared" si="696"/>
        <v/>
      </c>
    </row>
    <row r="3203" spans="1:16" s="114" customFormat="1" ht="15" x14ac:dyDescent="0.25">
      <c r="A3203" s="118"/>
      <c r="B3203" s="117" t="s">
        <v>39</v>
      </c>
      <c r="C3203" s="128"/>
      <c r="D3203" s="128"/>
      <c r="E3203" s="128"/>
      <c r="F3203" s="128"/>
      <c r="G3203" s="128"/>
      <c r="H3203" s="128"/>
      <c r="I3203" s="129">
        <f>Technical!J271</f>
        <v>0</v>
      </c>
      <c r="J3203" s="129"/>
      <c r="K3203" s="129"/>
      <c r="L3203" s="129"/>
      <c r="M3203" s="186"/>
      <c r="N3203" s="186"/>
      <c r="O3203" s="128"/>
      <c r="P3203" s="123" t="str">
        <f t="shared" si="696"/>
        <v/>
      </c>
    </row>
    <row r="3204" spans="1:16" s="114" customFormat="1" ht="15" x14ac:dyDescent="0.25">
      <c r="A3204" s="118"/>
      <c r="B3204" s="117"/>
      <c r="C3204" s="128"/>
      <c r="D3204" s="128"/>
      <c r="E3204" s="128"/>
      <c r="F3204" s="128"/>
      <c r="G3204" s="128"/>
      <c r="H3204" s="128"/>
      <c r="I3204" s="129"/>
      <c r="J3204" s="129"/>
      <c r="K3204" s="129"/>
      <c r="L3204" s="129"/>
      <c r="M3204" s="186"/>
      <c r="N3204" s="186"/>
      <c r="O3204" s="128"/>
      <c r="P3204" s="123" t="str">
        <f t="shared" si="696"/>
        <v/>
      </c>
    </row>
    <row r="3205" spans="1:16" s="114" customFormat="1" ht="15" x14ac:dyDescent="0.25">
      <c r="A3205" s="118"/>
      <c r="B3205" s="117" t="s">
        <v>40</v>
      </c>
      <c r="C3205" s="128">
        <f>SUM(C3194)+C3201</f>
        <v>-30535</v>
      </c>
      <c r="D3205" s="128">
        <f t="shared" ref="D3205:O3205" si="709">SUM(D3194)+D3201</f>
        <v>0</v>
      </c>
      <c r="E3205" s="128">
        <f t="shared" si="709"/>
        <v>0</v>
      </c>
      <c r="F3205" s="128">
        <f t="shared" si="709"/>
        <v>0</v>
      </c>
      <c r="G3205" s="128">
        <f t="shared" si="709"/>
        <v>-30535</v>
      </c>
      <c r="H3205" s="128">
        <f t="shared" si="709"/>
        <v>0</v>
      </c>
      <c r="I3205" s="128">
        <f t="shared" si="709"/>
        <v>0</v>
      </c>
      <c r="J3205" s="128">
        <f t="shared" si="709"/>
        <v>0</v>
      </c>
      <c r="K3205" s="128">
        <f t="shared" si="709"/>
        <v>-16032367.1</v>
      </c>
      <c r="L3205" s="128">
        <f t="shared" si="709"/>
        <v>-6034632.7970000003</v>
      </c>
      <c r="M3205" s="128">
        <f t="shared" si="709"/>
        <v>-7000000</v>
      </c>
      <c r="N3205" s="128">
        <f t="shared" si="709"/>
        <v>0</v>
      </c>
      <c r="O3205" s="128">
        <f t="shared" si="709"/>
        <v>-7037403.4207600001</v>
      </c>
      <c r="P3205" s="123" t="str">
        <f t="shared" si="696"/>
        <v/>
      </c>
    </row>
    <row r="3206" spans="1:16" x14ac:dyDescent="0.2">
      <c r="A3206" s="119"/>
      <c r="B3206" s="120"/>
      <c r="C3206" s="129"/>
      <c r="D3206" s="129"/>
      <c r="E3206" s="129"/>
      <c r="F3206" s="129"/>
      <c r="G3206" s="129"/>
      <c r="H3206" s="129"/>
      <c r="I3206" s="129">
        <f>Technical!J273</f>
        <v>0</v>
      </c>
      <c r="J3206" s="129"/>
      <c r="K3206" s="129"/>
      <c r="L3206" s="129"/>
      <c r="O3206" s="129"/>
      <c r="P3206" s="123" t="str">
        <f t="shared" si="696"/>
        <v/>
      </c>
    </row>
    <row r="3207" spans="1:16" s="114" customFormat="1" ht="15" x14ac:dyDescent="0.25">
      <c r="A3207" s="118"/>
      <c r="B3207" s="117" t="s">
        <v>41</v>
      </c>
      <c r="C3207" s="128"/>
      <c r="D3207" s="128"/>
      <c r="E3207" s="128"/>
      <c r="F3207" s="128"/>
      <c r="G3207" s="128"/>
      <c r="H3207" s="128"/>
      <c r="I3207" s="129">
        <f>Technical!J274</f>
        <v>0</v>
      </c>
      <c r="J3207" s="129"/>
      <c r="K3207" s="129"/>
      <c r="L3207" s="129"/>
      <c r="M3207" s="186"/>
      <c r="N3207" s="186"/>
      <c r="O3207" s="128"/>
      <c r="P3207" s="123" t="str">
        <f t="shared" ref="P3207:P3270" si="710">MID(A3207,6,3)</f>
        <v/>
      </c>
    </row>
    <row r="3208" spans="1:16" s="114" customFormat="1" ht="15" x14ac:dyDescent="0.25">
      <c r="A3208" s="118"/>
      <c r="B3208" s="117"/>
      <c r="C3208" s="128"/>
      <c r="D3208" s="128"/>
      <c r="E3208" s="128"/>
      <c r="F3208" s="128"/>
      <c r="G3208" s="128"/>
      <c r="H3208" s="128"/>
      <c r="I3208" s="129">
        <f>Technical!J275</f>
        <v>0</v>
      </c>
      <c r="J3208" s="129"/>
      <c r="K3208" s="129"/>
      <c r="L3208" s="129"/>
      <c r="M3208" s="186"/>
      <c r="N3208" s="186"/>
      <c r="O3208" s="128"/>
      <c r="P3208" s="123" t="str">
        <f t="shared" si="710"/>
        <v/>
      </c>
    </row>
    <row r="3209" spans="1:16" s="114" customFormat="1" ht="15" x14ac:dyDescent="0.25">
      <c r="A3209" s="118"/>
      <c r="B3209" s="117" t="s">
        <v>42</v>
      </c>
      <c r="C3209" s="128"/>
      <c r="D3209" s="128"/>
      <c r="E3209" s="128"/>
      <c r="F3209" s="128"/>
      <c r="G3209" s="128"/>
      <c r="H3209" s="128"/>
      <c r="I3209" s="129">
        <f>Technical!J276</f>
        <v>0</v>
      </c>
      <c r="J3209" s="129"/>
      <c r="K3209" s="129"/>
      <c r="L3209" s="129"/>
      <c r="M3209" s="186"/>
      <c r="N3209" s="186"/>
      <c r="O3209" s="128"/>
      <c r="P3209" s="123" t="str">
        <f t="shared" si="710"/>
        <v/>
      </c>
    </row>
    <row r="3210" spans="1:16" x14ac:dyDescent="0.2">
      <c r="A3210" s="119"/>
      <c r="B3210" s="120"/>
      <c r="C3210" s="129"/>
      <c r="D3210" s="129"/>
      <c r="E3210" s="129"/>
      <c r="F3210" s="129"/>
      <c r="G3210" s="129"/>
      <c r="H3210" s="129"/>
      <c r="I3210" s="129">
        <f>Technical!J277</f>
        <v>0</v>
      </c>
      <c r="J3210" s="129"/>
      <c r="K3210" s="129"/>
      <c r="L3210" s="129"/>
      <c r="O3210" s="129"/>
      <c r="P3210" s="123" t="str">
        <f t="shared" si="710"/>
        <v/>
      </c>
    </row>
    <row r="3211" spans="1:16" x14ac:dyDescent="0.2">
      <c r="A3211" s="119" t="s">
        <v>1232</v>
      </c>
      <c r="B3211" s="120" t="s">
        <v>43</v>
      </c>
      <c r="C3211" s="129">
        <f>Technical!D278</f>
        <v>-56291</v>
      </c>
      <c r="D3211" s="129">
        <f>Technical!E278</f>
        <v>0</v>
      </c>
      <c r="E3211" s="129">
        <f>Technical!F278</f>
        <v>0</v>
      </c>
      <c r="F3211" s="129">
        <f>Technical!G278</f>
        <v>0</v>
      </c>
      <c r="G3211" s="129">
        <f>Technical!H278</f>
        <v>-56291</v>
      </c>
      <c r="H3211" s="129">
        <f>Technical!I278</f>
        <v>0</v>
      </c>
      <c r="I3211" s="129">
        <f>Technical!J278</f>
        <v>0</v>
      </c>
      <c r="J3211" s="129">
        <f>Technical!K278</f>
        <v>-56291</v>
      </c>
      <c r="K3211" s="129">
        <f>Technical!L278</f>
        <v>-60850.570999999996</v>
      </c>
      <c r="L3211" s="129">
        <f>Technical!M278</f>
        <v>-64014.800691999997</v>
      </c>
      <c r="M3211" s="129">
        <f>Technical!N278</f>
        <v>-69712.117953587993</v>
      </c>
      <c r="N3211" s="129">
        <f>Technical!O278</f>
        <v>0</v>
      </c>
      <c r="O3211" s="129">
        <f>Technical!N278</f>
        <v>-69712.117953587993</v>
      </c>
      <c r="P3211" s="123" t="str">
        <f t="shared" si="710"/>
        <v>321</v>
      </c>
    </row>
    <row r="3212" spans="1:16" x14ac:dyDescent="0.2">
      <c r="A3212" s="119" t="s">
        <v>1233</v>
      </c>
      <c r="B3212" s="120" t="s">
        <v>44</v>
      </c>
      <c r="C3212" s="129">
        <f>Technical!D279</f>
        <v>-3611799</v>
      </c>
      <c r="D3212" s="129">
        <v>0</v>
      </c>
      <c r="E3212" s="129">
        <v>0</v>
      </c>
      <c r="F3212" s="129">
        <v>0</v>
      </c>
      <c r="G3212" s="129">
        <v>-3611799</v>
      </c>
      <c r="H3212" s="129">
        <v>0</v>
      </c>
      <c r="I3212" s="129">
        <f>Technical!J279</f>
        <v>0</v>
      </c>
      <c r="J3212" s="129">
        <f>Technical!K279</f>
        <v>-3611799</v>
      </c>
      <c r="K3212" s="129">
        <f>Technical!L279</f>
        <v>-3904354.719</v>
      </c>
      <c r="L3212" s="129">
        <f>Technical!M279</f>
        <v>-4107381.164388</v>
      </c>
      <c r="O3212" s="129">
        <f>Technical!N279</f>
        <v>-4472938.0880185319</v>
      </c>
      <c r="P3212" s="123" t="str">
        <f t="shared" si="710"/>
        <v>321</v>
      </c>
    </row>
    <row r="3213" spans="1:16" x14ac:dyDescent="0.2">
      <c r="A3213" s="119" t="s">
        <v>1234</v>
      </c>
      <c r="B3213" s="120" t="s">
        <v>45</v>
      </c>
      <c r="C3213" s="129">
        <f>Technical!D280</f>
        <v>-4019609</v>
      </c>
      <c r="D3213" s="129">
        <v>-115264.58</v>
      </c>
      <c r="E3213" s="129">
        <v>0</v>
      </c>
      <c r="F3213" s="129">
        <v>-891425.05</v>
      </c>
      <c r="G3213" s="129">
        <v>-3128183.95</v>
      </c>
      <c r="H3213" s="129">
        <v>22.17</v>
      </c>
      <c r="I3213" s="129">
        <f>Technical!J280</f>
        <v>0</v>
      </c>
      <c r="J3213" s="129">
        <f>Technical!K280</f>
        <v>-4019609</v>
      </c>
      <c r="K3213" s="129">
        <f>Technical!L280</f>
        <v>-4345197.3289999999</v>
      </c>
      <c r="L3213" s="129">
        <f>Technical!M280</f>
        <v>-4571147.5901079997</v>
      </c>
      <c r="O3213" s="129">
        <f>Technical!N280</f>
        <v>-4977979.7256276114</v>
      </c>
      <c r="P3213" s="123" t="str">
        <f t="shared" si="710"/>
        <v>321</v>
      </c>
    </row>
    <row r="3214" spans="1:16" x14ac:dyDescent="0.2">
      <c r="A3214" s="119" t="s">
        <v>1235</v>
      </c>
      <c r="B3214" s="120" t="s">
        <v>46</v>
      </c>
      <c r="C3214" s="129">
        <f>Technical!D281</f>
        <v>-1374256</v>
      </c>
      <c r="D3214" s="129">
        <v>-445577.79</v>
      </c>
      <c r="E3214" s="129">
        <v>0</v>
      </c>
      <c r="F3214" s="129">
        <v>-2911894.37</v>
      </c>
      <c r="G3214" s="129">
        <v>1537638.37</v>
      </c>
      <c r="H3214" s="129">
        <v>211.88</v>
      </c>
      <c r="I3214" s="129">
        <f>Technical!J281</f>
        <v>0</v>
      </c>
      <c r="J3214" s="129">
        <f>Technical!K281</f>
        <v>-1374256</v>
      </c>
      <c r="K3214" s="129">
        <f>Technical!L281</f>
        <v>-1485570.736</v>
      </c>
      <c r="L3214" s="129">
        <f>Technical!M281</f>
        <v>-1562820.4142720001</v>
      </c>
      <c r="O3214" s="129">
        <f>Technical!N281</f>
        <v>-1701911.4311422082</v>
      </c>
      <c r="P3214" s="123" t="str">
        <f t="shared" si="710"/>
        <v>321</v>
      </c>
    </row>
    <row r="3215" spans="1:16" x14ac:dyDescent="0.2">
      <c r="A3215" s="119" t="s">
        <v>1236</v>
      </c>
      <c r="B3215" s="120" t="s">
        <v>47</v>
      </c>
      <c r="C3215" s="129">
        <f>Technical!D282</f>
        <v>-145390</v>
      </c>
      <c r="D3215" s="129">
        <v>5253.04</v>
      </c>
      <c r="E3215" s="129">
        <v>0</v>
      </c>
      <c r="F3215" s="129">
        <v>34823.17</v>
      </c>
      <c r="G3215" s="129">
        <v>-180213.17</v>
      </c>
      <c r="H3215" s="129">
        <v>-23.95</v>
      </c>
      <c r="I3215" s="129">
        <f>Technical!J282</f>
        <v>0</v>
      </c>
      <c r="J3215" s="129">
        <f>Technical!K282</f>
        <v>-145390</v>
      </c>
      <c r="K3215" s="129">
        <f>Technical!L282</f>
        <v>-157166.59</v>
      </c>
      <c r="L3215" s="129">
        <f>Technical!M282</f>
        <v>-165339.25268000001</v>
      </c>
      <c r="O3215" s="129">
        <f>Technical!N282</f>
        <v>-180054.44616852002</v>
      </c>
      <c r="P3215" s="123" t="str">
        <f t="shared" si="710"/>
        <v>321</v>
      </c>
    </row>
    <row r="3216" spans="1:16" x14ac:dyDescent="0.2">
      <c r="A3216" s="119" t="s">
        <v>1237</v>
      </c>
      <c r="B3216" s="120" t="s">
        <v>48</v>
      </c>
      <c r="C3216" s="129">
        <f>Technical!D283</f>
        <v>-17172</v>
      </c>
      <c r="D3216" s="129">
        <v>-975.62</v>
      </c>
      <c r="E3216" s="129">
        <v>0</v>
      </c>
      <c r="F3216" s="129">
        <v>-8489.01</v>
      </c>
      <c r="G3216" s="129">
        <v>-8682.99</v>
      </c>
      <c r="H3216" s="129">
        <v>49.43</v>
      </c>
      <c r="I3216" s="129">
        <f>Technical!J283</f>
        <v>0</v>
      </c>
      <c r="J3216" s="129">
        <f>Technical!K283</f>
        <v>-17172</v>
      </c>
      <c r="K3216" s="129">
        <f>Technical!L283</f>
        <v>-18562.932000000001</v>
      </c>
      <c r="L3216" s="129">
        <f>Technical!M283</f>
        <v>-19528.204464000002</v>
      </c>
      <c r="O3216" s="129">
        <f>Technical!N283</f>
        <v>-21266.214661296002</v>
      </c>
      <c r="P3216" s="123" t="str">
        <f t="shared" si="710"/>
        <v>321</v>
      </c>
    </row>
    <row r="3217" spans="1:16" x14ac:dyDescent="0.2">
      <c r="A3217" s="119"/>
      <c r="B3217" s="120"/>
      <c r="C3217" s="129"/>
      <c r="D3217" s="129"/>
      <c r="E3217" s="129"/>
      <c r="F3217" s="129"/>
      <c r="G3217" s="129"/>
      <c r="H3217" s="129"/>
      <c r="I3217" s="129">
        <f>Technical!J284</f>
        <v>0</v>
      </c>
      <c r="J3217" s="129"/>
      <c r="K3217" s="129"/>
      <c r="L3217" s="129"/>
      <c r="O3217" s="129"/>
      <c r="P3217" s="123" t="str">
        <f t="shared" si="710"/>
        <v/>
      </c>
    </row>
    <row r="3218" spans="1:16" s="114" customFormat="1" ht="15" x14ac:dyDescent="0.25">
      <c r="A3218" s="118"/>
      <c r="B3218" s="117" t="s">
        <v>55</v>
      </c>
      <c r="C3218" s="128">
        <f>SUM(C3211:C3217)</f>
        <v>-9224517</v>
      </c>
      <c r="D3218" s="128">
        <f t="shared" ref="D3218:O3218" si="711">SUM(D3211:D3217)</f>
        <v>-556564.94999999995</v>
      </c>
      <c r="E3218" s="128">
        <f t="shared" si="711"/>
        <v>0</v>
      </c>
      <c r="F3218" s="128">
        <f t="shared" si="711"/>
        <v>-3776985.26</v>
      </c>
      <c r="G3218" s="128">
        <f t="shared" si="711"/>
        <v>-5447531.7400000002</v>
      </c>
      <c r="H3218" s="128">
        <f t="shared" si="711"/>
        <v>259.53000000000003</v>
      </c>
      <c r="I3218" s="128">
        <f t="shared" si="711"/>
        <v>0</v>
      </c>
      <c r="J3218" s="128">
        <f t="shared" si="711"/>
        <v>-9224517</v>
      </c>
      <c r="K3218" s="128">
        <f t="shared" si="711"/>
        <v>-9971702.8770000003</v>
      </c>
      <c r="L3218" s="128">
        <f t="shared" si="711"/>
        <v>-10490231.426603999</v>
      </c>
      <c r="M3218" s="128">
        <f t="shared" si="711"/>
        <v>-69712.117953587993</v>
      </c>
      <c r="N3218" s="128">
        <f t="shared" si="711"/>
        <v>0</v>
      </c>
      <c r="O3218" s="128">
        <f t="shared" si="711"/>
        <v>-11423862.023571756</v>
      </c>
      <c r="P3218" s="123" t="str">
        <f t="shared" si="710"/>
        <v/>
      </c>
    </row>
    <row r="3219" spans="1:16" s="114" customFormat="1" ht="15" x14ac:dyDescent="0.25">
      <c r="A3219" s="118"/>
      <c r="B3219" s="117"/>
      <c r="C3219" s="128"/>
      <c r="D3219" s="128"/>
      <c r="E3219" s="128"/>
      <c r="F3219" s="128"/>
      <c r="G3219" s="128"/>
      <c r="H3219" s="128"/>
      <c r="I3219" s="129">
        <f>Technical!J286</f>
        <v>0</v>
      </c>
      <c r="J3219" s="129"/>
      <c r="K3219" s="129"/>
      <c r="L3219" s="129"/>
      <c r="M3219" s="186"/>
      <c r="N3219" s="186"/>
      <c r="O3219" s="128"/>
      <c r="P3219" s="123" t="str">
        <f t="shared" si="710"/>
        <v/>
      </c>
    </row>
    <row r="3220" spans="1:16" s="114" customFormat="1" ht="15" x14ac:dyDescent="0.25">
      <c r="A3220" s="118"/>
      <c r="B3220" s="117" t="s">
        <v>56</v>
      </c>
      <c r="C3220" s="128"/>
      <c r="D3220" s="128"/>
      <c r="E3220" s="128"/>
      <c r="F3220" s="128"/>
      <c r="G3220" s="128"/>
      <c r="H3220" s="128"/>
      <c r="I3220" s="128">
        <f>Technical!J287</f>
        <v>0</v>
      </c>
      <c r="J3220" s="128"/>
      <c r="K3220" s="128"/>
      <c r="L3220" s="128"/>
      <c r="M3220" s="186"/>
      <c r="N3220" s="186"/>
      <c r="O3220" s="128"/>
      <c r="P3220" s="123" t="str">
        <f t="shared" si="710"/>
        <v/>
      </c>
    </row>
    <row r="3221" spans="1:16" x14ac:dyDescent="0.2">
      <c r="A3221" s="119"/>
      <c r="B3221" s="120"/>
      <c r="C3221" s="129"/>
      <c r="D3221" s="129"/>
      <c r="E3221" s="129"/>
      <c r="F3221" s="129"/>
      <c r="G3221" s="129"/>
      <c r="H3221" s="129"/>
      <c r="I3221" s="129">
        <f>Technical!J288</f>
        <v>0</v>
      </c>
      <c r="J3221" s="129"/>
      <c r="K3221" s="129"/>
      <c r="L3221" s="129"/>
      <c r="O3221" s="129"/>
      <c r="P3221" s="123" t="str">
        <f t="shared" si="710"/>
        <v/>
      </c>
    </row>
    <row r="3222" spans="1:16" x14ac:dyDescent="0.2">
      <c r="A3222" s="119" t="s">
        <v>1238</v>
      </c>
      <c r="B3222" s="120" t="s">
        <v>57</v>
      </c>
      <c r="C3222" s="129">
        <f>Technical!D289</f>
        <v>-495509</v>
      </c>
      <c r="D3222" s="129">
        <f>Technical!E289</f>
        <v>-17545.96</v>
      </c>
      <c r="E3222" s="129">
        <f>Technical!F289</f>
        <v>0</v>
      </c>
      <c r="F3222" s="129">
        <f>Technical!G289</f>
        <v>-105597.6</v>
      </c>
      <c r="G3222" s="129">
        <f>Technical!H289</f>
        <v>-389911.4</v>
      </c>
      <c r="H3222" s="129">
        <f>Technical!I289</f>
        <v>21.31</v>
      </c>
      <c r="I3222" s="129">
        <f>Technical!J289</f>
        <v>0</v>
      </c>
      <c r="J3222" s="129">
        <f>Technical!K289</f>
        <v>-495509</v>
      </c>
      <c r="K3222" s="129">
        <f>Technical!L289</f>
        <v>-535645.22900000005</v>
      </c>
      <c r="L3222" s="129">
        <f>Technical!M289</f>
        <v>-563498.78090800007</v>
      </c>
      <c r="M3222" s="129">
        <f>Technical!N289</f>
        <v>-613650.1724088121</v>
      </c>
      <c r="N3222" s="129">
        <f>Technical!O289</f>
        <v>0</v>
      </c>
      <c r="O3222" s="129">
        <f>Technical!N289</f>
        <v>-613650.1724088121</v>
      </c>
      <c r="P3222" s="123" t="str">
        <f t="shared" si="710"/>
        <v>341</v>
      </c>
    </row>
    <row r="3223" spans="1:16" x14ac:dyDescent="0.2">
      <c r="A3223" s="119"/>
      <c r="B3223" s="120"/>
      <c r="C3223" s="129"/>
      <c r="D3223" s="129"/>
      <c r="E3223" s="129"/>
      <c r="F3223" s="129"/>
      <c r="G3223" s="129"/>
      <c r="H3223" s="129"/>
      <c r="I3223" s="129">
        <f>Technical!J290</f>
        <v>0</v>
      </c>
      <c r="J3223" s="129"/>
      <c r="K3223" s="129"/>
      <c r="L3223" s="129"/>
      <c r="O3223" s="129"/>
      <c r="P3223" s="123" t="str">
        <f t="shared" si="710"/>
        <v/>
      </c>
    </row>
    <row r="3224" spans="1:16" s="114" customFormat="1" ht="15" x14ac:dyDescent="0.25">
      <c r="A3224" s="118"/>
      <c r="B3224" s="117" t="s">
        <v>64</v>
      </c>
      <c r="C3224" s="128">
        <f>SUM(C3222:C3223)</f>
        <v>-495509</v>
      </c>
      <c r="D3224" s="128">
        <f t="shared" ref="D3224:O3224" si="712">SUM(D3222:D3223)</f>
        <v>-17545.96</v>
      </c>
      <c r="E3224" s="128">
        <f t="shared" si="712"/>
        <v>0</v>
      </c>
      <c r="F3224" s="128">
        <f t="shared" si="712"/>
        <v>-105597.6</v>
      </c>
      <c r="G3224" s="128">
        <f t="shared" si="712"/>
        <v>-389911.4</v>
      </c>
      <c r="H3224" s="128">
        <f t="shared" si="712"/>
        <v>21.31</v>
      </c>
      <c r="I3224" s="128">
        <f t="shared" si="712"/>
        <v>0</v>
      </c>
      <c r="J3224" s="128">
        <f t="shared" si="712"/>
        <v>-495509</v>
      </c>
      <c r="K3224" s="128">
        <f t="shared" si="712"/>
        <v>-535645.22900000005</v>
      </c>
      <c r="L3224" s="128">
        <f t="shared" si="712"/>
        <v>-563498.78090800007</v>
      </c>
      <c r="M3224" s="128">
        <f t="shared" si="712"/>
        <v>-613650.1724088121</v>
      </c>
      <c r="N3224" s="128">
        <f t="shared" si="712"/>
        <v>0</v>
      </c>
      <c r="O3224" s="128">
        <f t="shared" si="712"/>
        <v>-613650.1724088121</v>
      </c>
      <c r="P3224" s="123" t="str">
        <f t="shared" si="710"/>
        <v/>
      </c>
    </row>
    <row r="3225" spans="1:16" s="114" customFormat="1" ht="15" x14ac:dyDescent="0.25">
      <c r="A3225" s="118"/>
      <c r="B3225" s="117"/>
      <c r="C3225" s="128"/>
      <c r="D3225" s="128"/>
      <c r="E3225" s="128"/>
      <c r="F3225" s="128"/>
      <c r="G3225" s="128"/>
      <c r="H3225" s="128"/>
      <c r="I3225" s="129">
        <f>Technical!J292</f>
        <v>0</v>
      </c>
      <c r="J3225" s="129"/>
      <c r="K3225" s="129"/>
      <c r="L3225" s="129"/>
      <c r="M3225" s="186"/>
      <c r="N3225" s="186"/>
      <c r="O3225" s="128"/>
      <c r="P3225" s="123" t="str">
        <f t="shared" si="710"/>
        <v/>
      </c>
    </row>
    <row r="3226" spans="1:16" s="114" customFormat="1" ht="15" x14ac:dyDescent="0.25">
      <c r="A3226" s="118"/>
      <c r="B3226" s="117" t="s">
        <v>70</v>
      </c>
      <c r="C3226" s="128"/>
      <c r="D3226" s="128"/>
      <c r="E3226" s="128"/>
      <c r="F3226" s="128"/>
      <c r="G3226" s="128"/>
      <c r="H3226" s="128"/>
      <c r="I3226" s="129">
        <f>Technical!J293</f>
        <v>0</v>
      </c>
      <c r="J3226" s="129"/>
      <c r="K3226" s="129"/>
      <c r="L3226" s="129"/>
      <c r="M3226" s="186"/>
      <c r="N3226" s="186"/>
      <c r="O3226" s="128"/>
      <c r="P3226" s="123" t="str">
        <f t="shared" si="710"/>
        <v/>
      </c>
    </row>
    <row r="3227" spans="1:16" s="114" customFormat="1" ht="15" x14ac:dyDescent="0.25">
      <c r="A3227" s="118"/>
      <c r="B3227" s="117"/>
      <c r="C3227" s="128"/>
      <c r="D3227" s="128"/>
      <c r="E3227" s="128"/>
      <c r="F3227" s="128"/>
      <c r="G3227" s="128"/>
      <c r="H3227" s="128"/>
      <c r="I3227" s="129">
        <f>Technical!J294</f>
        <v>0</v>
      </c>
      <c r="J3227" s="129"/>
      <c r="K3227" s="129"/>
      <c r="L3227" s="129"/>
      <c r="M3227" s="186"/>
      <c r="N3227" s="186"/>
      <c r="O3227" s="128"/>
      <c r="P3227" s="123" t="str">
        <f t="shared" si="710"/>
        <v/>
      </c>
    </row>
    <row r="3228" spans="1:16" s="114" customFormat="1" ht="15" x14ac:dyDescent="0.25">
      <c r="A3228" s="118"/>
      <c r="B3228" s="117" t="s">
        <v>94</v>
      </c>
      <c r="C3228" s="128">
        <f>C3218+C3224</f>
        <v>-9720026</v>
      </c>
      <c r="D3228" s="128">
        <f t="shared" ref="D3228:O3228" si="713">D3218+D3224</f>
        <v>-574110.90999999992</v>
      </c>
      <c r="E3228" s="128">
        <f t="shared" si="713"/>
        <v>0</v>
      </c>
      <c r="F3228" s="128">
        <f t="shared" si="713"/>
        <v>-3882582.86</v>
      </c>
      <c r="G3228" s="128">
        <f t="shared" si="713"/>
        <v>-5837443.1400000006</v>
      </c>
      <c r="H3228" s="128">
        <f t="shared" si="713"/>
        <v>280.84000000000003</v>
      </c>
      <c r="I3228" s="128">
        <f t="shared" si="713"/>
        <v>0</v>
      </c>
      <c r="J3228" s="128">
        <f t="shared" si="713"/>
        <v>-9720026</v>
      </c>
      <c r="K3228" s="128">
        <f t="shared" si="713"/>
        <v>-10507348.106000001</v>
      </c>
      <c r="L3228" s="128">
        <f t="shared" si="713"/>
        <v>-11053730.207511999</v>
      </c>
      <c r="M3228" s="128">
        <f t="shared" si="713"/>
        <v>-683362.29036240012</v>
      </c>
      <c r="N3228" s="128">
        <f t="shared" si="713"/>
        <v>0</v>
      </c>
      <c r="O3228" s="128">
        <f t="shared" si="713"/>
        <v>-12037512.195980567</v>
      </c>
      <c r="P3228" s="123" t="str">
        <f t="shared" si="710"/>
        <v/>
      </c>
    </row>
    <row r="3229" spans="1:16" s="114" customFormat="1" ht="15" x14ac:dyDescent="0.25">
      <c r="A3229" s="118"/>
      <c r="B3229" s="117"/>
      <c r="C3229" s="128"/>
      <c r="D3229" s="128"/>
      <c r="E3229" s="128"/>
      <c r="F3229" s="128"/>
      <c r="G3229" s="128"/>
      <c r="H3229" s="128"/>
      <c r="I3229" s="129">
        <f>Technical!J296</f>
        <v>0</v>
      </c>
      <c r="J3229" s="129"/>
      <c r="K3229" s="129"/>
      <c r="L3229" s="129"/>
      <c r="M3229" s="186"/>
      <c r="N3229" s="186"/>
      <c r="O3229" s="128"/>
      <c r="P3229" s="123" t="str">
        <f t="shared" si="710"/>
        <v/>
      </c>
    </row>
    <row r="3230" spans="1:16" s="114" customFormat="1" ht="15" x14ac:dyDescent="0.25">
      <c r="A3230" s="118"/>
      <c r="B3230" s="117" t="s">
        <v>95</v>
      </c>
      <c r="C3230" s="128">
        <f t="shared" ref="C3230:O3230" si="714">C3205+C3228</f>
        <v>-9750561</v>
      </c>
      <c r="D3230" s="128">
        <f t="shared" si="714"/>
        <v>-574110.90999999992</v>
      </c>
      <c r="E3230" s="128">
        <f t="shared" si="714"/>
        <v>0</v>
      </c>
      <c r="F3230" s="128">
        <f t="shared" si="714"/>
        <v>-3882582.86</v>
      </c>
      <c r="G3230" s="128">
        <f t="shared" si="714"/>
        <v>-5867978.1400000006</v>
      </c>
      <c r="H3230" s="128">
        <f t="shared" si="714"/>
        <v>280.84000000000003</v>
      </c>
      <c r="I3230" s="128">
        <f t="shared" si="714"/>
        <v>0</v>
      </c>
      <c r="J3230" s="128">
        <f t="shared" si="714"/>
        <v>-9720026</v>
      </c>
      <c r="K3230" s="128">
        <f t="shared" si="714"/>
        <v>-26539715.206</v>
      </c>
      <c r="L3230" s="128">
        <f t="shared" si="714"/>
        <v>-17088363.004511997</v>
      </c>
      <c r="M3230" s="128">
        <f t="shared" si="714"/>
        <v>-7683362.2903624</v>
      </c>
      <c r="N3230" s="128">
        <f t="shared" si="714"/>
        <v>0</v>
      </c>
      <c r="O3230" s="128">
        <f t="shared" si="714"/>
        <v>-19074915.616740569</v>
      </c>
      <c r="P3230" s="123" t="str">
        <f t="shared" si="710"/>
        <v/>
      </c>
    </row>
    <row r="3231" spans="1:16" s="114" customFormat="1" ht="15" x14ac:dyDescent="0.25">
      <c r="A3231" s="118"/>
      <c r="B3231" s="117"/>
      <c r="C3231" s="128"/>
      <c r="D3231" s="128"/>
      <c r="E3231" s="128"/>
      <c r="F3231" s="128"/>
      <c r="G3231" s="128"/>
      <c r="H3231" s="128"/>
      <c r="I3231" s="129">
        <f>Technical!J298</f>
        <v>0</v>
      </c>
      <c r="J3231" s="129"/>
      <c r="K3231" s="129"/>
      <c r="L3231" s="129"/>
      <c r="M3231" s="186"/>
      <c r="N3231" s="186"/>
      <c r="O3231" s="128"/>
      <c r="P3231" s="123" t="str">
        <f t="shared" si="710"/>
        <v/>
      </c>
    </row>
    <row r="3232" spans="1:16" s="114" customFormat="1" ht="15" x14ac:dyDescent="0.25">
      <c r="A3232" s="118"/>
      <c r="B3232" s="117" t="s">
        <v>96</v>
      </c>
      <c r="C3232" s="128"/>
      <c r="D3232" s="128"/>
      <c r="E3232" s="128"/>
      <c r="F3232" s="128"/>
      <c r="G3232" s="128"/>
      <c r="H3232" s="128"/>
      <c r="I3232" s="129">
        <f>Technical!J299</f>
        <v>0</v>
      </c>
      <c r="J3232" s="129"/>
      <c r="K3232" s="129"/>
      <c r="L3232" s="129"/>
      <c r="M3232" s="186"/>
      <c r="N3232" s="186"/>
      <c r="O3232" s="128"/>
      <c r="P3232" s="123" t="str">
        <f t="shared" si="710"/>
        <v/>
      </c>
    </row>
    <row r="3233" spans="1:16" s="114" customFormat="1" ht="15" x14ac:dyDescent="0.25">
      <c r="A3233" s="118"/>
      <c r="B3233" s="117" t="s">
        <v>97</v>
      </c>
      <c r="C3233" s="128"/>
      <c r="D3233" s="128"/>
      <c r="E3233" s="128"/>
      <c r="F3233" s="128"/>
      <c r="G3233" s="128"/>
      <c r="H3233" s="128"/>
      <c r="I3233" s="129">
        <f>Technical!J300</f>
        <v>0</v>
      </c>
      <c r="J3233" s="129"/>
      <c r="K3233" s="129"/>
      <c r="L3233" s="129"/>
      <c r="M3233" s="186"/>
      <c r="N3233" s="186"/>
      <c r="O3233" s="128"/>
      <c r="P3233" s="123" t="str">
        <f t="shared" si="710"/>
        <v/>
      </c>
    </row>
    <row r="3234" spans="1:16" s="114" customFormat="1" ht="15" x14ac:dyDescent="0.25">
      <c r="A3234" s="118"/>
      <c r="B3234" s="117" t="s">
        <v>148</v>
      </c>
      <c r="C3234" s="128"/>
      <c r="D3234" s="128"/>
      <c r="E3234" s="128"/>
      <c r="F3234" s="128"/>
      <c r="G3234" s="128"/>
      <c r="H3234" s="128"/>
      <c r="I3234" s="129">
        <f>Technical!J301</f>
        <v>0</v>
      </c>
      <c r="J3234" s="129"/>
      <c r="K3234" s="129"/>
      <c r="L3234" s="129"/>
      <c r="M3234" s="186"/>
      <c r="N3234" s="186"/>
      <c r="O3234" s="128"/>
      <c r="P3234" s="123" t="str">
        <f t="shared" si="710"/>
        <v/>
      </c>
    </row>
    <row r="3235" spans="1:16" s="114" customFormat="1" ht="15" x14ac:dyDescent="0.25">
      <c r="A3235" s="118"/>
      <c r="B3235" s="117" t="s">
        <v>149</v>
      </c>
      <c r="C3235" s="128"/>
      <c r="D3235" s="128"/>
      <c r="E3235" s="128"/>
      <c r="F3235" s="128"/>
      <c r="G3235" s="128"/>
      <c r="H3235" s="128"/>
      <c r="I3235" s="129">
        <f>Technical!J302</f>
        <v>0</v>
      </c>
      <c r="J3235" s="129"/>
      <c r="K3235" s="129"/>
      <c r="L3235" s="129"/>
      <c r="M3235" s="186"/>
      <c r="N3235" s="186"/>
      <c r="O3235" s="128"/>
      <c r="P3235" s="123" t="str">
        <f t="shared" si="710"/>
        <v/>
      </c>
    </row>
    <row r="3236" spans="1:16" x14ac:dyDescent="0.2">
      <c r="A3236" s="119"/>
      <c r="B3236" s="120"/>
      <c r="C3236" s="129"/>
      <c r="D3236" s="129"/>
      <c r="E3236" s="129"/>
      <c r="F3236" s="129"/>
      <c r="G3236" s="129"/>
      <c r="H3236" s="129"/>
      <c r="I3236" s="129">
        <f>Technical!J303</f>
        <v>0</v>
      </c>
      <c r="J3236" s="129"/>
      <c r="K3236" s="129"/>
      <c r="L3236" s="129"/>
      <c r="O3236" s="129"/>
      <c r="P3236" s="123" t="str">
        <f t="shared" si="710"/>
        <v/>
      </c>
    </row>
    <row r="3237" spans="1:16" x14ac:dyDescent="0.2">
      <c r="A3237" s="119" t="s">
        <v>1239</v>
      </c>
      <c r="B3237" s="120" t="s">
        <v>150</v>
      </c>
      <c r="C3237" s="129">
        <f>Technical!D304</f>
        <v>1827794</v>
      </c>
      <c r="D3237" s="129">
        <f>Technical!E304</f>
        <v>0</v>
      </c>
      <c r="E3237" s="129">
        <f>Technical!F304</f>
        <v>0</v>
      </c>
      <c r="F3237" s="129">
        <f>Technical!G304</f>
        <v>1217.71</v>
      </c>
      <c r="G3237" s="129">
        <f>Technical!H304</f>
        <v>-1217.71</v>
      </c>
      <c r="H3237" s="129">
        <f>Technical!I304</f>
        <v>0</v>
      </c>
      <c r="I3237" s="129">
        <f>Technical!J304</f>
        <v>0</v>
      </c>
      <c r="J3237" s="129">
        <f>Technical!K304</f>
        <v>1827794</v>
      </c>
      <c r="K3237" s="129">
        <f>Technical!L304</f>
        <v>1942031.125</v>
      </c>
      <c r="L3237" s="129">
        <f>Technical!M304</f>
        <v>2077973.30375</v>
      </c>
      <c r="M3237" s="129">
        <f>Technical!N304</f>
        <v>2223431.4350124998</v>
      </c>
      <c r="N3237" s="129">
        <f>Technical!O304</f>
        <v>0</v>
      </c>
      <c r="O3237" s="129">
        <f>Technical!N304</f>
        <v>2223431.4350124998</v>
      </c>
      <c r="P3237" s="123" t="str">
        <f t="shared" si="710"/>
        <v>110</v>
      </c>
    </row>
    <row r="3238" spans="1:16" x14ac:dyDescent="0.2">
      <c r="A3238" s="119" t="s">
        <v>1240</v>
      </c>
      <c r="B3238" s="120" t="s">
        <v>151</v>
      </c>
      <c r="C3238" s="129">
        <f>Technical!D305</f>
        <v>84982</v>
      </c>
      <c r="D3238" s="129">
        <v>33868.36</v>
      </c>
      <c r="E3238" s="129">
        <v>0</v>
      </c>
      <c r="F3238" s="129">
        <v>98595.8</v>
      </c>
      <c r="G3238" s="129">
        <v>-13613.8</v>
      </c>
      <c r="H3238" s="129">
        <v>116.01</v>
      </c>
      <c r="I3238" s="129">
        <f>Technical!J305</f>
        <v>-51113.639999999985</v>
      </c>
      <c r="J3238" s="129">
        <f>Technical!K305</f>
        <v>33868.360000000015</v>
      </c>
      <c r="K3238" s="129">
        <f>Technical!L305</f>
        <v>35985.132500000014</v>
      </c>
      <c r="L3238" s="129">
        <f>Technical!M305</f>
        <v>38504.091775000015</v>
      </c>
      <c r="O3238" s="129">
        <f>Technical!N305</f>
        <v>41199.378199250015</v>
      </c>
      <c r="P3238" s="123" t="str">
        <f t="shared" si="710"/>
        <v>110</v>
      </c>
    </row>
    <row r="3239" spans="1:16" x14ac:dyDescent="0.2">
      <c r="A3239" s="119" t="s">
        <v>1241</v>
      </c>
      <c r="B3239" s="120" t="s">
        <v>152</v>
      </c>
      <c r="C3239" s="129">
        <f>Technical!D306</f>
        <v>66300</v>
      </c>
      <c r="D3239" s="129">
        <v>5520.5</v>
      </c>
      <c r="E3239" s="129">
        <v>0</v>
      </c>
      <c r="F3239" s="129">
        <v>33123</v>
      </c>
      <c r="G3239" s="129">
        <v>33177</v>
      </c>
      <c r="H3239" s="129">
        <v>49.95</v>
      </c>
      <c r="I3239" s="129">
        <f>Technical!J306</f>
        <v>0</v>
      </c>
      <c r="J3239" s="129">
        <f>Technical!K306</f>
        <v>66300</v>
      </c>
      <c r="K3239" s="129">
        <f>Technical!L306</f>
        <v>70443.75</v>
      </c>
      <c r="L3239" s="129">
        <f>Technical!M306</f>
        <v>75374.8125</v>
      </c>
      <c r="O3239" s="129">
        <f>Technical!N306</f>
        <v>80651.049375000002</v>
      </c>
      <c r="P3239" s="123" t="str">
        <f t="shared" si="710"/>
        <v>110</v>
      </c>
    </row>
    <row r="3240" spans="1:16" x14ac:dyDescent="0.2">
      <c r="A3240" s="119" t="s">
        <v>1242</v>
      </c>
      <c r="B3240" s="120" t="s">
        <v>153</v>
      </c>
      <c r="C3240" s="129">
        <f>Technical!D307</f>
        <v>10893</v>
      </c>
      <c r="D3240" s="129">
        <v>907.77</v>
      </c>
      <c r="E3240" s="129">
        <v>0</v>
      </c>
      <c r="F3240" s="129">
        <v>5446.62</v>
      </c>
      <c r="G3240" s="129">
        <v>5446.38</v>
      </c>
      <c r="H3240" s="129">
        <v>50</v>
      </c>
      <c r="I3240" s="129">
        <f>Technical!J307</f>
        <v>0</v>
      </c>
      <c r="J3240" s="129">
        <f>Technical!K307</f>
        <v>10893</v>
      </c>
      <c r="K3240" s="129">
        <f>Technical!L307</f>
        <v>11573.8125</v>
      </c>
      <c r="L3240" s="129">
        <f>Technical!M307</f>
        <v>12383.979375000001</v>
      </c>
      <c r="O3240" s="129">
        <f>Technical!N307</f>
        <v>13250.857931250001</v>
      </c>
      <c r="P3240" s="123" t="str">
        <f t="shared" si="710"/>
        <v>110</v>
      </c>
    </row>
    <row r="3241" spans="1:16" x14ac:dyDescent="0.2">
      <c r="A3241" s="119" t="s">
        <v>1243</v>
      </c>
      <c r="B3241" s="120" t="s">
        <v>155</v>
      </c>
      <c r="C3241" s="129">
        <f>Technical!D308</f>
        <v>60349</v>
      </c>
      <c r="D3241" s="129">
        <v>0</v>
      </c>
      <c r="E3241" s="129">
        <v>0</v>
      </c>
      <c r="F3241" s="129">
        <v>0</v>
      </c>
      <c r="G3241" s="129">
        <v>60349</v>
      </c>
      <c r="H3241" s="129">
        <v>0</v>
      </c>
      <c r="I3241" s="129">
        <f>Technical!J308</f>
        <v>0</v>
      </c>
      <c r="J3241" s="129">
        <f>Technical!K308</f>
        <v>60349</v>
      </c>
      <c r="K3241" s="129">
        <f>Technical!L308</f>
        <v>64120.8125</v>
      </c>
      <c r="L3241" s="129">
        <f>Technical!M308</f>
        <v>68609.269375000003</v>
      </c>
      <c r="O3241" s="129">
        <f>Technical!N308</f>
        <v>73411.918231250005</v>
      </c>
      <c r="P3241" s="123" t="str">
        <f t="shared" si="710"/>
        <v>110</v>
      </c>
    </row>
    <row r="3242" spans="1:16" x14ac:dyDescent="0.2">
      <c r="A3242" s="119" t="s">
        <v>1244</v>
      </c>
      <c r="B3242" s="120" t="s">
        <v>156</v>
      </c>
      <c r="C3242" s="129">
        <f>Technical!D309</f>
        <v>138573</v>
      </c>
      <c r="D3242" s="129">
        <v>11547.75</v>
      </c>
      <c r="E3242" s="129">
        <v>0</v>
      </c>
      <c r="F3242" s="129">
        <v>69286.5</v>
      </c>
      <c r="G3242" s="129">
        <v>69286.5</v>
      </c>
      <c r="H3242" s="129">
        <v>50</v>
      </c>
      <c r="I3242" s="129">
        <f>Technical!J309</f>
        <v>0</v>
      </c>
      <c r="J3242" s="129">
        <f>Technical!K309</f>
        <v>138573</v>
      </c>
      <c r="K3242" s="129">
        <f>Technical!L309</f>
        <v>147233.8125</v>
      </c>
      <c r="L3242" s="129">
        <f>Technical!M309</f>
        <v>157540.17937500001</v>
      </c>
      <c r="O3242" s="129">
        <f>Technical!N309</f>
        <v>168567.99193125</v>
      </c>
      <c r="P3242" s="123" t="str">
        <f t="shared" si="710"/>
        <v>110</v>
      </c>
    </row>
    <row r="3243" spans="1:16" x14ac:dyDescent="0.2">
      <c r="A3243" s="119" t="s">
        <v>1245</v>
      </c>
      <c r="B3243" s="120" t="s">
        <v>157</v>
      </c>
      <c r="C3243" s="129">
        <f>Technical!D310</f>
        <v>12290</v>
      </c>
      <c r="D3243" s="129">
        <v>0</v>
      </c>
      <c r="E3243" s="129">
        <v>0</v>
      </c>
      <c r="F3243" s="129">
        <v>15089.55</v>
      </c>
      <c r="G3243" s="129">
        <v>-2799.55</v>
      </c>
      <c r="H3243" s="129">
        <v>122.77</v>
      </c>
      <c r="I3243" s="129">
        <f>Technical!J310</f>
        <v>11242</v>
      </c>
      <c r="J3243" s="129">
        <f>Technical!K310</f>
        <v>23532</v>
      </c>
      <c r="K3243" s="129">
        <f>Technical!L310</f>
        <v>25002.75</v>
      </c>
      <c r="L3243" s="129">
        <f>Technical!M310</f>
        <v>26752.942500000001</v>
      </c>
      <c r="O3243" s="129">
        <f>Technical!N310</f>
        <v>28625.648475000002</v>
      </c>
      <c r="P3243" s="123" t="str">
        <f t="shared" si="710"/>
        <v>110</v>
      </c>
    </row>
    <row r="3244" spans="1:16" x14ac:dyDescent="0.2">
      <c r="A3244" s="119" t="s">
        <v>1246</v>
      </c>
      <c r="B3244" s="120" t="s">
        <v>158</v>
      </c>
      <c r="C3244" s="129">
        <f>Technical!D311</f>
        <v>11242</v>
      </c>
      <c r="D3244" s="129">
        <v>0</v>
      </c>
      <c r="E3244" s="129">
        <v>0</v>
      </c>
      <c r="F3244" s="129">
        <v>0</v>
      </c>
      <c r="G3244" s="129">
        <v>11242</v>
      </c>
      <c r="H3244" s="129">
        <v>0</v>
      </c>
      <c r="I3244" s="129">
        <f>Technical!J311</f>
        <v>-11242</v>
      </c>
      <c r="J3244" s="129">
        <f>Technical!K311</f>
        <v>0</v>
      </c>
      <c r="K3244" s="129">
        <f>Technical!L311</f>
        <v>0</v>
      </c>
      <c r="L3244" s="129">
        <f>Technical!M311</f>
        <v>0</v>
      </c>
      <c r="O3244" s="129">
        <f>Technical!N311</f>
        <v>0</v>
      </c>
      <c r="P3244" s="123" t="str">
        <f t="shared" si="710"/>
        <v>110</v>
      </c>
    </row>
    <row r="3245" spans="1:16" x14ac:dyDescent="0.2">
      <c r="A3245" s="119" t="s">
        <v>1247</v>
      </c>
      <c r="B3245" s="120" t="s">
        <v>159</v>
      </c>
      <c r="C3245" s="129">
        <f>Technical!D312</f>
        <v>152316</v>
      </c>
      <c r="D3245" s="129">
        <v>0</v>
      </c>
      <c r="E3245" s="129">
        <v>0</v>
      </c>
      <c r="F3245" s="129">
        <v>0</v>
      </c>
      <c r="G3245" s="129">
        <v>152316</v>
      </c>
      <c r="H3245" s="129">
        <v>0</v>
      </c>
      <c r="I3245" s="129">
        <f>Technical!J312</f>
        <v>0</v>
      </c>
      <c r="J3245" s="129">
        <f>Technical!K312</f>
        <v>152316</v>
      </c>
      <c r="K3245" s="129">
        <f>Technical!L312</f>
        <v>161835.75</v>
      </c>
      <c r="L3245" s="129">
        <f>Technical!M312</f>
        <v>173164.2525</v>
      </c>
      <c r="O3245" s="129">
        <f>Technical!N312</f>
        <v>185285.75017499999</v>
      </c>
      <c r="P3245" s="123" t="str">
        <f t="shared" si="710"/>
        <v>110</v>
      </c>
    </row>
    <row r="3246" spans="1:16" x14ac:dyDescent="0.2">
      <c r="A3246" s="119" t="s">
        <v>1248</v>
      </c>
      <c r="B3246" s="120" t="s">
        <v>162</v>
      </c>
      <c r="C3246" s="129">
        <f>Technical!D313</f>
        <v>221161</v>
      </c>
      <c r="D3246" s="129">
        <v>13335.68</v>
      </c>
      <c r="E3246" s="129">
        <v>0</v>
      </c>
      <c r="F3246" s="129">
        <v>86071.46</v>
      </c>
      <c r="G3246" s="129">
        <v>135089.54</v>
      </c>
      <c r="H3246" s="129">
        <v>38.909999999999997</v>
      </c>
      <c r="I3246" s="129">
        <f>Technical!J313</f>
        <v>0</v>
      </c>
      <c r="J3246" s="129">
        <f>Technical!K313</f>
        <v>221161</v>
      </c>
      <c r="K3246" s="129">
        <f>Technical!L313</f>
        <v>234983.5625</v>
      </c>
      <c r="L3246" s="129">
        <f>Technical!M313</f>
        <v>251432.41187499999</v>
      </c>
      <c r="O3246" s="129">
        <f>Technical!N313</f>
        <v>269032.68070625002</v>
      </c>
      <c r="P3246" s="123" t="str">
        <f t="shared" si="710"/>
        <v>110</v>
      </c>
    </row>
    <row r="3247" spans="1:16" x14ac:dyDescent="0.2">
      <c r="A3247" s="119" t="s">
        <v>1249</v>
      </c>
      <c r="B3247" s="120" t="s">
        <v>164</v>
      </c>
      <c r="C3247" s="129">
        <f>Technical!D314</f>
        <v>15692</v>
      </c>
      <c r="D3247" s="129">
        <v>1307.7</v>
      </c>
      <c r="E3247" s="129">
        <v>0</v>
      </c>
      <c r="F3247" s="129">
        <v>7846.2</v>
      </c>
      <c r="G3247" s="129">
        <v>7845.8</v>
      </c>
      <c r="H3247" s="129">
        <v>50</v>
      </c>
      <c r="I3247" s="129">
        <f>Technical!J314</f>
        <v>0</v>
      </c>
      <c r="J3247" s="129">
        <f>Technical!K314</f>
        <v>15692</v>
      </c>
      <c r="K3247" s="129">
        <f>Technical!L314</f>
        <v>16672.75</v>
      </c>
      <c r="L3247" s="129">
        <f>Technical!M314</f>
        <v>17839.842499999999</v>
      </c>
      <c r="O3247" s="129">
        <f>Technical!N314</f>
        <v>19088.631474999998</v>
      </c>
      <c r="P3247" s="123" t="str">
        <f t="shared" si="710"/>
        <v>110</v>
      </c>
    </row>
    <row r="3248" spans="1:16" x14ac:dyDescent="0.2">
      <c r="A3248" s="119"/>
      <c r="B3248" s="120"/>
      <c r="C3248" s="129"/>
      <c r="D3248" s="129"/>
      <c r="E3248" s="129"/>
      <c r="F3248" s="129"/>
      <c r="G3248" s="129"/>
      <c r="H3248" s="129"/>
      <c r="I3248" s="129">
        <f>Technical!J315</f>
        <v>0</v>
      </c>
      <c r="J3248" s="129"/>
      <c r="K3248" s="129"/>
      <c r="L3248" s="129"/>
      <c r="O3248" s="129"/>
      <c r="P3248" s="123" t="str">
        <f t="shared" si="710"/>
        <v/>
      </c>
    </row>
    <row r="3249" spans="1:16" s="114" customFormat="1" ht="15" x14ac:dyDescent="0.25">
      <c r="A3249" s="118"/>
      <c r="B3249" s="117" t="s">
        <v>165</v>
      </c>
      <c r="C3249" s="128">
        <f>SUM(C3237:C3248)</f>
        <v>2601592</v>
      </c>
      <c r="D3249" s="128">
        <f t="shared" ref="D3249:O3249" si="715">SUM(D3237:D3248)</f>
        <v>66487.759999999995</v>
      </c>
      <c r="E3249" s="128">
        <f t="shared" si="715"/>
        <v>0</v>
      </c>
      <c r="F3249" s="128">
        <f t="shared" si="715"/>
        <v>316676.84000000003</v>
      </c>
      <c r="G3249" s="128">
        <f t="shared" si="715"/>
        <v>457121.16</v>
      </c>
      <c r="H3249" s="128">
        <f t="shared" si="715"/>
        <v>477.64</v>
      </c>
      <c r="I3249" s="128">
        <f t="shared" si="715"/>
        <v>-51113.639999999985</v>
      </c>
      <c r="J3249" s="128">
        <f t="shared" si="715"/>
        <v>2550478.3600000003</v>
      </c>
      <c r="K3249" s="128">
        <f t="shared" si="715"/>
        <v>2709883.2575000003</v>
      </c>
      <c r="L3249" s="128">
        <f t="shared" si="715"/>
        <v>2899575.085525</v>
      </c>
      <c r="M3249" s="128">
        <f t="shared" si="715"/>
        <v>2223431.4350124998</v>
      </c>
      <c r="N3249" s="128">
        <f t="shared" si="715"/>
        <v>0</v>
      </c>
      <c r="O3249" s="128">
        <f t="shared" si="715"/>
        <v>3102545.3415117497</v>
      </c>
      <c r="P3249" s="123" t="str">
        <f t="shared" si="710"/>
        <v/>
      </c>
    </row>
    <row r="3250" spans="1:16" s="114" customFormat="1" ht="15" x14ac:dyDescent="0.25">
      <c r="A3250" s="118"/>
      <c r="B3250" s="117"/>
      <c r="C3250" s="128"/>
      <c r="D3250" s="128"/>
      <c r="E3250" s="128"/>
      <c r="F3250" s="128"/>
      <c r="G3250" s="128"/>
      <c r="H3250" s="128"/>
      <c r="I3250" s="129">
        <f>Technical!J317</f>
        <v>0</v>
      </c>
      <c r="J3250" s="129"/>
      <c r="K3250" s="129"/>
      <c r="L3250" s="129"/>
      <c r="M3250" s="186"/>
      <c r="N3250" s="186"/>
      <c r="O3250" s="128"/>
      <c r="P3250" s="123" t="str">
        <f t="shared" si="710"/>
        <v/>
      </c>
    </row>
    <row r="3251" spans="1:16" s="114" customFormat="1" ht="15" x14ac:dyDescent="0.25">
      <c r="A3251" s="118"/>
      <c r="B3251" s="117" t="s">
        <v>166</v>
      </c>
      <c r="C3251" s="128"/>
      <c r="D3251" s="128"/>
      <c r="E3251" s="128"/>
      <c r="F3251" s="128"/>
      <c r="G3251" s="128"/>
      <c r="H3251" s="128"/>
      <c r="I3251" s="129">
        <f>Technical!J318</f>
        <v>0</v>
      </c>
      <c r="J3251" s="129"/>
      <c r="K3251" s="129"/>
      <c r="L3251" s="129"/>
      <c r="M3251" s="186"/>
      <c r="N3251" s="186"/>
      <c r="O3251" s="128"/>
      <c r="P3251" s="123" t="str">
        <f t="shared" si="710"/>
        <v/>
      </c>
    </row>
    <row r="3252" spans="1:16" x14ac:dyDescent="0.2">
      <c r="A3252" s="119"/>
      <c r="B3252" s="120"/>
      <c r="C3252" s="129"/>
      <c r="D3252" s="129"/>
      <c r="E3252" s="129"/>
      <c r="F3252" s="129"/>
      <c r="G3252" s="129"/>
      <c r="H3252" s="129"/>
      <c r="I3252" s="129">
        <f>Technical!J319</f>
        <v>0</v>
      </c>
      <c r="J3252" s="129"/>
      <c r="K3252" s="129"/>
      <c r="L3252" s="129"/>
      <c r="O3252" s="129"/>
      <c r="P3252" s="123" t="str">
        <f t="shared" si="710"/>
        <v/>
      </c>
    </row>
    <row r="3253" spans="1:16" x14ac:dyDescent="0.2">
      <c r="A3253" s="119" t="s">
        <v>1250</v>
      </c>
      <c r="B3253" s="120" t="s">
        <v>167</v>
      </c>
      <c r="C3253" s="129">
        <f>Technical!D320</f>
        <v>562</v>
      </c>
      <c r="D3253" s="129">
        <f>Technical!E320</f>
        <v>0</v>
      </c>
      <c r="E3253" s="129">
        <f>Technical!F320</f>
        <v>0</v>
      </c>
      <c r="F3253" s="129">
        <f>Technical!G320</f>
        <v>1217.71</v>
      </c>
      <c r="G3253" s="129">
        <f>Technical!H320</f>
        <v>-1217.71</v>
      </c>
      <c r="H3253" s="129">
        <f>Technical!I320</f>
        <v>0</v>
      </c>
      <c r="I3253" s="129">
        <f>Technical!J320</f>
        <v>0</v>
      </c>
      <c r="J3253" s="129">
        <f>Technical!K320</f>
        <v>562</v>
      </c>
      <c r="K3253" s="129">
        <f>Technical!L320</f>
        <v>597.125</v>
      </c>
      <c r="L3253" s="129">
        <f>Technical!M320</f>
        <v>638.92375000000004</v>
      </c>
      <c r="M3253" s="129">
        <f>Technical!N320</f>
        <v>683.64841250000006</v>
      </c>
      <c r="N3253" s="129">
        <f>Technical!O320</f>
        <v>0</v>
      </c>
      <c r="O3253" s="129">
        <f>Technical!N320</f>
        <v>683.64841250000006</v>
      </c>
      <c r="P3253" s="123" t="str">
        <f t="shared" si="710"/>
        <v>130</v>
      </c>
    </row>
    <row r="3254" spans="1:16" x14ac:dyDescent="0.2">
      <c r="A3254" s="119" t="s">
        <v>1251</v>
      </c>
      <c r="B3254" s="120" t="s">
        <v>168</v>
      </c>
      <c r="C3254" s="129">
        <f>Technical!D321</f>
        <v>134382</v>
      </c>
      <c r="D3254" s="129">
        <v>12065.04</v>
      </c>
      <c r="E3254" s="129">
        <v>0</v>
      </c>
      <c r="F3254" s="129">
        <v>68696.039999999994</v>
      </c>
      <c r="G3254" s="129">
        <v>65685.960000000006</v>
      </c>
      <c r="H3254" s="129">
        <v>51.11</v>
      </c>
      <c r="I3254" s="129">
        <f>Technical!J321</f>
        <v>0</v>
      </c>
      <c r="J3254" s="129">
        <f>Technical!K321</f>
        <v>134382</v>
      </c>
      <c r="K3254" s="129">
        <f>Technical!L321</f>
        <v>142780.875</v>
      </c>
      <c r="L3254" s="129">
        <f>Technical!M321</f>
        <v>152775.53625</v>
      </c>
      <c r="O3254" s="129">
        <f>Technical!N321</f>
        <v>163469.8237875</v>
      </c>
      <c r="P3254" s="123" t="str">
        <f t="shared" si="710"/>
        <v>130</v>
      </c>
    </row>
    <row r="3255" spans="1:16" x14ac:dyDescent="0.2">
      <c r="A3255" s="119" t="s">
        <v>1252</v>
      </c>
      <c r="B3255" s="120" t="s">
        <v>169</v>
      </c>
      <c r="C3255" s="129">
        <f>Technical!D322</f>
        <v>402115</v>
      </c>
      <c r="D3255" s="129">
        <v>30633.49</v>
      </c>
      <c r="E3255" s="129">
        <v>0</v>
      </c>
      <c r="F3255" s="129">
        <v>182435.02</v>
      </c>
      <c r="G3255" s="129">
        <v>219679.98</v>
      </c>
      <c r="H3255" s="129">
        <v>45.36</v>
      </c>
      <c r="I3255" s="129">
        <f>Technical!J322</f>
        <v>0</v>
      </c>
      <c r="J3255" s="129">
        <f>Technical!K322</f>
        <v>402115</v>
      </c>
      <c r="K3255" s="129">
        <f>Technical!L322</f>
        <v>427247.1875</v>
      </c>
      <c r="L3255" s="129">
        <f>Technical!M322</f>
        <v>457154.49062499998</v>
      </c>
      <c r="O3255" s="129">
        <f>Technical!N322</f>
        <v>489155.30496874999</v>
      </c>
      <c r="P3255" s="123" t="str">
        <f t="shared" si="710"/>
        <v>130</v>
      </c>
    </row>
    <row r="3256" spans="1:16" x14ac:dyDescent="0.2">
      <c r="A3256" s="119" t="s">
        <v>1253</v>
      </c>
      <c r="B3256" s="120" t="s">
        <v>170</v>
      </c>
      <c r="C3256" s="129">
        <f>Technical!D323</f>
        <v>8925</v>
      </c>
      <c r="D3256" s="129">
        <v>743.6</v>
      </c>
      <c r="E3256" s="129">
        <v>0</v>
      </c>
      <c r="F3256" s="129">
        <v>4461.6000000000004</v>
      </c>
      <c r="G3256" s="129">
        <v>4463.3999999999996</v>
      </c>
      <c r="H3256" s="129">
        <v>49.98</v>
      </c>
      <c r="I3256" s="129">
        <f>Technical!J323</f>
        <v>0</v>
      </c>
      <c r="J3256" s="129">
        <f>Technical!K323</f>
        <v>8925</v>
      </c>
      <c r="K3256" s="129">
        <f>Technical!L323</f>
        <v>9482.8125</v>
      </c>
      <c r="L3256" s="129">
        <f>Technical!M323</f>
        <v>10146.609375</v>
      </c>
      <c r="O3256" s="129">
        <f>Technical!N323</f>
        <v>10856.872031250001</v>
      </c>
      <c r="P3256" s="123" t="str">
        <f t="shared" si="710"/>
        <v>130</v>
      </c>
    </row>
    <row r="3257" spans="1:16" x14ac:dyDescent="0.2">
      <c r="A3257" s="119"/>
      <c r="B3257" s="120"/>
      <c r="C3257" s="129"/>
      <c r="D3257" s="129"/>
      <c r="E3257" s="129"/>
      <c r="F3257" s="129"/>
      <c r="G3257" s="129"/>
      <c r="H3257" s="129"/>
      <c r="I3257" s="129">
        <f>Technical!J324</f>
        <v>0</v>
      </c>
      <c r="J3257" s="129"/>
      <c r="K3257" s="129"/>
      <c r="L3257" s="129"/>
      <c r="O3257" s="129"/>
      <c r="P3257" s="123" t="str">
        <f t="shared" si="710"/>
        <v/>
      </c>
    </row>
    <row r="3258" spans="1:16" s="114" customFormat="1" ht="15" x14ac:dyDescent="0.25">
      <c r="A3258" s="118"/>
      <c r="B3258" s="117" t="s">
        <v>171</v>
      </c>
      <c r="C3258" s="128">
        <f>SUM(C3253:C3257)</f>
        <v>545984</v>
      </c>
      <c r="D3258" s="128">
        <f t="shared" ref="D3258:O3258" si="716">SUM(D3253:D3257)</f>
        <v>43442.13</v>
      </c>
      <c r="E3258" s="128">
        <f t="shared" si="716"/>
        <v>0</v>
      </c>
      <c r="F3258" s="128">
        <f t="shared" si="716"/>
        <v>256810.37</v>
      </c>
      <c r="G3258" s="128">
        <f t="shared" si="716"/>
        <v>288611.63000000006</v>
      </c>
      <c r="H3258" s="128">
        <f t="shared" si="716"/>
        <v>146.44999999999999</v>
      </c>
      <c r="I3258" s="128">
        <f t="shared" si="716"/>
        <v>0</v>
      </c>
      <c r="J3258" s="128">
        <f t="shared" si="716"/>
        <v>545984</v>
      </c>
      <c r="K3258" s="128">
        <f t="shared" si="716"/>
        <v>580108</v>
      </c>
      <c r="L3258" s="128">
        <f t="shared" si="716"/>
        <v>620715.55999999994</v>
      </c>
      <c r="M3258" s="128">
        <f t="shared" si="716"/>
        <v>683.64841250000006</v>
      </c>
      <c r="N3258" s="128">
        <f t="shared" si="716"/>
        <v>0</v>
      </c>
      <c r="O3258" s="128">
        <f t="shared" si="716"/>
        <v>664165.6492000001</v>
      </c>
      <c r="P3258" s="123" t="str">
        <f t="shared" si="710"/>
        <v/>
      </c>
    </row>
    <row r="3259" spans="1:16" s="114" customFormat="1" ht="15" x14ac:dyDescent="0.25">
      <c r="A3259" s="118"/>
      <c r="B3259" s="117"/>
      <c r="C3259" s="128"/>
      <c r="D3259" s="128"/>
      <c r="E3259" s="128"/>
      <c r="F3259" s="128"/>
      <c r="G3259" s="128"/>
      <c r="H3259" s="128"/>
      <c r="I3259" s="129">
        <f>Technical!J326</f>
        <v>0</v>
      </c>
      <c r="J3259" s="129"/>
      <c r="K3259" s="129"/>
      <c r="L3259" s="129"/>
      <c r="M3259" s="186"/>
      <c r="N3259" s="186"/>
      <c r="O3259" s="128"/>
      <c r="P3259" s="123" t="str">
        <f t="shared" si="710"/>
        <v/>
      </c>
    </row>
    <row r="3260" spans="1:16" s="114" customFormat="1" ht="15" x14ac:dyDescent="0.25">
      <c r="A3260" s="118"/>
      <c r="B3260" s="117" t="s">
        <v>172</v>
      </c>
      <c r="C3260" s="128"/>
      <c r="D3260" s="128"/>
      <c r="E3260" s="128"/>
      <c r="F3260" s="128"/>
      <c r="G3260" s="128"/>
      <c r="H3260" s="128"/>
      <c r="I3260" s="129">
        <f>Technical!J327</f>
        <v>0</v>
      </c>
      <c r="J3260" s="129"/>
      <c r="K3260" s="129"/>
      <c r="L3260" s="129"/>
      <c r="M3260" s="186"/>
      <c r="N3260" s="186"/>
      <c r="O3260" s="128"/>
      <c r="P3260" s="123" t="str">
        <f t="shared" si="710"/>
        <v/>
      </c>
    </row>
    <row r="3261" spans="1:16" x14ac:dyDescent="0.2">
      <c r="A3261" s="119"/>
      <c r="B3261" s="120"/>
      <c r="C3261" s="129"/>
      <c r="D3261" s="129"/>
      <c r="E3261" s="129"/>
      <c r="F3261" s="129"/>
      <c r="G3261" s="129"/>
      <c r="H3261" s="129"/>
      <c r="I3261" s="129">
        <f>Technical!J328</f>
        <v>0</v>
      </c>
      <c r="J3261" s="129"/>
      <c r="K3261" s="129"/>
      <c r="L3261" s="129"/>
      <c r="O3261" s="129"/>
      <c r="P3261" s="123" t="str">
        <f t="shared" si="710"/>
        <v/>
      </c>
    </row>
    <row r="3262" spans="1:16" x14ac:dyDescent="0.2">
      <c r="A3262" s="119" t="s">
        <v>1254</v>
      </c>
      <c r="B3262" s="120" t="s">
        <v>173</v>
      </c>
      <c r="C3262" s="129">
        <f>Technical!D329</f>
        <v>17907</v>
      </c>
      <c r="D3262" s="129">
        <f>Technical!E329</f>
        <v>0</v>
      </c>
      <c r="E3262" s="129">
        <f>Technical!F329</f>
        <v>0</v>
      </c>
      <c r="F3262" s="129">
        <f>Technical!G329</f>
        <v>1217.71</v>
      </c>
      <c r="G3262" s="129">
        <f>Technical!H329</f>
        <v>-1217.71</v>
      </c>
      <c r="H3262" s="129">
        <f>Technical!I329</f>
        <v>0</v>
      </c>
      <c r="I3262" s="129">
        <f>Technical!J329</f>
        <v>0</v>
      </c>
      <c r="J3262" s="129">
        <f>Technical!K329</f>
        <v>17907</v>
      </c>
      <c r="K3262" s="129">
        <f>Technical!L329</f>
        <v>19026.1875</v>
      </c>
      <c r="L3262" s="129">
        <f>Technical!M329</f>
        <v>20358.020625000001</v>
      </c>
      <c r="M3262" s="129">
        <f>Technical!N329</f>
        <v>21783.082068750002</v>
      </c>
      <c r="N3262" s="129">
        <f>Technical!O329</f>
        <v>0</v>
      </c>
      <c r="O3262" s="129">
        <f>Technical!N329</f>
        <v>21783.082068750002</v>
      </c>
      <c r="P3262" s="123" t="str">
        <f t="shared" si="710"/>
        <v>140</v>
      </c>
    </row>
    <row r="3263" spans="1:16" x14ac:dyDescent="0.2">
      <c r="A3263" s="119" t="s">
        <v>1255</v>
      </c>
      <c r="B3263" s="120" t="s">
        <v>174</v>
      </c>
      <c r="C3263" s="129">
        <f>Technical!D330</f>
        <v>14818</v>
      </c>
      <c r="D3263" s="129">
        <v>0</v>
      </c>
      <c r="E3263" s="129">
        <v>0</v>
      </c>
      <c r="F3263" s="129">
        <v>0</v>
      </c>
      <c r="G3263" s="129">
        <v>14818</v>
      </c>
      <c r="H3263" s="129">
        <v>0</v>
      </c>
      <c r="I3263" s="129">
        <f>Technical!J330</f>
        <v>0</v>
      </c>
      <c r="J3263" s="129">
        <f>Technical!K330</f>
        <v>14818</v>
      </c>
      <c r="K3263" s="129">
        <f>Technical!L330</f>
        <v>15744.125</v>
      </c>
      <c r="L3263" s="129">
        <f>Technical!M330</f>
        <v>16846.213749999999</v>
      </c>
      <c r="O3263" s="129">
        <f>Technical!N330</f>
        <v>18025.448712499998</v>
      </c>
      <c r="P3263" s="123" t="str">
        <f t="shared" si="710"/>
        <v>140</v>
      </c>
    </row>
    <row r="3264" spans="1:16" x14ac:dyDescent="0.2">
      <c r="A3264" s="119" t="s">
        <v>1256</v>
      </c>
      <c r="B3264" s="120" t="s">
        <v>175</v>
      </c>
      <c r="C3264" s="129">
        <f>Technical!D331</f>
        <v>31326</v>
      </c>
      <c r="D3264" s="129">
        <v>0</v>
      </c>
      <c r="E3264" s="129">
        <v>0</v>
      </c>
      <c r="F3264" s="129">
        <v>0</v>
      </c>
      <c r="G3264" s="129">
        <v>31326</v>
      </c>
      <c r="H3264" s="129">
        <v>0</v>
      </c>
      <c r="I3264" s="129">
        <f>Technical!J331</f>
        <v>0</v>
      </c>
      <c r="J3264" s="129">
        <f>Technical!K331</f>
        <v>31326</v>
      </c>
      <c r="K3264" s="129">
        <f>Technical!L331</f>
        <v>33283.875</v>
      </c>
      <c r="L3264" s="129">
        <f>Technical!M331</f>
        <v>35613.746249999997</v>
      </c>
      <c r="O3264" s="129">
        <f>Technical!N331</f>
        <v>38106.7084875</v>
      </c>
      <c r="P3264" s="123" t="str">
        <f t="shared" si="710"/>
        <v>142</v>
      </c>
    </row>
    <row r="3265" spans="1:16" x14ac:dyDescent="0.2">
      <c r="A3265" s="119"/>
      <c r="B3265" s="120"/>
      <c r="C3265" s="129"/>
      <c r="D3265" s="129"/>
      <c r="E3265" s="129"/>
      <c r="F3265" s="129"/>
      <c r="G3265" s="129"/>
      <c r="H3265" s="129"/>
      <c r="I3265" s="129">
        <f>Technical!J332</f>
        <v>0</v>
      </c>
      <c r="J3265" s="129"/>
      <c r="K3265" s="129"/>
      <c r="L3265" s="129"/>
      <c r="O3265" s="129"/>
      <c r="P3265" s="123" t="str">
        <f t="shared" si="710"/>
        <v/>
      </c>
    </row>
    <row r="3266" spans="1:16" s="114" customFormat="1" ht="15" x14ac:dyDescent="0.25">
      <c r="A3266" s="118"/>
      <c r="B3266" s="117" t="s">
        <v>176</v>
      </c>
      <c r="C3266" s="128">
        <f>SUM(C3262:C3265)</f>
        <v>64051</v>
      </c>
      <c r="D3266" s="128">
        <f t="shared" ref="D3266:O3266" si="717">SUM(D3262:D3265)</f>
        <v>0</v>
      </c>
      <c r="E3266" s="128">
        <f t="shared" si="717"/>
        <v>0</v>
      </c>
      <c r="F3266" s="128">
        <f t="shared" si="717"/>
        <v>1217.71</v>
      </c>
      <c r="G3266" s="128">
        <f t="shared" si="717"/>
        <v>44926.29</v>
      </c>
      <c r="H3266" s="128">
        <f t="shared" si="717"/>
        <v>0</v>
      </c>
      <c r="I3266" s="128">
        <f t="shared" si="717"/>
        <v>0</v>
      </c>
      <c r="J3266" s="128">
        <f t="shared" si="717"/>
        <v>64051</v>
      </c>
      <c r="K3266" s="128">
        <f t="shared" si="717"/>
        <v>68054.1875</v>
      </c>
      <c r="L3266" s="128">
        <f t="shared" si="717"/>
        <v>72817.980624999997</v>
      </c>
      <c r="M3266" s="128">
        <f t="shared" si="717"/>
        <v>21783.082068750002</v>
      </c>
      <c r="N3266" s="128">
        <f t="shared" si="717"/>
        <v>0</v>
      </c>
      <c r="O3266" s="128">
        <f t="shared" si="717"/>
        <v>77915.239268749996</v>
      </c>
      <c r="P3266" s="123" t="str">
        <f t="shared" si="710"/>
        <v/>
      </c>
    </row>
    <row r="3267" spans="1:16" s="114" customFormat="1" ht="15" x14ac:dyDescent="0.25">
      <c r="A3267" s="118"/>
      <c r="B3267" s="117"/>
      <c r="C3267" s="128"/>
      <c r="D3267" s="128"/>
      <c r="E3267" s="128"/>
      <c r="F3267" s="128"/>
      <c r="G3267" s="128"/>
      <c r="H3267" s="128"/>
      <c r="I3267" s="129">
        <f>Technical!J334</f>
        <v>0</v>
      </c>
      <c r="J3267" s="129"/>
      <c r="K3267" s="129"/>
      <c r="L3267" s="129"/>
      <c r="M3267" s="186"/>
      <c r="N3267" s="186"/>
      <c r="O3267" s="128"/>
      <c r="P3267" s="123" t="str">
        <f t="shared" si="710"/>
        <v/>
      </c>
    </row>
    <row r="3268" spans="1:16" s="114" customFormat="1" ht="15" x14ac:dyDescent="0.25">
      <c r="A3268" s="118"/>
      <c r="B3268" s="117" t="s">
        <v>177</v>
      </c>
      <c r="C3268" s="128">
        <f>C3249+C3258+C3266</f>
        <v>3211627</v>
      </c>
      <c r="D3268" s="128">
        <f t="shared" ref="D3268:O3268" si="718">D3249+D3258+D3266</f>
        <v>109929.88999999998</v>
      </c>
      <c r="E3268" s="128">
        <f t="shared" si="718"/>
        <v>0</v>
      </c>
      <c r="F3268" s="128">
        <f t="shared" si="718"/>
        <v>574704.91999999993</v>
      </c>
      <c r="G3268" s="128">
        <f t="shared" si="718"/>
        <v>790659.08000000007</v>
      </c>
      <c r="H3268" s="128">
        <f t="shared" si="718"/>
        <v>624.08999999999992</v>
      </c>
      <c r="I3268" s="128">
        <f t="shared" si="718"/>
        <v>-51113.639999999985</v>
      </c>
      <c r="J3268" s="128">
        <f t="shared" si="718"/>
        <v>3160513.3600000003</v>
      </c>
      <c r="K3268" s="128">
        <f t="shared" si="718"/>
        <v>3358045.4450000003</v>
      </c>
      <c r="L3268" s="128">
        <f t="shared" si="718"/>
        <v>3593108.6261499999</v>
      </c>
      <c r="M3268" s="128">
        <f t="shared" si="718"/>
        <v>2245898.16549375</v>
      </c>
      <c r="N3268" s="128">
        <f t="shared" si="718"/>
        <v>0</v>
      </c>
      <c r="O3268" s="128">
        <f t="shared" si="718"/>
        <v>3844626.2299804995</v>
      </c>
      <c r="P3268" s="123" t="str">
        <f t="shared" si="710"/>
        <v/>
      </c>
    </row>
    <row r="3269" spans="1:16" s="114" customFormat="1" ht="15" x14ac:dyDescent="0.25">
      <c r="A3269" s="118"/>
      <c r="B3269" s="117"/>
      <c r="C3269" s="128"/>
      <c r="D3269" s="128"/>
      <c r="E3269" s="128"/>
      <c r="F3269" s="128"/>
      <c r="G3269" s="128"/>
      <c r="H3269" s="128"/>
      <c r="I3269" s="129">
        <f>Technical!J336</f>
        <v>0</v>
      </c>
      <c r="J3269" s="129"/>
      <c r="K3269" s="129"/>
      <c r="L3269" s="129"/>
      <c r="M3269" s="186"/>
      <c r="N3269" s="186"/>
      <c r="O3269" s="128"/>
      <c r="P3269" s="123" t="str">
        <f t="shared" si="710"/>
        <v/>
      </c>
    </row>
    <row r="3270" spans="1:16" s="114" customFormat="1" ht="15" x14ac:dyDescent="0.25">
      <c r="A3270" s="118"/>
      <c r="B3270" s="117" t="s">
        <v>178</v>
      </c>
      <c r="C3270" s="128">
        <f>C3268</f>
        <v>3211627</v>
      </c>
      <c r="D3270" s="128">
        <f t="shared" ref="D3270:O3270" si="719">D3268</f>
        <v>109929.88999999998</v>
      </c>
      <c r="E3270" s="128">
        <f t="shared" si="719"/>
        <v>0</v>
      </c>
      <c r="F3270" s="128">
        <f t="shared" si="719"/>
        <v>574704.91999999993</v>
      </c>
      <c r="G3270" s="128">
        <f t="shared" si="719"/>
        <v>790659.08000000007</v>
      </c>
      <c r="H3270" s="128">
        <f t="shared" si="719"/>
        <v>624.08999999999992</v>
      </c>
      <c r="I3270" s="128">
        <f t="shared" si="719"/>
        <v>-51113.639999999985</v>
      </c>
      <c r="J3270" s="128">
        <f t="shared" si="719"/>
        <v>3160513.3600000003</v>
      </c>
      <c r="K3270" s="128">
        <f t="shared" si="719"/>
        <v>3358045.4450000003</v>
      </c>
      <c r="L3270" s="128">
        <f t="shared" si="719"/>
        <v>3593108.6261499999</v>
      </c>
      <c r="M3270" s="128">
        <f t="shared" si="719"/>
        <v>2245898.16549375</v>
      </c>
      <c r="N3270" s="128">
        <f t="shared" si="719"/>
        <v>0</v>
      </c>
      <c r="O3270" s="128">
        <f t="shared" si="719"/>
        <v>3844626.2299804995</v>
      </c>
      <c r="P3270" s="123" t="str">
        <f t="shared" si="710"/>
        <v/>
      </c>
    </row>
    <row r="3271" spans="1:16" s="114" customFormat="1" ht="15" x14ac:dyDescent="0.25">
      <c r="A3271" s="118"/>
      <c r="B3271" s="117"/>
      <c r="C3271" s="128"/>
      <c r="D3271" s="128"/>
      <c r="E3271" s="128"/>
      <c r="F3271" s="128"/>
      <c r="G3271" s="128"/>
      <c r="H3271" s="128"/>
      <c r="I3271" s="129">
        <f>Technical!J338</f>
        <v>0</v>
      </c>
      <c r="J3271" s="129"/>
      <c r="K3271" s="129"/>
      <c r="L3271" s="129"/>
      <c r="M3271" s="186"/>
      <c r="N3271" s="186"/>
      <c r="O3271" s="128"/>
      <c r="P3271" s="123" t="str">
        <f t="shared" ref="P3271:P3334" si="720">MID(A3271,6,3)</f>
        <v/>
      </c>
    </row>
    <row r="3272" spans="1:16" s="114" customFormat="1" ht="15" x14ac:dyDescent="0.25">
      <c r="A3272" s="118"/>
      <c r="B3272" s="117" t="s">
        <v>208</v>
      </c>
      <c r="C3272" s="128"/>
      <c r="D3272" s="128"/>
      <c r="E3272" s="128"/>
      <c r="F3272" s="128"/>
      <c r="G3272" s="128"/>
      <c r="H3272" s="128"/>
      <c r="I3272" s="129">
        <f>Technical!J339</f>
        <v>0</v>
      </c>
      <c r="J3272" s="129"/>
      <c r="K3272" s="129"/>
      <c r="L3272" s="129"/>
      <c r="M3272" s="186"/>
      <c r="N3272" s="186"/>
      <c r="O3272" s="128"/>
      <c r="P3272" s="123" t="str">
        <f t="shared" si="720"/>
        <v/>
      </c>
    </row>
    <row r="3273" spans="1:16" s="114" customFormat="1" ht="15" x14ac:dyDescent="0.25">
      <c r="A3273" s="118"/>
      <c r="B3273" s="117"/>
      <c r="C3273" s="128"/>
      <c r="D3273" s="128"/>
      <c r="E3273" s="128"/>
      <c r="F3273" s="128"/>
      <c r="G3273" s="128"/>
      <c r="H3273" s="128"/>
      <c r="I3273" s="129">
        <f>Technical!J340</f>
        <v>0</v>
      </c>
      <c r="J3273" s="129"/>
      <c r="K3273" s="129"/>
      <c r="L3273" s="129"/>
      <c r="M3273" s="186"/>
      <c r="N3273" s="186"/>
      <c r="O3273" s="128"/>
      <c r="P3273" s="123" t="str">
        <f t="shared" si="720"/>
        <v/>
      </c>
    </row>
    <row r="3274" spans="1:16" s="114" customFormat="1" ht="15" x14ac:dyDescent="0.25">
      <c r="A3274" s="118"/>
      <c r="B3274" s="117" t="s">
        <v>209</v>
      </c>
      <c r="C3274" s="128"/>
      <c r="D3274" s="128"/>
      <c r="E3274" s="128"/>
      <c r="F3274" s="128"/>
      <c r="G3274" s="128"/>
      <c r="H3274" s="128"/>
      <c r="I3274" s="129">
        <f>Technical!J341</f>
        <v>0</v>
      </c>
      <c r="J3274" s="129"/>
      <c r="K3274" s="129"/>
      <c r="L3274" s="129"/>
      <c r="M3274" s="186"/>
      <c r="N3274" s="186"/>
      <c r="O3274" s="128"/>
      <c r="P3274" s="123" t="str">
        <f t="shared" si="720"/>
        <v/>
      </c>
    </row>
    <row r="3275" spans="1:16" s="114" customFormat="1" ht="15" x14ac:dyDescent="0.25">
      <c r="A3275" s="118"/>
      <c r="B3275" s="117"/>
      <c r="C3275" s="128"/>
      <c r="D3275" s="128"/>
      <c r="E3275" s="128"/>
      <c r="F3275" s="128"/>
      <c r="G3275" s="128"/>
      <c r="H3275" s="128"/>
      <c r="I3275" s="129">
        <f>Technical!J342</f>
        <v>0</v>
      </c>
      <c r="J3275" s="129"/>
      <c r="K3275" s="129"/>
      <c r="L3275" s="129"/>
      <c r="M3275" s="186"/>
      <c r="N3275" s="186"/>
      <c r="O3275" s="128"/>
      <c r="P3275" s="123" t="str">
        <f t="shared" si="720"/>
        <v/>
      </c>
    </row>
    <row r="3276" spans="1:16" x14ac:dyDescent="0.2">
      <c r="A3276" s="119" t="s">
        <v>1257</v>
      </c>
      <c r="B3276" s="120" t="s">
        <v>215</v>
      </c>
      <c r="C3276" s="129">
        <f>Technical!D343</f>
        <v>46033</v>
      </c>
      <c r="D3276" s="129">
        <f>Technical!E343</f>
        <v>0</v>
      </c>
      <c r="E3276" s="129">
        <f>Technical!F343</f>
        <v>0</v>
      </c>
      <c r="F3276" s="129">
        <f>Technical!G343</f>
        <v>1217.71</v>
      </c>
      <c r="G3276" s="129">
        <f>Technical!H343</f>
        <v>-1217.71</v>
      </c>
      <c r="H3276" s="129">
        <f>Technical!I343</f>
        <v>0</v>
      </c>
      <c r="I3276" s="129">
        <f>Technical!J343</f>
        <v>-46033</v>
      </c>
      <c r="J3276" s="129">
        <f>Technical!K343</f>
        <v>0</v>
      </c>
      <c r="K3276" s="129">
        <f>Technical!L343</f>
        <v>0</v>
      </c>
      <c r="L3276" s="129">
        <f>Technical!M343</f>
        <v>0</v>
      </c>
      <c r="M3276" s="129">
        <f>Technical!N343</f>
        <v>0</v>
      </c>
      <c r="N3276" s="129">
        <f>Technical!O343</f>
        <v>0</v>
      </c>
      <c r="O3276" s="129">
        <f>Technical!N343</f>
        <v>0</v>
      </c>
      <c r="P3276" s="123" t="str">
        <f t="shared" si="720"/>
        <v>265</v>
      </c>
    </row>
    <row r="3277" spans="1:16" x14ac:dyDescent="0.2">
      <c r="A3277" s="119"/>
      <c r="B3277" s="120"/>
      <c r="C3277" s="129"/>
      <c r="D3277" s="129"/>
      <c r="E3277" s="129"/>
      <c r="F3277" s="129"/>
      <c r="G3277" s="129"/>
      <c r="H3277" s="129"/>
      <c r="I3277" s="129">
        <f>Technical!J344</f>
        <v>0</v>
      </c>
      <c r="J3277" s="129"/>
      <c r="K3277" s="129"/>
      <c r="L3277" s="129"/>
      <c r="O3277" s="129"/>
      <c r="P3277" s="123" t="str">
        <f t="shared" si="720"/>
        <v/>
      </c>
    </row>
    <row r="3278" spans="1:16" s="114" customFormat="1" ht="15" x14ac:dyDescent="0.25">
      <c r="A3278" s="118"/>
      <c r="B3278" s="117" t="s">
        <v>217</v>
      </c>
      <c r="C3278" s="128">
        <f>SUM(C3276:C3277)</f>
        <v>46033</v>
      </c>
      <c r="D3278" s="128">
        <f t="shared" ref="D3278:O3278" si="721">SUM(D3276:D3277)</f>
        <v>0</v>
      </c>
      <c r="E3278" s="128">
        <f t="shared" si="721"/>
        <v>0</v>
      </c>
      <c r="F3278" s="128">
        <f t="shared" si="721"/>
        <v>1217.71</v>
      </c>
      <c r="G3278" s="128">
        <f t="shared" si="721"/>
        <v>-1217.71</v>
      </c>
      <c r="H3278" s="128">
        <f t="shared" si="721"/>
        <v>0</v>
      </c>
      <c r="I3278" s="128">
        <f t="shared" si="721"/>
        <v>-46033</v>
      </c>
      <c r="J3278" s="128">
        <f t="shared" si="721"/>
        <v>0</v>
      </c>
      <c r="K3278" s="128">
        <f t="shared" si="721"/>
        <v>0</v>
      </c>
      <c r="L3278" s="128">
        <f t="shared" si="721"/>
        <v>0</v>
      </c>
      <c r="M3278" s="128">
        <f t="shared" si="721"/>
        <v>0</v>
      </c>
      <c r="N3278" s="128">
        <f t="shared" si="721"/>
        <v>0</v>
      </c>
      <c r="O3278" s="128">
        <f t="shared" si="721"/>
        <v>0</v>
      </c>
      <c r="P3278" s="123" t="str">
        <f t="shared" si="720"/>
        <v/>
      </c>
    </row>
    <row r="3279" spans="1:16" s="114" customFormat="1" ht="15" x14ac:dyDescent="0.25">
      <c r="A3279" s="118"/>
      <c r="B3279" s="117"/>
      <c r="C3279" s="128"/>
      <c r="D3279" s="128"/>
      <c r="E3279" s="128"/>
      <c r="F3279" s="128"/>
      <c r="G3279" s="128"/>
      <c r="H3279" s="128"/>
      <c r="I3279" s="129">
        <f>Technical!J346</f>
        <v>0</v>
      </c>
      <c r="J3279" s="129"/>
      <c r="K3279" s="129"/>
      <c r="L3279" s="129"/>
      <c r="M3279" s="186"/>
      <c r="N3279" s="186"/>
      <c r="O3279" s="128"/>
      <c r="P3279" s="123" t="str">
        <f t="shared" si="720"/>
        <v/>
      </c>
    </row>
    <row r="3280" spans="1:16" s="114" customFormat="1" ht="15" x14ac:dyDescent="0.25">
      <c r="A3280" s="118"/>
      <c r="B3280" s="117" t="s">
        <v>218</v>
      </c>
      <c r="C3280" s="128"/>
      <c r="D3280" s="128"/>
      <c r="E3280" s="128"/>
      <c r="F3280" s="128"/>
      <c r="G3280" s="128"/>
      <c r="H3280" s="128"/>
      <c r="I3280" s="129">
        <f>Technical!J347</f>
        <v>0</v>
      </c>
      <c r="J3280" s="129"/>
      <c r="K3280" s="129"/>
      <c r="L3280" s="129"/>
      <c r="M3280" s="186"/>
      <c r="N3280" s="186"/>
      <c r="O3280" s="128"/>
      <c r="P3280" s="123" t="str">
        <f t="shared" si="720"/>
        <v/>
      </c>
    </row>
    <row r="3281" spans="1:16" s="114" customFormat="1" ht="15" x14ac:dyDescent="0.25">
      <c r="A3281" s="118"/>
      <c r="B3281" s="117" t="s">
        <v>228</v>
      </c>
      <c r="C3281" s="128"/>
      <c r="D3281" s="128"/>
      <c r="E3281" s="128"/>
      <c r="F3281" s="128"/>
      <c r="G3281" s="128"/>
      <c r="H3281" s="128"/>
      <c r="I3281" s="129">
        <f>Technical!J348</f>
        <v>0</v>
      </c>
      <c r="J3281" s="129"/>
      <c r="K3281" s="129"/>
      <c r="L3281" s="129"/>
      <c r="M3281" s="186"/>
      <c r="N3281" s="186"/>
      <c r="O3281" s="128"/>
      <c r="P3281" s="123" t="str">
        <f t="shared" si="720"/>
        <v/>
      </c>
    </row>
    <row r="3282" spans="1:16" x14ac:dyDescent="0.2">
      <c r="A3282" s="119"/>
      <c r="B3282" s="120"/>
      <c r="C3282" s="129"/>
      <c r="D3282" s="129"/>
      <c r="E3282" s="129"/>
      <c r="F3282" s="129"/>
      <c r="G3282" s="129"/>
      <c r="H3282" s="129"/>
      <c r="I3282" s="129">
        <f>Technical!J349</f>
        <v>0</v>
      </c>
      <c r="J3282" s="129"/>
      <c r="K3282" s="129"/>
      <c r="L3282" s="129"/>
      <c r="O3282" s="129"/>
      <c r="P3282" s="123" t="str">
        <f t="shared" si="720"/>
        <v/>
      </c>
    </row>
    <row r="3283" spans="1:16" x14ac:dyDescent="0.2">
      <c r="A3283" s="119" t="s">
        <v>1258</v>
      </c>
      <c r="B3283" s="120" t="s">
        <v>236</v>
      </c>
      <c r="C3283" s="129">
        <f>Technical!D350</f>
        <v>636000</v>
      </c>
      <c r="D3283" s="129">
        <f>Technical!E350</f>
        <v>0</v>
      </c>
      <c r="E3283" s="129">
        <f>Technical!F350</f>
        <v>0</v>
      </c>
      <c r="F3283" s="129">
        <f>Technical!G350</f>
        <v>1217.71</v>
      </c>
      <c r="G3283" s="129">
        <f>Technical!H350</f>
        <v>-1217.71</v>
      </c>
      <c r="H3283" s="129">
        <f>Technical!I350</f>
        <v>0</v>
      </c>
      <c r="I3283" s="129">
        <f>Technical!J350</f>
        <v>0</v>
      </c>
      <c r="J3283" s="129">
        <f>Technical!K350</f>
        <v>636000</v>
      </c>
      <c r="K3283" s="129">
        <f>Technical!L350</f>
        <v>664620</v>
      </c>
      <c r="L3283" s="129">
        <f>Technical!M350</f>
        <v>695192.52</v>
      </c>
      <c r="M3283" s="129">
        <f>Technical!N350</f>
        <v>727171.37592000002</v>
      </c>
      <c r="N3283" s="129">
        <f>Technical!O350</f>
        <v>0</v>
      </c>
      <c r="O3283" s="129">
        <f>Technical!N350</f>
        <v>727171.37592000002</v>
      </c>
      <c r="P3283" s="123" t="str">
        <f t="shared" si="720"/>
        <v>283</v>
      </c>
    </row>
    <row r="3284" spans="1:16" x14ac:dyDescent="0.2">
      <c r="A3284" s="119"/>
      <c r="B3284" s="120"/>
      <c r="C3284" s="129"/>
      <c r="D3284" s="129"/>
      <c r="E3284" s="129"/>
      <c r="F3284" s="129"/>
      <c r="G3284" s="129"/>
      <c r="H3284" s="129"/>
      <c r="I3284" s="129">
        <f>Technical!J351</f>
        <v>0</v>
      </c>
      <c r="J3284" s="129"/>
      <c r="K3284" s="129"/>
      <c r="L3284" s="129"/>
      <c r="O3284" s="129"/>
      <c r="P3284" s="123" t="str">
        <f t="shared" si="720"/>
        <v/>
      </c>
    </row>
    <row r="3285" spans="1:16" s="114" customFormat="1" ht="15" x14ac:dyDescent="0.25">
      <c r="A3285" s="118"/>
      <c r="B3285" s="117" t="s">
        <v>239</v>
      </c>
      <c r="C3285" s="128">
        <f>SUM(C3283:C3284)</f>
        <v>636000</v>
      </c>
      <c r="D3285" s="128">
        <f t="shared" ref="D3285:O3285" si="722">SUM(D3283:D3284)</f>
        <v>0</v>
      </c>
      <c r="E3285" s="128">
        <f t="shared" si="722"/>
        <v>0</v>
      </c>
      <c r="F3285" s="128">
        <f t="shared" si="722"/>
        <v>1217.71</v>
      </c>
      <c r="G3285" s="128">
        <f t="shared" si="722"/>
        <v>-1217.71</v>
      </c>
      <c r="H3285" s="128">
        <f t="shared" si="722"/>
        <v>0</v>
      </c>
      <c r="I3285" s="128">
        <f t="shared" si="722"/>
        <v>0</v>
      </c>
      <c r="J3285" s="128">
        <f t="shared" si="722"/>
        <v>636000</v>
      </c>
      <c r="K3285" s="128">
        <f t="shared" si="722"/>
        <v>664620</v>
      </c>
      <c r="L3285" s="128">
        <f t="shared" si="722"/>
        <v>695192.52</v>
      </c>
      <c r="M3285" s="128">
        <f t="shared" si="722"/>
        <v>727171.37592000002</v>
      </c>
      <c r="N3285" s="128">
        <f t="shared" si="722"/>
        <v>0</v>
      </c>
      <c r="O3285" s="128">
        <f t="shared" si="722"/>
        <v>727171.37592000002</v>
      </c>
      <c r="P3285" s="123" t="str">
        <f t="shared" si="720"/>
        <v/>
      </c>
    </row>
    <row r="3286" spans="1:16" s="114" customFormat="1" ht="15" x14ac:dyDescent="0.25">
      <c r="A3286" s="118"/>
      <c r="B3286" s="117"/>
      <c r="C3286" s="128"/>
      <c r="D3286" s="128"/>
      <c r="E3286" s="128"/>
      <c r="F3286" s="128"/>
      <c r="G3286" s="128"/>
      <c r="H3286" s="128"/>
      <c r="I3286" s="129">
        <f>Technical!J353</f>
        <v>0</v>
      </c>
      <c r="J3286" s="129"/>
      <c r="K3286" s="129"/>
      <c r="L3286" s="129"/>
      <c r="M3286" s="186"/>
      <c r="N3286" s="186"/>
      <c r="O3286" s="128"/>
      <c r="P3286" s="123" t="str">
        <f t="shared" si="720"/>
        <v/>
      </c>
    </row>
    <row r="3287" spans="1:16" s="114" customFormat="1" ht="15" x14ac:dyDescent="0.25">
      <c r="A3287" s="118"/>
      <c r="B3287" s="117" t="s">
        <v>240</v>
      </c>
      <c r="C3287" s="128">
        <f>C3278+C3285</f>
        <v>682033</v>
      </c>
      <c r="D3287" s="128">
        <f t="shared" ref="D3287:O3287" si="723">D3278+D3285</f>
        <v>0</v>
      </c>
      <c r="E3287" s="128">
        <f t="shared" si="723"/>
        <v>0</v>
      </c>
      <c r="F3287" s="128">
        <f t="shared" si="723"/>
        <v>2435.42</v>
      </c>
      <c r="G3287" s="128">
        <f t="shared" si="723"/>
        <v>-2435.42</v>
      </c>
      <c r="H3287" s="128">
        <f t="shared" si="723"/>
        <v>0</v>
      </c>
      <c r="I3287" s="128">
        <f t="shared" si="723"/>
        <v>-46033</v>
      </c>
      <c r="J3287" s="128">
        <f t="shared" si="723"/>
        <v>636000</v>
      </c>
      <c r="K3287" s="128">
        <f t="shared" si="723"/>
        <v>664620</v>
      </c>
      <c r="L3287" s="128">
        <f t="shared" si="723"/>
        <v>695192.52</v>
      </c>
      <c r="M3287" s="128">
        <f t="shared" si="723"/>
        <v>727171.37592000002</v>
      </c>
      <c r="N3287" s="128">
        <f t="shared" si="723"/>
        <v>0</v>
      </c>
      <c r="O3287" s="128">
        <f t="shared" si="723"/>
        <v>727171.37592000002</v>
      </c>
      <c r="P3287" s="123" t="str">
        <f t="shared" si="720"/>
        <v/>
      </c>
    </row>
    <row r="3288" spans="1:16" s="114" customFormat="1" ht="15" x14ac:dyDescent="0.25">
      <c r="A3288" s="118"/>
      <c r="B3288" s="117"/>
      <c r="C3288" s="128"/>
      <c r="D3288" s="128"/>
      <c r="E3288" s="128"/>
      <c r="F3288" s="128"/>
      <c r="G3288" s="128"/>
      <c r="H3288" s="128"/>
      <c r="I3288" s="129">
        <f>Technical!J355</f>
        <v>0</v>
      </c>
      <c r="J3288" s="129"/>
      <c r="K3288" s="129"/>
      <c r="L3288" s="129"/>
      <c r="M3288" s="186"/>
      <c r="N3288" s="186"/>
      <c r="O3288" s="128"/>
      <c r="P3288" s="123" t="str">
        <f t="shared" si="720"/>
        <v/>
      </c>
    </row>
    <row r="3289" spans="1:16" s="114" customFormat="1" ht="15" x14ac:dyDescent="0.25">
      <c r="A3289" s="118"/>
      <c r="B3289" s="117" t="s">
        <v>241</v>
      </c>
      <c r="C3289" s="128"/>
      <c r="D3289" s="128"/>
      <c r="E3289" s="128"/>
      <c r="F3289" s="128"/>
      <c r="G3289" s="128"/>
      <c r="H3289" s="128"/>
      <c r="I3289" s="129">
        <f>Technical!J356</f>
        <v>0</v>
      </c>
      <c r="J3289" s="129"/>
      <c r="K3289" s="129"/>
      <c r="L3289" s="129"/>
      <c r="M3289" s="186"/>
      <c r="N3289" s="186"/>
      <c r="O3289" s="128"/>
      <c r="P3289" s="123" t="str">
        <f t="shared" si="720"/>
        <v/>
      </c>
    </row>
    <row r="3290" spans="1:16" x14ac:dyDescent="0.2">
      <c r="A3290" s="119"/>
      <c r="B3290" s="120"/>
      <c r="C3290" s="129"/>
      <c r="D3290" s="129"/>
      <c r="E3290" s="129"/>
      <c r="F3290" s="129"/>
      <c r="G3290" s="129"/>
      <c r="H3290" s="129"/>
      <c r="I3290" s="129">
        <f>Technical!J357</f>
        <v>0</v>
      </c>
      <c r="J3290" s="129"/>
      <c r="K3290" s="129"/>
      <c r="L3290" s="129"/>
      <c r="O3290" s="129"/>
      <c r="P3290" s="123" t="str">
        <f t="shared" si="720"/>
        <v/>
      </c>
    </row>
    <row r="3291" spans="1:16" x14ac:dyDescent="0.2">
      <c r="A3291" s="119" t="s">
        <v>1259</v>
      </c>
      <c r="B3291" s="120" t="s">
        <v>265</v>
      </c>
      <c r="C3291" s="129">
        <f>Technical!D358</f>
        <v>33129</v>
      </c>
      <c r="D3291" s="129">
        <f>Technical!E358</f>
        <v>0</v>
      </c>
      <c r="E3291" s="129">
        <f>Technical!F358</f>
        <v>0</v>
      </c>
      <c r="F3291" s="129">
        <f>Technical!G358</f>
        <v>1217.71</v>
      </c>
      <c r="G3291" s="129">
        <f>Technical!H358</f>
        <v>-1217.71</v>
      </c>
      <c r="H3291" s="129">
        <f>Technical!I358</f>
        <v>0</v>
      </c>
      <c r="I3291" s="129">
        <f>Technical!J358</f>
        <v>0</v>
      </c>
      <c r="J3291" s="129">
        <f>Technical!K358</f>
        <v>33129</v>
      </c>
      <c r="K3291" s="129">
        <f>Technical!L358</f>
        <v>34619.805</v>
      </c>
      <c r="L3291" s="129">
        <f>Technical!M358</f>
        <v>36212.316030000002</v>
      </c>
      <c r="M3291" s="129">
        <f>Technical!N358</f>
        <v>37878.082567379999</v>
      </c>
      <c r="N3291" s="129">
        <f>Technical!O358</f>
        <v>0</v>
      </c>
      <c r="O3291" s="129">
        <f>Technical!N358</f>
        <v>37878.082567379999</v>
      </c>
      <c r="P3291" s="123" t="str">
        <f t="shared" si="720"/>
        <v>305</v>
      </c>
    </row>
    <row r="3292" spans="1:16" x14ac:dyDescent="0.2">
      <c r="A3292" s="119" t="s">
        <v>1260</v>
      </c>
      <c r="B3292" s="120" t="s">
        <v>268</v>
      </c>
      <c r="C3292" s="129">
        <f>Technical!D359</f>
        <v>76213</v>
      </c>
      <c r="D3292" s="129">
        <v>1580.07</v>
      </c>
      <c r="E3292" s="129">
        <v>0</v>
      </c>
      <c r="F3292" s="129">
        <v>20973.41</v>
      </c>
      <c r="G3292" s="129">
        <v>55239.59</v>
      </c>
      <c r="H3292" s="129">
        <v>27.51</v>
      </c>
      <c r="I3292" s="129">
        <f>Technical!J359</f>
        <v>0</v>
      </c>
      <c r="J3292" s="129">
        <f>Technical!K359</f>
        <v>76213</v>
      </c>
      <c r="K3292" s="129">
        <f>Technical!L359</f>
        <v>79642.585000000006</v>
      </c>
      <c r="L3292" s="129">
        <f>Technical!M359</f>
        <v>83306.143910000013</v>
      </c>
      <c r="O3292" s="129">
        <f>Technical!N359</f>
        <v>87138.22652986001</v>
      </c>
      <c r="P3292" s="123" t="str">
        <f t="shared" si="720"/>
        <v>305</v>
      </c>
    </row>
    <row r="3293" spans="1:16" x14ac:dyDescent="0.2">
      <c r="A3293" s="119" t="s">
        <v>1261</v>
      </c>
      <c r="B3293" s="120" t="s">
        <v>273</v>
      </c>
      <c r="C3293" s="129">
        <f>Technical!D360</f>
        <v>4355626</v>
      </c>
      <c r="D3293" s="129">
        <v>336016.48</v>
      </c>
      <c r="E3293" s="129">
        <v>0</v>
      </c>
      <c r="F3293" s="129">
        <v>2163663.64</v>
      </c>
      <c r="G3293" s="129">
        <v>2191962.36</v>
      </c>
      <c r="H3293" s="129">
        <v>49.67</v>
      </c>
      <c r="I3293" s="129">
        <f>Technical!J360</f>
        <v>344539</v>
      </c>
      <c r="J3293" s="129">
        <f>Technical!K360</f>
        <v>4700165</v>
      </c>
      <c r="K3293" s="129">
        <f>Technical!L360</f>
        <v>5080878.3650000002</v>
      </c>
      <c r="L3293" s="129">
        <f>Technical!M360</f>
        <v>5345084.0399799999</v>
      </c>
      <c r="O3293" s="129">
        <f>Technical!N360</f>
        <v>5820796.51953822</v>
      </c>
      <c r="P3293" s="123" t="str">
        <f t="shared" si="720"/>
        <v>307</v>
      </c>
    </row>
    <row r="3294" spans="1:16" x14ac:dyDescent="0.2">
      <c r="A3294" s="119"/>
      <c r="B3294" s="120"/>
      <c r="C3294" s="129"/>
      <c r="D3294" s="129"/>
      <c r="E3294" s="129"/>
      <c r="F3294" s="129"/>
      <c r="G3294" s="129"/>
      <c r="H3294" s="129"/>
      <c r="I3294" s="129">
        <f>Technical!J361</f>
        <v>0</v>
      </c>
      <c r="J3294" s="129"/>
      <c r="K3294" s="129"/>
      <c r="L3294" s="129"/>
      <c r="O3294" s="129"/>
      <c r="P3294" s="123" t="str">
        <f t="shared" si="720"/>
        <v/>
      </c>
    </row>
    <row r="3295" spans="1:16" s="114" customFormat="1" ht="15" x14ac:dyDescent="0.25">
      <c r="A3295" s="118"/>
      <c r="B3295" s="117" t="s">
        <v>274</v>
      </c>
      <c r="C3295" s="128">
        <f>SUM(C3291:C3294)</f>
        <v>4464968</v>
      </c>
      <c r="D3295" s="128">
        <f t="shared" ref="D3295:O3295" si="724">SUM(D3291:D3294)</f>
        <v>337596.55</v>
      </c>
      <c r="E3295" s="128">
        <f t="shared" si="724"/>
        <v>0</v>
      </c>
      <c r="F3295" s="128">
        <f t="shared" si="724"/>
        <v>2185854.7600000002</v>
      </c>
      <c r="G3295" s="128">
        <f t="shared" si="724"/>
        <v>2245984.2399999998</v>
      </c>
      <c r="H3295" s="128">
        <f t="shared" si="724"/>
        <v>77.180000000000007</v>
      </c>
      <c r="I3295" s="128">
        <f t="shared" si="724"/>
        <v>344539</v>
      </c>
      <c r="J3295" s="128">
        <f t="shared" si="724"/>
        <v>4809507</v>
      </c>
      <c r="K3295" s="128">
        <f t="shared" si="724"/>
        <v>5195140.7549999999</v>
      </c>
      <c r="L3295" s="128">
        <f t="shared" si="724"/>
        <v>5464602.4999200003</v>
      </c>
      <c r="M3295" s="128">
        <f t="shared" si="724"/>
        <v>37878.082567379999</v>
      </c>
      <c r="N3295" s="128">
        <f t="shared" si="724"/>
        <v>0</v>
      </c>
      <c r="O3295" s="128">
        <f t="shared" si="724"/>
        <v>5945812.8286354598</v>
      </c>
      <c r="P3295" s="123" t="str">
        <f t="shared" si="720"/>
        <v/>
      </c>
    </row>
    <row r="3296" spans="1:16" s="114" customFormat="1" ht="15" x14ac:dyDescent="0.25">
      <c r="A3296" s="118"/>
      <c r="B3296" s="117"/>
      <c r="C3296" s="128"/>
      <c r="D3296" s="128"/>
      <c r="E3296" s="128"/>
      <c r="F3296" s="128"/>
      <c r="G3296" s="128"/>
      <c r="H3296" s="128"/>
      <c r="I3296" s="129">
        <f>Technical!J363</f>
        <v>0</v>
      </c>
      <c r="J3296" s="129"/>
      <c r="K3296" s="129"/>
      <c r="L3296" s="129"/>
      <c r="M3296" s="186"/>
      <c r="N3296" s="186"/>
      <c r="O3296" s="128"/>
      <c r="P3296" s="123" t="str">
        <f t="shared" si="720"/>
        <v/>
      </c>
    </row>
    <row r="3297" spans="1:16" s="114" customFormat="1" ht="15" x14ac:dyDescent="0.25">
      <c r="A3297" s="118"/>
      <c r="B3297" s="117" t="s">
        <v>280</v>
      </c>
      <c r="C3297" s="128"/>
      <c r="D3297" s="128"/>
      <c r="E3297" s="128"/>
      <c r="F3297" s="128"/>
      <c r="G3297" s="128"/>
      <c r="H3297" s="128"/>
      <c r="I3297" s="129">
        <f>Technical!J364</f>
        <v>0</v>
      </c>
      <c r="J3297" s="129"/>
      <c r="K3297" s="129"/>
      <c r="L3297" s="129"/>
      <c r="M3297" s="186"/>
      <c r="N3297" s="186"/>
      <c r="O3297" s="128"/>
      <c r="P3297" s="123" t="str">
        <f t="shared" si="720"/>
        <v/>
      </c>
    </row>
    <row r="3298" spans="1:16" x14ac:dyDescent="0.2">
      <c r="A3298" s="119"/>
      <c r="B3298" s="120"/>
      <c r="C3298" s="129"/>
      <c r="D3298" s="129"/>
      <c r="E3298" s="129"/>
      <c r="F3298" s="129"/>
      <c r="G3298" s="129"/>
      <c r="H3298" s="129"/>
      <c r="I3298" s="129">
        <f>Technical!J365</f>
        <v>0</v>
      </c>
      <c r="J3298" s="129"/>
      <c r="K3298" s="129"/>
      <c r="L3298" s="129"/>
      <c r="O3298" s="129"/>
      <c r="P3298" s="123" t="str">
        <f t="shared" si="720"/>
        <v/>
      </c>
    </row>
    <row r="3299" spans="1:16" x14ac:dyDescent="0.2">
      <c r="A3299" s="119" t="s">
        <v>1262</v>
      </c>
      <c r="B3299" s="120" t="s">
        <v>281</v>
      </c>
      <c r="C3299" s="129">
        <f>Technical!D366</f>
        <v>8268000</v>
      </c>
      <c r="D3299" s="129">
        <f>Technical!E366</f>
        <v>0</v>
      </c>
      <c r="E3299" s="129">
        <f>Technical!F366</f>
        <v>0</v>
      </c>
      <c r="F3299" s="129">
        <f>Technical!G366</f>
        <v>1217.71</v>
      </c>
      <c r="G3299" s="129">
        <f>Technical!H366</f>
        <v>-1217.71</v>
      </c>
      <c r="H3299" s="129">
        <f>Technical!I366</f>
        <v>0</v>
      </c>
      <c r="I3299" s="129">
        <f>Technical!J366</f>
        <v>0</v>
      </c>
      <c r="J3299" s="129">
        <f>Technical!K366</f>
        <v>8268000</v>
      </c>
      <c r="K3299" s="129">
        <f>Technical!L366</f>
        <v>8937708</v>
      </c>
      <c r="L3299" s="129">
        <f>Technical!M366</f>
        <v>9402468.8159999996</v>
      </c>
      <c r="M3299" s="129">
        <f>Technical!N366</f>
        <v>10239288.540624</v>
      </c>
      <c r="N3299" s="129">
        <f>Technical!O366</f>
        <v>0</v>
      </c>
      <c r="O3299" s="129">
        <f>Technical!N366</f>
        <v>10239288.540624</v>
      </c>
      <c r="P3299" s="123" t="str">
        <f t="shared" si="720"/>
        <v>340</v>
      </c>
    </row>
    <row r="3300" spans="1:16" x14ac:dyDescent="0.2">
      <c r="A3300" s="119"/>
      <c r="B3300" s="120"/>
      <c r="C3300" s="129"/>
      <c r="D3300" s="129"/>
      <c r="E3300" s="129"/>
      <c r="F3300" s="129"/>
      <c r="G3300" s="129"/>
      <c r="H3300" s="129"/>
      <c r="I3300" s="129">
        <f>Technical!J367</f>
        <v>0</v>
      </c>
      <c r="J3300" s="129"/>
      <c r="K3300" s="129"/>
      <c r="L3300" s="129"/>
      <c r="O3300" s="129"/>
      <c r="P3300" s="123" t="str">
        <f t="shared" si="720"/>
        <v/>
      </c>
    </row>
    <row r="3301" spans="1:16" s="114" customFormat="1" ht="15" x14ac:dyDescent="0.25">
      <c r="A3301" s="118"/>
      <c r="B3301" s="117" t="s">
        <v>282</v>
      </c>
      <c r="C3301" s="128">
        <f>SUM(C3299:C3300)</f>
        <v>8268000</v>
      </c>
      <c r="D3301" s="128">
        <f t="shared" ref="D3301:O3301" si="725">SUM(D3299:D3300)</f>
        <v>0</v>
      </c>
      <c r="E3301" s="128">
        <f t="shared" si="725"/>
        <v>0</v>
      </c>
      <c r="F3301" s="128">
        <f t="shared" si="725"/>
        <v>1217.71</v>
      </c>
      <c r="G3301" s="128">
        <f t="shared" si="725"/>
        <v>-1217.71</v>
      </c>
      <c r="H3301" s="128">
        <f t="shared" si="725"/>
        <v>0</v>
      </c>
      <c r="I3301" s="128">
        <f t="shared" si="725"/>
        <v>0</v>
      </c>
      <c r="J3301" s="128">
        <f t="shared" si="725"/>
        <v>8268000</v>
      </c>
      <c r="K3301" s="128">
        <f t="shared" si="725"/>
        <v>8937708</v>
      </c>
      <c r="L3301" s="128">
        <f t="shared" si="725"/>
        <v>9402468.8159999996</v>
      </c>
      <c r="M3301" s="128">
        <f t="shared" si="725"/>
        <v>10239288.540624</v>
      </c>
      <c r="N3301" s="128">
        <f t="shared" si="725"/>
        <v>0</v>
      </c>
      <c r="O3301" s="128">
        <f t="shared" si="725"/>
        <v>10239288.540624</v>
      </c>
      <c r="P3301" s="123" t="str">
        <f t="shared" si="720"/>
        <v/>
      </c>
    </row>
    <row r="3302" spans="1:16" x14ac:dyDescent="0.2">
      <c r="A3302" s="119"/>
      <c r="B3302" s="120"/>
      <c r="C3302" s="129"/>
      <c r="D3302" s="129"/>
      <c r="E3302" s="129"/>
      <c r="F3302" s="129"/>
      <c r="G3302" s="129"/>
      <c r="H3302" s="129"/>
      <c r="I3302" s="129">
        <f>Technical!J369</f>
        <v>0</v>
      </c>
      <c r="J3302" s="129"/>
      <c r="K3302" s="129"/>
      <c r="L3302" s="129"/>
      <c r="O3302" s="129"/>
      <c r="P3302" s="123" t="str">
        <f t="shared" si="720"/>
        <v/>
      </c>
    </row>
    <row r="3303" spans="1:16" s="114" customFormat="1" ht="15" x14ac:dyDescent="0.25">
      <c r="A3303" s="118"/>
      <c r="B3303" s="117" t="s">
        <v>290</v>
      </c>
      <c r="C3303" s="128"/>
      <c r="D3303" s="128"/>
      <c r="E3303" s="128"/>
      <c r="F3303" s="128"/>
      <c r="G3303" s="128"/>
      <c r="H3303" s="128"/>
      <c r="I3303" s="129">
        <f>Technical!J370</f>
        <v>0</v>
      </c>
      <c r="J3303" s="129"/>
      <c r="K3303" s="129"/>
      <c r="L3303" s="129"/>
      <c r="M3303" s="186"/>
      <c r="N3303" s="186"/>
      <c r="O3303" s="128"/>
      <c r="P3303" s="123" t="str">
        <f t="shared" si="720"/>
        <v/>
      </c>
    </row>
    <row r="3304" spans="1:16" x14ac:dyDescent="0.2">
      <c r="A3304" s="119"/>
      <c r="B3304" s="120"/>
      <c r="C3304" s="129"/>
      <c r="D3304" s="129"/>
      <c r="E3304" s="129"/>
      <c r="F3304" s="129"/>
      <c r="G3304" s="129"/>
      <c r="H3304" s="129"/>
      <c r="I3304" s="129">
        <f>Technical!J371</f>
        <v>0</v>
      </c>
      <c r="J3304" s="129"/>
      <c r="K3304" s="129"/>
      <c r="L3304" s="129"/>
      <c r="O3304" s="129"/>
      <c r="P3304" s="123" t="str">
        <f t="shared" si="720"/>
        <v/>
      </c>
    </row>
    <row r="3305" spans="1:16" x14ac:dyDescent="0.2">
      <c r="A3305" s="119" t="s">
        <v>1263</v>
      </c>
      <c r="B3305" s="120" t="s">
        <v>292</v>
      </c>
      <c r="C3305" s="129">
        <f>Technical!D372</f>
        <v>3371</v>
      </c>
      <c r="D3305" s="129">
        <v>85.16</v>
      </c>
      <c r="E3305" s="129">
        <v>0</v>
      </c>
      <c r="F3305" s="129">
        <v>225.67</v>
      </c>
      <c r="G3305" s="129">
        <v>3145.33</v>
      </c>
      <c r="H3305" s="129">
        <v>6.69</v>
      </c>
      <c r="I3305" s="129">
        <f>Technical!J372</f>
        <v>0</v>
      </c>
      <c r="J3305" s="129">
        <f>Technical!K372</f>
        <v>3371</v>
      </c>
      <c r="K3305" s="129">
        <f>Technical!L372</f>
        <v>3522.6950000000002</v>
      </c>
      <c r="L3305" s="129">
        <f>Technical!M372</f>
        <v>3684.7389700000003</v>
      </c>
      <c r="O3305" s="129">
        <f>Technical!N372</f>
        <v>3854.2369626200002</v>
      </c>
      <c r="P3305" s="123" t="str">
        <f t="shared" si="720"/>
        <v>720</v>
      </c>
    </row>
    <row r="3306" spans="1:16" x14ac:dyDescent="0.2">
      <c r="A3306" s="119" t="s">
        <v>1264</v>
      </c>
      <c r="B3306" s="120" t="s">
        <v>293</v>
      </c>
      <c r="C3306" s="129">
        <f>Technical!D373</f>
        <v>5077</v>
      </c>
      <c r="D3306" s="129">
        <v>1234.68</v>
      </c>
      <c r="E3306" s="129">
        <v>0</v>
      </c>
      <c r="F3306" s="129">
        <v>2765.25</v>
      </c>
      <c r="G3306" s="129">
        <v>2311.75</v>
      </c>
      <c r="H3306" s="129">
        <v>54.46</v>
      </c>
      <c r="I3306" s="129">
        <f>Technical!J373</f>
        <v>0</v>
      </c>
      <c r="J3306" s="129">
        <f>Technical!K373</f>
        <v>5077</v>
      </c>
      <c r="K3306" s="129">
        <f>Technical!L373</f>
        <v>5305.4650000000001</v>
      </c>
      <c r="L3306" s="129">
        <f>Technical!M373</f>
        <v>5549.5163899999998</v>
      </c>
      <c r="O3306" s="129">
        <f>Technical!N373</f>
        <v>5804.7941439400001</v>
      </c>
      <c r="P3306" s="123" t="str">
        <f t="shared" si="720"/>
        <v>721</v>
      </c>
    </row>
    <row r="3307" spans="1:16" x14ac:dyDescent="0.2">
      <c r="A3307" s="119" t="s">
        <v>1265</v>
      </c>
      <c r="B3307" s="120" t="s">
        <v>294</v>
      </c>
      <c r="C3307" s="129">
        <f>Technical!D374</f>
        <v>526309</v>
      </c>
      <c r="D3307" s="129">
        <v>75488.240000000005</v>
      </c>
      <c r="E3307" s="129">
        <v>0</v>
      </c>
      <c r="F3307" s="129">
        <v>201012.77</v>
      </c>
      <c r="G3307" s="129">
        <v>325296.23</v>
      </c>
      <c r="H3307" s="129">
        <v>38.19</v>
      </c>
      <c r="I3307" s="129">
        <f>Technical!J374</f>
        <v>0</v>
      </c>
      <c r="J3307" s="129">
        <f>Technical!K374</f>
        <v>526309</v>
      </c>
      <c r="K3307" s="129">
        <f>Technical!L374</f>
        <v>549992.90500000003</v>
      </c>
      <c r="L3307" s="129">
        <f>Technical!M374</f>
        <v>575292.57863</v>
      </c>
      <c r="O3307" s="129">
        <f>Technical!N374</f>
        <v>601756.03724698001</v>
      </c>
      <c r="P3307" s="123" t="str">
        <f t="shared" si="720"/>
        <v>722</v>
      </c>
    </row>
    <row r="3308" spans="1:16" x14ac:dyDescent="0.2">
      <c r="A3308" s="119" t="s">
        <v>1266</v>
      </c>
      <c r="B3308" s="120" t="s">
        <v>296</v>
      </c>
      <c r="C3308" s="129">
        <f>Technical!D375</f>
        <v>25648</v>
      </c>
      <c r="D3308" s="129">
        <v>9626.4</v>
      </c>
      <c r="E3308" s="129">
        <v>0</v>
      </c>
      <c r="F3308" s="129">
        <v>23896.33</v>
      </c>
      <c r="G3308" s="129">
        <v>1751.67</v>
      </c>
      <c r="H3308" s="129">
        <v>93.17</v>
      </c>
      <c r="I3308" s="129">
        <f>Technical!J375</f>
        <v>0</v>
      </c>
      <c r="J3308" s="129">
        <f>Technical!K375</f>
        <v>25648</v>
      </c>
      <c r="K3308" s="129">
        <f>Technical!L375</f>
        <v>26802.16</v>
      </c>
      <c r="L3308" s="129">
        <f>Technical!M375</f>
        <v>28035.059359999999</v>
      </c>
      <c r="O3308" s="129">
        <f>Technical!N375</f>
        <v>29324.672090559998</v>
      </c>
      <c r="P3308" s="123" t="str">
        <f t="shared" si="720"/>
        <v>723</v>
      </c>
    </row>
    <row r="3309" spans="1:16" x14ac:dyDescent="0.2">
      <c r="A3309" s="119" t="s">
        <v>1267</v>
      </c>
      <c r="B3309" s="120" t="s">
        <v>297</v>
      </c>
      <c r="C3309" s="129">
        <f>Technical!D376</f>
        <v>116115</v>
      </c>
      <c r="D3309" s="129">
        <v>45465.919999999998</v>
      </c>
      <c r="E3309" s="129">
        <v>0</v>
      </c>
      <c r="F3309" s="129">
        <v>110603.11</v>
      </c>
      <c r="G3309" s="129">
        <v>5511.89</v>
      </c>
      <c r="H3309" s="129">
        <v>95.25</v>
      </c>
      <c r="I3309" s="129">
        <f>Technical!J376</f>
        <v>0</v>
      </c>
      <c r="J3309" s="129">
        <f>Technical!K376</f>
        <v>116115</v>
      </c>
      <c r="K3309" s="129">
        <f>Technical!L376</f>
        <v>121340.175</v>
      </c>
      <c r="L3309" s="129">
        <f>Technical!M376</f>
        <v>126921.82305000001</v>
      </c>
      <c r="O3309" s="129">
        <f>Technical!N376</f>
        <v>132760.2269103</v>
      </c>
      <c r="P3309" s="123" t="str">
        <f t="shared" si="720"/>
        <v>725</v>
      </c>
    </row>
    <row r="3310" spans="1:16" x14ac:dyDescent="0.2">
      <c r="A3310" s="119"/>
      <c r="B3310" s="120"/>
      <c r="C3310" s="129"/>
      <c r="D3310" s="129"/>
      <c r="E3310" s="129"/>
      <c r="F3310" s="129"/>
      <c r="G3310" s="129"/>
      <c r="H3310" s="129"/>
      <c r="I3310" s="129">
        <f>Technical!J377</f>
        <v>0</v>
      </c>
      <c r="J3310" s="129"/>
      <c r="K3310" s="129"/>
      <c r="L3310" s="129"/>
      <c r="O3310" s="129"/>
      <c r="P3310" s="123" t="str">
        <f t="shared" si="720"/>
        <v/>
      </c>
    </row>
    <row r="3311" spans="1:16" s="114" customFormat="1" ht="15" x14ac:dyDescent="0.25">
      <c r="A3311" s="118"/>
      <c r="B3311" s="117" t="s">
        <v>304</v>
      </c>
      <c r="C3311" s="128">
        <f>SUM(C3305:C3310)</f>
        <v>676520</v>
      </c>
      <c r="D3311" s="128">
        <f t="shared" ref="D3311:O3311" si="726">SUM(D3305:D3310)</f>
        <v>131900.4</v>
      </c>
      <c r="E3311" s="128">
        <f t="shared" si="726"/>
        <v>0</v>
      </c>
      <c r="F3311" s="128">
        <f t="shared" si="726"/>
        <v>338503.13</v>
      </c>
      <c r="G3311" s="128">
        <f t="shared" si="726"/>
        <v>338016.87</v>
      </c>
      <c r="H3311" s="128">
        <f t="shared" si="726"/>
        <v>287.76</v>
      </c>
      <c r="I3311" s="128">
        <f t="shared" si="726"/>
        <v>0</v>
      </c>
      <c r="J3311" s="128">
        <f t="shared" si="726"/>
        <v>676520</v>
      </c>
      <c r="K3311" s="128">
        <f t="shared" si="726"/>
        <v>706963.40000000014</v>
      </c>
      <c r="L3311" s="128">
        <f t="shared" si="726"/>
        <v>739483.71639999992</v>
      </c>
      <c r="M3311" s="128">
        <f t="shared" si="726"/>
        <v>0</v>
      </c>
      <c r="N3311" s="128">
        <f t="shared" si="726"/>
        <v>0</v>
      </c>
      <c r="O3311" s="128">
        <f t="shared" si="726"/>
        <v>773499.96735439997</v>
      </c>
      <c r="P3311" s="123" t="str">
        <f t="shared" si="720"/>
        <v/>
      </c>
    </row>
    <row r="3312" spans="1:16" s="114" customFormat="1" ht="15" x14ac:dyDescent="0.25">
      <c r="A3312" s="118"/>
      <c r="B3312" s="117"/>
      <c r="C3312" s="128"/>
      <c r="D3312" s="128"/>
      <c r="E3312" s="128"/>
      <c r="F3312" s="128"/>
      <c r="G3312" s="128"/>
      <c r="H3312" s="128"/>
      <c r="I3312" s="129">
        <f>Technical!J379</f>
        <v>0</v>
      </c>
      <c r="J3312" s="129"/>
      <c r="K3312" s="129"/>
      <c r="L3312" s="129"/>
      <c r="M3312" s="186"/>
      <c r="N3312" s="186"/>
      <c r="O3312" s="128"/>
      <c r="P3312" s="123" t="str">
        <f t="shared" si="720"/>
        <v/>
      </c>
    </row>
    <row r="3313" spans="1:16" s="114" customFormat="1" ht="15" x14ac:dyDescent="0.25">
      <c r="A3313" s="118"/>
      <c r="B3313" s="117" t="s">
        <v>305</v>
      </c>
      <c r="C3313" s="128">
        <f>C3270+C3287+C3295+C3301+C3311</f>
        <v>17303148</v>
      </c>
      <c r="D3313" s="128">
        <f t="shared" ref="D3313:O3313" si="727">D3270+D3287+D3295+D3301+D3311</f>
        <v>579426.84</v>
      </c>
      <c r="E3313" s="128">
        <f t="shared" si="727"/>
        <v>0</v>
      </c>
      <c r="F3313" s="128">
        <f t="shared" si="727"/>
        <v>3102715.94</v>
      </c>
      <c r="G3313" s="128">
        <f t="shared" si="727"/>
        <v>3371007.06</v>
      </c>
      <c r="H3313" s="128">
        <f t="shared" si="727"/>
        <v>989.03</v>
      </c>
      <c r="I3313" s="128">
        <f t="shared" si="727"/>
        <v>247392.36000000002</v>
      </c>
      <c r="J3313" s="128">
        <f t="shared" si="727"/>
        <v>17550540.359999999</v>
      </c>
      <c r="K3313" s="128">
        <f t="shared" si="727"/>
        <v>18862477.599999998</v>
      </c>
      <c r="L3313" s="128">
        <f t="shared" si="727"/>
        <v>19894856.178470001</v>
      </c>
      <c r="M3313" s="128">
        <f t="shared" si="727"/>
        <v>13250236.16460513</v>
      </c>
      <c r="N3313" s="128">
        <f t="shared" si="727"/>
        <v>0</v>
      </c>
      <c r="O3313" s="128">
        <f t="shared" si="727"/>
        <v>21530398.942514356</v>
      </c>
      <c r="P3313" s="123" t="str">
        <f t="shared" si="720"/>
        <v/>
      </c>
    </row>
    <row r="3314" spans="1:16" s="114" customFormat="1" ht="15" x14ac:dyDescent="0.25">
      <c r="A3314" s="118"/>
      <c r="B3314" s="117"/>
      <c r="C3314" s="128"/>
      <c r="D3314" s="128"/>
      <c r="E3314" s="128"/>
      <c r="F3314" s="128"/>
      <c r="G3314" s="128"/>
      <c r="H3314" s="128"/>
      <c r="I3314" s="129">
        <f>Technical!J381</f>
        <v>0</v>
      </c>
      <c r="J3314" s="129"/>
      <c r="K3314" s="129"/>
      <c r="L3314" s="129"/>
      <c r="M3314" s="186"/>
      <c r="N3314" s="186"/>
      <c r="O3314" s="128"/>
      <c r="P3314" s="123" t="str">
        <f t="shared" si="720"/>
        <v/>
      </c>
    </row>
    <row r="3315" spans="1:16" s="114" customFormat="1" ht="15" x14ac:dyDescent="0.25">
      <c r="A3315" s="118"/>
      <c r="B3315" s="117" t="s">
        <v>306</v>
      </c>
      <c r="C3315" s="128">
        <f>C3230+C3313</f>
        <v>7552587</v>
      </c>
      <c r="D3315" s="128">
        <f t="shared" ref="D3315:O3315" si="728">D3230+D3313</f>
        <v>5315.9300000000512</v>
      </c>
      <c r="E3315" s="128">
        <f t="shared" si="728"/>
        <v>0</v>
      </c>
      <c r="F3315" s="128">
        <f t="shared" si="728"/>
        <v>-779866.91999999993</v>
      </c>
      <c r="G3315" s="128">
        <f t="shared" si="728"/>
        <v>-2496971.0800000005</v>
      </c>
      <c r="H3315" s="128">
        <f t="shared" si="728"/>
        <v>1269.8699999999999</v>
      </c>
      <c r="I3315" s="128">
        <f t="shared" si="728"/>
        <v>247392.36000000002</v>
      </c>
      <c r="J3315" s="128">
        <f t="shared" si="728"/>
        <v>7830514.3599999994</v>
      </c>
      <c r="K3315" s="128">
        <f t="shared" si="728"/>
        <v>-7677237.6060000025</v>
      </c>
      <c r="L3315" s="128">
        <f t="shared" si="728"/>
        <v>2806493.1739580035</v>
      </c>
      <c r="M3315" s="128">
        <f t="shared" si="728"/>
        <v>5566873.8742427295</v>
      </c>
      <c r="N3315" s="128">
        <f t="shared" si="728"/>
        <v>0</v>
      </c>
      <c r="O3315" s="128">
        <f t="shared" si="728"/>
        <v>2455483.3257737868</v>
      </c>
      <c r="P3315" s="123" t="str">
        <f t="shared" si="720"/>
        <v/>
      </c>
    </row>
    <row r="3316" spans="1:16" x14ac:dyDescent="0.2">
      <c r="A3316" s="119"/>
      <c r="B3316" s="120"/>
      <c r="C3316" s="129"/>
      <c r="D3316" s="129"/>
      <c r="E3316" s="129"/>
      <c r="F3316" s="129"/>
      <c r="G3316" s="129"/>
      <c r="H3316" s="129"/>
      <c r="I3316" s="129">
        <f>Technical!J383</f>
        <v>0</v>
      </c>
      <c r="J3316" s="129"/>
      <c r="K3316" s="129"/>
      <c r="L3316" s="129"/>
      <c r="O3316" s="129"/>
      <c r="P3316" s="123" t="str">
        <f t="shared" si="720"/>
        <v/>
      </c>
    </row>
    <row r="3317" spans="1:16" s="114" customFormat="1" ht="15" x14ac:dyDescent="0.25">
      <c r="A3317" s="118"/>
      <c r="B3317" s="117" t="s">
        <v>308</v>
      </c>
      <c r="C3317" s="128"/>
      <c r="D3317" s="128"/>
      <c r="E3317" s="128"/>
      <c r="F3317" s="128"/>
      <c r="G3317" s="128"/>
      <c r="H3317" s="128"/>
      <c r="I3317" s="129">
        <f>Technical!J384</f>
        <v>0</v>
      </c>
      <c r="J3317" s="129"/>
      <c r="K3317" s="129"/>
      <c r="L3317" s="129"/>
      <c r="M3317" s="186"/>
      <c r="N3317" s="186"/>
      <c r="O3317" s="128"/>
      <c r="P3317" s="123" t="str">
        <f t="shared" si="720"/>
        <v/>
      </c>
    </row>
    <row r="3318" spans="1:16" x14ac:dyDescent="0.2">
      <c r="A3318" s="119"/>
      <c r="B3318" s="120"/>
      <c r="C3318" s="129"/>
      <c r="D3318" s="129"/>
      <c r="E3318" s="129"/>
      <c r="F3318" s="129"/>
      <c r="G3318" s="129"/>
      <c r="H3318" s="129"/>
      <c r="I3318" s="129">
        <f>Technical!J385</f>
        <v>0</v>
      </c>
      <c r="J3318" s="129"/>
      <c r="K3318" s="129"/>
      <c r="L3318" s="129"/>
      <c r="O3318" s="129"/>
      <c r="P3318" s="123" t="str">
        <f t="shared" si="720"/>
        <v/>
      </c>
    </row>
    <row r="3319" spans="1:16" x14ac:dyDescent="0.2">
      <c r="A3319" s="119" t="s">
        <v>1268</v>
      </c>
      <c r="B3319" s="120" t="s">
        <v>1269</v>
      </c>
      <c r="C3319" s="129">
        <f>Technical!D386</f>
        <v>2000000</v>
      </c>
      <c r="D3319" s="129">
        <f>Technical!E386</f>
        <v>0</v>
      </c>
      <c r="E3319" s="129">
        <f>Technical!F386</f>
        <v>0</v>
      </c>
      <c r="F3319" s="129">
        <f>Technical!G386</f>
        <v>1217.71</v>
      </c>
      <c r="G3319" s="129">
        <f>Technical!H386</f>
        <v>-1217.71</v>
      </c>
      <c r="H3319" s="129">
        <f>Technical!I386</f>
        <v>0</v>
      </c>
      <c r="I3319" s="129">
        <f>Technical!J386</f>
        <v>-787662.5</v>
      </c>
      <c r="J3319" s="129">
        <f>Technical!K386</f>
        <v>1212337.5</v>
      </c>
      <c r="K3319" s="129">
        <f>Technical!L386</f>
        <v>1200000</v>
      </c>
      <c r="L3319" s="129">
        <f>Technical!M386</f>
        <v>1000000</v>
      </c>
      <c r="M3319" s="129">
        <f>Technical!N386</f>
        <v>0</v>
      </c>
      <c r="N3319" s="129">
        <f>Technical!O386</f>
        <v>0</v>
      </c>
      <c r="O3319" s="129">
        <f>Technical!N386</f>
        <v>0</v>
      </c>
      <c r="P3319" s="123" t="str">
        <f t="shared" si="720"/>
        <v>432</v>
      </c>
    </row>
    <row r="3320" spans="1:16" x14ac:dyDescent="0.2">
      <c r="A3320" s="119" t="s">
        <v>1270</v>
      </c>
      <c r="B3320" s="120" t="s">
        <v>1271</v>
      </c>
      <c r="C3320" s="129">
        <f>Technical!D387</f>
        <v>3000000</v>
      </c>
      <c r="D3320" s="129">
        <f>Technical!E387</f>
        <v>0</v>
      </c>
      <c r="E3320" s="129">
        <f>Technical!F387</f>
        <v>0</v>
      </c>
      <c r="F3320" s="129">
        <f>Technical!G387</f>
        <v>1217.71</v>
      </c>
      <c r="G3320" s="129">
        <f>Technical!H387</f>
        <v>-1217.71</v>
      </c>
      <c r="H3320" s="129">
        <f>Technical!I387</f>
        <v>0</v>
      </c>
      <c r="I3320" s="129">
        <f>Technical!J387</f>
        <v>0</v>
      </c>
      <c r="J3320" s="129">
        <f>Technical!K387</f>
        <v>3000000</v>
      </c>
      <c r="K3320" s="129">
        <f>Technical!L387</f>
        <v>1700000</v>
      </c>
      <c r="L3320" s="129">
        <f>Technical!M387</f>
        <v>1200000</v>
      </c>
      <c r="M3320" s="129">
        <f>Technical!N387</f>
        <v>3500000</v>
      </c>
      <c r="N3320" s="129">
        <f>Technical!O387</f>
        <v>0</v>
      </c>
      <c r="O3320" s="129">
        <f>Technical!N387</f>
        <v>3500000</v>
      </c>
      <c r="P3320" s="123" t="str">
        <f t="shared" si="720"/>
        <v>433</v>
      </c>
    </row>
    <row r="3321" spans="1:16" x14ac:dyDescent="0.2">
      <c r="A3321" s="119"/>
      <c r="B3321" s="120" t="s">
        <v>1271</v>
      </c>
      <c r="C3321" s="129">
        <f>Technical!D388</f>
        <v>0</v>
      </c>
      <c r="D3321" s="129">
        <f>Technical!E388</f>
        <v>0</v>
      </c>
      <c r="E3321" s="129">
        <f>Technical!F388</f>
        <v>0</v>
      </c>
      <c r="F3321" s="129">
        <f>Technical!G388</f>
        <v>0</v>
      </c>
      <c r="G3321" s="129">
        <f>Technical!H388</f>
        <v>0</v>
      </c>
      <c r="H3321" s="129">
        <f>Technical!I388</f>
        <v>0</v>
      </c>
      <c r="I3321" s="129">
        <f>Technical!J388</f>
        <v>0</v>
      </c>
      <c r="J3321" s="129">
        <f>Technical!K388</f>
        <v>0</v>
      </c>
      <c r="K3321" s="129">
        <f>Technical!L388</f>
        <v>0</v>
      </c>
      <c r="L3321" s="129">
        <f>Technical!M388</f>
        <v>0</v>
      </c>
      <c r="M3321" s="129">
        <f>Technical!N388</f>
        <v>0</v>
      </c>
      <c r="N3321" s="129">
        <f>Technical!O388</f>
        <v>0</v>
      </c>
      <c r="O3321" s="129">
        <f>Technical!N388</f>
        <v>0</v>
      </c>
      <c r="P3321" s="123" t="str">
        <f t="shared" si="720"/>
        <v/>
      </c>
    </row>
    <row r="3322" spans="1:16" x14ac:dyDescent="0.2">
      <c r="A3322" s="119"/>
      <c r="B3322" s="120" t="s">
        <v>3046</v>
      </c>
      <c r="C3322" s="129">
        <f>Technical!D389</f>
        <v>0</v>
      </c>
      <c r="D3322" s="129">
        <f>Technical!E389</f>
        <v>0</v>
      </c>
      <c r="E3322" s="129">
        <f>Technical!F389</f>
        <v>0</v>
      </c>
      <c r="F3322" s="129">
        <f>Technical!G389</f>
        <v>0</v>
      </c>
      <c r="G3322" s="129">
        <f>Technical!H389</f>
        <v>0</v>
      </c>
      <c r="H3322" s="129">
        <f>Technical!I389</f>
        <v>0</v>
      </c>
      <c r="I3322" s="129">
        <f>Technical!J389</f>
        <v>0</v>
      </c>
      <c r="J3322" s="129">
        <f>Technical!K389</f>
        <v>0</v>
      </c>
      <c r="K3322" s="129">
        <f>Technical!L389</f>
        <v>0</v>
      </c>
      <c r="L3322" s="129">
        <f>Technical!M389</f>
        <v>0</v>
      </c>
      <c r="M3322" s="129">
        <f>Technical!N389</f>
        <v>0</v>
      </c>
      <c r="N3322" s="129">
        <f>Technical!O389</f>
        <v>0</v>
      </c>
      <c r="O3322" s="129">
        <f>Technical!N389</f>
        <v>0</v>
      </c>
      <c r="P3322" s="123" t="str">
        <f t="shared" si="720"/>
        <v/>
      </c>
    </row>
    <row r="3323" spans="1:16" x14ac:dyDescent="0.2">
      <c r="A3323" s="119"/>
      <c r="B3323" s="120" t="s">
        <v>3048</v>
      </c>
      <c r="C3323" s="129">
        <f>Technical!D390</f>
        <v>0</v>
      </c>
      <c r="D3323" s="129">
        <f>Technical!E390</f>
        <v>0</v>
      </c>
      <c r="E3323" s="129">
        <f>Technical!F390</f>
        <v>0</v>
      </c>
      <c r="F3323" s="129">
        <f>Technical!G390</f>
        <v>0</v>
      </c>
      <c r="G3323" s="129">
        <f>Technical!H390</f>
        <v>0</v>
      </c>
      <c r="H3323" s="129">
        <f>Technical!I390</f>
        <v>0</v>
      </c>
      <c r="I3323" s="129">
        <f>Technical!J390</f>
        <v>0</v>
      </c>
      <c r="J3323" s="129">
        <f>Technical!K390</f>
        <v>0</v>
      </c>
      <c r="K3323" s="129">
        <f>Technical!L390</f>
        <v>500000</v>
      </c>
      <c r="L3323" s="129">
        <f>Technical!M390</f>
        <v>600000</v>
      </c>
      <c r="M3323" s="129">
        <f>Technical!N390</f>
        <v>0</v>
      </c>
      <c r="N3323" s="129">
        <f>Technical!O390</f>
        <v>0</v>
      </c>
      <c r="O3323" s="129">
        <f>Technical!N390</f>
        <v>0</v>
      </c>
      <c r="P3323" s="123" t="str">
        <f t="shared" si="720"/>
        <v/>
      </c>
    </row>
    <row r="3324" spans="1:16" x14ac:dyDescent="0.2">
      <c r="A3324" s="119"/>
      <c r="B3324" s="120" t="s">
        <v>3049</v>
      </c>
      <c r="C3324" s="129">
        <f>Technical!D391</f>
        <v>0</v>
      </c>
      <c r="D3324" s="129">
        <f>Technical!E391</f>
        <v>0</v>
      </c>
      <c r="E3324" s="129">
        <f>Technical!F391</f>
        <v>0</v>
      </c>
      <c r="F3324" s="129">
        <f>Technical!G391</f>
        <v>0</v>
      </c>
      <c r="G3324" s="129">
        <f>Technical!H391</f>
        <v>0</v>
      </c>
      <c r="H3324" s="129">
        <f>Technical!I391</f>
        <v>0</v>
      </c>
      <c r="I3324" s="129">
        <f>Technical!J391</f>
        <v>0</v>
      </c>
      <c r="J3324" s="129">
        <f>Technical!K391</f>
        <v>0</v>
      </c>
      <c r="K3324" s="129">
        <f>Technical!L391</f>
        <v>0</v>
      </c>
      <c r="L3324" s="129">
        <f>Technical!M391</f>
        <v>0</v>
      </c>
      <c r="M3324" s="129">
        <f>Technical!N391</f>
        <v>1500000</v>
      </c>
      <c r="N3324" s="129">
        <f>Technical!O391</f>
        <v>0</v>
      </c>
      <c r="O3324" s="129">
        <f>Technical!N391</f>
        <v>1500000</v>
      </c>
      <c r="P3324" s="123" t="str">
        <f t="shared" si="720"/>
        <v/>
      </c>
    </row>
    <row r="3325" spans="1:16" x14ac:dyDescent="0.2">
      <c r="A3325" s="119"/>
      <c r="B3325" s="120" t="s">
        <v>3071</v>
      </c>
      <c r="C3325" s="129">
        <f>Technical!D392</f>
        <v>0</v>
      </c>
      <c r="D3325" s="129">
        <f>Technical!E392</f>
        <v>0</v>
      </c>
      <c r="E3325" s="129">
        <f>Technical!F392</f>
        <v>0</v>
      </c>
      <c r="F3325" s="129">
        <f>Technical!G392</f>
        <v>0</v>
      </c>
      <c r="G3325" s="129">
        <f>Technical!H392</f>
        <v>0</v>
      </c>
      <c r="H3325" s="129">
        <f>Technical!I392</f>
        <v>0</v>
      </c>
      <c r="I3325" s="129">
        <f>Technical!J392</f>
        <v>0</v>
      </c>
      <c r="J3325" s="129">
        <f>Technical!K392</f>
        <v>0</v>
      </c>
      <c r="K3325" s="129">
        <f>Technical!L392</f>
        <v>13000000</v>
      </c>
      <c r="L3325" s="129">
        <f>Technical!M392</f>
        <v>6000000</v>
      </c>
      <c r="M3325" s="129">
        <f>Technical!N392</f>
        <v>7000000</v>
      </c>
      <c r="N3325" s="129">
        <f>Technical!O392</f>
        <v>0</v>
      </c>
      <c r="O3325" s="129">
        <f>Technical!N392</f>
        <v>7000000</v>
      </c>
      <c r="P3325" s="123" t="str">
        <f t="shared" si="720"/>
        <v/>
      </c>
    </row>
    <row r="3326" spans="1:16" x14ac:dyDescent="0.2">
      <c r="A3326" s="119"/>
      <c r="B3326" s="120" t="s">
        <v>3072</v>
      </c>
      <c r="C3326" s="129">
        <f>Technical!D393</f>
        <v>0</v>
      </c>
      <c r="D3326" s="129">
        <f>Technical!E393</f>
        <v>0</v>
      </c>
      <c r="E3326" s="129">
        <f>Technical!F393</f>
        <v>0</v>
      </c>
      <c r="F3326" s="129">
        <f>Technical!G393</f>
        <v>0</v>
      </c>
      <c r="G3326" s="129">
        <f>Technical!H393</f>
        <v>0</v>
      </c>
      <c r="H3326" s="129">
        <f>Technical!I393</f>
        <v>0</v>
      </c>
      <c r="I3326" s="129">
        <f>Technical!J393</f>
        <v>0</v>
      </c>
      <c r="J3326" s="129">
        <f>Technical!K393</f>
        <v>0</v>
      </c>
      <c r="K3326" s="129">
        <f>Technical!L393</f>
        <v>3000000</v>
      </c>
      <c r="L3326" s="129">
        <f>Technical!M393</f>
        <v>0</v>
      </c>
      <c r="M3326" s="129">
        <f>Technical!N393</f>
        <v>0</v>
      </c>
      <c r="N3326" s="129">
        <f>Technical!O393</f>
        <v>0</v>
      </c>
      <c r="O3326" s="129">
        <f>Technical!P393</f>
        <v>0</v>
      </c>
      <c r="P3326" s="123" t="str">
        <f t="shared" si="720"/>
        <v/>
      </c>
    </row>
    <row r="3327" spans="1:16" x14ac:dyDescent="0.2">
      <c r="A3327" s="119"/>
      <c r="B3327" s="120" t="s">
        <v>1354</v>
      </c>
      <c r="C3327" s="129">
        <f>Technical!D394</f>
        <v>0</v>
      </c>
      <c r="D3327" s="129">
        <f>Technical!E394</f>
        <v>0</v>
      </c>
      <c r="E3327" s="129">
        <f>Technical!F394</f>
        <v>0</v>
      </c>
      <c r="F3327" s="129">
        <f>Technical!G394</f>
        <v>0</v>
      </c>
      <c r="G3327" s="129">
        <f>Technical!H394</f>
        <v>0</v>
      </c>
      <c r="H3327" s="129">
        <f>Technical!I394</f>
        <v>0</v>
      </c>
      <c r="I3327" s="129">
        <f>Technical!J394</f>
        <v>0</v>
      </c>
      <c r="J3327" s="129">
        <f>Technical!K394</f>
        <v>0</v>
      </c>
      <c r="K3327" s="129">
        <f>Technical!L394</f>
        <v>0</v>
      </c>
      <c r="L3327" s="129">
        <f>Technical!M394</f>
        <v>0</v>
      </c>
      <c r="M3327" s="129">
        <f>Technical!N394</f>
        <v>0</v>
      </c>
      <c r="N3327" s="129">
        <f>Technical!O394</f>
        <v>0</v>
      </c>
      <c r="O3327" s="129">
        <f>Technical!N394</f>
        <v>0</v>
      </c>
      <c r="P3327" s="123" t="str">
        <f t="shared" si="720"/>
        <v/>
      </c>
    </row>
    <row r="3328" spans="1:16" x14ac:dyDescent="0.2">
      <c r="A3328" s="119"/>
      <c r="B3328" s="120"/>
      <c r="C3328" s="129"/>
      <c r="D3328" s="129"/>
      <c r="E3328" s="129"/>
      <c r="F3328" s="129"/>
      <c r="G3328" s="129"/>
      <c r="H3328" s="129"/>
      <c r="I3328" s="129" t="e">
        <f>Technical!#REF!</f>
        <v>#REF!</v>
      </c>
      <c r="J3328" s="129"/>
      <c r="K3328" s="129"/>
      <c r="L3328" s="129"/>
      <c r="O3328" s="129"/>
      <c r="P3328" s="123" t="str">
        <f t="shared" si="720"/>
        <v/>
      </c>
    </row>
    <row r="3329" spans="1:16" s="114" customFormat="1" ht="15" x14ac:dyDescent="0.25">
      <c r="A3329" s="118"/>
      <c r="B3329" s="117" t="s">
        <v>320</v>
      </c>
      <c r="C3329" s="128">
        <f t="shared" ref="C3329:O3329" si="729">SUM(C3319:C3328)</f>
        <v>5000000</v>
      </c>
      <c r="D3329" s="128">
        <f t="shared" si="729"/>
        <v>0</v>
      </c>
      <c r="E3329" s="128">
        <f t="shared" si="729"/>
        <v>0</v>
      </c>
      <c r="F3329" s="128">
        <f t="shared" si="729"/>
        <v>2435.42</v>
      </c>
      <c r="G3329" s="128">
        <f t="shared" si="729"/>
        <v>-2435.42</v>
      </c>
      <c r="H3329" s="128">
        <f t="shared" si="729"/>
        <v>0</v>
      </c>
      <c r="I3329" s="128" t="e">
        <f t="shared" si="729"/>
        <v>#REF!</v>
      </c>
      <c r="J3329" s="128">
        <f t="shared" si="729"/>
        <v>4212337.5</v>
      </c>
      <c r="K3329" s="128">
        <f t="shared" si="729"/>
        <v>19400000</v>
      </c>
      <c r="L3329" s="128">
        <f t="shared" si="729"/>
        <v>8800000</v>
      </c>
      <c r="M3329" s="128">
        <f t="shared" si="729"/>
        <v>12000000</v>
      </c>
      <c r="N3329" s="128">
        <f t="shared" si="729"/>
        <v>0</v>
      </c>
      <c r="O3329" s="128">
        <f t="shared" si="729"/>
        <v>12000000</v>
      </c>
      <c r="P3329" s="123" t="str">
        <f t="shared" si="720"/>
        <v/>
      </c>
    </row>
    <row r="3330" spans="1:16" x14ac:dyDescent="0.2">
      <c r="A3330" s="119"/>
      <c r="B3330" s="120"/>
      <c r="C3330" s="129"/>
      <c r="D3330" s="129"/>
      <c r="E3330" s="129"/>
      <c r="F3330" s="129"/>
      <c r="G3330" s="129"/>
      <c r="H3330" s="129"/>
      <c r="I3330" s="129">
        <f>Technical!J397</f>
        <v>0</v>
      </c>
      <c r="J3330" s="129"/>
      <c r="K3330" s="129"/>
      <c r="L3330" s="129"/>
      <c r="O3330" s="129"/>
      <c r="P3330" s="123" t="str">
        <f t="shared" si="720"/>
        <v/>
      </c>
    </row>
    <row r="3331" spans="1:16" s="114" customFormat="1" ht="15" x14ac:dyDescent="0.25">
      <c r="A3331" s="118"/>
      <c r="B3331" s="117" t="s">
        <v>1272</v>
      </c>
      <c r="C3331" s="128"/>
      <c r="D3331" s="128"/>
      <c r="E3331" s="128"/>
      <c r="F3331" s="128"/>
      <c r="G3331" s="128"/>
      <c r="H3331" s="128"/>
      <c r="I3331" s="129">
        <f>Technical!J398</f>
        <v>0</v>
      </c>
      <c r="J3331" s="129"/>
      <c r="K3331" s="129"/>
      <c r="L3331" s="129"/>
      <c r="M3331" s="186"/>
      <c r="N3331" s="186"/>
      <c r="O3331" s="128"/>
      <c r="P3331" s="123" t="str">
        <f t="shared" si="720"/>
        <v/>
      </c>
    </row>
    <row r="3332" spans="1:16" s="114" customFormat="1" ht="15" x14ac:dyDescent="0.25">
      <c r="A3332" s="118"/>
      <c r="B3332" s="117" t="s">
        <v>9</v>
      </c>
      <c r="C3332" s="128"/>
      <c r="D3332" s="128"/>
      <c r="E3332" s="128"/>
      <c r="F3332" s="128"/>
      <c r="G3332" s="128"/>
      <c r="H3332" s="128"/>
      <c r="I3332" s="129">
        <f>Technical!J399</f>
        <v>0</v>
      </c>
      <c r="J3332" s="129"/>
      <c r="K3332" s="129"/>
      <c r="L3332" s="129"/>
      <c r="M3332" s="186"/>
      <c r="N3332" s="186"/>
      <c r="O3332" s="128"/>
      <c r="P3332" s="123" t="str">
        <f t="shared" si="720"/>
        <v/>
      </c>
    </row>
    <row r="3333" spans="1:16" s="114" customFormat="1" ht="15" x14ac:dyDescent="0.25">
      <c r="A3333" s="118"/>
      <c r="B3333" s="117" t="s">
        <v>42</v>
      </c>
      <c r="C3333" s="128"/>
      <c r="D3333" s="128"/>
      <c r="E3333" s="128"/>
      <c r="F3333" s="128"/>
      <c r="G3333" s="128"/>
      <c r="H3333" s="128"/>
      <c r="I3333" s="129">
        <f>Technical!J400</f>
        <v>0</v>
      </c>
      <c r="J3333" s="129"/>
      <c r="K3333" s="129"/>
      <c r="L3333" s="129"/>
      <c r="M3333" s="186"/>
      <c r="N3333" s="186"/>
      <c r="O3333" s="128"/>
      <c r="P3333" s="123" t="str">
        <f t="shared" si="720"/>
        <v/>
      </c>
    </row>
    <row r="3334" spans="1:16" s="114" customFormat="1" ht="15" x14ac:dyDescent="0.25">
      <c r="A3334" s="118"/>
      <c r="B3334" s="117"/>
      <c r="C3334" s="128"/>
      <c r="D3334" s="128"/>
      <c r="E3334" s="128"/>
      <c r="F3334" s="128"/>
      <c r="G3334" s="128"/>
      <c r="H3334" s="128"/>
      <c r="I3334" s="129">
        <f>Technical!J401</f>
        <v>0</v>
      </c>
      <c r="J3334" s="129"/>
      <c r="K3334" s="129"/>
      <c r="L3334" s="129"/>
      <c r="M3334" s="186"/>
      <c r="N3334" s="186"/>
      <c r="O3334" s="128"/>
      <c r="P3334" s="123" t="str">
        <f t="shared" si="720"/>
        <v/>
      </c>
    </row>
    <row r="3335" spans="1:16" x14ac:dyDescent="0.2">
      <c r="A3335" s="119" t="s">
        <v>1273</v>
      </c>
      <c r="B3335" s="120" t="s">
        <v>53</v>
      </c>
      <c r="C3335" s="129">
        <v>0</v>
      </c>
      <c r="D3335" s="129">
        <v>-21174.2</v>
      </c>
      <c r="E3335" s="129">
        <v>0</v>
      </c>
      <c r="F3335" s="129">
        <v>-238904.13</v>
      </c>
      <c r="G3335" s="129">
        <v>238904.13</v>
      </c>
      <c r="H3335" s="129">
        <v>0</v>
      </c>
      <c r="I3335" s="129">
        <f>Technical!J402</f>
        <v>0</v>
      </c>
      <c r="J3335" s="129">
        <f>Technical!K402</f>
        <v>0</v>
      </c>
      <c r="K3335" s="129">
        <f>Technical!L402</f>
        <v>0</v>
      </c>
      <c r="L3335" s="129">
        <f>Technical!M402</f>
        <v>0</v>
      </c>
      <c r="O3335" s="129"/>
      <c r="P3335" s="123" t="str">
        <f t="shared" ref="P3335:P3398" si="730">MID(A3335,6,3)</f>
        <v>324</v>
      </c>
    </row>
    <row r="3336" spans="1:16" x14ac:dyDescent="0.2">
      <c r="A3336" s="119" t="s">
        <v>1274</v>
      </c>
      <c r="B3336" s="120" t="s">
        <v>54</v>
      </c>
      <c r="C3336" s="129">
        <v>0</v>
      </c>
      <c r="D3336" s="129">
        <v>-48068</v>
      </c>
      <c r="E3336" s="129">
        <v>0</v>
      </c>
      <c r="F3336" s="129">
        <v>-288408</v>
      </c>
      <c r="G3336" s="129">
        <v>288408</v>
      </c>
      <c r="H3336" s="129">
        <v>0</v>
      </c>
      <c r="I3336" s="129">
        <f>Technical!J403</f>
        <v>0</v>
      </c>
      <c r="J3336" s="129">
        <f>Technical!K403</f>
        <v>0</v>
      </c>
      <c r="K3336" s="129">
        <f>Technical!L403</f>
        <v>0</v>
      </c>
      <c r="L3336" s="129">
        <f>Technical!M403</f>
        <v>0</v>
      </c>
      <c r="O3336" s="129"/>
      <c r="P3336" s="123" t="str">
        <f t="shared" si="730"/>
        <v>324</v>
      </c>
    </row>
    <row r="3337" spans="1:16" x14ac:dyDescent="0.2">
      <c r="A3337" s="119"/>
      <c r="B3337" s="120"/>
      <c r="C3337" s="129"/>
      <c r="D3337" s="129"/>
      <c r="E3337" s="129"/>
      <c r="F3337" s="129"/>
      <c r="G3337" s="129"/>
      <c r="H3337" s="129"/>
      <c r="I3337" s="129">
        <f>Technical!J404</f>
        <v>0</v>
      </c>
      <c r="J3337" s="129">
        <f>Technical!K404</f>
        <v>0</v>
      </c>
      <c r="K3337" s="129">
        <f>Technical!L404</f>
        <v>0</v>
      </c>
      <c r="L3337" s="129">
        <f>Technical!M404</f>
        <v>0</v>
      </c>
      <c r="O3337" s="129"/>
      <c r="P3337" s="123" t="str">
        <f t="shared" si="730"/>
        <v/>
      </c>
    </row>
    <row r="3338" spans="1:16" s="114" customFormat="1" ht="15" x14ac:dyDescent="0.25">
      <c r="A3338" s="118"/>
      <c r="B3338" s="117" t="s">
        <v>55</v>
      </c>
      <c r="C3338" s="128">
        <v>0</v>
      </c>
      <c r="D3338" s="128">
        <v>0</v>
      </c>
      <c r="E3338" s="128">
        <v>0</v>
      </c>
      <c r="F3338" s="128">
        <v>0</v>
      </c>
      <c r="G3338" s="128">
        <v>0</v>
      </c>
      <c r="H3338" s="128">
        <v>0</v>
      </c>
      <c r="I3338" s="128">
        <v>0</v>
      </c>
      <c r="J3338" s="128">
        <v>0</v>
      </c>
      <c r="K3338" s="128">
        <v>0</v>
      </c>
      <c r="L3338" s="128">
        <v>0</v>
      </c>
      <c r="M3338" s="128">
        <v>0</v>
      </c>
      <c r="N3338" s="128">
        <v>0</v>
      </c>
      <c r="O3338" s="128">
        <v>0</v>
      </c>
      <c r="P3338" s="123" t="str">
        <f t="shared" si="730"/>
        <v/>
      </c>
    </row>
    <row r="3339" spans="1:16" s="114" customFormat="1" ht="15" x14ac:dyDescent="0.25">
      <c r="A3339" s="118"/>
      <c r="B3339" s="117"/>
      <c r="C3339" s="128"/>
      <c r="D3339" s="128"/>
      <c r="E3339" s="128"/>
      <c r="F3339" s="128"/>
      <c r="G3339" s="128"/>
      <c r="H3339" s="128"/>
      <c r="I3339" s="129">
        <f>Technical!J406</f>
        <v>0</v>
      </c>
      <c r="J3339" s="129"/>
      <c r="K3339" s="129"/>
      <c r="L3339" s="129"/>
      <c r="M3339" s="186"/>
      <c r="N3339" s="186"/>
      <c r="O3339" s="128"/>
      <c r="P3339" s="123" t="str">
        <f t="shared" si="730"/>
        <v/>
      </c>
    </row>
    <row r="3340" spans="1:16" s="114" customFormat="1" ht="15" x14ac:dyDescent="0.25">
      <c r="A3340" s="118"/>
      <c r="B3340" s="117" t="s">
        <v>56</v>
      </c>
      <c r="C3340" s="128"/>
      <c r="D3340" s="128"/>
      <c r="E3340" s="128"/>
      <c r="F3340" s="128"/>
      <c r="G3340" s="128"/>
      <c r="H3340" s="128"/>
      <c r="I3340" s="129">
        <f>Technical!J407</f>
        <v>0</v>
      </c>
      <c r="J3340" s="129"/>
      <c r="K3340" s="129"/>
      <c r="L3340" s="129"/>
      <c r="M3340" s="186"/>
      <c r="N3340" s="186"/>
      <c r="O3340" s="128"/>
      <c r="P3340" s="123" t="str">
        <f t="shared" si="730"/>
        <v/>
      </c>
    </row>
    <row r="3341" spans="1:16" x14ac:dyDescent="0.2">
      <c r="A3341" s="119"/>
      <c r="B3341" s="120"/>
      <c r="C3341" s="129"/>
      <c r="D3341" s="129"/>
      <c r="E3341" s="129"/>
      <c r="F3341" s="129"/>
      <c r="G3341" s="129"/>
      <c r="H3341" s="129"/>
      <c r="I3341" s="129">
        <f>Technical!J408</f>
        <v>0</v>
      </c>
      <c r="J3341" s="129"/>
      <c r="K3341" s="129"/>
      <c r="L3341" s="129"/>
      <c r="O3341" s="129"/>
      <c r="P3341" s="123" t="str">
        <f t="shared" si="730"/>
        <v/>
      </c>
    </row>
    <row r="3342" spans="1:16" x14ac:dyDescent="0.2">
      <c r="A3342" s="119" t="s">
        <v>1275</v>
      </c>
      <c r="B3342" s="120" t="s">
        <v>61</v>
      </c>
      <c r="C3342" s="129">
        <f>Technical!D409</f>
        <v>-315185</v>
      </c>
      <c r="D3342" s="129">
        <f>Technical!E409</f>
        <v>0</v>
      </c>
      <c r="E3342" s="129">
        <f>Technical!F409</f>
        <v>0</v>
      </c>
      <c r="F3342" s="129">
        <f>Technical!G409</f>
        <v>1217.71</v>
      </c>
      <c r="G3342" s="129">
        <f>Technical!H409</f>
        <v>-1217.71</v>
      </c>
      <c r="H3342" s="129">
        <f>Technical!I409</f>
        <v>0</v>
      </c>
      <c r="I3342" s="129">
        <f>Technical!J409</f>
        <v>315185</v>
      </c>
      <c r="J3342" s="129">
        <f>Technical!K409</f>
        <v>0</v>
      </c>
      <c r="K3342" s="129">
        <f>Technical!L409</f>
        <v>0</v>
      </c>
      <c r="L3342" s="129">
        <f>Technical!M409</f>
        <v>0</v>
      </c>
      <c r="M3342" s="129">
        <f>Technical!N409</f>
        <v>0</v>
      </c>
      <c r="N3342" s="129">
        <f>Technical!O409</f>
        <v>0</v>
      </c>
      <c r="O3342" s="129">
        <f>Technical!P409</f>
        <v>0</v>
      </c>
      <c r="P3342" s="123" t="str">
        <f t="shared" si="730"/>
        <v>341</v>
      </c>
    </row>
    <row r="3343" spans="1:16" x14ac:dyDescent="0.2">
      <c r="A3343" s="119"/>
      <c r="B3343" s="120"/>
      <c r="C3343" s="129"/>
      <c r="D3343" s="129"/>
      <c r="E3343" s="129"/>
      <c r="F3343" s="129"/>
      <c r="G3343" s="129"/>
      <c r="H3343" s="129"/>
      <c r="I3343" s="129">
        <f>Technical!J410</f>
        <v>0</v>
      </c>
      <c r="J3343" s="129">
        <f>Technical!K410</f>
        <v>0</v>
      </c>
      <c r="K3343" s="129">
        <f>Technical!L410</f>
        <v>0</v>
      </c>
      <c r="L3343" s="129">
        <f>Technical!M410</f>
        <v>0</v>
      </c>
      <c r="O3343" s="129"/>
      <c r="P3343" s="123" t="str">
        <f t="shared" si="730"/>
        <v/>
      </c>
    </row>
    <row r="3344" spans="1:16" s="114" customFormat="1" ht="15" x14ac:dyDescent="0.25">
      <c r="A3344" s="118"/>
      <c r="B3344" s="117" t="s">
        <v>64</v>
      </c>
      <c r="C3344" s="128">
        <f>SUM(C3342:C3343)</f>
        <v>-315185</v>
      </c>
      <c r="D3344" s="128">
        <f t="shared" ref="D3344:O3344" si="731">SUM(D3342:D3343)</f>
        <v>0</v>
      </c>
      <c r="E3344" s="128">
        <f t="shared" si="731"/>
        <v>0</v>
      </c>
      <c r="F3344" s="128">
        <f t="shared" si="731"/>
        <v>1217.71</v>
      </c>
      <c r="G3344" s="128">
        <f t="shared" si="731"/>
        <v>-1217.71</v>
      </c>
      <c r="H3344" s="128">
        <f t="shared" si="731"/>
        <v>0</v>
      </c>
      <c r="I3344" s="128">
        <f t="shared" si="731"/>
        <v>315185</v>
      </c>
      <c r="J3344" s="128">
        <f t="shared" si="731"/>
        <v>0</v>
      </c>
      <c r="K3344" s="128">
        <f t="shared" si="731"/>
        <v>0</v>
      </c>
      <c r="L3344" s="128">
        <f t="shared" si="731"/>
        <v>0</v>
      </c>
      <c r="M3344" s="128">
        <f t="shared" si="731"/>
        <v>0</v>
      </c>
      <c r="N3344" s="128">
        <f t="shared" si="731"/>
        <v>0</v>
      </c>
      <c r="O3344" s="128">
        <f t="shared" si="731"/>
        <v>0</v>
      </c>
      <c r="P3344" s="123" t="str">
        <f t="shared" si="730"/>
        <v/>
      </c>
    </row>
    <row r="3345" spans="1:16" s="114" customFormat="1" ht="15" x14ac:dyDescent="0.25">
      <c r="A3345" s="118"/>
      <c r="B3345" s="117"/>
      <c r="C3345" s="128"/>
      <c r="D3345" s="128"/>
      <c r="E3345" s="128"/>
      <c r="F3345" s="128"/>
      <c r="G3345" s="128"/>
      <c r="H3345" s="128"/>
      <c r="I3345" s="129">
        <f>Technical!J412</f>
        <v>0</v>
      </c>
      <c r="J3345" s="129"/>
      <c r="K3345" s="129"/>
      <c r="L3345" s="129"/>
      <c r="M3345" s="186"/>
      <c r="N3345" s="186"/>
      <c r="O3345" s="128"/>
      <c r="P3345" s="123" t="str">
        <f t="shared" si="730"/>
        <v/>
      </c>
    </row>
    <row r="3346" spans="1:16" s="114" customFormat="1" ht="15" x14ac:dyDescent="0.25">
      <c r="A3346" s="118"/>
      <c r="B3346" s="117" t="s">
        <v>67</v>
      </c>
      <c r="C3346" s="128"/>
      <c r="D3346" s="128"/>
      <c r="E3346" s="128"/>
      <c r="F3346" s="128"/>
      <c r="G3346" s="128"/>
      <c r="H3346" s="128"/>
      <c r="I3346" s="129">
        <f>Technical!J413</f>
        <v>0</v>
      </c>
      <c r="J3346" s="129"/>
      <c r="K3346" s="129"/>
      <c r="L3346" s="129"/>
      <c r="M3346" s="186"/>
      <c r="N3346" s="186"/>
      <c r="O3346" s="128"/>
      <c r="P3346" s="123" t="str">
        <f t="shared" si="730"/>
        <v/>
      </c>
    </row>
    <row r="3347" spans="1:16" s="114" customFormat="1" ht="15" x14ac:dyDescent="0.25">
      <c r="A3347" s="118"/>
      <c r="B3347" s="117"/>
      <c r="C3347" s="128"/>
      <c r="D3347" s="128"/>
      <c r="E3347" s="128"/>
      <c r="F3347" s="128"/>
      <c r="G3347" s="128"/>
      <c r="H3347" s="128"/>
      <c r="I3347" s="129">
        <f>Technical!J414</f>
        <v>0</v>
      </c>
      <c r="J3347" s="129"/>
      <c r="K3347" s="129"/>
      <c r="L3347" s="129"/>
      <c r="M3347" s="186"/>
      <c r="N3347" s="186"/>
      <c r="O3347" s="128"/>
      <c r="P3347" s="123" t="str">
        <f t="shared" si="730"/>
        <v/>
      </c>
    </row>
    <row r="3348" spans="1:16" x14ac:dyDescent="0.2">
      <c r="A3348" s="119" t="s">
        <v>1276</v>
      </c>
      <c r="B3348" s="120" t="s">
        <v>68</v>
      </c>
      <c r="C3348" s="129">
        <f>Technical!D415</f>
        <v>-1696600</v>
      </c>
      <c r="D3348" s="129">
        <f ca="1">Technical!E415</f>
        <v>0</v>
      </c>
      <c r="E3348" s="129">
        <f ca="1">Technical!F415</f>
        <v>0</v>
      </c>
      <c r="F3348" s="129">
        <f ca="1">Technical!G415</f>
        <v>1217.71</v>
      </c>
      <c r="G3348" s="129">
        <f ca="1">Technical!H415</f>
        <v>-1217.71</v>
      </c>
      <c r="H3348" s="129">
        <f ca="1">Technical!I415</f>
        <v>0</v>
      </c>
      <c r="I3348" s="129">
        <f ca="1">Technical!J415</f>
        <v>1293064.5</v>
      </c>
      <c r="J3348" s="129">
        <f>Technical!K415</f>
        <v>-403536</v>
      </c>
      <c r="K3348" s="129">
        <f>Technical!L415</f>
        <v>-421695.12</v>
      </c>
      <c r="L3348" s="129">
        <f>Technical!M415</f>
        <v>-441093.09551999997</v>
      </c>
      <c r="M3348" s="129">
        <f>Technical!N415</f>
        <v>-461383.37791391998</v>
      </c>
      <c r="N3348" s="129">
        <f>Technical!O415</f>
        <v>0</v>
      </c>
      <c r="O3348" s="129">
        <f>Technical!N415</f>
        <v>-461383.37791391998</v>
      </c>
      <c r="P3348" s="123" t="str">
        <f t="shared" si="730"/>
        <v>365</v>
      </c>
    </row>
    <row r="3349" spans="1:16" x14ac:dyDescent="0.2">
      <c r="A3349" s="119"/>
      <c r="B3349" s="120"/>
      <c r="C3349" s="129"/>
      <c r="D3349" s="129"/>
      <c r="E3349" s="129"/>
      <c r="F3349" s="129"/>
      <c r="G3349" s="129"/>
      <c r="H3349" s="129"/>
      <c r="I3349" s="129">
        <f>Technical!J416</f>
        <v>0</v>
      </c>
      <c r="J3349" s="129"/>
      <c r="K3349" s="129"/>
      <c r="L3349" s="129"/>
      <c r="O3349" s="129"/>
      <c r="P3349" s="123" t="str">
        <f t="shared" si="730"/>
        <v/>
      </c>
    </row>
    <row r="3350" spans="1:16" s="114" customFormat="1" ht="15" x14ac:dyDescent="0.25">
      <c r="A3350" s="118"/>
      <c r="B3350" s="117" t="s">
        <v>69</v>
      </c>
      <c r="C3350" s="128">
        <f>SUM(C3348:C3349)</f>
        <v>-1696600</v>
      </c>
      <c r="D3350" s="128">
        <f t="shared" ref="D3350:O3350" ca="1" si="732">SUM(D3348:D3349)</f>
        <v>0</v>
      </c>
      <c r="E3350" s="128">
        <f t="shared" ca="1" si="732"/>
        <v>0</v>
      </c>
      <c r="F3350" s="128">
        <f t="shared" ca="1" si="732"/>
        <v>1217.71</v>
      </c>
      <c r="G3350" s="128">
        <f t="shared" ca="1" si="732"/>
        <v>-1217.71</v>
      </c>
      <c r="H3350" s="128">
        <f t="shared" ca="1" si="732"/>
        <v>0</v>
      </c>
      <c r="I3350" s="128">
        <f t="shared" ca="1" si="732"/>
        <v>1293064.5</v>
      </c>
      <c r="J3350" s="128">
        <f t="shared" si="732"/>
        <v>-403536</v>
      </c>
      <c r="K3350" s="128">
        <f t="shared" si="732"/>
        <v>-421695.12</v>
      </c>
      <c r="L3350" s="128">
        <f t="shared" si="732"/>
        <v>-441093.09551999997</v>
      </c>
      <c r="M3350" s="128">
        <f t="shared" si="732"/>
        <v>-461383.37791391998</v>
      </c>
      <c r="N3350" s="128">
        <f t="shared" si="732"/>
        <v>0</v>
      </c>
      <c r="O3350" s="128">
        <f t="shared" si="732"/>
        <v>-461383.37791391998</v>
      </c>
      <c r="P3350" s="123" t="str">
        <f t="shared" si="730"/>
        <v/>
      </c>
    </row>
    <row r="3351" spans="1:16" x14ac:dyDescent="0.2">
      <c r="A3351" s="119"/>
      <c r="B3351" s="120"/>
      <c r="C3351" s="129"/>
      <c r="D3351" s="129"/>
      <c r="E3351" s="129"/>
      <c r="F3351" s="129"/>
      <c r="G3351" s="129"/>
      <c r="H3351" s="129"/>
      <c r="I3351" s="129">
        <f>Technical!J418</f>
        <v>0</v>
      </c>
      <c r="J3351" s="129"/>
      <c r="K3351" s="129"/>
      <c r="L3351" s="129"/>
      <c r="O3351" s="129"/>
      <c r="P3351" s="123" t="str">
        <f t="shared" si="730"/>
        <v/>
      </c>
    </row>
    <row r="3352" spans="1:16" s="114" customFormat="1" ht="15" x14ac:dyDescent="0.25">
      <c r="A3352" s="118"/>
      <c r="B3352" s="117" t="s">
        <v>70</v>
      </c>
      <c r="C3352" s="128"/>
      <c r="D3352" s="128"/>
      <c r="E3352" s="128"/>
      <c r="F3352" s="128"/>
      <c r="G3352" s="128"/>
      <c r="H3352" s="128"/>
      <c r="I3352" s="129">
        <f>Technical!J419</f>
        <v>0</v>
      </c>
      <c r="J3352" s="129"/>
      <c r="K3352" s="128"/>
      <c r="L3352" s="128"/>
      <c r="M3352" s="186"/>
      <c r="N3352" s="186"/>
      <c r="O3352" s="128"/>
      <c r="P3352" s="123" t="str">
        <f t="shared" si="730"/>
        <v/>
      </c>
    </row>
    <row r="3353" spans="1:16" x14ac:dyDescent="0.2">
      <c r="A3353" s="119"/>
      <c r="B3353" s="120"/>
      <c r="C3353" s="129"/>
      <c r="D3353" s="129"/>
      <c r="E3353" s="129"/>
      <c r="F3353" s="129"/>
      <c r="G3353" s="129"/>
      <c r="H3353" s="129"/>
      <c r="I3353" s="129">
        <f>Technical!J420</f>
        <v>0</v>
      </c>
      <c r="J3353" s="129"/>
      <c r="K3353" s="129"/>
      <c r="L3353" s="129"/>
      <c r="O3353" s="129"/>
      <c r="P3353" s="123" t="str">
        <f t="shared" si="730"/>
        <v/>
      </c>
    </row>
    <row r="3354" spans="1:16" x14ac:dyDescent="0.2">
      <c r="A3354" s="119" t="s">
        <v>1277</v>
      </c>
      <c r="B3354" s="120" t="s">
        <v>73</v>
      </c>
      <c r="C3354" s="129">
        <f>Technical!D421</f>
        <v>0</v>
      </c>
      <c r="D3354" s="129">
        <f>Technical!E421</f>
        <v>0</v>
      </c>
      <c r="E3354" s="129">
        <f>Technical!F421</f>
        <v>0</v>
      </c>
      <c r="F3354" s="129">
        <f>Technical!G421</f>
        <v>0</v>
      </c>
      <c r="G3354" s="129">
        <f>Technical!H421</f>
        <v>0</v>
      </c>
      <c r="H3354" s="129">
        <f>Technical!I421</f>
        <v>0</v>
      </c>
      <c r="I3354" s="129">
        <f>Technical!J421</f>
        <v>0</v>
      </c>
      <c r="J3354" s="129">
        <f>Technical!K421</f>
        <v>0</v>
      </c>
      <c r="K3354" s="129">
        <f>Technical!L421</f>
        <v>0</v>
      </c>
      <c r="L3354" s="129">
        <f>Technical!M421</f>
        <v>0</v>
      </c>
      <c r="M3354" s="129">
        <f>Technical!N421</f>
        <v>0</v>
      </c>
      <c r="N3354" s="129">
        <f>Technical!O421</f>
        <v>0</v>
      </c>
      <c r="O3354" s="129">
        <f>Technical!P421</f>
        <v>0</v>
      </c>
      <c r="P3354" s="123" t="str">
        <f t="shared" si="730"/>
        <v>380</v>
      </c>
    </row>
    <row r="3355" spans="1:16" x14ac:dyDescent="0.2">
      <c r="A3355" s="119"/>
      <c r="B3355" s="120"/>
      <c r="C3355" s="129"/>
      <c r="D3355" s="129"/>
      <c r="E3355" s="129"/>
      <c r="F3355" s="129"/>
      <c r="G3355" s="129"/>
      <c r="H3355" s="129"/>
      <c r="I3355" s="129">
        <f>Technical!J422</f>
        <v>0</v>
      </c>
      <c r="J3355" s="129">
        <f>C3355+I3355</f>
        <v>0</v>
      </c>
      <c r="K3355" s="129"/>
      <c r="L3355" s="129"/>
      <c r="O3355" s="129"/>
      <c r="P3355" s="123" t="str">
        <f t="shared" si="730"/>
        <v/>
      </c>
    </row>
    <row r="3356" spans="1:16" s="114" customFormat="1" ht="15" x14ac:dyDescent="0.25">
      <c r="A3356" s="118"/>
      <c r="B3356" s="117" t="s">
        <v>77</v>
      </c>
      <c r="C3356" s="128">
        <f>SUM(C3354:C3355)</f>
        <v>0</v>
      </c>
      <c r="D3356" s="128">
        <f t="shared" ref="D3356:O3356" si="733">SUM(D3354:D3355)</f>
        <v>0</v>
      </c>
      <c r="E3356" s="128">
        <f t="shared" si="733"/>
        <v>0</v>
      </c>
      <c r="F3356" s="128">
        <f t="shared" si="733"/>
        <v>0</v>
      </c>
      <c r="G3356" s="128">
        <f t="shared" si="733"/>
        <v>0</v>
      </c>
      <c r="H3356" s="128">
        <f t="shared" si="733"/>
        <v>0</v>
      </c>
      <c r="I3356" s="128">
        <f t="shared" si="733"/>
        <v>0</v>
      </c>
      <c r="J3356" s="128">
        <f t="shared" si="733"/>
        <v>0</v>
      </c>
      <c r="K3356" s="128">
        <f t="shared" si="733"/>
        <v>0</v>
      </c>
      <c r="L3356" s="128">
        <f t="shared" si="733"/>
        <v>0</v>
      </c>
      <c r="M3356" s="128">
        <f t="shared" si="733"/>
        <v>0</v>
      </c>
      <c r="N3356" s="128">
        <f t="shared" si="733"/>
        <v>0</v>
      </c>
      <c r="O3356" s="128">
        <f t="shared" si="733"/>
        <v>0</v>
      </c>
      <c r="P3356" s="123" t="str">
        <f t="shared" si="730"/>
        <v/>
      </c>
    </row>
    <row r="3357" spans="1:16" s="114" customFormat="1" ht="15" x14ac:dyDescent="0.25">
      <c r="A3357" s="118"/>
      <c r="B3357" s="117"/>
      <c r="C3357" s="128"/>
      <c r="D3357" s="128"/>
      <c r="E3357" s="128"/>
      <c r="F3357" s="128"/>
      <c r="G3357" s="128"/>
      <c r="H3357" s="128"/>
      <c r="I3357" s="129">
        <f>Technical!J424</f>
        <v>0</v>
      </c>
      <c r="J3357" s="129"/>
      <c r="K3357" s="128"/>
      <c r="L3357" s="128"/>
      <c r="M3357" s="186"/>
      <c r="N3357" s="186"/>
      <c r="O3357" s="128"/>
      <c r="P3357" s="123" t="str">
        <f t="shared" si="730"/>
        <v/>
      </c>
    </row>
    <row r="3358" spans="1:16" s="114" customFormat="1" ht="15" x14ac:dyDescent="0.25">
      <c r="A3358" s="118"/>
      <c r="B3358" s="117" t="s">
        <v>94</v>
      </c>
      <c r="C3358" s="128">
        <f>C3344+C3350+C3356</f>
        <v>-2011785</v>
      </c>
      <c r="D3358" s="128">
        <f t="shared" ref="D3358:O3358" ca="1" si="734">D3344+D3350+D3356</f>
        <v>0</v>
      </c>
      <c r="E3358" s="128">
        <f t="shared" ca="1" si="734"/>
        <v>0</v>
      </c>
      <c r="F3358" s="128">
        <f t="shared" ca="1" si="734"/>
        <v>2435.42</v>
      </c>
      <c r="G3358" s="128">
        <f t="shared" ca="1" si="734"/>
        <v>-2435.42</v>
      </c>
      <c r="H3358" s="128">
        <f t="shared" ca="1" si="734"/>
        <v>0</v>
      </c>
      <c r="I3358" s="128">
        <f t="shared" ca="1" si="734"/>
        <v>1608249.5</v>
      </c>
      <c r="J3358" s="128">
        <f t="shared" si="734"/>
        <v>-403536</v>
      </c>
      <c r="K3358" s="128">
        <f t="shared" si="734"/>
        <v>-421695.12</v>
      </c>
      <c r="L3358" s="128">
        <f t="shared" si="734"/>
        <v>-441093.09551999997</v>
      </c>
      <c r="M3358" s="128">
        <f t="shared" si="734"/>
        <v>-461383.37791391998</v>
      </c>
      <c r="N3358" s="128">
        <f t="shared" si="734"/>
        <v>0</v>
      </c>
      <c r="O3358" s="128">
        <f t="shared" si="734"/>
        <v>-461383.37791391998</v>
      </c>
      <c r="P3358" s="123" t="str">
        <f t="shared" si="730"/>
        <v/>
      </c>
    </row>
    <row r="3359" spans="1:16" s="114" customFormat="1" ht="15" x14ac:dyDescent="0.25">
      <c r="A3359" s="118"/>
      <c r="B3359" s="117"/>
      <c r="C3359" s="128"/>
      <c r="D3359" s="128"/>
      <c r="E3359" s="128"/>
      <c r="F3359" s="128"/>
      <c r="G3359" s="128"/>
      <c r="H3359" s="128"/>
      <c r="I3359" s="129">
        <f>Technical!J426</f>
        <v>0</v>
      </c>
      <c r="J3359" s="129"/>
      <c r="K3359" s="129"/>
      <c r="L3359" s="129"/>
      <c r="M3359" s="186"/>
      <c r="N3359" s="186"/>
      <c r="O3359" s="128"/>
      <c r="P3359" s="123" t="str">
        <f t="shared" si="730"/>
        <v/>
      </c>
    </row>
    <row r="3360" spans="1:16" s="114" customFormat="1" ht="15" x14ac:dyDescent="0.25">
      <c r="A3360" s="118"/>
      <c r="B3360" s="117" t="s">
        <v>95</v>
      </c>
      <c r="C3360" s="128">
        <f>C3358</f>
        <v>-2011785</v>
      </c>
      <c r="D3360" s="128">
        <f t="shared" ref="D3360:O3360" ca="1" si="735">D3358</f>
        <v>0</v>
      </c>
      <c r="E3360" s="128">
        <f t="shared" ca="1" si="735"/>
        <v>0</v>
      </c>
      <c r="F3360" s="128">
        <f t="shared" ca="1" si="735"/>
        <v>2435.42</v>
      </c>
      <c r="G3360" s="128">
        <f t="shared" ca="1" si="735"/>
        <v>-2435.42</v>
      </c>
      <c r="H3360" s="128">
        <f t="shared" ca="1" si="735"/>
        <v>0</v>
      </c>
      <c r="I3360" s="128">
        <f t="shared" ca="1" si="735"/>
        <v>1608249.5</v>
      </c>
      <c r="J3360" s="128">
        <f t="shared" si="735"/>
        <v>-403536</v>
      </c>
      <c r="K3360" s="128">
        <f t="shared" si="735"/>
        <v>-421695.12</v>
      </c>
      <c r="L3360" s="128">
        <f t="shared" si="735"/>
        <v>-441093.09551999997</v>
      </c>
      <c r="M3360" s="128">
        <f t="shared" si="735"/>
        <v>-461383.37791391998</v>
      </c>
      <c r="N3360" s="128">
        <f t="shared" si="735"/>
        <v>0</v>
      </c>
      <c r="O3360" s="128">
        <f t="shared" si="735"/>
        <v>-461383.37791391998</v>
      </c>
      <c r="P3360" s="123" t="str">
        <f t="shared" si="730"/>
        <v/>
      </c>
    </row>
    <row r="3361" spans="1:16" s="114" customFormat="1" ht="15" x14ac:dyDescent="0.25">
      <c r="A3361" s="118"/>
      <c r="B3361" s="117"/>
      <c r="C3361" s="128"/>
      <c r="D3361" s="128"/>
      <c r="E3361" s="128"/>
      <c r="F3361" s="128"/>
      <c r="G3361" s="128"/>
      <c r="H3361" s="128"/>
      <c r="I3361" s="129">
        <f>Technical!J428</f>
        <v>0</v>
      </c>
      <c r="J3361" s="129"/>
      <c r="K3361" s="129"/>
      <c r="L3361" s="129"/>
      <c r="M3361" s="186"/>
      <c r="N3361" s="186"/>
      <c r="O3361" s="128"/>
      <c r="P3361" s="123" t="str">
        <f t="shared" si="730"/>
        <v/>
      </c>
    </row>
    <row r="3362" spans="1:16" s="114" customFormat="1" ht="15" x14ac:dyDescent="0.25">
      <c r="A3362" s="118"/>
      <c r="B3362" s="117" t="s">
        <v>96</v>
      </c>
      <c r="C3362" s="128"/>
      <c r="D3362" s="128"/>
      <c r="E3362" s="128"/>
      <c r="F3362" s="128"/>
      <c r="G3362" s="128"/>
      <c r="H3362" s="128"/>
      <c r="I3362" s="129">
        <f>Technical!J429</f>
        <v>0</v>
      </c>
      <c r="J3362" s="129"/>
      <c r="K3362" s="129"/>
      <c r="L3362" s="129"/>
      <c r="M3362" s="186"/>
      <c r="N3362" s="186"/>
      <c r="O3362" s="128"/>
      <c r="P3362" s="123" t="str">
        <f t="shared" si="730"/>
        <v/>
      </c>
    </row>
    <row r="3363" spans="1:16" s="114" customFormat="1" ht="15" x14ac:dyDescent="0.25">
      <c r="A3363" s="118"/>
      <c r="B3363" s="117" t="s">
        <v>97</v>
      </c>
      <c r="C3363" s="128"/>
      <c r="D3363" s="128"/>
      <c r="E3363" s="128"/>
      <c r="F3363" s="128"/>
      <c r="G3363" s="128"/>
      <c r="H3363" s="128"/>
      <c r="I3363" s="129">
        <f>Technical!J430</f>
        <v>0</v>
      </c>
      <c r="J3363" s="129"/>
      <c r="K3363" s="129"/>
      <c r="L3363" s="129"/>
      <c r="M3363" s="186"/>
      <c r="N3363" s="186"/>
      <c r="O3363" s="128"/>
      <c r="P3363" s="123" t="str">
        <f t="shared" si="730"/>
        <v/>
      </c>
    </row>
    <row r="3364" spans="1:16" s="114" customFormat="1" ht="15" x14ac:dyDescent="0.25">
      <c r="A3364" s="118"/>
      <c r="B3364" s="117" t="s">
        <v>148</v>
      </c>
      <c r="C3364" s="128"/>
      <c r="D3364" s="128"/>
      <c r="E3364" s="128"/>
      <c r="F3364" s="128"/>
      <c r="G3364" s="128"/>
      <c r="H3364" s="128"/>
      <c r="I3364" s="129">
        <f>Technical!J431</f>
        <v>0</v>
      </c>
      <c r="J3364" s="129"/>
      <c r="K3364" s="129"/>
      <c r="L3364" s="129"/>
      <c r="M3364" s="186"/>
      <c r="N3364" s="186"/>
      <c r="O3364" s="128"/>
      <c r="P3364" s="123" t="str">
        <f t="shared" si="730"/>
        <v/>
      </c>
    </row>
    <row r="3365" spans="1:16" s="114" customFormat="1" ht="15" x14ac:dyDescent="0.25">
      <c r="A3365" s="118"/>
      <c r="B3365" s="117" t="s">
        <v>149</v>
      </c>
      <c r="C3365" s="128"/>
      <c r="D3365" s="128"/>
      <c r="E3365" s="128"/>
      <c r="F3365" s="128"/>
      <c r="G3365" s="128"/>
      <c r="H3365" s="128"/>
      <c r="I3365" s="129">
        <f>Technical!J432</f>
        <v>0</v>
      </c>
      <c r="J3365" s="129"/>
      <c r="K3365" s="129"/>
      <c r="L3365" s="129"/>
      <c r="M3365" s="186"/>
      <c r="N3365" s="186"/>
      <c r="O3365" s="128"/>
      <c r="P3365" s="123" t="str">
        <f t="shared" si="730"/>
        <v/>
      </c>
    </row>
    <row r="3366" spans="1:16" s="114" customFormat="1" ht="15" x14ac:dyDescent="0.25">
      <c r="A3366" s="118"/>
      <c r="B3366" s="117"/>
      <c r="C3366" s="128"/>
      <c r="D3366" s="128"/>
      <c r="E3366" s="128"/>
      <c r="F3366" s="128"/>
      <c r="G3366" s="128"/>
      <c r="H3366" s="128"/>
      <c r="I3366" s="129">
        <f>Technical!J433</f>
        <v>0</v>
      </c>
      <c r="J3366" s="129"/>
      <c r="K3366" s="129"/>
      <c r="L3366" s="129"/>
      <c r="M3366" s="186"/>
      <c r="N3366" s="186"/>
      <c r="O3366" s="128"/>
      <c r="P3366" s="123" t="str">
        <f t="shared" si="730"/>
        <v/>
      </c>
    </row>
    <row r="3367" spans="1:16" x14ac:dyDescent="0.2">
      <c r="A3367" s="119" t="s">
        <v>1278</v>
      </c>
      <c r="B3367" s="120" t="s">
        <v>150</v>
      </c>
      <c r="C3367" s="129">
        <f>Technical!D434</f>
        <v>4209658</v>
      </c>
      <c r="D3367" s="129">
        <v>307227.83</v>
      </c>
      <c r="E3367" s="129">
        <v>0</v>
      </c>
      <c r="F3367" s="129">
        <v>2011743.55</v>
      </c>
      <c r="G3367" s="129">
        <v>2197914.4500000002</v>
      </c>
      <c r="H3367" s="129">
        <v>47.78</v>
      </c>
      <c r="I3367" s="129">
        <f>Technical!J434</f>
        <v>0</v>
      </c>
      <c r="J3367" s="129">
        <f>Technical!K434</f>
        <v>4209658</v>
      </c>
      <c r="K3367" s="129">
        <f>Technical!L434</f>
        <v>4472761.625</v>
      </c>
      <c r="L3367" s="129">
        <f>Technical!M434</f>
        <v>4785854.9387499997</v>
      </c>
      <c r="O3367" s="129">
        <f>Technical!N434</f>
        <v>5120864.7844624994</v>
      </c>
      <c r="P3367" s="123" t="str">
        <f t="shared" si="730"/>
        <v>110</v>
      </c>
    </row>
    <row r="3368" spans="1:16" x14ac:dyDescent="0.2">
      <c r="A3368" s="119" t="s">
        <v>1279</v>
      </c>
      <c r="B3368" s="120" t="s">
        <v>151</v>
      </c>
      <c r="C3368" s="129">
        <f>Technical!D435</f>
        <v>194892</v>
      </c>
      <c r="D3368" s="129">
        <v>135473.44</v>
      </c>
      <c r="E3368" s="129">
        <v>0</v>
      </c>
      <c r="F3368" s="129">
        <v>180056.57</v>
      </c>
      <c r="G3368" s="129">
        <v>14835.43</v>
      </c>
      <c r="H3368" s="129">
        <v>92.38</v>
      </c>
      <c r="I3368" s="129">
        <f>Technical!J435</f>
        <v>-59418.559999999998</v>
      </c>
      <c r="J3368" s="129">
        <f>Technical!K435</f>
        <v>135473.44</v>
      </c>
      <c r="K3368" s="129">
        <f>Technical!L435</f>
        <v>143940.53</v>
      </c>
      <c r="L3368" s="129">
        <f>Technical!M435</f>
        <v>154016.3671</v>
      </c>
      <c r="O3368" s="129">
        <f>Technical!N435</f>
        <v>164797.512797</v>
      </c>
      <c r="P3368" s="123" t="str">
        <f t="shared" si="730"/>
        <v>110</v>
      </c>
    </row>
    <row r="3369" spans="1:16" x14ac:dyDescent="0.2">
      <c r="A3369" s="119" t="s">
        <v>1280</v>
      </c>
      <c r="B3369" s="120" t="s">
        <v>152</v>
      </c>
      <c r="C3369" s="129">
        <f>Technical!D436</f>
        <v>28200</v>
      </c>
      <c r="D3369" s="129">
        <v>1175</v>
      </c>
      <c r="E3369" s="129">
        <v>0</v>
      </c>
      <c r="F3369" s="129">
        <v>11750</v>
      </c>
      <c r="G3369" s="129">
        <v>16450</v>
      </c>
      <c r="H3369" s="129">
        <v>41.66</v>
      </c>
      <c r="I3369" s="129">
        <f>Technical!J436</f>
        <v>0</v>
      </c>
      <c r="J3369" s="129">
        <f>Technical!K436</f>
        <v>28200</v>
      </c>
      <c r="K3369" s="129">
        <f>Technical!L436</f>
        <v>29962.5</v>
      </c>
      <c r="L3369" s="129">
        <f>Technical!M436</f>
        <v>32059.875</v>
      </c>
      <c r="O3369" s="129">
        <f>Technical!N436</f>
        <v>34304.066250000003</v>
      </c>
      <c r="P3369" s="123" t="str">
        <f t="shared" si="730"/>
        <v>110</v>
      </c>
    </row>
    <row r="3370" spans="1:16" x14ac:dyDescent="0.2">
      <c r="A3370" s="119" t="s">
        <v>1281</v>
      </c>
      <c r="B3370" s="120" t="s">
        <v>153</v>
      </c>
      <c r="C3370" s="129">
        <f>Technical!D437</f>
        <v>0</v>
      </c>
      <c r="D3370" s="129">
        <v>907.77</v>
      </c>
      <c r="E3370" s="129">
        <v>0</v>
      </c>
      <c r="F3370" s="129">
        <v>5446.62</v>
      </c>
      <c r="G3370" s="129">
        <v>-5446.62</v>
      </c>
      <c r="H3370" s="129">
        <v>0</v>
      </c>
      <c r="I3370" s="129">
        <f>Technical!J437</f>
        <v>12000</v>
      </c>
      <c r="J3370" s="129">
        <f>Technical!K437</f>
        <v>12000</v>
      </c>
      <c r="K3370" s="129">
        <f>Technical!L437</f>
        <v>12750</v>
      </c>
      <c r="L3370" s="129">
        <f>Technical!M437</f>
        <v>13642.5</v>
      </c>
      <c r="O3370" s="129">
        <f>Technical!N437</f>
        <v>14597.475</v>
      </c>
      <c r="P3370" s="123" t="str">
        <f t="shared" si="730"/>
        <v>110</v>
      </c>
    </row>
    <row r="3371" spans="1:16" x14ac:dyDescent="0.2">
      <c r="A3371" s="119" t="s">
        <v>1282</v>
      </c>
      <c r="B3371" s="120" t="s">
        <v>154</v>
      </c>
      <c r="C3371" s="129">
        <f>Technical!D438</f>
        <v>6420</v>
      </c>
      <c r="D3371" s="129">
        <v>0</v>
      </c>
      <c r="E3371" s="129">
        <v>0</v>
      </c>
      <c r="F3371" s="129">
        <v>6000</v>
      </c>
      <c r="G3371" s="129">
        <v>420</v>
      </c>
      <c r="H3371" s="129">
        <v>93.45</v>
      </c>
      <c r="I3371" s="129">
        <f>Technical!J438</f>
        <v>0</v>
      </c>
      <c r="J3371" s="129">
        <f>Technical!K438</f>
        <v>6420</v>
      </c>
      <c r="K3371" s="129">
        <f>Technical!L438</f>
        <v>6821.25</v>
      </c>
      <c r="L3371" s="129">
        <f>Technical!M438</f>
        <v>7298.7375000000002</v>
      </c>
      <c r="O3371" s="129">
        <f>Technical!N438</f>
        <v>7809.6491249999999</v>
      </c>
      <c r="P3371" s="123" t="str">
        <f t="shared" si="730"/>
        <v>110</v>
      </c>
    </row>
    <row r="3372" spans="1:16" x14ac:dyDescent="0.2">
      <c r="A3372" s="119" t="s">
        <v>1283</v>
      </c>
      <c r="B3372" s="120" t="s">
        <v>155</v>
      </c>
      <c r="C3372" s="129">
        <f>Technical!D439</f>
        <v>138400</v>
      </c>
      <c r="D3372" s="129">
        <v>0</v>
      </c>
      <c r="E3372" s="129">
        <v>0</v>
      </c>
      <c r="F3372" s="129">
        <v>91072.86</v>
      </c>
      <c r="G3372" s="129">
        <v>47327.14</v>
      </c>
      <c r="H3372" s="129">
        <v>65.8</v>
      </c>
      <c r="I3372" s="129">
        <f>Technical!J439</f>
        <v>0</v>
      </c>
      <c r="J3372" s="129">
        <f>Technical!K439</f>
        <v>138400</v>
      </c>
      <c r="K3372" s="129">
        <f>Technical!L439</f>
        <v>147050</v>
      </c>
      <c r="L3372" s="129">
        <f>Technical!M439</f>
        <v>157343.5</v>
      </c>
      <c r="O3372" s="129">
        <f>Technical!N439</f>
        <v>168357.54500000001</v>
      </c>
      <c r="P3372" s="123" t="str">
        <f t="shared" si="730"/>
        <v>110</v>
      </c>
    </row>
    <row r="3373" spans="1:16" x14ac:dyDescent="0.2">
      <c r="A3373" s="119" t="s">
        <v>1284</v>
      </c>
      <c r="B3373" s="120" t="s">
        <v>156</v>
      </c>
      <c r="C3373" s="129">
        <f>Technical!D440</f>
        <v>185604</v>
      </c>
      <c r="D3373" s="129">
        <v>7901.3</v>
      </c>
      <c r="E3373" s="129">
        <v>0</v>
      </c>
      <c r="F3373" s="129">
        <v>77550.52</v>
      </c>
      <c r="G3373" s="129">
        <v>108053.48</v>
      </c>
      <c r="H3373" s="129">
        <v>41.78</v>
      </c>
      <c r="I3373" s="129">
        <f>Technical!J440</f>
        <v>0</v>
      </c>
      <c r="J3373" s="129">
        <f>Technical!K440</f>
        <v>185604</v>
      </c>
      <c r="K3373" s="129">
        <f>Technical!L440</f>
        <v>197204.25</v>
      </c>
      <c r="L3373" s="129">
        <f>Technical!M440</f>
        <v>211008.54749999999</v>
      </c>
      <c r="O3373" s="129">
        <f>Technical!N440</f>
        <v>225779.14582499999</v>
      </c>
      <c r="P3373" s="123" t="str">
        <f t="shared" si="730"/>
        <v>110</v>
      </c>
    </row>
    <row r="3374" spans="1:16" x14ac:dyDescent="0.2">
      <c r="A3374" s="119" t="s">
        <v>1285</v>
      </c>
      <c r="B3374" s="120" t="s">
        <v>157</v>
      </c>
      <c r="C3374" s="129">
        <f>Technical!D441</f>
        <v>416905</v>
      </c>
      <c r="D3374" s="129">
        <v>16718.48</v>
      </c>
      <c r="E3374" s="129">
        <v>0</v>
      </c>
      <c r="F3374" s="129">
        <v>97765.75</v>
      </c>
      <c r="G3374" s="129">
        <v>319139.25</v>
      </c>
      <c r="H3374" s="129">
        <v>23.45</v>
      </c>
      <c r="I3374" s="129">
        <f>Technical!J441</f>
        <v>-40000</v>
      </c>
      <c r="J3374" s="129">
        <f>Technical!K441</f>
        <v>376905</v>
      </c>
      <c r="K3374" s="129">
        <f>Technical!L441</f>
        <v>400461.5625</v>
      </c>
      <c r="L3374" s="129">
        <f>Technical!M441</f>
        <v>428493.87187500001</v>
      </c>
      <c r="O3374" s="129">
        <f>Technical!N441</f>
        <v>458488.44290625001</v>
      </c>
      <c r="P3374" s="123" t="str">
        <f t="shared" si="730"/>
        <v>110</v>
      </c>
    </row>
    <row r="3375" spans="1:16" x14ac:dyDescent="0.2">
      <c r="A3375" s="119" t="s">
        <v>1286</v>
      </c>
      <c r="B3375" s="120" t="s">
        <v>159</v>
      </c>
      <c r="C3375" s="129">
        <f>Technical!D442</f>
        <v>350805</v>
      </c>
      <c r="D3375" s="129">
        <v>0</v>
      </c>
      <c r="E3375" s="129">
        <v>0</v>
      </c>
      <c r="F3375" s="129">
        <v>0</v>
      </c>
      <c r="G3375" s="129">
        <v>350805</v>
      </c>
      <c r="H3375" s="129">
        <v>0</v>
      </c>
      <c r="I3375" s="129">
        <f>Technical!J442</f>
        <v>0</v>
      </c>
      <c r="J3375" s="129">
        <f>Technical!K442</f>
        <v>350805</v>
      </c>
      <c r="K3375" s="129">
        <f>Technical!L442</f>
        <v>372730.3125</v>
      </c>
      <c r="L3375" s="129">
        <f>Technical!M442</f>
        <v>398821.43437500001</v>
      </c>
      <c r="O3375" s="129">
        <f>Technical!N442</f>
        <v>426738.93478125002</v>
      </c>
      <c r="P3375" s="123" t="str">
        <f t="shared" si="730"/>
        <v>110</v>
      </c>
    </row>
    <row r="3376" spans="1:16" x14ac:dyDescent="0.2">
      <c r="A3376" s="119" t="s">
        <v>1287</v>
      </c>
      <c r="B3376" s="120" t="s">
        <v>161</v>
      </c>
      <c r="C3376" s="129">
        <f>Technical!D443</f>
        <v>37996</v>
      </c>
      <c r="D3376" s="129">
        <v>0</v>
      </c>
      <c r="E3376" s="129">
        <v>0</v>
      </c>
      <c r="F3376" s="129">
        <v>33082.720000000001</v>
      </c>
      <c r="G3376" s="129">
        <v>4913.28</v>
      </c>
      <c r="H3376" s="129">
        <v>87.06</v>
      </c>
      <c r="I3376" s="129">
        <f>Technical!J443</f>
        <v>0</v>
      </c>
      <c r="J3376" s="129">
        <f>Technical!K443</f>
        <v>37996</v>
      </c>
      <c r="K3376" s="129">
        <f>Technical!L443</f>
        <v>40370.75</v>
      </c>
      <c r="L3376" s="129">
        <f>Technical!M443</f>
        <v>43196.702499999999</v>
      </c>
      <c r="O3376" s="129">
        <f>Technical!N443</f>
        <v>46220.471675000001</v>
      </c>
      <c r="P3376" s="123" t="str">
        <f t="shared" si="730"/>
        <v>110</v>
      </c>
    </row>
    <row r="3377" spans="1:16" x14ac:dyDescent="0.2">
      <c r="A3377" s="119" t="s">
        <v>1288</v>
      </c>
      <c r="B3377" s="120" t="s">
        <v>162</v>
      </c>
      <c r="C3377" s="129">
        <f>Technical!D444</f>
        <v>50197</v>
      </c>
      <c r="D3377" s="129">
        <v>4899.5200000000004</v>
      </c>
      <c r="E3377" s="129">
        <v>0</v>
      </c>
      <c r="F3377" s="129">
        <v>28959.03</v>
      </c>
      <c r="G3377" s="129">
        <v>21237.97</v>
      </c>
      <c r="H3377" s="129">
        <v>57.69</v>
      </c>
      <c r="I3377" s="129">
        <f>Technical!J444</f>
        <v>40000</v>
      </c>
      <c r="J3377" s="129">
        <f>Technical!K444</f>
        <v>90197</v>
      </c>
      <c r="K3377" s="129">
        <f>Technical!L444</f>
        <v>95834.3125</v>
      </c>
      <c r="L3377" s="129">
        <f>Technical!M444</f>
        <v>102542.714375</v>
      </c>
      <c r="O3377" s="129">
        <f>Technical!N444</f>
        <v>109720.70438124999</v>
      </c>
      <c r="P3377" s="123" t="str">
        <f t="shared" si="730"/>
        <v>110</v>
      </c>
    </row>
    <row r="3378" spans="1:16" x14ac:dyDescent="0.2">
      <c r="A3378" s="119"/>
      <c r="B3378" s="120"/>
      <c r="C3378" s="129"/>
      <c r="D3378" s="129"/>
      <c r="E3378" s="129"/>
      <c r="F3378" s="129"/>
      <c r="G3378" s="129"/>
      <c r="H3378" s="129"/>
      <c r="I3378" s="129">
        <f>Technical!J445</f>
        <v>0</v>
      </c>
      <c r="J3378" s="129"/>
      <c r="K3378" s="129"/>
      <c r="L3378" s="129"/>
      <c r="O3378" s="129"/>
      <c r="P3378" s="123" t="str">
        <f t="shared" si="730"/>
        <v/>
      </c>
    </row>
    <row r="3379" spans="1:16" s="114" customFormat="1" ht="15" x14ac:dyDescent="0.25">
      <c r="A3379" s="118"/>
      <c r="B3379" s="117" t="s">
        <v>165</v>
      </c>
      <c r="C3379" s="128">
        <f>SUM(C3367:C3378)</f>
        <v>5619077</v>
      </c>
      <c r="D3379" s="128">
        <f t="shared" ref="D3379:O3379" si="736">SUM(D3367:D3378)</f>
        <v>474303.34</v>
      </c>
      <c r="E3379" s="128">
        <f t="shared" si="736"/>
        <v>0</v>
      </c>
      <c r="F3379" s="128">
        <f t="shared" si="736"/>
        <v>2543427.62</v>
      </c>
      <c r="G3379" s="128">
        <f t="shared" si="736"/>
        <v>3075649.3800000004</v>
      </c>
      <c r="H3379" s="128">
        <f t="shared" si="736"/>
        <v>551.04999999999995</v>
      </c>
      <c r="I3379" s="128">
        <f t="shared" si="736"/>
        <v>-47418.559999999998</v>
      </c>
      <c r="J3379" s="128">
        <f t="shared" si="736"/>
        <v>5571658.4400000004</v>
      </c>
      <c r="K3379" s="128">
        <f t="shared" si="736"/>
        <v>5919887.0925000003</v>
      </c>
      <c r="L3379" s="128">
        <f t="shared" si="736"/>
        <v>6334279.1889750008</v>
      </c>
      <c r="M3379" s="128">
        <f t="shared" si="736"/>
        <v>0</v>
      </c>
      <c r="N3379" s="128">
        <f t="shared" si="736"/>
        <v>0</v>
      </c>
      <c r="O3379" s="128">
        <f t="shared" si="736"/>
        <v>6777678.7322032489</v>
      </c>
      <c r="P3379" s="123" t="str">
        <f t="shared" si="730"/>
        <v/>
      </c>
    </row>
    <row r="3380" spans="1:16" s="114" customFormat="1" ht="15" x14ac:dyDescent="0.25">
      <c r="A3380" s="118"/>
      <c r="B3380" s="117"/>
      <c r="C3380" s="128"/>
      <c r="D3380" s="128"/>
      <c r="E3380" s="128"/>
      <c r="F3380" s="128"/>
      <c r="G3380" s="128"/>
      <c r="H3380" s="128"/>
      <c r="I3380" s="129">
        <f>Technical!J447</f>
        <v>0</v>
      </c>
      <c r="J3380" s="129"/>
      <c r="K3380" s="129"/>
      <c r="L3380" s="129"/>
      <c r="M3380" s="186"/>
      <c r="N3380" s="186"/>
      <c r="O3380" s="128"/>
      <c r="P3380" s="123" t="str">
        <f t="shared" si="730"/>
        <v/>
      </c>
    </row>
    <row r="3381" spans="1:16" s="114" customFormat="1" ht="15" x14ac:dyDescent="0.25">
      <c r="A3381" s="118"/>
      <c r="B3381" s="117" t="s">
        <v>166</v>
      </c>
      <c r="C3381" s="128"/>
      <c r="D3381" s="128"/>
      <c r="E3381" s="128"/>
      <c r="F3381" s="128"/>
      <c r="G3381" s="128"/>
      <c r="H3381" s="128"/>
      <c r="I3381" s="129">
        <f>Technical!J448</f>
        <v>0</v>
      </c>
      <c r="J3381" s="129"/>
      <c r="K3381" s="129"/>
      <c r="L3381" s="129"/>
      <c r="M3381" s="186"/>
      <c r="N3381" s="186"/>
      <c r="O3381" s="128"/>
      <c r="P3381" s="123" t="str">
        <f t="shared" si="730"/>
        <v/>
      </c>
    </row>
    <row r="3382" spans="1:16" x14ac:dyDescent="0.2">
      <c r="A3382" s="119"/>
      <c r="B3382" s="120"/>
      <c r="C3382" s="129"/>
      <c r="D3382" s="129"/>
      <c r="E3382" s="129"/>
      <c r="F3382" s="129"/>
      <c r="G3382" s="129"/>
      <c r="H3382" s="129"/>
      <c r="I3382" s="129">
        <f>Technical!J449</f>
        <v>0</v>
      </c>
      <c r="J3382" s="129"/>
      <c r="K3382" s="129"/>
      <c r="L3382" s="129"/>
      <c r="O3382" s="129"/>
      <c r="P3382" s="123" t="str">
        <f t="shared" si="730"/>
        <v/>
      </c>
    </row>
    <row r="3383" spans="1:16" x14ac:dyDescent="0.2">
      <c r="A3383" s="119" t="s">
        <v>1289</v>
      </c>
      <c r="B3383" s="120" t="s">
        <v>167</v>
      </c>
      <c r="C3383" s="129">
        <v>1910</v>
      </c>
      <c r="D3383" s="129">
        <v>130.47999999999999</v>
      </c>
      <c r="E3383" s="129">
        <v>0</v>
      </c>
      <c r="F3383" s="129">
        <v>848.12</v>
      </c>
      <c r="G3383" s="129">
        <v>1061.8800000000001</v>
      </c>
      <c r="H3383" s="129">
        <v>44.4</v>
      </c>
      <c r="I3383" s="129">
        <f>Technical!J450</f>
        <v>0</v>
      </c>
      <c r="J3383" s="129">
        <f>Technical!K450</f>
        <v>1910</v>
      </c>
      <c r="K3383" s="129">
        <f>Technical!L450</f>
        <v>2029.375</v>
      </c>
      <c r="L3383" s="129">
        <f>Technical!M450</f>
        <v>2171.4312500000001</v>
      </c>
      <c r="O3383" s="129">
        <f>Technical!N450</f>
        <v>2323.4314374999999</v>
      </c>
      <c r="P3383" s="123" t="str">
        <f t="shared" si="730"/>
        <v>130</v>
      </c>
    </row>
    <row r="3384" spans="1:16" x14ac:dyDescent="0.2">
      <c r="A3384" s="119" t="s">
        <v>1290</v>
      </c>
      <c r="B3384" s="120" t="s">
        <v>168</v>
      </c>
      <c r="C3384" s="129">
        <v>134382</v>
      </c>
      <c r="D3384" s="129">
        <v>17026.8</v>
      </c>
      <c r="E3384" s="129">
        <v>0</v>
      </c>
      <c r="F3384" s="129">
        <v>118780.8</v>
      </c>
      <c r="G3384" s="129">
        <v>15601.2</v>
      </c>
      <c r="H3384" s="129">
        <v>88.39</v>
      </c>
      <c r="I3384" s="129">
        <f>Technical!J451</f>
        <v>102160.79999999999</v>
      </c>
      <c r="J3384" s="129">
        <f>Technical!K451</f>
        <v>236542.8</v>
      </c>
      <c r="K3384" s="129">
        <f>Technical!L451</f>
        <v>251326.72499999998</v>
      </c>
      <c r="L3384" s="129">
        <f>Technical!M451</f>
        <v>268919.59574999998</v>
      </c>
      <c r="O3384" s="129">
        <f>Technical!N451</f>
        <v>287743.96745249996</v>
      </c>
      <c r="P3384" s="123" t="str">
        <f t="shared" si="730"/>
        <v>130</v>
      </c>
    </row>
    <row r="3385" spans="1:16" x14ac:dyDescent="0.2">
      <c r="A3385" s="119" t="s">
        <v>1291</v>
      </c>
      <c r="B3385" s="120" t="s">
        <v>169</v>
      </c>
      <c r="C3385" s="129">
        <v>926125</v>
      </c>
      <c r="D3385" s="129">
        <v>62736.68</v>
      </c>
      <c r="E3385" s="129">
        <v>0</v>
      </c>
      <c r="F3385" s="129">
        <v>408640.11</v>
      </c>
      <c r="G3385" s="129">
        <v>517484.89</v>
      </c>
      <c r="H3385" s="129">
        <v>44.12</v>
      </c>
      <c r="I3385" s="129">
        <f>Technical!J452</f>
        <v>0</v>
      </c>
      <c r="J3385" s="129">
        <f>Technical!K452</f>
        <v>926125</v>
      </c>
      <c r="K3385" s="129">
        <f>Technical!L452</f>
        <v>984007.8125</v>
      </c>
      <c r="L3385" s="129">
        <f>Technical!M452</f>
        <v>1052888.359375</v>
      </c>
      <c r="O3385" s="129">
        <f>Technical!N452</f>
        <v>1126590.5445312499</v>
      </c>
      <c r="P3385" s="123" t="str">
        <f t="shared" si="730"/>
        <v>130</v>
      </c>
    </row>
    <row r="3386" spans="1:16" x14ac:dyDescent="0.2">
      <c r="A3386" s="119" t="s">
        <v>1292</v>
      </c>
      <c r="B3386" s="120" t="s">
        <v>170</v>
      </c>
      <c r="C3386" s="129">
        <v>30345</v>
      </c>
      <c r="D3386" s="129">
        <v>2251.42</v>
      </c>
      <c r="E3386" s="129">
        <v>0</v>
      </c>
      <c r="F3386" s="129">
        <v>14000.3</v>
      </c>
      <c r="G3386" s="129">
        <v>16344.7</v>
      </c>
      <c r="H3386" s="129">
        <v>46.13</v>
      </c>
      <c r="I3386" s="129">
        <f>Technical!J453</f>
        <v>0</v>
      </c>
      <c r="J3386" s="129">
        <f>Technical!K453</f>
        <v>30345</v>
      </c>
      <c r="K3386" s="129">
        <f>Technical!L453</f>
        <v>32241.5625</v>
      </c>
      <c r="L3386" s="129">
        <f>Technical!M453</f>
        <v>34498.471875000003</v>
      </c>
      <c r="O3386" s="129">
        <f>Technical!N453</f>
        <v>36913.364906250004</v>
      </c>
      <c r="P3386" s="123" t="str">
        <f t="shared" si="730"/>
        <v>130</v>
      </c>
    </row>
    <row r="3387" spans="1:16" x14ac:dyDescent="0.2">
      <c r="A3387" s="119"/>
      <c r="B3387" s="120"/>
      <c r="C3387" s="129"/>
      <c r="D3387" s="129"/>
      <c r="E3387" s="129"/>
      <c r="F3387" s="129"/>
      <c r="G3387" s="129"/>
      <c r="H3387" s="129"/>
      <c r="I3387" s="129">
        <f>Technical!J454</f>
        <v>0</v>
      </c>
      <c r="J3387" s="129"/>
      <c r="K3387" s="129"/>
      <c r="L3387" s="129"/>
      <c r="O3387" s="129"/>
      <c r="P3387" s="123" t="str">
        <f t="shared" si="730"/>
        <v/>
      </c>
    </row>
    <row r="3388" spans="1:16" s="114" customFormat="1" ht="15" x14ac:dyDescent="0.25">
      <c r="A3388" s="118"/>
      <c r="B3388" s="117" t="s">
        <v>171</v>
      </c>
      <c r="C3388" s="128">
        <f>SUM(C3383:C3387)</f>
        <v>1092762</v>
      </c>
      <c r="D3388" s="128">
        <f t="shared" ref="D3388:O3388" si="737">SUM(D3383:D3387)</f>
        <v>82145.37999999999</v>
      </c>
      <c r="E3388" s="128">
        <f t="shared" si="737"/>
        <v>0</v>
      </c>
      <c r="F3388" s="128">
        <f t="shared" si="737"/>
        <v>542269.33000000007</v>
      </c>
      <c r="G3388" s="128">
        <f t="shared" si="737"/>
        <v>550492.66999999993</v>
      </c>
      <c r="H3388" s="128">
        <f t="shared" si="737"/>
        <v>223.04</v>
      </c>
      <c r="I3388" s="128">
        <f t="shared" si="737"/>
        <v>102160.79999999999</v>
      </c>
      <c r="J3388" s="128">
        <f t="shared" si="737"/>
        <v>1194922.8</v>
      </c>
      <c r="K3388" s="128">
        <f t="shared" si="737"/>
        <v>1269605.4750000001</v>
      </c>
      <c r="L3388" s="128">
        <f t="shared" si="737"/>
        <v>1358477.85825</v>
      </c>
      <c r="M3388" s="128">
        <f t="shared" si="737"/>
        <v>0</v>
      </c>
      <c r="N3388" s="128">
        <f t="shared" si="737"/>
        <v>0</v>
      </c>
      <c r="O3388" s="128">
        <f t="shared" si="737"/>
        <v>1453571.3083274998</v>
      </c>
      <c r="P3388" s="123" t="str">
        <f t="shared" si="730"/>
        <v/>
      </c>
    </row>
    <row r="3389" spans="1:16" s="114" customFormat="1" ht="15" x14ac:dyDescent="0.25">
      <c r="A3389" s="118"/>
      <c r="B3389" s="117"/>
      <c r="C3389" s="128"/>
      <c r="D3389" s="128"/>
      <c r="E3389" s="128"/>
      <c r="F3389" s="128"/>
      <c r="G3389" s="128"/>
      <c r="H3389" s="128"/>
      <c r="I3389" s="129">
        <f>Technical!J456</f>
        <v>0</v>
      </c>
      <c r="J3389" s="129"/>
      <c r="K3389" s="129"/>
      <c r="L3389" s="129"/>
      <c r="M3389" s="186"/>
      <c r="N3389" s="186"/>
      <c r="O3389" s="128"/>
      <c r="P3389" s="123" t="str">
        <f t="shared" si="730"/>
        <v/>
      </c>
    </row>
    <row r="3390" spans="1:16" s="114" customFormat="1" ht="15" x14ac:dyDescent="0.25">
      <c r="A3390" s="118"/>
      <c r="B3390" s="117" t="s">
        <v>172</v>
      </c>
      <c r="C3390" s="128"/>
      <c r="D3390" s="128"/>
      <c r="E3390" s="128"/>
      <c r="F3390" s="128"/>
      <c r="G3390" s="128"/>
      <c r="H3390" s="128"/>
      <c r="I3390" s="129">
        <f ca="1">Technical!J457</f>
        <v>0</v>
      </c>
      <c r="J3390" s="129"/>
      <c r="K3390" s="129"/>
      <c r="L3390" s="129"/>
      <c r="M3390" s="186"/>
      <c r="N3390" s="186"/>
      <c r="O3390" s="128"/>
      <c r="P3390" s="123" t="str">
        <f t="shared" si="730"/>
        <v/>
      </c>
    </row>
    <row r="3391" spans="1:16" x14ac:dyDescent="0.2">
      <c r="A3391" s="119"/>
      <c r="B3391" s="120"/>
      <c r="C3391" s="129"/>
      <c r="D3391" s="129"/>
      <c r="E3391" s="129"/>
      <c r="F3391" s="129"/>
      <c r="G3391" s="129"/>
      <c r="H3391" s="129"/>
      <c r="I3391" s="129">
        <f>Technical!J458</f>
        <v>0</v>
      </c>
      <c r="J3391" s="129"/>
      <c r="K3391" s="129"/>
      <c r="L3391" s="129"/>
      <c r="O3391" s="129"/>
      <c r="P3391" s="123" t="str">
        <f t="shared" si="730"/>
        <v/>
      </c>
    </row>
    <row r="3392" spans="1:16" x14ac:dyDescent="0.2">
      <c r="A3392" s="119" t="s">
        <v>1293</v>
      </c>
      <c r="B3392" s="120" t="s">
        <v>173</v>
      </c>
      <c r="C3392" s="129">
        <v>82612</v>
      </c>
      <c r="D3392" s="129">
        <v>0</v>
      </c>
      <c r="E3392" s="129">
        <v>0</v>
      </c>
      <c r="F3392" s="129">
        <v>0</v>
      </c>
      <c r="G3392" s="129">
        <v>82612</v>
      </c>
      <c r="H3392" s="129">
        <v>0</v>
      </c>
      <c r="I3392" s="129">
        <f>Technical!J459</f>
        <v>0</v>
      </c>
      <c r="J3392" s="129">
        <f>Technical!K459</f>
        <v>82612</v>
      </c>
      <c r="K3392" s="129">
        <f>Technical!L459</f>
        <v>87775.25</v>
      </c>
      <c r="L3392" s="129">
        <f>Technical!M459</f>
        <v>93919.517500000002</v>
      </c>
      <c r="O3392" s="129">
        <f>Technical!N459</f>
        <v>100493.88372500001</v>
      </c>
      <c r="P3392" s="123" t="str">
        <f t="shared" si="730"/>
        <v>140</v>
      </c>
    </row>
    <row r="3393" spans="1:16" x14ac:dyDescent="0.2">
      <c r="A3393" s="119" t="s">
        <v>1294</v>
      </c>
      <c r="B3393" s="120" t="s">
        <v>174</v>
      </c>
      <c r="C3393" s="129">
        <v>107209</v>
      </c>
      <c r="D3393" s="129">
        <v>0</v>
      </c>
      <c r="E3393" s="129">
        <v>0</v>
      </c>
      <c r="F3393" s="129">
        <v>0</v>
      </c>
      <c r="G3393" s="129">
        <v>107209</v>
      </c>
      <c r="H3393" s="129">
        <v>0</v>
      </c>
      <c r="I3393" s="129">
        <f>Technical!J460</f>
        <v>0</v>
      </c>
      <c r="J3393" s="129">
        <f>Technical!K460</f>
        <v>107209</v>
      </c>
      <c r="K3393" s="129">
        <f>Technical!L460</f>
        <v>113909.5625</v>
      </c>
      <c r="L3393" s="129">
        <f>Technical!M460</f>
        <v>121883.231875</v>
      </c>
      <c r="O3393" s="129">
        <f>Technical!N460</f>
        <v>130415.05810625</v>
      </c>
      <c r="P3393" s="123" t="str">
        <f t="shared" si="730"/>
        <v>140</v>
      </c>
    </row>
    <row r="3394" spans="1:16" x14ac:dyDescent="0.2">
      <c r="A3394" s="119" t="s">
        <v>1295</v>
      </c>
      <c r="B3394" s="120" t="s">
        <v>175</v>
      </c>
      <c r="C3394" s="129">
        <v>53913</v>
      </c>
      <c r="D3394" s="129">
        <v>0</v>
      </c>
      <c r="E3394" s="129">
        <v>0</v>
      </c>
      <c r="F3394" s="129">
        <v>0</v>
      </c>
      <c r="G3394" s="129">
        <v>53913</v>
      </c>
      <c r="H3394" s="129">
        <v>0</v>
      </c>
      <c r="I3394" s="129">
        <f>Technical!J461</f>
        <v>0</v>
      </c>
      <c r="J3394" s="129">
        <f>Technical!K461</f>
        <v>53913</v>
      </c>
      <c r="K3394" s="129">
        <f>Technical!L461</f>
        <v>57282.5625</v>
      </c>
      <c r="L3394" s="129">
        <f>Technical!M461</f>
        <v>61292.341874999998</v>
      </c>
      <c r="O3394" s="129">
        <f>Technical!N461</f>
        <v>65582.805806249991</v>
      </c>
      <c r="P3394" s="123" t="str">
        <f t="shared" si="730"/>
        <v>142</v>
      </c>
    </row>
    <row r="3395" spans="1:16" x14ac:dyDescent="0.2">
      <c r="A3395" s="119"/>
      <c r="B3395" s="120"/>
      <c r="C3395" s="129"/>
      <c r="D3395" s="129"/>
      <c r="E3395" s="129"/>
      <c r="F3395" s="129"/>
      <c r="G3395" s="129"/>
      <c r="H3395" s="129"/>
      <c r="I3395" s="129">
        <f>Technical!J462</f>
        <v>0</v>
      </c>
      <c r="J3395" s="129"/>
      <c r="K3395" s="129"/>
      <c r="L3395" s="129"/>
      <c r="O3395" s="129"/>
      <c r="P3395" s="123" t="str">
        <f t="shared" si="730"/>
        <v/>
      </c>
    </row>
    <row r="3396" spans="1:16" s="114" customFormat="1" ht="15" x14ac:dyDescent="0.25">
      <c r="A3396" s="118"/>
      <c r="B3396" s="117" t="s">
        <v>176</v>
      </c>
      <c r="C3396" s="128">
        <f>SUM(C3392:C3395)</f>
        <v>243734</v>
      </c>
      <c r="D3396" s="128">
        <f t="shared" ref="D3396:O3396" si="738">SUM(D3392:D3395)</f>
        <v>0</v>
      </c>
      <c r="E3396" s="128">
        <f t="shared" si="738"/>
        <v>0</v>
      </c>
      <c r="F3396" s="128">
        <f t="shared" si="738"/>
        <v>0</v>
      </c>
      <c r="G3396" s="128">
        <f t="shared" si="738"/>
        <v>243734</v>
      </c>
      <c r="H3396" s="128">
        <f t="shared" si="738"/>
        <v>0</v>
      </c>
      <c r="I3396" s="128">
        <f t="shared" si="738"/>
        <v>0</v>
      </c>
      <c r="J3396" s="128">
        <f t="shared" si="738"/>
        <v>243734</v>
      </c>
      <c r="K3396" s="128">
        <f t="shared" si="738"/>
        <v>258967.375</v>
      </c>
      <c r="L3396" s="128">
        <f t="shared" si="738"/>
        <v>277095.09125</v>
      </c>
      <c r="M3396" s="128">
        <f t="shared" si="738"/>
        <v>0</v>
      </c>
      <c r="N3396" s="128">
        <f t="shared" si="738"/>
        <v>0</v>
      </c>
      <c r="O3396" s="128">
        <f t="shared" si="738"/>
        <v>296491.7476375</v>
      </c>
      <c r="P3396" s="123" t="str">
        <f t="shared" si="730"/>
        <v/>
      </c>
    </row>
    <row r="3397" spans="1:16" s="114" customFormat="1" ht="15" x14ac:dyDescent="0.25">
      <c r="A3397" s="118"/>
      <c r="B3397" s="117"/>
      <c r="C3397" s="128"/>
      <c r="D3397" s="128"/>
      <c r="E3397" s="128"/>
      <c r="F3397" s="128"/>
      <c r="G3397" s="128"/>
      <c r="H3397" s="128"/>
      <c r="I3397" s="129">
        <f>Technical!J464</f>
        <v>0</v>
      </c>
      <c r="J3397" s="129"/>
      <c r="K3397" s="129"/>
      <c r="L3397" s="129"/>
      <c r="M3397" s="186"/>
      <c r="N3397" s="186"/>
      <c r="O3397" s="128"/>
      <c r="P3397" s="123" t="str">
        <f t="shared" si="730"/>
        <v/>
      </c>
    </row>
    <row r="3398" spans="1:16" s="114" customFormat="1" ht="15" x14ac:dyDescent="0.25">
      <c r="A3398" s="118"/>
      <c r="B3398" s="117" t="s">
        <v>177</v>
      </c>
      <c r="C3398" s="128">
        <f>C3379+C3388+C3396</f>
        <v>6955573</v>
      </c>
      <c r="D3398" s="128">
        <f t="shared" ref="D3398:O3398" si="739">D3379+D3388+D3396</f>
        <v>556448.72</v>
      </c>
      <c r="E3398" s="128">
        <f t="shared" si="739"/>
        <v>0</v>
      </c>
      <c r="F3398" s="128">
        <f t="shared" si="739"/>
        <v>3085696.95</v>
      </c>
      <c r="G3398" s="128">
        <f t="shared" si="739"/>
        <v>3869876.0500000003</v>
      </c>
      <c r="H3398" s="128">
        <f t="shared" si="739"/>
        <v>774.08999999999992</v>
      </c>
      <c r="I3398" s="128">
        <f t="shared" si="739"/>
        <v>54742.239999999991</v>
      </c>
      <c r="J3398" s="128">
        <f t="shared" si="739"/>
        <v>7010315.2400000002</v>
      </c>
      <c r="K3398" s="128">
        <f t="shared" si="739"/>
        <v>7448459.9425000008</v>
      </c>
      <c r="L3398" s="128">
        <f t="shared" si="739"/>
        <v>7969852.1384749999</v>
      </c>
      <c r="M3398" s="128">
        <f t="shared" si="739"/>
        <v>0</v>
      </c>
      <c r="N3398" s="128">
        <f t="shared" si="739"/>
        <v>0</v>
      </c>
      <c r="O3398" s="128">
        <f t="shared" si="739"/>
        <v>8527741.7881682478</v>
      </c>
      <c r="P3398" s="123" t="str">
        <f t="shared" si="730"/>
        <v/>
      </c>
    </row>
    <row r="3399" spans="1:16" s="114" customFormat="1" ht="15" x14ac:dyDescent="0.25">
      <c r="A3399" s="118"/>
      <c r="B3399" s="117"/>
      <c r="C3399" s="128"/>
      <c r="D3399" s="128"/>
      <c r="E3399" s="128"/>
      <c r="F3399" s="128"/>
      <c r="G3399" s="128"/>
      <c r="H3399" s="128"/>
      <c r="I3399" s="129">
        <f>Technical!J466</f>
        <v>0</v>
      </c>
      <c r="J3399" s="129"/>
      <c r="K3399" s="129"/>
      <c r="L3399" s="129"/>
      <c r="M3399" s="186"/>
      <c r="N3399" s="186"/>
      <c r="O3399" s="128"/>
      <c r="P3399" s="123" t="str">
        <f t="shared" ref="P3399:P3462" si="740">MID(A3399,6,3)</f>
        <v/>
      </c>
    </row>
    <row r="3400" spans="1:16" s="114" customFormat="1" ht="15" x14ac:dyDescent="0.25">
      <c r="A3400" s="118"/>
      <c r="B3400" s="117" t="s">
        <v>178</v>
      </c>
      <c r="C3400" s="128">
        <f>C3398</f>
        <v>6955573</v>
      </c>
      <c r="D3400" s="128">
        <f t="shared" ref="D3400:O3400" si="741">D3398</f>
        <v>556448.72</v>
      </c>
      <c r="E3400" s="128">
        <f t="shared" si="741"/>
        <v>0</v>
      </c>
      <c r="F3400" s="128">
        <f t="shared" si="741"/>
        <v>3085696.95</v>
      </c>
      <c r="G3400" s="128">
        <f t="shared" si="741"/>
        <v>3869876.0500000003</v>
      </c>
      <c r="H3400" s="128">
        <f t="shared" si="741"/>
        <v>774.08999999999992</v>
      </c>
      <c r="I3400" s="128">
        <f t="shared" si="741"/>
        <v>54742.239999999991</v>
      </c>
      <c r="J3400" s="128">
        <f t="shared" si="741"/>
        <v>7010315.2400000002</v>
      </c>
      <c r="K3400" s="128">
        <f t="shared" si="741"/>
        <v>7448459.9425000008</v>
      </c>
      <c r="L3400" s="128">
        <f t="shared" si="741"/>
        <v>7969852.1384749999</v>
      </c>
      <c r="M3400" s="128">
        <f t="shared" si="741"/>
        <v>0</v>
      </c>
      <c r="N3400" s="128">
        <f t="shared" si="741"/>
        <v>0</v>
      </c>
      <c r="O3400" s="128">
        <f t="shared" si="741"/>
        <v>8527741.7881682478</v>
      </c>
      <c r="P3400" s="123" t="str">
        <f t="shared" si="740"/>
        <v/>
      </c>
    </row>
    <row r="3401" spans="1:16" s="114" customFormat="1" ht="15" x14ac:dyDescent="0.25">
      <c r="A3401" s="118"/>
      <c r="B3401" s="117"/>
      <c r="C3401" s="128"/>
      <c r="D3401" s="128"/>
      <c r="E3401" s="128"/>
      <c r="F3401" s="128"/>
      <c r="G3401" s="128"/>
      <c r="H3401" s="128"/>
      <c r="I3401" s="129">
        <f>Technical!J468</f>
        <v>0</v>
      </c>
      <c r="J3401" s="129"/>
      <c r="K3401" s="129"/>
      <c r="L3401" s="129"/>
      <c r="M3401" s="186"/>
      <c r="N3401" s="186"/>
      <c r="O3401" s="128"/>
      <c r="P3401" s="123" t="str">
        <f t="shared" si="740"/>
        <v/>
      </c>
    </row>
    <row r="3402" spans="1:16" s="114" customFormat="1" ht="15" x14ac:dyDescent="0.25">
      <c r="A3402" s="118"/>
      <c r="B3402" s="117" t="s">
        <v>241</v>
      </c>
      <c r="C3402" s="128"/>
      <c r="D3402" s="128"/>
      <c r="E3402" s="128"/>
      <c r="F3402" s="128"/>
      <c r="G3402" s="128"/>
      <c r="H3402" s="128"/>
      <c r="I3402" s="129">
        <f>Technical!J469</f>
        <v>0</v>
      </c>
      <c r="J3402" s="129"/>
      <c r="K3402" s="129"/>
      <c r="L3402" s="129"/>
      <c r="M3402" s="186"/>
      <c r="N3402" s="186"/>
      <c r="O3402" s="128"/>
      <c r="P3402" s="123" t="str">
        <f t="shared" si="740"/>
        <v/>
      </c>
    </row>
    <row r="3403" spans="1:16" x14ac:dyDescent="0.2">
      <c r="A3403" s="119"/>
      <c r="B3403" s="120"/>
      <c r="C3403" s="129"/>
      <c r="D3403" s="129"/>
      <c r="E3403" s="129"/>
      <c r="F3403" s="129"/>
      <c r="G3403" s="129"/>
      <c r="H3403" s="129"/>
      <c r="I3403" s="129">
        <f>Technical!J470</f>
        <v>0</v>
      </c>
      <c r="J3403" s="129"/>
      <c r="K3403" s="129"/>
      <c r="L3403" s="129"/>
      <c r="O3403" s="129"/>
      <c r="P3403" s="123" t="str">
        <f t="shared" si="740"/>
        <v/>
      </c>
    </row>
    <row r="3404" spans="1:16" x14ac:dyDescent="0.2">
      <c r="A3404" s="119" t="s">
        <v>1296</v>
      </c>
      <c r="B3404" s="120" t="s">
        <v>265</v>
      </c>
      <c r="C3404" s="129">
        <v>56387</v>
      </c>
      <c r="D3404" s="129">
        <v>4676.96</v>
      </c>
      <c r="E3404" s="129">
        <v>0</v>
      </c>
      <c r="F3404" s="129">
        <v>24975.86</v>
      </c>
      <c r="G3404" s="129">
        <v>31411.14</v>
      </c>
      <c r="H3404" s="129">
        <v>44.29</v>
      </c>
      <c r="I3404" s="129">
        <f>Technical!J471</f>
        <v>0</v>
      </c>
      <c r="J3404" s="129">
        <f>Technical!K471</f>
        <v>56387</v>
      </c>
      <c r="K3404" s="129">
        <f>Technical!L471</f>
        <v>58924.415000000001</v>
      </c>
      <c r="L3404" s="129">
        <f>Technical!M471</f>
        <v>61634.938090000003</v>
      </c>
      <c r="O3404" s="129">
        <f>Technical!N471</f>
        <v>64470.145242140003</v>
      </c>
      <c r="P3404" s="123" t="str">
        <f t="shared" si="740"/>
        <v>305</v>
      </c>
    </row>
    <row r="3405" spans="1:16" x14ac:dyDescent="0.2">
      <c r="A3405" s="119" t="s">
        <v>1297</v>
      </c>
      <c r="B3405" s="120" t="s">
        <v>268</v>
      </c>
      <c r="C3405" s="129">
        <v>13448</v>
      </c>
      <c r="D3405" s="129">
        <v>900</v>
      </c>
      <c r="E3405" s="129">
        <v>0</v>
      </c>
      <c r="F3405" s="129">
        <v>24857.5</v>
      </c>
      <c r="G3405" s="129">
        <v>-11409.5</v>
      </c>
      <c r="H3405" s="129">
        <v>184.84</v>
      </c>
      <c r="I3405" s="129">
        <f>Technical!J472</f>
        <v>36267</v>
      </c>
      <c r="J3405" s="129">
        <f>Technical!K472</f>
        <v>49715</v>
      </c>
      <c r="K3405" s="129">
        <f>Technical!L472</f>
        <v>51952.175000000003</v>
      </c>
      <c r="L3405" s="129">
        <f>Technical!M472</f>
        <v>54341.975050000001</v>
      </c>
      <c r="O3405" s="129">
        <f>Technical!N472</f>
        <v>56841.705902300004</v>
      </c>
      <c r="P3405" s="123" t="str">
        <f t="shared" si="740"/>
        <v>305</v>
      </c>
    </row>
    <row r="3406" spans="1:16" x14ac:dyDescent="0.2">
      <c r="A3406" s="119"/>
      <c r="B3406" s="120"/>
      <c r="C3406" s="129"/>
      <c r="D3406" s="129"/>
      <c r="E3406" s="129"/>
      <c r="F3406" s="129"/>
      <c r="G3406" s="129"/>
      <c r="H3406" s="129"/>
      <c r="I3406" s="129">
        <f>Technical!J473</f>
        <v>0</v>
      </c>
      <c r="J3406" s="129"/>
      <c r="K3406" s="129"/>
      <c r="L3406" s="129"/>
      <c r="O3406" s="129"/>
      <c r="P3406" s="123" t="str">
        <f t="shared" si="740"/>
        <v/>
      </c>
    </row>
    <row r="3407" spans="1:16" s="114" customFormat="1" ht="15" x14ac:dyDescent="0.25">
      <c r="A3407" s="118"/>
      <c r="B3407" s="117" t="s">
        <v>274</v>
      </c>
      <c r="C3407" s="128">
        <f>SUM(C3404:C3406)</f>
        <v>69835</v>
      </c>
      <c r="D3407" s="128">
        <f t="shared" ref="D3407:O3407" si="742">SUM(D3404:D3406)</f>
        <v>5576.96</v>
      </c>
      <c r="E3407" s="128">
        <f t="shared" si="742"/>
        <v>0</v>
      </c>
      <c r="F3407" s="128">
        <f t="shared" si="742"/>
        <v>49833.36</v>
      </c>
      <c r="G3407" s="128">
        <f t="shared" si="742"/>
        <v>20001.64</v>
      </c>
      <c r="H3407" s="128">
        <f t="shared" si="742"/>
        <v>229.13</v>
      </c>
      <c r="I3407" s="128">
        <f t="shared" si="742"/>
        <v>36267</v>
      </c>
      <c r="J3407" s="128">
        <f t="shared" si="742"/>
        <v>106102</v>
      </c>
      <c r="K3407" s="128">
        <f t="shared" si="742"/>
        <v>110876.59</v>
      </c>
      <c r="L3407" s="128">
        <f t="shared" si="742"/>
        <v>115976.91314</v>
      </c>
      <c r="M3407" s="128">
        <f t="shared" si="742"/>
        <v>0</v>
      </c>
      <c r="N3407" s="128">
        <f t="shared" si="742"/>
        <v>0</v>
      </c>
      <c r="O3407" s="128">
        <f t="shared" si="742"/>
        <v>121311.85114444001</v>
      </c>
      <c r="P3407" s="123" t="str">
        <f t="shared" si="740"/>
        <v/>
      </c>
    </row>
    <row r="3408" spans="1:16" s="114" customFormat="1" ht="15" x14ac:dyDescent="0.25">
      <c r="A3408" s="118"/>
      <c r="B3408" s="117"/>
      <c r="C3408" s="128"/>
      <c r="D3408" s="128"/>
      <c r="E3408" s="128"/>
      <c r="F3408" s="128"/>
      <c r="G3408" s="128"/>
      <c r="H3408" s="128"/>
      <c r="I3408" s="129"/>
      <c r="J3408" s="129"/>
      <c r="K3408" s="129"/>
      <c r="L3408" s="129"/>
      <c r="M3408" s="186"/>
      <c r="N3408" s="186"/>
      <c r="O3408" s="128"/>
      <c r="P3408" s="123" t="str">
        <f t="shared" si="740"/>
        <v/>
      </c>
    </row>
    <row r="3409" spans="1:16" s="114" customFormat="1" ht="15" x14ac:dyDescent="0.25">
      <c r="A3409" s="118"/>
      <c r="B3409" s="117" t="s">
        <v>288</v>
      </c>
      <c r="C3409" s="128"/>
      <c r="D3409" s="128"/>
      <c r="E3409" s="128"/>
      <c r="F3409" s="128"/>
      <c r="G3409" s="128"/>
      <c r="H3409" s="128"/>
      <c r="I3409" s="129"/>
      <c r="J3409" s="129"/>
      <c r="K3409" s="129"/>
      <c r="L3409" s="129"/>
      <c r="M3409" s="186"/>
      <c r="N3409" s="186"/>
      <c r="O3409" s="128"/>
      <c r="P3409" s="123" t="str">
        <f t="shared" si="740"/>
        <v/>
      </c>
    </row>
    <row r="3410" spans="1:16" x14ac:dyDescent="0.2">
      <c r="A3410" s="119"/>
      <c r="B3410" s="120"/>
      <c r="C3410" s="129"/>
      <c r="D3410" s="129"/>
      <c r="E3410" s="129"/>
      <c r="F3410" s="129"/>
      <c r="G3410" s="129"/>
      <c r="H3410" s="129"/>
      <c r="I3410" s="129"/>
      <c r="J3410" s="129"/>
      <c r="K3410" s="129"/>
      <c r="L3410" s="129"/>
      <c r="O3410" s="129"/>
      <c r="P3410" s="123" t="str">
        <f t="shared" si="740"/>
        <v/>
      </c>
    </row>
    <row r="3411" spans="1:16" x14ac:dyDescent="0.2">
      <c r="A3411" s="119" t="s">
        <v>1298</v>
      </c>
      <c r="B3411" s="120" t="s">
        <v>288</v>
      </c>
      <c r="C3411" s="129">
        <v>0</v>
      </c>
      <c r="D3411" s="129">
        <v>0</v>
      </c>
      <c r="E3411" s="129">
        <v>0</v>
      </c>
      <c r="F3411" s="129">
        <v>185362.16</v>
      </c>
      <c r="G3411" s="129">
        <v>-185362.16</v>
      </c>
      <c r="H3411" s="129">
        <v>0</v>
      </c>
      <c r="I3411" s="129">
        <f>Technical!J478</f>
        <v>0</v>
      </c>
      <c r="J3411" s="129">
        <f>Technical!K478</f>
        <v>0</v>
      </c>
      <c r="K3411" s="129"/>
      <c r="L3411" s="129"/>
      <c r="O3411" s="129"/>
      <c r="P3411" s="123" t="str">
        <f t="shared" si="740"/>
        <v>400</v>
      </c>
    </row>
    <row r="3412" spans="1:16" x14ac:dyDescent="0.2">
      <c r="A3412" s="119"/>
      <c r="B3412" s="120"/>
      <c r="C3412" s="129"/>
      <c r="D3412" s="129"/>
      <c r="E3412" s="129"/>
      <c r="F3412" s="129"/>
      <c r="G3412" s="129"/>
      <c r="H3412" s="129"/>
      <c r="I3412" s="129">
        <f>Technical!J479</f>
        <v>0</v>
      </c>
      <c r="J3412" s="129">
        <f>Technical!K479</f>
        <v>0</v>
      </c>
      <c r="K3412" s="129"/>
      <c r="L3412" s="129"/>
      <c r="O3412" s="129"/>
      <c r="P3412" s="123" t="str">
        <f t="shared" si="740"/>
        <v/>
      </c>
    </row>
    <row r="3413" spans="1:16" s="114" customFormat="1" ht="15" x14ac:dyDescent="0.25">
      <c r="A3413" s="118"/>
      <c r="B3413" s="117" t="s">
        <v>289</v>
      </c>
      <c r="C3413" s="128">
        <f>SUM(C3411:C3412)</f>
        <v>0</v>
      </c>
      <c r="D3413" s="128">
        <f t="shared" ref="D3413:O3413" si="743">SUM(D3411:D3412)</f>
        <v>0</v>
      </c>
      <c r="E3413" s="128">
        <f t="shared" si="743"/>
        <v>0</v>
      </c>
      <c r="F3413" s="128">
        <f t="shared" si="743"/>
        <v>185362.16</v>
      </c>
      <c r="G3413" s="128">
        <f t="shared" si="743"/>
        <v>-185362.16</v>
      </c>
      <c r="H3413" s="128">
        <f t="shared" si="743"/>
        <v>0</v>
      </c>
      <c r="I3413" s="128">
        <f t="shared" si="743"/>
        <v>0</v>
      </c>
      <c r="J3413" s="128">
        <f t="shared" si="743"/>
        <v>0</v>
      </c>
      <c r="K3413" s="128">
        <f t="shared" si="743"/>
        <v>0</v>
      </c>
      <c r="L3413" s="128">
        <f t="shared" si="743"/>
        <v>0</v>
      </c>
      <c r="M3413" s="128">
        <f t="shared" si="743"/>
        <v>0</v>
      </c>
      <c r="N3413" s="128">
        <f t="shared" si="743"/>
        <v>0</v>
      </c>
      <c r="O3413" s="128">
        <f t="shared" si="743"/>
        <v>0</v>
      </c>
      <c r="P3413" s="123" t="str">
        <f t="shared" si="740"/>
        <v/>
      </c>
    </row>
    <row r="3414" spans="1:16" s="114" customFormat="1" ht="15" x14ac:dyDescent="0.25">
      <c r="A3414" s="118"/>
      <c r="B3414" s="117"/>
      <c r="C3414" s="128"/>
      <c r="D3414" s="128"/>
      <c r="E3414" s="128"/>
      <c r="F3414" s="128"/>
      <c r="G3414" s="128"/>
      <c r="H3414" s="128"/>
      <c r="I3414" s="129"/>
      <c r="J3414" s="129"/>
      <c r="K3414" s="128"/>
      <c r="L3414" s="128"/>
      <c r="M3414" s="186"/>
      <c r="N3414" s="186"/>
      <c r="O3414" s="128"/>
      <c r="P3414" s="123" t="str">
        <f t="shared" si="740"/>
        <v/>
      </c>
    </row>
    <row r="3415" spans="1:16" s="114" customFormat="1" ht="15" x14ac:dyDescent="0.25">
      <c r="A3415" s="118"/>
      <c r="B3415" s="117" t="s">
        <v>290</v>
      </c>
      <c r="C3415" s="128"/>
      <c r="D3415" s="128"/>
      <c r="E3415" s="128"/>
      <c r="F3415" s="128"/>
      <c r="G3415" s="128"/>
      <c r="H3415" s="128"/>
      <c r="I3415" s="129"/>
      <c r="J3415" s="129"/>
      <c r="K3415" s="128"/>
      <c r="L3415" s="128"/>
      <c r="M3415" s="186"/>
      <c r="N3415" s="186"/>
      <c r="O3415" s="128"/>
      <c r="P3415" s="123" t="str">
        <f t="shared" si="740"/>
        <v/>
      </c>
    </row>
    <row r="3416" spans="1:16" x14ac:dyDescent="0.2">
      <c r="A3416" s="119"/>
      <c r="B3416" s="120"/>
      <c r="C3416" s="129"/>
      <c r="D3416" s="129"/>
      <c r="E3416" s="129"/>
      <c r="F3416" s="129"/>
      <c r="G3416" s="129"/>
      <c r="H3416" s="129"/>
      <c r="I3416" s="129"/>
      <c r="J3416" s="129"/>
      <c r="K3416" s="129"/>
      <c r="L3416" s="129"/>
      <c r="O3416" s="129"/>
      <c r="P3416" s="123" t="str">
        <f t="shared" si="740"/>
        <v/>
      </c>
    </row>
    <row r="3417" spans="1:16" x14ac:dyDescent="0.2">
      <c r="A3417" s="119" t="s">
        <v>1299</v>
      </c>
      <c r="B3417" s="120" t="s">
        <v>292</v>
      </c>
      <c r="C3417" s="129">
        <v>3371</v>
      </c>
      <c r="D3417" s="129">
        <v>218.4</v>
      </c>
      <c r="E3417" s="129">
        <v>0</v>
      </c>
      <c r="F3417" s="129">
        <v>568.91</v>
      </c>
      <c r="G3417" s="129">
        <v>2802.09</v>
      </c>
      <c r="H3417" s="129">
        <v>16.87</v>
      </c>
      <c r="I3417" s="129">
        <f>Technical!J484</f>
        <v>0</v>
      </c>
      <c r="J3417" s="129">
        <f>Technical!K484</f>
        <v>3371</v>
      </c>
      <c r="K3417" s="129">
        <f>Technical!L484</f>
        <v>3522.6950000000002</v>
      </c>
      <c r="L3417" s="129">
        <f>Technical!M484</f>
        <v>3684.7389700000003</v>
      </c>
      <c r="O3417" s="129">
        <f>Technical!N484</f>
        <v>3854.2369626200002</v>
      </c>
      <c r="P3417" s="123" t="str">
        <f t="shared" si="740"/>
        <v>720</v>
      </c>
    </row>
    <row r="3418" spans="1:16" x14ac:dyDescent="0.2">
      <c r="A3418" s="119" t="s">
        <v>1300</v>
      </c>
      <c r="B3418" s="120" t="s">
        <v>293</v>
      </c>
      <c r="C3418" s="129">
        <v>7219</v>
      </c>
      <c r="D3418" s="129">
        <v>1056.28</v>
      </c>
      <c r="E3418" s="129">
        <v>0</v>
      </c>
      <c r="F3418" s="129">
        <v>2886.56</v>
      </c>
      <c r="G3418" s="129">
        <v>4332.4399999999996</v>
      </c>
      <c r="H3418" s="129">
        <v>39.979999999999997</v>
      </c>
      <c r="I3418" s="129">
        <f>Technical!J485</f>
        <v>0</v>
      </c>
      <c r="J3418" s="129">
        <f>Technical!K485</f>
        <v>7219</v>
      </c>
      <c r="K3418" s="129">
        <f>Technical!L485</f>
        <v>7543.8549999999996</v>
      </c>
      <c r="L3418" s="129">
        <f>Technical!M485</f>
        <v>7890.8723299999992</v>
      </c>
      <c r="O3418" s="129">
        <f>Technical!N485</f>
        <v>8253.852457179999</v>
      </c>
      <c r="P3418" s="123" t="str">
        <f t="shared" si="740"/>
        <v>721</v>
      </c>
    </row>
    <row r="3419" spans="1:16" x14ac:dyDescent="0.2">
      <c r="A3419" s="119" t="s">
        <v>1301</v>
      </c>
      <c r="B3419" s="120" t="s">
        <v>297</v>
      </c>
      <c r="C3419" s="129">
        <v>3371</v>
      </c>
      <c r="D3419" s="129">
        <v>3891.28</v>
      </c>
      <c r="E3419" s="129">
        <v>0</v>
      </c>
      <c r="F3419" s="129">
        <v>12112.85</v>
      </c>
      <c r="G3419" s="129">
        <v>-8741.85</v>
      </c>
      <c r="H3419" s="129">
        <v>359.32</v>
      </c>
      <c r="I3419" s="129">
        <f>Technical!J486</f>
        <v>0</v>
      </c>
      <c r="J3419" s="129">
        <f>Technical!K486</f>
        <v>3371</v>
      </c>
      <c r="K3419" s="129">
        <f>Technical!L486</f>
        <v>3522.6950000000002</v>
      </c>
      <c r="L3419" s="129">
        <f>Technical!M486</f>
        <v>3684.7389700000003</v>
      </c>
      <c r="O3419" s="129">
        <f>Technical!N486</f>
        <v>3854.2369626200002</v>
      </c>
      <c r="P3419" s="123" t="str">
        <f t="shared" si="740"/>
        <v>725</v>
      </c>
    </row>
    <row r="3420" spans="1:16" x14ac:dyDescent="0.2">
      <c r="A3420" s="119"/>
      <c r="B3420" s="120"/>
      <c r="C3420" s="129"/>
      <c r="D3420" s="129"/>
      <c r="E3420" s="129"/>
      <c r="F3420" s="129"/>
      <c r="G3420" s="129"/>
      <c r="H3420" s="129"/>
      <c r="I3420" s="129">
        <f>Technical!J487</f>
        <v>0</v>
      </c>
      <c r="J3420" s="129"/>
      <c r="K3420" s="129"/>
      <c r="L3420" s="129"/>
      <c r="O3420" s="129"/>
      <c r="P3420" s="123" t="str">
        <f t="shared" si="740"/>
        <v/>
      </c>
    </row>
    <row r="3421" spans="1:16" s="114" customFormat="1" ht="15" x14ac:dyDescent="0.25">
      <c r="A3421" s="118"/>
      <c r="B3421" s="117" t="s">
        <v>304</v>
      </c>
      <c r="C3421" s="128">
        <f>SUM(C3417:C3420)</f>
        <v>13961</v>
      </c>
      <c r="D3421" s="128">
        <f t="shared" ref="D3421:O3421" si="744">SUM(D3417:D3420)</f>
        <v>5165.96</v>
      </c>
      <c r="E3421" s="128">
        <f t="shared" si="744"/>
        <v>0</v>
      </c>
      <c r="F3421" s="128">
        <f t="shared" si="744"/>
        <v>15568.32</v>
      </c>
      <c r="G3421" s="128">
        <f t="shared" si="744"/>
        <v>-1607.3200000000006</v>
      </c>
      <c r="H3421" s="128">
        <f t="shared" si="744"/>
        <v>416.16999999999996</v>
      </c>
      <c r="I3421" s="128">
        <f t="shared" si="744"/>
        <v>0</v>
      </c>
      <c r="J3421" s="128">
        <f t="shared" si="744"/>
        <v>13961</v>
      </c>
      <c r="K3421" s="128">
        <f t="shared" si="744"/>
        <v>14589.244999999999</v>
      </c>
      <c r="L3421" s="128">
        <f t="shared" si="744"/>
        <v>15260.350270000001</v>
      </c>
      <c r="M3421" s="128">
        <f t="shared" si="744"/>
        <v>0</v>
      </c>
      <c r="N3421" s="128">
        <f t="shared" si="744"/>
        <v>0</v>
      </c>
      <c r="O3421" s="128">
        <f t="shared" si="744"/>
        <v>15962.326382419998</v>
      </c>
      <c r="P3421" s="123" t="str">
        <f t="shared" si="740"/>
        <v/>
      </c>
    </row>
    <row r="3422" spans="1:16" s="114" customFormat="1" ht="15" x14ac:dyDescent="0.25">
      <c r="A3422" s="118"/>
      <c r="B3422" s="117"/>
      <c r="C3422" s="128"/>
      <c r="D3422" s="128"/>
      <c r="E3422" s="128"/>
      <c r="F3422" s="128"/>
      <c r="G3422" s="128"/>
      <c r="H3422" s="128"/>
      <c r="I3422" s="129">
        <f>Technical!J489</f>
        <v>0</v>
      </c>
      <c r="J3422" s="129"/>
      <c r="K3422" s="129"/>
      <c r="L3422" s="129"/>
      <c r="M3422" s="186"/>
      <c r="N3422" s="186"/>
      <c r="O3422" s="128"/>
      <c r="P3422" s="123" t="str">
        <f t="shared" si="740"/>
        <v/>
      </c>
    </row>
    <row r="3423" spans="1:16" s="114" customFormat="1" ht="15" x14ac:dyDescent="0.25">
      <c r="A3423" s="118"/>
      <c r="B3423" s="117" t="s">
        <v>305</v>
      </c>
      <c r="C3423" s="128">
        <f>C3400+C3407+C3413+C3421</f>
        <v>7039369</v>
      </c>
      <c r="D3423" s="128">
        <f t="shared" ref="D3423:O3423" si="745">D3400+D3407+D3413+D3421</f>
        <v>567191.6399999999</v>
      </c>
      <c r="E3423" s="128">
        <f t="shared" si="745"/>
        <v>0</v>
      </c>
      <c r="F3423" s="128">
        <f t="shared" si="745"/>
        <v>3336460.79</v>
      </c>
      <c r="G3423" s="128">
        <f t="shared" si="745"/>
        <v>3702908.2100000004</v>
      </c>
      <c r="H3423" s="128">
        <f t="shared" si="745"/>
        <v>1419.3899999999999</v>
      </c>
      <c r="I3423" s="128">
        <f t="shared" si="745"/>
        <v>91009.239999999991</v>
      </c>
      <c r="J3423" s="128">
        <f t="shared" si="745"/>
        <v>7130378.2400000002</v>
      </c>
      <c r="K3423" s="128">
        <f t="shared" si="745"/>
        <v>7573925.7775000008</v>
      </c>
      <c r="L3423" s="128">
        <f t="shared" si="745"/>
        <v>8101089.4018850001</v>
      </c>
      <c r="M3423" s="128">
        <f t="shared" si="745"/>
        <v>0</v>
      </c>
      <c r="N3423" s="128">
        <f t="shared" si="745"/>
        <v>0</v>
      </c>
      <c r="O3423" s="128">
        <f t="shared" si="745"/>
        <v>8665015.9656951074</v>
      </c>
      <c r="P3423" s="123" t="str">
        <f t="shared" si="740"/>
        <v/>
      </c>
    </row>
    <row r="3424" spans="1:16" s="114" customFormat="1" ht="15" x14ac:dyDescent="0.25">
      <c r="A3424" s="118"/>
      <c r="B3424" s="117"/>
      <c r="C3424" s="128"/>
      <c r="D3424" s="128"/>
      <c r="E3424" s="128"/>
      <c r="F3424" s="128"/>
      <c r="G3424" s="128"/>
      <c r="H3424" s="128"/>
      <c r="I3424" s="129">
        <f>Technical!J491</f>
        <v>0</v>
      </c>
      <c r="J3424" s="129"/>
      <c r="K3424" s="129"/>
      <c r="L3424" s="129"/>
      <c r="M3424" s="186"/>
      <c r="N3424" s="186"/>
      <c r="O3424" s="128"/>
      <c r="P3424" s="123" t="str">
        <f t="shared" si="740"/>
        <v/>
      </c>
    </row>
    <row r="3425" spans="1:16" s="114" customFormat="1" ht="15" x14ac:dyDescent="0.25">
      <c r="A3425" s="118"/>
      <c r="B3425" s="117" t="s">
        <v>306</v>
      </c>
      <c r="C3425" s="128">
        <f>C3360+C3423</f>
        <v>5027584</v>
      </c>
      <c r="D3425" s="128">
        <f t="shared" ref="D3425:O3425" ca="1" si="746">D3360+D3423</f>
        <v>567191.6399999999</v>
      </c>
      <c r="E3425" s="128">
        <f t="shared" ca="1" si="746"/>
        <v>0</v>
      </c>
      <c r="F3425" s="128">
        <f t="shared" ca="1" si="746"/>
        <v>3338896.21</v>
      </c>
      <c r="G3425" s="128">
        <f t="shared" ca="1" si="746"/>
        <v>3700472.7900000005</v>
      </c>
      <c r="H3425" s="128">
        <f t="shared" ca="1" si="746"/>
        <v>1419.3899999999999</v>
      </c>
      <c r="I3425" s="128">
        <f t="shared" ca="1" si="746"/>
        <v>1699258.74</v>
      </c>
      <c r="J3425" s="128">
        <f t="shared" si="746"/>
        <v>6726842.2400000002</v>
      </c>
      <c r="K3425" s="128">
        <f t="shared" si="746"/>
        <v>7152230.6575000007</v>
      </c>
      <c r="L3425" s="128">
        <f t="shared" si="746"/>
        <v>7659996.3063650001</v>
      </c>
      <c r="M3425" s="128">
        <f t="shared" si="746"/>
        <v>-461383.37791391998</v>
      </c>
      <c r="N3425" s="128">
        <f t="shared" si="746"/>
        <v>0</v>
      </c>
      <c r="O3425" s="128">
        <f t="shared" si="746"/>
        <v>8203632.5877811871</v>
      </c>
      <c r="P3425" s="123" t="str">
        <f t="shared" si="740"/>
        <v/>
      </c>
    </row>
    <row r="3426" spans="1:16" x14ac:dyDescent="0.2">
      <c r="A3426" s="119"/>
      <c r="B3426" s="120"/>
      <c r="C3426" s="129"/>
      <c r="D3426" s="129"/>
      <c r="E3426" s="129"/>
      <c r="F3426" s="129"/>
      <c r="G3426" s="129"/>
      <c r="H3426" s="129"/>
      <c r="I3426" s="129">
        <f>Technical!J493</f>
        <v>0</v>
      </c>
      <c r="J3426" s="129"/>
      <c r="K3426" s="129"/>
      <c r="L3426" s="129"/>
      <c r="O3426" s="129"/>
      <c r="P3426" s="123" t="str">
        <f t="shared" si="740"/>
        <v/>
      </c>
    </row>
    <row r="3427" spans="1:16" s="114" customFormat="1" ht="15" x14ac:dyDescent="0.25">
      <c r="A3427" s="118"/>
      <c r="B3427" s="117" t="s">
        <v>1302</v>
      </c>
      <c r="C3427" s="128"/>
      <c r="D3427" s="128"/>
      <c r="E3427" s="128"/>
      <c r="F3427" s="128"/>
      <c r="G3427" s="128"/>
      <c r="H3427" s="128"/>
      <c r="I3427" s="129">
        <f>Technical!J494</f>
        <v>0</v>
      </c>
      <c r="J3427" s="129"/>
      <c r="K3427" s="129"/>
      <c r="L3427" s="129"/>
      <c r="M3427" s="186"/>
      <c r="N3427" s="186"/>
      <c r="O3427" s="128"/>
      <c r="P3427" s="123" t="str">
        <f t="shared" si="740"/>
        <v/>
      </c>
    </row>
    <row r="3428" spans="1:16" s="114" customFormat="1" ht="15" x14ac:dyDescent="0.25">
      <c r="A3428" s="118"/>
      <c r="B3428" s="117" t="s">
        <v>9</v>
      </c>
      <c r="C3428" s="128"/>
      <c r="D3428" s="128"/>
      <c r="E3428" s="128"/>
      <c r="F3428" s="128"/>
      <c r="G3428" s="128"/>
      <c r="H3428" s="128"/>
      <c r="I3428" s="129">
        <f>Technical!J495</f>
        <v>0</v>
      </c>
      <c r="J3428" s="129"/>
      <c r="K3428" s="129"/>
      <c r="L3428" s="129"/>
      <c r="M3428" s="186"/>
      <c r="N3428" s="186"/>
      <c r="O3428" s="128"/>
      <c r="P3428" s="123" t="str">
        <f t="shared" si="740"/>
        <v/>
      </c>
    </row>
    <row r="3429" spans="1:16" s="114" customFormat="1" ht="15" x14ac:dyDescent="0.25">
      <c r="A3429" s="118"/>
      <c r="B3429" s="117" t="s">
        <v>41</v>
      </c>
      <c r="C3429" s="128"/>
      <c r="D3429" s="128"/>
      <c r="E3429" s="128"/>
      <c r="F3429" s="128"/>
      <c r="G3429" s="128"/>
      <c r="H3429" s="128"/>
      <c r="I3429" s="129">
        <f>Technical!J496</f>
        <v>0</v>
      </c>
      <c r="J3429" s="129"/>
      <c r="K3429" s="129"/>
      <c r="L3429" s="129"/>
      <c r="M3429" s="186"/>
      <c r="N3429" s="186"/>
      <c r="O3429" s="128"/>
      <c r="P3429" s="123" t="str">
        <f t="shared" si="740"/>
        <v/>
      </c>
    </row>
    <row r="3430" spans="1:16" s="114" customFormat="1" ht="15" x14ac:dyDescent="0.25">
      <c r="A3430" s="118"/>
      <c r="B3430" s="117" t="s">
        <v>42</v>
      </c>
      <c r="C3430" s="128"/>
      <c r="D3430" s="128"/>
      <c r="E3430" s="128"/>
      <c r="F3430" s="128"/>
      <c r="G3430" s="128"/>
      <c r="H3430" s="128"/>
      <c r="I3430" s="129">
        <f>Technical!J497</f>
        <v>0</v>
      </c>
      <c r="J3430" s="129"/>
      <c r="K3430" s="129"/>
      <c r="L3430" s="129"/>
      <c r="M3430" s="186"/>
      <c r="N3430" s="186"/>
      <c r="O3430" s="128"/>
      <c r="P3430" s="123" t="str">
        <f t="shared" si="740"/>
        <v/>
      </c>
    </row>
    <row r="3431" spans="1:16" x14ac:dyDescent="0.2">
      <c r="A3431" s="119"/>
      <c r="B3431" s="120"/>
      <c r="C3431" s="129"/>
      <c r="D3431" s="129"/>
      <c r="E3431" s="129"/>
      <c r="F3431" s="129"/>
      <c r="G3431" s="129"/>
      <c r="H3431" s="129"/>
      <c r="I3431" s="129">
        <f>Technical!J498</f>
        <v>0</v>
      </c>
      <c r="J3431" s="129"/>
      <c r="K3431" s="129"/>
      <c r="L3431" s="129"/>
      <c r="O3431" s="129"/>
      <c r="P3431" s="123" t="str">
        <f t="shared" si="740"/>
        <v/>
      </c>
    </row>
    <row r="3432" spans="1:16" x14ac:dyDescent="0.2">
      <c r="A3432" s="119" t="s">
        <v>1303</v>
      </c>
      <c r="B3432" s="120" t="s">
        <v>52</v>
      </c>
      <c r="C3432" s="129">
        <v>0</v>
      </c>
      <c r="D3432" s="129">
        <v>-64386</v>
      </c>
      <c r="E3432" s="129">
        <v>0</v>
      </c>
      <c r="F3432" s="129">
        <v>-386530.28</v>
      </c>
      <c r="G3432" s="129">
        <v>386530.28</v>
      </c>
      <c r="H3432" s="129">
        <v>0</v>
      </c>
      <c r="I3432" s="129">
        <f>Technical!J499</f>
        <v>0</v>
      </c>
      <c r="J3432" s="129">
        <f>Technical!K499</f>
        <v>0</v>
      </c>
      <c r="K3432" s="129">
        <f>Technical!L499</f>
        <v>0</v>
      </c>
      <c r="L3432" s="129">
        <f>Technical!M499</f>
        <v>0</v>
      </c>
      <c r="O3432" s="129"/>
      <c r="P3432" s="123" t="str">
        <f t="shared" si="740"/>
        <v>323</v>
      </c>
    </row>
    <row r="3433" spans="1:16" x14ac:dyDescent="0.2">
      <c r="A3433" s="119"/>
      <c r="B3433" s="120"/>
      <c r="C3433" s="129"/>
      <c r="D3433" s="129"/>
      <c r="E3433" s="129"/>
      <c r="F3433" s="129"/>
      <c r="G3433" s="129"/>
      <c r="H3433" s="129"/>
      <c r="I3433" s="129">
        <f>Technical!J500</f>
        <v>0</v>
      </c>
      <c r="J3433" s="129">
        <f>Technical!K500</f>
        <v>0</v>
      </c>
      <c r="K3433" s="129">
        <f>Technical!L500</f>
        <v>0</v>
      </c>
      <c r="L3433" s="129">
        <f>Technical!M500</f>
        <v>0</v>
      </c>
      <c r="O3433" s="129"/>
      <c r="P3433" s="123" t="str">
        <f t="shared" si="740"/>
        <v/>
      </c>
    </row>
    <row r="3434" spans="1:16" s="114" customFormat="1" ht="15" x14ac:dyDescent="0.25">
      <c r="A3434" s="118"/>
      <c r="B3434" s="117" t="s">
        <v>55</v>
      </c>
      <c r="C3434" s="128">
        <f>SUM(C3432:C3433)</f>
        <v>0</v>
      </c>
      <c r="D3434" s="128">
        <f t="shared" ref="D3434:O3434" si="747">SUM(D3432:D3433)</f>
        <v>-64386</v>
      </c>
      <c r="E3434" s="128">
        <f t="shared" si="747"/>
        <v>0</v>
      </c>
      <c r="F3434" s="128">
        <f t="shared" si="747"/>
        <v>-386530.28</v>
      </c>
      <c r="G3434" s="128">
        <f t="shared" si="747"/>
        <v>386530.28</v>
      </c>
      <c r="H3434" s="128">
        <f t="shared" si="747"/>
        <v>0</v>
      </c>
      <c r="I3434" s="128">
        <f t="shared" si="747"/>
        <v>0</v>
      </c>
      <c r="J3434" s="128">
        <f t="shared" si="747"/>
        <v>0</v>
      </c>
      <c r="K3434" s="128">
        <f t="shared" si="747"/>
        <v>0</v>
      </c>
      <c r="L3434" s="128">
        <f t="shared" si="747"/>
        <v>0</v>
      </c>
      <c r="M3434" s="128">
        <f t="shared" si="747"/>
        <v>0</v>
      </c>
      <c r="N3434" s="128">
        <f t="shared" si="747"/>
        <v>0</v>
      </c>
      <c r="O3434" s="128">
        <f t="shared" si="747"/>
        <v>0</v>
      </c>
      <c r="P3434" s="123" t="str">
        <f t="shared" si="740"/>
        <v/>
      </c>
    </row>
    <row r="3435" spans="1:16" s="114" customFormat="1" ht="15" x14ac:dyDescent="0.25">
      <c r="A3435" s="118"/>
      <c r="B3435" s="117"/>
      <c r="C3435" s="128"/>
      <c r="D3435" s="128"/>
      <c r="E3435" s="128"/>
      <c r="F3435" s="128"/>
      <c r="G3435" s="128"/>
      <c r="H3435" s="128"/>
      <c r="I3435" s="129">
        <f>Technical!J502</f>
        <v>0</v>
      </c>
      <c r="J3435" s="129"/>
      <c r="K3435" s="129"/>
      <c r="L3435" s="129"/>
      <c r="M3435" s="186"/>
      <c r="N3435" s="186"/>
      <c r="O3435" s="128"/>
      <c r="P3435" s="123" t="str">
        <f t="shared" si="740"/>
        <v/>
      </c>
    </row>
    <row r="3436" spans="1:16" s="114" customFormat="1" ht="15" x14ac:dyDescent="0.25">
      <c r="A3436" s="118"/>
      <c r="B3436" s="117" t="s">
        <v>56</v>
      </c>
      <c r="C3436" s="128"/>
      <c r="D3436" s="128"/>
      <c r="E3436" s="128"/>
      <c r="F3436" s="128"/>
      <c r="G3436" s="128"/>
      <c r="H3436" s="128"/>
      <c r="I3436" s="129">
        <f>Technical!J503</f>
        <v>0</v>
      </c>
      <c r="J3436" s="129"/>
      <c r="K3436" s="129"/>
      <c r="L3436" s="129"/>
      <c r="M3436" s="186"/>
      <c r="N3436" s="186"/>
      <c r="O3436" s="128"/>
      <c r="P3436" s="123" t="str">
        <f t="shared" si="740"/>
        <v/>
      </c>
    </row>
    <row r="3437" spans="1:16" x14ac:dyDescent="0.2">
      <c r="A3437" s="119"/>
      <c r="B3437" s="120"/>
      <c r="C3437" s="129"/>
      <c r="D3437" s="129"/>
      <c r="E3437" s="129"/>
      <c r="F3437" s="129"/>
      <c r="G3437" s="129"/>
      <c r="H3437" s="129"/>
      <c r="I3437" s="129">
        <f>Technical!J504</f>
        <v>0</v>
      </c>
      <c r="J3437" s="129"/>
      <c r="K3437" s="129"/>
      <c r="L3437" s="129"/>
      <c r="O3437" s="129"/>
      <c r="P3437" s="123" t="str">
        <f t="shared" si="740"/>
        <v/>
      </c>
    </row>
    <row r="3438" spans="1:16" x14ac:dyDescent="0.2">
      <c r="A3438" s="119" t="s">
        <v>1304</v>
      </c>
      <c r="B3438" s="120" t="s">
        <v>60</v>
      </c>
      <c r="C3438" s="129">
        <f>Technical!D505</f>
        <v>-88683</v>
      </c>
      <c r="D3438" s="129">
        <f>Technical!E505</f>
        <v>0</v>
      </c>
      <c r="E3438" s="129">
        <f>Technical!F505</f>
        <v>0</v>
      </c>
      <c r="F3438" s="129">
        <f>Technical!G505</f>
        <v>1217.71</v>
      </c>
      <c r="G3438" s="129">
        <f>Technical!H505</f>
        <v>-1217.71</v>
      </c>
      <c r="H3438" s="129">
        <f>Technical!I505</f>
        <v>0</v>
      </c>
      <c r="I3438" s="129">
        <f>Technical!J505</f>
        <v>88683</v>
      </c>
      <c r="J3438" s="129">
        <f>Technical!K505</f>
        <v>0</v>
      </c>
      <c r="K3438" s="129">
        <f>Technical!L505</f>
        <v>0</v>
      </c>
      <c r="L3438" s="129">
        <f>Technical!M505</f>
        <v>0</v>
      </c>
      <c r="M3438" s="129">
        <f>Technical!N505</f>
        <v>0</v>
      </c>
      <c r="N3438" s="129">
        <f>Technical!O505</f>
        <v>0</v>
      </c>
      <c r="O3438" s="129">
        <f>Technical!P505</f>
        <v>0</v>
      </c>
      <c r="P3438" s="123" t="str">
        <f t="shared" si="740"/>
        <v>341</v>
      </c>
    </row>
    <row r="3439" spans="1:16" x14ac:dyDescent="0.2">
      <c r="A3439" s="119"/>
      <c r="B3439" s="120"/>
      <c r="C3439" s="129"/>
      <c r="D3439" s="129"/>
      <c r="E3439" s="129"/>
      <c r="F3439" s="129"/>
      <c r="G3439" s="129"/>
      <c r="H3439" s="129"/>
      <c r="I3439" s="129">
        <f>Technical!J506</f>
        <v>0</v>
      </c>
      <c r="J3439" s="129">
        <f>Technical!K506</f>
        <v>0</v>
      </c>
      <c r="K3439" s="129">
        <f>Technical!L506</f>
        <v>0</v>
      </c>
      <c r="L3439" s="129">
        <f>Technical!M506</f>
        <v>0</v>
      </c>
      <c r="O3439" s="129"/>
      <c r="P3439" s="123" t="str">
        <f t="shared" si="740"/>
        <v/>
      </c>
    </row>
    <row r="3440" spans="1:16" s="114" customFormat="1" ht="15" x14ac:dyDescent="0.25">
      <c r="A3440" s="118"/>
      <c r="B3440" s="117" t="s">
        <v>64</v>
      </c>
      <c r="C3440" s="128">
        <f>SUM(C3438:C3439)</f>
        <v>-88683</v>
      </c>
      <c r="D3440" s="128">
        <f t="shared" ref="D3440:O3440" si="748">SUM(D3438:D3439)</f>
        <v>0</v>
      </c>
      <c r="E3440" s="128">
        <f t="shared" si="748"/>
        <v>0</v>
      </c>
      <c r="F3440" s="128">
        <f t="shared" si="748"/>
        <v>1217.71</v>
      </c>
      <c r="G3440" s="128">
        <f t="shared" si="748"/>
        <v>-1217.71</v>
      </c>
      <c r="H3440" s="128">
        <f t="shared" si="748"/>
        <v>0</v>
      </c>
      <c r="I3440" s="128">
        <f t="shared" si="748"/>
        <v>88683</v>
      </c>
      <c r="J3440" s="128">
        <f t="shared" si="748"/>
        <v>0</v>
      </c>
      <c r="K3440" s="128">
        <f t="shared" si="748"/>
        <v>0</v>
      </c>
      <c r="L3440" s="128">
        <f t="shared" si="748"/>
        <v>0</v>
      </c>
      <c r="M3440" s="128">
        <f t="shared" si="748"/>
        <v>0</v>
      </c>
      <c r="N3440" s="128">
        <f t="shared" si="748"/>
        <v>0</v>
      </c>
      <c r="O3440" s="128">
        <f t="shared" si="748"/>
        <v>0</v>
      </c>
      <c r="P3440" s="123" t="str">
        <f t="shared" si="740"/>
        <v/>
      </c>
    </row>
    <row r="3441" spans="1:16" s="114" customFormat="1" ht="15" x14ac:dyDescent="0.25">
      <c r="A3441" s="118"/>
      <c r="B3441" s="117"/>
      <c r="C3441" s="128"/>
      <c r="D3441" s="128"/>
      <c r="E3441" s="128"/>
      <c r="F3441" s="128"/>
      <c r="G3441" s="128"/>
      <c r="H3441" s="128"/>
      <c r="I3441" s="129">
        <f>Technical!J508</f>
        <v>0</v>
      </c>
      <c r="J3441" s="129"/>
      <c r="K3441" s="129"/>
      <c r="L3441" s="129"/>
      <c r="M3441" s="186"/>
      <c r="N3441" s="186"/>
      <c r="O3441" s="128"/>
      <c r="P3441" s="123" t="str">
        <f t="shared" si="740"/>
        <v/>
      </c>
    </row>
    <row r="3442" spans="1:16" s="114" customFormat="1" ht="15" x14ac:dyDescent="0.25">
      <c r="A3442" s="118"/>
      <c r="B3442" s="117" t="s">
        <v>67</v>
      </c>
      <c r="C3442" s="128"/>
      <c r="D3442" s="128"/>
      <c r="E3442" s="128"/>
      <c r="F3442" s="128"/>
      <c r="G3442" s="128"/>
      <c r="H3442" s="128"/>
      <c r="I3442" s="129">
        <f>Technical!J509</f>
        <v>0</v>
      </c>
      <c r="J3442" s="129"/>
      <c r="K3442" s="129"/>
      <c r="L3442" s="129"/>
      <c r="M3442" s="186"/>
      <c r="N3442" s="186"/>
      <c r="O3442" s="128"/>
      <c r="P3442" s="123" t="str">
        <f t="shared" si="740"/>
        <v/>
      </c>
    </row>
    <row r="3443" spans="1:16" x14ac:dyDescent="0.2">
      <c r="A3443" s="119"/>
      <c r="B3443" s="120"/>
      <c r="C3443" s="129"/>
      <c r="D3443" s="129"/>
      <c r="E3443" s="129"/>
      <c r="F3443" s="129"/>
      <c r="G3443" s="129"/>
      <c r="H3443" s="129"/>
      <c r="I3443" s="129">
        <f>Technical!J510</f>
        <v>0</v>
      </c>
      <c r="J3443" s="129"/>
      <c r="K3443" s="129"/>
      <c r="L3443" s="129"/>
      <c r="O3443" s="129"/>
      <c r="P3443" s="123" t="str">
        <f t="shared" si="740"/>
        <v/>
      </c>
    </row>
    <row r="3444" spans="1:16" x14ac:dyDescent="0.2">
      <c r="A3444" s="119" t="s">
        <v>1305</v>
      </c>
      <c r="B3444" s="120" t="s">
        <v>68</v>
      </c>
      <c r="C3444" s="129">
        <f>Technical!D511</f>
        <v>-781881</v>
      </c>
      <c r="D3444" s="129">
        <f ca="1">Technical!E511</f>
        <v>0</v>
      </c>
      <c r="E3444" s="129">
        <f ca="1">Technical!F511</f>
        <v>0</v>
      </c>
      <c r="F3444" s="129">
        <f ca="1">Technical!G511</f>
        <v>1217.71</v>
      </c>
      <c r="G3444" s="129">
        <f ca="1">Technical!H511</f>
        <v>-1217.71</v>
      </c>
      <c r="H3444" s="129">
        <f ca="1">Technical!I511</f>
        <v>0</v>
      </c>
      <c r="I3444" s="129">
        <f ca="1">Technical!J511</f>
        <v>520712.1</v>
      </c>
      <c r="J3444" s="129">
        <f>Technical!K511</f>
        <v>-261169</v>
      </c>
      <c r="K3444" s="129">
        <f>Technical!L511</f>
        <v>-272921.60499999998</v>
      </c>
      <c r="L3444" s="129">
        <f>Technical!M511</f>
        <v>-285475.99883</v>
      </c>
      <c r="M3444" s="129">
        <f>Technical!N511</f>
        <v>-298607.89477617998</v>
      </c>
      <c r="N3444" s="129">
        <f>Technical!O511</f>
        <v>0</v>
      </c>
      <c r="O3444" s="129">
        <f>Technical!N511</f>
        <v>-298607.89477617998</v>
      </c>
      <c r="P3444" s="123" t="str">
        <f t="shared" si="740"/>
        <v>365</v>
      </c>
    </row>
    <row r="3445" spans="1:16" x14ac:dyDescent="0.2">
      <c r="A3445" s="119"/>
      <c r="B3445" s="120"/>
      <c r="C3445" s="129"/>
      <c r="D3445" s="129"/>
      <c r="E3445" s="129"/>
      <c r="F3445" s="129"/>
      <c r="G3445" s="129"/>
      <c r="H3445" s="129"/>
      <c r="I3445" s="129">
        <f>Technical!J512</f>
        <v>0</v>
      </c>
      <c r="J3445" s="129"/>
      <c r="K3445" s="129"/>
      <c r="L3445" s="129"/>
      <c r="O3445" s="129"/>
      <c r="P3445" s="123" t="str">
        <f t="shared" si="740"/>
        <v/>
      </c>
    </row>
    <row r="3446" spans="1:16" s="114" customFormat="1" ht="15" x14ac:dyDescent="0.25">
      <c r="A3446" s="118"/>
      <c r="B3446" s="117" t="s">
        <v>69</v>
      </c>
      <c r="C3446" s="128">
        <f>SUM(C3444:C3445)</f>
        <v>-781881</v>
      </c>
      <c r="D3446" s="128">
        <f t="shared" ref="D3446:O3446" ca="1" si="749">SUM(D3444:D3445)</f>
        <v>0</v>
      </c>
      <c r="E3446" s="128">
        <f t="shared" ca="1" si="749"/>
        <v>0</v>
      </c>
      <c r="F3446" s="128">
        <f t="shared" ca="1" si="749"/>
        <v>1217.71</v>
      </c>
      <c r="G3446" s="128">
        <f t="shared" ca="1" si="749"/>
        <v>-1217.71</v>
      </c>
      <c r="H3446" s="128">
        <f t="shared" ca="1" si="749"/>
        <v>0</v>
      </c>
      <c r="I3446" s="128">
        <f t="shared" ca="1" si="749"/>
        <v>520712.1</v>
      </c>
      <c r="J3446" s="128">
        <f t="shared" si="749"/>
        <v>-261169</v>
      </c>
      <c r="K3446" s="128">
        <f t="shared" si="749"/>
        <v>-272921.60499999998</v>
      </c>
      <c r="L3446" s="128">
        <f t="shared" si="749"/>
        <v>-285475.99883</v>
      </c>
      <c r="M3446" s="128">
        <f t="shared" si="749"/>
        <v>-298607.89477617998</v>
      </c>
      <c r="N3446" s="128">
        <f t="shared" si="749"/>
        <v>0</v>
      </c>
      <c r="O3446" s="128">
        <f t="shared" si="749"/>
        <v>-298607.89477617998</v>
      </c>
      <c r="P3446" s="123" t="str">
        <f t="shared" si="740"/>
        <v/>
      </c>
    </row>
    <row r="3447" spans="1:16" s="114" customFormat="1" ht="15" x14ac:dyDescent="0.25">
      <c r="A3447" s="118"/>
      <c r="B3447" s="117"/>
      <c r="C3447" s="128"/>
      <c r="D3447" s="128"/>
      <c r="E3447" s="128"/>
      <c r="F3447" s="128"/>
      <c r="G3447" s="128"/>
      <c r="H3447" s="128"/>
      <c r="I3447" s="129">
        <f>Technical!J514</f>
        <v>0</v>
      </c>
      <c r="J3447" s="129"/>
      <c r="K3447" s="129"/>
      <c r="L3447" s="129"/>
      <c r="M3447" s="186"/>
      <c r="N3447" s="186"/>
      <c r="O3447" s="128"/>
      <c r="P3447" s="123" t="str">
        <f t="shared" si="740"/>
        <v/>
      </c>
    </row>
    <row r="3448" spans="1:16" s="114" customFormat="1" ht="15" x14ac:dyDescent="0.25">
      <c r="A3448" s="118"/>
      <c r="B3448" s="117" t="s">
        <v>94</v>
      </c>
      <c r="C3448" s="128">
        <f>C3440+C3446</f>
        <v>-870564</v>
      </c>
      <c r="D3448" s="128">
        <f t="shared" ref="D3448:O3448" ca="1" si="750">D3440+D3446</f>
        <v>0</v>
      </c>
      <c r="E3448" s="128">
        <f t="shared" ca="1" si="750"/>
        <v>0</v>
      </c>
      <c r="F3448" s="128">
        <f t="shared" ca="1" si="750"/>
        <v>2435.42</v>
      </c>
      <c r="G3448" s="128">
        <f t="shared" ca="1" si="750"/>
        <v>-2435.42</v>
      </c>
      <c r="H3448" s="128">
        <f t="shared" ca="1" si="750"/>
        <v>0</v>
      </c>
      <c r="I3448" s="128">
        <f t="shared" ca="1" si="750"/>
        <v>609395.1</v>
      </c>
      <c r="J3448" s="128">
        <f t="shared" si="750"/>
        <v>-261169</v>
      </c>
      <c r="K3448" s="128">
        <f t="shared" si="750"/>
        <v>-272921.60499999998</v>
      </c>
      <c r="L3448" s="128">
        <f t="shared" si="750"/>
        <v>-285475.99883</v>
      </c>
      <c r="M3448" s="128">
        <f t="shared" si="750"/>
        <v>-298607.89477617998</v>
      </c>
      <c r="N3448" s="128">
        <f t="shared" si="750"/>
        <v>0</v>
      </c>
      <c r="O3448" s="128">
        <f t="shared" si="750"/>
        <v>-298607.89477617998</v>
      </c>
      <c r="P3448" s="123" t="str">
        <f t="shared" si="740"/>
        <v/>
      </c>
    </row>
    <row r="3449" spans="1:16" s="114" customFormat="1" ht="15" x14ac:dyDescent="0.25">
      <c r="A3449" s="118"/>
      <c r="B3449" s="117"/>
      <c r="C3449" s="128"/>
      <c r="D3449" s="128"/>
      <c r="E3449" s="128"/>
      <c r="F3449" s="128"/>
      <c r="G3449" s="128"/>
      <c r="H3449" s="128"/>
      <c r="I3449" s="129">
        <f>Technical!J516</f>
        <v>0</v>
      </c>
      <c r="J3449" s="129"/>
      <c r="K3449" s="129"/>
      <c r="L3449" s="129"/>
      <c r="M3449" s="186"/>
      <c r="N3449" s="186"/>
      <c r="O3449" s="128"/>
      <c r="P3449" s="123" t="str">
        <f t="shared" si="740"/>
        <v/>
      </c>
    </row>
    <row r="3450" spans="1:16" s="114" customFormat="1" ht="15" x14ac:dyDescent="0.25">
      <c r="A3450" s="118"/>
      <c r="B3450" s="117" t="s">
        <v>95</v>
      </c>
      <c r="C3450" s="128">
        <f>C3448</f>
        <v>-870564</v>
      </c>
      <c r="D3450" s="128">
        <f t="shared" ref="D3450:O3450" ca="1" si="751">D3448</f>
        <v>0</v>
      </c>
      <c r="E3450" s="128">
        <f t="shared" ca="1" si="751"/>
        <v>0</v>
      </c>
      <c r="F3450" s="128">
        <f t="shared" ca="1" si="751"/>
        <v>2435.42</v>
      </c>
      <c r="G3450" s="128">
        <f t="shared" ca="1" si="751"/>
        <v>-2435.42</v>
      </c>
      <c r="H3450" s="128">
        <f t="shared" ca="1" si="751"/>
        <v>0</v>
      </c>
      <c r="I3450" s="128">
        <f t="shared" ca="1" si="751"/>
        <v>609395.1</v>
      </c>
      <c r="J3450" s="128">
        <f t="shared" si="751"/>
        <v>-261169</v>
      </c>
      <c r="K3450" s="128">
        <f t="shared" si="751"/>
        <v>-272921.60499999998</v>
      </c>
      <c r="L3450" s="128">
        <f t="shared" si="751"/>
        <v>-285475.99883</v>
      </c>
      <c r="M3450" s="128">
        <f t="shared" si="751"/>
        <v>-298607.89477617998</v>
      </c>
      <c r="N3450" s="128">
        <f t="shared" si="751"/>
        <v>0</v>
      </c>
      <c r="O3450" s="128">
        <f t="shared" si="751"/>
        <v>-298607.89477617998</v>
      </c>
      <c r="P3450" s="123" t="str">
        <f t="shared" si="740"/>
        <v/>
      </c>
    </row>
    <row r="3451" spans="1:16" s="114" customFormat="1" ht="15" x14ac:dyDescent="0.25">
      <c r="A3451" s="118"/>
      <c r="B3451" s="117"/>
      <c r="C3451" s="128"/>
      <c r="D3451" s="128"/>
      <c r="E3451" s="128"/>
      <c r="F3451" s="128"/>
      <c r="G3451" s="128"/>
      <c r="H3451" s="128"/>
      <c r="I3451" s="129">
        <f>Technical!J518</f>
        <v>0</v>
      </c>
      <c r="J3451" s="129"/>
      <c r="K3451" s="129"/>
      <c r="L3451" s="129"/>
      <c r="M3451" s="186"/>
      <c r="N3451" s="186"/>
      <c r="O3451" s="128"/>
      <c r="P3451" s="123" t="str">
        <f t="shared" si="740"/>
        <v/>
      </c>
    </row>
    <row r="3452" spans="1:16" s="114" customFormat="1" ht="15" x14ac:dyDescent="0.25">
      <c r="A3452" s="118"/>
      <c r="B3452" s="117" t="s">
        <v>96</v>
      </c>
      <c r="C3452" s="128"/>
      <c r="D3452" s="128"/>
      <c r="E3452" s="128"/>
      <c r="F3452" s="128"/>
      <c r="G3452" s="128"/>
      <c r="H3452" s="128"/>
      <c r="I3452" s="129">
        <f>Technical!J519</f>
        <v>0</v>
      </c>
      <c r="J3452" s="129"/>
      <c r="K3452" s="129"/>
      <c r="L3452" s="129"/>
      <c r="M3452" s="186"/>
      <c r="N3452" s="186"/>
      <c r="O3452" s="128"/>
      <c r="P3452" s="123" t="str">
        <f t="shared" si="740"/>
        <v/>
      </c>
    </row>
    <row r="3453" spans="1:16" s="114" customFormat="1" ht="15" x14ac:dyDescent="0.25">
      <c r="A3453" s="118"/>
      <c r="B3453" s="117" t="s">
        <v>97</v>
      </c>
      <c r="C3453" s="128"/>
      <c r="D3453" s="128"/>
      <c r="E3453" s="128"/>
      <c r="F3453" s="128"/>
      <c r="G3453" s="128"/>
      <c r="H3453" s="128"/>
      <c r="I3453" s="129">
        <f>Technical!J520</f>
        <v>0</v>
      </c>
      <c r="J3453" s="129"/>
      <c r="K3453" s="129"/>
      <c r="L3453" s="129"/>
      <c r="M3453" s="186"/>
      <c r="N3453" s="186"/>
      <c r="O3453" s="128"/>
      <c r="P3453" s="123" t="str">
        <f t="shared" si="740"/>
        <v/>
      </c>
    </row>
    <row r="3454" spans="1:16" s="114" customFormat="1" ht="15" x14ac:dyDescent="0.25">
      <c r="A3454" s="118"/>
      <c r="B3454" s="117" t="s">
        <v>148</v>
      </c>
      <c r="C3454" s="128"/>
      <c r="D3454" s="128"/>
      <c r="E3454" s="128"/>
      <c r="F3454" s="128"/>
      <c r="G3454" s="128"/>
      <c r="H3454" s="128"/>
      <c r="I3454" s="129">
        <f>Technical!J521</f>
        <v>0</v>
      </c>
      <c r="J3454" s="129"/>
      <c r="K3454" s="129"/>
      <c r="L3454" s="129"/>
      <c r="M3454" s="186"/>
      <c r="N3454" s="186"/>
      <c r="O3454" s="128"/>
      <c r="P3454" s="123" t="str">
        <f t="shared" si="740"/>
        <v/>
      </c>
    </row>
    <row r="3455" spans="1:16" s="114" customFormat="1" ht="15" x14ac:dyDescent="0.25">
      <c r="A3455" s="118"/>
      <c r="B3455" s="117" t="s">
        <v>149</v>
      </c>
      <c r="C3455" s="128"/>
      <c r="D3455" s="128"/>
      <c r="E3455" s="128"/>
      <c r="F3455" s="128"/>
      <c r="G3455" s="128"/>
      <c r="H3455" s="128"/>
      <c r="I3455" s="129">
        <f>Technical!J522</f>
        <v>0</v>
      </c>
      <c r="J3455" s="129"/>
      <c r="K3455" s="129"/>
      <c r="L3455" s="129"/>
      <c r="M3455" s="186"/>
      <c r="N3455" s="186"/>
      <c r="O3455" s="128"/>
      <c r="P3455" s="123" t="str">
        <f t="shared" si="740"/>
        <v/>
      </c>
    </row>
    <row r="3456" spans="1:16" s="114" customFormat="1" ht="15" x14ac:dyDescent="0.25">
      <c r="A3456" s="118"/>
      <c r="B3456" s="117"/>
      <c r="C3456" s="128"/>
      <c r="D3456" s="128"/>
      <c r="E3456" s="128"/>
      <c r="F3456" s="128"/>
      <c r="G3456" s="128"/>
      <c r="H3456" s="128"/>
      <c r="I3456" s="129">
        <f>Technical!J523</f>
        <v>0</v>
      </c>
      <c r="J3456" s="129"/>
      <c r="K3456" s="129"/>
      <c r="L3456" s="129"/>
      <c r="M3456" s="186"/>
      <c r="N3456" s="186"/>
      <c r="O3456" s="128"/>
      <c r="P3456" s="123" t="str">
        <f t="shared" si="740"/>
        <v/>
      </c>
    </row>
    <row r="3457" spans="1:16" x14ac:dyDescent="0.2">
      <c r="A3457" s="119" t="s">
        <v>1306</v>
      </c>
      <c r="B3457" s="120" t="s">
        <v>150</v>
      </c>
      <c r="C3457" s="129">
        <f>Technical!D524</f>
        <v>1598343</v>
      </c>
      <c r="D3457" s="129">
        <v>137167.13</v>
      </c>
      <c r="E3457" s="129">
        <v>0</v>
      </c>
      <c r="F3457" s="129">
        <v>837617.87</v>
      </c>
      <c r="G3457" s="129">
        <v>760725.13</v>
      </c>
      <c r="H3457" s="129">
        <v>52.4</v>
      </c>
      <c r="I3457" s="129">
        <f>Technical!J524</f>
        <v>0</v>
      </c>
      <c r="J3457" s="129">
        <f>Technical!K524</f>
        <v>1598343</v>
      </c>
      <c r="K3457" s="129">
        <f>Technical!L524</f>
        <v>1698239.4375</v>
      </c>
      <c r="L3457" s="129">
        <f>Technical!M524</f>
        <v>1817116.1981250001</v>
      </c>
      <c r="O3457" s="129">
        <f>Technical!N524</f>
        <v>1944314.3319937501</v>
      </c>
      <c r="P3457" s="123" t="str">
        <f t="shared" si="740"/>
        <v>110</v>
      </c>
    </row>
    <row r="3458" spans="1:16" x14ac:dyDescent="0.2">
      <c r="A3458" s="119" t="s">
        <v>1307</v>
      </c>
      <c r="B3458" s="120" t="s">
        <v>151</v>
      </c>
      <c r="C3458" s="129">
        <f>Technical!D525</f>
        <v>72197</v>
      </c>
      <c r="D3458" s="129">
        <v>50802.54</v>
      </c>
      <c r="E3458" s="129">
        <v>0</v>
      </c>
      <c r="F3458" s="129">
        <v>95772.89</v>
      </c>
      <c r="G3458" s="129">
        <v>-23575.89</v>
      </c>
      <c r="H3458" s="129">
        <v>132.65</v>
      </c>
      <c r="I3458" s="129">
        <f>Technical!J525</f>
        <v>-21394.460000000006</v>
      </c>
      <c r="J3458" s="129">
        <f>Technical!K525</f>
        <v>50802.539999999994</v>
      </c>
      <c r="K3458" s="129">
        <f>Technical!L525</f>
        <v>53977.698749999996</v>
      </c>
      <c r="L3458" s="129">
        <f>Technical!M525</f>
        <v>57756.137662499998</v>
      </c>
      <c r="O3458" s="129">
        <f>Technical!N525</f>
        <v>61799.067298874994</v>
      </c>
      <c r="P3458" s="123" t="str">
        <f t="shared" si="740"/>
        <v>110</v>
      </c>
    </row>
    <row r="3459" spans="1:16" x14ac:dyDescent="0.2">
      <c r="A3459" s="119" t="s">
        <v>1308</v>
      </c>
      <c r="B3459" s="120" t="s">
        <v>155</v>
      </c>
      <c r="C3459" s="129">
        <f>Technical!D526</f>
        <v>51270</v>
      </c>
      <c r="D3459" s="129">
        <v>0</v>
      </c>
      <c r="E3459" s="129">
        <v>0</v>
      </c>
      <c r="F3459" s="129">
        <v>38182.620000000003</v>
      </c>
      <c r="G3459" s="129">
        <v>13087.38</v>
      </c>
      <c r="H3459" s="129">
        <v>74.47</v>
      </c>
      <c r="I3459" s="129">
        <f>Technical!J526</f>
        <v>0</v>
      </c>
      <c r="J3459" s="129">
        <f>Technical!K526</f>
        <v>51270</v>
      </c>
      <c r="K3459" s="129">
        <f>Technical!L526</f>
        <v>54474.375</v>
      </c>
      <c r="L3459" s="129">
        <f>Technical!M526</f>
        <v>58287.581250000003</v>
      </c>
      <c r="O3459" s="129">
        <f>Technical!N526</f>
        <v>62367.711937500004</v>
      </c>
      <c r="P3459" s="123" t="str">
        <f t="shared" si="740"/>
        <v>110</v>
      </c>
    </row>
    <row r="3460" spans="1:16" x14ac:dyDescent="0.2">
      <c r="A3460" s="119" t="s">
        <v>1309</v>
      </c>
      <c r="B3460" s="120" t="s">
        <v>157</v>
      </c>
      <c r="C3460" s="129">
        <f>Technical!D527</f>
        <v>75281</v>
      </c>
      <c r="D3460" s="129">
        <v>0</v>
      </c>
      <c r="E3460" s="129">
        <v>0</v>
      </c>
      <c r="F3460" s="129">
        <v>21828.84</v>
      </c>
      <c r="G3460" s="129">
        <v>53452.160000000003</v>
      </c>
      <c r="H3460" s="129">
        <v>28.99</v>
      </c>
      <c r="I3460" s="129">
        <f>Technical!J527</f>
        <v>-10000</v>
      </c>
      <c r="J3460" s="129">
        <f>Technical!K527</f>
        <v>65281</v>
      </c>
      <c r="K3460" s="129">
        <f>Technical!L527</f>
        <v>69361.0625</v>
      </c>
      <c r="L3460" s="129">
        <f>Technical!M527</f>
        <v>74216.336874999994</v>
      </c>
      <c r="O3460" s="129">
        <f>Technical!N527</f>
        <v>79411.480456249992</v>
      </c>
      <c r="P3460" s="123" t="str">
        <f t="shared" si="740"/>
        <v>110</v>
      </c>
    </row>
    <row r="3461" spans="1:16" x14ac:dyDescent="0.2">
      <c r="A3461" s="119" t="s">
        <v>1310</v>
      </c>
      <c r="B3461" s="120" t="s">
        <v>159</v>
      </c>
      <c r="C3461" s="129">
        <f>Technical!D528</f>
        <v>129955</v>
      </c>
      <c r="D3461" s="129">
        <v>0</v>
      </c>
      <c r="E3461" s="129">
        <v>0</v>
      </c>
      <c r="F3461" s="129">
        <v>0</v>
      </c>
      <c r="G3461" s="129">
        <v>129955</v>
      </c>
      <c r="H3461" s="129">
        <v>0</v>
      </c>
      <c r="I3461" s="129">
        <f>Technical!J528</f>
        <v>0</v>
      </c>
      <c r="J3461" s="129">
        <f>Technical!K528</f>
        <v>129955</v>
      </c>
      <c r="K3461" s="129">
        <f>Technical!L528</f>
        <v>138077.1875</v>
      </c>
      <c r="L3461" s="129">
        <f>Technical!M528</f>
        <v>147742.59062500001</v>
      </c>
      <c r="O3461" s="129">
        <f>Technical!N528</f>
        <v>158084.57196875001</v>
      </c>
      <c r="P3461" s="123" t="str">
        <f t="shared" si="740"/>
        <v>110</v>
      </c>
    </row>
    <row r="3462" spans="1:16" x14ac:dyDescent="0.2">
      <c r="A3462" s="119" t="s">
        <v>1311</v>
      </c>
      <c r="B3462" s="120" t="s">
        <v>161</v>
      </c>
      <c r="C3462" s="129">
        <f>Technical!D529</f>
        <v>22568</v>
      </c>
      <c r="D3462" s="129">
        <v>0</v>
      </c>
      <c r="E3462" s="129">
        <v>0</v>
      </c>
      <c r="F3462" s="129">
        <v>21091.29</v>
      </c>
      <c r="G3462" s="129">
        <v>1476.71</v>
      </c>
      <c r="H3462" s="129">
        <v>93.45</v>
      </c>
      <c r="I3462" s="129">
        <f>Technical!J529</f>
        <v>0</v>
      </c>
      <c r="J3462" s="129">
        <f>Technical!K529</f>
        <v>22568</v>
      </c>
      <c r="K3462" s="129">
        <f>Technical!L529</f>
        <v>23978.5</v>
      </c>
      <c r="L3462" s="129">
        <f>Technical!M529</f>
        <v>25656.994999999999</v>
      </c>
      <c r="O3462" s="129">
        <f>Technical!N529</f>
        <v>27452.984649999999</v>
      </c>
      <c r="P3462" s="123" t="str">
        <f t="shared" si="740"/>
        <v>110</v>
      </c>
    </row>
    <row r="3463" spans="1:16" x14ac:dyDescent="0.2">
      <c r="A3463" s="119" t="s">
        <v>1312</v>
      </c>
      <c r="B3463" s="120" t="s">
        <v>162</v>
      </c>
      <c r="C3463" s="129">
        <f>Technical!D530</f>
        <v>0</v>
      </c>
      <c r="D3463" s="129">
        <v>0</v>
      </c>
      <c r="E3463" s="129">
        <v>0</v>
      </c>
      <c r="F3463" s="129">
        <v>2735.59</v>
      </c>
      <c r="G3463" s="129">
        <v>-2735.59</v>
      </c>
      <c r="H3463" s="129">
        <v>0</v>
      </c>
      <c r="I3463" s="129">
        <f>Technical!J530</f>
        <v>10000</v>
      </c>
      <c r="J3463" s="129">
        <f>Technical!K530</f>
        <v>10000</v>
      </c>
      <c r="K3463" s="129">
        <f>Technical!L530</f>
        <v>10625</v>
      </c>
      <c r="L3463" s="129">
        <f>Technical!M530</f>
        <v>11368.75</v>
      </c>
      <c r="O3463" s="129">
        <f>Technical!N530</f>
        <v>12164.5625</v>
      </c>
      <c r="P3463" s="123" t="str">
        <f t="shared" ref="P3463:P3498" si="752">MID(A3463,6,3)</f>
        <v>110</v>
      </c>
    </row>
    <row r="3464" spans="1:16" x14ac:dyDescent="0.2">
      <c r="A3464" s="119"/>
      <c r="B3464" s="120"/>
      <c r="C3464" s="129"/>
      <c r="D3464" s="129"/>
      <c r="E3464" s="129"/>
      <c r="F3464" s="129"/>
      <c r="G3464" s="129"/>
      <c r="H3464" s="129"/>
      <c r="I3464" s="129">
        <f>Technical!J531</f>
        <v>0</v>
      </c>
      <c r="J3464" s="129"/>
      <c r="K3464" s="129"/>
      <c r="L3464" s="129"/>
      <c r="O3464" s="129"/>
      <c r="P3464" s="123" t="str">
        <f t="shared" si="752"/>
        <v/>
      </c>
    </row>
    <row r="3465" spans="1:16" s="114" customFormat="1" ht="15" x14ac:dyDescent="0.25">
      <c r="A3465" s="118"/>
      <c r="B3465" s="117" t="s">
        <v>165</v>
      </c>
      <c r="C3465" s="128">
        <f>SUM(C3457:C3464)</f>
        <v>1949614</v>
      </c>
      <c r="D3465" s="128">
        <f t="shared" ref="D3465:O3465" si="753">SUM(D3457:D3464)</f>
        <v>187969.67</v>
      </c>
      <c r="E3465" s="128">
        <f t="shared" si="753"/>
        <v>0</v>
      </c>
      <c r="F3465" s="128">
        <f t="shared" si="753"/>
        <v>1017229.1</v>
      </c>
      <c r="G3465" s="128">
        <f t="shared" si="753"/>
        <v>932384.9</v>
      </c>
      <c r="H3465" s="128">
        <f t="shared" si="753"/>
        <v>381.96</v>
      </c>
      <c r="I3465" s="128">
        <f t="shared" si="753"/>
        <v>-21394.460000000006</v>
      </c>
      <c r="J3465" s="128">
        <f t="shared" si="753"/>
        <v>1928219.54</v>
      </c>
      <c r="K3465" s="128">
        <f t="shared" si="753"/>
        <v>2048733.26125</v>
      </c>
      <c r="L3465" s="128">
        <f t="shared" si="753"/>
        <v>2192144.5895375004</v>
      </c>
      <c r="M3465" s="128">
        <f t="shared" si="753"/>
        <v>0</v>
      </c>
      <c r="N3465" s="128">
        <f t="shared" si="753"/>
        <v>0</v>
      </c>
      <c r="O3465" s="128">
        <f t="shared" si="753"/>
        <v>2345594.7108051251</v>
      </c>
      <c r="P3465" s="123" t="str">
        <f t="shared" si="752"/>
        <v/>
      </c>
    </row>
    <row r="3466" spans="1:16" s="114" customFormat="1" ht="15" x14ac:dyDescent="0.25">
      <c r="A3466" s="118"/>
      <c r="B3466" s="117"/>
      <c r="C3466" s="128"/>
      <c r="D3466" s="128"/>
      <c r="E3466" s="128"/>
      <c r="F3466" s="128"/>
      <c r="G3466" s="128"/>
      <c r="H3466" s="128"/>
      <c r="I3466" s="129">
        <f>Technical!J533</f>
        <v>0</v>
      </c>
      <c r="J3466" s="129"/>
      <c r="K3466" s="129"/>
      <c r="L3466" s="129"/>
      <c r="M3466" s="186"/>
      <c r="N3466" s="186"/>
      <c r="O3466" s="128"/>
      <c r="P3466" s="123" t="str">
        <f t="shared" si="752"/>
        <v/>
      </c>
    </row>
    <row r="3467" spans="1:16" s="114" customFormat="1" ht="15" x14ac:dyDescent="0.25">
      <c r="A3467" s="118"/>
      <c r="B3467" s="117" t="s">
        <v>166</v>
      </c>
      <c r="C3467" s="128"/>
      <c r="D3467" s="128"/>
      <c r="E3467" s="128"/>
      <c r="F3467" s="128"/>
      <c r="G3467" s="128"/>
      <c r="H3467" s="128"/>
      <c r="I3467" s="129">
        <f>Technical!J534</f>
        <v>0</v>
      </c>
      <c r="J3467" s="129"/>
      <c r="K3467" s="129"/>
      <c r="L3467" s="129"/>
      <c r="M3467" s="186"/>
      <c r="N3467" s="186"/>
      <c r="O3467" s="128"/>
      <c r="P3467" s="123" t="str">
        <f t="shared" si="752"/>
        <v/>
      </c>
    </row>
    <row r="3468" spans="1:16" x14ac:dyDescent="0.2">
      <c r="A3468" s="119"/>
      <c r="B3468" s="120"/>
      <c r="C3468" s="129"/>
      <c r="D3468" s="129"/>
      <c r="E3468" s="129"/>
      <c r="F3468" s="129"/>
      <c r="G3468" s="129"/>
      <c r="H3468" s="129"/>
      <c r="I3468" s="129">
        <f>Technical!J535</f>
        <v>0</v>
      </c>
      <c r="J3468" s="129"/>
      <c r="K3468" s="129"/>
      <c r="L3468" s="129"/>
      <c r="O3468" s="129"/>
      <c r="P3468" s="123" t="str">
        <f t="shared" si="752"/>
        <v/>
      </c>
    </row>
    <row r="3469" spans="1:16" x14ac:dyDescent="0.2">
      <c r="A3469" s="119" t="s">
        <v>1313</v>
      </c>
      <c r="B3469" s="120" t="s">
        <v>167</v>
      </c>
      <c r="C3469" s="129">
        <v>674</v>
      </c>
      <c r="D3469" s="129">
        <v>65.239999999999995</v>
      </c>
      <c r="E3469" s="129">
        <v>0</v>
      </c>
      <c r="F3469" s="129">
        <v>400.76</v>
      </c>
      <c r="G3469" s="129">
        <v>273.24</v>
      </c>
      <c r="H3469" s="129">
        <v>59.45</v>
      </c>
      <c r="I3469" s="129">
        <f>Technical!J536</f>
        <v>0</v>
      </c>
      <c r="J3469" s="129">
        <f>Technical!K536</f>
        <v>674</v>
      </c>
      <c r="K3469" s="129">
        <f>Technical!L536</f>
        <v>716.125</v>
      </c>
      <c r="L3469" s="129">
        <f>Technical!M536</f>
        <v>766.25374999999997</v>
      </c>
      <c r="O3469" s="129">
        <f>Technical!N536</f>
        <v>819.89151249999998</v>
      </c>
      <c r="P3469" s="123" t="str">
        <f t="shared" si="752"/>
        <v>130</v>
      </c>
    </row>
    <row r="3470" spans="1:16" x14ac:dyDescent="0.2">
      <c r="A3470" s="119" t="s">
        <v>1314</v>
      </c>
      <c r="B3470" s="120" t="s">
        <v>168</v>
      </c>
      <c r="C3470" s="129">
        <v>67191</v>
      </c>
      <c r="D3470" s="129">
        <v>6771</v>
      </c>
      <c r="E3470" s="129">
        <v>0</v>
      </c>
      <c r="F3470" s="129">
        <v>40626</v>
      </c>
      <c r="G3470" s="129">
        <v>26565</v>
      </c>
      <c r="H3470" s="129">
        <v>60.46</v>
      </c>
      <c r="I3470" s="129">
        <f>Technical!J537</f>
        <v>0</v>
      </c>
      <c r="J3470" s="129">
        <f>Technical!K537</f>
        <v>67191</v>
      </c>
      <c r="K3470" s="129">
        <f>Technical!L537</f>
        <v>71390.4375</v>
      </c>
      <c r="L3470" s="129">
        <f>Technical!M537</f>
        <v>76387.768125000002</v>
      </c>
      <c r="O3470" s="129">
        <f>Technical!N537</f>
        <v>81734.911893750002</v>
      </c>
      <c r="P3470" s="123" t="str">
        <f t="shared" si="752"/>
        <v>130</v>
      </c>
    </row>
    <row r="3471" spans="1:16" x14ac:dyDescent="0.2">
      <c r="A3471" s="119" t="s">
        <v>1315</v>
      </c>
      <c r="B3471" s="120" t="s">
        <v>169</v>
      </c>
      <c r="C3471" s="129">
        <v>343082</v>
      </c>
      <c r="D3471" s="129">
        <v>28916.33</v>
      </c>
      <c r="E3471" s="129">
        <v>0</v>
      </c>
      <c r="F3471" s="129">
        <v>173016.2</v>
      </c>
      <c r="G3471" s="129">
        <v>170065.8</v>
      </c>
      <c r="H3471" s="129">
        <v>50.42</v>
      </c>
      <c r="I3471" s="129">
        <f>Technical!J538</f>
        <v>0</v>
      </c>
      <c r="J3471" s="129">
        <f>Technical!K538</f>
        <v>343082</v>
      </c>
      <c r="K3471" s="129">
        <f>Technical!L538</f>
        <v>364524.625</v>
      </c>
      <c r="L3471" s="129">
        <f>Technical!M538</f>
        <v>390041.34875</v>
      </c>
      <c r="O3471" s="129">
        <f>Technical!N538</f>
        <v>417344.24316250003</v>
      </c>
      <c r="P3471" s="123" t="str">
        <f t="shared" si="752"/>
        <v>130</v>
      </c>
    </row>
    <row r="3472" spans="1:16" x14ac:dyDescent="0.2">
      <c r="A3472" s="119" t="s">
        <v>1316</v>
      </c>
      <c r="B3472" s="120" t="s">
        <v>170</v>
      </c>
      <c r="C3472" s="129">
        <v>12495</v>
      </c>
      <c r="D3472" s="129">
        <v>1125.71</v>
      </c>
      <c r="E3472" s="129">
        <v>0</v>
      </c>
      <c r="F3472" s="129">
        <v>6628.35</v>
      </c>
      <c r="G3472" s="129">
        <v>5866.65</v>
      </c>
      <c r="H3472" s="129">
        <v>53.04</v>
      </c>
      <c r="I3472" s="129">
        <f>Technical!J539</f>
        <v>0</v>
      </c>
      <c r="J3472" s="129">
        <f>Technical!K539</f>
        <v>12495</v>
      </c>
      <c r="K3472" s="129">
        <f>Technical!L539</f>
        <v>13275.9375</v>
      </c>
      <c r="L3472" s="129">
        <f>Technical!M539</f>
        <v>14205.253124999999</v>
      </c>
      <c r="O3472" s="129">
        <f>Technical!N539</f>
        <v>15199.620843749999</v>
      </c>
      <c r="P3472" s="123" t="str">
        <f t="shared" si="752"/>
        <v>130</v>
      </c>
    </row>
    <row r="3473" spans="1:16" x14ac:dyDescent="0.2">
      <c r="A3473" s="119"/>
      <c r="B3473" s="120"/>
      <c r="C3473" s="129"/>
      <c r="D3473" s="129"/>
      <c r="E3473" s="129"/>
      <c r="F3473" s="129"/>
      <c r="G3473" s="129"/>
      <c r="H3473" s="129"/>
      <c r="I3473" s="129">
        <f>Technical!J540</f>
        <v>0</v>
      </c>
      <c r="J3473" s="129"/>
      <c r="K3473" s="129"/>
      <c r="L3473" s="129"/>
      <c r="O3473" s="129"/>
      <c r="P3473" s="123" t="str">
        <f t="shared" si="752"/>
        <v/>
      </c>
    </row>
    <row r="3474" spans="1:16" s="114" customFormat="1" ht="15" x14ac:dyDescent="0.25">
      <c r="A3474" s="118"/>
      <c r="B3474" s="117" t="s">
        <v>171</v>
      </c>
      <c r="C3474" s="128">
        <f>SUM(C3469:C3473)</f>
        <v>423442</v>
      </c>
      <c r="D3474" s="128">
        <f t="shared" ref="D3474:O3474" si="754">SUM(D3469:D3473)</f>
        <v>36878.28</v>
      </c>
      <c r="E3474" s="128">
        <f t="shared" si="754"/>
        <v>0</v>
      </c>
      <c r="F3474" s="128">
        <f t="shared" si="754"/>
        <v>220671.31000000003</v>
      </c>
      <c r="G3474" s="128">
        <f t="shared" si="754"/>
        <v>202770.68999999997</v>
      </c>
      <c r="H3474" s="128">
        <f t="shared" si="754"/>
        <v>223.36999999999998</v>
      </c>
      <c r="I3474" s="128">
        <f t="shared" si="754"/>
        <v>0</v>
      </c>
      <c r="J3474" s="128">
        <f t="shared" si="754"/>
        <v>423442</v>
      </c>
      <c r="K3474" s="128">
        <f t="shared" si="754"/>
        <v>449907.125</v>
      </c>
      <c r="L3474" s="128">
        <f t="shared" si="754"/>
        <v>481400.62374999997</v>
      </c>
      <c r="M3474" s="128">
        <f t="shared" si="754"/>
        <v>0</v>
      </c>
      <c r="N3474" s="128">
        <f t="shared" si="754"/>
        <v>0</v>
      </c>
      <c r="O3474" s="128">
        <f t="shared" si="754"/>
        <v>515098.66741250007</v>
      </c>
      <c r="P3474" s="123" t="str">
        <f t="shared" si="752"/>
        <v/>
      </c>
    </row>
    <row r="3475" spans="1:16" s="114" customFormat="1" ht="15" x14ac:dyDescent="0.25">
      <c r="A3475" s="118"/>
      <c r="B3475" s="117"/>
      <c r="C3475" s="128"/>
      <c r="D3475" s="128"/>
      <c r="E3475" s="128"/>
      <c r="F3475" s="128"/>
      <c r="G3475" s="128"/>
      <c r="H3475" s="128"/>
      <c r="I3475" s="129">
        <f>Technical!J542</f>
        <v>0</v>
      </c>
      <c r="J3475" s="129"/>
      <c r="K3475" s="129"/>
      <c r="L3475" s="129"/>
      <c r="M3475" s="186"/>
      <c r="N3475" s="186"/>
      <c r="O3475" s="128"/>
      <c r="P3475" s="123" t="str">
        <f t="shared" si="752"/>
        <v/>
      </c>
    </row>
    <row r="3476" spans="1:16" s="114" customFormat="1" ht="15" x14ac:dyDescent="0.25">
      <c r="A3476" s="118"/>
      <c r="B3476" s="117" t="s">
        <v>172</v>
      </c>
      <c r="C3476" s="128"/>
      <c r="D3476" s="128"/>
      <c r="E3476" s="128"/>
      <c r="F3476" s="128"/>
      <c r="G3476" s="128"/>
      <c r="H3476" s="128"/>
      <c r="I3476" s="129">
        <f>Technical!J543</f>
        <v>0</v>
      </c>
      <c r="J3476" s="129"/>
      <c r="K3476" s="129"/>
      <c r="L3476" s="129"/>
      <c r="M3476" s="186"/>
      <c r="N3476" s="186"/>
      <c r="O3476" s="128"/>
      <c r="P3476" s="123" t="str">
        <f t="shared" si="752"/>
        <v/>
      </c>
    </row>
    <row r="3477" spans="1:16" x14ac:dyDescent="0.2">
      <c r="A3477" s="119"/>
      <c r="B3477" s="120"/>
      <c r="C3477" s="129"/>
      <c r="D3477" s="129"/>
      <c r="E3477" s="129"/>
      <c r="F3477" s="129"/>
      <c r="G3477" s="129"/>
      <c r="H3477" s="129"/>
      <c r="I3477" s="129">
        <f>Technical!J544</f>
        <v>0</v>
      </c>
      <c r="J3477" s="129"/>
      <c r="K3477" s="129"/>
      <c r="L3477" s="129"/>
      <c r="O3477" s="129"/>
      <c r="P3477" s="123" t="str">
        <f t="shared" si="752"/>
        <v/>
      </c>
    </row>
    <row r="3478" spans="1:16" x14ac:dyDescent="0.2">
      <c r="A3478" s="119" t="s">
        <v>1317</v>
      </c>
      <c r="B3478" s="120" t="s">
        <v>173</v>
      </c>
      <c r="C3478" s="129">
        <v>30119</v>
      </c>
      <c r="D3478" s="129">
        <v>0</v>
      </c>
      <c r="E3478" s="129">
        <v>0</v>
      </c>
      <c r="F3478" s="129">
        <v>0</v>
      </c>
      <c r="G3478" s="129">
        <v>30119</v>
      </c>
      <c r="H3478" s="129">
        <v>0</v>
      </c>
      <c r="I3478" s="129">
        <f>Technical!J545</f>
        <v>0</v>
      </c>
      <c r="J3478" s="129">
        <f>Technical!K545</f>
        <v>30119</v>
      </c>
      <c r="K3478" s="129">
        <f>Technical!L545</f>
        <v>32001.4375</v>
      </c>
      <c r="L3478" s="129">
        <f>Technical!M545</f>
        <v>34241.538124999999</v>
      </c>
      <c r="O3478" s="129">
        <f>Technical!N545</f>
        <v>36638.445793749997</v>
      </c>
      <c r="P3478" s="123" t="str">
        <f t="shared" si="752"/>
        <v>140</v>
      </c>
    </row>
    <row r="3479" spans="1:16" x14ac:dyDescent="0.2">
      <c r="A3479" s="119" t="s">
        <v>1318</v>
      </c>
      <c r="B3479" s="120" t="s">
        <v>174</v>
      </c>
      <c r="C3479" s="129">
        <v>42336</v>
      </c>
      <c r="D3479" s="129">
        <v>0</v>
      </c>
      <c r="E3479" s="129">
        <v>0</v>
      </c>
      <c r="F3479" s="129">
        <v>0</v>
      </c>
      <c r="G3479" s="129">
        <v>42336</v>
      </c>
      <c r="H3479" s="129">
        <v>0</v>
      </c>
      <c r="I3479" s="129">
        <f>Technical!J546</f>
        <v>0</v>
      </c>
      <c r="J3479" s="129">
        <f>Technical!K546</f>
        <v>42336</v>
      </c>
      <c r="K3479" s="129">
        <f>Technical!L546</f>
        <v>44982</v>
      </c>
      <c r="L3479" s="129">
        <f>Technical!M546</f>
        <v>48130.74</v>
      </c>
      <c r="O3479" s="129">
        <f>Technical!N546</f>
        <v>51499.891799999998</v>
      </c>
      <c r="P3479" s="123" t="str">
        <f t="shared" si="752"/>
        <v>140</v>
      </c>
    </row>
    <row r="3480" spans="1:16" x14ac:dyDescent="0.2">
      <c r="A3480" s="119" t="s">
        <v>1319</v>
      </c>
      <c r="B3480" s="120" t="s">
        <v>175</v>
      </c>
      <c r="C3480" s="129">
        <v>28718</v>
      </c>
      <c r="D3480" s="129">
        <v>0</v>
      </c>
      <c r="E3480" s="129">
        <v>0</v>
      </c>
      <c r="F3480" s="129">
        <v>0</v>
      </c>
      <c r="G3480" s="129">
        <v>28718</v>
      </c>
      <c r="H3480" s="129">
        <v>0</v>
      </c>
      <c r="I3480" s="129">
        <f>Technical!J547</f>
        <v>0</v>
      </c>
      <c r="J3480" s="129">
        <f>Technical!K547</f>
        <v>28718</v>
      </c>
      <c r="K3480" s="129">
        <f>Technical!L547</f>
        <v>30512.875</v>
      </c>
      <c r="L3480" s="129">
        <f>Technical!M547</f>
        <v>32648.776249999999</v>
      </c>
      <c r="O3480" s="129">
        <f>Technical!N547</f>
        <v>34934.190587500001</v>
      </c>
      <c r="P3480" s="123" t="str">
        <f t="shared" si="752"/>
        <v>142</v>
      </c>
    </row>
    <row r="3481" spans="1:16" x14ac:dyDescent="0.2">
      <c r="A3481" s="119"/>
      <c r="B3481" s="120"/>
      <c r="C3481" s="129"/>
      <c r="D3481" s="129"/>
      <c r="E3481" s="129"/>
      <c r="F3481" s="129"/>
      <c r="G3481" s="129"/>
      <c r="H3481" s="129"/>
      <c r="I3481" s="129">
        <f>Technical!J548</f>
        <v>0</v>
      </c>
      <c r="J3481" s="129"/>
      <c r="K3481" s="129"/>
      <c r="L3481" s="129"/>
      <c r="O3481" s="129"/>
      <c r="P3481" s="123" t="str">
        <f t="shared" si="752"/>
        <v/>
      </c>
    </row>
    <row r="3482" spans="1:16" s="114" customFormat="1" ht="15" x14ac:dyDescent="0.25">
      <c r="A3482" s="118"/>
      <c r="B3482" s="117" t="s">
        <v>176</v>
      </c>
      <c r="C3482" s="128">
        <f>SUM(C3478:C3481)</f>
        <v>101173</v>
      </c>
      <c r="D3482" s="128">
        <f t="shared" ref="D3482:O3482" si="755">SUM(D3478:D3481)</f>
        <v>0</v>
      </c>
      <c r="E3482" s="128">
        <f t="shared" si="755"/>
        <v>0</v>
      </c>
      <c r="F3482" s="128">
        <f t="shared" si="755"/>
        <v>0</v>
      </c>
      <c r="G3482" s="128">
        <f t="shared" si="755"/>
        <v>101173</v>
      </c>
      <c r="H3482" s="128">
        <f t="shared" si="755"/>
        <v>0</v>
      </c>
      <c r="I3482" s="128">
        <f t="shared" si="755"/>
        <v>0</v>
      </c>
      <c r="J3482" s="128">
        <f t="shared" si="755"/>
        <v>101173</v>
      </c>
      <c r="K3482" s="128">
        <f t="shared" si="755"/>
        <v>107496.3125</v>
      </c>
      <c r="L3482" s="128">
        <f t="shared" si="755"/>
        <v>115021.05437499999</v>
      </c>
      <c r="M3482" s="128">
        <f t="shared" si="755"/>
        <v>0</v>
      </c>
      <c r="N3482" s="128">
        <f t="shared" si="755"/>
        <v>0</v>
      </c>
      <c r="O3482" s="128">
        <f t="shared" si="755"/>
        <v>123072.52818125</v>
      </c>
      <c r="P3482" s="123" t="str">
        <f t="shared" si="752"/>
        <v/>
      </c>
    </row>
    <row r="3483" spans="1:16" s="114" customFormat="1" ht="15" x14ac:dyDescent="0.25">
      <c r="A3483" s="118"/>
      <c r="B3483" s="117"/>
      <c r="C3483" s="128"/>
      <c r="D3483" s="128"/>
      <c r="E3483" s="128"/>
      <c r="F3483" s="128"/>
      <c r="G3483" s="128"/>
      <c r="H3483" s="128"/>
      <c r="I3483" s="129">
        <f>Technical!J550</f>
        <v>0</v>
      </c>
      <c r="J3483" s="129"/>
      <c r="K3483" s="129"/>
      <c r="L3483" s="129"/>
      <c r="M3483" s="186"/>
      <c r="N3483" s="186"/>
      <c r="O3483" s="128"/>
      <c r="P3483" s="123" t="str">
        <f t="shared" si="752"/>
        <v/>
      </c>
    </row>
    <row r="3484" spans="1:16" s="114" customFormat="1" ht="15" x14ac:dyDescent="0.25">
      <c r="A3484" s="118"/>
      <c r="B3484" s="117" t="s">
        <v>177</v>
      </c>
      <c r="C3484" s="128">
        <f>C3465+C3474+C3482</f>
        <v>2474229</v>
      </c>
      <c r="D3484" s="128">
        <f t="shared" ref="D3484:O3484" si="756">D3465+D3474+D3482</f>
        <v>224847.95</v>
      </c>
      <c r="E3484" s="128">
        <f t="shared" si="756"/>
        <v>0</v>
      </c>
      <c r="F3484" s="128">
        <f t="shared" si="756"/>
        <v>1237900.4099999999</v>
      </c>
      <c r="G3484" s="128">
        <f t="shared" si="756"/>
        <v>1236328.5900000001</v>
      </c>
      <c r="H3484" s="128">
        <f t="shared" si="756"/>
        <v>605.32999999999993</v>
      </c>
      <c r="I3484" s="128">
        <f t="shared" si="756"/>
        <v>-21394.460000000006</v>
      </c>
      <c r="J3484" s="128">
        <f t="shared" si="756"/>
        <v>2452834.54</v>
      </c>
      <c r="K3484" s="128">
        <f t="shared" si="756"/>
        <v>2606136.69875</v>
      </c>
      <c r="L3484" s="128">
        <f t="shared" si="756"/>
        <v>2788566.2676625</v>
      </c>
      <c r="M3484" s="128">
        <f t="shared" si="756"/>
        <v>0</v>
      </c>
      <c r="N3484" s="128">
        <f t="shared" si="756"/>
        <v>0</v>
      </c>
      <c r="O3484" s="128">
        <f t="shared" si="756"/>
        <v>2983765.9063988752</v>
      </c>
      <c r="P3484" s="123" t="str">
        <f t="shared" si="752"/>
        <v/>
      </c>
    </row>
    <row r="3485" spans="1:16" s="114" customFormat="1" ht="15" x14ac:dyDescent="0.25">
      <c r="A3485" s="118"/>
      <c r="B3485" s="117"/>
      <c r="C3485" s="128"/>
      <c r="D3485" s="128"/>
      <c r="E3485" s="128"/>
      <c r="F3485" s="128"/>
      <c r="G3485" s="128"/>
      <c r="H3485" s="128"/>
      <c r="I3485" s="129">
        <f>Technical!J552</f>
        <v>0</v>
      </c>
      <c r="J3485" s="129"/>
      <c r="K3485" s="129"/>
      <c r="L3485" s="129"/>
      <c r="M3485" s="186"/>
      <c r="N3485" s="186"/>
      <c r="O3485" s="128"/>
      <c r="P3485" s="123" t="str">
        <f t="shared" si="752"/>
        <v/>
      </c>
    </row>
    <row r="3486" spans="1:16" s="114" customFormat="1" ht="15" x14ac:dyDescent="0.25">
      <c r="A3486" s="118"/>
      <c r="B3486" s="117" t="s">
        <v>178</v>
      </c>
      <c r="C3486" s="128">
        <f>C3484</f>
        <v>2474229</v>
      </c>
      <c r="D3486" s="128">
        <f t="shared" ref="D3486:O3486" si="757">D3484</f>
        <v>224847.95</v>
      </c>
      <c r="E3486" s="128">
        <f t="shared" si="757"/>
        <v>0</v>
      </c>
      <c r="F3486" s="128">
        <f t="shared" si="757"/>
        <v>1237900.4099999999</v>
      </c>
      <c r="G3486" s="128">
        <f t="shared" si="757"/>
        <v>1236328.5900000001</v>
      </c>
      <c r="H3486" s="128">
        <f t="shared" si="757"/>
        <v>605.32999999999993</v>
      </c>
      <c r="I3486" s="128">
        <f t="shared" si="757"/>
        <v>-21394.460000000006</v>
      </c>
      <c r="J3486" s="128">
        <f t="shared" si="757"/>
        <v>2452834.54</v>
      </c>
      <c r="K3486" s="128">
        <f t="shared" si="757"/>
        <v>2606136.69875</v>
      </c>
      <c r="L3486" s="128">
        <f t="shared" si="757"/>
        <v>2788566.2676625</v>
      </c>
      <c r="M3486" s="128">
        <f t="shared" si="757"/>
        <v>0</v>
      </c>
      <c r="N3486" s="128">
        <f t="shared" si="757"/>
        <v>0</v>
      </c>
      <c r="O3486" s="128">
        <f t="shared" si="757"/>
        <v>2983765.9063988752</v>
      </c>
      <c r="P3486" s="123" t="str">
        <f t="shared" si="752"/>
        <v/>
      </c>
    </row>
    <row r="3487" spans="1:16" x14ac:dyDescent="0.2">
      <c r="A3487" s="119"/>
      <c r="B3487" s="120"/>
      <c r="C3487" s="129"/>
      <c r="D3487" s="129"/>
      <c r="E3487" s="129"/>
      <c r="F3487" s="129"/>
      <c r="G3487" s="129"/>
      <c r="H3487" s="129"/>
      <c r="I3487" s="129">
        <f>Technical!J554</f>
        <v>0</v>
      </c>
      <c r="J3487" s="129"/>
      <c r="K3487" s="129"/>
      <c r="L3487" s="129"/>
      <c r="O3487" s="129"/>
      <c r="P3487" s="123" t="str">
        <f t="shared" si="752"/>
        <v/>
      </c>
    </row>
    <row r="3488" spans="1:16" s="114" customFormat="1" ht="15" x14ac:dyDescent="0.25">
      <c r="A3488" s="118"/>
      <c r="B3488" s="117" t="s">
        <v>241</v>
      </c>
      <c r="C3488" s="128"/>
      <c r="D3488" s="128"/>
      <c r="E3488" s="128"/>
      <c r="F3488" s="128"/>
      <c r="G3488" s="128"/>
      <c r="H3488" s="128"/>
      <c r="I3488" s="129">
        <f>Technical!J555</f>
        <v>0</v>
      </c>
      <c r="J3488" s="129"/>
      <c r="K3488" s="129"/>
      <c r="L3488" s="129"/>
      <c r="M3488" s="186"/>
      <c r="N3488" s="186"/>
      <c r="O3488" s="128"/>
      <c r="P3488" s="123" t="str">
        <f t="shared" si="752"/>
        <v/>
      </c>
    </row>
    <row r="3489" spans="1:16" x14ac:dyDescent="0.2">
      <c r="A3489" s="119"/>
      <c r="B3489" s="120"/>
      <c r="C3489" s="129"/>
      <c r="D3489" s="129"/>
      <c r="E3489" s="129"/>
      <c r="F3489" s="129"/>
      <c r="G3489" s="129"/>
      <c r="H3489" s="129"/>
      <c r="I3489" s="129">
        <f>Technical!J556</f>
        <v>0</v>
      </c>
      <c r="J3489" s="129"/>
      <c r="K3489" s="129"/>
      <c r="L3489" s="129"/>
      <c r="O3489" s="129"/>
      <c r="P3489" s="123" t="str">
        <f t="shared" si="752"/>
        <v/>
      </c>
    </row>
    <row r="3490" spans="1:16" x14ac:dyDescent="0.2">
      <c r="A3490" s="119" t="s">
        <v>1320</v>
      </c>
      <c r="B3490" s="120" t="s">
        <v>265</v>
      </c>
      <c r="C3490" s="129">
        <f>Technical!D557</f>
        <v>50136</v>
      </c>
      <c r="D3490" s="129">
        <f>Technical!E557</f>
        <v>0</v>
      </c>
      <c r="E3490" s="129">
        <f>Technical!F557</f>
        <v>0</v>
      </c>
      <c r="F3490" s="129">
        <f>Technical!G557</f>
        <v>1217.71</v>
      </c>
      <c r="G3490" s="129">
        <f>Technical!H557</f>
        <v>-1217.71</v>
      </c>
      <c r="H3490" s="129">
        <f>Technical!I557</f>
        <v>0</v>
      </c>
      <c r="I3490" s="129">
        <f>Technical!J557</f>
        <v>0</v>
      </c>
      <c r="J3490" s="129">
        <f>Technical!K557</f>
        <v>50136</v>
      </c>
      <c r="K3490" s="129">
        <f>Technical!L557</f>
        <v>52392.12</v>
      </c>
      <c r="L3490" s="129">
        <f>Technical!M557</f>
        <v>54802.157520000001</v>
      </c>
      <c r="M3490" s="129">
        <f>Technical!N557</f>
        <v>57323.056765920002</v>
      </c>
      <c r="N3490" s="129">
        <f>Technical!O557</f>
        <v>0</v>
      </c>
      <c r="O3490" s="129">
        <f>Technical!N557</f>
        <v>57323.056765920002</v>
      </c>
      <c r="P3490" s="123" t="str">
        <f t="shared" si="752"/>
        <v>305</v>
      </c>
    </row>
    <row r="3491" spans="1:16" x14ac:dyDescent="0.2">
      <c r="A3491" s="119" t="s">
        <v>1321</v>
      </c>
      <c r="B3491" s="120" t="s">
        <v>268</v>
      </c>
      <c r="C3491" s="129">
        <f>Technical!D558</f>
        <v>11957</v>
      </c>
      <c r="D3491" s="129">
        <v>450</v>
      </c>
      <c r="E3491" s="129">
        <v>0</v>
      </c>
      <c r="F3491" s="129">
        <v>450</v>
      </c>
      <c r="G3491" s="129">
        <v>11507</v>
      </c>
      <c r="H3491" s="129">
        <v>3.76</v>
      </c>
      <c r="I3491" s="129">
        <f>Technical!J558</f>
        <v>-10000</v>
      </c>
      <c r="J3491" s="129">
        <f>Technical!K558</f>
        <v>1957</v>
      </c>
      <c r="K3491" s="129">
        <f>Technical!L558</f>
        <v>2045.0650000000001</v>
      </c>
      <c r="L3491" s="129">
        <f>Technical!M558</f>
        <v>2139.1379900000002</v>
      </c>
      <c r="O3491" s="129">
        <f>Technical!N558</f>
        <v>2237.5383375400002</v>
      </c>
      <c r="P3491" s="123" t="str">
        <f t="shared" si="752"/>
        <v>305</v>
      </c>
    </row>
    <row r="3492" spans="1:16" x14ac:dyDescent="0.2">
      <c r="A3492" s="119"/>
      <c r="B3492" s="120"/>
      <c r="C3492" s="129"/>
      <c r="D3492" s="129"/>
      <c r="E3492" s="129"/>
      <c r="F3492" s="129"/>
      <c r="G3492" s="129"/>
      <c r="H3492" s="129"/>
      <c r="I3492" s="129">
        <f>Technical!J559</f>
        <v>0</v>
      </c>
      <c r="J3492" s="129"/>
      <c r="K3492" s="129"/>
      <c r="L3492" s="129"/>
      <c r="O3492" s="129"/>
      <c r="P3492" s="123" t="str">
        <f t="shared" si="752"/>
        <v/>
      </c>
    </row>
    <row r="3493" spans="1:16" s="114" customFormat="1" ht="15" x14ac:dyDescent="0.25">
      <c r="A3493" s="118"/>
      <c r="B3493" s="117" t="s">
        <v>274</v>
      </c>
      <c r="C3493" s="128">
        <f>SUM(C3490:C3492)</f>
        <v>62093</v>
      </c>
      <c r="D3493" s="128">
        <f t="shared" ref="D3493:O3493" si="758">SUM(D3490:D3492)</f>
        <v>450</v>
      </c>
      <c r="E3493" s="128">
        <f t="shared" si="758"/>
        <v>0</v>
      </c>
      <c r="F3493" s="128">
        <f t="shared" si="758"/>
        <v>1667.71</v>
      </c>
      <c r="G3493" s="128">
        <f t="shared" si="758"/>
        <v>10289.290000000001</v>
      </c>
      <c r="H3493" s="128">
        <f t="shared" si="758"/>
        <v>3.76</v>
      </c>
      <c r="I3493" s="128">
        <f t="shared" si="758"/>
        <v>-10000</v>
      </c>
      <c r="J3493" s="128">
        <f t="shared" si="758"/>
        <v>52093</v>
      </c>
      <c r="K3493" s="128">
        <f t="shared" si="758"/>
        <v>54437.185000000005</v>
      </c>
      <c r="L3493" s="128">
        <f t="shared" si="758"/>
        <v>56941.295510000004</v>
      </c>
      <c r="M3493" s="128">
        <f t="shared" si="758"/>
        <v>57323.056765920002</v>
      </c>
      <c r="N3493" s="128">
        <f t="shared" si="758"/>
        <v>0</v>
      </c>
      <c r="O3493" s="128">
        <f t="shared" si="758"/>
        <v>59560.59510346</v>
      </c>
      <c r="P3493" s="123" t="str">
        <f t="shared" si="752"/>
        <v/>
      </c>
    </row>
    <row r="3494" spans="1:16" s="114" customFormat="1" ht="15" x14ac:dyDescent="0.25">
      <c r="A3494" s="118"/>
      <c r="B3494" s="117"/>
      <c r="C3494" s="128"/>
      <c r="D3494" s="128"/>
      <c r="E3494" s="128"/>
      <c r="F3494" s="128"/>
      <c r="G3494" s="128"/>
      <c r="H3494" s="128"/>
      <c r="I3494" s="129">
        <f>Technical!J561</f>
        <v>0</v>
      </c>
      <c r="J3494" s="129"/>
      <c r="K3494" s="129"/>
      <c r="L3494" s="129"/>
      <c r="M3494" s="186"/>
      <c r="N3494" s="186"/>
      <c r="O3494" s="128"/>
      <c r="P3494" s="123" t="str">
        <f t="shared" si="752"/>
        <v/>
      </c>
    </row>
    <row r="3495" spans="1:16" s="114" customFormat="1" ht="15" x14ac:dyDescent="0.25">
      <c r="A3495" s="118"/>
      <c r="B3495" s="117" t="s">
        <v>305</v>
      </c>
      <c r="C3495" s="128">
        <f>C3486+C3493</f>
        <v>2536322</v>
      </c>
      <c r="D3495" s="128">
        <f t="shared" ref="D3495:O3495" si="759">D3486+D3493</f>
        <v>225297.95</v>
      </c>
      <c r="E3495" s="128">
        <f t="shared" si="759"/>
        <v>0</v>
      </c>
      <c r="F3495" s="128">
        <f t="shared" si="759"/>
        <v>1239568.1199999999</v>
      </c>
      <c r="G3495" s="128">
        <f t="shared" si="759"/>
        <v>1246617.8800000001</v>
      </c>
      <c r="H3495" s="128">
        <f t="shared" si="759"/>
        <v>609.08999999999992</v>
      </c>
      <c r="I3495" s="128">
        <f t="shared" si="759"/>
        <v>-31394.460000000006</v>
      </c>
      <c r="J3495" s="128">
        <f t="shared" si="759"/>
        <v>2504927.54</v>
      </c>
      <c r="K3495" s="128">
        <f t="shared" si="759"/>
        <v>2660573.88375</v>
      </c>
      <c r="L3495" s="128">
        <f t="shared" si="759"/>
        <v>2845507.5631725001</v>
      </c>
      <c r="M3495" s="128">
        <f t="shared" si="759"/>
        <v>57323.056765920002</v>
      </c>
      <c r="N3495" s="128">
        <f t="shared" si="759"/>
        <v>0</v>
      </c>
      <c r="O3495" s="128">
        <f t="shared" si="759"/>
        <v>3043326.5015023351</v>
      </c>
      <c r="P3495" s="123" t="str">
        <f t="shared" si="752"/>
        <v/>
      </c>
    </row>
    <row r="3496" spans="1:16" s="114" customFormat="1" ht="15" x14ac:dyDescent="0.25">
      <c r="A3496" s="118"/>
      <c r="B3496" s="117"/>
      <c r="C3496" s="128"/>
      <c r="D3496" s="128"/>
      <c r="E3496" s="128"/>
      <c r="F3496" s="128"/>
      <c r="G3496" s="128"/>
      <c r="H3496" s="128"/>
      <c r="I3496" s="129">
        <f>Technical!J563</f>
        <v>0</v>
      </c>
      <c r="J3496" s="129"/>
      <c r="K3496" s="129"/>
      <c r="L3496" s="129"/>
      <c r="M3496" s="186"/>
      <c r="N3496" s="186"/>
      <c r="O3496" s="128"/>
      <c r="P3496" s="123" t="str">
        <f t="shared" si="752"/>
        <v/>
      </c>
    </row>
    <row r="3497" spans="1:16" s="114" customFormat="1" ht="15" x14ac:dyDescent="0.25">
      <c r="A3497" s="118"/>
      <c r="B3497" s="117" t="s">
        <v>306</v>
      </c>
      <c r="C3497" s="128">
        <f>C3450+C3495</f>
        <v>1665758</v>
      </c>
      <c r="D3497" s="128">
        <f t="shared" ref="D3497:O3497" ca="1" si="760">D3450+D3495</f>
        <v>225297.95</v>
      </c>
      <c r="E3497" s="128">
        <f t="shared" ca="1" si="760"/>
        <v>0</v>
      </c>
      <c r="F3497" s="128">
        <f t="shared" ca="1" si="760"/>
        <v>1242003.5399999998</v>
      </c>
      <c r="G3497" s="128">
        <f t="shared" ca="1" si="760"/>
        <v>1244182.4600000002</v>
      </c>
      <c r="H3497" s="128">
        <f t="shared" ca="1" si="760"/>
        <v>609.08999999999992</v>
      </c>
      <c r="I3497" s="128">
        <f t="shared" ca="1" si="760"/>
        <v>578000.64000000001</v>
      </c>
      <c r="J3497" s="128">
        <f t="shared" si="760"/>
        <v>2243758.54</v>
      </c>
      <c r="K3497" s="128">
        <f t="shared" si="760"/>
        <v>2387652.2787500001</v>
      </c>
      <c r="L3497" s="128">
        <f t="shared" si="760"/>
        <v>2560031.5643425002</v>
      </c>
      <c r="M3497" s="128">
        <f t="shared" si="760"/>
        <v>-241284.83801025996</v>
      </c>
      <c r="N3497" s="128">
        <f t="shared" si="760"/>
        <v>0</v>
      </c>
      <c r="O3497" s="128">
        <f t="shared" si="760"/>
        <v>2744718.6067261552</v>
      </c>
      <c r="P3497" s="123" t="str">
        <f t="shared" si="752"/>
        <v/>
      </c>
    </row>
    <row r="3498" spans="1:16" s="114" customFormat="1" ht="15" x14ac:dyDescent="0.25">
      <c r="A3498" s="118"/>
      <c r="B3498" s="117"/>
      <c r="C3498" s="128"/>
      <c r="D3498" s="128"/>
      <c r="E3498" s="128"/>
      <c r="F3498" s="128"/>
      <c r="G3498" s="128"/>
      <c r="H3498" s="128"/>
      <c r="I3498" s="128"/>
      <c r="J3498" s="128"/>
      <c r="K3498" s="128"/>
      <c r="L3498" s="128"/>
      <c r="M3498" s="186"/>
      <c r="N3498" s="186"/>
      <c r="O3498" s="128"/>
      <c r="P3498" s="123" t="str">
        <f t="shared" si="752"/>
        <v/>
      </c>
    </row>
    <row r="28324" spans="3:3" x14ac:dyDescent="0.2">
      <c r="C28324" s="187">
        <f>SUM(C503:C2529)</f>
        <v>-436380338</v>
      </c>
    </row>
    <row r="28325" spans="3:3" x14ac:dyDescent="0.2">
      <c r="C28325" s="187">
        <f>SUBTOTAL(9,C3497:C28324)</f>
        <v>-434714580</v>
      </c>
    </row>
  </sheetData>
  <autoFilter ref="A1:AA28323"/>
  <pageMargins left="0.7" right="0.7" top="0.75" bottom="0.75" header="0.3" footer="0.3"/>
  <pageSetup paperSize="9" scale="75" orientation="landscape" horizontalDpi="4294967293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topLeftCell="E1" workbookViewId="0">
      <selection activeCell="K16" sqref="K16"/>
    </sheetView>
  </sheetViews>
  <sheetFormatPr defaultRowHeight="14.25" x14ac:dyDescent="0.2"/>
  <cols>
    <col min="1" max="1" width="45" style="1" customWidth="1"/>
    <col min="2" max="2" width="13.85546875" style="233" customWidth="1"/>
    <col min="3" max="3" width="14.28515625" style="233" customWidth="1"/>
    <col min="4" max="4" width="14.42578125" style="233" customWidth="1"/>
    <col min="5" max="5" width="14.85546875" style="233" customWidth="1"/>
    <col min="6" max="6" width="16.5703125" style="233" customWidth="1"/>
    <col min="7" max="8" width="18.5703125" style="233" customWidth="1"/>
    <col min="9" max="11" width="15.5703125" style="37" customWidth="1"/>
    <col min="12" max="12" width="22" style="1" customWidth="1"/>
    <col min="13" max="13" width="14.28515625" style="1" customWidth="1"/>
    <col min="14" max="14" width="15.7109375" style="1" customWidth="1"/>
    <col min="15" max="15" width="15.42578125" style="1" customWidth="1"/>
    <col min="16" max="17" width="11.28515625" style="1" bestFit="1" customWidth="1"/>
    <col min="18" max="258" width="9.140625" style="1"/>
    <col min="259" max="259" width="45" style="1" customWidth="1"/>
    <col min="260" max="260" width="18.5703125" style="1" customWidth="1"/>
    <col min="261" max="261" width="10" style="1" customWidth="1"/>
    <col min="262" max="262" width="16.42578125" style="1" customWidth="1"/>
    <col min="263" max="263" width="9.140625" style="1"/>
    <col min="264" max="264" width="17.140625" style="1" customWidth="1"/>
    <col min="265" max="265" width="8.7109375" style="1" customWidth="1"/>
    <col min="266" max="266" width="15.42578125" style="1" customWidth="1"/>
    <col min="267" max="267" width="8.85546875" style="1" customWidth="1"/>
    <col min="268" max="514" width="9.140625" style="1"/>
    <col min="515" max="515" width="45" style="1" customWidth="1"/>
    <col min="516" max="516" width="18.5703125" style="1" customWidth="1"/>
    <col min="517" max="517" width="10" style="1" customWidth="1"/>
    <col min="518" max="518" width="16.42578125" style="1" customWidth="1"/>
    <col min="519" max="519" width="9.140625" style="1"/>
    <col min="520" max="520" width="17.140625" style="1" customWidth="1"/>
    <col min="521" max="521" width="8.7109375" style="1" customWidth="1"/>
    <col min="522" max="522" width="15.42578125" style="1" customWidth="1"/>
    <col min="523" max="523" width="8.85546875" style="1" customWidth="1"/>
    <col min="524" max="770" width="9.140625" style="1"/>
    <col min="771" max="771" width="45" style="1" customWidth="1"/>
    <col min="772" max="772" width="18.5703125" style="1" customWidth="1"/>
    <col min="773" max="773" width="10" style="1" customWidth="1"/>
    <col min="774" max="774" width="16.42578125" style="1" customWidth="1"/>
    <col min="775" max="775" width="9.140625" style="1"/>
    <col min="776" max="776" width="17.140625" style="1" customWidth="1"/>
    <col min="777" max="777" width="8.7109375" style="1" customWidth="1"/>
    <col min="778" max="778" width="15.42578125" style="1" customWidth="1"/>
    <col min="779" max="779" width="8.85546875" style="1" customWidth="1"/>
    <col min="780" max="1026" width="9.140625" style="1"/>
    <col min="1027" max="1027" width="45" style="1" customWidth="1"/>
    <col min="1028" max="1028" width="18.5703125" style="1" customWidth="1"/>
    <col min="1029" max="1029" width="10" style="1" customWidth="1"/>
    <col min="1030" max="1030" width="16.42578125" style="1" customWidth="1"/>
    <col min="1031" max="1031" width="9.140625" style="1"/>
    <col min="1032" max="1032" width="17.140625" style="1" customWidth="1"/>
    <col min="1033" max="1033" width="8.7109375" style="1" customWidth="1"/>
    <col min="1034" max="1034" width="15.42578125" style="1" customWidth="1"/>
    <col min="1035" max="1035" width="8.85546875" style="1" customWidth="1"/>
    <col min="1036" max="1282" width="9.140625" style="1"/>
    <col min="1283" max="1283" width="45" style="1" customWidth="1"/>
    <col min="1284" max="1284" width="18.5703125" style="1" customWidth="1"/>
    <col min="1285" max="1285" width="10" style="1" customWidth="1"/>
    <col min="1286" max="1286" width="16.42578125" style="1" customWidth="1"/>
    <col min="1287" max="1287" width="9.140625" style="1"/>
    <col min="1288" max="1288" width="17.140625" style="1" customWidth="1"/>
    <col min="1289" max="1289" width="8.7109375" style="1" customWidth="1"/>
    <col min="1290" max="1290" width="15.42578125" style="1" customWidth="1"/>
    <col min="1291" max="1291" width="8.85546875" style="1" customWidth="1"/>
    <col min="1292" max="1538" width="9.140625" style="1"/>
    <col min="1539" max="1539" width="45" style="1" customWidth="1"/>
    <col min="1540" max="1540" width="18.5703125" style="1" customWidth="1"/>
    <col min="1541" max="1541" width="10" style="1" customWidth="1"/>
    <col min="1542" max="1542" width="16.42578125" style="1" customWidth="1"/>
    <col min="1543" max="1543" width="9.140625" style="1"/>
    <col min="1544" max="1544" width="17.140625" style="1" customWidth="1"/>
    <col min="1545" max="1545" width="8.7109375" style="1" customWidth="1"/>
    <col min="1546" max="1546" width="15.42578125" style="1" customWidth="1"/>
    <col min="1547" max="1547" width="8.85546875" style="1" customWidth="1"/>
    <col min="1548" max="1794" width="9.140625" style="1"/>
    <col min="1795" max="1795" width="45" style="1" customWidth="1"/>
    <col min="1796" max="1796" width="18.5703125" style="1" customWidth="1"/>
    <col min="1797" max="1797" width="10" style="1" customWidth="1"/>
    <col min="1798" max="1798" width="16.42578125" style="1" customWidth="1"/>
    <col min="1799" max="1799" width="9.140625" style="1"/>
    <col min="1800" max="1800" width="17.140625" style="1" customWidth="1"/>
    <col min="1801" max="1801" width="8.7109375" style="1" customWidth="1"/>
    <col min="1802" max="1802" width="15.42578125" style="1" customWidth="1"/>
    <col min="1803" max="1803" width="8.85546875" style="1" customWidth="1"/>
    <col min="1804" max="2050" width="9.140625" style="1"/>
    <col min="2051" max="2051" width="45" style="1" customWidth="1"/>
    <col min="2052" max="2052" width="18.5703125" style="1" customWidth="1"/>
    <col min="2053" max="2053" width="10" style="1" customWidth="1"/>
    <col min="2054" max="2054" width="16.42578125" style="1" customWidth="1"/>
    <col min="2055" max="2055" width="9.140625" style="1"/>
    <col min="2056" max="2056" width="17.140625" style="1" customWidth="1"/>
    <col min="2057" max="2057" width="8.7109375" style="1" customWidth="1"/>
    <col min="2058" max="2058" width="15.42578125" style="1" customWidth="1"/>
    <col min="2059" max="2059" width="8.85546875" style="1" customWidth="1"/>
    <col min="2060" max="2306" width="9.140625" style="1"/>
    <col min="2307" max="2307" width="45" style="1" customWidth="1"/>
    <col min="2308" max="2308" width="18.5703125" style="1" customWidth="1"/>
    <col min="2309" max="2309" width="10" style="1" customWidth="1"/>
    <col min="2310" max="2310" width="16.42578125" style="1" customWidth="1"/>
    <col min="2311" max="2311" width="9.140625" style="1"/>
    <col min="2312" max="2312" width="17.140625" style="1" customWidth="1"/>
    <col min="2313" max="2313" width="8.7109375" style="1" customWidth="1"/>
    <col min="2314" max="2314" width="15.42578125" style="1" customWidth="1"/>
    <col min="2315" max="2315" width="8.85546875" style="1" customWidth="1"/>
    <col min="2316" max="2562" width="9.140625" style="1"/>
    <col min="2563" max="2563" width="45" style="1" customWidth="1"/>
    <col min="2564" max="2564" width="18.5703125" style="1" customWidth="1"/>
    <col min="2565" max="2565" width="10" style="1" customWidth="1"/>
    <col min="2566" max="2566" width="16.42578125" style="1" customWidth="1"/>
    <col min="2567" max="2567" width="9.140625" style="1"/>
    <col min="2568" max="2568" width="17.140625" style="1" customWidth="1"/>
    <col min="2569" max="2569" width="8.7109375" style="1" customWidth="1"/>
    <col min="2570" max="2570" width="15.42578125" style="1" customWidth="1"/>
    <col min="2571" max="2571" width="8.85546875" style="1" customWidth="1"/>
    <col min="2572" max="2818" width="9.140625" style="1"/>
    <col min="2819" max="2819" width="45" style="1" customWidth="1"/>
    <col min="2820" max="2820" width="18.5703125" style="1" customWidth="1"/>
    <col min="2821" max="2821" width="10" style="1" customWidth="1"/>
    <col min="2822" max="2822" width="16.42578125" style="1" customWidth="1"/>
    <col min="2823" max="2823" width="9.140625" style="1"/>
    <col min="2824" max="2824" width="17.140625" style="1" customWidth="1"/>
    <col min="2825" max="2825" width="8.7109375" style="1" customWidth="1"/>
    <col min="2826" max="2826" width="15.42578125" style="1" customWidth="1"/>
    <col min="2827" max="2827" width="8.85546875" style="1" customWidth="1"/>
    <col min="2828" max="3074" width="9.140625" style="1"/>
    <col min="3075" max="3075" width="45" style="1" customWidth="1"/>
    <col min="3076" max="3076" width="18.5703125" style="1" customWidth="1"/>
    <col min="3077" max="3077" width="10" style="1" customWidth="1"/>
    <col min="3078" max="3078" width="16.42578125" style="1" customWidth="1"/>
    <col min="3079" max="3079" width="9.140625" style="1"/>
    <col min="3080" max="3080" width="17.140625" style="1" customWidth="1"/>
    <col min="3081" max="3081" width="8.7109375" style="1" customWidth="1"/>
    <col min="3082" max="3082" width="15.42578125" style="1" customWidth="1"/>
    <col min="3083" max="3083" width="8.85546875" style="1" customWidth="1"/>
    <col min="3084" max="3330" width="9.140625" style="1"/>
    <col min="3331" max="3331" width="45" style="1" customWidth="1"/>
    <col min="3332" max="3332" width="18.5703125" style="1" customWidth="1"/>
    <col min="3333" max="3333" width="10" style="1" customWidth="1"/>
    <col min="3334" max="3334" width="16.42578125" style="1" customWidth="1"/>
    <col min="3335" max="3335" width="9.140625" style="1"/>
    <col min="3336" max="3336" width="17.140625" style="1" customWidth="1"/>
    <col min="3337" max="3337" width="8.7109375" style="1" customWidth="1"/>
    <col min="3338" max="3338" width="15.42578125" style="1" customWidth="1"/>
    <col min="3339" max="3339" width="8.85546875" style="1" customWidth="1"/>
    <col min="3340" max="3586" width="9.140625" style="1"/>
    <col min="3587" max="3587" width="45" style="1" customWidth="1"/>
    <col min="3588" max="3588" width="18.5703125" style="1" customWidth="1"/>
    <col min="3589" max="3589" width="10" style="1" customWidth="1"/>
    <col min="3590" max="3590" width="16.42578125" style="1" customWidth="1"/>
    <col min="3591" max="3591" width="9.140625" style="1"/>
    <col min="3592" max="3592" width="17.140625" style="1" customWidth="1"/>
    <col min="3593" max="3593" width="8.7109375" style="1" customWidth="1"/>
    <col min="3594" max="3594" width="15.42578125" style="1" customWidth="1"/>
    <col min="3595" max="3595" width="8.85546875" style="1" customWidth="1"/>
    <col min="3596" max="3842" width="9.140625" style="1"/>
    <col min="3843" max="3843" width="45" style="1" customWidth="1"/>
    <col min="3844" max="3844" width="18.5703125" style="1" customWidth="1"/>
    <col min="3845" max="3845" width="10" style="1" customWidth="1"/>
    <col min="3846" max="3846" width="16.42578125" style="1" customWidth="1"/>
    <col min="3847" max="3847" width="9.140625" style="1"/>
    <col min="3848" max="3848" width="17.140625" style="1" customWidth="1"/>
    <col min="3849" max="3849" width="8.7109375" style="1" customWidth="1"/>
    <col min="3850" max="3850" width="15.42578125" style="1" customWidth="1"/>
    <col min="3851" max="3851" width="8.85546875" style="1" customWidth="1"/>
    <col min="3852" max="4098" width="9.140625" style="1"/>
    <col min="4099" max="4099" width="45" style="1" customWidth="1"/>
    <col min="4100" max="4100" width="18.5703125" style="1" customWidth="1"/>
    <col min="4101" max="4101" width="10" style="1" customWidth="1"/>
    <col min="4102" max="4102" width="16.42578125" style="1" customWidth="1"/>
    <col min="4103" max="4103" width="9.140625" style="1"/>
    <col min="4104" max="4104" width="17.140625" style="1" customWidth="1"/>
    <col min="4105" max="4105" width="8.7109375" style="1" customWidth="1"/>
    <col min="4106" max="4106" width="15.42578125" style="1" customWidth="1"/>
    <col min="4107" max="4107" width="8.85546875" style="1" customWidth="1"/>
    <col min="4108" max="4354" width="9.140625" style="1"/>
    <col min="4355" max="4355" width="45" style="1" customWidth="1"/>
    <col min="4356" max="4356" width="18.5703125" style="1" customWidth="1"/>
    <col min="4357" max="4357" width="10" style="1" customWidth="1"/>
    <col min="4358" max="4358" width="16.42578125" style="1" customWidth="1"/>
    <col min="4359" max="4359" width="9.140625" style="1"/>
    <col min="4360" max="4360" width="17.140625" style="1" customWidth="1"/>
    <col min="4361" max="4361" width="8.7109375" style="1" customWidth="1"/>
    <col min="4362" max="4362" width="15.42578125" style="1" customWidth="1"/>
    <col min="4363" max="4363" width="8.85546875" style="1" customWidth="1"/>
    <col min="4364" max="4610" width="9.140625" style="1"/>
    <col min="4611" max="4611" width="45" style="1" customWidth="1"/>
    <col min="4612" max="4612" width="18.5703125" style="1" customWidth="1"/>
    <col min="4613" max="4613" width="10" style="1" customWidth="1"/>
    <col min="4614" max="4614" width="16.42578125" style="1" customWidth="1"/>
    <col min="4615" max="4615" width="9.140625" style="1"/>
    <col min="4616" max="4616" width="17.140625" style="1" customWidth="1"/>
    <col min="4617" max="4617" width="8.7109375" style="1" customWidth="1"/>
    <col min="4618" max="4618" width="15.42578125" style="1" customWidth="1"/>
    <col min="4619" max="4619" width="8.85546875" style="1" customWidth="1"/>
    <col min="4620" max="4866" width="9.140625" style="1"/>
    <col min="4867" max="4867" width="45" style="1" customWidth="1"/>
    <col min="4868" max="4868" width="18.5703125" style="1" customWidth="1"/>
    <col min="4869" max="4869" width="10" style="1" customWidth="1"/>
    <col min="4870" max="4870" width="16.42578125" style="1" customWidth="1"/>
    <col min="4871" max="4871" width="9.140625" style="1"/>
    <col min="4872" max="4872" width="17.140625" style="1" customWidth="1"/>
    <col min="4873" max="4873" width="8.7109375" style="1" customWidth="1"/>
    <col min="4874" max="4874" width="15.42578125" style="1" customWidth="1"/>
    <col min="4875" max="4875" width="8.85546875" style="1" customWidth="1"/>
    <col min="4876" max="5122" width="9.140625" style="1"/>
    <col min="5123" max="5123" width="45" style="1" customWidth="1"/>
    <col min="5124" max="5124" width="18.5703125" style="1" customWidth="1"/>
    <col min="5125" max="5125" width="10" style="1" customWidth="1"/>
    <col min="5126" max="5126" width="16.42578125" style="1" customWidth="1"/>
    <col min="5127" max="5127" width="9.140625" style="1"/>
    <col min="5128" max="5128" width="17.140625" style="1" customWidth="1"/>
    <col min="5129" max="5129" width="8.7109375" style="1" customWidth="1"/>
    <col min="5130" max="5130" width="15.42578125" style="1" customWidth="1"/>
    <col min="5131" max="5131" width="8.85546875" style="1" customWidth="1"/>
    <col min="5132" max="5378" width="9.140625" style="1"/>
    <col min="5379" max="5379" width="45" style="1" customWidth="1"/>
    <col min="5380" max="5380" width="18.5703125" style="1" customWidth="1"/>
    <col min="5381" max="5381" width="10" style="1" customWidth="1"/>
    <col min="5382" max="5382" width="16.42578125" style="1" customWidth="1"/>
    <col min="5383" max="5383" width="9.140625" style="1"/>
    <col min="5384" max="5384" width="17.140625" style="1" customWidth="1"/>
    <col min="5385" max="5385" width="8.7109375" style="1" customWidth="1"/>
    <col min="5386" max="5386" width="15.42578125" style="1" customWidth="1"/>
    <col min="5387" max="5387" width="8.85546875" style="1" customWidth="1"/>
    <col min="5388" max="5634" width="9.140625" style="1"/>
    <col min="5635" max="5635" width="45" style="1" customWidth="1"/>
    <col min="5636" max="5636" width="18.5703125" style="1" customWidth="1"/>
    <col min="5637" max="5637" width="10" style="1" customWidth="1"/>
    <col min="5638" max="5638" width="16.42578125" style="1" customWidth="1"/>
    <col min="5639" max="5639" width="9.140625" style="1"/>
    <col min="5640" max="5640" width="17.140625" style="1" customWidth="1"/>
    <col min="5641" max="5641" width="8.7109375" style="1" customWidth="1"/>
    <col min="5642" max="5642" width="15.42578125" style="1" customWidth="1"/>
    <col min="5643" max="5643" width="8.85546875" style="1" customWidth="1"/>
    <col min="5644" max="5890" width="9.140625" style="1"/>
    <col min="5891" max="5891" width="45" style="1" customWidth="1"/>
    <col min="5892" max="5892" width="18.5703125" style="1" customWidth="1"/>
    <col min="5893" max="5893" width="10" style="1" customWidth="1"/>
    <col min="5894" max="5894" width="16.42578125" style="1" customWidth="1"/>
    <col min="5895" max="5895" width="9.140625" style="1"/>
    <col min="5896" max="5896" width="17.140625" style="1" customWidth="1"/>
    <col min="5897" max="5897" width="8.7109375" style="1" customWidth="1"/>
    <col min="5898" max="5898" width="15.42578125" style="1" customWidth="1"/>
    <col min="5899" max="5899" width="8.85546875" style="1" customWidth="1"/>
    <col min="5900" max="6146" width="9.140625" style="1"/>
    <col min="6147" max="6147" width="45" style="1" customWidth="1"/>
    <col min="6148" max="6148" width="18.5703125" style="1" customWidth="1"/>
    <col min="6149" max="6149" width="10" style="1" customWidth="1"/>
    <col min="6150" max="6150" width="16.42578125" style="1" customWidth="1"/>
    <col min="6151" max="6151" width="9.140625" style="1"/>
    <col min="6152" max="6152" width="17.140625" style="1" customWidth="1"/>
    <col min="6153" max="6153" width="8.7109375" style="1" customWidth="1"/>
    <col min="6154" max="6154" width="15.42578125" style="1" customWidth="1"/>
    <col min="6155" max="6155" width="8.85546875" style="1" customWidth="1"/>
    <col min="6156" max="6402" width="9.140625" style="1"/>
    <col min="6403" max="6403" width="45" style="1" customWidth="1"/>
    <col min="6404" max="6404" width="18.5703125" style="1" customWidth="1"/>
    <col min="6405" max="6405" width="10" style="1" customWidth="1"/>
    <col min="6406" max="6406" width="16.42578125" style="1" customWidth="1"/>
    <col min="6407" max="6407" width="9.140625" style="1"/>
    <col min="6408" max="6408" width="17.140625" style="1" customWidth="1"/>
    <col min="6409" max="6409" width="8.7109375" style="1" customWidth="1"/>
    <col min="6410" max="6410" width="15.42578125" style="1" customWidth="1"/>
    <col min="6411" max="6411" width="8.85546875" style="1" customWidth="1"/>
    <col min="6412" max="6658" width="9.140625" style="1"/>
    <col min="6659" max="6659" width="45" style="1" customWidth="1"/>
    <col min="6660" max="6660" width="18.5703125" style="1" customWidth="1"/>
    <col min="6661" max="6661" width="10" style="1" customWidth="1"/>
    <col min="6662" max="6662" width="16.42578125" style="1" customWidth="1"/>
    <col min="6663" max="6663" width="9.140625" style="1"/>
    <col min="6664" max="6664" width="17.140625" style="1" customWidth="1"/>
    <col min="6665" max="6665" width="8.7109375" style="1" customWidth="1"/>
    <col min="6666" max="6666" width="15.42578125" style="1" customWidth="1"/>
    <col min="6667" max="6667" width="8.85546875" style="1" customWidth="1"/>
    <col min="6668" max="6914" width="9.140625" style="1"/>
    <col min="6915" max="6915" width="45" style="1" customWidth="1"/>
    <col min="6916" max="6916" width="18.5703125" style="1" customWidth="1"/>
    <col min="6917" max="6917" width="10" style="1" customWidth="1"/>
    <col min="6918" max="6918" width="16.42578125" style="1" customWidth="1"/>
    <col min="6919" max="6919" width="9.140625" style="1"/>
    <col min="6920" max="6920" width="17.140625" style="1" customWidth="1"/>
    <col min="6921" max="6921" width="8.7109375" style="1" customWidth="1"/>
    <col min="6922" max="6922" width="15.42578125" style="1" customWidth="1"/>
    <col min="6923" max="6923" width="8.85546875" style="1" customWidth="1"/>
    <col min="6924" max="7170" width="9.140625" style="1"/>
    <col min="7171" max="7171" width="45" style="1" customWidth="1"/>
    <col min="7172" max="7172" width="18.5703125" style="1" customWidth="1"/>
    <col min="7173" max="7173" width="10" style="1" customWidth="1"/>
    <col min="7174" max="7174" width="16.42578125" style="1" customWidth="1"/>
    <col min="7175" max="7175" width="9.140625" style="1"/>
    <col min="7176" max="7176" width="17.140625" style="1" customWidth="1"/>
    <col min="7177" max="7177" width="8.7109375" style="1" customWidth="1"/>
    <col min="7178" max="7178" width="15.42578125" style="1" customWidth="1"/>
    <col min="7179" max="7179" width="8.85546875" style="1" customWidth="1"/>
    <col min="7180" max="7426" width="9.140625" style="1"/>
    <col min="7427" max="7427" width="45" style="1" customWidth="1"/>
    <col min="7428" max="7428" width="18.5703125" style="1" customWidth="1"/>
    <col min="7429" max="7429" width="10" style="1" customWidth="1"/>
    <col min="7430" max="7430" width="16.42578125" style="1" customWidth="1"/>
    <col min="7431" max="7431" width="9.140625" style="1"/>
    <col min="7432" max="7432" width="17.140625" style="1" customWidth="1"/>
    <col min="7433" max="7433" width="8.7109375" style="1" customWidth="1"/>
    <col min="7434" max="7434" width="15.42578125" style="1" customWidth="1"/>
    <col min="7435" max="7435" width="8.85546875" style="1" customWidth="1"/>
    <col min="7436" max="7682" width="9.140625" style="1"/>
    <col min="7683" max="7683" width="45" style="1" customWidth="1"/>
    <col min="7684" max="7684" width="18.5703125" style="1" customWidth="1"/>
    <col min="7685" max="7685" width="10" style="1" customWidth="1"/>
    <col min="7686" max="7686" width="16.42578125" style="1" customWidth="1"/>
    <col min="7687" max="7687" width="9.140625" style="1"/>
    <col min="7688" max="7688" width="17.140625" style="1" customWidth="1"/>
    <col min="7689" max="7689" width="8.7109375" style="1" customWidth="1"/>
    <col min="7690" max="7690" width="15.42578125" style="1" customWidth="1"/>
    <col min="7691" max="7691" width="8.85546875" style="1" customWidth="1"/>
    <col min="7692" max="7938" width="9.140625" style="1"/>
    <col min="7939" max="7939" width="45" style="1" customWidth="1"/>
    <col min="7940" max="7940" width="18.5703125" style="1" customWidth="1"/>
    <col min="7941" max="7941" width="10" style="1" customWidth="1"/>
    <col min="7942" max="7942" width="16.42578125" style="1" customWidth="1"/>
    <col min="7943" max="7943" width="9.140625" style="1"/>
    <col min="7944" max="7944" width="17.140625" style="1" customWidth="1"/>
    <col min="7945" max="7945" width="8.7109375" style="1" customWidth="1"/>
    <col min="7946" max="7946" width="15.42578125" style="1" customWidth="1"/>
    <col min="7947" max="7947" width="8.85546875" style="1" customWidth="1"/>
    <col min="7948" max="8194" width="9.140625" style="1"/>
    <col min="8195" max="8195" width="45" style="1" customWidth="1"/>
    <col min="8196" max="8196" width="18.5703125" style="1" customWidth="1"/>
    <col min="8197" max="8197" width="10" style="1" customWidth="1"/>
    <col min="8198" max="8198" width="16.42578125" style="1" customWidth="1"/>
    <col min="8199" max="8199" width="9.140625" style="1"/>
    <col min="8200" max="8200" width="17.140625" style="1" customWidth="1"/>
    <col min="8201" max="8201" width="8.7109375" style="1" customWidth="1"/>
    <col min="8202" max="8202" width="15.42578125" style="1" customWidth="1"/>
    <col min="8203" max="8203" width="8.85546875" style="1" customWidth="1"/>
    <col min="8204" max="8450" width="9.140625" style="1"/>
    <col min="8451" max="8451" width="45" style="1" customWidth="1"/>
    <col min="8452" max="8452" width="18.5703125" style="1" customWidth="1"/>
    <col min="8453" max="8453" width="10" style="1" customWidth="1"/>
    <col min="8454" max="8454" width="16.42578125" style="1" customWidth="1"/>
    <col min="8455" max="8455" width="9.140625" style="1"/>
    <col min="8456" max="8456" width="17.140625" style="1" customWidth="1"/>
    <col min="8457" max="8457" width="8.7109375" style="1" customWidth="1"/>
    <col min="8458" max="8458" width="15.42578125" style="1" customWidth="1"/>
    <col min="8459" max="8459" width="8.85546875" style="1" customWidth="1"/>
    <col min="8460" max="8706" width="9.140625" style="1"/>
    <col min="8707" max="8707" width="45" style="1" customWidth="1"/>
    <col min="8708" max="8708" width="18.5703125" style="1" customWidth="1"/>
    <col min="8709" max="8709" width="10" style="1" customWidth="1"/>
    <col min="8710" max="8710" width="16.42578125" style="1" customWidth="1"/>
    <col min="8711" max="8711" width="9.140625" style="1"/>
    <col min="8712" max="8712" width="17.140625" style="1" customWidth="1"/>
    <col min="8713" max="8713" width="8.7109375" style="1" customWidth="1"/>
    <col min="8714" max="8714" width="15.42578125" style="1" customWidth="1"/>
    <col min="8715" max="8715" width="8.85546875" style="1" customWidth="1"/>
    <col min="8716" max="8962" width="9.140625" style="1"/>
    <col min="8963" max="8963" width="45" style="1" customWidth="1"/>
    <col min="8964" max="8964" width="18.5703125" style="1" customWidth="1"/>
    <col min="8965" max="8965" width="10" style="1" customWidth="1"/>
    <col min="8966" max="8966" width="16.42578125" style="1" customWidth="1"/>
    <col min="8967" max="8967" width="9.140625" style="1"/>
    <col min="8968" max="8968" width="17.140625" style="1" customWidth="1"/>
    <col min="8969" max="8969" width="8.7109375" style="1" customWidth="1"/>
    <col min="8970" max="8970" width="15.42578125" style="1" customWidth="1"/>
    <col min="8971" max="8971" width="8.85546875" style="1" customWidth="1"/>
    <col min="8972" max="9218" width="9.140625" style="1"/>
    <col min="9219" max="9219" width="45" style="1" customWidth="1"/>
    <col min="9220" max="9220" width="18.5703125" style="1" customWidth="1"/>
    <col min="9221" max="9221" width="10" style="1" customWidth="1"/>
    <col min="9222" max="9222" width="16.42578125" style="1" customWidth="1"/>
    <col min="9223" max="9223" width="9.140625" style="1"/>
    <col min="9224" max="9224" width="17.140625" style="1" customWidth="1"/>
    <col min="9225" max="9225" width="8.7109375" style="1" customWidth="1"/>
    <col min="9226" max="9226" width="15.42578125" style="1" customWidth="1"/>
    <col min="9227" max="9227" width="8.85546875" style="1" customWidth="1"/>
    <col min="9228" max="9474" width="9.140625" style="1"/>
    <col min="9475" max="9475" width="45" style="1" customWidth="1"/>
    <col min="9476" max="9476" width="18.5703125" style="1" customWidth="1"/>
    <col min="9477" max="9477" width="10" style="1" customWidth="1"/>
    <col min="9478" max="9478" width="16.42578125" style="1" customWidth="1"/>
    <col min="9479" max="9479" width="9.140625" style="1"/>
    <col min="9480" max="9480" width="17.140625" style="1" customWidth="1"/>
    <col min="9481" max="9481" width="8.7109375" style="1" customWidth="1"/>
    <col min="9482" max="9482" width="15.42578125" style="1" customWidth="1"/>
    <col min="9483" max="9483" width="8.85546875" style="1" customWidth="1"/>
    <col min="9484" max="9730" width="9.140625" style="1"/>
    <col min="9731" max="9731" width="45" style="1" customWidth="1"/>
    <col min="9732" max="9732" width="18.5703125" style="1" customWidth="1"/>
    <col min="9733" max="9733" width="10" style="1" customWidth="1"/>
    <col min="9734" max="9734" width="16.42578125" style="1" customWidth="1"/>
    <col min="9735" max="9735" width="9.140625" style="1"/>
    <col min="9736" max="9736" width="17.140625" style="1" customWidth="1"/>
    <col min="9737" max="9737" width="8.7109375" style="1" customWidth="1"/>
    <col min="9738" max="9738" width="15.42578125" style="1" customWidth="1"/>
    <col min="9739" max="9739" width="8.85546875" style="1" customWidth="1"/>
    <col min="9740" max="9986" width="9.140625" style="1"/>
    <col min="9987" max="9987" width="45" style="1" customWidth="1"/>
    <col min="9988" max="9988" width="18.5703125" style="1" customWidth="1"/>
    <col min="9989" max="9989" width="10" style="1" customWidth="1"/>
    <col min="9990" max="9990" width="16.42578125" style="1" customWidth="1"/>
    <col min="9991" max="9991" width="9.140625" style="1"/>
    <col min="9992" max="9992" width="17.140625" style="1" customWidth="1"/>
    <col min="9993" max="9993" width="8.7109375" style="1" customWidth="1"/>
    <col min="9994" max="9994" width="15.42578125" style="1" customWidth="1"/>
    <col min="9995" max="9995" width="8.85546875" style="1" customWidth="1"/>
    <col min="9996" max="10242" width="9.140625" style="1"/>
    <col min="10243" max="10243" width="45" style="1" customWidth="1"/>
    <col min="10244" max="10244" width="18.5703125" style="1" customWidth="1"/>
    <col min="10245" max="10245" width="10" style="1" customWidth="1"/>
    <col min="10246" max="10246" width="16.42578125" style="1" customWidth="1"/>
    <col min="10247" max="10247" width="9.140625" style="1"/>
    <col min="10248" max="10248" width="17.140625" style="1" customWidth="1"/>
    <col min="10249" max="10249" width="8.7109375" style="1" customWidth="1"/>
    <col min="10250" max="10250" width="15.42578125" style="1" customWidth="1"/>
    <col min="10251" max="10251" width="8.85546875" style="1" customWidth="1"/>
    <col min="10252" max="10498" width="9.140625" style="1"/>
    <col min="10499" max="10499" width="45" style="1" customWidth="1"/>
    <col min="10500" max="10500" width="18.5703125" style="1" customWidth="1"/>
    <col min="10501" max="10501" width="10" style="1" customWidth="1"/>
    <col min="10502" max="10502" width="16.42578125" style="1" customWidth="1"/>
    <col min="10503" max="10503" width="9.140625" style="1"/>
    <col min="10504" max="10504" width="17.140625" style="1" customWidth="1"/>
    <col min="10505" max="10505" width="8.7109375" style="1" customWidth="1"/>
    <col min="10506" max="10506" width="15.42578125" style="1" customWidth="1"/>
    <col min="10507" max="10507" width="8.85546875" style="1" customWidth="1"/>
    <col min="10508" max="10754" width="9.140625" style="1"/>
    <col min="10755" max="10755" width="45" style="1" customWidth="1"/>
    <col min="10756" max="10756" width="18.5703125" style="1" customWidth="1"/>
    <col min="10757" max="10757" width="10" style="1" customWidth="1"/>
    <col min="10758" max="10758" width="16.42578125" style="1" customWidth="1"/>
    <col min="10759" max="10759" width="9.140625" style="1"/>
    <col min="10760" max="10760" width="17.140625" style="1" customWidth="1"/>
    <col min="10761" max="10761" width="8.7109375" style="1" customWidth="1"/>
    <col min="10762" max="10762" width="15.42578125" style="1" customWidth="1"/>
    <col min="10763" max="10763" width="8.85546875" style="1" customWidth="1"/>
    <col min="10764" max="11010" width="9.140625" style="1"/>
    <col min="11011" max="11011" width="45" style="1" customWidth="1"/>
    <col min="11012" max="11012" width="18.5703125" style="1" customWidth="1"/>
    <col min="11013" max="11013" width="10" style="1" customWidth="1"/>
    <col min="11014" max="11014" width="16.42578125" style="1" customWidth="1"/>
    <col min="11015" max="11015" width="9.140625" style="1"/>
    <col min="11016" max="11016" width="17.140625" style="1" customWidth="1"/>
    <col min="11017" max="11017" width="8.7109375" style="1" customWidth="1"/>
    <col min="11018" max="11018" width="15.42578125" style="1" customWidth="1"/>
    <col min="11019" max="11019" width="8.85546875" style="1" customWidth="1"/>
    <col min="11020" max="11266" width="9.140625" style="1"/>
    <col min="11267" max="11267" width="45" style="1" customWidth="1"/>
    <col min="11268" max="11268" width="18.5703125" style="1" customWidth="1"/>
    <col min="11269" max="11269" width="10" style="1" customWidth="1"/>
    <col min="11270" max="11270" width="16.42578125" style="1" customWidth="1"/>
    <col min="11271" max="11271" width="9.140625" style="1"/>
    <col min="11272" max="11272" width="17.140625" style="1" customWidth="1"/>
    <col min="11273" max="11273" width="8.7109375" style="1" customWidth="1"/>
    <col min="11274" max="11274" width="15.42578125" style="1" customWidth="1"/>
    <col min="11275" max="11275" width="8.85546875" style="1" customWidth="1"/>
    <col min="11276" max="11522" width="9.140625" style="1"/>
    <col min="11523" max="11523" width="45" style="1" customWidth="1"/>
    <col min="11524" max="11524" width="18.5703125" style="1" customWidth="1"/>
    <col min="11525" max="11525" width="10" style="1" customWidth="1"/>
    <col min="11526" max="11526" width="16.42578125" style="1" customWidth="1"/>
    <col min="11527" max="11527" width="9.140625" style="1"/>
    <col min="11528" max="11528" width="17.140625" style="1" customWidth="1"/>
    <col min="11529" max="11529" width="8.7109375" style="1" customWidth="1"/>
    <col min="11530" max="11530" width="15.42578125" style="1" customWidth="1"/>
    <col min="11531" max="11531" width="8.85546875" style="1" customWidth="1"/>
    <col min="11532" max="11778" width="9.140625" style="1"/>
    <col min="11779" max="11779" width="45" style="1" customWidth="1"/>
    <col min="11780" max="11780" width="18.5703125" style="1" customWidth="1"/>
    <col min="11781" max="11781" width="10" style="1" customWidth="1"/>
    <col min="11782" max="11782" width="16.42578125" style="1" customWidth="1"/>
    <col min="11783" max="11783" width="9.140625" style="1"/>
    <col min="11784" max="11784" width="17.140625" style="1" customWidth="1"/>
    <col min="11785" max="11785" width="8.7109375" style="1" customWidth="1"/>
    <col min="11786" max="11786" width="15.42578125" style="1" customWidth="1"/>
    <col min="11787" max="11787" width="8.85546875" style="1" customWidth="1"/>
    <col min="11788" max="12034" width="9.140625" style="1"/>
    <col min="12035" max="12035" width="45" style="1" customWidth="1"/>
    <col min="12036" max="12036" width="18.5703125" style="1" customWidth="1"/>
    <col min="12037" max="12037" width="10" style="1" customWidth="1"/>
    <col min="12038" max="12038" width="16.42578125" style="1" customWidth="1"/>
    <col min="12039" max="12039" width="9.140625" style="1"/>
    <col min="12040" max="12040" width="17.140625" style="1" customWidth="1"/>
    <col min="12041" max="12041" width="8.7109375" style="1" customWidth="1"/>
    <col min="12042" max="12042" width="15.42578125" style="1" customWidth="1"/>
    <col min="12043" max="12043" width="8.85546875" style="1" customWidth="1"/>
    <col min="12044" max="12290" width="9.140625" style="1"/>
    <col min="12291" max="12291" width="45" style="1" customWidth="1"/>
    <col min="12292" max="12292" width="18.5703125" style="1" customWidth="1"/>
    <col min="12293" max="12293" width="10" style="1" customWidth="1"/>
    <col min="12294" max="12294" width="16.42578125" style="1" customWidth="1"/>
    <col min="12295" max="12295" width="9.140625" style="1"/>
    <col min="12296" max="12296" width="17.140625" style="1" customWidth="1"/>
    <col min="12297" max="12297" width="8.7109375" style="1" customWidth="1"/>
    <col min="12298" max="12298" width="15.42578125" style="1" customWidth="1"/>
    <col min="12299" max="12299" width="8.85546875" style="1" customWidth="1"/>
    <col min="12300" max="12546" width="9.140625" style="1"/>
    <col min="12547" max="12547" width="45" style="1" customWidth="1"/>
    <col min="12548" max="12548" width="18.5703125" style="1" customWidth="1"/>
    <col min="12549" max="12549" width="10" style="1" customWidth="1"/>
    <col min="12550" max="12550" width="16.42578125" style="1" customWidth="1"/>
    <col min="12551" max="12551" width="9.140625" style="1"/>
    <col min="12552" max="12552" width="17.140625" style="1" customWidth="1"/>
    <col min="12553" max="12553" width="8.7109375" style="1" customWidth="1"/>
    <col min="12554" max="12554" width="15.42578125" style="1" customWidth="1"/>
    <col min="12555" max="12555" width="8.85546875" style="1" customWidth="1"/>
    <col min="12556" max="12802" width="9.140625" style="1"/>
    <col min="12803" max="12803" width="45" style="1" customWidth="1"/>
    <col min="12804" max="12804" width="18.5703125" style="1" customWidth="1"/>
    <col min="12805" max="12805" width="10" style="1" customWidth="1"/>
    <col min="12806" max="12806" width="16.42578125" style="1" customWidth="1"/>
    <col min="12807" max="12807" width="9.140625" style="1"/>
    <col min="12808" max="12808" width="17.140625" style="1" customWidth="1"/>
    <col min="12809" max="12809" width="8.7109375" style="1" customWidth="1"/>
    <col min="12810" max="12810" width="15.42578125" style="1" customWidth="1"/>
    <col min="12811" max="12811" width="8.85546875" style="1" customWidth="1"/>
    <col min="12812" max="13058" width="9.140625" style="1"/>
    <col min="13059" max="13059" width="45" style="1" customWidth="1"/>
    <col min="13060" max="13060" width="18.5703125" style="1" customWidth="1"/>
    <col min="13061" max="13061" width="10" style="1" customWidth="1"/>
    <col min="13062" max="13062" width="16.42578125" style="1" customWidth="1"/>
    <col min="13063" max="13063" width="9.140625" style="1"/>
    <col min="13064" max="13064" width="17.140625" style="1" customWidth="1"/>
    <col min="13065" max="13065" width="8.7109375" style="1" customWidth="1"/>
    <col min="13066" max="13066" width="15.42578125" style="1" customWidth="1"/>
    <col min="13067" max="13067" width="8.85546875" style="1" customWidth="1"/>
    <col min="13068" max="13314" width="9.140625" style="1"/>
    <col min="13315" max="13315" width="45" style="1" customWidth="1"/>
    <col min="13316" max="13316" width="18.5703125" style="1" customWidth="1"/>
    <col min="13317" max="13317" width="10" style="1" customWidth="1"/>
    <col min="13318" max="13318" width="16.42578125" style="1" customWidth="1"/>
    <col min="13319" max="13319" width="9.140625" style="1"/>
    <col min="13320" max="13320" width="17.140625" style="1" customWidth="1"/>
    <col min="13321" max="13321" width="8.7109375" style="1" customWidth="1"/>
    <col min="13322" max="13322" width="15.42578125" style="1" customWidth="1"/>
    <col min="13323" max="13323" width="8.85546875" style="1" customWidth="1"/>
    <col min="13324" max="13570" width="9.140625" style="1"/>
    <col min="13571" max="13571" width="45" style="1" customWidth="1"/>
    <col min="13572" max="13572" width="18.5703125" style="1" customWidth="1"/>
    <col min="13573" max="13573" width="10" style="1" customWidth="1"/>
    <col min="13574" max="13574" width="16.42578125" style="1" customWidth="1"/>
    <col min="13575" max="13575" width="9.140625" style="1"/>
    <col min="13576" max="13576" width="17.140625" style="1" customWidth="1"/>
    <col min="13577" max="13577" width="8.7109375" style="1" customWidth="1"/>
    <col min="13578" max="13578" width="15.42578125" style="1" customWidth="1"/>
    <col min="13579" max="13579" width="8.85546875" style="1" customWidth="1"/>
    <col min="13580" max="13826" width="9.140625" style="1"/>
    <col min="13827" max="13827" width="45" style="1" customWidth="1"/>
    <col min="13828" max="13828" width="18.5703125" style="1" customWidth="1"/>
    <col min="13829" max="13829" width="10" style="1" customWidth="1"/>
    <col min="13830" max="13830" width="16.42578125" style="1" customWidth="1"/>
    <col min="13831" max="13831" width="9.140625" style="1"/>
    <col min="13832" max="13832" width="17.140625" style="1" customWidth="1"/>
    <col min="13833" max="13833" width="8.7109375" style="1" customWidth="1"/>
    <col min="13834" max="13834" width="15.42578125" style="1" customWidth="1"/>
    <col min="13835" max="13835" width="8.85546875" style="1" customWidth="1"/>
    <col min="13836" max="14082" width="9.140625" style="1"/>
    <col min="14083" max="14083" width="45" style="1" customWidth="1"/>
    <col min="14084" max="14084" width="18.5703125" style="1" customWidth="1"/>
    <col min="14085" max="14085" width="10" style="1" customWidth="1"/>
    <col min="14086" max="14086" width="16.42578125" style="1" customWidth="1"/>
    <col min="14087" max="14087" width="9.140625" style="1"/>
    <col min="14088" max="14088" width="17.140625" style="1" customWidth="1"/>
    <col min="14089" max="14089" width="8.7109375" style="1" customWidth="1"/>
    <col min="14090" max="14090" width="15.42578125" style="1" customWidth="1"/>
    <col min="14091" max="14091" width="8.85546875" style="1" customWidth="1"/>
    <col min="14092" max="14338" width="9.140625" style="1"/>
    <col min="14339" max="14339" width="45" style="1" customWidth="1"/>
    <col min="14340" max="14340" width="18.5703125" style="1" customWidth="1"/>
    <col min="14341" max="14341" width="10" style="1" customWidth="1"/>
    <col min="14342" max="14342" width="16.42578125" style="1" customWidth="1"/>
    <col min="14343" max="14343" width="9.140625" style="1"/>
    <col min="14344" max="14344" width="17.140625" style="1" customWidth="1"/>
    <col min="14345" max="14345" width="8.7109375" style="1" customWidth="1"/>
    <col min="14346" max="14346" width="15.42578125" style="1" customWidth="1"/>
    <col min="14347" max="14347" width="8.85546875" style="1" customWidth="1"/>
    <col min="14348" max="14594" width="9.140625" style="1"/>
    <col min="14595" max="14595" width="45" style="1" customWidth="1"/>
    <col min="14596" max="14596" width="18.5703125" style="1" customWidth="1"/>
    <col min="14597" max="14597" width="10" style="1" customWidth="1"/>
    <col min="14598" max="14598" width="16.42578125" style="1" customWidth="1"/>
    <col min="14599" max="14599" width="9.140625" style="1"/>
    <col min="14600" max="14600" width="17.140625" style="1" customWidth="1"/>
    <col min="14601" max="14601" width="8.7109375" style="1" customWidth="1"/>
    <col min="14602" max="14602" width="15.42578125" style="1" customWidth="1"/>
    <col min="14603" max="14603" width="8.85546875" style="1" customWidth="1"/>
    <col min="14604" max="14850" width="9.140625" style="1"/>
    <col min="14851" max="14851" width="45" style="1" customWidth="1"/>
    <col min="14852" max="14852" width="18.5703125" style="1" customWidth="1"/>
    <col min="14853" max="14853" width="10" style="1" customWidth="1"/>
    <col min="14854" max="14854" width="16.42578125" style="1" customWidth="1"/>
    <col min="14855" max="14855" width="9.140625" style="1"/>
    <col min="14856" max="14856" width="17.140625" style="1" customWidth="1"/>
    <col min="14857" max="14857" width="8.7109375" style="1" customWidth="1"/>
    <col min="14858" max="14858" width="15.42578125" style="1" customWidth="1"/>
    <col min="14859" max="14859" width="8.85546875" style="1" customWidth="1"/>
    <col min="14860" max="15106" width="9.140625" style="1"/>
    <col min="15107" max="15107" width="45" style="1" customWidth="1"/>
    <col min="15108" max="15108" width="18.5703125" style="1" customWidth="1"/>
    <col min="15109" max="15109" width="10" style="1" customWidth="1"/>
    <col min="15110" max="15110" width="16.42578125" style="1" customWidth="1"/>
    <col min="15111" max="15111" width="9.140625" style="1"/>
    <col min="15112" max="15112" width="17.140625" style="1" customWidth="1"/>
    <col min="15113" max="15113" width="8.7109375" style="1" customWidth="1"/>
    <col min="15114" max="15114" width="15.42578125" style="1" customWidth="1"/>
    <col min="15115" max="15115" width="8.85546875" style="1" customWidth="1"/>
    <col min="15116" max="15362" width="9.140625" style="1"/>
    <col min="15363" max="15363" width="45" style="1" customWidth="1"/>
    <col min="15364" max="15364" width="18.5703125" style="1" customWidth="1"/>
    <col min="15365" max="15365" width="10" style="1" customWidth="1"/>
    <col min="15366" max="15366" width="16.42578125" style="1" customWidth="1"/>
    <col min="15367" max="15367" width="9.140625" style="1"/>
    <col min="15368" max="15368" width="17.140625" style="1" customWidth="1"/>
    <col min="15369" max="15369" width="8.7109375" style="1" customWidth="1"/>
    <col min="15370" max="15370" width="15.42578125" style="1" customWidth="1"/>
    <col min="15371" max="15371" width="8.85546875" style="1" customWidth="1"/>
    <col min="15372" max="15618" width="9.140625" style="1"/>
    <col min="15619" max="15619" width="45" style="1" customWidth="1"/>
    <col min="15620" max="15620" width="18.5703125" style="1" customWidth="1"/>
    <col min="15621" max="15621" width="10" style="1" customWidth="1"/>
    <col min="15622" max="15622" width="16.42578125" style="1" customWidth="1"/>
    <col min="15623" max="15623" width="9.140625" style="1"/>
    <col min="15624" max="15624" width="17.140625" style="1" customWidth="1"/>
    <col min="15625" max="15625" width="8.7109375" style="1" customWidth="1"/>
    <col min="15626" max="15626" width="15.42578125" style="1" customWidth="1"/>
    <col min="15627" max="15627" width="8.85546875" style="1" customWidth="1"/>
    <col min="15628" max="15874" width="9.140625" style="1"/>
    <col min="15875" max="15875" width="45" style="1" customWidth="1"/>
    <col min="15876" max="15876" width="18.5703125" style="1" customWidth="1"/>
    <col min="15877" max="15877" width="10" style="1" customWidth="1"/>
    <col min="15878" max="15878" width="16.42578125" style="1" customWidth="1"/>
    <col min="15879" max="15879" width="9.140625" style="1"/>
    <col min="15880" max="15880" width="17.140625" style="1" customWidth="1"/>
    <col min="15881" max="15881" width="8.7109375" style="1" customWidth="1"/>
    <col min="15882" max="15882" width="15.42578125" style="1" customWidth="1"/>
    <col min="15883" max="15883" width="8.85546875" style="1" customWidth="1"/>
    <col min="15884" max="16130" width="9.140625" style="1"/>
    <col min="16131" max="16131" width="45" style="1" customWidth="1"/>
    <col min="16132" max="16132" width="18.5703125" style="1" customWidth="1"/>
    <col min="16133" max="16133" width="10" style="1" customWidth="1"/>
    <col min="16134" max="16134" width="16.42578125" style="1" customWidth="1"/>
    <col min="16135" max="16135" width="9.140625" style="1"/>
    <col min="16136" max="16136" width="17.140625" style="1" customWidth="1"/>
    <col min="16137" max="16137" width="8.7109375" style="1" customWidth="1"/>
    <col min="16138" max="16138" width="15.42578125" style="1" customWidth="1"/>
    <col min="16139" max="16139" width="8.85546875" style="1" customWidth="1"/>
    <col min="16140" max="16384" width="9.140625" style="1"/>
  </cols>
  <sheetData>
    <row r="1" spans="1:17" s="2" customFormat="1" ht="15" x14ac:dyDescent="0.25">
      <c r="A1" s="2" t="s">
        <v>1373</v>
      </c>
      <c r="B1" s="226"/>
      <c r="C1" s="226"/>
      <c r="D1" s="226"/>
      <c r="E1" s="226"/>
      <c r="F1" s="226"/>
      <c r="G1" s="226"/>
      <c r="H1" s="226"/>
      <c r="I1" s="38"/>
      <c r="J1" s="38"/>
      <c r="K1" s="38"/>
    </row>
    <row r="2" spans="1:17" s="2" customFormat="1" ht="15.75" thickBot="1" x14ac:dyDescent="0.3">
      <c r="B2" s="226"/>
      <c r="C2" s="258">
        <v>0.9995049504950495</v>
      </c>
      <c r="D2" s="258"/>
      <c r="E2" s="226"/>
      <c r="F2" s="226">
        <v>0.99950519544779814</v>
      </c>
      <c r="G2" s="226"/>
      <c r="H2" s="226"/>
      <c r="I2" s="38"/>
      <c r="J2" s="38"/>
      <c r="K2" s="38"/>
    </row>
    <row r="3" spans="1:17" s="2" customFormat="1" ht="45.75" thickBot="1" x14ac:dyDescent="0.3">
      <c r="A3" s="40" t="s">
        <v>1374</v>
      </c>
      <c r="B3" s="227" t="s">
        <v>1336</v>
      </c>
      <c r="C3" s="228" t="s">
        <v>3060</v>
      </c>
      <c r="D3" s="228" t="s">
        <v>3061</v>
      </c>
      <c r="E3" s="228" t="s">
        <v>1389</v>
      </c>
      <c r="F3" s="228" t="s">
        <v>3013</v>
      </c>
      <c r="G3" s="228" t="s">
        <v>3062</v>
      </c>
      <c r="H3" s="228" t="s">
        <v>1389</v>
      </c>
      <c r="I3" s="44" t="s">
        <v>3014</v>
      </c>
      <c r="J3" s="238" t="s">
        <v>3062</v>
      </c>
      <c r="K3" s="238" t="s">
        <v>1389</v>
      </c>
      <c r="L3" s="239" t="s">
        <v>3015</v>
      </c>
      <c r="M3" s="2" t="s">
        <v>3062</v>
      </c>
      <c r="N3" s="2" t="s">
        <v>1389</v>
      </c>
    </row>
    <row r="4" spans="1:17" x14ac:dyDescent="0.2">
      <c r="A4" s="17" t="s">
        <v>1379</v>
      </c>
      <c r="B4" s="229">
        <f>'[3]Corporate Services'!I125+'[3]Corporate Services'!I225+'[3]Corporate Services'!I294+'[3]Corporate Services'!I355</f>
        <v>39374265.922449082</v>
      </c>
      <c r="C4" s="229">
        <f>'Corporate Services'!K413</f>
        <v>46658627.969999999</v>
      </c>
      <c r="D4" s="229">
        <f>'All Dept'!J627+'All Dept'!J735+'All Dept'!J813+'All Dept'!J891</f>
        <v>46658627.969999999</v>
      </c>
      <c r="E4" s="229">
        <f>C4-D4</f>
        <v>0</v>
      </c>
      <c r="F4" s="229">
        <f>'Corporate Services'!L413</f>
        <v>49683354.110625006</v>
      </c>
      <c r="G4" s="229">
        <f>'All Dept'!K627+'All Dept'!K735+'All Dept'!K813+'All Dept'!K891</f>
        <v>49683354.110625006</v>
      </c>
      <c r="H4" s="229">
        <f>F4-G4</f>
        <v>0</v>
      </c>
      <c r="I4" s="45">
        <f>'Corporate Services'!M413</f>
        <v>52401893.429448754</v>
      </c>
      <c r="J4" s="236">
        <f>'All Dept'!L627+'All Dept'!L735+'All Dept'!L813+'All Dept'!L891</f>
        <v>52401893.429448754</v>
      </c>
      <c r="K4" s="236">
        <f>I4-J4</f>
        <v>0</v>
      </c>
      <c r="L4" s="237">
        <f>'Corporate Services'!N413</f>
        <v>55275802.909019843</v>
      </c>
      <c r="M4" s="224"/>
      <c r="N4" s="224">
        <f>L4-M4</f>
        <v>55275802.909019843</v>
      </c>
      <c r="O4" s="224"/>
      <c r="P4" s="224"/>
      <c r="Q4" s="224">
        <f>F4-N4</f>
        <v>-5592448.7983948365</v>
      </c>
    </row>
    <row r="5" spans="1:17" x14ac:dyDescent="0.2">
      <c r="A5" s="17" t="s">
        <v>1380</v>
      </c>
      <c r="B5" s="230">
        <f>[3]LEDP!I74+[3]LEDP!I178+[3]LEDP!I229+[3]LEDP!I271</f>
        <v>8518122.416980492</v>
      </c>
      <c r="C5" s="230">
        <f>LEDP!K302</f>
        <v>10286549.449999999</v>
      </c>
      <c r="D5" s="230">
        <f>'All Dept'!J970+'All Dept'!J1075+'All Dept'!J1153+'All Dept'!J1191</f>
        <v>10286549.449999999</v>
      </c>
      <c r="E5" s="229">
        <f t="shared" ref="E5:E10" si="0">C5-D5</f>
        <v>0</v>
      </c>
      <c r="F5" s="230">
        <f>LEDP!L302</f>
        <v>9428837.385625001</v>
      </c>
      <c r="G5" s="230">
        <f>'All Dept'!K970+'All Dept'!K1075+'All Dept'!K1153+'All Dept'!K1191</f>
        <v>9428837.385625001</v>
      </c>
      <c r="H5" s="229">
        <f t="shared" ref="H5:H10" si="1">F5-G5</f>
        <v>0</v>
      </c>
      <c r="I5" s="50">
        <f>LEDP!M302</f>
        <v>8905304.87533875</v>
      </c>
      <c r="J5" s="35">
        <f>'All Dept'!L970+'All Dept'!L1075+'All Dept'!L1153+'All Dept'!L1191</f>
        <v>8905304.87533875</v>
      </c>
      <c r="K5" s="236">
        <f t="shared" ref="K5:K10" si="2">I5-J5</f>
        <v>0</v>
      </c>
      <c r="L5" s="234">
        <f>LEDP!N302</f>
        <v>9782612.5774775799</v>
      </c>
      <c r="M5" s="224"/>
      <c r="N5" s="224">
        <f t="shared" ref="N5:N10" si="3">L5-M5</f>
        <v>9782612.5774775799</v>
      </c>
      <c r="O5" s="224"/>
      <c r="P5" s="224"/>
      <c r="Q5" s="224">
        <f t="shared" ref="Q5:Q10" si="4">F5-N5</f>
        <v>-353775.19185257889</v>
      </c>
    </row>
    <row r="6" spans="1:17" x14ac:dyDescent="0.2">
      <c r="A6" s="17" t="s">
        <v>1381</v>
      </c>
      <c r="B6" s="230">
        <f>[3]MM!I87+[3]MM!I144+[3]MM!I187+[3]MM!I224+[3]MM!I299</f>
        <v>17489236.67062128</v>
      </c>
      <c r="C6" s="230">
        <f>MM!K370</f>
        <v>21317531.57</v>
      </c>
      <c r="D6" s="230">
        <f>'All Dept'!J1290+'All Dept'!J1356+'All Dept'!J1407+'All Dept'!J1475+'All Dept'!J1555</f>
        <v>21317531.57</v>
      </c>
      <c r="E6" s="229">
        <f t="shared" si="0"/>
        <v>0</v>
      </c>
      <c r="F6" s="230">
        <f>MM!L370</f>
        <v>22463539.580625001</v>
      </c>
      <c r="G6" s="230">
        <f>'All Dept'!K1290+'All Dept'!K1356+'All Dept'!K1407+'All Dept'!K1475+'All Dept'!K1555</f>
        <v>22463539.580625001</v>
      </c>
      <c r="H6" s="229">
        <f t="shared" si="1"/>
        <v>0</v>
      </c>
      <c r="I6" s="50">
        <f>MM!M370</f>
        <v>23778296.64286875</v>
      </c>
      <c r="J6" s="35">
        <f>'All Dept'!L1290+'All Dept'!L1356+'All Dept'!L1407+'All Dept'!L1475+'All Dept'!L1555</f>
        <v>23778296.64286875</v>
      </c>
      <c r="K6" s="236">
        <f t="shared" si="2"/>
        <v>0</v>
      </c>
      <c r="L6" s="234">
        <f>MM!N370</f>
        <v>25194135.286163162</v>
      </c>
      <c r="M6" s="224"/>
      <c r="N6" s="224">
        <f t="shared" si="3"/>
        <v>25194135.286163162</v>
      </c>
      <c r="O6" s="224"/>
      <c r="P6" s="224"/>
      <c r="Q6" s="224">
        <f t="shared" si="4"/>
        <v>-2730595.7055381611</v>
      </c>
    </row>
    <row r="7" spans="1:17" x14ac:dyDescent="0.2">
      <c r="A7" s="17" t="s">
        <v>1382</v>
      </c>
      <c r="B7" s="230">
        <f>[3]Mayor!I73+[3]Mayor!I117+[3]Mayor!I152+[3]Mayor!I175+[3]Mayor!I209+[3]Mayor!I222</f>
        <v>18559055.836834703</v>
      </c>
      <c r="C7" s="230">
        <f>mayors!K331</f>
        <v>19830195.960000001</v>
      </c>
      <c r="D7" s="230">
        <f>'All Dept'!J1650+'All Dept'!J1674+'All Dept'!J1737+'All Dept'!J1787+'All Dept'!J1837+'All Dept'!J1882</f>
        <v>19830195.960000001</v>
      </c>
      <c r="E7" s="229">
        <f t="shared" si="0"/>
        <v>0</v>
      </c>
      <c r="F7" s="230">
        <f>mayors!L331</f>
        <v>21018778.755000003</v>
      </c>
      <c r="G7" s="230">
        <f>'All Dept'!K1650+'All Dept'!K1674+'All Dept'!K1737+'All Dept'!K1787+'All Dept'!K1837+'All Dept'!K1882</f>
        <v>21018778.755000003</v>
      </c>
      <c r="H7" s="229">
        <f t="shared" si="1"/>
        <v>0</v>
      </c>
      <c r="I7" s="50">
        <f>mayors!M331</f>
        <v>22417039.05821</v>
      </c>
      <c r="J7" s="35">
        <f>'All Dept'!L1650+'All Dept'!L1674+'All Dept'!L1737+'All Dept'!L1787+'All Dept'!L1837+'All Dept'!L1882</f>
        <v>22417039.05821</v>
      </c>
      <c r="K7" s="236">
        <f t="shared" si="2"/>
        <v>0</v>
      </c>
      <c r="L7" s="234">
        <f>mayors!N331</f>
        <v>23909829.96900126</v>
      </c>
      <c r="M7" s="224"/>
      <c r="N7" s="224">
        <f t="shared" si="3"/>
        <v>23909829.96900126</v>
      </c>
      <c r="O7" s="224"/>
      <c r="P7" s="224"/>
      <c r="Q7" s="224">
        <f t="shared" si="4"/>
        <v>-2891051.214001257</v>
      </c>
    </row>
    <row r="8" spans="1:17" x14ac:dyDescent="0.2">
      <c r="A8" s="17" t="s">
        <v>1383</v>
      </c>
      <c r="B8" s="230">
        <f>'[3]Budget and treasury'!I121+'[3]Budget and treasury'!I186+'[3]Budget and treasury'!I282+'[3]Budget and treasury'!I355+'[3]Budget and treasury'!I412</f>
        <v>34193822.793407366</v>
      </c>
      <c r="C8" s="230">
        <f>'B&amp;T'!K518</f>
        <v>33379262.129999999</v>
      </c>
      <c r="D8" s="230">
        <f>'All Dept'!J2031+'All Dept'!J2126+'All Dept'!J2242+'All Dept'!J2326+'All Dept'!J2394</f>
        <v>33379262.129999999</v>
      </c>
      <c r="E8" s="229">
        <f t="shared" si="0"/>
        <v>0</v>
      </c>
      <c r="F8" s="230">
        <f>'B&amp;T'!L518</f>
        <v>35213395.988125004</v>
      </c>
      <c r="G8" s="230">
        <f>'All Dept'!K2031+'All Dept'!K2126+'All Dept'!K2242+'All Dept'!K2328+'All Dept'!K2394</f>
        <v>35213395.988125004</v>
      </c>
      <c r="H8" s="229">
        <f t="shared" si="1"/>
        <v>0</v>
      </c>
      <c r="I8" s="50">
        <f>'B&amp;T'!M518</f>
        <v>37211560.467253745</v>
      </c>
      <c r="J8" s="35">
        <f>'All Dept'!L2031+'All Dept'!L2126+'All Dept'!L2242+'All Dept'!L2326+'All Dept'!L2394</f>
        <v>37211560.467253745</v>
      </c>
      <c r="K8" s="236">
        <f t="shared" si="2"/>
        <v>0</v>
      </c>
      <c r="L8" s="234">
        <f>'B&amp;T'!N518</f>
        <v>37378965.111045673</v>
      </c>
      <c r="M8" s="224"/>
      <c r="N8" s="224">
        <f t="shared" si="3"/>
        <v>37378965.111045673</v>
      </c>
      <c r="O8" s="224"/>
      <c r="P8" s="224"/>
      <c r="Q8" s="224">
        <f t="shared" si="4"/>
        <v>-2165569.1229206696</v>
      </c>
    </row>
    <row r="9" spans="1:17" x14ac:dyDescent="0.2">
      <c r="A9" s="17" t="s">
        <v>1384</v>
      </c>
      <c r="B9" s="230">
        <f>'[3]Community Services'!I97+'[3]Community Services'!I138+'[3]Community Services'!I243+'[3]Community Services'!I325+'[3]Community Services'!I386+'[3]Community Services'!I466</f>
        <v>28269773.678058721</v>
      </c>
      <c r="C9" s="230">
        <f>Community!K545</f>
        <v>29798476.989999995</v>
      </c>
      <c r="D9" s="230">
        <f>'All Dept'!J2505+'All Dept'!J2559+'All Dept'!J2678+'All Dept'!J2781+'All Dept'!J2860+'All Dept'!J2934</f>
        <v>29798476.989999995</v>
      </c>
      <c r="E9" s="229">
        <f t="shared" si="0"/>
        <v>0</v>
      </c>
      <c r="F9" s="230">
        <f>Community!L545</f>
        <v>31631071.725400001</v>
      </c>
      <c r="G9" s="230">
        <f>'All Dept'!K2505+'All Dept'!K2559+'All Dept'!K2678+'All Dept'!K2781+'All Dept'!K2860+'All Dept'!K2934</f>
        <v>31631071.725400001</v>
      </c>
      <c r="H9" s="229">
        <f t="shared" si="1"/>
        <v>0</v>
      </c>
      <c r="I9" s="50">
        <f>Community!M545</f>
        <v>32315473.076578401</v>
      </c>
      <c r="J9" s="35">
        <f>'All Dept'!L2505+'All Dept'!L2559+'All Dept'!L2678+'All Dept'!L2781+'All Dept'!L2860+'All Dept'!L2934</f>
        <v>32315473.076578401</v>
      </c>
      <c r="K9" s="236">
        <f t="shared" si="2"/>
        <v>0</v>
      </c>
      <c r="L9" s="234">
        <f>Community!N545</f>
        <v>34436882.253537707</v>
      </c>
      <c r="M9" s="224"/>
      <c r="N9" s="224">
        <f t="shared" si="3"/>
        <v>34436882.253537707</v>
      </c>
      <c r="O9" s="224"/>
      <c r="P9" s="224"/>
      <c r="Q9" s="224">
        <f t="shared" si="4"/>
        <v>-2805810.5281377062</v>
      </c>
    </row>
    <row r="10" spans="1:17" x14ac:dyDescent="0.2">
      <c r="A10" s="17" t="s">
        <v>1390</v>
      </c>
      <c r="B10" s="230">
        <f>'[3]Technical Services'!I30+'[3]Technical Services'!I77+'[3]Technical Services'!I143+'[3]Technical Services'!I215</f>
        <v>15057416.038929135</v>
      </c>
      <c r="C10" s="230">
        <f>Technical!K568</f>
        <v>50982207.26000002</v>
      </c>
      <c r="D10" s="230">
        <f>'All Dept'!J2953+'All Dept'!J3005+'All Dept'!J3087+'All Dept'!J3183+'All Dept'!J3313+'All Dept'!J3423+'All Dept'!J3495</f>
        <v>50982207.26000002</v>
      </c>
      <c r="E10" s="229">
        <f t="shared" si="0"/>
        <v>0</v>
      </c>
      <c r="F10" s="230">
        <f>Technical!L568</f>
        <v>51455176.292025022</v>
      </c>
      <c r="G10" s="230">
        <f>'All Dept'!K2953+'All Dept'!K3005+'All Dept'!K3087+'All Dept'!K3183+'All Dept'!K3313+'All Dept'!K3423+'All Dept'!K3495</f>
        <v>51455176.292025022</v>
      </c>
      <c r="H10" s="229">
        <f t="shared" si="1"/>
        <v>0</v>
      </c>
      <c r="I10" s="50">
        <f>Technical!M568</f>
        <v>54404658.403693169</v>
      </c>
      <c r="J10" s="35">
        <f>'All Dept'!L2953+'All Dept'!L3005+'All Dept'!L3087+'All Dept'!L3183+'All Dept'!L3313+'All Dept'!L3423+'All Dept'!L3495</f>
        <v>54404658.403693169</v>
      </c>
      <c r="K10" s="236">
        <f t="shared" si="2"/>
        <v>0</v>
      </c>
      <c r="L10" s="234">
        <f>Technical!N568</f>
        <v>58026446.073998339</v>
      </c>
      <c r="M10" s="224"/>
      <c r="N10" s="224">
        <f t="shared" si="3"/>
        <v>58026446.073998339</v>
      </c>
      <c r="O10" s="224"/>
      <c r="P10" s="224"/>
      <c r="Q10" s="224">
        <f t="shared" si="4"/>
        <v>-6571269.7819733173</v>
      </c>
    </row>
    <row r="11" spans="1:17" ht="15" thickBot="1" x14ac:dyDescent="0.25">
      <c r="A11" s="53"/>
      <c r="B11" s="231"/>
      <c r="C11" s="231"/>
      <c r="D11" s="231"/>
      <c r="E11" s="231"/>
      <c r="F11" s="231"/>
      <c r="G11" s="231"/>
      <c r="H11" s="231"/>
      <c r="I11" s="54"/>
      <c r="J11" s="35"/>
      <c r="K11" s="35"/>
      <c r="L11" s="235"/>
      <c r="N11" s="224">
        <f>L11-M11</f>
        <v>0</v>
      </c>
    </row>
    <row r="12" spans="1:17" s="2" customFormat="1" ht="15.75" thickBot="1" x14ac:dyDescent="0.3">
      <c r="A12" s="40" t="s">
        <v>1385</v>
      </c>
      <c r="B12" s="232">
        <f>SUM(B4:B11)</f>
        <v>161461693.35728076</v>
      </c>
      <c r="C12" s="232">
        <f>SUM(C4:C11)</f>
        <v>212252851.33000001</v>
      </c>
      <c r="D12" s="232">
        <f>SUM(D4:D11)</f>
        <v>212252851.33000001</v>
      </c>
      <c r="E12" s="232"/>
      <c r="F12" s="232">
        <f>SUM(F4:F11)</f>
        <v>220894153.83742502</v>
      </c>
      <c r="G12" s="232">
        <f t="shared" ref="G12:H12" si="5">SUM(G4:G11)</f>
        <v>220894153.83742502</v>
      </c>
      <c r="H12" s="232">
        <f t="shared" si="5"/>
        <v>0</v>
      </c>
      <c r="I12" s="62">
        <f>SUM(I4:I10)</f>
        <v>231434225.95339155</v>
      </c>
      <c r="J12" s="62">
        <f t="shared" ref="J12:N12" si="6">SUM(J4:J10)</f>
        <v>231434225.95339155</v>
      </c>
      <c r="K12" s="62">
        <f t="shared" si="6"/>
        <v>0</v>
      </c>
      <c r="L12" s="62">
        <f t="shared" si="6"/>
        <v>244004674.18024355</v>
      </c>
      <c r="M12" s="62">
        <f t="shared" si="6"/>
        <v>0</v>
      </c>
      <c r="N12" s="62">
        <f t="shared" si="6"/>
        <v>244004674.18024355</v>
      </c>
      <c r="O12" s="225"/>
    </row>
    <row r="13" spans="1:17" x14ac:dyDescent="0.2">
      <c r="G13" s="233">
        <f>'Executive Summary'!D10-Sheet3!G12</f>
        <v>0</v>
      </c>
      <c r="J13" s="37">
        <f>'Executive Summary'!E10-Sheet3!J12</f>
        <v>0</v>
      </c>
      <c r="L13" s="233"/>
      <c r="M13" s="233"/>
      <c r="N13" s="233"/>
      <c r="O13" s="224"/>
    </row>
    <row r="14" spans="1:17" x14ac:dyDescent="0.2">
      <c r="A14" s="65"/>
      <c r="L14" s="224"/>
      <c r="M14" s="224"/>
      <c r="N14" s="224">
        <f>'Executive Summary'!F10-Sheet3!N12</f>
        <v>0</v>
      </c>
      <c r="O14" s="224"/>
    </row>
    <row r="15" spans="1:17" x14ac:dyDescent="0.2">
      <c r="L15" s="224"/>
    </row>
  </sheetData>
  <mergeCells count="1">
    <mergeCell ref="C2:D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1" sqref="F11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414"/>
  <sheetViews>
    <sheetView zoomScaleNormal="100" workbookViewId="0">
      <pane xSplit="3" ySplit="1" topLeftCell="D2" activePane="bottomRight" state="frozen"/>
      <selection pane="topRight" activeCell="C1" sqref="C1"/>
      <selection pane="bottomLeft" activeCell="A2" sqref="A2"/>
      <selection pane="bottomRight" activeCell="C333" sqref="C333"/>
    </sheetView>
  </sheetViews>
  <sheetFormatPr defaultColWidth="9.140625" defaultRowHeight="15" x14ac:dyDescent="0.25"/>
  <cols>
    <col min="1" max="1" width="28" style="30" bestFit="1" customWidth="1"/>
    <col min="2" max="2" width="20" style="30" bestFit="1" customWidth="1"/>
    <col min="3" max="3" width="56.5703125" style="30" bestFit="1" customWidth="1"/>
    <col min="4" max="4" width="14.42578125" style="76" customWidth="1"/>
    <col min="5" max="5" width="13.85546875" style="76" hidden="1" customWidth="1"/>
    <col min="6" max="6" width="17.140625" style="76" hidden="1" customWidth="1"/>
    <col min="7" max="8" width="13.28515625" style="76" hidden="1" customWidth="1"/>
    <col min="9" max="9" width="9.140625" style="76" hidden="1" customWidth="1"/>
    <col min="10" max="10" width="13.5703125" style="76" hidden="1" customWidth="1"/>
    <col min="11" max="11" width="13.7109375" style="76" bestFit="1" customWidth="1"/>
    <col min="12" max="12" width="12.7109375" style="76" bestFit="1" customWidth="1"/>
    <col min="13" max="13" width="14.5703125" style="76" bestFit="1" customWidth="1"/>
    <col min="14" max="14" width="15.7109375" style="136" bestFit="1" customWidth="1"/>
    <col min="15" max="15" width="15.42578125" style="30" bestFit="1" customWidth="1"/>
    <col min="16" max="16384" width="9.140625" style="30"/>
  </cols>
  <sheetData>
    <row r="1" spans="1:14" s="24" customFormat="1" ht="60.75" thickBot="1" x14ac:dyDescent="0.3">
      <c r="A1" s="20" t="s">
        <v>0</v>
      </c>
      <c r="B1" s="20" t="s">
        <v>1356</v>
      </c>
      <c r="C1" s="21" t="s">
        <v>1</v>
      </c>
      <c r="D1" s="22" t="s">
        <v>2</v>
      </c>
      <c r="E1" s="142" t="s">
        <v>3</v>
      </c>
      <c r="F1" s="22" t="s">
        <v>4</v>
      </c>
      <c r="G1" s="142" t="s">
        <v>5</v>
      </c>
      <c r="H1" s="142" t="s">
        <v>6</v>
      </c>
      <c r="I1" s="22" t="s">
        <v>7</v>
      </c>
      <c r="J1" s="22" t="s">
        <v>1322</v>
      </c>
      <c r="K1" s="154" t="s">
        <v>3012</v>
      </c>
      <c r="L1" s="41" t="s">
        <v>3013</v>
      </c>
      <c r="M1" s="137" t="s">
        <v>3014</v>
      </c>
      <c r="N1" s="131" t="s">
        <v>3015</v>
      </c>
    </row>
    <row r="2" spans="1:14" s="24" customFormat="1" x14ac:dyDescent="0.25">
      <c r="A2" s="20"/>
      <c r="B2" s="20"/>
      <c r="C2" s="21"/>
      <c r="D2" s="22"/>
      <c r="E2" s="142"/>
      <c r="F2" s="22"/>
      <c r="G2" s="142"/>
      <c r="H2" s="142"/>
      <c r="I2" s="22"/>
      <c r="J2" s="22"/>
      <c r="K2" s="142"/>
      <c r="L2" s="142"/>
      <c r="M2" s="138"/>
      <c r="N2" s="132"/>
    </row>
    <row r="3" spans="1:14" s="24" customFormat="1" x14ac:dyDescent="0.25">
      <c r="A3" s="20"/>
      <c r="B3" s="20"/>
      <c r="C3" s="21" t="s">
        <v>321</v>
      </c>
      <c r="D3" s="22"/>
      <c r="E3" s="22"/>
      <c r="F3" s="22"/>
      <c r="G3" s="22"/>
      <c r="H3" s="22"/>
      <c r="I3" s="22"/>
      <c r="J3" s="22"/>
      <c r="K3" s="22"/>
      <c r="L3" s="22"/>
      <c r="M3" s="134"/>
      <c r="N3" s="132"/>
    </row>
    <row r="4" spans="1:14" s="24" customFormat="1" x14ac:dyDescent="0.25">
      <c r="A4" s="20"/>
      <c r="B4" s="20"/>
      <c r="C4" s="21" t="s">
        <v>9</v>
      </c>
      <c r="D4" s="22"/>
      <c r="E4" s="22"/>
      <c r="F4" s="22"/>
      <c r="G4" s="22"/>
      <c r="H4" s="22"/>
      <c r="I4" s="22"/>
      <c r="J4" s="22"/>
      <c r="K4" s="22"/>
      <c r="L4" s="22"/>
      <c r="M4" s="134"/>
      <c r="N4" s="132"/>
    </row>
    <row r="5" spans="1:14" s="24" customFormat="1" x14ac:dyDescent="0.25">
      <c r="A5" s="20"/>
      <c r="B5" s="20"/>
      <c r="C5" s="21" t="s">
        <v>81</v>
      </c>
      <c r="D5" s="22"/>
      <c r="E5" s="22"/>
      <c r="F5" s="22"/>
      <c r="G5" s="22"/>
      <c r="H5" s="22"/>
      <c r="I5" s="22"/>
      <c r="J5" s="22"/>
      <c r="K5" s="22"/>
      <c r="L5" s="22"/>
      <c r="M5" s="134"/>
      <c r="N5" s="132"/>
    </row>
    <row r="6" spans="1:14" s="28" customFormat="1" ht="14.25" x14ac:dyDescent="0.2">
      <c r="A6" s="25"/>
      <c r="B6" s="25"/>
      <c r="C6" s="26"/>
      <c r="D6" s="27"/>
      <c r="E6" s="27"/>
      <c r="F6" s="27"/>
      <c r="G6" s="27"/>
      <c r="H6" s="27"/>
      <c r="I6" s="27"/>
      <c r="J6" s="27"/>
      <c r="K6" s="27"/>
      <c r="L6" s="27"/>
      <c r="M6" s="107"/>
      <c r="N6" s="133"/>
    </row>
    <row r="7" spans="1:14" s="28" customFormat="1" ht="14.25" x14ac:dyDescent="0.2">
      <c r="A7" s="25" t="s">
        <v>322</v>
      </c>
      <c r="B7" s="25"/>
      <c r="C7" s="26" t="s">
        <v>89</v>
      </c>
      <c r="D7" s="27">
        <f>'Revenue per source'!C122</f>
        <v>-276424</v>
      </c>
      <c r="E7" s="27">
        <v>0</v>
      </c>
      <c r="F7" s="27">
        <v>0</v>
      </c>
      <c r="G7" s="27">
        <v>-712288.67</v>
      </c>
      <c r="H7" s="27">
        <v>435864.67</v>
      </c>
      <c r="I7" s="27">
        <v>257.67</v>
      </c>
      <c r="J7" s="27">
        <f>+K7-D7</f>
        <v>276424</v>
      </c>
      <c r="K7" s="27">
        <f>'Revenue per source'!J122</f>
        <v>0</v>
      </c>
      <c r="L7" s="27">
        <f>'Revenue per source'!K122</f>
        <v>-1000000</v>
      </c>
      <c r="M7" s="27">
        <f>'Revenue per source'!L122</f>
        <v>-1046000</v>
      </c>
      <c r="N7" s="27">
        <f>'Revenue per source'!M122</f>
        <v>-1094116</v>
      </c>
    </row>
    <row r="8" spans="1:14" s="28" customFormat="1" ht="14.25" x14ac:dyDescent="0.2">
      <c r="A8" s="25"/>
      <c r="B8" s="25"/>
      <c r="C8" s="26"/>
      <c r="D8" s="27"/>
      <c r="E8" s="27"/>
      <c r="F8" s="27"/>
      <c r="G8" s="27"/>
      <c r="H8" s="27"/>
      <c r="I8" s="27"/>
      <c r="J8" s="27"/>
      <c r="K8" s="27"/>
      <c r="L8" s="27"/>
      <c r="M8" s="107"/>
      <c r="N8" s="133"/>
    </row>
    <row r="9" spans="1:14" s="24" customFormat="1" x14ac:dyDescent="0.25">
      <c r="A9" s="20"/>
      <c r="B9" s="20"/>
      <c r="C9" s="21" t="s">
        <v>90</v>
      </c>
      <c r="D9" s="22">
        <f>SUM(D7:D8)</f>
        <v>-276424</v>
      </c>
      <c r="E9" s="22">
        <f t="shared" ref="E9:M9" si="0">SUM(E7:E8)</f>
        <v>0</v>
      </c>
      <c r="F9" s="22">
        <f t="shared" si="0"/>
        <v>0</v>
      </c>
      <c r="G9" s="22">
        <f t="shared" si="0"/>
        <v>-712288.67</v>
      </c>
      <c r="H9" s="22">
        <f t="shared" si="0"/>
        <v>435864.67</v>
      </c>
      <c r="I9" s="22">
        <f t="shared" si="0"/>
        <v>257.67</v>
      </c>
      <c r="J9" s="22">
        <f t="shared" si="0"/>
        <v>276424</v>
      </c>
      <c r="K9" s="22">
        <f t="shared" si="0"/>
        <v>0</v>
      </c>
      <c r="L9" s="22">
        <f t="shared" si="0"/>
        <v>-1000000</v>
      </c>
      <c r="M9" s="22">
        <f t="shared" si="0"/>
        <v>-1046000</v>
      </c>
      <c r="N9" s="22">
        <f>SUM(N7:N8)</f>
        <v>-1094116</v>
      </c>
    </row>
    <row r="10" spans="1:14" s="24" customFormat="1" x14ac:dyDescent="0.25">
      <c r="A10" s="20"/>
      <c r="B10" s="20"/>
      <c r="C10" s="21"/>
      <c r="D10" s="22"/>
      <c r="E10" s="22"/>
      <c r="F10" s="22"/>
      <c r="G10" s="22"/>
      <c r="H10" s="22"/>
      <c r="I10" s="22"/>
      <c r="J10" s="22"/>
      <c r="K10" s="22"/>
      <c r="L10" s="22"/>
      <c r="M10" s="134"/>
      <c r="N10" s="132"/>
    </row>
    <row r="11" spans="1:14" s="24" customFormat="1" x14ac:dyDescent="0.25">
      <c r="A11" s="20"/>
      <c r="B11" s="20"/>
      <c r="C11" s="21" t="s">
        <v>94</v>
      </c>
      <c r="D11" s="22">
        <f>D9</f>
        <v>-276424</v>
      </c>
      <c r="E11" s="22">
        <f t="shared" ref="E11:N11" si="1">E9</f>
        <v>0</v>
      </c>
      <c r="F11" s="22">
        <f t="shared" si="1"/>
        <v>0</v>
      </c>
      <c r="G11" s="22">
        <f t="shared" si="1"/>
        <v>-712288.67</v>
      </c>
      <c r="H11" s="22">
        <f t="shared" si="1"/>
        <v>435864.67</v>
      </c>
      <c r="I11" s="22">
        <f t="shared" si="1"/>
        <v>257.67</v>
      </c>
      <c r="J11" s="22">
        <f t="shared" si="1"/>
        <v>276424</v>
      </c>
      <c r="K11" s="22">
        <f t="shared" si="1"/>
        <v>0</v>
      </c>
      <c r="L11" s="22">
        <f t="shared" si="1"/>
        <v>-1000000</v>
      </c>
      <c r="M11" s="22">
        <f t="shared" si="1"/>
        <v>-1046000</v>
      </c>
      <c r="N11" s="22">
        <f t="shared" si="1"/>
        <v>-1094116</v>
      </c>
    </row>
    <row r="12" spans="1:14" s="24" customFormat="1" x14ac:dyDescent="0.25">
      <c r="A12" s="20"/>
      <c r="B12" s="20"/>
      <c r="C12" s="21"/>
      <c r="D12" s="22"/>
      <c r="E12" s="22"/>
      <c r="F12" s="22"/>
      <c r="G12" s="22"/>
      <c r="H12" s="22"/>
      <c r="I12" s="22"/>
      <c r="J12" s="22"/>
      <c r="K12" s="22"/>
      <c r="L12" s="22"/>
      <c r="M12" s="134"/>
      <c r="N12" s="132"/>
    </row>
    <row r="13" spans="1:14" s="24" customFormat="1" x14ac:dyDescent="0.25">
      <c r="A13" s="20"/>
      <c r="B13" s="20"/>
      <c r="C13" s="21" t="s">
        <v>95</v>
      </c>
      <c r="D13" s="22">
        <f>D11</f>
        <v>-276424</v>
      </c>
      <c r="E13" s="22">
        <f t="shared" ref="E13:N13" si="2">E11</f>
        <v>0</v>
      </c>
      <c r="F13" s="22">
        <f t="shared" si="2"/>
        <v>0</v>
      </c>
      <c r="G13" s="22">
        <f t="shared" si="2"/>
        <v>-712288.67</v>
      </c>
      <c r="H13" s="22">
        <f t="shared" si="2"/>
        <v>435864.67</v>
      </c>
      <c r="I13" s="22">
        <f t="shared" si="2"/>
        <v>257.67</v>
      </c>
      <c r="J13" s="22">
        <f t="shared" si="2"/>
        <v>276424</v>
      </c>
      <c r="K13" s="22">
        <f t="shared" si="2"/>
        <v>0</v>
      </c>
      <c r="L13" s="22">
        <f t="shared" si="2"/>
        <v>-1000000</v>
      </c>
      <c r="M13" s="22">
        <f t="shared" si="2"/>
        <v>-1046000</v>
      </c>
      <c r="N13" s="22">
        <f t="shared" si="2"/>
        <v>-1094116</v>
      </c>
    </row>
    <row r="14" spans="1:14" s="24" customFormat="1" x14ac:dyDescent="0.25">
      <c r="A14" s="20"/>
      <c r="B14" s="20"/>
      <c r="C14" s="21"/>
      <c r="D14" s="22"/>
      <c r="E14" s="22"/>
      <c r="F14" s="22"/>
      <c r="G14" s="22"/>
      <c r="H14" s="22"/>
      <c r="I14" s="22"/>
      <c r="J14" s="22"/>
      <c r="K14" s="22"/>
      <c r="L14" s="22"/>
      <c r="M14" s="134"/>
      <c r="N14" s="132"/>
    </row>
    <row r="15" spans="1:14" s="24" customFormat="1" x14ac:dyDescent="0.25">
      <c r="A15" s="20"/>
      <c r="B15" s="20"/>
      <c r="C15" s="21" t="s">
        <v>96</v>
      </c>
      <c r="D15" s="22"/>
      <c r="E15" s="22"/>
      <c r="F15" s="22"/>
      <c r="G15" s="22"/>
      <c r="H15" s="22"/>
      <c r="I15" s="22"/>
      <c r="J15" s="22"/>
      <c r="K15" s="27"/>
      <c r="L15" s="22"/>
      <c r="M15" s="134"/>
      <c r="N15" s="132"/>
    </row>
    <row r="16" spans="1:14" s="24" customFormat="1" x14ac:dyDescent="0.25">
      <c r="A16" s="20"/>
      <c r="B16" s="20"/>
      <c r="C16" s="21" t="s">
        <v>97</v>
      </c>
      <c r="D16" s="22"/>
      <c r="E16" s="22"/>
      <c r="F16" s="22"/>
      <c r="G16" s="22"/>
      <c r="H16" s="22"/>
      <c r="I16" s="22"/>
      <c r="J16" s="22"/>
      <c r="K16" s="27"/>
      <c r="L16" s="22"/>
      <c r="M16" s="134"/>
      <c r="N16" s="132"/>
    </row>
    <row r="17" spans="1:14" s="24" customFormat="1" x14ac:dyDescent="0.25">
      <c r="A17" s="20"/>
      <c r="B17" s="20"/>
      <c r="C17" s="21" t="s">
        <v>98</v>
      </c>
      <c r="D17" s="22"/>
      <c r="E17" s="22"/>
      <c r="F17" s="22"/>
      <c r="G17" s="22"/>
      <c r="H17" s="22"/>
      <c r="I17" s="22"/>
      <c r="J17" s="22"/>
      <c r="K17" s="27"/>
      <c r="L17" s="22"/>
      <c r="M17" s="134"/>
      <c r="N17" s="132"/>
    </row>
    <row r="18" spans="1:14" s="28" customFormat="1" ht="14.25" x14ac:dyDescent="0.2">
      <c r="A18" s="25"/>
      <c r="B18" s="25"/>
      <c r="C18" s="26"/>
      <c r="D18" s="27"/>
      <c r="E18" s="27"/>
      <c r="F18" s="27"/>
      <c r="G18" s="27"/>
      <c r="H18" s="27"/>
      <c r="I18" s="27"/>
      <c r="J18" s="27"/>
      <c r="K18" s="27"/>
      <c r="L18" s="27"/>
      <c r="M18" s="107"/>
      <c r="N18" s="133"/>
    </row>
    <row r="19" spans="1:14" s="28" customFormat="1" ht="14.25" x14ac:dyDescent="0.2">
      <c r="A19" s="25" t="s">
        <v>323</v>
      </c>
      <c r="B19" s="25"/>
      <c r="C19" s="26" t="s">
        <v>116</v>
      </c>
      <c r="D19" s="27">
        <f t="shared" ref="D19:D24" si="3">VLOOKUP(A19,fin,3,FALSE)</f>
        <v>745888</v>
      </c>
      <c r="E19" s="27">
        <v>71806.25</v>
      </c>
      <c r="F19" s="27">
        <v>0</v>
      </c>
      <c r="G19" s="27">
        <v>430837.5</v>
      </c>
      <c r="H19" s="27">
        <v>315050.5</v>
      </c>
      <c r="I19" s="27">
        <f t="shared" ref="I19:I24" si="4">G19/D19*100</f>
        <v>57.761688081856796</v>
      </c>
      <c r="J19" s="27">
        <f t="shared" ref="J19:J24" si="5">+K19-D19</f>
        <v>0</v>
      </c>
      <c r="K19" s="27">
        <f t="shared" ref="K19:K24" si="6">VLOOKUP(A19,fin,4,FALSE)</f>
        <v>745888</v>
      </c>
      <c r="L19" s="27">
        <f>K19*6.25/100+K19</f>
        <v>792506</v>
      </c>
      <c r="M19" s="107">
        <f>L19*7/100+L19</f>
        <v>847981.42</v>
      </c>
      <c r="N19" s="133">
        <f>M19*7/100+M19</f>
        <v>907340.11940000008</v>
      </c>
    </row>
    <row r="20" spans="1:14" s="28" customFormat="1" ht="14.25" x14ac:dyDescent="0.2">
      <c r="A20" s="25" t="s">
        <v>324</v>
      </c>
      <c r="B20" s="25"/>
      <c r="C20" s="26" t="s">
        <v>117</v>
      </c>
      <c r="D20" s="27">
        <f t="shared" si="3"/>
        <v>37294</v>
      </c>
      <c r="E20" s="27">
        <v>0</v>
      </c>
      <c r="F20" s="27">
        <v>0</v>
      </c>
      <c r="G20" s="27">
        <v>0</v>
      </c>
      <c r="H20" s="27">
        <v>37294</v>
      </c>
      <c r="I20" s="27">
        <f t="shared" si="4"/>
        <v>0</v>
      </c>
      <c r="J20" s="27">
        <f t="shared" si="5"/>
        <v>0</v>
      </c>
      <c r="K20" s="27">
        <f t="shared" si="6"/>
        <v>37294</v>
      </c>
      <c r="L20" s="27">
        <f t="shared" ref="L20:L24" si="7">K20*6.25/100+K20</f>
        <v>39624.875</v>
      </c>
      <c r="M20" s="107">
        <f t="shared" ref="M20:N23" si="8">L20*7/100+L20</f>
        <v>42398.616249999999</v>
      </c>
      <c r="N20" s="133">
        <f t="shared" si="8"/>
        <v>45366.519387499997</v>
      </c>
    </row>
    <row r="21" spans="1:14" s="28" customFormat="1" ht="14.25" x14ac:dyDescent="0.2">
      <c r="A21" s="25" t="s">
        <v>325</v>
      </c>
      <c r="B21" s="25"/>
      <c r="C21" s="26" t="s">
        <v>118</v>
      </c>
      <c r="D21" s="27">
        <f t="shared" si="3"/>
        <v>40000</v>
      </c>
      <c r="E21" s="27">
        <v>3333.33</v>
      </c>
      <c r="F21" s="27">
        <v>0</v>
      </c>
      <c r="G21" s="27">
        <v>19999.98</v>
      </c>
      <c r="H21" s="27">
        <v>20000.02</v>
      </c>
      <c r="I21" s="27">
        <f t="shared" si="4"/>
        <v>49.999949999999998</v>
      </c>
      <c r="J21" s="27">
        <f t="shared" si="5"/>
        <v>0</v>
      </c>
      <c r="K21" s="27">
        <f t="shared" si="6"/>
        <v>40000</v>
      </c>
      <c r="L21" s="27">
        <f t="shared" si="7"/>
        <v>42500</v>
      </c>
      <c r="M21" s="107">
        <f t="shared" si="8"/>
        <v>45475</v>
      </c>
      <c r="N21" s="133">
        <f t="shared" si="8"/>
        <v>48658.25</v>
      </c>
    </row>
    <row r="22" spans="1:14" s="28" customFormat="1" ht="14.25" x14ac:dyDescent="0.2">
      <c r="A22" s="25" t="s">
        <v>326</v>
      </c>
      <c r="B22" s="25"/>
      <c r="C22" s="26" t="s">
        <v>119</v>
      </c>
      <c r="D22" s="27">
        <f t="shared" si="3"/>
        <v>147584</v>
      </c>
      <c r="E22" s="27">
        <v>0</v>
      </c>
      <c r="F22" s="27">
        <v>0</v>
      </c>
      <c r="G22" s="27">
        <v>0</v>
      </c>
      <c r="H22" s="27">
        <v>147584</v>
      </c>
      <c r="I22" s="27">
        <f t="shared" si="4"/>
        <v>0</v>
      </c>
      <c r="J22" s="27">
        <f t="shared" si="5"/>
        <v>0</v>
      </c>
      <c r="K22" s="27">
        <f t="shared" si="6"/>
        <v>147584</v>
      </c>
      <c r="L22" s="27">
        <f t="shared" si="7"/>
        <v>156808</v>
      </c>
      <c r="M22" s="107">
        <f t="shared" si="8"/>
        <v>167784.56</v>
      </c>
      <c r="N22" s="133">
        <f t="shared" si="8"/>
        <v>179529.4792</v>
      </c>
    </row>
    <row r="23" spans="1:14" s="28" customFormat="1" ht="14.25" x14ac:dyDescent="0.2">
      <c r="A23" s="25" t="s">
        <v>327</v>
      </c>
      <c r="B23" s="25"/>
      <c r="C23" s="26" t="s">
        <v>120</v>
      </c>
      <c r="D23" s="27">
        <f t="shared" si="3"/>
        <v>15692</v>
      </c>
      <c r="E23" s="27">
        <v>0</v>
      </c>
      <c r="F23" s="27">
        <v>0</v>
      </c>
      <c r="G23" s="27">
        <v>0</v>
      </c>
      <c r="H23" s="27">
        <v>15692</v>
      </c>
      <c r="I23" s="27">
        <f t="shared" si="4"/>
        <v>0</v>
      </c>
      <c r="J23" s="27">
        <f t="shared" si="5"/>
        <v>0</v>
      </c>
      <c r="K23" s="27">
        <f t="shared" si="6"/>
        <v>15692</v>
      </c>
      <c r="L23" s="27">
        <f t="shared" si="7"/>
        <v>16672.75</v>
      </c>
      <c r="M23" s="107">
        <f t="shared" si="8"/>
        <v>17839.842499999999</v>
      </c>
      <c r="N23" s="133">
        <f t="shared" si="8"/>
        <v>19088.631474999998</v>
      </c>
    </row>
    <row r="24" spans="1:14" s="28" customFormat="1" ht="14.25" x14ac:dyDescent="0.2">
      <c r="A24" s="25" t="s">
        <v>328</v>
      </c>
      <c r="B24" s="25"/>
      <c r="C24" s="26" t="s">
        <v>121</v>
      </c>
      <c r="D24" s="27">
        <f t="shared" si="3"/>
        <v>20876</v>
      </c>
      <c r="E24" s="27">
        <v>0</v>
      </c>
      <c r="F24" s="27">
        <v>0</v>
      </c>
      <c r="G24" s="27">
        <v>0</v>
      </c>
      <c r="H24" s="27">
        <v>20876</v>
      </c>
      <c r="I24" s="27">
        <f t="shared" si="4"/>
        <v>0</v>
      </c>
      <c r="J24" s="27">
        <f t="shared" si="5"/>
        <v>-20876</v>
      </c>
      <c r="K24" s="27">
        <f t="shared" si="6"/>
        <v>0</v>
      </c>
      <c r="L24" s="27">
        <f t="shared" si="7"/>
        <v>0</v>
      </c>
      <c r="M24" s="107">
        <f>VLOOKUP(A24,fin,6,FALSE)</f>
        <v>0</v>
      </c>
      <c r="N24" s="133"/>
    </row>
    <row r="25" spans="1:14" s="28" customFormat="1" ht="14.25" x14ac:dyDescent="0.2">
      <c r="A25" s="25"/>
      <c r="B25" s="25"/>
      <c r="C25" s="26"/>
      <c r="D25" s="27"/>
      <c r="E25" s="27"/>
      <c r="F25" s="27"/>
      <c r="G25" s="27"/>
      <c r="H25" s="27"/>
      <c r="I25" s="27"/>
      <c r="J25" s="27"/>
      <c r="K25" s="27"/>
      <c r="L25" s="27"/>
      <c r="M25" s="107"/>
      <c r="N25" s="133"/>
    </row>
    <row r="26" spans="1:14" s="24" customFormat="1" x14ac:dyDescent="0.25">
      <c r="A26" s="20"/>
      <c r="B26" s="20"/>
      <c r="C26" s="21" t="s">
        <v>122</v>
      </c>
      <c r="D26" s="22">
        <f>SUM(D19:D25)</f>
        <v>1007334</v>
      </c>
      <c r="E26" s="22">
        <f t="shared" ref="E26:N26" si="9">SUM(E19:E25)</f>
        <v>75139.58</v>
      </c>
      <c r="F26" s="22">
        <f t="shared" si="9"/>
        <v>0</v>
      </c>
      <c r="G26" s="22">
        <f t="shared" si="9"/>
        <v>450837.48</v>
      </c>
      <c r="H26" s="22">
        <f t="shared" si="9"/>
        <v>556496.52</v>
      </c>
      <c r="I26" s="22">
        <f t="shared" si="9"/>
        <v>107.7616380818568</v>
      </c>
      <c r="J26" s="22">
        <f t="shared" si="9"/>
        <v>-20876</v>
      </c>
      <c r="K26" s="22">
        <f t="shared" si="9"/>
        <v>986458</v>
      </c>
      <c r="L26" s="22">
        <f t="shared" si="9"/>
        <v>1048111.625</v>
      </c>
      <c r="M26" s="22">
        <f t="shared" si="9"/>
        <v>1121479.43875</v>
      </c>
      <c r="N26" s="22">
        <f t="shared" si="9"/>
        <v>1199982.9994625</v>
      </c>
    </row>
    <row r="27" spans="1:14" s="24" customFormat="1" x14ac:dyDescent="0.25">
      <c r="A27" s="20"/>
      <c r="B27" s="20"/>
      <c r="C27" s="21"/>
      <c r="D27" s="22"/>
      <c r="E27" s="22"/>
      <c r="F27" s="22"/>
      <c r="G27" s="22"/>
      <c r="H27" s="22"/>
      <c r="I27" s="22"/>
      <c r="J27" s="22"/>
      <c r="K27" s="22"/>
      <c r="L27" s="22"/>
      <c r="M27" s="134"/>
      <c r="N27" s="132"/>
    </row>
    <row r="28" spans="1:14" s="24" customFormat="1" x14ac:dyDescent="0.25">
      <c r="A28" s="20"/>
      <c r="B28" s="20"/>
      <c r="C28" s="21" t="s">
        <v>146</v>
      </c>
      <c r="D28" s="22">
        <f>D26</f>
        <v>1007334</v>
      </c>
      <c r="E28" s="22">
        <f>E26</f>
        <v>75139.58</v>
      </c>
      <c r="F28" s="22">
        <f>F26</f>
        <v>0</v>
      </c>
      <c r="G28" s="22">
        <f>G26</f>
        <v>450837.48</v>
      </c>
      <c r="H28" s="22">
        <f>H26</f>
        <v>556496.52</v>
      </c>
      <c r="I28" s="22">
        <f>G28/D28*100</f>
        <v>44.755511081726617</v>
      </c>
      <c r="J28" s="27">
        <f>+K28-D28</f>
        <v>-20876</v>
      </c>
      <c r="K28" s="22">
        <f>K26</f>
        <v>986458</v>
      </c>
      <c r="L28" s="22">
        <f>L26</f>
        <v>1048111.625</v>
      </c>
      <c r="M28" s="134">
        <f>M26</f>
        <v>1121479.43875</v>
      </c>
      <c r="N28" s="134">
        <f>N26</f>
        <v>1199982.9994625</v>
      </c>
    </row>
    <row r="29" spans="1:14" s="24" customFormat="1" x14ac:dyDescent="0.25">
      <c r="A29" s="20"/>
      <c r="B29" s="20"/>
      <c r="C29" s="21"/>
      <c r="D29" s="22"/>
      <c r="E29" s="22"/>
      <c r="F29" s="22"/>
      <c r="G29" s="22"/>
      <c r="H29" s="22"/>
      <c r="I29" s="22"/>
      <c r="J29" s="22"/>
      <c r="K29" s="22"/>
      <c r="L29" s="22"/>
      <c r="M29" s="134"/>
      <c r="N29" s="132"/>
    </row>
    <row r="30" spans="1:14" s="24" customFormat="1" x14ac:dyDescent="0.25">
      <c r="A30" s="20"/>
      <c r="B30" s="20"/>
      <c r="C30" s="21" t="s">
        <v>147</v>
      </c>
      <c r="D30" s="22">
        <f>D28</f>
        <v>1007334</v>
      </c>
      <c r="E30" s="22">
        <f>E28</f>
        <v>75139.58</v>
      </c>
      <c r="F30" s="22">
        <f>F28</f>
        <v>0</v>
      </c>
      <c r="G30" s="22">
        <f>G28</f>
        <v>450837.48</v>
      </c>
      <c r="H30" s="22">
        <f>H28</f>
        <v>556496.52</v>
      </c>
      <c r="I30" s="22">
        <f>G30/D30*100</f>
        <v>44.755511081726617</v>
      </c>
      <c r="J30" s="27">
        <f>+K30-D30</f>
        <v>-20876</v>
      </c>
      <c r="K30" s="22">
        <f>K28</f>
        <v>986458</v>
      </c>
      <c r="L30" s="22">
        <f>L28</f>
        <v>1048111.625</v>
      </c>
      <c r="M30" s="134">
        <f>M28</f>
        <v>1121479.43875</v>
      </c>
      <c r="N30" s="134">
        <f>N28</f>
        <v>1199982.9994625</v>
      </c>
    </row>
    <row r="31" spans="1:14" s="24" customFormat="1" x14ac:dyDescent="0.25">
      <c r="A31" s="20"/>
      <c r="B31" s="20"/>
      <c r="C31" s="21"/>
      <c r="D31" s="22"/>
      <c r="E31" s="22"/>
      <c r="F31" s="22"/>
      <c r="G31" s="22"/>
      <c r="H31" s="22"/>
      <c r="I31" s="22"/>
      <c r="J31" s="22"/>
      <c r="K31" s="27"/>
      <c r="L31" s="22"/>
      <c r="M31" s="134"/>
      <c r="N31" s="132"/>
    </row>
    <row r="32" spans="1:14" s="24" customFormat="1" x14ac:dyDescent="0.25">
      <c r="A32" s="20"/>
      <c r="B32" s="20"/>
      <c r="C32" s="21" t="s">
        <v>148</v>
      </c>
      <c r="D32" s="22"/>
      <c r="E32" s="22"/>
      <c r="F32" s="22"/>
      <c r="G32" s="22"/>
      <c r="H32" s="22"/>
      <c r="I32" s="22"/>
      <c r="J32" s="22"/>
      <c r="K32" s="27"/>
      <c r="L32" s="22"/>
      <c r="M32" s="134"/>
      <c r="N32" s="132"/>
    </row>
    <row r="33" spans="1:14" s="28" customFormat="1" ht="14.25" x14ac:dyDescent="0.2">
      <c r="A33" s="25"/>
      <c r="B33" s="25"/>
      <c r="C33" s="26"/>
      <c r="D33" s="27"/>
      <c r="E33" s="27"/>
      <c r="F33" s="27"/>
      <c r="G33" s="27"/>
      <c r="H33" s="27"/>
      <c r="I33" s="27"/>
      <c r="J33" s="27"/>
      <c r="K33" s="27"/>
      <c r="L33" s="27"/>
      <c r="M33" s="107"/>
      <c r="N33" s="133"/>
    </row>
    <row r="34" spans="1:14" s="28" customFormat="1" ht="14.25" x14ac:dyDescent="0.2">
      <c r="A34" s="25" t="s">
        <v>329</v>
      </c>
      <c r="B34" s="25"/>
      <c r="C34" s="26" t="s">
        <v>150</v>
      </c>
      <c r="D34" s="27">
        <f t="shared" ref="D34:D46" si="10">VLOOKUP(A34,fin,3,FALSE)</f>
        <v>5188430</v>
      </c>
      <c r="E34" s="27">
        <v>498043.44</v>
      </c>
      <c r="F34" s="27">
        <v>0</v>
      </c>
      <c r="G34" s="27">
        <v>2905499.61</v>
      </c>
      <c r="H34" s="27">
        <f>D34-G34</f>
        <v>2282930.39</v>
      </c>
      <c r="I34" s="27">
        <f>G34/D34*100</f>
        <v>55.999591591290624</v>
      </c>
      <c r="J34" s="27">
        <f t="shared" ref="J34:J46" si="11">+K34-D34</f>
        <v>0</v>
      </c>
      <c r="K34" s="27">
        <f t="shared" ref="K34:K46" si="12">VLOOKUP(A34,fin,4,FALSE)</f>
        <v>5188430</v>
      </c>
      <c r="L34" s="27">
        <f t="shared" ref="L34:L46" si="13">K34*6.25/100+K34</f>
        <v>5512706.875</v>
      </c>
      <c r="M34" s="107">
        <f t="shared" ref="M34:N46" si="14">L34*7/100+L34</f>
        <v>5898596.3562500002</v>
      </c>
      <c r="N34" s="133">
        <f t="shared" si="14"/>
        <v>6311498.1011875002</v>
      </c>
    </row>
    <row r="35" spans="1:14" s="28" customFormat="1" ht="14.25" x14ac:dyDescent="0.2">
      <c r="A35" s="25" t="s">
        <v>330</v>
      </c>
      <c r="B35" s="25"/>
      <c r="C35" s="26" t="s">
        <v>151</v>
      </c>
      <c r="D35" s="27">
        <f t="shared" si="10"/>
        <v>258705</v>
      </c>
      <c r="E35" s="27">
        <v>252230.43</v>
      </c>
      <c r="F35" s="27">
        <v>0</v>
      </c>
      <c r="G35" s="27">
        <v>426408.16</v>
      </c>
      <c r="H35" s="27">
        <f t="shared" ref="H35:H46" si="15">D35-G35</f>
        <v>-167703.15999999997</v>
      </c>
      <c r="I35" s="27">
        <f t="shared" ref="I35:I48" si="16">G35/D35*100</f>
        <v>164.82408921358302</v>
      </c>
      <c r="J35" s="27">
        <f t="shared" si="11"/>
        <v>-39791.380000000005</v>
      </c>
      <c r="K35" s="27">
        <f t="shared" si="12"/>
        <v>218913.62</v>
      </c>
      <c r="L35" s="27">
        <f t="shared" si="13"/>
        <v>232595.72125</v>
      </c>
      <c r="M35" s="107">
        <f t="shared" si="14"/>
        <v>248877.4217375</v>
      </c>
      <c r="N35" s="133">
        <f t="shared" si="14"/>
        <v>266298.84125912498</v>
      </c>
    </row>
    <row r="36" spans="1:14" s="28" customFormat="1" ht="14.25" x14ac:dyDescent="0.2">
      <c r="A36" s="25" t="s">
        <v>331</v>
      </c>
      <c r="B36" s="25"/>
      <c r="C36" s="26" t="s">
        <v>152</v>
      </c>
      <c r="D36" s="27">
        <f t="shared" si="10"/>
        <v>38100</v>
      </c>
      <c r="E36" s="27">
        <v>3172.75</v>
      </c>
      <c r="F36" s="27">
        <v>0</v>
      </c>
      <c r="G36" s="27">
        <v>19036.5</v>
      </c>
      <c r="H36" s="27">
        <f t="shared" si="15"/>
        <v>19063.5</v>
      </c>
      <c r="I36" s="27">
        <f t="shared" si="16"/>
        <v>49.964566929133859</v>
      </c>
      <c r="J36" s="27">
        <f t="shared" si="11"/>
        <v>0</v>
      </c>
      <c r="K36" s="27">
        <f t="shared" si="12"/>
        <v>38100</v>
      </c>
      <c r="L36" s="27">
        <f t="shared" si="13"/>
        <v>40481.25</v>
      </c>
      <c r="M36" s="107">
        <f t="shared" si="14"/>
        <v>43314.9375</v>
      </c>
      <c r="N36" s="133">
        <f t="shared" si="14"/>
        <v>46346.983124999999</v>
      </c>
    </row>
    <row r="37" spans="1:14" s="28" customFormat="1" ht="14.25" x14ac:dyDescent="0.2">
      <c r="A37" s="25" t="s">
        <v>332</v>
      </c>
      <c r="B37" s="25"/>
      <c r="C37" s="26" t="s">
        <v>153</v>
      </c>
      <c r="D37" s="27">
        <f t="shared" si="10"/>
        <v>10893</v>
      </c>
      <c r="E37" s="27">
        <v>0</v>
      </c>
      <c r="F37" s="27">
        <v>0</v>
      </c>
      <c r="G37" s="27">
        <v>0</v>
      </c>
      <c r="H37" s="27">
        <f t="shared" si="15"/>
        <v>10893</v>
      </c>
      <c r="I37" s="27">
        <f t="shared" si="16"/>
        <v>0</v>
      </c>
      <c r="J37" s="27">
        <f t="shared" si="11"/>
        <v>0</v>
      </c>
      <c r="K37" s="27">
        <f t="shared" si="12"/>
        <v>10893</v>
      </c>
      <c r="L37" s="27">
        <f t="shared" si="13"/>
        <v>11573.8125</v>
      </c>
      <c r="M37" s="107">
        <f t="shared" si="14"/>
        <v>12383.979375000001</v>
      </c>
      <c r="N37" s="133">
        <f t="shared" si="14"/>
        <v>13250.857931250001</v>
      </c>
    </row>
    <row r="38" spans="1:14" s="28" customFormat="1" ht="14.25" x14ac:dyDescent="0.2">
      <c r="A38" s="25" t="s">
        <v>333</v>
      </c>
      <c r="B38" s="25"/>
      <c r="C38" s="26" t="s">
        <v>155</v>
      </c>
      <c r="D38" s="27">
        <f t="shared" si="10"/>
        <v>183716</v>
      </c>
      <c r="E38" s="27">
        <v>0</v>
      </c>
      <c r="F38" s="27">
        <v>0</v>
      </c>
      <c r="G38" s="27">
        <v>0</v>
      </c>
      <c r="H38" s="27">
        <f t="shared" si="15"/>
        <v>183716</v>
      </c>
      <c r="I38" s="27">
        <f t="shared" si="16"/>
        <v>0</v>
      </c>
      <c r="J38" s="27">
        <f t="shared" si="11"/>
        <v>0</v>
      </c>
      <c r="K38" s="27">
        <f t="shared" si="12"/>
        <v>183716</v>
      </c>
      <c r="L38" s="27">
        <f t="shared" si="13"/>
        <v>195198.25</v>
      </c>
      <c r="M38" s="107">
        <f t="shared" si="14"/>
        <v>208862.1275</v>
      </c>
      <c r="N38" s="133">
        <f t="shared" si="14"/>
        <v>223482.476425</v>
      </c>
    </row>
    <row r="39" spans="1:14" s="28" customFormat="1" ht="14.25" x14ac:dyDescent="0.2">
      <c r="A39" s="25" t="s">
        <v>334</v>
      </c>
      <c r="B39" s="25"/>
      <c r="C39" s="26" t="s">
        <v>156</v>
      </c>
      <c r="D39" s="27">
        <f t="shared" si="10"/>
        <v>138573</v>
      </c>
      <c r="E39" s="27">
        <v>13313.45</v>
      </c>
      <c r="F39" s="27">
        <v>0</v>
      </c>
      <c r="G39" s="27">
        <v>79880.7</v>
      </c>
      <c r="H39" s="27">
        <f t="shared" si="15"/>
        <v>58692.3</v>
      </c>
      <c r="I39" s="27">
        <f t="shared" si="16"/>
        <v>57.645212270788683</v>
      </c>
      <c r="J39" s="27">
        <f t="shared" si="11"/>
        <v>0</v>
      </c>
      <c r="K39" s="27">
        <f t="shared" si="12"/>
        <v>138573</v>
      </c>
      <c r="L39" s="27">
        <f t="shared" si="13"/>
        <v>147233.8125</v>
      </c>
      <c r="M39" s="107">
        <f t="shared" si="14"/>
        <v>157540.17937500001</v>
      </c>
      <c r="N39" s="133">
        <f t="shared" si="14"/>
        <v>168567.99193125</v>
      </c>
    </row>
    <row r="40" spans="1:14" s="28" customFormat="1" ht="14.25" x14ac:dyDescent="0.2">
      <c r="A40" s="25" t="s">
        <v>335</v>
      </c>
      <c r="B40" s="25"/>
      <c r="C40" s="26" t="s">
        <v>157</v>
      </c>
      <c r="D40" s="27">
        <f t="shared" si="10"/>
        <v>97631</v>
      </c>
      <c r="E40" s="27">
        <v>43288.32</v>
      </c>
      <c r="F40" s="27">
        <v>0</v>
      </c>
      <c r="G40" s="27">
        <v>120401.67</v>
      </c>
      <c r="H40" s="27">
        <f t="shared" si="15"/>
        <v>-22770.67</v>
      </c>
      <c r="I40" s="27">
        <f t="shared" si="16"/>
        <v>123.32319652569367</v>
      </c>
      <c r="J40" s="27">
        <f t="shared" si="11"/>
        <v>150000</v>
      </c>
      <c r="K40" s="27">
        <f t="shared" si="12"/>
        <v>247631</v>
      </c>
      <c r="L40" s="27">
        <f t="shared" si="13"/>
        <v>263107.9375</v>
      </c>
      <c r="M40" s="107">
        <f t="shared" si="14"/>
        <v>281525.49312499998</v>
      </c>
      <c r="N40" s="133">
        <f t="shared" si="14"/>
        <v>301232.27764374996</v>
      </c>
    </row>
    <row r="41" spans="1:14" s="28" customFormat="1" ht="14.25" x14ac:dyDescent="0.2">
      <c r="A41" s="25" t="s">
        <v>336</v>
      </c>
      <c r="B41" s="25"/>
      <c r="C41" s="26" t="s">
        <v>158</v>
      </c>
      <c r="D41" s="27">
        <f t="shared" si="10"/>
        <v>11138</v>
      </c>
      <c r="E41" s="27">
        <v>0</v>
      </c>
      <c r="F41" s="27">
        <v>0</v>
      </c>
      <c r="G41" s="27">
        <v>56328.93</v>
      </c>
      <c r="H41" s="27">
        <f t="shared" si="15"/>
        <v>-45190.93</v>
      </c>
      <c r="I41" s="27">
        <f t="shared" si="16"/>
        <v>505.73648769976654</v>
      </c>
      <c r="J41" s="27">
        <f t="shared" si="11"/>
        <v>60000</v>
      </c>
      <c r="K41" s="27">
        <f t="shared" si="12"/>
        <v>71138</v>
      </c>
      <c r="L41" s="27">
        <f t="shared" si="13"/>
        <v>75584.125</v>
      </c>
      <c r="M41" s="107">
        <f t="shared" si="14"/>
        <v>80875.013749999998</v>
      </c>
      <c r="N41" s="133">
        <f t="shared" si="14"/>
        <v>86536.264712499993</v>
      </c>
    </row>
    <row r="42" spans="1:14" s="28" customFormat="1" ht="14.25" x14ac:dyDescent="0.2">
      <c r="A42" s="25" t="s">
        <v>337</v>
      </c>
      <c r="B42" s="25"/>
      <c r="C42" s="26" t="s">
        <v>159</v>
      </c>
      <c r="D42" s="27">
        <f t="shared" si="10"/>
        <v>425436</v>
      </c>
      <c r="E42" s="27">
        <v>0</v>
      </c>
      <c r="F42" s="27">
        <v>0</v>
      </c>
      <c r="G42" s="27">
        <v>0</v>
      </c>
      <c r="H42" s="27">
        <f t="shared" si="15"/>
        <v>425436</v>
      </c>
      <c r="I42" s="27">
        <f t="shared" si="16"/>
        <v>0</v>
      </c>
      <c r="J42" s="27">
        <f t="shared" si="11"/>
        <v>0</v>
      </c>
      <c r="K42" s="27">
        <f t="shared" si="12"/>
        <v>425436</v>
      </c>
      <c r="L42" s="27">
        <f t="shared" si="13"/>
        <v>452025.75</v>
      </c>
      <c r="M42" s="107">
        <f t="shared" si="14"/>
        <v>483667.55249999999</v>
      </c>
      <c r="N42" s="133">
        <f t="shared" si="14"/>
        <v>517524.28117500001</v>
      </c>
    </row>
    <row r="43" spans="1:14" s="28" customFormat="1" ht="14.25" x14ac:dyDescent="0.2">
      <c r="A43" s="25" t="s">
        <v>338</v>
      </c>
      <c r="B43" s="25"/>
      <c r="C43" s="26" t="s">
        <v>161</v>
      </c>
      <c r="D43" s="27">
        <f t="shared" si="10"/>
        <v>71952</v>
      </c>
      <c r="E43" s="27">
        <v>0</v>
      </c>
      <c r="F43" s="27">
        <v>0</v>
      </c>
      <c r="G43" s="27">
        <v>64501.53</v>
      </c>
      <c r="H43" s="27">
        <f t="shared" si="15"/>
        <v>7450.4700000000012</v>
      </c>
      <c r="I43" s="27">
        <f t="shared" si="16"/>
        <v>89.645221814543035</v>
      </c>
      <c r="J43" s="27">
        <f t="shared" si="11"/>
        <v>0</v>
      </c>
      <c r="K43" s="27">
        <f t="shared" si="12"/>
        <v>71952</v>
      </c>
      <c r="L43" s="27">
        <f t="shared" si="13"/>
        <v>76449</v>
      </c>
      <c r="M43" s="107">
        <f t="shared" si="14"/>
        <v>81800.429999999993</v>
      </c>
      <c r="N43" s="133">
        <f t="shared" si="14"/>
        <v>87526.460099999997</v>
      </c>
    </row>
    <row r="44" spans="1:14" s="28" customFormat="1" ht="14.25" x14ac:dyDescent="0.2">
      <c r="A44" s="25" t="s">
        <v>339</v>
      </c>
      <c r="B44" s="25"/>
      <c r="C44" s="26" t="s">
        <v>162</v>
      </c>
      <c r="D44" s="27">
        <f t="shared" si="10"/>
        <v>0</v>
      </c>
      <c r="E44" s="27">
        <v>956.72</v>
      </c>
      <c r="F44" s="27">
        <v>0</v>
      </c>
      <c r="G44" s="27">
        <v>1733.61</v>
      </c>
      <c r="H44" s="27">
        <f t="shared" si="15"/>
        <v>-1733.61</v>
      </c>
      <c r="I44" s="27">
        <v>0</v>
      </c>
      <c r="J44" s="27">
        <f t="shared" si="11"/>
        <v>4000</v>
      </c>
      <c r="K44" s="27">
        <f t="shared" si="12"/>
        <v>4000</v>
      </c>
      <c r="L44" s="27">
        <f t="shared" si="13"/>
        <v>4250</v>
      </c>
      <c r="M44" s="107">
        <f t="shared" si="14"/>
        <v>4547.5</v>
      </c>
      <c r="N44" s="133">
        <f t="shared" si="14"/>
        <v>4865.8249999999998</v>
      </c>
    </row>
    <row r="45" spans="1:14" s="28" customFormat="1" ht="14.25" x14ac:dyDescent="0.2">
      <c r="A45" s="25" t="s">
        <v>340</v>
      </c>
      <c r="B45" s="25"/>
      <c r="C45" s="26" t="s">
        <v>163</v>
      </c>
      <c r="D45" s="27">
        <f t="shared" si="10"/>
        <v>17000</v>
      </c>
      <c r="E45" s="27">
        <v>0</v>
      </c>
      <c r="F45" s="27">
        <v>0</v>
      </c>
      <c r="G45" s="27">
        <v>0</v>
      </c>
      <c r="H45" s="27">
        <f t="shared" si="15"/>
        <v>17000</v>
      </c>
      <c r="I45" s="27">
        <f t="shared" si="16"/>
        <v>0</v>
      </c>
      <c r="J45" s="27">
        <f t="shared" si="11"/>
        <v>-10000</v>
      </c>
      <c r="K45" s="27">
        <f t="shared" si="12"/>
        <v>7000</v>
      </c>
      <c r="L45" s="27">
        <f t="shared" si="13"/>
        <v>7437.5</v>
      </c>
      <c r="M45" s="107">
        <f t="shared" si="14"/>
        <v>7958.125</v>
      </c>
      <c r="N45" s="133">
        <f t="shared" si="14"/>
        <v>8515.1937500000004</v>
      </c>
    </row>
    <row r="46" spans="1:14" s="28" customFormat="1" ht="14.25" x14ac:dyDescent="0.2">
      <c r="A46" s="25" t="s">
        <v>341</v>
      </c>
      <c r="B46" s="25"/>
      <c r="C46" s="26" t="s">
        <v>164</v>
      </c>
      <c r="D46" s="27">
        <f t="shared" si="10"/>
        <v>36468</v>
      </c>
      <c r="E46" s="27">
        <v>1307.7</v>
      </c>
      <c r="F46" s="27">
        <v>0</v>
      </c>
      <c r="G46" s="27">
        <v>7846.2</v>
      </c>
      <c r="H46" s="27">
        <f t="shared" si="15"/>
        <v>28621.8</v>
      </c>
      <c r="I46" s="27">
        <f t="shared" si="16"/>
        <v>21.515301085883515</v>
      </c>
      <c r="J46" s="27">
        <f t="shared" si="11"/>
        <v>0</v>
      </c>
      <c r="K46" s="27">
        <f t="shared" si="12"/>
        <v>36468</v>
      </c>
      <c r="L46" s="27">
        <f t="shared" si="13"/>
        <v>38747.25</v>
      </c>
      <c r="M46" s="107">
        <f t="shared" si="14"/>
        <v>41459.557500000003</v>
      </c>
      <c r="N46" s="133">
        <f t="shared" si="14"/>
        <v>44361.726525000005</v>
      </c>
    </row>
    <row r="47" spans="1:14" s="28" customFormat="1" ht="14.25" x14ac:dyDescent="0.2">
      <c r="A47" s="25"/>
      <c r="B47" s="25"/>
      <c r="C47" s="26"/>
      <c r="D47" s="27"/>
      <c r="E47" s="27"/>
      <c r="F47" s="27"/>
      <c r="G47" s="27"/>
      <c r="H47" s="27"/>
      <c r="I47" s="27"/>
      <c r="J47" s="27"/>
      <c r="K47" s="27"/>
      <c r="L47" s="27"/>
      <c r="M47" s="107"/>
      <c r="N47" s="133"/>
    </row>
    <row r="48" spans="1:14" s="24" customFormat="1" x14ac:dyDescent="0.25">
      <c r="A48" s="20"/>
      <c r="B48" s="20"/>
      <c r="C48" s="21" t="s">
        <v>165</v>
      </c>
      <c r="D48" s="22">
        <f>SUM(D34:D47)</f>
        <v>6478042</v>
      </c>
      <c r="E48" s="22">
        <f>SUM(E34:E47)</f>
        <v>812312.80999999982</v>
      </c>
      <c r="F48" s="22">
        <f>SUM(F34:F47)</f>
        <v>0</v>
      </c>
      <c r="G48" s="22">
        <f>SUM(G34:G47)</f>
        <v>3681636.91</v>
      </c>
      <c r="H48" s="22">
        <f>SUM(H34:H47)</f>
        <v>2796405.09</v>
      </c>
      <c r="I48" s="22">
        <f t="shared" si="16"/>
        <v>56.832556967058878</v>
      </c>
      <c r="J48" s="27">
        <f>+K48-D48</f>
        <v>164208.62000000011</v>
      </c>
      <c r="K48" s="22">
        <f>SUM(K34:K47)</f>
        <v>6642250.6200000001</v>
      </c>
      <c r="L48" s="22">
        <f>SUM(L34:L47)</f>
        <v>7057391.2837500004</v>
      </c>
      <c r="M48" s="134">
        <f>SUM(M34:M47)</f>
        <v>7551408.6736125015</v>
      </c>
      <c r="N48" s="134">
        <f>SUM(N34:N47)</f>
        <v>8080007.2807653742</v>
      </c>
    </row>
    <row r="49" spans="1:14" s="24" customFormat="1" x14ac:dyDescent="0.25">
      <c r="A49" s="20"/>
      <c r="B49" s="20"/>
      <c r="C49" s="21"/>
      <c r="D49" s="22"/>
      <c r="E49" s="22"/>
      <c r="F49" s="22"/>
      <c r="G49" s="22"/>
      <c r="H49" s="22"/>
      <c r="I49" s="22"/>
      <c r="J49" s="22"/>
      <c r="K49" s="27"/>
      <c r="L49" s="22"/>
      <c r="M49" s="134"/>
      <c r="N49" s="132"/>
    </row>
    <row r="50" spans="1:14" s="24" customFormat="1" x14ac:dyDescent="0.25">
      <c r="A50" s="20"/>
      <c r="B50" s="20"/>
      <c r="C50" s="21" t="s">
        <v>166</v>
      </c>
      <c r="D50" s="22"/>
      <c r="E50" s="22"/>
      <c r="F50" s="22"/>
      <c r="G50" s="22"/>
      <c r="H50" s="22"/>
      <c r="I50" s="22"/>
      <c r="J50" s="22"/>
      <c r="K50" s="27"/>
      <c r="L50" s="22"/>
      <c r="M50" s="134"/>
      <c r="N50" s="132"/>
    </row>
    <row r="51" spans="1:14" s="28" customFormat="1" ht="14.25" x14ac:dyDescent="0.2">
      <c r="A51" s="25"/>
      <c r="B51" s="25"/>
      <c r="C51" s="26"/>
      <c r="D51" s="27"/>
      <c r="E51" s="27"/>
      <c r="F51" s="27"/>
      <c r="G51" s="27"/>
      <c r="H51" s="27"/>
      <c r="I51" s="27"/>
      <c r="J51" s="27"/>
      <c r="K51" s="27"/>
      <c r="L51" s="27"/>
      <c r="M51" s="107"/>
      <c r="N51" s="133"/>
    </row>
    <row r="52" spans="1:14" s="28" customFormat="1" ht="14.25" x14ac:dyDescent="0.2">
      <c r="A52" s="25" t="s">
        <v>342</v>
      </c>
      <c r="B52" s="25"/>
      <c r="C52" s="26" t="s">
        <v>167</v>
      </c>
      <c r="D52" s="27">
        <f>VLOOKUP(A52,fin,3,FALSE)</f>
        <v>3371</v>
      </c>
      <c r="E52" s="27">
        <v>274.94</v>
      </c>
      <c r="F52" s="27">
        <v>0</v>
      </c>
      <c r="G52" s="27">
        <v>1603.04</v>
      </c>
      <c r="H52" s="27">
        <f>D52-G52</f>
        <v>1767.96</v>
      </c>
      <c r="I52" s="27">
        <f>G52/D52*100</f>
        <v>47.553841590032633</v>
      </c>
      <c r="J52" s="27"/>
      <c r="K52" s="27">
        <f>VLOOKUP(A52,fin,4,FALSE)</f>
        <v>3371</v>
      </c>
      <c r="L52" s="27">
        <f t="shared" ref="L52:L55" si="17">K52*6.25/100+K52</f>
        <v>3581.6875</v>
      </c>
      <c r="M52" s="107">
        <f t="shared" ref="M52:N55" si="18">L52*7/100+L52</f>
        <v>3832.4056249999999</v>
      </c>
      <c r="N52" s="133">
        <f t="shared" si="18"/>
        <v>4100.67401875</v>
      </c>
    </row>
    <row r="53" spans="1:14" s="28" customFormat="1" ht="14.25" x14ac:dyDescent="0.2">
      <c r="A53" s="25" t="s">
        <v>343</v>
      </c>
      <c r="B53" s="25"/>
      <c r="C53" s="26" t="s">
        <v>168</v>
      </c>
      <c r="D53" s="27">
        <f>VLOOKUP(A53,fin,3,FALSE)</f>
        <v>1293797</v>
      </c>
      <c r="E53" s="27">
        <v>50940.15</v>
      </c>
      <c r="F53" s="27">
        <v>0</v>
      </c>
      <c r="G53" s="27">
        <v>363987.45</v>
      </c>
      <c r="H53" s="27">
        <f>D53-G53</f>
        <v>929809.55</v>
      </c>
      <c r="I53" s="27">
        <f>G53/D53*100</f>
        <v>28.133273612475527</v>
      </c>
      <c r="J53" s="27">
        <f>+K53-D53</f>
        <v>-500000</v>
      </c>
      <c r="K53" s="27">
        <f>VLOOKUP(A53,fin,4,FALSE)</f>
        <v>793797</v>
      </c>
      <c r="L53" s="27">
        <f t="shared" si="17"/>
        <v>843409.3125</v>
      </c>
      <c r="M53" s="107">
        <f t="shared" si="18"/>
        <v>902447.96437499998</v>
      </c>
      <c r="N53" s="133">
        <f t="shared" si="18"/>
        <v>965619.32188125001</v>
      </c>
    </row>
    <row r="54" spans="1:14" s="28" customFormat="1" ht="14.25" x14ac:dyDescent="0.2">
      <c r="A54" s="25" t="s">
        <v>344</v>
      </c>
      <c r="B54" s="25"/>
      <c r="C54" s="26" t="s">
        <v>169</v>
      </c>
      <c r="D54" s="27">
        <f>VLOOKUP(A54,fin,3,FALSE)</f>
        <v>1123150</v>
      </c>
      <c r="E54" s="27">
        <v>105476.44</v>
      </c>
      <c r="F54" s="27">
        <v>0</v>
      </c>
      <c r="G54" s="27">
        <v>617398.25</v>
      </c>
      <c r="H54" s="27">
        <f>D54-G54</f>
        <v>505751.75</v>
      </c>
      <c r="I54" s="27">
        <f>G54/D54*100</f>
        <v>54.970239950140233</v>
      </c>
      <c r="J54" s="27"/>
      <c r="K54" s="27">
        <f>VLOOKUP(A54,fin,4,FALSE)</f>
        <v>1123150</v>
      </c>
      <c r="L54" s="27">
        <f t="shared" si="17"/>
        <v>1193346.875</v>
      </c>
      <c r="M54" s="107">
        <f t="shared" si="18"/>
        <v>1276881.15625</v>
      </c>
      <c r="N54" s="133">
        <f t="shared" si="18"/>
        <v>1366262.8371875</v>
      </c>
    </row>
    <row r="55" spans="1:14" s="28" customFormat="1" ht="14.25" x14ac:dyDescent="0.2">
      <c r="A55" s="25" t="s">
        <v>345</v>
      </c>
      <c r="B55" s="25"/>
      <c r="C55" s="26" t="s">
        <v>170</v>
      </c>
      <c r="D55" s="27">
        <f>VLOOKUP(A55,fin,3,FALSE)</f>
        <v>49980</v>
      </c>
      <c r="E55" s="27">
        <v>4377.84</v>
      </c>
      <c r="F55" s="27">
        <v>0</v>
      </c>
      <c r="G55" s="27">
        <v>25698.48</v>
      </c>
      <c r="H55" s="27">
        <f>D55-G55</f>
        <v>24281.52</v>
      </c>
      <c r="I55" s="27">
        <f>G55/D55*100</f>
        <v>51.417527010804321</v>
      </c>
      <c r="J55" s="27"/>
      <c r="K55" s="27">
        <f>VLOOKUP(A55,fin,4,FALSE)</f>
        <v>49980</v>
      </c>
      <c r="L55" s="27">
        <f t="shared" si="17"/>
        <v>53103.75</v>
      </c>
      <c r="M55" s="107">
        <f t="shared" si="18"/>
        <v>56821.012499999997</v>
      </c>
      <c r="N55" s="133">
        <f t="shared" si="18"/>
        <v>60798.483374999996</v>
      </c>
    </row>
    <row r="56" spans="1:14" s="28" customFormat="1" ht="14.25" x14ac:dyDescent="0.2">
      <c r="A56" s="25"/>
      <c r="B56" s="25"/>
      <c r="C56" s="26"/>
      <c r="D56" s="27"/>
      <c r="E56" s="27"/>
      <c r="F56" s="27"/>
      <c r="G56" s="27"/>
      <c r="H56" s="27"/>
      <c r="I56" s="27"/>
      <c r="J56" s="27"/>
      <c r="K56" s="27"/>
      <c r="L56" s="27"/>
      <c r="M56" s="107"/>
      <c r="N56" s="133"/>
    </row>
    <row r="57" spans="1:14" s="24" customFormat="1" x14ac:dyDescent="0.25">
      <c r="A57" s="20"/>
      <c r="B57" s="20"/>
      <c r="C57" s="21" t="s">
        <v>171</v>
      </c>
      <c r="D57" s="22">
        <f>SUM(D52:D56)</f>
        <v>2470298</v>
      </c>
      <c r="E57" s="22">
        <f>SUM(E52:E56)</f>
        <v>161069.37</v>
      </c>
      <c r="F57" s="22">
        <f>SUM(F52:F56)</f>
        <v>0</v>
      </c>
      <c r="G57" s="22">
        <f>SUM(G52:G56)</f>
        <v>1008687.22</v>
      </c>
      <c r="H57" s="22">
        <f>SUM(H52:H56)</f>
        <v>1461610.78</v>
      </c>
      <c r="I57" s="22">
        <v>38.61</v>
      </c>
      <c r="J57" s="27">
        <f>+K57-D57</f>
        <v>-500000</v>
      </c>
      <c r="K57" s="22">
        <f>SUM(K52:K56)</f>
        <v>1970298</v>
      </c>
      <c r="L57" s="22">
        <f>SUM(L52:L56)</f>
        <v>2093441.625</v>
      </c>
      <c r="M57" s="134">
        <f>SUM(M52:M56)</f>
        <v>2239982.5387500003</v>
      </c>
      <c r="N57" s="134">
        <f>SUM(N52:N56)</f>
        <v>2396781.3164625</v>
      </c>
    </row>
    <row r="58" spans="1:14" s="24" customFormat="1" x14ac:dyDescent="0.25">
      <c r="A58" s="20"/>
      <c r="B58" s="20"/>
      <c r="C58" s="21"/>
      <c r="D58" s="22"/>
      <c r="E58" s="22"/>
      <c r="F58" s="22"/>
      <c r="G58" s="22"/>
      <c r="H58" s="22"/>
      <c r="I58" s="22"/>
      <c r="J58" s="22"/>
      <c r="K58" s="27"/>
      <c r="L58" s="22"/>
      <c r="M58" s="134"/>
      <c r="N58" s="132"/>
    </row>
    <row r="59" spans="1:14" s="24" customFormat="1" x14ac:dyDescent="0.25">
      <c r="A59" s="20"/>
      <c r="B59" s="20"/>
      <c r="C59" s="21" t="s">
        <v>172</v>
      </c>
      <c r="D59" s="22"/>
      <c r="E59" s="22"/>
      <c r="F59" s="22"/>
      <c r="G59" s="22"/>
      <c r="H59" s="22"/>
      <c r="I59" s="22"/>
      <c r="J59" s="22"/>
      <c r="K59" s="27"/>
      <c r="L59" s="22"/>
      <c r="M59" s="134"/>
      <c r="N59" s="132"/>
    </row>
    <row r="60" spans="1:14" s="28" customFormat="1" ht="14.25" x14ac:dyDescent="0.2">
      <c r="A60" s="25"/>
      <c r="B60" s="25"/>
      <c r="C60" s="26"/>
      <c r="D60" s="27"/>
      <c r="E60" s="27"/>
      <c r="F60" s="27"/>
      <c r="G60" s="27"/>
      <c r="H60" s="27"/>
      <c r="I60" s="27"/>
      <c r="J60" s="27"/>
      <c r="K60" s="27"/>
      <c r="L60" s="27"/>
      <c r="M60" s="107"/>
      <c r="N60" s="133"/>
    </row>
    <row r="61" spans="1:14" s="28" customFormat="1" ht="14.25" x14ac:dyDescent="0.2">
      <c r="A61" s="25" t="s">
        <v>346</v>
      </c>
      <c r="B61" s="25"/>
      <c r="C61" s="26" t="s">
        <v>173</v>
      </c>
      <c r="D61" s="27">
        <f>VLOOKUP(A61,fin,3,FALSE)</f>
        <v>112883</v>
      </c>
      <c r="E61" s="27">
        <v>0</v>
      </c>
      <c r="F61" s="27">
        <v>0</v>
      </c>
      <c r="G61" s="27">
        <v>0</v>
      </c>
      <c r="H61" s="27">
        <v>112883</v>
      </c>
      <c r="I61" s="27">
        <v>0</v>
      </c>
      <c r="J61" s="27"/>
      <c r="K61" s="27">
        <f>VLOOKUP(A61,fin,4,FALSE)</f>
        <v>112883</v>
      </c>
      <c r="L61" s="27">
        <f t="shared" ref="L61:L64" si="19">K61*6.25/100+K61</f>
        <v>119938.1875</v>
      </c>
      <c r="M61" s="107">
        <f t="shared" ref="M61:N64" si="20">L61*7/100+L61</f>
        <v>128333.860625</v>
      </c>
      <c r="N61" s="133">
        <f t="shared" si="20"/>
        <v>137317.23086874999</v>
      </c>
    </row>
    <row r="62" spans="1:14" s="28" customFormat="1" ht="14.25" x14ac:dyDescent="0.2">
      <c r="A62" s="25" t="s">
        <v>347</v>
      </c>
      <c r="B62" s="25"/>
      <c r="C62" s="26" t="s">
        <v>174</v>
      </c>
      <c r="D62" s="27">
        <f>VLOOKUP(A62,fin,3,FALSE)</f>
        <v>142433</v>
      </c>
      <c r="E62" s="27">
        <v>0</v>
      </c>
      <c r="F62" s="27">
        <v>0</v>
      </c>
      <c r="G62" s="27">
        <v>0</v>
      </c>
      <c r="H62" s="27">
        <v>142433</v>
      </c>
      <c r="I62" s="27">
        <v>0</v>
      </c>
      <c r="J62" s="27"/>
      <c r="K62" s="27">
        <f>VLOOKUP(A62,fin,4,FALSE)</f>
        <v>142433</v>
      </c>
      <c r="L62" s="27">
        <f t="shared" si="19"/>
        <v>151335.0625</v>
      </c>
      <c r="M62" s="107">
        <f t="shared" si="20"/>
        <v>161928.516875</v>
      </c>
      <c r="N62" s="133">
        <f t="shared" si="20"/>
        <v>173263.51305625</v>
      </c>
    </row>
    <row r="63" spans="1:14" s="28" customFormat="1" ht="14.25" x14ac:dyDescent="0.2">
      <c r="A63" s="25" t="s">
        <v>1391</v>
      </c>
      <c r="B63" s="25"/>
      <c r="C63" s="26" t="s">
        <v>1392</v>
      </c>
      <c r="D63" s="27">
        <f>VLOOKUP(A63,fin,3,FALSE)</f>
        <v>0</v>
      </c>
      <c r="E63" s="27">
        <v>0</v>
      </c>
      <c r="F63" s="27">
        <v>0</v>
      </c>
      <c r="G63" s="27">
        <v>0</v>
      </c>
      <c r="H63" s="27">
        <v>0</v>
      </c>
      <c r="I63" s="27"/>
      <c r="J63" s="27">
        <f t="shared" ref="J63:J127" si="21">+K63-D63</f>
        <v>350000</v>
      </c>
      <c r="K63" s="27">
        <f>VLOOKUP(A63,fin,4,FALSE)</f>
        <v>350000</v>
      </c>
      <c r="L63" s="27">
        <f t="shared" si="19"/>
        <v>371875</v>
      </c>
      <c r="M63" s="107">
        <f t="shared" si="20"/>
        <v>397906.25</v>
      </c>
      <c r="N63" s="133">
        <f t="shared" si="20"/>
        <v>425759.6875</v>
      </c>
    </row>
    <row r="64" spans="1:14" s="28" customFormat="1" ht="14.25" x14ac:dyDescent="0.2">
      <c r="A64" s="25" t="s">
        <v>348</v>
      </c>
      <c r="B64" s="25"/>
      <c r="C64" s="26" t="s">
        <v>175</v>
      </c>
      <c r="D64" s="27">
        <f>VLOOKUP(A64,fin,3,FALSE)</f>
        <v>79236</v>
      </c>
      <c r="E64" s="27">
        <v>0</v>
      </c>
      <c r="F64" s="27">
        <v>0</v>
      </c>
      <c r="G64" s="27">
        <v>0</v>
      </c>
      <c r="H64" s="27">
        <v>79236</v>
      </c>
      <c r="I64" s="27">
        <v>0</v>
      </c>
      <c r="J64" s="27">
        <f t="shared" si="21"/>
        <v>0</v>
      </c>
      <c r="K64" s="27">
        <f>VLOOKUP(A64,fin,4,FALSE)</f>
        <v>79236</v>
      </c>
      <c r="L64" s="27">
        <f t="shared" si="19"/>
        <v>84188.25</v>
      </c>
      <c r="M64" s="107">
        <f t="shared" si="20"/>
        <v>90081.427500000005</v>
      </c>
      <c r="N64" s="133">
        <f t="shared" si="20"/>
        <v>96387.127425000013</v>
      </c>
    </row>
    <row r="65" spans="1:14" s="28" customFormat="1" ht="14.25" x14ac:dyDescent="0.2">
      <c r="A65" s="25"/>
      <c r="B65" s="25"/>
      <c r="C65" s="26"/>
      <c r="D65" s="27"/>
      <c r="E65" s="27"/>
      <c r="F65" s="27"/>
      <c r="G65" s="27"/>
      <c r="H65" s="27"/>
      <c r="I65" s="27"/>
      <c r="J65" s="27">
        <f t="shared" si="21"/>
        <v>0</v>
      </c>
      <c r="K65" s="27"/>
      <c r="L65" s="27"/>
      <c r="M65" s="107"/>
      <c r="N65" s="133"/>
    </row>
    <row r="66" spans="1:14" s="24" customFormat="1" x14ac:dyDescent="0.25">
      <c r="A66" s="20"/>
      <c r="B66" s="20"/>
      <c r="C66" s="21" t="s">
        <v>176</v>
      </c>
      <c r="D66" s="22">
        <f>SUM(D61:D65)</f>
        <v>334552</v>
      </c>
      <c r="E66" s="22">
        <f>SUM(E61:E65)</f>
        <v>0</v>
      </c>
      <c r="F66" s="22">
        <f>SUM(F61:F65)</f>
        <v>0</v>
      </c>
      <c r="G66" s="22">
        <f>SUM(G61:G65)</f>
        <v>0</v>
      </c>
      <c r="H66" s="22">
        <f>SUM(H61:H65)</f>
        <v>334552</v>
      </c>
      <c r="I66" s="22">
        <v>0</v>
      </c>
      <c r="J66" s="27">
        <f t="shared" si="21"/>
        <v>350000</v>
      </c>
      <c r="K66" s="22">
        <f>SUM(K61:K65)</f>
        <v>684552</v>
      </c>
      <c r="L66" s="22">
        <f>SUM(L61:L65)</f>
        <v>727336.5</v>
      </c>
      <c r="M66" s="134">
        <f>SUM(M61:M65)</f>
        <v>778250.05499999993</v>
      </c>
      <c r="N66" s="134">
        <f>SUM(N61:N65)</f>
        <v>832727.55884999991</v>
      </c>
    </row>
    <row r="67" spans="1:14" s="24" customFormat="1" x14ac:dyDescent="0.25">
      <c r="A67" s="20"/>
      <c r="B67" s="20"/>
      <c r="C67" s="21"/>
      <c r="D67" s="22"/>
      <c r="E67" s="22"/>
      <c r="F67" s="22"/>
      <c r="G67" s="22"/>
      <c r="H67" s="22"/>
      <c r="I67" s="22"/>
      <c r="J67" s="27">
        <f t="shared" si="21"/>
        <v>0</v>
      </c>
      <c r="K67" s="27"/>
      <c r="L67" s="22"/>
      <c r="M67" s="134"/>
      <c r="N67" s="132"/>
    </row>
    <row r="68" spans="1:14" s="24" customFormat="1" x14ac:dyDescent="0.25">
      <c r="A68" s="20"/>
      <c r="B68" s="20"/>
      <c r="C68" s="21" t="s">
        <v>177</v>
      </c>
      <c r="D68" s="22">
        <f>D48+D57+D66</f>
        <v>9282892</v>
      </c>
      <c r="E68" s="22">
        <f t="shared" ref="E68:N68" si="22">E48+E57+E66</f>
        <v>973382.17999999982</v>
      </c>
      <c r="F68" s="22">
        <f t="shared" si="22"/>
        <v>0</v>
      </c>
      <c r="G68" s="22">
        <f t="shared" si="22"/>
        <v>4690324.13</v>
      </c>
      <c r="H68" s="22">
        <f t="shared" si="22"/>
        <v>4592567.87</v>
      </c>
      <c r="I68" s="22">
        <v>49.93</v>
      </c>
      <c r="J68" s="27">
        <f t="shared" si="21"/>
        <v>14208.620000001043</v>
      </c>
      <c r="K68" s="22">
        <f t="shared" si="22"/>
        <v>9297100.620000001</v>
      </c>
      <c r="L68" s="22">
        <f t="shared" si="22"/>
        <v>9878169.4087500013</v>
      </c>
      <c r="M68" s="134">
        <f t="shared" si="22"/>
        <v>10569641.267362501</v>
      </c>
      <c r="N68" s="134">
        <f t="shared" si="22"/>
        <v>11309516.156077875</v>
      </c>
    </row>
    <row r="69" spans="1:14" s="24" customFormat="1" x14ac:dyDescent="0.25">
      <c r="A69" s="20"/>
      <c r="B69" s="20"/>
      <c r="C69" s="21"/>
      <c r="D69" s="22"/>
      <c r="E69" s="22"/>
      <c r="F69" s="22"/>
      <c r="G69" s="22"/>
      <c r="H69" s="22"/>
      <c r="I69" s="22"/>
      <c r="J69" s="27">
        <f t="shared" si="21"/>
        <v>0</v>
      </c>
      <c r="K69" s="27"/>
      <c r="L69" s="22"/>
      <c r="M69" s="134"/>
      <c r="N69" s="132"/>
    </row>
    <row r="70" spans="1:14" s="24" customFormat="1" x14ac:dyDescent="0.25">
      <c r="A70" s="20"/>
      <c r="B70" s="20"/>
      <c r="C70" s="21" t="s">
        <v>178</v>
      </c>
      <c r="D70" s="22">
        <f>D30+D68</f>
        <v>10290226</v>
      </c>
      <c r="E70" s="22">
        <f t="shared" ref="E70:N70" si="23">E30+E68</f>
        <v>1048521.7599999998</v>
      </c>
      <c r="F70" s="22">
        <f t="shared" si="23"/>
        <v>0</v>
      </c>
      <c r="G70" s="22">
        <f t="shared" si="23"/>
        <v>5141161.6099999994</v>
      </c>
      <c r="H70" s="22">
        <f t="shared" si="23"/>
        <v>5149064.3900000006</v>
      </c>
      <c r="I70" s="22">
        <v>49.42</v>
      </c>
      <c r="J70" s="27">
        <f t="shared" si="21"/>
        <v>-6667.3799999989569</v>
      </c>
      <c r="K70" s="22">
        <f>K30+K68</f>
        <v>10283558.620000001</v>
      </c>
      <c r="L70" s="22">
        <f t="shared" si="23"/>
        <v>10926281.033750001</v>
      </c>
      <c r="M70" s="134">
        <f t="shared" si="23"/>
        <v>11691120.706112502</v>
      </c>
      <c r="N70" s="134">
        <f t="shared" si="23"/>
        <v>12509499.155540375</v>
      </c>
    </row>
    <row r="71" spans="1:14" s="24" customFormat="1" x14ac:dyDescent="0.25">
      <c r="A71" s="20"/>
      <c r="B71" s="20"/>
      <c r="C71" s="21"/>
      <c r="D71" s="22"/>
      <c r="E71" s="22"/>
      <c r="F71" s="22"/>
      <c r="G71" s="22"/>
      <c r="H71" s="22"/>
      <c r="I71" s="22"/>
      <c r="J71" s="27">
        <f t="shared" si="21"/>
        <v>0</v>
      </c>
      <c r="K71" s="27"/>
      <c r="L71" s="22"/>
      <c r="M71" s="134"/>
      <c r="N71" s="132"/>
    </row>
    <row r="72" spans="1:14" s="24" customFormat="1" x14ac:dyDescent="0.25">
      <c r="A72" s="20"/>
      <c r="B72" s="20"/>
      <c r="C72" s="21" t="s">
        <v>208</v>
      </c>
      <c r="D72" s="22"/>
      <c r="E72" s="22"/>
      <c r="F72" s="22"/>
      <c r="G72" s="22"/>
      <c r="H72" s="22"/>
      <c r="I72" s="22"/>
      <c r="J72" s="27">
        <f t="shared" si="21"/>
        <v>0</v>
      </c>
      <c r="K72" s="27"/>
      <c r="L72" s="22"/>
      <c r="M72" s="134"/>
      <c r="N72" s="132"/>
    </row>
    <row r="73" spans="1:14" s="24" customFormat="1" x14ac:dyDescent="0.25">
      <c r="A73" s="20"/>
      <c r="B73" s="20"/>
      <c r="C73" s="21"/>
      <c r="D73" s="22"/>
      <c r="E73" s="22"/>
      <c r="F73" s="22"/>
      <c r="G73" s="22"/>
      <c r="H73" s="22"/>
      <c r="I73" s="22"/>
      <c r="J73" s="27">
        <f t="shared" si="21"/>
        <v>0</v>
      </c>
      <c r="K73" s="27"/>
      <c r="L73" s="22"/>
      <c r="M73" s="134"/>
      <c r="N73" s="132"/>
    </row>
    <row r="74" spans="1:14" s="24" customFormat="1" x14ac:dyDescent="0.25">
      <c r="A74" s="20"/>
      <c r="B74" s="20"/>
      <c r="C74" s="21" t="s">
        <v>209</v>
      </c>
      <c r="D74" s="22"/>
      <c r="E74" s="22"/>
      <c r="F74" s="22"/>
      <c r="G74" s="22"/>
      <c r="H74" s="22"/>
      <c r="I74" s="22"/>
      <c r="J74" s="27">
        <f t="shared" si="21"/>
        <v>0</v>
      </c>
      <c r="K74" s="27"/>
      <c r="L74" s="22"/>
      <c r="M74" s="134"/>
      <c r="N74" s="132"/>
    </row>
    <row r="75" spans="1:14" s="24" customFormat="1" x14ac:dyDescent="0.25">
      <c r="A75" s="20"/>
      <c r="B75" s="20"/>
      <c r="C75" s="21"/>
      <c r="D75" s="22"/>
      <c r="E75" s="22"/>
      <c r="F75" s="22"/>
      <c r="G75" s="22"/>
      <c r="H75" s="22"/>
      <c r="I75" s="22"/>
      <c r="J75" s="27">
        <f t="shared" si="21"/>
        <v>0</v>
      </c>
      <c r="K75" s="27"/>
      <c r="L75" s="22"/>
      <c r="M75" s="134"/>
      <c r="N75" s="132"/>
    </row>
    <row r="76" spans="1:14" s="28" customFormat="1" ht="14.25" x14ac:dyDescent="0.2">
      <c r="A76" s="25" t="s">
        <v>349</v>
      </c>
      <c r="B76" s="25"/>
      <c r="C76" s="26" t="s">
        <v>216</v>
      </c>
      <c r="D76" s="27">
        <f>VLOOKUP(A76,fin,3,FALSE)</f>
        <v>8639351</v>
      </c>
      <c r="E76" s="27">
        <v>650483.55000000005</v>
      </c>
      <c r="F76" s="27">
        <v>0</v>
      </c>
      <c r="G76" s="27">
        <v>3552775.02</v>
      </c>
      <c r="H76" s="27">
        <f>D76-G76</f>
        <v>5086575.9800000004</v>
      </c>
      <c r="I76" s="27">
        <f>G76/D76*100</f>
        <v>41.123170247394739</v>
      </c>
      <c r="J76" s="27">
        <f t="shared" si="21"/>
        <v>0</v>
      </c>
      <c r="K76" s="27">
        <f>VLOOKUP(A76,fin,4,FALSE)</f>
        <v>8639351</v>
      </c>
      <c r="L76" s="27">
        <f>K76*4.5/100+K76</f>
        <v>9028121.7949999999</v>
      </c>
      <c r="M76" s="107">
        <f>L76*4.6/100+L76</f>
        <v>9443415.3975699991</v>
      </c>
      <c r="N76" s="133">
        <f>M76*4.6/100+M76</f>
        <v>9877812.5058582183</v>
      </c>
    </row>
    <row r="77" spans="1:14" s="28" customFormat="1" ht="14.25" x14ac:dyDescent="0.2">
      <c r="A77" s="25"/>
      <c r="B77" s="25"/>
      <c r="C77" s="26"/>
      <c r="D77" s="27"/>
      <c r="E77" s="27"/>
      <c r="F77" s="27"/>
      <c r="G77" s="27"/>
      <c r="H77" s="27"/>
      <c r="I77" s="27"/>
      <c r="J77" s="27">
        <f t="shared" si="21"/>
        <v>0</v>
      </c>
      <c r="K77" s="27"/>
      <c r="L77" s="27"/>
      <c r="M77" s="107"/>
      <c r="N77" s="133"/>
    </row>
    <row r="78" spans="1:14" s="24" customFormat="1" x14ac:dyDescent="0.25">
      <c r="A78" s="20"/>
      <c r="B78" s="20"/>
      <c r="C78" s="21" t="s">
        <v>217</v>
      </c>
      <c r="D78" s="22">
        <f>SUM(D76:D77)</f>
        <v>8639351</v>
      </c>
      <c r="E78" s="22">
        <f>SUM(E76:E77)</f>
        <v>650483.55000000005</v>
      </c>
      <c r="F78" s="22">
        <f>SUM(F76:F77)</f>
        <v>0</v>
      </c>
      <c r="G78" s="22">
        <f>SUM(G76:G77)</f>
        <v>3552775.02</v>
      </c>
      <c r="H78" s="22">
        <f>SUM(H76:H77)</f>
        <v>5086575.9800000004</v>
      </c>
      <c r="I78" s="22">
        <v>33.590000000000003</v>
      </c>
      <c r="J78" s="27">
        <f t="shared" si="21"/>
        <v>0</v>
      </c>
      <c r="K78" s="22">
        <f>SUM(K76:K77)</f>
        <v>8639351</v>
      </c>
      <c r="L78" s="22">
        <f>SUM(L76:L77)</f>
        <v>9028121.7949999999</v>
      </c>
      <c r="M78" s="134">
        <f>SUM(M76:M77)</f>
        <v>9443415.3975699991</v>
      </c>
      <c r="N78" s="134">
        <f>SUM(N76:N77)</f>
        <v>9877812.5058582183</v>
      </c>
    </row>
    <row r="79" spans="1:14" s="24" customFormat="1" x14ac:dyDescent="0.25">
      <c r="A79" s="20"/>
      <c r="B79" s="20"/>
      <c r="C79" s="21"/>
      <c r="D79" s="22"/>
      <c r="E79" s="22"/>
      <c r="F79" s="22"/>
      <c r="G79" s="22"/>
      <c r="H79" s="22"/>
      <c r="I79" s="22"/>
      <c r="J79" s="27">
        <f t="shared" si="21"/>
        <v>0</v>
      </c>
      <c r="K79" s="27"/>
      <c r="L79" s="22"/>
      <c r="M79" s="134"/>
      <c r="N79" s="132"/>
    </row>
    <row r="80" spans="1:14" s="24" customFormat="1" x14ac:dyDescent="0.25">
      <c r="A80" s="20"/>
      <c r="B80" s="20"/>
      <c r="C80" s="21" t="s">
        <v>228</v>
      </c>
      <c r="D80" s="22"/>
      <c r="E80" s="22"/>
      <c r="F80" s="22"/>
      <c r="G80" s="22"/>
      <c r="H80" s="22"/>
      <c r="I80" s="22"/>
      <c r="J80" s="27">
        <f t="shared" si="21"/>
        <v>0</v>
      </c>
      <c r="K80" s="27"/>
      <c r="L80" s="22"/>
      <c r="M80" s="134"/>
      <c r="N80" s="132"/>
    </row>
    <row r="81" spans="1:14" s="24" customFormat="1" x14ac:dyDescent="0.25">
      <c r="A81" s="20"/>
      <c r="B81" s="20"/>
      <c r="C81" s="21"/>
      <c r="D81" s="22"/>
      <c r="E81" s="22"/>
      <c r="F81" s="22"/>
      <c r="G81" s="22"/>
      <c r="H81" s="22"/>
      <c r="I81" s="22"/>
      <c r="J81" s="27">
        <f t="shared" si="21"/>
        <v>0</v>
      </c>
      <c r="K81" s="27"/>
      <c r="L81" s="22"/>
      <c r="M81" s="134"/>
      <c r="N81" s="132"/>
    </row>
    <row r="82" spans="1:14" s="28" customFormat="1" ht="14.25" x14ac:dyDescent="0.2">
      <c r="A82" s="25" t="s">
        <v>350</v>
      </c>
      <c r="B82" s="25"/>
      <c r="C82" s="26" t="s">
        <v>234</v>
      </c>
      <c r="D82" s="27">
        <f>VLOOKUP(A82,fin,3,FALSE)</f>
        <v>400000</v>
      </c>
      <c r="E82" s="27">
        <v>42566.65</v>
      </c>
      <c r="F82" s="27">
        <v>27772</v>
      </c>
      <c r="G82" s="27">
        <v>300133.27</v>
      </c>
      <c r="H82" s="27">
        <v>99866.73</v>
      </c>
      <c r="I82" s="27">
        <v>75.03</v>
      </c>
      <c r="J82" s="27">
        <f t="shared" si="21"/>
        <v>0</v>
      </c>
      <c r="K82" s="27">
        <f>VLOOKUP(A82,fin,4,FALSE)</f>
        <v>400000</v>
      </c>
      <c r="L82" s="27">
        <v>400000</v>
      </c>
      <c r="M82" s="107">
        <f t="shared" ref="M82:N82" si="24">L82*4.6/100+L82</f>
        <v>418400</v>
      </c>
      <c r="N82" s="133">
        <f t="shared" si="24"/>
        <v>437646.4</v>
      </c>
    </row>
    <row r="83" spans="1:14" s="28" customFormat="1" ht="14.25" x14ac:dyDescent="0.2">
      <c r="A83" s="25" t="s">
        <v>351</v>
      </c>
      <c r="B83" s="25"/>
      <c r="C83" s="26" t="s">
        <v>234</v>
      </c>
      <c r="D83" s="27">
        <f>VLOOKUP(A83,fin,3,FALSE)</f>
        <v>150000</v>
      </c>
      <c r="E83" s="27">
        <v>0</v>
      </c>
      <c r="F83" s="27">
        <v>66000</v>
      </c>
      <c r="G83" s="27">
        <v>49410</v>
      </c>
      <c r="H83" s="27">
        <v>100590</v>
      </c>
      <c r="I83" s="27">
        <v>32.94</v>
      </c>
      <c r="J83" s="27">
        <f t="shared" si="21"/>
        <v>0</v>
      </c>
      <c r="K83" s="27">
        <f>VLOOKUP(A83,fin,4,FALSE)</f>
        <v>150000</v>
      </c>
      <c r="L83" s="27">
        <f t="shared" ref="L83:L84" si="25">K83*4.5/100+K83</f>
        <v>156750</v>
      </c>
      <c r="M83" s="107">
        <f t="shared" ref="M83:N83" si="26">L83*4.6/100+L83</f>
        <v>163960.5</v>
      </c>
      <c r="N83" s="133">
        <f t="shared" si="26"/>
        <v>171502.68299999999</v>
      </c>
    </row>
    <row r="84" spans="1:14" s="28" customFormat="1" ht="14.25" x14ac:dyDescent="0.2">
      <c r="A84" s="25" t="s">
        <v>352</v>
      </c>
      <c r="B84" s="25"/>
      <c r="C84" s="26" t="s">
        <v>235</v>
      </c>
      <c r="D84" s="27">
        <f>VLOOKUP(A84,fin,3,FALSE)</f>
        <v>200000</v>
      </c>
      <c r="E84" s="27">
        <v>0</v>
      </c>
      <c r="F84" s="27">
        <v>0</v>
      </c>
      <c r="G84" s="27">
        <v>70483.69</v>
      </c>
      <c r="H84" s="27">
        <v>129516.31</v>
      </c>
      <c r="I84" s="27">
        <v>35.24</v>
      </c>
      <c r="J84" s="27">
        <f t="shared" si="21"/>
        <v>0</v>
      </c>
      <c r="K84" s="27">
        <f>VLOOKUP(A84,fin,4,FALSE)</f>
        <v>200000</v>
      </c>
      <c r="L84" s="27">
        <f t="shared" si="25"/>
        <v>209000</v>
      </c>
      <c r="M84" s="107">
        <f t="shared" ref="M84:N84" si="27">L84*4.6/100+L84</f>
        <v>218614</v>
      </c>
      <c r="N84" s="133">
        <f t="shared" si="27"/>
        <v>228670.24400000001</v>
      </c>
    </row>
    <row r="85" spans="1:14" s="28" customFormat="1" ht="14.25" x14ac:dyDescent="0.2">
      <c r="A85" s="25"/>
      <c r="B85" s="25"/>
      <c r="C85" s="26"/>
      <c r="D85" s="27"/>
      <c r="E85" s="27"/>
      <c r="F85" s="27"/>
      <c r="G85" s="27"/>
      <c r="H85" s="27"/>
      <c r="I85" s="27"/>
      <c r="J85" s="27">
        <f t="shared" si="21"/>
        <v>0</v>
      </c>
      <c r="K85" s="27"/>
      <c r="L85" s="27"/>
      <c r="M85" s="107"/>
      <c r="N85" s="133"/>
    </row>
    <row r="86" spans="1:14" s="24" customFormat="1" x14ac:dyDescent="0.25">
      <c r="A86" s="20"/>
      <c r="B86" s="20"/>
      <c r="C86" s="21" t="s">
        <v>239</v>
      </c>
      <c r="D86" s="22">
        <f>SUM(D82:D85)</f>
        <v>750000</v>
      </c>
      <c r="E86" s="22">
        <f>SUM(E82:E85)</f>
        <v>42566.65</v>
      </c>
      <c r="F86" s="22">
        <f>SUM(F82:F85)</f>
        <v>93772</v>
      </c>
      <c r="G86" s="22">
        <f>SUM(G82:G85)</f>
        <v>420026.96</v>
      </c>
      <c r="H86" s="22">
        <f>SUM(H82:H85)</f>
        <v>329973.03999999998</v>
      </c>
      <c r="I86" s="22">
        <v>56</v>
      </c>
      <c r="J86" s="27">
        <f t="shared" si="21"/>
        <v>0</v>
      </c>
      <c r="K86" s="22">
        <f>SUM(K82:K85)</f>
        <v>750000</v>
      </c>
      <c r="L86" s="22">
        <f>SUM(L82:L85)</f>
        <v>765750</v>
      </c>
      <c r="M86" s="134">
        <f>SUM(M82:M85)</f>
        <v>800974.5</v>
      </c>
      <c r="N86" s="134">
        <f>SUM(N82:N85)</f>
        <v>837819.32700000005</v>
      </c>
    </row>
    <row r="87" spans="1:14" s="24" customFormat="1" x14ac:dyDescent="0.25">
      <c r="A87" s="20"/>
      <c r="B87" s="20"/>
      <c r="C87" s="21"/>
      <c r="D87" s="22"/>
      <c r="E87" s="22"/>
      <c r="F87" s="22"/>
      <c r="G87" s="22"/>
      <c r="H87" s="22"/>
      <c r="I87" s="22"/>
      <c r="J87" s="27">
        <f t="shared" si="21"/>
        <v>0</v>
      </c>
      <c r="K87" s="27"/>
      <c r="L87" s="22"/>
      <c r="M87" s="134"/>
      <c r="N87" s="132"/>
    </row>
    <row r="88" spans="1:14" s="24" customFormat="1" x14ac:dyDescent="0.25">
      <c r="A88" s="20"/>
      <c r="B88" s="20"/>
      <c r="C88" s="21" t="s">
        <v>240</v>
      </c>
      <c r="D88" s="22">
        <f>D78+D86</f>
        <v>9389351</v>
      </c>
      <c r="E88" s="22">
        <f t="shared" ref="E88:N88" si="28">E78+E86</f>
        <v>693050.20000000007</v>
      </c>
      <c r="F88" s="22">
        <f t="shared" si="28"/>
        <v>93772</v>
      </c>
      <c r="G88" s="22">
        <f t="shared" si="28"/>
        <v>3972801.98</v>
      </c>
      <c r="H88" s="22">
        <f t="shared" si="28"/>
        <v>5416549.0200000005</v>
      </c>
      <c r="I88" s="22">
        <v>35.380000000000003</v>
      </c>
      <c r="J88" s="27">
        <f t="shared" si="21"/>
        <v>0</v>
      </c>
      <c r="K88" s="22">
        <f t="shared" si="28"/>
        <v>9389351</v>
      </c>
      <c r="L88" s="22">
        <f t="shared" si="28"/>
        <v>9793871.7949999999</v>
      </c>
      <c r="M88" s="134">
        <f t="shared" si="28"/>
        <v>10244389.897569999</v>
      </c>
      <c r="N88" s="134">
        <f t="shared" si="28"/>
        <v>10715631.832858218</v>
      </c>
    </row>
    <row r="89" spans="1:14" s="24" customFormat="1" x14ac:dyDescent="0.25">
      <c r="A89" s="20"/>
      <c r="B89" s="20"/>
      <c r="C89" s="21"/>
      <c r="D89" s="22"/>
      <c r="E89" s="22"/>
      <c r="F89" s="22"/>
      <c r="G89" s="22"/>
      <c r="H89" s="22"/>
      <c r="I89" s="22"/>
      <c r="J89" s="27">
        <f t="shared" si="21"/>
        <v>0</v>
      </c>
      <c r="K89" s="27"/>
      <c r="L89" s="22"/>
      <c r="M89" s="134"/>
      <c r="N89" s="132"/>
    </row>
    <row r="90" spans="1:14" s="24" customFormat="1" x14ac:dyDescent="0.25">
      <c r="A90" s="20"/>
      <c r="B90" s="20"/>
      <c r="C90" s="21" t="s">
        <v>241</v>
      </c>
      <c r="D90" s="22"/>
      <c r="E90" s="22"/>
      <c r="F90" s="22"/>
      <c r="G90" s="22"/>
      <c r="H90" s="22"/>
      <c r="I90" s="22"/>
      <c r="J90" s="27">
        <f t="shared" si="21"/>
        <v>0</v>
      </c>
      <c r="K90" s="27"/>
      <c r="L90" s="22"/>
      <c r="M90" s="134"/>
      <c r="N90" s="132"/>
    </row>
    <row r="91" spans="1:14" s="28" customFormat="1" ht="14.25" x14ac:dyDescent="0.2">
      <c r="A91" s="25"/>
      <c r="B91" s="25"/>
      <c r="C91" s="26"/>
      <c r="D91" s="27"/>
      <c r="E91" s="27"/>
      <c r="F91" s="27"/>
      <c r="G91" s="27"/>
      <c r="H91" s="27"/>
      <c r="I91" s="27"/>
      <c r="J91" s="27">
        <f t="shared" si="21"/>
        <v>0</v>
      </c>
      <c r="K91" s="27"/>
      <c r="L91" s="27"/>
      <c r="M91" s="107"/>
      <c r="N91" s="133"/>
    </row>
    <row r="92" spans="1:14" s="28" customFormat="1" ht="14.25" x14ac:dyDescent="0.2">
      <c r="A92" s="25" t="s">
        <v>353</v>
      </c>
      <c r="B92" s="25"/>
      <c r="C92" s="26" t="s">
        <v>250</v>
      </c>
      <c r="D92" s="27">
        <f t="shared" ref="D92:D109" si="29">VLOOKUP(A92,fin,3,FALSE)</f>
        <v>689000</v>
      </c>
      <c r="E92" s="27">
        <v>0</v>
      </c>
      <c r="F92" s="27">
        <v>0</v>
      </c>
      <c r="G92" s="27">
        <v>132072.35999999999</v>
      </c>
      <c r="H92" s="27">
        <f>D92-G92</f>
        <v>556927.64</v>
      </c>
      <c r="I92" s="27">
        <f>G92/D92*100</f>
        <v>19.168702467343977</v>
      </c>
      <c r="J92" s="27">
        <f t="shared" si="21"/>
        <v>0</v>
      </c>
      <c r="K92" s="27">
        <f t="shared" ref="K92:K109" si="30">VLOOKUP(A92,fin,4,FALSE)</f>
        <v>689000</v>
      </c>
      <c r="L92" s="27">
        <f t="shared" ref="L92:L98" si="31">K92*4.5/100+K92</f>
        <v>720005</v>
      </c>
      <c r="M92" s="107">
        <f t="shared" ref="M92:N92" si="32">L92*4.6/100+L92</f>
        <v>753125.23</v>
      </c>
      <c r="N92" s="133">
        <f t="shared" si="32"/>
        <v>787768.99057999998</v>
      </c>
    </row>
    <row r="93" spans="1:14" s="28" customFormat="1" ht="14.25" x14ac:dyDescent="0.2">
      <c r="A93" s="25" t="s">
        <v>354</v>
      </c>
      <c r="B93" s="25"/>
      <c r="C93" s="26" t="s">
        <v>251</v>
      </c>
      <c r="D93" s="27">
        <f t="shared" si="29"/>
        <v>707862</v>
      </c>
      <c r="E93" s="27">
        <v>142631.6</v>
      </c>
      <c r="F93" s="27">
        <v>0</v>
      </c>
      <c r="G93" s="27">
        <v>479164.38</v>
      </c>
      <c r="H93" s="27">
        <f t="shared" ref="H93:H109" si="33">D93-G93</f>
        <v>228697.62</v>
      </c>
      <c r="I93" s="27">
        <f>G93/D93*100</f>
        <v>67.691778906057962</v>
      </c>
      <c r="J93" s="27">
        <f t="shared" si="21"/>
        <v>0</v>
      </c>
      <c r="K93" s="27">
        <f t="shared" si="30"/>
        <v>707862</v>
      </c>
      <c r="L93" s="27">
        <f t="shared" si="31"/>
        <v>739715.79</v>
      </c>
      <c r="M93" s="107">
        <f t="shared" ref="M93:N93" si="34">L93*4.6/100+L93</f>
        <v>773742.71634000004</v>
      </c>
      <c r="N93" s="133">
        <f t="shared" si="34"/>
        <v>809334.88129163999</v>
      </c>
    </row>
    <row r="94" spans="1:14" s="28" customFormat="1" ht="14.25" x14ac:dyDescent="0.2">
      <c r="A94" s="25" t="s">
        <v>355</v>
      </c>
      <c r="B94" s="25"/>
      <c r="C94" s="26" t="s">
        <v>253</v>
      </c>
      <c r="D94" s="27">
        <f t="shared" si="29"/>
        <v>2000</v>
      </c>
      <c r="E94" s="27">
        <v>0</v>
      </c>
      <c r="F94" s="27">
        <v>0</v>
      </c>
      <c r="G94" s="27">
        <v>426.95</v>
      </c>
      <c r="H94" s="27">
        <f t="shared" si="33"/>
        <v>1573.05</v>
      </c>
      <c r="I94" s="27">
        <f>G94/D94*100</f>
        <v>21.3475</v>
      </c>
      <c r="J94" s="27">
        <f t="shared" si="21"/>
        <v>0</v>
      </c>
      <c r="K94" s="27">
        <f t="shared" si="30"/>
        <v>2000</v>
      </c>
      <c r="L94" s="27">
        <f t="shared" si="31"/>
        <v>2090</v>
      </c>
      <c r="M94" s="107">
        <f t="shared" ref="M94:N94" si="35">L94*4.6/100+L94</f>
        <v>2186.14</v>
      </c>
      <c r="N94" s="133">
        <f t="shared" si="35"/>
        <v>2286.70244</v>
      </c>
    </row>
    <row r="95" spans="1:14" s="28" customFormat="1" ht="14.25" x14ac:dyDescent="0.2">
      <c r="A95" s="25" t="s">
        <v>356</v>
      </c>
      <c r="B95" s="25"/>
      <c r="C95" s="26" t="s">
        <v>259</v>
      </c>
      <c r="D95" s="27">
        <f t="shared" si="29"/>
        <v>234398</v>
      </c>
      <c r="E95" s="27">
        <v>0</v>
      </c>
      <c r="F95" s="27">
        <v>0</v>
      </c>
      <c r="G95" s="27">
        <v>124894.9</v>
      </c>
      <c r="H95" s="27">
        <f t="shared" si="33"/>
        <v>109503.1</v>
      </c>
      <c r="I95" s="27">
        <f>G95/D95*100</f>
        <v>53.283261802575112</v>
      </c>
      <c r="J95" s="27">
        <f t="shared" si="21"/>
        <v>-50000</v>
      </c>
      <c r="K95" s="27">
        <f t="shared" si="30"/>
        <v>184398</v>
      </c>
      <c r="L95" s="27">
        <f t="shared" si="31"/>
        <v>192695.91</v>
      </c>
      <c r="M95" s="107">
        <f t="shared" ref="M95:N95" si="36">L95*4.6/100+L95</f>
        <v>201559.92186</v>
      </c>
      <c r="N95" s="133">
        <f t="shared" si="36"/>
        <v>210831.67826556001</v>
      </c>
    </row>
    <row r="96" spans="1:14" s="28" customFormat="1" ht="14.25" x14ac:dyDescent="0.2">
      <c r="A96" s="25" t="s">
        <v>357</v>
      </c>
      <c r="B96" s="25"/>
      <c r="C96" s="26" t="s">
        <v>265</v>
      </c>
      <c r="D96" s="27">
        <f t="shared" si="29"/>
        <v>0</v>
      </c>
      <c r="E96" s="27">
        <v>8906.7099999999991</v>
      </c>
      <c r="F96" s="27">
        <v>0</v>
      </c>
      <c r="G96" s="27">
        <v>41524.839999999997</v>
      </c>
      <c r="H96" s="27">
        <f t="shared" si="33"/>
        <v>-41524.839999999997</v>
      </c>
      <c r="I96" s="27">
        <v>0</v>
      </c>
      <c r="J96" s="27">
        <f t="shared" si="21"/>
        <v>0</v>
      </c>
      <c r="K96" s="27">
        <f t="shared" si="30"/>
        <v>0</v>
      </c>
      <c r="L96" s="27">
        <f t="shared" si="31"/>
        <v>0</v>
      </c>
      <c r="M96" s="107">
        <f t="shared" ref="M96:N96" si="37">L96*4.6/100+L96</f>
        <v>0</v>
      </c>
      <c r="N96" s="133">
        <f t="shared" si="37"/>
        <v>0</v>
      </c>
    </row>
    <row r="97" spans="1:14" s="28" customFormat="1" ht="14.25" x14ac:dyDescent="0.2">
      <c r="A97" s="25" t="s">
        <v>3016</v>
      </c>
      <c r="B97" s="25"/>
      <c r="C97" s="26" t="s">
        <v>3017</v>
      </c>
      <c r="D97" s="27"/>
      <c r="E97" s="27"/>
      <c r="F97" s="27"/>
      <c r="G97" s="27"/>
      <c r="H97" s="27"/>
      <c r="I97" s="27"/>
      <c r="J97" s="27"/>
      <c r="K97" s="27"/>
      <c r="L97" s="27">
        <f t="shared" si="31"/>
        <v>0</v>
      </c>
      <c r="M97" s="107">
        <f t="shared" ref="M97:N97" si="38">L97*4.6/100+L97</f>
        <v>0</v>
      </c>
      <c r="N97" s="133">
        <f t="shared" si="38"/>
        <v>0</v>
      </c>
    </row>
    <row r="98" spans="1:14" s="28" customFormat="1" ht="14.25" x14ac:dyDescent="0.2">
      <c r="A98" s="25" t="s">
        <v>358</v>
      </c>
      <c r="B98" s="25"/>
      <c r="C98" s="26" t="s">
        <v>268</v>
      </c>
      <c r="D98" s="27">
        <f t="shared" si="29"/>
        <v>175000</v>
      </c>
      <c r="E98" s="27">
        <v>8953.15</v>
      </c>
      <c r="F98" s="27">
        <v>0</v>
      </c>
      <c r="G98" s="27">
        <v>25501.31</v>
      </c>
      <c r="H98" s="27">
        <f t="shared" si="33"/>
        <v>149498.69</v>
      </c>
      <c r="I98" s="27">
        <f>G98/D98*100</f>
        <v>14.572177142857143</v>
      </c>
      <c r="J98" s="27">
        <f t="shared" si="21"/>
        <v>-49499</v>
      </c>
      <c r="K98" s="27">
        <f t="shared" si="30"/>
        <v>125501</v>
      </c>
      <c r="L98" s="27">
        <f t="shared" si="31"/>
        <v>131148.54500000001</v>
      </c>
      <c r="M98" s="107">
        <f t="shared" ref="M98:N98" si="39">L98*4.6/100+L98</f>
        <v>137181.37807000001</v>
      </c>
      <c r="N98" s="133">
        <f t="shared" si="39"/>
        <v>143491.72146122</v>
      </c>
    </row>
    <row r="99" spans="1:14" s="28" customFormat="1" ht="14.25" x14ac:dyDescent="0.2">
      <c r="A99" s="25" t="s">
        <v>3018</v>
      </c>
      <c r="B99" s="25"/>
      <c r="C99" s="26" t="s">
        <v>3019</v>
      </c>
      <c r="D99" s="27"/>
      <c r="E99" s="27"/>
      <c r="F99" s="27"/>
      <c r="G99" s="27"/>
      <c r="H99" s="27"/>
      <c r="I99" s="27"/>
      <c r="J99" s="27"/>
      <c r="K99" s="27"/>
      <c r="L99" s="27">
        <f t="shared" ref="L99:L106" si="40">K99*6/100+K99</f>
        <v>0</v>
      </c>
      <c r="M99" s="107"/>
      <c r="N99" s="133">
        <f t="shared" ref="N99:N106" si="41">M99*6/100+M99</f>
        <v>0</v>
      </c>
    </row>
    <row r="100" spans="1:14" s="28" customFormat="1" ht="14.25" x14ac:dyDescent="0.2">
      <c r="A100" s="25" t="s">
        <v>3020</v>
      </c>
      <c r="B100" s="25"/>
      <c r="C100" s="26" t="s">
        <v>3021</v>
      </c>
      <c r="D100" s="27"/>
      <c r="E100" s="27"/>
      <c r="F100" s="27"/>
      <c r="G100" s="27"/>
      <c r="H100" s="27"/>
      <c r="I100" s="27"/>
      <c r="J100" s="27"/>
      <c r="K100" s="27"/>
      <c r="L100" s="27">
        <f t="shared" si="40"/>
        <v>0</v>
      </c>
      <c r="M100" s="107"/>
      <c r="N100" s="133">
        <f t="shared" si="41"/>
        <v>0</v>
      </c>
    </row>
    <row r="101" spans="1:14" s="28" customFormat="1" ht="14.25" x14ac:dyDescent="0.2">
      <c r="A101" s="25" t="s">
        <v>3022</v>
      </c>
      <c r="B101" s="25"/>
      <c r="C101" s="26" t="s">
        <v>3028</v>
      </c>
      <c r="D101" s="27"/>
      <c r="E101" s="27"/>
      <c r="F101" s="27"/>
      <c r="G101" s="27"/>
      <c r="H101" s="27"/>
      <c r="I101" s="27"/>
      <c r="J101" s="27"/>
      <c r="K101" s="27"/>
      <c r="L101" s="27">
        <f t="shared" si="40"/>
        <v>0</v>
      </c>
      <c r="M101" s="107"/>
      <c r="N101" s="133">
        <f t="shared" si="41"/>
        <v>0</v>
      </c>
    </row>
    <row r="102" spans="1:14" s="28" customFormat="1" ht="14.25" x14ac:dyDescent="0.2">
      <c r="A102" s="25" t="s">
        <v>3023</v>
      </c>
      <c r="B102" s="25"/>
      <c r="C102" s="26" t="s">
        <v>269</v>
      </c>
      <c r="D102" s="27"/>
      <c r="E102" s="27"/>
      <c r="F102" s="27"/>
      <c r="G102" s="27"/>
      <c r="H102" s="27"/>
      <c r="I102" s="27"/>
      <c r="J102" s="27"/>
      <c r="K102" s="27"/>
      <c r="L102" s="27">
        <f t="shared" si="40"/>
        <v>0</v>
      </c>
      <c r="M102" s="107"/>
      <c r="N102" s="133">
        <f t="shared" si="41"/>
        <v>0</v>
      </c>
    </row>
    <row r="103" spans="1:14" s="28" customFormat="1" ht="14.25" x14ac:dyDescent="0.2">
      <c r="A103" s="25" t="s">
        <v>3024</v>
      </c>
      <c r="B103" s="25"/>
      <c r="C103" s="26" t="s">
        <v>3029</v>
      </c>
      <c r="D103" s="27"/>
      <c r="E103" s="27"/>
      <c r="F103" s="27"/>
      <c r="G103" s="27"/>
      <c r="H103" s="27"/>
      <c r="I103" s="27"/>
      <c r="J103" s="27"/>
      <c r="K103" s="27"/>
      <c r="L103" s="27">
        <f t="shared" si="40"/>
        <v>0</v>
      </c>
      <c r="M103" s="107"/>
      <c r="N103" s="133">
        <f t="shared" si="41"/>
        <v>0</v>
      </c>
    </row>
    <row r="104" spans="1:14" s="28" customFormat="1" ht="14.25" x14ac:dyDescent="0.2">
      <c r="A104" s="25" t="s">
        <v>3025</v>
      </c>
      <c r="B104" s="25"/>
      <c r="C104" s="26" t="s">
        <v>3030</v>
      </c>
      <c r="D104" s="27"/>
      <c r="E104" s="27"/>
      <c r="F104" s="27"/>
      <c r="G104" s="27"/>
      <c r="H104" s="27"/>
      <c r="I104" s="27"/>
      <c r="J104" s="27"/>
      <c r="K104" s="27"/>
      <c r="L104" s="27">
        <f t="shared" si="40"/>
        <v>0</v>
      </c>
      <c r="M104" s="107"/>
      <c r="N104" s="133">
        <f t="shared" si="41"/>
        <v>0</v>
      </c>
    </row>
    <row r="105" spans="1:14" s="28" customFormat="1" ht="14.25" x14ac:dyDescent="0.2">
      <c r="A105" s="25" t="s">
        <v>3026</v>
      </c>
      <c r="B105" s="25"/>
      <c r="C105" s="26" t="s">
        <v>3031</v>
      </c>
      <c r="D105" s="27"/>
      <c r="E105" s="27"/>
      <c r="F105" s="27"/>
      <c r="G105" s="27"/>
      <c r="H105" s="27"/>
      <c r="I105" s="27"/>
      <c r="J105" s="27"/>
      <c r="K105" s="27"/>
      <c r="L105" s="27">
        <f t="shared" si="40"/>
        <v>0</v>
      </c>
      <c r="M105" s="107"/>
      <c r="N105" s="133">
        <f t="shared" si="41"/>
        <v>0</v>
      </c>
    </row>
    <row r="106" spans="1:14" s="28" customFormat="1" ht="14.25" x14ac:dyDescent="0.2">
      <c r="A106" s="25" t="s">
        <v>3027</v>
      </c>
      <c r="B106" s="25"/>
      <c r="C106" s="26" t="s">
        <v>3032</v>
      </c>
      <c r="D106" s="27"/>
      <c r="E106" s="27"/>
      <c r="F106" s="27"/>
      <c r="G106" s="27"/>
      <c r="H106" s="27"/>
      <c r="I106" s="27"/>
      <c r="J106" s="27"/>
      <c r="K106" s="27"/>
      <c r="L106" s="27">
        <f t="shared" si="40"/>
        <v>0</v>
      </c>
      <c r="M106" s="107"/>
      <c r="N106" s="133">
        <f t="shared" si="41"/>
        <v>0</v>
      </c>
    </row>
    <row r="107" spans="1:14" s="28" customFormat="1" ht="14.25" x14ac:dyDescent="0.2">
      <c r="A107" s="25" t="s">
        <v>359</v>
      </c>
      <c r="B107" s="25"/>
      <c r="C107" s="26" t="s">
        <v>268</v>
      </c>
      <c r="D107" s="27">
        <f t="shared" si="29"/>
        <v>254263</v>
      </c>
      <c r="E107" s="27">
        <v>0</v>
      </c>
      <c r="F107" s="27">
        <v>33225.660000000003</v>
      </c>
      <c r="G107" s="27">
        <v>138103.96</v>
      </c>
      <c r="H107" s="27">
        <f t="shared" si="33"/>
        <v>116159.04000000001</v>
      </c>
      <c r="I107" s="27">
        <f>G107/D107*100</f>
        <v>54.315397836098846</v>
      </c>
      <c r="J107" s="27">
        <f t="shared" si="21"/>
        <v>0</v>
      </c>
      <c r="K107" s="27">
        <f t="shared" si="30"/>
        <v>254263</v>
      </c>
      <c r="L107" s="27">
        <f t="shared" ref="L107:L109" si="42">K107*4.5/100+K107</f>
        <v>265704.83500000002</v>
      </c>
      <c r="M107" s="107">
        <f t="shared" ref="M107:N107" si="43">L107*4.6/100+L107</f>
        <v>277927.25741000002</v>
      </c>
      <c r="N107" s="133">
        <f t="shared" si="43"/>
        <v>290711.91125086002</v>
      </c>
    </row>
    <row r="108" spans="1:14" s="28" customFormat="1" ht="14.25" x14ac:dyDescent="0.2">
      <c r="A108" s="25" t="s">
        <v>360</v>
      </c>
      <c r="B108" s="25"/>
      <c r="C108" s="26" t="s">
        <v>270</v>
      </c>
      <c r="D108" s="27">
        <f t="shared" si="29"/>
        <v>636000</v>
      </c>
      <c r="E108" s="27">
        <v>136630</v>
      </c>
      <c r="F108" s="27">
        <v>0</v>
      </c>
      <c r="G108" s="27">
        <v>609748</v>
      </c>
      <c r="H108" s="27">
        <f t="shared" si="33"/>
        <v>26252</v>
      </c>
      <c r="I108" s="27">
        <f>G108/D108*100</f>
        <v>95.872327044025155</v>
      </c>
      <c r="J108" s="27">
        <f t="shared" si="21"/>
        <v>650000</v>
      </c>
      <c r="K108" s="27">
        <f t="shared" si="30"/>
        <v>1286000</v>
      </c>
      <c r="L108" s="27">
        <v>650000</v>
      </c>
      <c r="M108" s="107">
        <f t="shared" ref="M108:N108" si="44">L108*4.6/100+L108</f>
        <v>679900</v>
      </c>
      <c r="N108" s="133">
        <f t="shared" si="44"/>
        <v>711175.4</v>
      </c>
    </row>
    <row r="109" spans="1:14" s="28" customFormat="1" ht="14.25" x14ac:dyDescent="0.2">
      <c r="A109" s="25" t="s">
        <v>361</v>
      </c>
      <c r="B109" s="25"/>
      <c r="C109" s="26" t="s">
        <v>271</v>
      </c>
      <c r="D109" s="27">
        <f t="shared" si="29"/>
        <v>129035</v>
      </c>
      <c r="E109" s="27">
        <v>0</v>
      </c>
      <c r="F109" s="27">
        <v>0</v>
      </c>
      <c r="G109" s="27">
        <v>44880.94</v>
      </c>
      <c r="H109" s="27">
        <f t="shared" si="33"/>
        <v>84154.06</v>
      </c>
      <c r="I109" s="27">
        <f>G109/D109*100</f>
        <v>34.781989382725619</v>
      </c>
      <c r="J109" s="27">
        <f t="shared" si="21"/>
        <v>0</v>
      </c>
      <c r="K109" s="27">
        <f t="shared" si="30"/>
        <v>129035</v>
      </c>
      <c r="L109" s="27">
        <f t="shared" si="42"/>
        <v>134841.57500000001</v>
      </c>
      <c r="M109" s="107">
        <f t="shared" ref="M109:N109" si="45">L109*4.6/100+L109</f>
        <v>141044.28745</v>
      </c>
      <c r="N109" s="133">
        <f t="shared" si="45"/>
        <v>147532.32467269999</v>
      </c>
    </row>
    <row r="110" spans="1:14" s="28" customFormat="1" ht="14.25" x14ac:dyDescent="0.2">
      <c r="A110" s="25"/>
      <c r="B110" s="25"/>
      <c r="C110" s="26"/>
      <c r="D110" s="27"/>
      <c r="E110" s="27"/>
      <c r="F110" s="27"/>
      <c r="G110" s="27"/>
      <c r="H110" s="27"/>
      <c r="I110" s="27"/>
      <c r="J110" s="27"/>
      <c r="K110" s="27"/>
      <c r="L110" s="27"/>
      <c r="M110" s="107"/>
      <c r="N110" s="133"/>
    </row>
    <row r="111" spans="1:14" s="24" customFormat="1" x14ac:dyDescent="0.25">
      <c r="A111" s="20"/>
      <c r="B111" s="20"/>
      <c r="C111" s="21" t="s">
        <v>274</v>
      </c>
      <c r="D111" s="22">
        <f>SUM(D92:D110)</f>
        <v>2827558</v>
      </c>
      <c r="E111" s="22">
        <f t="shared" ref="E111:N111" si="46">SUM(E92:E110)</f>
        <v>297121.45999999996</v>
      </c>
      <c r="F111" s="22">
        <f t="shared" si="46"/>
        <v>33225.660000000003</v>
      </c>
      <c r="G111" s="22">
        <f t="shared" si="46"/>
        <v>1596317.64</v>
      </c>
      <c r="H111" s="22">
        <f t="shared" si="46"/>
        <v>1231240.3600000001</v>
      </c>
      <c r="I111" s="22">
        <f t="shared" si="46"/>
        <v>361.03313458168378</v>
      </c>
      <c r="J111" s="22">
        <f t="shared" si="46"/>
        <v>550501</v>
      </c>
      <c r="K111" s="22">
        <f t="shared" si="46"/>
        <v>3378059</v>
      </c>
      <c r="L111" s="22">
        <f t="shared" si="46"/>
        <v>2836201.6550000003</v>
      </c>
      <c r="M111" s="22">
        <f t="shared" si="46"/>
        <v>2966666.9311300004</v>
      </c>
      <c r="N111" s="22">
        <f t="shared" si="46"/>
        <v>3103133.6099619796</v>
      </c>
    </row>
    <row r="112" spans="1:14" s="24" customFormat="1" x14ac:dyDescent="0.25">
      <c r="A112" s="20"/>
      <c r="B112" s="20"/>
      <c r="C112" s="21"/>
      <c r="D112" s="22"/>
      <c r="E112" s="22"/>
      <c r="F112" s="22"/>
      <c r="G112" s="22"/>
      <c r="H112" s="22"/>
      <c r="I112" s="22"/>
      <c r="J112" s="27">
        <f t="shared" si="21"/>
        <v>0</v>
      </c>
      <c r="K112" s="27"/>
      <c r="L112" s="22"/>
      <c r="M112" s="134"/>
      <c r="N112" s="132"/>
    </row>
    <row r="113" spans="1:14" s="24" customFormat="1" x14ac:dyDescent="0.25">
      <c r="A113" s="20"/>
      <c r="B113" s="20"/>
      <c r="C113" s="21" t="s">
        <v>275</v>
      </c>
      <c r="D113" s="22"/>
      <c r="E113" s="22"/>
      <c r="F113" s="22"/>
      <c r="G113" s="22"/>
      <c r="H113" s="22"/>
      <c r="I113" s="22"/>
      <c r="J113" s="27">
        <f t="shared" si="21"/>
        <v>0</v>
      </c>
      <c r="K113" s="27"/>
      <c r="L113" s="22"/>
      <c r="M113" s="134"/>
      <c r="N113" s="132"/>
    </row>
    <row r="114" spans="1:14" s="28" customFormat="1" ht="14.25" x14ac:dyDescent="0.2">
      <c r="A114" s="25"/>
      <c r="B114" s="25"/>
      <c r="C114" s="26"/>
      <c r="D114" s="27"/>
      <c r="E114" s="27"/>
      <c r="F114" s="27"/>
      <c r="G114" s="27"/>
      <c r="H114" s="27"/>
      <c r="I114" s="27"/>
      <c r="J114" s="27">
        <f t="shared" si="21"/>
        <v>0</v>
      </c>
      <c r="K114" s="27"/>
      <c r="L114" s="27"/>
      <c r="M114" s="107"/>
      <c r="N114" s="133"/>
    </row>
    <row r="115" spans="1:14" s="28" customFormat="1" ht="14.25" x14ac:dyDescent="0.2">
      <c r="A115" s="25" t="s">
        <v>362</v>
      </c>
      <c r="B115" s="25"/>
      <c r="C115" s="26" t="s">
        <v>276</v>
      </c>
      <c r="D115" s="27">
        <f>VLOOKUP(A115,fin,3,FALSE)</f>
        <v>659231</v>
      </c>
      <c r="E115" s="27">
        <v>0</v>
      </c>
      <c r="F115" s="27">
        <v>0</v>
      </c>
      <c r="G115" s="27">
        <v>165938.96</v>
      </c>
      <c r="H115" s="27">
        <v>493292.04</v>
      </c>
      <c r="I115" s="27">
        <v>25.17</v>
      </c>
      <c r="J115" s="27">
        <f t="shared" si="21"/>
        <v>0</v>
      </c>
      <c r="K115" s="27">
        <f>VLOOKUP(A115,fin,4,FALSE)</f>
        <v>659231</v>
      </c>
      <c r="L115" s="27">
        <f t="shared" ref="L115:L116" si="47">K115*4.5/100+K115</f>
        <v>688896.39500000002</v>
      </c>
      <c r="M115" s="107">
        <f t="shared" ref="M115:N115" si="48">L115*4.6/100+L115</f>
        <v>720585.62916999997</v>
      </c>
      <c r="N115" s="133">
        <f t="shared" si="48"/>
        <v>753732.56811181991</v>
      </c>
    </row>
    <row r="116" spans="1:14" s="28" customFormat="1" ht="14.25" x14ac:dyDescent="0.2">
      <c r="A116" s="25" t="s">
        <v>363</v>
      </c>
      <c r="B116" s="25"/>
      <c r="C116" s="26" t="s">
        <v>277</v>
      </c>
      <c r="D116" s="27">
        <f>VLOOKUP(A116,fin,3,FALSE)</f>
        <v>530000</v>
      </c>
      <c r="E116" s="27">
        <v>26608.560000000001</v>
      </c>
      <c r="F116" s="27">
        <v>0</v>
      </c>
      <c r="G116" s="27">
        <v>239859.36</v>
      </c>
      <c r="H116" s="27">
        <v>290140.64</v>
      </c>
      <c r="I116" s="27">
        <v>45.25</v>
      </c>
      <c r="J116" s="27">
        <f t="shared" si="21"/>
        <v>0</v>
      </c>
      <c r="K116" s="27">
        <f>VLOOKUP(A116,fin,4,FALSE)</f>
        <v>530000</v>
      </c>
      <c r="L116" s="27">
        <f t="shared" si="47"/>
        <v>553850</v>
      </c>
      <c r="M116" s="107">
        <f t="shared" ref="M116:N116" si="49">L116*4.6/100+L116</f>
        <v>579327.1</v>
      </c>
      <c r="N116" s="133">
        <f t="shared" si="49"/>
        <v>605976.14659999998</v>
      </c>
    </row>
    <row r="117" spans="1:14" s="28" customFormat="1" ht="14.25" x14ac:dyDescent="0.2">
      <c r="A117" s="25" t="s">
        <v>364</v>
      </c>
      <c r="B117" s="25"/>
      <c r="C117" s="26" t="s">
        <v>278</v>
      </c>
      <c r="D117" s="27">
        <f>VLOOKUP(A117,fin,3,FALSE)</f>
        <v>53000</v>
      </c>
      <c r="E117" s="27">
        <v>0</v>
      </c>
      <c r="F117" s="27">
        <v>0</v>
      </c>
      <c r="G117" s="27">
        <v>769.7</v>
      </c>
      <c r="H117" s="27">
        <v>52230.3</v>
      </c>
      <c r="I117" s="27">
        <v>1.45</v>
      </c>
      <c r="J117" s="27">
        <f t="shared" si="21"/>
        <v>-40000</v>
      </c>
      <c r="K117" s="27">
        <f>VLOOKUP(A117,fin,4,FALSE)</f>
        <v>13000</v>
      </c>
      <c r="L117" s="27">
        <v>53000</v>
      </c>
      <c r="M117" s="107">
        <f t="shared" ref="M117:N117" si="50">L117*4.6/100+L117</f>
        <v>55438</v>
      </c>
      <c r="N117" s="133">
        <f t="shared" si="50"/>
        <v>57988.148000000001</v>
      </c>
    </row>
    <row r="118" spans="1:14" s="28" customFormat="1" ht="14.25" x14ac:dyDescent="0.2">
      <c r="A118" s="25"/>
      <c r="B118" s="25"/>
      <c r="C118" s="26"/>
      <c r="D118" s="27"/>
      <c r="E118" s="27"/>
      <c r="F118" s="27"/>
      <c r="G118" s="27"/>
      <c r="H118" s="27"/>
      <c r="I118" s="27"/>
      <c r="J118" s="27">
        <f t="shared" si="21"/>
        <v>0</v>
      </c>
      <c r="K118" s="27"/>
      <c r="L118" s="27"/>
      <c r="M118" s="107"/>
      <c r="N118" s="133"/>
    </row>
    <row r="119" spans="1:14" s="24" customFormat="1" x14ac:dyDescent="0.25">
      <c r="A119" s="20"/>
      <c r="B119" s="20"/>
      <c r="C119" s="21" t="s">
        <v>279</v>
      </c>
      <c r="D119" s="22">
        <f>SUM(D115:D118)</f>
        <v>1242231</v>
      </c>
      <c r="E119" s="22">
        <f>SUM(E115:E118)</f>
        <v>26608.560000000001</v>
      </c>
      <c r="F119" s="22">
        <f>SUM(F115:F118)</f>
        <v>0</v>
      </c>
      <c r="G119" s="22">
        <f>SUM(G115:G118)</f>
        <v>406568.01999999996</v>
      </c>
      <c r="H119" s="22">
        <f>SUM(H115:H118)</f>
        <v>835662.98</v>
      </c>
      <c r="I119" s="22">
        <v>32.72</v>
      </c>
      <c r="J119" s="27">
        <f t="shared" si="21"/>
        <v>-40000</v>
      </c>
      <c r="K119" s="22">
        <f>SUM(K115:K118)</f>
        <v>1202231</v>
      </c>
      <c r="L119" s="22">
        <f>SUM(L115:L118)</f>
        <v>1295746.395</v>
      </c>
      <c r="M119" s="134">
        <f>SUM(M115:M118)</f>
        <v>1355350.7291699999</v>
      </c>
      <c r="N119" s="134">
        <f>SUM(N115:N118)</f>
        <v>1417696.8627118198</v>
      </c>
    </row>
    <row r="120" spans="1:14" s="24" customFormat="1" x14ac:dyDescent="0.25">
      <c r="A120" s="20"/>
      <c r="B120" s="20"/>
      <c r="C120" s="21"/>
      <c r="D120" s="22"/>
      <c r="E120" s="22"/>
      <c r="F120" s="22"/>
      <c r="G120" s="22"/>
      <c r="H120" s="22"/>
      <c r="I120" s="22"/>
      <c r="J120" s="27">
        <f t="shared" si="21"/>
        <v>0</v>
      </c>
      <c r="K120" s="27"/>
      <c r="L120" s="22"/>
      <c r="M120" s="134"/>
      <c r="N120" s="132"/>
    </row>
    <row r="121" spans="1:14" s="24" customFormat="1" x14ac:dyDescent="0.25">
      <c r="A121" s="20"/>
      <c r="B121" s="20"/>
      <c r="C121" s="21" t="s">
        <v>285</v>
      </c>
      <c r="D121" s="22"/>
      <c r="E121" s="22"/>
      <c r="F121" s="22"/>
      <c r="G121" s="22"/>
      <c r="H121" s="22"/>
      <c r="I121" s="22"/>
      <c r="J121" s="27">
        <f t="shared" si="21"/>
        <v>0</v>
      </c>
      <c r="K121" s="27"/>
      <c r="L121" s="22"/>
      <c r="M121" s="134"/>
      <c r="N121" s="132"/>
    </row>
    <row r="122" spans="1:14" s="28" customFormat="1" ht="14.25" x14ac:dyDescent="0.2">
      <c r="A122" s="25"/>
      <c r="B122" s="25"/>
      <c r="C122" s="26"/>
      <c r="D122" s="27"/>
      <c r="E122" s="27"/>
      <c r="F122" s="27"/>
      <c r="G122" s="27"/>
      <c r="H122" s="27"/>
      <c r="I122" s="27"/>
      <c r="J122" s="27">
        <f t="shared" si="21"/>
        <v>0</v>
      </c>
      <c r="K122" s="27"/>
      <c r="L122" s="27"/>
      <c r="M122" s="107"/>
      <c r="N122" s="133"/>
    </row>
    <row r="123" spans="1:14" s="28" customFormat="1" ht="14.25" x14ac:dyDescent="0.2">
      <c r="A123" s="25" t="s">
        <v>365</v>
      </c>
      <c r="B123" s="25"/>
      <c r="C123" s="26" t="s">
        <v>286</v>
      </c>
      <c r="D123" s="27">
        <f>VLOOKUP(A123,fin,3,FALSE)</f>
        <v>400000</v>
      </c>
      <c r="E123" s="27">
        <v>44113.22</v>
      </c>
      <c r="F123" s="27">
        <v>0</v>
      </c>
      <c r="G123" s="27">
        <v>246703.31</v>
      </c>
      <c r="H123" s="27">
        <v>153296.69</v>
      </c>
      <c r="I123" s="27">
        <v>61.67</v>
      </c>
      <c r="J123" s="27">
        <f t="shared" si="21"/>
        <v>0</v>
      </c>
      <c r="K123" s="27">
        <f>VLOOKUP(A123,fin,4,FALSE)</f>
        <v>400000</v>
      </c>
      <c r="L123" s="27">
        <f t="shared" ref="L123:L124" si="51">K123*4.5/100+K123</f>
        <v>418000</v>
      </c>
      <c r="M123" s="107">
        <f t="shared" ref="M123:N123" si="52">L123*4.6/100+L123</f>
        <v>437228</v>
      </c>
      <c r="N123" s="133">
        <f t="shared" si="52"/>
        <v>457340.48800000001</v>
      </c>
    </row>
    <row r="124" spans="1:14" s="28" customFormat="1" ht="14.25" x14ac:dyDescent="0.2">
      <c r="A124" s="25" t="s">
        <v>366</v>
      </c>
      <c r="B124" s="25"/>
      <c r="C124" s="26" t="s">
        <v>286</v>
      </c>
      <c r="D124" s="27">
        <f>VLOOKUP(A124,fin,3,FALSE)</f>
        <v>149705</v>
      </c>
      <c r="E124" s="27">
        <v>0</v>
      </c>
      <c r="F124" s="27">
        <v>0</v>
      </c>
      <c r="G124" s="27">
        <v>0</v>
      </c>
      <c r="H124" s="27">
        <v>149705</v>
      </c>
      <c r="I124" s="27">
        <v>0</v>
      </c>
      <c r="J124" s="27">
        <f t="shared" si="21"/>
        <v>0</v>
      </c>
      <c r="K124" s="27">
        <f>VLOOKUP(A124,fin,4,FALSE)</f>
        <v>149705</v>
      </c>
      <c r="L124" s="27">
        <f t="shared" si="51"/>
        <v>156441.72500000001</v>
      </c>
      <c r="M124" s="107">
        <f t="shared" ref="M124:N125" si="53">L124*4.6/100+L124</f>
        <v>163638.04435000001</v>
      </c>
      <c r="N124" s="133">
        <f t="shared" si="53"/>
        <v>171165.3943901</v>
      </c>
    </row>
    <row r="125" spans="1:14" s="185" customFormat="1" ht="14.25" x14ac:dyDescent="0.2">
      <c r="A125" s="182"/>
      <c r="B125" s="182"/>
      <c r="C125" s="183" t="s">
        <v>3056</v>
      </c>
      <c r="D125" s="184">
        <v>0</v>
      </c>
      <c r="E125" s="184"/>
      <c r="F125" s="184"/>
      <c r="G125" s="184"/>
      <c r="H125" s="184"/>
      <c r="I125" s="184"/>
      <c r="J125" s="184"/>
      <c r="K125" s="184">
        <v>0</v>
      </c>
      <c r="L125" s="184">
        <v>2400000</v>
      </c>
      <c r="M125" s="220">
        <f t="shared" si="53"/>
        <v>2510400</v>
      </c>
      <c r="N125" s="221">
        <f t="shared" si="53"/>
        <v>2625878.4</v>
      </c>
    </row>
    <row r="126" spans="1:14" s="28" customFormat="1" ht="14.25" x14ac:dyDescent="0.2">
      <c r="A126" s="25"/>
      <c r="B126" s="25"/>
      <c r="C126" s="26"/>
      <c r="D126" s="27"/>
      <c r="E126" s="27"/>
      <c r="F126" s="27"/>
      <c r="G126" s="27"/>
      <c r="H126" s="27"/>
      <c r="I126" s="27"/>
      <c r="J126" s="27">
        <f t="shared" si="21"/>
        <v>0</v>
      </c>
      <c r="K126" s="27"/>
      <c r="L126" s="27"/>
      <c r="M126" s="107"/>
      <c r="N126" s="133"/>
    </row>
    <row r="127" spans="1:14" s="24" customFormat="1" x14ac:dyDescent="0.25">
      <c r="A127" s="20"/>
      <c r="B127" s="20"/>
      <c r="C127" s="21" t="s">
        <v>287</v>
      </c>
      <c r="D127" s="22">
        <f>SUM(D123:D126)</f>
        <v>549705</v>
      </c>
      <c r="E127" s="22">
        <f>SUM(E123:E126)</f>
        <v>44113.22</v>
      </c>
      <c r="F127" s="22">
        <f>SUM(F123:F126)</f>
        <v>0</v>
      </c>
      <c r="G127" s="22">
        <f>SUM(G123:G126)</f>
        <v>246703.31</v>
      </c>
      <c r="H127" s="22">
        <f>SUM(H123:H126)</f>
        <v>303001.69</v>
      </c>
      <c r="I127" s="22">
        <v>44.87</v>
      </c>
      <c r="J127" s="27">
        <f t="shared" si="21"/>
        <v>0</v>
      </c>
      <c r="K127" s="22">
        <f>SUM(K123:K126)</f>
        <v>549705</v>
      </c>
      <c r="L127" s="22">
        <f>SUM(L123:L126)</f>
        <v>2974441.7250000001</v>
      </c>
      <c r="M127" s="134">
        <f>SUM(M123:M126)</f>
        <v>3111266.0443500001</v>
      </c>
      <c r="N127" s="134">
        <f>SUM(N123:N126)</f>
        <v>3254384.2823901</v>
      </c>
    </row>
    <row r="128" spans="1:14" s="24" customFormat="1" x14ac:dyDescent="0.25">
      <c r="A128" s="20"/>
      <c r="B128" s="20"/>
      <c r="C128" s="21"/>
      <c r="D128" s="22"/>
      <c r="E128" s="22"/>
      <c r="F128" s="22"/>
      <c r="G128" s="22"/>
      <c r="H128" s="22"/>
      <c r="I128" s="22"/>
      <c r="J128" s="27"/>
      <c r="K128" s="27"/>
      <c r="L128" s="22"/>
      <c r="M128" s="134"/>
      <c r="N128" s="132"/>
    </row>
    <row r="129" spans="1:14" s="24" customFormat="1" x14ac:dyDescent="0.25">
      <c r="A129" s="20"/>
      <c r="B129" s="20"/>
      <c r="C129" s="21" t="s">
        <v>290</v>
      </c>
      <c r="D129" s="22"/>
      <c r="E129" s="22"/>
      <c r="F129" s="22"/>
      <c r="G129" s="22"/>
      <c r="H129" s="22"/>
      <c r="I129" s="22"/>
      <c r="J129" s="27">
        <f>+K129-D129</f>
        <v>0</v>
      </c>
      <c r="K129" s="27"/>
      <c r="L129" s="22"/>
      <c r="M129" s="134"/>
      <c r="N129" s="132"/>
    </row>
    <row r="130" spans="1:14" s="28" customFormat="1" ht="14.25" x14ac:dyDescent="0.2">
      <c r="A130" s="25"/>
      <c r="B130" s="25"/>
      <c r="C130" s="26"/>
      <c r="D130" s="27"/>
      <c r="E130" s="27"/>
      <c r="F130" s="27"/>
      <c r="G130" s="27"/>
      <c r="H130" s="27"/>
      <c r="I130" s="27"/>
      <c r="J130" s="27"/>
      <c r="K130" s="27"/>
      <c r="L130" s="27"/>
      <c r="M130" s="107"/>
      <c r="N130" s="133"/>
    </row>
    <row r="131" spans="1:14" s="28" customFormat="1" ht="14.25" x14ac:dyDescent="0.2">
      <c r="A131" s="25" t="s">
        <v>367</v>
      </c>
      <c r="B131" s="25"/>
      <c r="C131" s="26" t="s">
        <v>291</v>
      </c>
      <c r="D131" s="27">
        <f t="shared" ref="D131:D139" si="54">VLOOKUP(A131,fin,3,FALSE)</f>
        <v>19193</v>
      </c>
      <c r="E131" s="27">
        <v>2808.4</v>
      </c>
      <c r="F131" s="27">
        <v>0</v>
      </c>
      <c r="G131" s="27">
        <v>8600.0499999999993</v>
      </c>
      <c r="H131" s="27">
        <v>10592.95</v>
      </c>
      <c r="I131" s="27">
        <v>44.8</v>
      </c>
      <c r="J131" s="27">
        <f t="shared" ref="J131:J139" si="55">+K131-D131</f>
        <v>790000</v>
      </c>
      <c r="K131" s="27">
        <f t="shared" ref="K131:K139" si="56">VLOOKUP(A131,fin,4,FALSE)</f>
        <v>809193</v>
      </c>
      <c r="L131" s="27">
        <f t="shared" ref="L131:L139" si="57">K131*4.5/100+K131</f>
        <v>845606.68500000006</v>
      </c>
      <c r="M131" s="107">
        <f t="shared" ref="M131:N131" si="58">L131*4.6/100+L131</f>
        <v>884504.5925100001</v>
      </c>
      <c r="N131" s="133">
        <f t="shared" si="58"/>
        <v>925191.80376546015</v>
      </c>
    </row>
    <row r="132" spans="1:14" s="28" customFormat="1" ht="14.25" x14ac:dyDescent="0.2">
      <c r="A132" s="25" t="s">
        <v>368</v>
      </c>
      <c r="B132" s="25"/>
      <c r="C132" s="26" t="s">
        <v>292</v>
      </c>
      <c r="D132" s="27">
        <f t="shared" si="54"/>
        <v>3371</v>
      </c>
      <c r="E132" s="27">
        <v>9921.94</v>
      </c>
      <c r="F132" s="27">
        <v>0</v>
      </c>
      <c r="G132" s="27">
        <v>32271.75</v>
      </c>
      <c r="H132" s="27">
        <v>-28900.75</v>
      </c>
      <c r="I132" s="27">
        <v>957.33</v>
      </c>
      <c r="J132" s="27">
        <f t="shared" si="55"/>
        <v>0</v>
      </c>
      <c r="K132" s="27">
        <f t="shared" si="56"/>
        <v>3371</v>
      </c>
      <c r="L132" s="27">
        <f t="shared" si="57"/>
        <v>3522.6950000000002</v>
      </c>
      <c r="M132" s="107">
        <f t="shared" ref="M132:N132" si="59">L132*4.6/100+L132</f>
        <v>3684.7389700000003</v>
      </c>
      <c r="N132" s="133">
        <f t="shared" si="59"/>
        <v>3854.2369626200002</v>
      </c>
    </row>
    <row r="133" spans="1:14" s="28" customFormat="1" ht="14.25" x14ac:dyDescent="0.2">
      <c r="A133" s="25" t="s">
        <v>369</v>
      </c>
      <c r="B133" s="25"/>
      <c r="C133" s="26" t="s">
        <v>293</v>
      </c>
      <c r="D133" s="27">
        <f t="shared" si="54"/>
        <v>3371</v>
      </c>
      <c r="E133" s="27">
        <v>53495.18</v>
      </c>
      <c r="F133" s="27">
        <v>0</v>
      </c>
      <c r="G133" s="27">
        <v>126598.65</v>
      </c>
      <c r="H133" s="27">
        <v>-123227.65</v>
      </c>
      <c r="I133" s="27">
        <v>999.99</v>
      </c>
      <c r="J133" s="27">
        <f t="shared" si="55"/>
        <v>0</v>
      </c>
      <c r="K133" s="27">
        <f t="shared" si="56"/>
        <v>3371</v>
      </c>
      <c r="L133" s="27">
        <f t="shared" si="57"/>
        <v>3522.6950000000002</v>
      </c>
      <c r="M133" s="107">
        <f t="shared" ref="M133:N133" si="60">L133*4.6/100+L133</f>
        <v>3684.7389700000003</v>
      </c>
      <c r="N133" s="133">
        <f t="shared" si="60"/>
        <v>3854.2369626200002</v>
      </c>
    </row>
    <row r="134" spans="1:14" s="28" customFormat="1" ht="14.25" x14ac:dyDescent="0.2">
      <c r="A134" s="25" t="s">
        <v>370</v>
      </c>
      <c r="B134" s="25"/>
      <c r="C134" s="26" t="s">
        <v>296</v>
      </c>
      <c r="D134" s="27">
        <f t="shared" si="54"/>
        <v>5618</v>
      </c>
      <c r="E134" s="27">
        <v>220.9</v>
      </c>
      <c r="F134" s="27">
        <v>0</v>
      </c>
      <c r="G134" s="27">
        <v>618.51</v>
      </c>
      <c r="H134" s="27">
        <v>4999.49</v>
      </c>
      <c r="I134" s="27">
        <v>11</v>
      </c>
      <c r="J134" s="27">
        <f t="shared" si="55"/>
        <v>0</v>
      </c>
      <c r="K134" s="27">
        <f t="shared" si="56"/>
        <v>5618</v>
      </c>
      <c r="L134" s="27">
        <f t="shared" si="57"/>
        <v>5870.81</v>
      </c>
      <c r="M134" s="107">
        <f t="shared" ref="M134:N134" si="61">L134*4.6/100+L134</f>
        <v>6140.86726</v>
      </c>
      <c r="N134" s="133">
        <f t="shared" si="61"/>
        <v>6423.3471539599996</v>
      </c>
    </row>
    <row r="135" spans="1:14" s="28" customFormat="1" ht="14.25" x14ac:dyDescent="0.2">
      <c r="A135" s="25" t="s">
        <v>371</v>
      </c>
      <c r="B135" s="25"/>
      <c r="C135" s="26" t="s">
        <v>297</v>
      </c>
      <c r="D135" s="27">
        <f t="shared" si="54"/>
        <v>52313</v>
      </c>
      <c r="E135" s="27">
        <v>22667.22</v>
      </c>
      <c r="F135" s="27">
        <v>0</v>
      </c>
      <c r="G135" s="27">
        <v>55785.81</v>
      </c>
      <c r="H135" s="27">
        <v>-3472.81</v>
      </c>
      <c r="I135" s="27">
        <v>106.63</v>
      </c>
      <c r="J135" s="27">
        <f t="shared" si="55"/>
        <v>0</v>
      </c>
      <c r="K135" s="27">
        <f t="shared" si="56"/>
        <v>52313</v>
      </c>
      <c r="L135" s="27">
        <f t="shared" si="57"/>
        <v>54667.084999999999</v>
      </c>
      <c r="M135" s="107">
        <f t="shared" ref="M135:N135" si="62">L135*4.6/100+L135</f>
        <v>57181.770909999999</v>
      </c>
      <c r="N135" s="133">
        <f t="shared" si="62"/>
        <v>59812.132371859996</v>
      </c>
    </row>
    <row r="136" spans="1:14" s="28" customFormat="1" ht="14.25" x14ac:dyDescent="0.2">
      <c r="A136" s="25" t="s">
        <v>372</v>
      </c>
      <c r="B136" s="25"/>
      <c r="C136" s="26" t="s">
        <v>298</v>
      </c>
      <c r="D136" s="27">
        <f t="shared" si="54"/>
        <v>0</v>
      </c>
      <c r="E136" s="27">
        <v>4578.74</v>
      </c>
      <c r="F136" s="27">
        <v>0</v>
      </c>
      <c r="G136" s="27">
        <v>11446.86</v>
      </c>
      <c r="H136" s="27">
        <v>-11446.86</v>
      </c>
      <c r="I136" s="27">
        <v>0</v>
      </c>
      <c r="J136" s="27">
        <f t="shared" si="55"/>
        <v>0</v>
      </c>
      <c r="K136" s="27">
        <f t="shared" si="56"/>
        <v>0</v>
      </c>
      <c r="L136" s="27">
        <f t="shared" si="57"/>
        <v>0</v>
      </c>
      <c r="M136" s="107">
        <f t="shared" ref="M136:N136" si="63">L136*4.6/100+L136</f>
        <v>0</v>
      </c>
      <c r="N136" s="133">
        <f t="shared" si="63"/>
        <v>0</v>
      </c>
    </row>
    <row r="137" spans="1:14" s="28" customFormat="1" ht="14.25" x14ac:dyDescent="0.2">
      <c r="A137" s="25" t="s">
        <v>373</v>
      </c>
      <c r="B137" s="25"/>
      <c r="C137" s="26" t="s">
        <v>299</v>
      </c>
      <c r="D137" s="27">
        <f t="shared" si="54"/>
        <v>41469</v>
      </c>
      <c r="E137" s="27">
        <v>0</v>
      </c>
      <c r="F137" s="27">
        <v>0</v>
      </c>
      <c r="G137" s="27">
        <v>0</v>
      </c>
      <c r="H137" s="27">
        <v>41469</v>
      </c>
      <c r="I137" s="27">
        <v>0</v>
      </c>
      <c r="J137" s="27">
        <f t="shared" si="55"/>
        <v>0</v>
      </c>
      <c r="K137" s="27">
        <f t="shared" si="56"/>
        <v>41469</v>
      </c>
      <c r="L137" s="27">
        <f t="shared" si="57"/>
        <v>43335.105000000003</v>
      </c>
      <c r="M137" s="107">
        <f t="shared" ref="M137:N137" si="64">L137*4.6/100+L137</f>
        <v>45328.519830000005</v>
      </c>
      <c r="N137" s="133">
        <f t="shared" si="64"/>
        <v>47413.631742180005</v>
      </c>
    </row>
    <row r="138" spans="1:14" s="28" customFormat="1" ht="14.25" x14ac:dyDescent="0.2">
      <c r="A138" s="25" t="s">
        <v>374</v>
      </c>
      <c r="B138" s="25"/>
      <c r="C138" s="26" t="s">
        <v>300</v>
      </c>
      <c r="D138" s="27">
        <f t="shared" si="54"/>
        <v>113175</v>
      </c>
      <c r="E138" s="27">
        <v>16557.72</v>
      </c>
      <c r="F138" s="27">
        <v>0</v>
      </c>
      <c r="G138" s="27">
        <v>33128.800000000003</v>
      </c>
      <c r="H138" s="27">
        <v>80046.2</v>
      </c>
      <c r="I138" s="27">
        <v>29.27</v>
      </c>
      <c r="J138" s="27">
        <f t="shared" si="55"/>
        <v>0</v>
      </c>
      <c r="K138" s="27">
        <f t="shared" si="56"/>
        <v>113175</v>
      </c>
      <c r="L138" s="27">
        <f t="shared" si="57"/>
        <v>118267.875</v>
      </c>
      <c r="M138" s="107">
        <f t="shared" ref="M138:N138" si="65">L138*4.6/100+L138</f>
        <v>123708.19725</v>
      </c>
      <c r="N138" s="133">
        <f t="shared" si="65"/>
        <v>129398.77432349999</v>
      </c>
    </row>
    <row r="139" spans="1:14" s="28" customFormat="1" ht="14.25" x14ac:dyDescent="0.2">
      <c r="A139" s="25" t="s">
        <v>375</v>
      </c>
      <c r="B139" s="25"/>
      <c r="C139" s="26" t="s">
        <v>303</v>
      </c>
      <c r="D139" s="27">
        <f t="shared" si="54"/>
        <v>74216</v>
      </c>
      <c r="E139" s="27">
        <v>12908.16</v>
      </c>
      <c r="F139" s="27">
        <v>0</v>
      </c>
      <c r="G139" s="27">
        <v>30406.99</v>
      </c>
      <c r="H139" s="27">
        <v>43809.01</v>
      </c>
      <c r="I139" s="27">
        <v>40.97</v>
      </c>
      <c r="J139" s="27">
        <f t="shared" si="55"/>
        <v>0</v>
      </c>
      <c r="K139" s="27">
        <f t="shared" si="56"/>
        <v>74216</v>
      </c>
      <c r="L139" s="27">
        <f t="shared" si="57"/>
        <v>77555.72</v>
      </c>
      <c r="M139" s="107">
        <f t="shared" ref="M139:N139" si="66">L139*4.6/100+L139</f>
        <v>81123.283120000007</v>
      </c>
      <c r="N139" s="133">
        <f t="shared" si="66"/>
        <v>84854.954143520008</v>
      </c>
    </row>
    <row r="140" spans="1:14" s="28" customFormat="1" ht="14.25" x14ac:dyDescent="0.2">
      <c r="A140" s="25"/>
      <c r="B140" s="25"/>
      <c r="C140" s="26"/>
      <c r="D140" s="27"/>
      <c r="E140" s="27"/>
      <c r="F140" s="27"/>
      <c r="G140" s="27"/>
      <c r="H140" s="27"/>
      <c r="I140" s="27"/>
      <c r="J140" s="27"/>
      <c r="K140" s="27"/>
      <c r="L140" s="27"/>
      <c r="M140" s="107"/>
      <c r="N140" s="133"/>
    </row>
    <row r="141" spans="1:14" s="24" customFormat="1" x14ac:dyDescent="0.25">
      <c r="A141" s="20"/>
      <c r="B141" s="20"/>
      <c r="C141" s="21" t="s">
        <v>304</v>
      </c>
      <c r="D141" s="22">
        <f>SUM(D131:D140)</f>
        <v>312726</v>
      </c>
      <c r="E141" s="22">
        <f>SUM(E131:E140)</f>
        <v>123158.26000000001</v>
      </c>
      <c r="F141" s="22">
        <f>SUM(F131:F140)</f>
        <v>0</v>
      </c>
      <c r="G141" s="22">
        <f>SUM(G131:G140)</f>
        <v>298857.42</v>
      </c>
      <c r="H141" s="22">
        <f>SUM(H131:H140)</f>
        <v>13868.579999999994</v>
      </c>
      <c r="I141" s="22">
        <v>95.56</v>
      </c>
      <c r="J141" s="27">
        <f>+K141-D141</f>
        <v>790000</v>
      </c>
      <c r="K141" s="22">
        <f>SUM(K131:K140)</f>
        <v>1102726</v>
      </c>
      <c r="L141" s="22">
        <f>SUM(L131:L140)</f>
        <v>1152348.67</v>
      </c>
      <c r="M141" s="134">
        <f>SUM(M131:M140)</f>
        <v>1205356.7088200001</v>
      </c>
      <c r="N141" s="134">
        <f>SUM(N131:N140)</f>
        <v>1260803.1174257202</v>
      </c>
    </row>
    <row r="142" spans="1:14" s="24" customFormat="1" x14ac:dyDescent="0.25">
      <c r="A142" s="20"/>
      <c r="B142" s="20"/>
      <c r="C142" s="21"/>
      <c r="D142" s="22"/>
      <c r="E142" s="22"/>
      <c r="F142" s="22"/>
      <c r="G142" s="22"/>
      <c r="H142" s="22"/>
      <c r="I142" s="22"/>
      <c r="J142" s="27"/>
      <c r="K142" s="27"/>
      <c r="L142" s="22"/>
      <c r="M142" s="134"/>
      <c r="N142" s="132"/>
    </row>
    <row r="143" spans="1:14" s="24" customFormat="1" x14ac:dyDescent="0.25">
      <c r="A143" s="20"/>
      <c r="B143" s="20"/>
      <c r="C143" s="21" t="s">
        <v>305</v>
      </c>
      <c r="D143" s="22">
        <f>D70+D88+D111+D119+D127+D141</f>
        <v>24611797</v>
      </c>
      <c r="E143" s="22">
        <f>E70+E88+E111+E119+E127+E141</f>
        <v>2232573.46</v>
      </c>
      <c r="F143" s="22">
        <f>F70+F88+F111+F119+F127+F141</f>
        <v>126997.66</v>
      </c>
      <c r="G143" s="22">
        <f>G70+G88+G111+G119+G127+G141</f>
        <v>11662409.98</v>
      </c>
      <c r="H143" s="22">
        <f>H70+H88+H111+H119+H127+H141</f>
        <v>12949387.02</v>
      </c>
      <c r="I143" s="22">
        <v>44.04</v>
      </c>
      <c r="J143" s="27">
        <f>+K143-D143</f>
        <v>1293833.620000001</v>
      </c>
      <c r="K143" s="22">
        <f>K70+K88+K111+K119+K127+K141</f>
        <v>25905630.620000001</v>
      </c>
      <c r="L143" s="22">
        <f>L70+L88+L111+L119+L127+L141</f>
        <v>28978891.27375</v>
      </c>
      <c r="M143" s="134">
        <f>M70+M88+M111+M119+M127+M141</f>
        <v>30574151.017152503</v>
      </c>
      <c r="N143" s="134">
        <f>N70+N88+N111+N119+N127+N141</f>
        <v>32261148.860888213</v>
      </c>
    </row>
    <row r="144" spans="1:14" s="24" customFormat="1" x14ac:dyDescent="0.25">
      <c r="A144" s="20"/>
      <c r="B144" s="20"/>
      <c r="C144" s="21"/>
      <c r="D144" s="22"/>
      <c r="E144" s="22"/>
      <c r="F144" s="22"/>
      <c r="G144" s="22"/>
      <c r="H144" s="22"/>
      <c r="I144" s="22"/>
      <c r="J144" s="27"/>
      <c r="K144" s="27"/>
      <c r="L144" s="22"/>
      <c r="M144" s="134"/>
      <c r="N144" s="132"/>
    </row>
    <row r="145" spans="1:14" s="24" customFormat="1" x14ac:dyDescent="0.25">
      <c r="A145" s="20"/>
      <c r="B145" s="20"/>
      <c r="C145" s="21" t="s">
        <v>306</v>
      </c>
      <c r="D145" s="22">
        <f>D13+D143</f>
        <v>24335373</v>
      </c>
      <c r="E145" s="22">
        <f>E13+E143</f>
        <v>2232573.46</v>
      </c>
      <c r="F145" s="22">
        <f>F13+F143</f>
        <v>126997.66</v>
      </c>
      <c r="G145" s="22">
        <f>G13+G143</f>
        <v>10950121.310000001</v>
      </c>
      <c r="H145" s="22">
        <f>H13+H143</f>
        <v>13385251.689999999</v>
      </c>
      <c r="I145" s="22">
        <v>41.61</v>
      </c>
      <c r="J145" s="27">
        <f>+K145-D145</f>
        <v>1570257.620000001</v>
      </c>
      <c r="K145" s="22">
        <f>K13+K143</f>
        <v>25905630.620000001</v>
      </c>
      <c r="L145" s="22">
        <f>L13+L143</f>
        <v>27978891.27375</v>
      </c>
      <c r="M145" s="134">
        <f>M13+M143</f>
        <v>29528151.017152503</v>
      </c>
      <c r="N145" s="134">
        <f>N13+N143</f>
        <v>31167032.860888213</v>
      </c>
    </row>
    <row r="146" spans="1:14" s="24" customFormat="1" x14ac:dyDescent="0.25">
      <c r="A146" s="20"/>
      <c r="B146" s="20"/>
      <c r="C146" s="21"/>
      <c r="D146" s="22"/>
      <c r="E146" s="22"/>
      <c r="F146" s="22"/>
      <c r="G146" s="22"/>
      <c r="H146" s="22"/>
      <c r="I146" s="22"/>
      <c r="J146" s="27"/>
      <c r="K146" s="27"/>
      <c r="L146" s="22"/>
      <c r="M146" s="134"/>
      <c r="N146" s="132"/>
    </row>
    <row r="147" spans="1:14" s="24" customFormat="1" x14ac:dyDescent="0.25">
      <c r="A147" s="20"/>
      <c r="B147" s="20"/>
      <c r="C147" s="21" t="s">
        <v>308</v>
      </c>
      <c r="D147" s="22"/>
      <c r="E147" s="22"/>
      <c r="F147" s="22"/>
      <c r="G147" s="22"/>
      <c r="H147" s="22"/>
      <c r="I147" s="22"/>
      <c r="J147" s="27">
        <f>+K147-D147</f>
        <v>0</v>
      </c>
      <c r="K147" s="27"/>
      <c r="L147" s="22"/>
      <c r="M147" s="134"/>
      <c r="N147" s="132"/>
    </row>
    <row r="148" spans="1:14" s="24" customFormat="1" x14ac:dyDescent="0.25">
      <c r="A148" s="20"/>
      <c r="B148" s="20"/>
      <c r="C148" s="21"/>
      <c r="D148" s="22"/>
      <c r="E148" s="22"/>
      <c r="F148" s="22"/>
      <c r="G148" s="22"/>
      <c r="H148" s="22"/>
      <c r="I148" s="22"/>
      <c r="J148" s="27"/>
      <c r="K148" s="27"/>
      <c r="L148" s="22"/>
      <c r="M148" s="134"/>
      <c r="N148" s="132"/>
    </row>
    <row r="149" spans="1:14" s="28" customFormat="1" ht="14.25" x14ac:dyDescent="0.2">
      <c r="A149" s="25" t="s">
        <v>1337</v>
      </c>
      <c r="B149" s="25"/>
      <c r="C149" s="26" t="s">
        <v>1338</v>
      </c>
      <c r="D149" s="27">
        <v>0</v>
      </c>
      <c r="E149" s="27">
        <v>0</v>
      </c>
      <c r="F149" s="27">
        <v>0</v>
      </c>
      <c r="G149" s="27">
        <v>0</v>
      </c>
      <c r="H149" s="27">
        <v>0</v>
      </c>
      <c r="I149" s="27">
        <v>0</v>
      </c>
      <c r="J149" s="27">
        <f>+K149-D149</f>
        <v>0</v>
      </c>
      <c r="K149" s="27">
        <v>0</v>
      </c>
      <c r="L149" s="27">
        <v>0</v>
      </c>
      <c r="M149" s="107">
        <v>2000000</v>
      </c>
      <c r="N149" s="133">
        <v>700000</v>
      </c>
    </row>
    <row r="150" spans="1:14" s="28" customFormat="1" ht="14.25" x14ac:dyDescent="0.2">
      <c r="A150" s="25" t="s">
        <v>376</v>
      </c>
      <c r="B150" s="25"/>
      <c r="C150" s="26" t="s">
        <v>377</v>
      </c>
      <c r="D150" s="27">
        <f>VLOOKUP(A150,fin,3,FALSE)</f>
        <v>250000</v>
      </c>
      <c r="E150" s="27">
        <v>0</v>
      </c>
      <c r="F150" s="27">
        <v>0</v>
      </c>
      <c r="G150" s="27">
        <v>0</v>
      </c>
      <c r="H150" s="27">
        <v>250000</v>
      </c>
      <c r="I150" s="27">
        <v>0</v>
      </c>
      <c r="J150" s="27">
        <f>+K150-D150</f>
        <v>0</v>
      </c>
      <c r="K150" s="27">
        <f>VLOOKUP(A150,fin,4,FALSE)</f>
        <v>250000</v>
      </c>
      <c r="L150" s="27">
        <v>300000</v>
      </c>
      <c r="M150" s="107">
        <v>0</v>
      </c>
      <c r="N150" s="133">
        <v>315000</v>
      </c>
    </row>
    <row r="151" spans="1:14" s="28" customFormat="1" ht="14.25" x14ac:dyDescent="0.2">
      <c r="A151" s="25"/>
      <c r="B151" s="25"/>
      <c r="C151" s="26"/>
      <c r="D151" s="27"/>
      <c r="E151" s="27"/>
      <c r="F151" s="27"/>
      <c r="G151" s="27"/>
      <c r="H151" s="27"/>
      <c r="I151" s="27"/>
      <c r="J151" s="27"/>
      <c r="K151" s="27"/>
      <c r="L151" s="27"/>
      <c r="M151" s="107"/>
      <c r="N151" s="133"/>
    </row>
    <row r="152" spans="1:14" s="24" customFormat="1" x14ac:dyDescent="0.25">
      <c r="A152" s="20"/>
      <c r="B152" s="20"/>
      <c r="C152" s="21" t="s">
        <v>320</v>
      </c>
      <c r="D152" s="22">
        <f>SUM(D149:D151)</f>
        <v>250000</v>
      </c>
      <c r="E152" s="22">
        <f>SUM(E149:E151)</f>
        <v>0</v>
      </c>
      <c r="F152" s="22">
        <f>SUM(F149:F151)</f>
        <v>0</v>
      </c>
      <c r="G152" s="22">
        <f>SUM(G149:G151)</f>
        <v>0</v>
      </c>
      <c r="H152" s="22">
        <f>SUM(H149:H151)</f>
        <v>250000</v>
      </c>
      <c r="I152" s="22">
        <v>0</v>
      </c>
      <c r="J152" s="27">
        <f>+K152-D152</f>
        <v>0</v>
      </c>
      <c r="K152" s="22">
        <f>SUM(K149:K151)</f>
        <v>250000</v>
      </c>
      <c r="L152" s="22">
        <f>SUM(L149:L151)</f>
        <v>300000</v>
      </c>
      <c r="M152" s="134">
        <f>SUM(M149:M151)</f>
        <v>2000000</v>
      </c>
      <c r="N152" s="134">
        <f>SUM(N149:N151)</f>
        <v>1015000</v>
      </c>
    </row>
    <row r="153" spans="1:14" s="28" customFormat="1" ht="14.25" x14ac:dyDescent="0.2">
      <c r="A153" s="25"/>
      <c r="B153" s="25"/>
      <c r="C153" s="26"/>
      <c r="D153" s="27"/>
      <c r="E153" s="27"/>
      <c r="F153" s="27"/>
      <c r="G153" s="27"/>
      <c r="H153" s="27"/>
      <c r="I153" s="27"/>
      <c r="J153" s="27"/>
      <c r="K153" s="27"/>
      <c r="L153" s="27"/>
      <c r="M153" s="107"/>
      <c r="N153" s="133"/>
    </row>
    <row r="154" spans="1:14" s="24" customFormat="1" x14ac:dyDescent="0.25">
      <c r="A154" s="20"/>
      <c r="B154" s="20"/>
      <c r="C154" s="21" t="s">
        <v>378</v>
      </c>
      <c r="D154" s="22"/>
      <c r="E154" s="22"/>
      <c r="F154" s="22"/>
      <c r="G154" s="22"/>
      <c r="H154" s="22"/>
      <c r="I154" s="22"/>
      <c r="J154" s="27">
        <f>+K154-D154</f>
        <v>0</v>
      </c>
      <c r="K154" s="27"/>
      <c r="L154" s="22"/>
      <c r="M154" s="134"/>
      <c r="N154" s="132"/>
    </row>
    <row r="155" spans="1:14" s="24" customFormat="1" x14ac:dyDescent="0.25">
      <c r="A155" s="20"/>
      <c r="B155" s="20"/>
      <c r="C155" s="21"/>
      <c r="D155" s="22"/>
      <c r="E155" s="22"/>
      <c r="F155" s="22"/>
      <c r="G155" s="22"/>
      <c r="H155" s="22"/>
      <c r="I155" s="22"/>
      <c r="J155" s="27"/>
      <c r="K155" s="27"/>
      <c r="L155" s="22"/>
      <c r="M155" s="134"/>
      <c r="N155" s="132"/>
    </row>
    <row r="156" spans="1:14" s="24" customFormat="1" x14ac:dyDescent="0.25">
      <c r="A156" s="20"/>
      <c r="B156" s="20"/>
      <c r="C156" s="21" t="s">
        <v>9</v>
      </c>
      <c r="D156" s="22"/>
      <c r="E156" s="22"/>
      <c r="F156" s="22"/>
      <c r="G156" s="22"/>
      <c r="H156" s="22"/>
      <c r="I156" s="22"/>
      <c r="J156" s="27">
        <f>+K156-D156</f>
        <v>0</v>
      </c>
      <c r="K156" s="27"/>
      <c r="L156" s="22"/>
      <c r="M156" s="134"/>
      <c r="N156" s="132"/>
    </row>
    <row r="157" spans="1:14" s="24" customFormat="1" x14ac:dyDescent="0.25">
      <c r="A157" s="20"/>
      <c r="B157" s="20"/>
      <c r="C157" s="21"/>
      <c r="D157" s="22"/>
      <c r="E157" s="22"/>
      <c r="F157" s="22"/>
      <c r="G157" s="22"/>
      <c r="H157" s="22"/>
      <c r="I157" s="22"/>
      <c r="J157" s="27"/>
      <c r="K157" s="27"/>
      <c r="L157" s="22"/>
      <c r="M157" s="134"/>
      <c r="N157" s="132"/>
    </row>
    <row r="158" spans="1:14" s="24" customFormat="1" x14ac:dyDescent="0.25">
      <c r="A158" s="20"/>
      <c r="B158" s="20"/>
      <c r="C158" s="21" t="s">
        <v>70</v>
      </c>
      <c r="D158" s="22"/>
      <c r="E158" s="22"/>
      <c r="F158" s="22"/>
      <c r="G158" s="22"/>
      <c r="H158" s="22"/>
      <c r="I158" s="22"/>
      <c r="J158" s="27">
        <f>+K158-D158</f>
        <v>0</v>
      </c>
      <c r="K158" s="27"/>
      <c r="L158" s="22"/>
      <c r="M158" s="134"/>
      <c r="N158" s="132"/>
    </row>
    <row r="159" spans="1:14" s="28" customFormat="1" ht="14.25" x14ac:dyDescent="0.2">
      <c r="A159" s="25"/>
      <c r="B159" s="25"/>
      <c r="C159" s="26"/>
      <c r="D159" s="27"/>
      <c r="E159" s="27"/>
      <c r="F159" s="27"/>
      <c r="G159" s="27"/>
      <c r="H159" s="27"/>
      <c r="I159" s="27"/>
      <c r="J159" s="27"/>
      <c r="K159" s="27"/>
      <c r="L159" s="27"/>
      <c r="M159" s="107"/>
      <c r="N159" s="133"/>
    </row>
    <row r="160" spans="1:14" s="28" customFormat="1" ht="14.25" x14ac:dyDescent="0.2">
      <c r="A160" s="25" t="s">
        <v>379</v>
      </c>
      <c r="B160" s="25"/>
      <c r="C160" s="26" t="s">
        <v>76</v>
      </c>
      <c r="D160" s="27">
        <f>'Revenue per source'!C103</f>
        <v>-204317</v>
      </c>
      <c r="E160" s="27">
        <f>'Revenue per source'!D103</f>
        <v>0</v>
      </c>
      <c r="F160" s="27">
        <f>'Revenue per source'!E103</f>
        <v>0</v>
      </c>
      <c r="G160" s="27">
        <f>'Revenue per source'!F103</f>
        <v>-70522.350000000006</v>
      </c>
      <c r="H160" s="27">
        <f>'Revenue per source'!G103</f>
        <v>-133794.65</v>
      </c>
      <c r="I160" s="27">
        <f>'Revenue per source'!H103</f>
        <v>34.51</v>
      </c>
      <c r="J160" s="27">
        <f>'Revenue per source'!I103</f>
        <v>0</v>
      </c>
      <c r="K160" s="27">
        <f>'Revenue per source'!J103</f>
        <v>-204317</v>
      </c>
      <c r="L160" s="27">
        <f>'Revenue per source'!K103</f>
        <v>-213511.26500000001</v>
      </c>
      <c r="M160" s="27">
        <f>'Revenue per source'!L103</f>
        <v>-223332.78319000002</v>
      </c>
      <c r="N160" s="27">
        <f>'Revenue per source'!M103</f>
        <v>-233606.09121674002</v>
      </c>
    </row>
    <row r="161" spans="1:14" s="28" customFormat="1" ht="14.25" x14ac:dyDescent="0.2">
      <c r="A161" s="25"/>
      <c r="B161" s="25"/>
      <c r="C161" s="26"/>
      <c r="D161" s="27"/>
      <c r="E161" s="27"/>
      <c r="F161" s="27"/>
      <c r="G161" s="27"/>
      <c r="H161" s="27"/>
      <c r="I161" s="27"/>
      <c r="J161" s="27"/>
      <c r="K161" s="27"/>
      <c r="L161" s="27"/>
      <c r="M161" s="107"/>
      <c r="N161" s="133"/>
    </row>
    <row r="162" spans="1:14" s="24" customFormat="1" x14ac:dyDescent="0.25">
      <c r="A162" s="20"/>
      <c r="B162" s="20"/>
      <c r="C162" s="21" t="s">
        <v>77</v>
      </c>
      <c r="D162" s="22">
        <f>SUM(D160:D161)</f>
        <v>-204317</v>
      </c>
      <c r="E162" s="22">
        <f>SUM(E160:E161)</f>
        <v>0</v>
      </c>
      <c r="F162" s="22">
        <f>SUM(F160:F161)</f>
        <v>0</v>
      </c>
      <c r="G162" s="22">
        <f>SUM(G160:G161)</f>
        <v>-70522.350000000006</v>
      </c>
      <c r="H162" s="22">
        <f>SUM(H160:H161)</f>
        <v>-133794.65</v>
      </c>
      <c r="I162" s="22">
        <v>34.51</v>
      </c>
      <c r="J162" s="27">
        <f>+K162-D162</f>
        <v>0</v>
      </c>
      <c r="K162" s="22">
        <f>SUM(K160:K161)</f>
        <v>-204317</v>
      </c>
      <c r="L162" s="22">
        <f>SUM(L160:L161)</f>
        <v>-213511.26500000001</v>
      </c>
      <c r="M162" s="134">
        <f>SUM(M160:M161)</f>
        <v>-223332.78319000002</v>
      </c>
      <c r="N162" s="134">
        <f>SUM(N160:N161)</f>
        <v>-233606.09121674002</v>
      </c>
    </row>
    <row r="163" spans="1:14" s="24" customFormat="1" x14ac:dyDescent="0.25">
      <c r="A163" s="20"/>
      <c r="B163" s="20"/>
      <c r="C163" s="21"/>
      <c r="D163" s="22"/>
      <c r="E163" s="22"/>
      <c r="F163" s="22"/>
      <c r="G163" s="22"/>
      <c r="H163" s="22"/>
      <c r="I163" s="22"/>
      <c r="J163" s="27"/>
      <c r="K163" s="27"/>
      <c r="L163" s="22"/>
      <c r="M163" s="134"/>
      <c r="N163" s="132"/>
    </row>
    <row r="164" spans="1:14" s="24" customFormat="1" x14ac:dyDescent="0.25">
      <c r="A164" s="20"/>
      <c r="B164" s="20"/>
      <c r="C164" s="21" t="s">
        <v>94</v>
      </c>
      <c r="D164" s="22">
        <f>D162</f>
        <v>-204317</v>
      </c>
      <c r="E164" s="22">
        <f t="shared" ref="E164:N164" si="67">E162</f>
        <v>0</v>
      </c>
      <c r="F164" s="22">
        <f t="shared" si="67"/>
        <v>0</v>
      </c>
      <c r="G164" s="22">
        <f t="shared" si="67"/>
        <v>-70522.350000000006</v>
      </c>
      <c r="H164" s="22">
        <f t="shared" si="67"/>
        <v>-133794.65</v>
      </c>
      <c r="I164" s="22">
        <v>34.51</v>
      </c>
      <c r="J164" s="27">
        <f>+K164-D164</f>
        <v>0</v>
      </c>
      <c r="K164" s="22">
        <f t="shared" si="67"/>
        <v>-204317</v>
      </c>
      <c r="L164" s="22">
        <f t="shared" si="67"/>
        <v>-213511.26500000001</v>
      </c>
      <c r="M164" s="134">
        <f t="shared" si="67"/>
        <v>-223332.78319000002</v>
      </c>
      <c r="N164" s="134">
        <f t="shared" si="67"/>
        <v>-233606.09121674002</v>
      </c>
    </row>
    <row r="165" spans="1:14" s="24" customFormat="1" x14ac:dyDescent="0.25">
      <c r="A165" s="20"/>
      <c r="B165" s="20"/>
      <c r="C165" s="21"/>
      <c r="D165" s="22"/>
      <c r="E165" s="22"/>
      <c r="F165" s="22"/>
      <c r="G165" s="22"/>
      <c r="H165" s="22"/>
      <c r="I165" s="22"/>
      <c r="J165" s="27"/>
      <c r="K165" s="27"/>
      <c r="L165" s="22"/>
      <c r="M165" s="134"/>
      <c r="N165" s="132"/>
    </row>
    <row r="166" spans="1:14" s="24" customFormat="1" x14ac:dyDescent="0.25">
      <c r="A166" s="20"/>
      <c r="B166" s="20"/>
      <c r="C166" s="21" t="s">
        <v>95</v>
      </c>
      <c r="D166" s="22">
        <f>D164</f>
        <v>-204317</v>
      </c>
      <c r="E166" s="22">
        <f t="shared" ref="E166:N166" si="68">E164</f>
        <v>0</v>
      </c>
      <c r="F166" s="22">
        <f t="shared" si="68"/>
        <v>0</v>
      </c>
      <c r="G166" s="22">
        <f t="shared" si="68"/>
        <v>-70522.350000000006</v>
      </c>
      <c r="H166" s="22">
        <f t="shared" si="68"/>
        <v>-133794.65</v>
      </c>
      <c r="I166" s="22">
        <v>34.51</v>
      </c>
      <c r="J166" s="27">
        <f>+K166-D166</f>
        <v>0</v>
      </c>
      <c r="K166" s="22">
        <f t="shared" si="68"/>
        <v>-204317</v>
      </c>
      <c r="L166" s="22">
        <f t="shared" si="68"/>
        <v>-213511.26500000001</v>
      </c>
      <c r="M166" s="134">
        <f t="shared" si="68"/>
        <v>-223332.78319000002</v>
      </c>
      <c r="N166" s="134">
        <f t="shared" si="68"/>
        <v>-233606.09121674002</v>
      </c>
    </row>
    <row r="167" spans="1:14" s="24" customFormat="1" x14ac:dyDescent="0.25">
      <c r="A167" s="20"/>
      <c r="B167" s="20"/>
      <c r="C167" s="21"/>
      <c r="D167" s="22"/>
      <c r="E167" s="22"/>
      <c r="F167" s="22"/>
      <c r="G167" s="22"/>
      <c r="H167" s="22"/>
      <c r="I167" s="22"/>
      <c r="J167" s="27"/>
      <c r="K167" s="27"/>
      <c r="L167" s="22"/>
      <c r="M167" s="134"/>
      <c r="N167" s="132"/>
    </row>
    <row r="168" spans="1:14" s="24" customFormat="1" x14ac:dyDescent="0.25">
      <c r="A168" s="20"/>
      <c r="B168" s="20"/>
      <c r="C168" s="21" t="s">
        <v>96</v>
      </c>
      <c r="D168" s="22"/>
      <c r="E168" s="22"/>
      <c r="F168" s="22"/>
      <c r="G168" s="22"/>
      <c r="H168" s="22"/>
      <c r="I168" s="22"/>
      <c r="J168" s="27">
        <f>+K168-D168</f>
        <v>0</v>
      </c>
      <c r="K168" s="27"/>
      <c r="L168" s="22"/>
      <c r="M168" s="134"/>
      <c r="N168" s="132"/>
    </row>
    <row r="169" spans="1:14" s="24" customFormat="1" x14ac:dyDescent="0.25">
      <c r="A169" s="20"/>
      <c r="B169" s="20"/>
      <c r="C169" s="21" t="s">
        <v>97</v>
      </c>
      <c r="D169" s="22"/>
      <c r="E169" s="22"/>
      <c r="F169" s="22"/>
      <c r="G169" s="22"/>
      <c r="H169" s="22"/>
      <c r="I169" s="22"/>
      <c r="J169" s="27">
        <f>+K169-D169</f>
        <v>0</v>
      </c>
      <c r="K169" s="27"/>
      <c r="L169" s="22"/>
      <c r="M169" s="134"/>
      <c r="N169" s="132"/>
    </row>
    <row r="170" spans="1:14" s="24" customFormat="1" x14ac:dyDescent="0.25">
      <c r="A170" s="20"/>
      <c r="B170" s="20"/>
      <c r="C170" s="21" t="s">
        <v>148</v>
      </c>
      <c r="D170" s="22"/>
      <c r="E170" s="22"/>
      <c r="F170" s="22"/>
      <c r="G170" s="22"/>
      <c r="H170" s="22"/>
      <c r="I170" s="22"/>
      <c r="J170" s="27">
        <f>+K170-D170</f>
        <v>0</v>
      </c>
      <c r="K170" s="27"/>
      <c r="L170" s="22"/>
      <c r="M170" s="134"/>
      <c r="N170" s="132"/>
    </row>
    <row r="171" spans="1:14" s="24" customFormat="1" x14ac:dyDescent="0.25">
      <c r="A171" s="20"/>
      <c r="B171" s="20"/>
      <c r="C171" s="21" t="s">
        <v>149</v>
      </c>
      <c r="D171" s="22"/>
      <c r="E171" s="22"/>
      <c r="F171" s="22"/>
      <c r="G171" s="22"/>
      <c r="H171" s="22"/>
      <c r="I171" s="22"/>
      <c r="J171" s="27">
        <f>+K171-D171</f>
        <v>0</v>
      </c>
      <c r="K171" s="27"/>
      <c r="L171" s="22"/>
      <c r="M171" s="134"/>
      <c r="N171" s="132"/>
    </row>
    <row r="172" spans="1:14" s="28" customFormat="1" ht="14.25" x14ac:dyDescent="0.2">
      <c r="A172" s="25"/>
      <c r="B172" s="25"/>
      <c r="C172" s="26"/>
      <c r="D172" s="27"/>
      <c r="E172" s="27"/>
      <c r="F172" s="27"/>
      <c r="G172" s="27"/>
      <c r="H172" s="27"/>
      <c r="I172" s="27"/>
      <c r="J172" s="27"/>
      <c r="K172" s="27"/>
      <c r="L172" s="27"/>
      <c r="M172" s="107"/>
      <c r="N172" s="133"/>
    </row>
    <row r="173" spans="1:14" s="28" customFormat="1" ht="14.25" x14ac:dyDescent="0.2">
      <c r="A173" s="25" t="s">
        <v>380</v>
      </c>
      <c r="B173" s="25"/>
      <c r="C173" s="26" t="s">
        <v>150</v>
      </c>
      <c r="D173" s="27">
        <f t="shared" ref="D173:D182" si="69">VLOOKUP(A173,fin,3,FALSE)</f>
        <v>1546512</v>
      </c>
      <c r="E173" s="27">
        <v>128292.72</v>
      </c>
      <c r="F173" s="27">
        <v>0</v>
      </c>
      <c r="G173" s="27">
        <v>762945.09</v>
      </c>
      <c r="H173" s="27">
        <v>783566.91</v>
      </c>
      <c r="I173" s="27">
        <v>49.33</v>
      </c>
      <c r="J173" s="27">
        <f t="shared" ref="J173:J182" si="70">+K173-D173</f>
        <v>0</v>
      </c>
      <c r="K173" s="27">
        <f t="shared" ref="K173:K182" si="71">VLOOKUP(A173,fin,4,FALSE)</f>
        <v>1546512</v>
      </c>
      <c r="L173" s="27">
        <f t="shared" ref="L173:L182" si="72">K173*6.25/100+K173</f>
        <v>1643169</v>
      </c>
      <c r="M173" s="107">
        <f t="shared" ref="M173:M182" si="73">L173*7/100+L173</f>
        <v>1758190.83</v>
      </c>
      <c r="N173" s="133">
        <f t="shared" ref="N173:N182" si="74">M173*7/100+M173</f>
        <v>1881264.1881000001</v>
      </c>
    </row>
    <row r="174" spans="1:14" s="28" customFormat="1" ht="14.25" x14ac:dyDescent="0.2">
      <c r="A174" s="25" t="s">
        <v>381</v>
      </c>
      <c r="B174" s="25"/>
      <c r="C174" s="26" t="s">
        <v>151</v>
      </c>
      <c r="D174" s="27">
        <f t="shared" si="69"/>
        <v>70585</v>
      </c>
      <c r="E174" s="27">
        <v>33868.36</v>
      </c>
      <c r="F174" s="27">
        <v>0</v>
      </c>
      <c r="G174" s="27">
        <v>128290.03</v>
      </c>
      <c r="H174" s="27">
        <v>-57705.03</v>
      </c>
      <c r="I174" s="27">
        <v>181.75</v>
      </c>
      <c r="J174" s="27">
        <f t="shared" si="70"/>
        <v>-36716.639999999999</v>
      </c>
      <c r="K174" s="27">
        <f t="shared" si="71"/>
        <v>33868.36</v>
      </c>
      <c r="L174" s="27">
        <f t="shared" si="72"/>
        <v>35985.1325</v>
      </c>
      <c r="M174" s="107">
        <f t="shared" si="73"/>
        <v>38504.091775000001</v>
      </c>
      <c r="N174" s="133">
        <f t="shared" si="74"/>
        <v>41199.378199250001</v>
      </c>
    </row>
    <row r="175" spans="1:14" s="28" customFormat="1" ht="14.25" x14ac:dyDescent="0.2">
      <c r="A175" s="25" t="s">
        <v>382</v>
      </c>
      <c r="B175" s="25"/>
      <c r="C175" s="26" t="s">
        <v>152</v>
      </c>
      <c r="D175" s="27">
        <f t="shared" si="69"/>
        <v>52200</v>
      </c>
      <c r="E175" s="27">
        <v>4345.5</v>
      </c>
      <c r="F175" s="27">
        <v>0</v>
      </c>
      <c r="G175" s="27">
        <v>26073</v>
      </c>
      <c r="H175" s="27">
        <v>26127</v>
      </c>
      <c r="I175" s="27">
        <v>49.94</v>
      </c>
      <c r="J175" s="27">
        <f t="shared" si="70"/>
        <v>0</v>
      </c>
      <c r="K175" s="27">
        <f t="shared" si="71"/>
        <v>52200</v>
      </c>
      <c r="L175" s="27">
        <f t="shared" si="72"/>
        <v>55462.5</v>
      </c>
      <c r="M175" s="107">
        <f t="shared" si="73"/>
        <v>59344.875</v>
      </c>
      <c r="N175" s="133">
        <f t="shared" si="74"/>
        <v>63499.016250000001</v>
      </c>
    </row>
    <row r="176" spans="1:14" s="28" customFormat="1" ht="14.25" x14ac:dyDescent="0.2">
      <c r="A176" s="25" t="s">
        <v>383</v>
      </c>
      <c r="B176" s="25"/>
      <c r="C176" s="26" t="s">
        <v>153</v>
      </c>
      <c r="D176" s="27">
        <f t="shared" si="69"/>
        <v>10893</v>
      </c>
      <c r="E176" s="27">
        <v>907.77</v>
      </c>
      <c r="F176" s="27">
        <v>0</v>
      </c>
      <c r="G176" s="27">
        <v>5446.62</v>
      </c>
      <c r="H176" s="27">
        <v>5446.38</v>
      </c>
      <c r="I176" s="27">
        <v>50</v>
      </c>
      <c r="J176" s="27">
        <f t="shared" si="70"/>
        <v>0</v>
      </c>
      <c r="K176" s="27">
        <f t="shared" si="71"/>
        <v>10893</v>
      </c>
      <c r="L176" s="27">
        <f t="shared" si="72"/>
        <v>11573.8125</v>
      </c>
      <c r="M176" s="107">
        <f t="shared" si="73"/>
        <v>12383.979375000001</v>
      </c>
      <c r="N176" s="133">
        <f t="shared" si="74"/>
        <v>13250.857931250001</v>
      </c>
    </row>
    <row r="177" spans="1:14" s="28" customFormat="1" ht="14.25" x14ac:dyDescent="0.2">
      <c r="A177" s="25" t="s">
        <v>384</v>
      </c>
      <c r="B177" s="25"/>
      <c r="C177" s="26" t="s">
        <v>155</v>
      </c>
      <c r="D177" s="27">
        <f t="shared" si="69"/>
        <v>50125</v>
      </c>
      <c r="E177" s="27">
        <v>0</v>
      </c>
      <c r="F177" s="27">
        <v>0</v>
      </c>
      <c r="G177" s="27">
        <v>0</v>
      </c>
      <c r="H177" s="27">
        <v>50125</v>
      </c>
      <c r="I177" s="27">
        <v>0</v>
      </c>
      <c r="J177" s="27">
        <f t="shared" si="70"/>
        <v>0</v>
      </c>
      <c r="K177" s="27">
        <f t="shared" si="71"/>
        <v>50125</v>
      </c>
      <c r="L177" s="27">
        <f t="shared" si="72"/>
        <v>53257.8125</v>
      </c>
      <c r="M177" s="107">
        <f t="shared" si="73"/>
        <v>56985.859375</v>
      </c>
      <c r="N177" s="133">
        <f t="shared" si="74"/>
        <v>60974.869531249999</v>
      </c>
    </row>
    <row r="178" spans="1:14" s="28" customFormat="1" ht="14.25" x14ac:dyDescent="0.2">
      <c r="A178" s="25" t="s">
        <v>385</v>
      </c>
      <c r="B178" s="25"/>
      <c r="C178" s="26" t="s">
        <v>156</v>
      </c>
      <c r="D178" s="27">
        <f t="shared" si="69"/>
        <v>330862</v>
      </c>
      <c r="E178" s="27">
        <v>28101.08</v>
      </c>
      <c r="F178" s="27">
        <v>0</v>
      </c>
      <c r="G178" s="27">
        <v>166996.79999999999</v>
      </c>
      <c r="H178" s="27">
        <v>163865.20000000001</v>
      </c>
      <c r="I178" s="27">
        <v>50.47</v>
      </c>
      <c r="J178" s="27">
        <f t="shared" si="70"/>
        <v>0</v>
      </c>
      <c r="K178" s="27">
        <f t="shared" si="71"/>
        <v>330862</v>
      </c>
      <c r="L178" s="27">
        <f t="shared" si="72"/>
        <v>351540.875</v>
      </c>
      <c r="M178" s="107">
        <f t="shared" si="73"/>
        <v>376148.73625000002</v>
      </c>
      <c r="N178" s="133">
        <f t="shared" si="74"/>
        <v>402479.1477875</v>
      </c>
    </row>
    <row r="179" spans="1:14" s="28" customFormat="1" ht="14.25" x14ac:dyDescent="0.2">
      <c r="A179" s="25" t="s">
        <v>386</v>
      </c>
      <c r="B179" s="25"/>
      <c r="C179" s="26" t="s">
        <v>157</v>
      </c>
      <c r="D179" s="27">
        <f t="shared" si="69"/>
        <v>5418</v>
      </c>
      <c r="E179" s="27">
        <v>0</v>
      </c>
      <c r="F179" s="27">
        <v>0</v>
      </c>
      <c r="G179" s="27">
        <v>0</v>
      </c>
      <c r="H179" s="27">
        <v>5418</v>
      </c>
      <c r="I179" s="27">
        <v>0</v>
      </c>
      <c r="J179" s="27">
        <f t="shared" si="70"/>
        <v>0</v>
      </c>
      <c r="K179" s="27">
        <f t="shared" si="71"/>
        <v>5418</v>
      </c>
      <c r="L179" s="27">
        <f t="shared" si="72"/>
        <v>5756.625</v>
      </c>
      <c r="M179" s="107">
        <f t="shared" si="73"/>
        <v>6159.5887499999999</v>
      </c>
      <c r="N179" s="133">
        <f t="shared" si="74"/>
        <v>6590.7599625000003</v>
      </c>
    </row>
    <row r="180" spans="1:14" s="28" customFormat="1" ht="14.25" x14ac:dyDescent="0.2">
      <c r="A180" s="25" t="s">
        <v>387</v>
      </c>
      <c r="B180" s="25"/>
      <c r="C180" s="26" t="s">
        <v>158</v>
      </c>
      <c r="D180" s="27">
        <f t="shared" si="69"/>
        <v>11405</v>
      </c>
      <c r="E180" s="27">
        <v>-800</v>
      </c>
      <c r="F180" s="27">
        <v>0</v>
      </c>
      <c r="G180" s="27">
        <v>26999.64</v>
      </c>
      <c r="H180" s="27">
        <v>-15594.64</v>
      </c>
      <c r="I180" s="27">
        <v>236.73</v>
      </c>
      <c r="J180" s="27">
        <f t="shared" si="70"/>
        <v>30000</v>
      </c>
      <c r="K180" s="27">
        <f t="shared" si="71"/>
        <v>41405</v>
      </c>
      <c r="L180" s="27">
        <f t="shared" si="72"/>
        <v>43992.8125</v>
      </c>
      <c r="M180" s="107">
        <f t="shared" si="73"/>
        <v>47072.309374999997</v>
      </c>
      <c r="N180" s="133">
        <f t="shared" si="74"/>
        <v>50367.371031249997</v>
      </c>
    </row>
    <row r="181" spans="1:14" s="28" customFormat="1" ht="14.25" x14ac:dyDescent="0.2">
      <c r="A181" s="25" t="s">
        <v>388</v>
      </c>
      <c r="B181" s="25"/>
      <c r="C181" s="26" t="s">
        <v>159</v>
      </c>
      <c r="D181" s="27">
        <f t="shared" si="69"/>
        <v>125876</v>
      </c>
      <c r="E181" s="27">
        <v>0</v>
      </c>
      <c r="F181" s="27">
        <v>0</v>
      </c>
      <c r="G181" s="27">
        <v>0</v>
      </c>
      <c r="H181" s="27">
        <v>125876</v>
      </c>
      <c r="I181" s="27">
        <v>0</v>
      </c>
      <c r="J181" s="27">
        <f t="shared" si="70"/>
        <v>0</v>
      </c>
      <c r="K181" s="27">
        <f t="shared" si="71"/>
        <v>125876</v>
      </c>
      <c r="L181" s="27">
        <f t="shared" si="72"/>
        <v>133743.25</v>
      </c>
      <c r="M181" s="107">
        <f t="shared" si="73"/>
        <v>143105.2775</v>
      </c>
      <c r="N181" s="133">
        <f t="shared" si="74"/>
        <v>153122.64692500001</v>
      </c>
    </row>
    <row r="182" spans="1:14" s="28" customFormat="1" ht="14.25" x14ac:dyDescent="0.2">
      <c r="A182" s="25" t="s">
        <v>389</v>
      </c>
      <c r="B182" s="25"/>
      <c r="C182" s="26" t="s">
        <v>164</v>
      </c>
      <c r="D182" s="27">
        <f t="shared" si="69"/>
        <v>15692</v>
      </c>
      <c r="E182" s="27">
        <v>1307.7</v>
      </c>
      <c r="F182" s="27">
        <v>0</v>
      </c>
      <c r="G182" s="27">
        <v>7846.2</v>
      </c>
      <c r="H182" s="27">
        <v>7845.8</v>
      </c>
      <c r="I182" s="27">
        <v>50</v>
      </c>
      <c r="J182" s="27">
        <f t="shared" si="70"/>
        <v>0</v>
      </c>
      <c r="K182" s="27">
        <f t="shared" si="71"/>
        <v>15692</v>
      </c>
      <c r="L182" s="27">
        <f t="shared" si="72"/>
        <v>16672.75</v>
      </c>
      <c r="M182" s="107">
        <f t="shared" si="73"/>
        <v>17839.842499999999</v>
      </c>
      <c r="N182" s="133">
        <f t="shared" si="74"/>
        <v>19088.631474999998</v>
      </c>
    </row>
    <row r="183" spans="1:14" s="28" customFormat="1" ht="14.25" x14ac:dyDescent="0.2">
      <c r="A183" s="25"/>
      <c r="B183" s="25"/>
      <c r="C183" s="26"/>
      <c r="D183" s="27"/>
      <c r="E183" s="27"/>
      <c r="F183" s="27"/>
      <c r="G183" s="27"/>
      <c r="H183" s="27"/>
      <c r="I183" s="27"/>
      <c r="J183" s="27"/>
      <c r="K183" s="27"/>
      <c r="L183" s="27"/>
      <c r="M183" s="107"/>
      <c r="N183" s="133"/>
    </row>
    <row r="184" spans="1:14" s="24" customFormat="1" x14ac:dyDescent="0.25">
      <c r="A184" s="20"/>
      <c r="B184" s="20"/>
      <c r="C184" s="21" t="s">
        <v>165</v>
      </c>
      <c r="D184" s="22">
        <f>SUM(D173:D183)</f>
        <v>2219568</v>
      </c>
      <c r="E184" s="22">
        <f>SUM(E173:E183)</f>
        <v>196023.13</v>
      </c>
      <c r="F184" s="22">
        <f>SUM(F173:F183)</f>
        <v>0</v>
      </c>
      <c r="G184" s="22">
        <f>SUM(G173:G183)</f>
        <v>1124597.3799999999</v>
      </c>
      <c r="H184" s="22">
        <f>SUM(H173:H183)</f>
        <v>1094970.6199999999</v>
      </c>
      <c r="I184" s="22">
        <v>50.66</v>
      </c>
      <c r="J184" s="27">
        <f>+K184-D184</f>
        <v>-6716.6399999996647</v>
      </c>
      <c r="K184" s="22">
        <f>SUM(K173:K183)</f>
        <v>2212851.3600000003</v>
      </c>
      <c r="L184" s="22">
        <f>SUM(L173:L183)</f>
        <v>2351154.5700000003</v>
      </c>
      <c r="M184" s="134">
        <f>SUM(M173:M183)</f>
        <v>2515735.3899000003</v>
      </c>
      <c r="N184" s="134">
        <f>SUM(N173:N183)</f>
        <v>2691836.8671930004</v>
      </c>
    </row>
    <row r="185" spans="1:14" s="24" customFormat="1" x14ac:dyDescent="0.25">
      <c r="A185" s="20"/>
      <c r="B185" s="20"/>
      <c r="C185" s="21"/>
      <c r="D185" s="22"/>
      <c r="E185" s="22"/>
      <c r="F185" s="22"/>
      <c r="G185" s="22"/>
      <c r="H185" s="22"/>
      <c r="I185" s="22"/>
      <c r="J185" s="27"/>
      <c r="K185" s="27"/>
      <c r="L185" s="22"/>
      <c r="M185" s="134"/>
      <c r="N185" s="132"/>
    </row>
    <row r="186" spans="1:14" s="24" customFormat="1" x14ac:dyDescent="0.25">
      <c r="A186" s="20"/>
      <c r="B186" s="20"/>
      <c r="C186" s="21" t="s">
        <v>166</v>
      </c>
      <c r="D186" s="22"/>
      <c r="E186" s="22"/>
      <c r="F186" s="22"/>
      <c r="G186" s="22"/>
      <c r="H186" s="22"/>
      <c r="I186" s="22"/>
      <c r="J186" s="27">
        <f>+K186-D186</f>
        <v>0</v>
      </c>
      <c r="K186" s="27"/>
      <c r="L186" s="22"/>
      <c r="M186" s="134"/>
      <c r="N186" s="132"/>
    </row>
    <row r="187" spans="1:14" s="28" customFormat="1" ht="14.25" x14ac:dyDescent="0.2">
      <c r="A187" s="25"/>
      <c r="B187" s="25"/>
      <c r="C187" s="26"/>
      <c r="D187" s="27"/>
      <c r="E187" s="27"/>
      <c r="F187" s="27"/>
      <c r="G187" s="27"/>
      <c r="H187" s="27"/>
      <c r="I187" s="27"/>
      <c r="J187" s="27"/>
      <c r="K187" s="27"/>
      <c r="L187" s="27"/>
      <c r="M187" s="107"/>
      <c r="N187" s="133"/>
    </row>
    <row r="188" spans="1:14" s="28" customFormat="1" ht="14.25" x14ac:dyDescent="0.2">
      <c r="A188" s="25" t="s">
        <v>390</v>
      </c>
      <c r="B188" s="25"/>
      <c r="C188" s="26" t="s">
        <v>167</v>
      </c>
      <c r="D188" s="27">
        <f>VLOOKUP(A188,fin,3,FALSE)</f>
        <v>449</v>
      </c>
      <c r="E188" s="27">
        <v>37.28</v>
      </c>
      <c r="F188" s="27">
        <v>0</v>
      </c>
      <c r="G188" s="27">
        <v>223.68</v>
      </c>
      <c r="H188" s="27">
        <v>225.32</v>
      </c>
      <c r="I188" s="27">
        <v>49.81</v>
      </c>
      <c r="J188" s="27">
        <f>+K188-D188</f>
        <v>0</v>
      </c>
      <c r="K188" s="27">
        <f>VLOOKUP(A188,fin,4,FALSE)</f>
        <v>449</v>
      </c>
      <c r="L188" s="27">
        <f t="shared" ref="L188:L191" si="75">K188*6.25/100+K188</f>
        <v>477.0625</v>
      </c>
      <c r="M188" s="107">
        <f t="shared" ref="M188:M191" si="76">L188*7/100+L188</f>
        <v>510.45687499999997</v>
      </c>
      <c r="N188" s="133">
        <f t="shared" ref="N188:N191" si="77">M188*7/100+M188</f>
        <v>546.18885624999996</v>
      </c>
    </row>
    <row r="189" spans="1:14" s="28" customFormat="1" ht="14.25" x14ac:dyDescent="0.2">
      <c r="A189" s="25" t="s">
        <v>391</v>
      </c>
      <c r="B189" s="25"/>
      <c r="C189" s="26" t="s">
        <v>168</v>
      </c>
      <c r="D189" s="27">
        <f>VLOOKUP(A189,fin,3,FALSE)</f>
        <v>215633</v>
      </c>
      <c r="E189" s="27">
        <v>9751.2000000000007</v>
      </c>
      <c r="F189" s="27">
        <v>0</v>
      </c>
      <c r="G189" s="27">
        <v>57466.8</v>
      </c>
      <c r="H189" s="27">
        <v>158166.20000000001</v>
      </c>
      <c r="I189" s="27">
        <v>26.65</v>
      </c>
      <c r="J189" s="27">
        <f>+K189-D189</f>
        <v>0</v>
      </c>
      <c r="K189" s="27">
        <f>VLOOKUP(A189,fin,4,FALSE)</f>
        <v>215633</v>
      </c>
      <c r="L189" s="27">
        <f t="shared" si="75"/>
        <v>229110.0625</v>
      </c>
      <c r="M189" s="107">
        <f t="shared" si="76"/>
        <v>245147.766875</v>
      </c>
      <c r="N189" s="133">
        <f t="shared" si="77"/>
        <v>262308.11055624997</v>
      </c>
    </row>
    <row r="190" spans="1:14" s="28" customFormat="1" ht="14.25" x14ac:dyDescent="0.2">
      <c r="A190" s="25" t="s">
        <v>392</v>
      </c>
      <c r="B190" s="25"/>
      <c r="C190" s="26" t="s">
        <v>169</v>
      </c>
      <c r="D190" s="27">
        <f>VLOOKUP(A190,fin,3,FALSE)</f>
        <v>332313</v>
      </c>
      <c r="E190" s="27">
        <v>24387.23</v>
      </c>
      <c r="F190" s="27">
        <v>0</v>
      </c>
      <c r="G190" s="27">
        <v>144975.98000000001</v>
      </c>
      <c r="H190" s="27">
        <v>187337.02</v>
      </c>
      <c r="I190" s="27">
        <v>43.62</v>
      </c>
      <c r="J190" s="27">
        <f>+K190-D190</f>
        <v>0</v>
      </c>
      <c r="K190" s="27">
        <f>VLOOKUP(A190,fin,4,FALSE)</f>
        <v>332313</v>
      </c>
      <c r="L190" s="27">
        <f t="shared" si="75"/>
        <v>353082.5625</v>
      </c>
      <c r="M190" s="107">
        <f t="shared" si="76"/>
        <v>377798.34187499998</v>
      </c>
      <c r="N190" s="133">
        <f t="shared" si="77"/>
        <v>404244.22580625</v>
      </c>
    </row>
    <row r="191" spans="1:14" s="28" customFormat="1" ht="14.25" x14ac:dyDescent="0.2">
      <c r="A191" s="25" t="s">
        <v>393</v>
      </c>
      <c r="B191" s="25"/>
      <c r="C191" s="26" t="s">
        <v>170</v>
      </c>
      <c r="D191" s="27">
        <f>VLOOKUP(A191,fin,3,FALSE)</f>
        <v>7140</v>
      </c>
      <c r="E191" s="27">
        <v>594.88</v>
      </c>
      <c r="F191" s="27">
        <v>0</v>
      </c>
      <c r="G191" s="27">
        <v>3569.28</v>
      </c>
      <c r="H191" s="27">
        <v>3570.72</v>
      </c>
      <c r="I191" s="27">
        <v>49.98</v>
      </c>
      <c r="J191" s="27">
        <f>+K191-D191</f>
        <v>0</v>
      </c>
      <c r="K191" s="27">
        <f>VLOOKUP(A191,fin,4,FALSE)</f>
        <v>7140</v>
      </c>
      <c r="L191" s="27">
        <f t="shared" si="75"/>
        <v>7586.25</v>
      </c>
      <c r="M191" s="107">
        <f t="shared" si="76"/>
        <v>8117.2875000000004</v>
      </c>
      <c r="N191" s="133">
        <f t="shared" si="77"/>
        <v>8685.497625</v>
      </c>
    </row>
    <row r="192" spans="1:14" s="28" customFormat="1" ht="14.25" x14ac:dyDescent="0.2">
      <c r="A192" s="25"/>
      <c r="B192" s="25"/>
      <c r="C192" s="26"/>
      <c r="D192" s="27"/>
      <c r="E192" s="27"/>
      <c r="F192" s="27"/>
      <c r="G192" s="27"/>
      <c r="H192" s="27"/>
      <c r="I192" s="27"/>
      <c r="J192" s="27"/>
      <c r="K192" s="27"/>
      <c r="L192" s="27"/>
      <c r="M192" s="107"/>
      <c r="N192" s="133"/>
    </row>
    <row r="193" spans="1:14" s="24" customFormat="1" x14ac:dyDescent="0.25">
      <c r="A193" s="20"/>
      <c r="B193" s="20"/>
      <c r="C193" s="21" t="s">
        <v>171</v>
      </c>
      <c r="D193" s="22">
        <f>SUM(D188:D192)</f>
        <v>555535</v>
      </c>
      <c r="E193" s="22">
        <f>SUM(E188:E192)</f>
        <v>34770.589999999997</v>
      </c>
      <c r="F193" s="22">
        <f>SUM(F188:F192)</f>
        <v>0</v>
      </c>
      <c r="G193" s="22">
        <f>SUM(G188:G192)</f>
        <v>206235.74000000002</v>
      </c>
      <c r="H193" s="22">
        <f>SUM(H188:H192)</f>
        <v>349299.26</v>
      </c>
      <c r="I193" s="22">
        <v>37.119999999999997</v>
      </c>
      <c r="J193" s="27">
        <f>+K193-D193</f>
        <v>0</v>
      </c>
      <c r="K193" s="22">
        <f>SUM(K188:K192)</f>
        <v>555535</v>
      </c>
      <c r="L193" s="22">
        <f>SUM(L188:L192)</f>
        <v>590255.9375</v>
      </c>
      <c r="M193" s="134">
        <f>SUM(M188:M192)</f>
        <v>631573.85312500002</v>
      </c>
      <c r="N193" s="134">
        <f>SUM(N188:N192)</f>
        <v>675784.02284374996</v>
      </c>
    </row>
    <row r="194" spans="1:14" s="24" customFormat="1" x14ac:dyDescent="0.25">
      <c r="A194" s="20"/>
      <c r="B194" s="20"/>
      <c r="C194" s="21"/>
      <c r="D194" s="22"/>
      <c r="E194" s="22"/>
      <c r="F194" s="22"/>
      <c r="G194" s="22"/>
      <c r="H194" s="22"/>
      <c r="I194" s="22"/>
      <c r="J194" s="27"/>
      <c r="K194" s="27"/>
      <c r="L194" s="22"/>
      <c r="M194" s="134"/>
      <c r="N194" s="132"/>
    </row>
    <row r="195" spans="1:14" s="24" customFormat="1" x14ac:dyDescent="0.25">
      <c r="A195" s="20"/>
      <c r="B195" s="20"/>
      <c r="C195" s="21" t="s">
        <v>172</v>
      </c>
      <c r="D195" s="22"/>
      <c r="E195" s="22"/>
      <c r="F195" s="22"/>
      <c r="G195" s="22"/>
      <c r="H195" s="22"/>
      <c r="I195" s="22"/>
      <c r="J195" s="27">
        <f>+K195-D195</f>
        <v>0</v>
      </c>
      <c r="K195" s="27"/>
      <c r="L195" s="22"/>
      <c r="M195" s="134"/>
      <c r="N195" s="132"/>
    </row>
    <row r="196" spans="1:14" s="24" customFormat="1" x14ac:dyDescent="0.25">
      <c r="A196" s="20"/>
      <c r="B196" s="20"/>
      <c r="C196" s="21"/>
      <c r="D196" s="22"/>
      <c r="E196" s="22"/>
      <c r="F196" s="22"/>
      <c r="G196" s="22"/>
      <c r="H196" s="22"/>
      <c r="I196" s="22"/>
      <c r="J196" s="27"/>
      <c r="K196" s="27"/>
      <c r="L196" s="22"/>
      <c r="M196" s="134"/>
      <c r="N196" s="132"/>
    </row>
    <row r="197" spans="1:14" s="28" customFormat="1" ht="14.25" x14ac:dyDescent="0.2">
      <c r="A197" s="25" t="s">
        <v>394</v>
      </c>
      <c r="B197" s="25"/>
      <c r="C197" s="26" t="s">
        <v>173</v>
      </c>
      <c r="D197" s="27">
        <f>VLOOKUP(A197,fin,3,FALSE)</f>
        <v>8010</v>
      </c>
      <c r="E197" s="27">
        <v>0</v>
      </c>
      <c r="F197" s="27">
        <v>0</v>
      </c>
      <c r="G197" s="27">
        <v>0</v>
      </c>
      <c r="H197" s="27">
        <v>8010</v>
      </c>
      <c r="I197" s="27">
        <v>0</v>
      </c>
      <c r="J197" s="27">
        <f>+K197-D197</f>
        <v>0</v>
      </c>
      <c r="K197" s="27">
        <f>VLOOKUP(A197,fin,4,FALSE)</f>
        <v>8010</v>
      </c>
      <c r="L197" s="27">
        <f t="shared" ref="L197:L199" si="78">K197*6.25/100+K197</f>
        <v>8510.625</v>
      </c>
      <c r="M197" s="107">
        <f t="shared" ref="M197:M199" si="79">L197*7/100+L197</f>
        <v>9106.3687499999996</v>
      </c>
      <c r="N197" s="133">
        <f t="shared" ref="N197:N199" si="80">M197*7/100+M197</f>
        <v>9743.8145624999997</v>
      </c>
    </row>
    <row r="198" spans="1:14" s="28" customFormat="1" ht="14.25" x14ac:dyDescent="0.2">
      <c r="A198" s="25" t="s">
        <v>395</v>
      </c>
      <c r="B198" s="25"/>
      <c r="C198" s="26" t="s">
        <v>174</v>
      </c>
      <c r="D198" s="27">
        <f>VLOOKUP(A198,fin,3,FALSE)</f>
        <v>9043</v>
      </c>
      <c r="E198" s="27">
        <v>0</v>
      </c>
      <c r="F198" s="27">
        <v>0</v>
      </c>
      <c r="G198" s="27">
        <v>0</v>
      </c>
      <c r="H198" s="27">
        <v>9043</v>
      </c>
      <c r="I198" s="27">
        <v>0</v>
      </c>
      <c r="J198" s="27">
        <f>+K198-D198</f>
        <v>0</v>
      </c>
      <c r="K198" s="27">
        <f>VLOOKUP(A198,fin,4,FALSE)</f>
        <v>9043</v>
      </c>
      <c r="L198" s="27">
        <f t="shared" si="78"/>
        <v>9608.1875</v>
      </c>
      <c r="M198" s="107">
        <f t="shared" si="79"/>
        <v>10280.760625000001</v>
      </c>
      <c r="N198" s="133">
        <f t="shared" si="80"/>
        <v>11000.413868750002</v>
      </c>
    </row>
    <row r="199" spans="1:14" s="28" customFormat="1" ht="14.25" x14ac:dyDescent="0.2">
      <c r="A199" s="25" t="s">
        <v>396</v>
      </c>
      <c r="B199" s="25"/>
      <c r="C199" s="26" t="s">
        <v>175</v>
      </c>
      <c r="D199" s="27">
        <f>VLOOKUP(A199,fin,3,FALSE)</f>
        <v>14441</v>
      </c>
      <c r="E199" s="27">
        <v>0</v>
      </c>
      <c r="F199" s="27">
        <v>0</v>
      </c>
      <c r="G199" s="27">
        <v>0</v>
      </c>
      <c r="H199" s="27">
        <v>14441</v>
      </c>
      <c r="I199" s="27">
        <v>0</v>
      </c>
      <c r="J199" s="27">
        <f>+K199-D199</f>
        <v>0</v>
      </c>
      <c r="K199" s="27">
        <f>VLOOKUP(A199,fin,4,FALSE)</f>
        <v>14441</v>
      </c>
      <c r="L199" s="27">
        <f t="shared" si="78"/>
        <v>15343.5625</v>
      </c>
      <c r="M199" s="107">
        <f t="shared" si="79"/>
        <v>16417.611874999999</v>
      </c>
      <c r="N199" s="133">
        <f t="shared" si="80"/>
        <v>17566.844706249998</v>
      </c>
    </row>
    <row r="200" spans="1:14" s="28" customFormat="1" ht="14.25" x14ac:dyDescent="0.2">
      <c r="A200" s="25"/>
      <c r="B200" s="25"/>
      <c r="C200" s="26"/>
      <c r="D200" s="27"/>
      <c r="E200" s="27"/>
      <c r="F200" s="27"/>
      <c r="G200" s="27"/>
      <c r="H200" s="27"/>
      <c r="I200" s="27"/>
      <c r="J200" s="27"/>
      <c r="K200" s="27"/>
      <c r="L200" s="27"/>
      <c r="M200" s="107"/>
      <c r="N200" s="133"/>
    </row>
    <row r="201" spans="1:14" s="24" customFormat="1" x14ac:dyDescent="0.25">
      <c r="A201" s="20"/>
      <c r="B201" s="20"/>
      <c r="C201" s="21" t="s">
        <v>176</v>
      </c>
      <c r="D201" s="22">
        <f>SUM(D197:D200)</f>
        <v>31494</v>
      </c>
      <c r="E201" s="22">
        <f>SUM(E197:E200)</f>
        <v>0</v>
      </c>
      <c r="F201" s="22">
        <f>SUM(F197:F200)</f>
        <v>0</v>
      </c>
      <c r="G201" s="22">
        <f>SUM(G197:G200)</f>
        <v>0</v>
      </c>
      <c r="H201" s="22">
        <f>SUM(H197:H200)</f>
        <v>31494</v>
      </c>
      <c r="I201" s="22">
        <v>0</v>
      </c>
      <c r="J201" s="27">
        <f>+K201-D201</f>
        <v>0</v>
      </c>
      <c r="K201" s="22">
        <f>SUM(K197:K200)</f>
        <v>31494</v>
      </c>
      <c r="L201" s="22">
        <f>SUM(L197:L200)</f>
        <v>33462.375</v>
      </c>
      <c r="M201" s="134">
        <f>SUM(M197:M200)</f>
        <v>35804.741249999999</v>
      </c>
      <c r="N201" s="134">
        <f>SUM(N197:N200)</f>
        <v>38311.073137500003</v>
      </c>
    </row>
    <row r="202" spans="1:14" s="24" customFormat="1" x14ac:dyDescent="0.25">
      <c r="A202" s="20"/>
      <c r="B202" s="20"/>
      <c r="C202" s="21"/>
      <c r="D202" s="22"/>
      <c r="E202" s="22"/>
      <c r="F202" s="22"/>
      <c r="G202" s="22"/>
      <c r="H202" s="22"/>
      <c r="I202" s="22"/>
      <c r="J202" s="27"/>
      <c r="K202" s="27"/>
      <c r="L202" s="22"/>
      <c r="M202" s="134"/>
      <c r="N202" s="132"/>
    </row>
    <row r="203" spans="1:14" s="24" customFormat="1" x14ac:dyDescent="0.25">
      <c r="A203" s="20"/>
      <c r="B203" s="20"/>
      <c r="C203" s="21" t="s">
        <v>177</v>
      </c>
      <c r="D203" s="22">
        <f>D184+D193+D201</f>
        <v>2806597</v>
      </c>
      <c r="E203" s="22">
        <f t="shared" ref="E203:N203" si="81">E184+E193+E201</f>
        <v>230793.72</v>
      </c>
      <c r="F203" s="22">
        <f t="shared" si="81"/>
        <v>0</v>
      </c>
      <c r="G203" s="22">
        <f t="shared" si="81"/>
        <v>1330833.1199999999</v>
      </c>
      <c r="H203" s="22">
        <f t="shared" si="81"/>
        <v>1475763.88</v>
      </c>
      <c r="I203" s="22">
        <v>47.41</v>
      </c>
      <c r="J203" s="27">
        <f>+K203-D203</f>
        <v>-6716.6399999996647</v>
      </c>
      <c r="K203" s="22">
        <f t="shared" si="81"/>
        <v>2799880.3600000003</v>
      </c>
      <c r="L203" s="22">
        <f t="shared" si="81"/>
        <v>2974872.8825000003</v>
      </c>
      <c r="M203" s="134">
        <f t="shared" si="81"/>
        <v>3183113.9842750002</v>
      </c>
      <c r="N203" s="134">
        <f t="shared" si="81"/>
        <v>3405931.9631742504</v>
      </c>
    </row>
    <row r="204" spans="1:14" s="24" customFormat="1" x14ac:dyDescent="0.25">
      <c r="A204" s="20"/>
      <c r="B204" s="20"/>
      <c r="C204" s="21"/>
      <c r="D204" s="22"/>
      <c r="E204" s="22"/>
      <c r="F204" s="22"/>
      <c r="G204" s="22"/>
      <c r="H204" s="22"/>
      <c r="I204" s="22"/>
      <c r="J204" s="27"/>
      <c r="K204" s="27"/>
      <c r="L204" s="22"/>
      <c r="M204" s="134"/>
      <c r="N204" s="132"/>
    </row>
    <row r="205" spans="1:14" s="24" customFormat="1" x14ac:dyDescent="0.25">
      <c r="A205" s="20"/>
      <c r="B205" s="20"/>
      <c r="C205" s="21" t="s">
        <v>178</v>
      </c>
      <c r="D205" s="22">
        <f>D203</f>
        <v>2806597</v>
      </c>
      <c r="E205" s="22">
        <f t="shared" ref="E205:N205" si="82">E203</f>
        <v>230793.72</v>
      </c>
      <c r="F205" s="22">
        <f t="shared" si="82"/>
        <v>0</v>
      </c>
      <c r="G205" s="22">
        <f t="shared" si="82"/>
        <v>1330833.1199999999</v>
      </c>
      <c r="H205" s="22">
        <f t="shared" si="82"/>
        <v>1475763.88</v>
      </c>
      <c r="I205" s="22">
        <v>47.41</v>
      </c>
      <c r="J205" s="27">
        <f>+K205-D205</f>
        <v>-6716.6399999996647</v>
      </c>
      <c r="K205" s="22">
        <f t="shared" si="82"/>
        <v>2799880.3600000003</v>
      </c>
      <c r="L205" s="22">
        <f t="shared" si="82"/>
        <v>2974872.8825000003</v>
      </c>
      <c r="M205" s="134">
        <f t="shared" si="82"/>
        <v>3183113.9842750002</v>
      </c>
      <c r="N205" s="134">
        <f t="shared" si="82"/>
        <v>3405931.9631742504</v>
      </c>
    </row>
    <row r="206" spans="1:14" s="24" customFormat="1" x14ac:dyDescent="0.25">
      <c r="A206" s="20"/>
      <c r="B206" s="20"/>
      <c r="C206" s="21"/>
      <c r="D206" s="22"/>
      <c r="E206" s="22"/>
      <c r="F206" s="22"/>
      <c r="G206" s="22"/>
      <c r="H206" s="22"/>
      <c r="I206" s="22"/>
      <c r="J206" s="27"/>
      <c r="K206" s="27"/>
      <c r="L206" s="22"/>
      <c r="M206" s="134"/>
      <c r="N206" s="132"/>
    </row>
    <row r="207" spans="1:14" s="24" customFormat="1" x14ac:dyDescent="0.25">
      <c r="A207" s="20"/>
      <c r="B207" s="20"/>
      <c r="C207" s="21" t="s">
        <v>208</v>
      </c>
      <c r="D207" s="22"/>
      <c r="E207" s="22"/>
      <c r="F207" s="22"/>
      <c r="G207" s="22"/>
      <c r="H207" s="22"/>
      <c r="I207" s="22"/>
      <c r="J207" s="27"/>
      <c r="K207" s="27"/>
      <c r="L207" s="22"/>
      <c r="M207" s="134"/>
      <c r="N207" s="132"/>
    </row>
    <row r="208" spans="1:14" s="28" customFormat="1" ht="14.25" x14ac:dyDescent="0.2">
      <c r="A208" s="25"/>
      <c r="B208" s="25"/>
      <c r="C208" s="26"/>
      <c r="D208" s="27"/>
      <c r="E208" s="27"/>
      <c r="F208" s="27"/>
      <c r="G208" s="27"/>
      <c r="H208" s="27"/>
      <c r="I208" s="27"/>
      <c r="J208" s="27"/>
      <c r="K208" s="27"/>
      <c r="L208" s="27"/>
      <c r="M208" s="107"/>
      <c r="N208" s="133"/>
    </row>
    <row r="209" spans="1:14" s="24" customFormat="1" x14ac:dyDescent="0.25">
      <c r="A209" s="20"/>
      <c r="B209" s="20"/>
      <c r="C209" s="21" t="s">
        <v>209</v>
      </c>
      <c r="D209" s="22"/>
      <c r="E209" s="22"/>
      <c r="F209" s="22"/>
      <c r="G209" s="22"/>
      <c r="H209" s="22"/>
      <c r="I209" s="22"/>
      <c r="J209" s="27"/>
      <c r="K209" s="27"/>
      <c r="L209" s="22"/>
      <c r="M209" s="134"/>
      <c r="N209" s="132"/>
    </row>
    <row r="210" spans="1:14" s="28" customFormat="1" ht="14.25" x14ac:dyDescent="0.2">
      <c r="A210" s="25"/>
      <c r="B210" s="25"/>
      <c r="C210" s="26"/>
      <c r="D210" s="27"/>
      <c r="E210" s="27"/>
      <c r="F210" s="27"/>
      <c r="G210" s="27"/>
      <c r="H210" s="27"/>
      <c r="I210" s="27"/>
      <c r="J210" s="27"/>
      <c r="K210" s="27"/>
      <c r="L210" s="27"/>
      <c r="M210" s="107"/>
      <c r="N210" s="133"/>
    </row>
    <row r="211" spans="1:14" s="28" customFormat="1" ht="14.25" x14ac:dyDescent="0.2">
      <c r="A211" s="25" t="s">
        <v>397</v>
      </c>
      <c r="B211" s="25"/>
      <c r="C211" s="26" t="s">
        <v>211</v>
      </c>
      <c r="D211" s="27">
        <f>VLOOKUP(A211,fin,3,FALSE)</f>
        <v>1000000</v>
      </c>
      <c r="E211" s="27">
        <v>406934.52</v>
      </c>
      <c r="F211" s="27">
        <v>0</v>
      </c>
      <c r="G211" s="27">
        <v>1406934.52</v>
      </c>
      <c r="H211" s="27">
        <v>-406934.52</v>
      </c>
      <c r="I211" s="27">
        <v>140.69</v>
      </c>
      <c r="J211" s="27">
        <f>+K211-D211</f>
        <v>1000000</v>
      </c>
      <c r="K211" s="27">
        <f>VLOOKUP(A211,fin,4,FALSE)</f>
        <v>2000000</v>
      </c>
      <c r="L211" s="27">
        <v>400000</v>
      </c>
      <c r="M211" s="107">
        <f>L211*4.6/100+L211</f>
        <v>418400</v>
      </c>
      <c r="N211" s="133">
        <f>M211*4.6/100+M211</f>
        <v>437646.4</v>
      </c>
    </row>
    <row r="212" spans="1:14" s="28" customFormat="1" ht="14.25" x14ac:dyDescent="0.2">
      <c r="A212" s="25" t="s">
        <v>398</v>
      </c>
      <c r="B212" s="25"/>
      <c r="C212" s="26" t="s">
        <v>211</v>
      </c>
      <c r="D212" s="27">
        <f>VLOOKUP(A212,fin,3,FALSE)</f>
        <v>117299</v>
      </c>
      <c r="E212" s="27">
        <v>0</v>
      </c>
      <c r="F212" s="27">
        <v>0</v>
      </c>
      <c r="G212" s="27">
        <v>0</v>
      </c>
      <c r="H212" s="27">
        <v>117299</v>
      </c>
      <c r="I212" s="27">
        <v>0</v>
      </c>
      <c r="J212" s="27">
        <f>+K212-D212</f>
        <v>0</v>
      </c>
      <c r="K212" s="27">
        <f>VLOOKUP(A212,fin,4,FALSE)</f>
        <v>117299</v>
      </c>
      <c r="L212" s="27">
        <f>K212*4.5/100+K212</f>
        <v>122577.455</v>
      </c>
      <c r="M212" s="107">
        <f>L212*4.6/100+L212</f>
        <v>128216.01793</v>
      </c>
      <c r="N212" s="133">
        <f>M212*4.6/100+M212</f>
        <v>134113.95475477999</v>
      </c>
    </row>
    <row r="213" spans="1:14" s="28" customFormat="1" ht="14.25" x14ac:dyDescent="0.2">
      <c r="A213" s="25"/>
      <c r="B213" s="25"/>
      <c r="C213" s="26"/>
      <c r="D213" s="27"/>
      <c r="E213" s="27"/>
      <c r="F213" s="27"/>
      <c r="G213" s="27"/>
      <c r="H213" s="27"/>
      <c r="I213" s="27"/>
      <c r="J213" s="27"/>
      <c r="K213" s="27"/>
      <c r="L213" s="27"/>
      <c r="M213" s="107"/>
      <c r="N213" s="133"/>
    </row>
    <row r="214" spans="1:14" s="24" customFormat="1" x14ac:dyDescent="0.25">
      <c r="A214" s="20"/>
      <c r="B214" s="20"/>
      <c r="C214" s="21" t="s">
        <v>217</v>
      </c>
      <c r="D214" s="22">
        <f>SUM(D211:D213)</f>
        <v>1117299</v>
      </c>
      <c r="E214" s="22">
        <f>SUM(E211:E213)</f>
        <v>406934.52</v>
      </c>
      <c r="F214" s="22">
        <f>SUM(F211:F213)</f>
        <v>0</v>
      </c>
      <c r="G214" s="22">
        <f>SUM(G211:G213)</f>
        <v>1406934.52</v>
      </c>
      <c r="H214" s="22">
        <f>SUM(H211:H213)</f>
        <v>-289635.52</v>
      </c>
      <c r="I214" s="22">
        <v>125.92</v>
      </c>
      <c r="J214" s="27">
        <f>+K214-D214</f>
        <v>1000000</v>
      </c>
      <c r="K214" s="22">
        <f>SUM(K211:K213)</f>
        <v>2117299</v>
      </c>
      <c r="L214" s="22">
        <f>SUM(L211:L213)</f>
        <v>522577.45500000002</v>
      </c>
      <c r="M214" s="134">
        <f>SUM(M211:M213)</f>
        <v>546616.01792999997</v>
      </c>
      <c r="N214" s="134">
        <f>SUM(N211:N213)</f>
        <v>571760.35475477995</v>
      </c>
    </row>
    <row r="215" spans="1:14" s="24" customFormat="1" x14ac:dyDescent="0.25">
      <c r="A215" s="20"/>
      <c r="B215" s="20"/>
      <c r="C215" s="21"/>
      <c r="D215" s="22"/>
      <c r="E215" s="22"/>
      <c r="F215" s="22"/>
      <c r="G215" s="22"/>
      <c r="H215" s="22"/>
      <c r="I215" s="22"/>
      <c r="J215" s="27"/>
      <c r="K215" s="27"/>
      <c r="L215" s="22"/>
      <c r="M215" s="134"/>
      <c r="N215" s="132"/>
    </row>
    <row r="216" spans="1:14" s="24" customFormat="1" x14ac:dyDescent="0.25">
      <c r="A216" s="20"/>
      <c r="B216" s="20"/>
      <c r="C216" s="21" t="s">
        <v>228</v>
      </c>
      <c r="D216" s="22"/>
      <c r="E216" s="22"/>
      <c r="F216" s="22"/>
      <c r="G216" s="22"/>
      <c r="H216" s="22"/>
      <c r="I216" s="22"/>
      <c r="J216" s="27"/>
      <c r="K216" s="27"/>
      <c r="L216" s="22"/>
      <c r="M216" s="134"/>
      <c r="N216" s="132"/>
    </row>
    <row r="217" spans="1:14" s="28" customFormat="1" ht="14.25" x14ac:dyDescent="0.2">
      <c r="A217" s="25"/>
      <c r="B217" s="25"/>
      <c r="C217" s="26"/>
      <c r="D217" s="27"/>
      <c r="E217" s="27"/>
      <c r="F217" s="27"/>
      <c r="G217" s="27"/>
      <c r="H217" s="27"/>
      <c r="I217" s="27"/>
      <c r="J217" s="27"/>
      <c r="K217" s="27"/>
      <c r="L217" s="27"/>
      <c r="M217" s="107"/>
      <c r="N217" s="133"/>
    </row>
    <row r="218" spans="1:14" s="28" customFormat="1" ht="14.25" x14ac:dyDescent="0.2">
      <c r="A218" s="25" t="s">
        <v>399</v>
      </c>
      <c r="B218" s="25" t="s">
        <v>1371</v>
      </c>
      <c r="C218" s="26" t="s">
        <v>230</v>
      </c>
      <c r="D218" s="27">
        <f>VLOOKUP(A218,fin,3,FALSE)</f>
        <v>400000</v>
      </c>
      <c r="E218" s="27">
        <v>0</v>
      </c>
      <c r="F218" s="27">
        <v>152176</v>
      </c>
      <c r="G218" s="27">
        <v>248182.39999999999</v>
      </c>
      <c r="H218" s="27">
        <f>D218-G218</f>
        <v>151817.60000000001</v>
      </c>
      <c r="I218" s="27">
        <f>G218/D218*100</f>
        <v>62.0456</v>
      </c>
      <c r="J218" s="27">
        <f>+K218-D218</f>
        <v>150000</v>
      </c>
      <c r="K218" s="27">
        <f>VLOOKUP(A218,fin,4,FALSE)</f>
        <v>550000</v>
      </c>
      <c r="L218" s="27">
        <v>424000</v>
      </c>
      <c r="M218" s="107">
        <f>L218*4.6/100+L218</f>
        <v>443504</v>
      </c>
      <c r="N218" s="133">
        <f t="shared" ref="N218:N219" si="83">M218*4.6/100+M218</f>
        <v>463905.18400000001</v>
      </c>
    </row>
    <row r="219" spans="1:14" s="28" customFormat="1" ht="14.25" x14ac:dyDescent="0.2">
      <c r="A219" s="25" t="s">
        <v>400</v>
      </c>
      <c r="B219" s="25"/>
      <c r="C219" s="26" t="s">
        <v>231</v>
      </c>
      <c r="D219" s="27">
        <f>VLOOKUP(A219,fin,3,FALSE)</f>
        <v>150000</v>
      </c>
      <c r="E219" s="27">
        <v>0</v>
      </c>
      <c r="F219" s="27">
        <v>0</v>
      </c>
      <c r="G219" s="27">
        <v>0</v>
      </c>
      <c r="H219" s="27">
        <f>D219-G219</f>
        <v>150000</v>
      </c>
      <c r="I219" s="27">
        <f>G219/D219*100</f>
        <v>0</v>
      </c>
      <c r="J219" s="27">
        <f>+K219-D219</f>
        <v>-100000</v>
      </c>
      <c r="K219" s="27">
        <f>VLOOKUP(A219,fin,4,FALSE)</f>
        <v>50000</v>
      </c>
      <c r="L219" s="27">
        <f t="shared" ref="L219" si="84">K219*4.5/100+K219</f>
        <v>52250</v>
      </c>
      <c r="M219" s="107">
        <f>L219*4.6/100+L219</f>
        <v>54653.5</v>
      </c>
      <c r="N219" s="133">
        <f t="shared" si="83"/>
        <v>57167.561000000002</v>
      </c>
    </row>
    <row r="220" spans="1:14" s="148" customFormat="1" ht="14.25" x14ac:dyDescent="0.2">
      <c r="A220" s="143" t="s">
        <v>401</v>
      </c>
      <c r="B220" s="143"/>
      <c r="C220" s="144" t="s">
        <v>232</v>
      </c>
      <c r="D220" s="145">
        <f>VLOOKUP(A220,fin,3,FALSE)</f>
        <v>700000</v>
      </c>
      <c r="E220" s="145">
        <v>0</v>
      </c>
      <c r="F220" s="145">
        <v>0</v>
      </c>
      <c r="G220" s="145">
        <v>0</v>
      </c>
      <c r="H220" s="145">
        <f>D220-G220</f>
        <v>700000</v>
      </c>
      <c r="I220" s="145">
        <f>G220/D220*100</f>
        <v>0</v>
      </c>
      <c r="J220" s="145">
        <f>+K220-D220</f>
        <v>-700000</v>
      </c>
      <c r="K220" s="145">
        <f>VLOOKUP(A220,fin,4,FALSE)</f>
        <v>0</v>
      </c>
      <c r="L220" s="145">
        <v>0</v>
      </c>
      <c r="M220" s="146">
        <f t="shared" ref="M220:N220" si="85">L220*6/100+L220</f>
        <v>0</v>
      </c>
      <c r="N220" s="147">
        <f t="shared" si="85"/>
        <v>0</v>
      </c>
    </row>
    <row r="221" spans="1:14" s="28" customFormat="1" ht="14.25" x14ac:dyDescent="0.2">
      <c r="A221" s="25"/>
      <c r="B221" s="25"/>
      <c r="C221" s="26"/>
      <c r="D221" s="27"/>
      <c r="E221" s="27"/>
      <c r="F221" s="27"/>
      <c r="G221" s="27"/>
      <c r="H221" s="27"/>
      <c r="I221" s="27"/>
      <c r="J221" s="27"/>
      <c r="K221" s="27"/>
      <c r="L221" s="27"/>
      <c r="M221" s="107"/>
      <c r="N221" s="133"/>
    </row>
    <row r="222" spans="1:14" s="24" customFormat="1" x14ac:dyDescent="0.25">
      <c r="A222" s="20"/>
      <c r="B222" s="20"/>
      <c r="C222" s="21" t="s">
        <v>239</v>
      </c>
      <c r="D222" s="22">
        <f>SUM(D218:D221)</f>
        <v>1250000</v>
      </c>
      <c r="E222" s="22">
        <f>SUM(E218:E221)</f>
        <v>0</v>
      </c>
      <c r="F222" s="22">
        <f>SUM(F218:F221)</f>
        <v>152176</v>
      </c>
      <c r="G222" s="22">
        <f>SUM(G218:G221)</f>
        <v>248182.39999999999</v>
      </c>
      <c r="H222" s="22">
        <f>SUM(H218:H221)</f>
        <v>1001817.6</v>
      </c>
      <c r="I222" s="22">
        <v>19.04</v>
      </c>
      <c r="J222" s="27">
        <f>+K222-D222</f>
        <v>-650000</v>
      </c>
      <c r="K222" s="22">
        <f>SUM(K218:K221)</f>
        <v>600000</v>
      </c>
      <c r="L222" s="22">
        <f>SUM(L218:L221)</f>
        <v>476250</v>
      </c>
      <c r="M222" s="134">
        <f>SUM(M218:M221)</f>
        <v>498157.5</v>
      </c>
      <c r="N222" s="134">
        <f>SUM(N218:N221)</f>
        <v>521072.745</v>
      </c>
    </row>
    <row r="223" spans="1:14" s="24" customFormat="1" x14ac:dyDescent="0.25">
      <c r="A223" s="20"/>
      <c r="B223" s="20"/>
      <c r="C223" s="21"/>
      <c r="D223" s="22"/>
      <c r="E223" s="22"/>
      <c r="F223" s="22"/>
      <c r="G223" s="22"/>
      <c r="H223" s="22"/>
      <c r="I223" s="22"/>
      <c r="J223" s="27"/>
      <c r="K223" s="27"/>
      <c r="L223" s="22"/>
      <c r="M223" s="134"/>
      <c r="N223" s="132"/>
    </row>
    <row r="224" spans="1:14" s="24" customFormat="1" x14ac:dyDescent="0.25">
      <c r="A224" s="20"/>
      <c r="B224" s="20"/>
      <c r="C224" s="21" t="s">
        <v>240</v>
      </c>
      <c r="D224" s="22">
        <f>D214+D222</f>
        <v>2367299</v>
      </c>
      <c r="E224" s="22">
        <f>E214+E222</f>
        <v>406934.52</v>
      </c>
      <c r="F224" s="22">
        <f>F214+F222</f>
        <v>152176</v>
      </c>
      <c r="G224" s="22">
        <f>G214+G222</f>
        <v>1655116.92</v>
      </c>
      <c r="H224" s="22">
        <f>H214+H222</f>
        <v>712182.08</v>
      </c>
      <c r="I224" s="22">
        <f>G224/D224*100</f>
        <v>69.915837416397324</v>
      </c>
      <c r="J224" s="27">
        <f>+K224-D224</f>
        <v>350000</v>
      </c>
      <c r="K224" s="22">
        <f>K214+K222</f>
        <v>2717299</v>
      </c>
      <c r="L224" s="22">
        <f>L214+L222</f>
        <v>998827.45500000007</v>
      </c>
      <c r="M224" s="134">
        <f>M214+M222</f>
        <v>1044773.51793</v>
      </c>
      <c r="N224" s="134">
        <f>N214+N222</f>
        <v>1092833.0997547801</v>
      </c>
    </row>
    <row r="225" spans="1:14" s="24" customFormat="1" x14ac:dyDescent="0.25">
      <c r="A225" s="20"/>
      <c r="B225" s="20"/>
      <c r="C225" s="21"/>
      <c r="D225" s="22"/>
      <c r="E225" s="22"/>
      <c r="F225" s="22"/>
      <c r="G225" s="22"/>
      <c r="H225" s="22"/>
      <c r="I225" s="22"/>
      <c r="J225" s="27"/>
      <c r="K225" s="27"/>
      <c r="L225" s="22"/>
      <c r="M225" s="134"/>
      <c r="N225" s="132"/>
    </row>
    <row r="226" spans="1:14" s="24" customFormat="1" x14ac:dyDescent="0.25">
      <c r="A226" s="20"/>
      <c r="B226" s="20"/>
      <c r="C226" s="21" t="s">
        <v>241</v>
      </c>
      <c r="D226" s="22"/>
      <c r="E226" s="22"/>
      <c r="F226" s="22"/>
      <c r="G226" s="22"/>
      <c r="H226" s="22"/>
      <c r="I226" s="22"/>
      <c r="J226" s="27"/>
      <c r="K226" s="27"/>
      <c r="L226" s="22"/>
      <c r="M226" s="134"/>
      <c r="N226" s="132"/>
    </row>
    <row r="227" spans="1:14" s="28" customFormat="1" ht="14.25" x14ac:dyDescent="0.2">
      <c r="A227" s="25"/>
      <c r="B227" s="25"/>
      <c r="C227" s="26"/>
      <c r="D227" s="27"/>
      <c r="E227" s="27"/>
      <c r="F227" s="27"/>
      <c r="G227" s="27"/>
      <c r="H227" s="27"/>
      <c r="I227" s="27"/>
      <c r="J227" s="27"/>
      <c r="K227" s="27"/>
      <c r="L227" s="27"/>
      <c r="M227" s="107"/>
      <c r="N227" s="133"/>
    </row>
    <row r="228" spans="1:14" s="28" customFormat="1" ht="14.25" x14ac:dyDescent="0.2">
      <c r="A228" s="25" t="s">
        <v>402</v>
      </c>
      <c r="B228" s="25"/>
      <c r="C228" s="26" t="s">
        <v>242</v>
      </c>
      <c r="D228" s="27">
        <f t="shared" ref="D228:D240" si="86">VLOOKUP(A228,fin,3,FALSE)</f>
        <v>63600</v>
      </c>
      <c r="E228" s="27">
        <v>0</v>
      </c>
      <c r="F228" s="27">
        <v>0</v>
      </c>
      <c r="G228" s="27">
        <v>0</v>
      </c>
      <c r="H228" s="27">
        <f>D228-G228</f>
        <v>63600</v>
      </c>
      <c r="I228" s="27">
        <f>G228/D228*100</f>
        <v>0</v>
      </c>
      <c r="J228" s="27">
        <f t="shared" ref="J228:J240" si="87">+K228-D228</f>
        <v>0</v>
      </c>
      <c r="K228" s="27">
        <f t="shared" ref="K228:K240" si="88">VLOOKUP(A228,fin,4,FALSE)</f>
        <v>63600</v>
      </c>
      <c r="L228" s="27">
        <f t="shared" ref="L228" si="89">K228*4.5/100+K228</f>
        <v>66462</v>
      </c>
      <c r="M228" s="107">
        <f>L228*4.6/100+L228</f>
        <v>69519.251999999993</v>
      </c>
      <c r="N228" s="133">
        <f t="shared" ref="N228:N240" si="90">M228*4.6/100+M228</f>
        <v>72717.137591999999</v>
      </c>
    </row>
    <row r="229" spans="1:14" s="28" customFormat="1" ht="14.25" x14ac:dyDescent="0.2">
      <c r="A229" s="25" t="s">
        <v>403</v>
      </c>
      <c r="B229" s="25"/>
      <c r="C229" s="26" t="s">
        <v>243</v>
      </c>
      <c r="D229" s="27">
        <f t="shared" si="86"/>
        <v>100000</v>
      </c>
      <c r="E229" s="27">
        <v>0</v>
      </c>
      <c r="F229" s="27">
        <v>23350.09</v>
      </c>
      <c r="G229" s="27">
        <v>89474.35</v>
      </c>
      <c r="H229" s="27">
        <f t="shared" ref="H229:H240" si="91">D229-G229</f>
        <v>10525.649999999994</v>
      </c>
      <c r="I229" s="27">
        <f t="shared" ref="I229:I242" si="92">G229/D229*100</f>
        <v>89.474350000000001</v>
      </c>
      <c r="J229" s="27">
        <f t="shared" si="87"/>
        <v>30000</v>
      </c>
      <c r="K229" s="27">
        <f t="shared" si="88"/>
        <v>130000</v>
      </c>
      <c r="L229" s="27">
        <f t="shared" ref="L229" si="93">K229*4.5/100+K229</f>
        <v>135850</v>
      </c>
      <c r="M229" s="107">
        <f t="shared" ref="M229:M240" si="94">L229*4.6/100+L229</f>
        <v>142099.1</v>
      </c>
      <c r="N229" s="133">
        <f t="shared" si="90"/>
        <v>148635.6586</v>
      </c>
    </row>
    <row r="230" spans="1:14" s="28" customFormat="1" ht="14.25" x14ac:dyDescent="0.2">
      <c r="A230" s="25" t="s">
        <v>404</v>
      </c>
      <c r="B230" s="25"/>
      <c r="C230" s="26" t="s">
        <v>247</v>
      </c>
      <c r="D230" s="27">
        <f t="shared" si="86"/>
        <v>500000</v>
      </c>
      <c r="E230" s="27">
        <v>0</v>
      </c>
      <c r="F230" s="27">
        <v>0</v>
      </c>
      <c r="G230" s="27">
        <v>405182.32</v>
      </c>
      <c r="H230" s="27">
        <f t="shared" si="91"/>
        <v>94817.68</v>
      </c>
      <c r="I230" s="27">
        <f t="shared" si="92"/>
        <v>81.036463999999995</v>
      </c>
      <c r="J230" s="27">
        <f t="shared" si="87"/>
        <v>0</v>
      </c>
      <c r="K230" s="27">
        <f t="shared" si="88"/>
        <v>500000</v>
      </c>
      <c r="L230" s="27">
        <f t="shared" ref="L230" si="95">K230*4.5/100+K230</f>
        <v>522500</v>
      </c>
      <c r="M230" s="107">
        <f t="shared" si="94"/>
        <v>546535</v>
      </c>
      <c r="N230" s="133">
        <f t="shared" si="90"/>
        <v>571675.61</v>
      </c>
    </row>
    <row r="231" spans="1:14" s="28" customFormat="1" ht="14.25" x14ac:dyDescent="0.2">
      <c r="A231" s="25" t="s">
        <v>405</v>
      </c>
      <c r="B231" s="25"/>
      <c r="C231" s="26" t="s">
        <v>247</v>
      </c>
      <c r="D231" s="27">
        <f t="shared" si="86"/>
        <v>53287</v>
      </c>
      <c r="E231" s="27">
        <v>0</v>
      </c>
      <c r="F231" s="27">
        <v>0</v>
      </c>
      <c r="G231" s="27">
        <v>0</v>
      </c>
      <c r="H231" s="27">
        <f t="shared" si="91"/>
        <v>53287</v>
      </c>
      <c r="I231" s="27">
        <f t="shared" si="92"/>
        <v>0</v>
      </c>
      <c r="J231" s="27">
        <f t="shared" si="87"/>
        <v>0</v>
      </c>
      <c r="K231" s="27">
        <f t="shared" si="88"/>
        <v>53287</v>
      </c>
      <c r="L231" s="27">
        <f t="shared" ref="L231" si="96">K231*4.5/100+K231</f>
        <v>55684.915000000001</v>
      </c>
      <c r="M231" s="107">
        <f t="shared" si="94"/>
        <v>58246.421090000003</v>
      </c>
      <c r="N231" s="133">
        <f t="shared" si="90"/>
        <v>60925.756460140001</v>
      </c>
    </row>
    <row r="232" spans="1:14" s="28" customFormat="1" ht="14.25" x14ac:dyDescent="0.2">
      <c r="A232" s="25" t="s">
        <v>406</v>
      </c>
      <c r="B232" s="25"/>
      <c r="C232" s="26" t="s">
        <v>261</v>
      </c>
      <c r="D232" s="27">
        <f t="shared" si="86"/>
        <v>1049400</v>
      </c>
      <c r="E232" s="27">
        <v>0</v>
      </c>
      <c r="F232" s="27">
        <v>0</v>
      </c>
      <c r="G232" s="27">
        <v>914865</v>
      </c>
      <c r="H232" s="27">
        <f t="shared" si="91"/>
        <v>134535</v>
      </c>
      <c r="I232" s="27">
        <f t="shared" si="92"/>
        <v>87.179817038307604</v>
      </c>
      <c r="J232" s="27">
        <f t="shared" si="87"/>
        <v>0</v>
      </c>
      <c r="K232" s="27">
        <f t="shared" si="88"/>
        <v>1049400</v>
      </c>
      <c r="L232" s="27">
        <f t="shared" ref="L232" si="97">K232*4.5/100+K232</f>
        <v>1096623</v>
      </c>
      <c r="M232" s="107">
        <f t="shared" si="94"/>
        <v>1147067.6580000001</v>
      </c>
      <c r="N232" s="133">
        <f t="shared" si="90"/>
        <v>1199832.770268</v>
      </c>
    </row>
    <row r="233" spans="1:14" s="28" customFormat="1" ht="14.25" x14ac:dyDescent="0.2">
      <c r="A233" s="25" t="s">
        <v>407</v>
      </c>
      <c r="B233" s="25"/>
      <c r="C233" s="26" t="s">
        <v>261</v>
      </c>
      <c r="D233" s="27">
        <f t="shared" si="86"/>
        <v>7553</v>
      </c>
      <c r="E233" s="27">
        <v>0</v>
      </c>
      <c r="F233" s="27">
        <v>0</v>
      </c>
      <c r="G233" s="27">
        <v>5868.7</v>
      </c>
      <c r="H233" s="27">
        <f t="shared" si="91"/>
        <v>1684.3000000000002</v>
      </c>
      <c r="I233" s="27">
        <f t="shared" si="92"/>
        <v>77.700251555673233</v>
      </c>
      <c r="J233" s="27">
        <f t="shared" si="87"/>
        <v>0</v>
      </c>
      <c r="K233" s="27">
        <f t="shared" si="88"/>
        <v>7553</v>
      </c>
      <c r="L233" s="27">
        <f t="shared" ref="L233" si="98">K233*4.5/100+K233</f>
        <v>7892.8850000000002</v>
      </c>
      <c r="M233" s="107">
        <f t="shared" si="94"/>
        <v>8255.9577100000006</v>
      </c>
      <c r="N233" s="133">
        <f t="shared" si="90"/>
        <v>8635.7317646600004</v>
      </c>
    </row>
    <row r="234" spans="1:14" s="28" customFormat="1" ht="14.25" x14ac:dyDescent="0.2">
      <c r="A234" s="25" t="s">
        <v>408</v>
      </c>
      <c r="B234" s="25" t="s">
        <v>1372</v>
      </c>
      <c r="C234" s="26" t="s">
        <v>263</v>
      </c>
      <c r="D234" s="27">
        <f t="shared" si="86"/>
        <v>689000</v>
      </c>
      <c r="E234" s="27">
        <v>0</v>
      </c>
      <c r="F234" s="27">
        <v>15033.18</v>
      </c>
      <c r="G234" s="27">
        <v>337514.89</v>
      </c>
      <c r="H234" s="27">
        <f t="shared" si="91"/>
        <v>351485.11</v>
      </c>
      <c r="I234" s="27">
        <f t="shared" si="92"/>
        <v>48.986195936139332</v>
      </c>
      <c r="J234" s="27">
        <f t="shared" si="87"/>
        <v>50000</v>
      </c>
      <c r="K234" s="27">
        <f t="shared" si="88"/>
        <v>739000</v>
      </c>
      <c r="L234" s="27">
        <f t="shared" ref="L234" si="99">K234*4.5/100+K234</f>
        <v>772255</v>
      </c>
      <c r="M234" s="107">
        <f t="shared" si="94"/>
        <v>807778.73</v>
      </c>
      <c r="N234" s="133">
        <f t="shared" si="90"/>
        <v>844936.55157999997</v>
      </c>
    </row>
    <row r="235" spans="1:14" s="185" customFormat="1" ht="14.25" x14ac:dyDescent="0.2">
      <c r="A235" s="182"/>
      <c r="B235" s="182"/>
      <c r="C235" s="183" t="s">
        <v>3039</v>
      </c>
      <c r="D235" s="184"/>
      <c r="E235" s="184"/>
      <c r="F235" s="184"/>
      <c r="G235" s="184"/>
      <c r="H235" s="184"/>
      <c r="I235" s="184"/>
      <c r="J235" s="184"/>
      <c r="K235" s="184"/>
      <c r="L235" s="27">
        <v>213511.26500000001</v>
      </c>
      <c r="M235" s="107">
        <f t="shared" si="94"/>
        <v>223332.78319000002</v>
      </c>
      <c r="N235" s="133">
        <f t="shared" si="90"/>
        <v>233606.09121674002</v>
      </c>
    </row>
    <row r="236" spans="1:14" s="28" customFormat="1" ht="14.25" x14ac:dyDescent="0.2">
      <c r="A236" s="25" t="s">
        <v>409</v>
      </c>
      <c r="B236" s="25"/>
      <c r="C236" s="26" t="s">
        <v>265</v>
      </c>
      <c r="D236" s="27">
        <f t="shared" si="86"/>
        <v>164046</v>
      </c>
      <c r="E236" s="27">
        <v>1910.89</v>
      </c>
      <c r="F236" s="27">
        <v>0</v>
      </c>
      <c r="G236" s="27">
        <v>11043.15</v>
      </c>
      <c r="H236" s="27">
        <f t="shared" si="91"/>
        <v>153002.85</v>
      </c>
      <c r="I236" s="27">
        <f t="shared" si="92"/>
        <v>6.731739877839142</v>
      </c>
      <c r="J236" s="27">
        <f t="shared" si="87"/>
        <v>-100000</v>
      </c>
      <c r="K236" s="27">
        <f t="shared" si="88"/>
        <v>64046</v>
      </c>
      <c r="L236" s="27">
        <f t="shared" ref="L236" si="100">K236*4.5/100+K236</f>
        <v>66928.070000000007</v>
      </c>
      <c r="M236" s="107">
        <f t="shared" si="94"/>
        <v>70006.76122</v>
      </c>
      <c r="N236" s="133">
        <f t="shared" si="90"/>
        <v>73227.072236120002</v>
      </c>
    </row>
    <row r="237" spans="1:14" s="28" customFormat="1" ht="14.25" x14ac:dyDescent="0.2">
      <c r="A237" s="25" t="s">
        <v>410</v>
      </c>
      <c r="B237" s="25"/>
      <c r="C237" s="26" t="s">
        <v>268</v>
      </c>
      <c r="D237" s="27">
        <f t="shared" si="86"/>
        <v>0</v>
      </c>
      <c r="E237" s="27">
        <v>6776.37</v>
      </c>
      <c r="F237" s="27">
        <v>0</v>
      </c>
      <c r="G237" s="27">
        <v>46729.41</v>
      </c>
      <c r="H237" s="27">
        <f t="shared" si="91"/>
        <v>-46729.41</v>
      </c>
      <c r="I237" s="27">
        <v>0</v>
      </c>
      <c r="J237" s="27">
        <f t="shared" si="87"/>
        <v>100000</v>
      </c>
      <c r="K237" s="27">
        <f t="shared" si="88"/>
        <v>100000</v>
      </c>
      <c r="L237" s="27">
        <f t="shared" ref="L237" si="101">K237*4.5/100+K237</f>
        <v>104500</v>
      </c>
      <c r="M237" s="107">
        <f t="shared" si="94"/>
        <v>109307</v>
      </c>
      <c r="N237" s="133">
        <f t="shared" si="90"/>
        <v>114335.122</v>
      </c>
    </row>
    <row r="238" spans="1:14" s="28" customFormat="1" ht="14.25" x14ac:dyDescent="0.2">
      <c r="A238" s="25" t="s">
        <v>411</v>
      </c>
      <c r="B238" s="25"/>
      <c r="C238" s="26" t="s">
        <v>268</v>
      </c>
      <c r="D238" s="27">
        <f t="shared" si="86"/>
        <v>105300</v>
      </c>
      <c r="E238" s="27">
        <v>716.53</v>
      </c>
      <c r="F238" s="27">
        <v>0</v>
      </c>
      <c r="G238" s="27">
        <v>23427.25</v>
      </c>
      <c r="H238" s="27">
        <f t="shared" si="91"/>
        <v>81872.75</v>
      </c>
      <c r="I238" s="27">
        <f t="shared" si="92"/>
        <v>22.248100664767332</v>
      </c>
      <c r="J238" s="27">
        <f t="shared" si="87"/>
        <v>-30000</v>
      </c>
      <c r="K238" s="27">
        <f t="shared" si="88"/>
        <v>75300</v>
      </c>
      <c r="L238" s="27">
        <f t="shared" ref="L238" si="102">K238*4.5/100+K238</f>
        <v>78688.5</v>
      </c>
      <c r="M238" s="107">
        <f t="shared" si="94"/>
        <v>82308.171000000002</v>
      </c>
      <c r="N238" s="133">
        <f t="shared" si="90"/>
        <v>86094.346866000007</v>
      </c>
    </row>
    <row r="239" spans="1:14" s="28" customFormat="1" ht="14.25" x14ac:dyDescent="0.2">
      <c r="A239" s="25" t="s">
        <v>412</v>
      </c>
      <c r="B239" s="25"/>
      <c r="C239" s="26" t="s">
        <v>269</v>
      </c>
      <c r="D239" s="27">
        <f t="shared" si="86"/>
        <v>80000</v>
      </c>
      <c r="E239" s="27">
        <v>6500</v>
      </c>
      <c r="F239" s="27">
        <v>0</v>
      </c>
      <c r="G239" s="27">
        <v>39650</v>
      </c>
      <c r="H239" s="27">
        <f t="shared" si="91"/>
        <v>40350</v>
      </c>
      <c r="I239" s="27">
        <f t="shared" si="92"/>
        <v>49.5625</v>
      </c>
      <c r="J239" s="27">
        <f t="shared" si="87"/>
        <v>0</v>
      </c>
      <c r="K239" s="27">
        <f t="shared" si="88"/>
        <v>80000</v>
      </c>
      <c r="L239" s="27">
        <f t="shared" ref="L239" si="103">K239*4.5/100+K239</f>
        <v>83600</v>
      </c>
      <c r="M239" s="107">
        <f t="shared" si="94"/>
        <v>87445.6</v>
      </c>
      <c r="N239" s="133">
        <f t="shared" si="90"/>
        <v>91468.097600000008</v>
      </c>
    </row>
    <row r="240" spans="1:14" s="28" customFormat="1" ht="14.25" x14ac:dyDescent="0.2">
      <c r="A240" s="25" t="s">
        <v>413</v>
      </c>
      <c r="B240" s="25"/>
      <c r="C240" s="26" t="s">
        <v>269</v>
      </c>
      <c r="D240" s="27">
        <f t="shared" si="86"/>
        <v>60000</v>
      </c>
      <c r="E240" s="27">
        <v>0</v>
      </c>
      <c r="F240" s="27">
        <v>6800</v>
      </c>
      <c r="G240" s="27">
        <v>40770.68</v>
      </c>
      <c r="H240" s="27">
        <f t="shared" si="91"/>
        <v>19229.32</v>
      </c>
      <c r="I240" s="27">
        <f t="shared" si="92"/>
        <v>67.951133333333331</v>
      </c>
      <c r="J240" s="27">
        <f t="shared" si="87"/>
        <v>0</v>
      </c>
      <c r="K240" s="27">
        <f t="shared" si="88"/>
        <v>60000</v>
      </c>
      <c r="L240" s="27">
        <f t="shared" ref="L240" si="104">K240*4.5/100+K240</f>
        <v>62700</v>
      </c>
      <c r="M240" s="107">
        <f t="shared" si="94"/>
        <v>65584.2</v>
      </c>
      <c r="N240" s="133">
        <f t="shared" si="90"/>
        <v>68601.073199999999</v>
      </c>
    </row>
    <row r="241" spans="1:14" s="28" customFormat="1" ht="14.25" x14ac:dyDescent="0.2">
      <c r="A241" s="25"/>
      <c r="B241" s="25"/>
      <c r="C241" s="26"/>
      <c r="D241" s="27"/>
      <c r="E241" s="27"/>
      <c r="F241" s="27"/>
      <c r="G241" s="27"/>
      <c r="H241" s="27"/>
      <c r="I241" s="27"/>
      <c r="J241" s="27"/>
      <c r="K241" s="27"/>
      <c r="L241" s="27"/>
      <c r="M241" s="107"/>
      <c r="N241" s="133"/>
    </row>
    <row r="242" spans="1:14" s="24" customFormat="1" x14ac:dyDescent="0.25">
      <c r="A242" s="20"/>
      <c r="B242" s="20"/>
      <c r="C242" s="21" t="s">
        <v>274</v>
      </c>
      <c r="D242" s="22">
        <f>SUM(D228:D241)</f>
        <v>2872186</v>
      </c>
      <c r="E242" s="22">
        <f>SUM(E228:E241)</f>
        <v>15903.79</v>
      </c>
      <c r="F242" s="22">
        <f>SUM(F228:F241)</f>
        <v>45183.270000000004</v>
      </c>
      <c r="G242" s="22">
        <f>SUM(G228:G241)</f>
        <v>1914525.7499999995</v>
      </c>
      <c r="H242" s="22">
        <f>SUM(H228:H241)</f>
        <v>957660.24999999988</v>
      </c>
      <c r="I242" s="22">
        <f t="shared" si="92"/>
        <v>66.657443146091495</v>
      </c>
      <c r="J242" s="27">
        <f>+K242-D242</f>
        <v>50000</v>
      </c>
      <c r="K242" s="22">
        <f>SUM(K228:K241)</f>
        <v>2922186</v>
      </c>
      <c r="L242" s="22">
        <f>SUM(L228:L241)</f>
        <v>3267195.6349999998</v>
      </c>
      <c r="M242" s="134">
        <f>SUM(M228:M241)</f>
        <v>3417486.6342100007</v>
      </c>
      <c r="N242" s="134">
        <f>SUM(N228:N241)</f>
        <v>3574691.0193836601</v>
      </c>
    </row>
    <row r="243" spans="1:14" s="24" customFormat="1" x14ac:dyDescent="0.25">
      <c r="A243" s="20"/>
      <c r="B243" s="20"/>
      <c r="C243" s="21"/>
      <c r="D243" s="22"/>
      <c r="E243" s="22"/>
      <c r="F243" s="22"/>
      <c r="G243" s="22"/>
      <c r="H243" s="22"/>
      <c r="I243" s="22"/>
      <c r="J243" s="27"/>
      <c r="K243" s="27"/>
      <c r="L243" s="22"/>
      <c r="M243" s="134"/>
      <c r="N243" s="132"/>
    </row>
    <row r="244" spans="1:14" s="24" customFormat="1" x14ac:dyDescent="0.25">
      <c r="A244" s="20"/>
      <c r="B244" s="20"/>
      <c r="C244" s="21" t="s">
        <v>290</v>
      </c>
      <c r="D244" s="22"/>
      <c r="E244" s="22"/>
      <c r="F244" s="22"/>
      <c r="G244" s="22"/>
      <c r="H244" s="22"/>
      <c r="I244" s="22"/>
      <c r="J244" s="27"/>
      <c r="K244" s="27"/>
      <c r="L244" s="22"/>
      <c r="M244" s="134"/>
      <c r="N244" s="132"/>
    </row>
    <row r="245" spans="1:14" s="28" customFormat="1" ht="14.25" x14ac:dyDescent="0.2">
      <c r="A245" s="25"/>
      <c r="B245" s="25"/>
      <c r="C245" s="26"/>
      <c r="D245" s="27"/>
      <c r="E245" s="27"/>
      <c r="F245" s="27"/>
      <c r="G245" s="27"/>
      <c r="H245" s="27"/>
      <c r="I245" s="27"/>
      <c r="J245" s="27"/>
      <c r="K245" s="27"/>
      <c r="L245" s="27"/>
      <c r="M245" s="107"/>
      <c r="N245" s="133"/>
    </row>
    <row r="246" spans="1:14" s="28" customFormat="1" ht="14.25" x14ac:dyDescent="0.2">
      <c r="A246" s="25" t="s">
        <v>414</v>
      </c>
      <c r="B246" s="25"/>
      <c r="C246" s="26" t="s">
        <v>292</v>
      </c>
      <c r="D246" s="27">
        <f>VLOOKUP(A246,fin,3,FALSE)</f>
        <v>3371</v>
      </c>
      <c r="E246" s="27">
        <v>1549.14</v>
      </c>
      <c r="F246" s="27">
        <v>0</v>
      </c>
      <c r="G246" s="27">
        <v>4306.75</v>
      </c>
      <c r="H246" s="27">
        <v>-935.75</v>
      </c>
      <c r="I246" s="27">
        <v>127.75</v>
      </c>
      <c r="J246" s="27">
        <f>+K246-D246</f>
        <v>0</v>
      </c>
      <c r="K246" s="27">
        <f>VLOOKUP(A246,fin,4,FALSE)</f>
        <v>3371</v>
      </c>
      <c r="L246" s="27">
        <f t="shared" ref="L246:L247" si="105">K246*4.5/100+K246</f>
        <v>3522.6950000000002</v>
      </c>
      <c r="M246" s="107">
        <f t="shared" ref="M246:M247" si="106">L246*4.6/100+L246</f>
        <v>3684.7389700000003</v>
      </c>
      <c r="N246" s="133">
        <f t="shared" ref="N246:N247" si="107">M246*4.6/100+M246</f>
        <v>3854.2369626200002</v>
      </c>
    </row>
    <row r="247" spans="1:14" s="28" customFormat="1" ht="14.25" x14ac:dyDescent="0.2">
      <c r="A247" s="25" t="s">
        <v>415</v>
      </c>
      <c r="B247" s="25"/>
      <c r="C247" s="26" t="s">
        <v>293</v>
      </c>
      <c r="D247" s="27">
        <f>VLOOKUP(A247,fin,3,FALSE)</f>
        <v>11148</v>
      </c>
      <c r="E247" s="27">
        <v>2594.58</v>
      </c>
      <c r="F247" s="27">
        <v>0</v>
      </c>
      <c r="G247" s="27">
        <v>5509.33</v>
      </c>
      <c r="H247" s="27">
        <v>5638.67</v>
      </c>
      <c r="I247" s="27">
        <v>49.41</v>
      </c>
      <c r="J247" s="27">
        <f>+K247-D247</f>
        <v>0</v>
      </c>
      <c r="K247" s="27">
        <f>VLOOKUP(A247,fin,4,FALSE)</f>
        <v>11148</v>
      </c>
      <c r="L247" s="27">
        <f t="shared" si="105"/>
        <v>11649.66</v>
      </c>
      <c r="M247" s="107">
        <f t="shared" si="106"/>
        <v>12185.54436</v>
      </c>
      <c r="N247" s="133">
        <f t="shared" si="107"/>
        <v>12746.07940056</v>
      </c>
    </row>
    <row r="248" spans="1:14" s="28" customFormat="1" ht="14.25" x14ac:dyDescent="0.2">
      <c r="A248" s="25"/>
      <c r="B248" s="25"/>
      <c r="C248" s="26"/>
      <c r="D248" s="27"/>
      <c r="E248" s="27"/>
      <c r="F248" s="27"/>
      <c r="G248" s="27"/>
      <c r="H248" s="27"/>
      <c r="I248" s="27"/>
      <c r="J248" s="27"/>
      <c r="K248" s="27"/>
      <c r="L248" s="27"/>
      <c r="M248" s="107"/>
      <c r="N248" s="133"/>
    </row>
    <row r="249" spans="1:14" s="24" customFormat="1" x14ac:dyDescent="0.25">
      <c r="A249" s="20"/>
      <c r="B249" s="20"/>
      <c r="C249" s="21" t="s">
        <v>304</v>
      </c>
      <c r="D249" s="22">
        <f>SUM(D246:D248)</f>
        <v>14519</v>
      </c>
      <c r="E249" s="22">
        <f>SUM(E246:E248)</f>
        <v>4143.72</v>
      </c>
      <c r="F249" s="22">
        <f>SUM(F246:F248)</f>
        <v>0</v>
      </c>
      <c r="G249" s="22">
        <f>SUM(G246:G248)</f>
        <v>9816.08</v>
      </c>
      <c r="H249" s="22">
        <f>SUM(H246:H248)</f>
        <v>4702.92</v>
      </c>
      <c r="I249" s="22">
        <v>67.599999999999994</v>
      </c>
      <c r="J249" s="27">
        <f>+K249-D249</f>
        <v>0</v>
      </c>
      <c r="K249" s="22">
        <f>SUM(K246:K248)</f>
        <v>14519</v>
      </c>
      <c r="L249" s="22">
        <f>SUM(L246:L248)</f>
        <v>15172.355</v>
      </c>
      <c r="M249" s="134">
        <f>SUM(M246:M248)</f>
        <v>15870.28333</v>
      </c>
      <c r="N249" s="134">
        <f>SUM(N246:N248)</f>
        <v>16600.316363180002</v>
      </c>
    </row>
    <row r="250" spans="1:14" s="28" customFormat="1" ht="14.25" x14ac:dyDescent="0.2">
      <c r="A250" s="25"/>
      <c r="B250" s="25"/>
      <c r="C250" s="26"/>
      <c r="D250" s="27"/>
      <c r="E250" s="27"/>
      <c r="F250" s="27"/>
      <c r="G250" s="27"/>
      <c r="H250" s="27"/>
      <c r="I250" s="27"/>
      <c r="J250" s="27"/>
      <c r="K250" s="27"/>
      <c r="L250" s="27"/>
      <c r="M250" s="107"/>
      <c r="N250" s="133"/>
    </row>
    <row r="251" spans="1:14" s="24" customFormat="1" x14ac:dyDescent="0.25">
      <c r="A251" s="20"/>
      <c r="B251" s="20"/>
      <c r="C251" s="21" t="s">
        <v>305</v>
      </c>
      <c r="D251" s="22">
        <f>D205+D224+D242+D249</f>
        <v>8060601</v>
      </c>
      <c r="E251" s="22">
        <f t="shared" ref="E251:N251" si="108">E205+E224+E242+E249</f>
        <v>657775.75</v>
      </c>
      <c r="F251" s="22">
        <f t="shared" si="108"/>
        <v>197359.27000000002</v>
      </c>
      <c r="G251" s="22">
        <f t="shared" si="108"/>
        <v>4910291.8699999992</v>
      </c>
      <c r="H251" s="22">
        <f t="shared" si="108"/>
        <v>3150309.13</v>
      </c>
      <c r="I251" s="22">
        <v>58.33</v>
      </c>
      <c r="J251" s="27">
        <f>+K251-D251</f>
        <v>393283.3599999994</v>
      </c>
      <c r="K251" s="22">
        <f t="shared" si="108"/>
        <v>8453884.3599999994</v>
      </c>
      <c r="L251" s="22">
        <f t="shared" si="108"/>
        <v>7256068.3275000006</v>
      </c>
      <c r="M251" s="134">
        <f t="shared" si="108"/>
        <v>7661244.419745001</v>
      </c>
      <c r="N251" s="134">
        <f t="shared" si="108"/>
        <v>8090056.3986758702</v>
      </c>
    </row>
    <row r="252" spans="1:14" s="28" customFormat="1" ht="14.25" x14ac:dyDescent="0.2">
      <c r="A252" s="25"/>
      <c r="B252" s="25"/>
      <c r="C252" s="26"/>
      <c r="D252" s="27"/>
      <c r="E252" s="27"/>
      <c r="F252" s="27"/>
      <c r="G252" s="27"/>
      <c r="H252" s="27"/>
      <c r="I252" s="27"/>
      <c r="J252" s="27"/>
      <c r="K252" s="27"/>
      <c r="L252" s="27"/>
      <c r="M252" s="107"/>
      <c r="N252" s="133"/>
    </row>
    <row r="253" spans="1:14" s="24" customFormat="1" x14ac:dyDescent="0.25">
      <c r="A253" s="20"/>
      <c r="B253" s="20"/>
      <c r="C253" s="21" t="s">
        <v>306</v>
      </c>
      <c r="D253" s="22">
        <f>D166+D251</f>
        <v>7856284</v>
      </c>
      <c r="E253" s="22">
        <f t="shared" ref="E253:N253" si="109">E166+E251</f>
        <v>657775.75</v>
      </c>
      <c r="F253" s="22">
        <f t="shared" si="109"/>
        <v>197359.27000000002</v>
      </c>
      <c r="G253" s="22">
        <f t="shared" si="109"/>
        <v>4839769.5199999996</v>
      </c>
      <c r="H253" s="22">
        <f t="shared" si="109"/>
        <v>3016514.48</v>
      </c>
      <c r="I253" s="22">
        <v>58.95</v>
      </c>
      <c r="J253" s="27">
        <f>+K253-D253</f>
        <v>393283.3599999994</v>
      </c>
      <c r="K253" s="22">
        <f t="shared" si="109"/>
        <v>8249567.3599999994</v>
      </c>
      <c r="L253" s="22">
        <f t="shared" si="109"/>
        <v>7042557.0625000009</v>
      </c>
      <c r="M253" s="134">
        <f t="shared" si="109"/>
        <v>7437911.6365550011</v>
      </c>
      <c r="N253" s="134">
        <f t="shared" si="109"/>
        <v>7856450.30745913</v>
      </c>
    </row>
    <row r="254" spans="1:14" s="24" customFormat="1" x14ac:dyDescent="0.25">
      <c r="A254" s="20"/>
      <c r="B254" s="20"/>
      <c r="C254" s="21"/>
      <c r="D254" s="22"/>
      <c r="E254" s="22"/>
      <c r="F254" s="22"/>
      <c r="G254" s="22"/>
      <c r="H254" s="22"/>
      <c r="I254" s="22"/>
      <c r="J254" s="27"/>
      <c r="K254" s="27"/>
      <c r="L254" s="22"/>
      <c r="M254" s="134"/>
      <c r="N254" s="132"/>
    </row>
    <row r="255" spans="1:14" s="24" customFormat="1" x14ac:dyDescent="0.25">
      <c r="A255" s="20"/>
      <c r="B255" s="20"/>
      <c r="C255" s="21" t="s">
        <v>308</v>
      </c>
      <c r="D255" s="22"/>
      <c r="E255" s="22"/>
      <c r="F255" s="22"/>
      <c r="G255" s="22"/>
      <c r="H255" s="22"/>
      <c r="I255" s="22"/>
      <c r="J255" s="27"/>
      <c r="K255" s="27"/>
      <c r="L255" s="22"/>
      <c r="M255" s="134"/>
      <c r="N255" s="132"/>
    </row>
    <row r="256" spans="1:14" s="24" customFormat="1" x14ac:dyDescent="0.25">
      <c r="A256" s="20"/>
      <c r="B256" s="20"/>
      <c r="C256" s="21"/>
      <c r="D256" s="22"/>
      <c r="E256" s="22"/>
      <c r="F256" s="22"/>
      <c r="G256" s="22"/>
      <c r="H256" s="22"/>
      <c r="I256" s="22"/>
      <c r="J256" s="27"/>
      <c r="K256" s="27"/>
      <c r="L256" s="22"/>
      <c r="M256" s="134"/>
      <c r="N256" s="132"/>
    </row>
    <row r="257" spans="1:14" s="185" customFormat="1" ht="14.25" x14ac:dyDescent="0.2">
      <c r="A257" s="182" t="s">
        <v>416</v>
      </c>
      <c r="B257" s="182"/>
      <c r="C257" s="183" t="s">
        <v>417</v>
      </c>
      <c r="D257" s="184">
        <f>VLOOKUP(A257,fin,3,FALSE)</f>
        <v>50000</v>
      </c>
      <c r="E257" s="184">
        <v>0</v>
      </c>
      <c r="F257" s="184">
        <v>0</v>
      </c>
      <c r="G257" s="184">
        <v>28720</v>
      </c>
      <c r="H257" s="184">
        <v>21280</v>
      </c>
      <c r="I257" s="184">
        <v>57.44</v>
      </c>
      <c r="J257" s="184">
        <f>+K257-D257</f>
        <v>-21280</v>
      </c>
      <c r="K257" s="184">
        <f>VLOOKUP(A257,fin,4,FALSE)</f>
        <v>28720</v>
      </c>
      <c r="L257" s="184">
        <f>VLOOKUP(A257,fin,5,FALSE)</f>
        <v>53000</v>
      </c>
      <c r="M257" s="220">
        <f>VLOOKUP(A257,fin,6,FALSE)</f>
        <v>53000</v>
      </c>
      <c r="N257" s="221">
        <v>0</v>
      </c>
    </row>
    <row r="258" spans="1:14" s="28" customFormat="1" ht="14.25" x14ac:dyDescent="0.2">
      <c r="A258" s="25"/>
      <c r="B258" s="25"/>
      <c r="C258" s="26"/>
      <c r="D258" s="27"/>
      <c r="E258" s="27"/>
      <c r="F258" s="27"/>
      <c r="G258" s="27"/>
      <c r="H258" s="27"/>
      <c r="I258" s="27"/>
      <c r="J258" s="27"/>
      <c r="K258" s="27"/>
      <c r="L258" s="27"/>
      <c r="M258" s="107"/>
      <c r="N258" s="133"/>
    </row>
    <row r="259" spans="1:14" s="24" customFormat="1" x14ac:dyDescent="0.25">
      <c r="A259" s="20"/>
      <c r="B259" s="20"/>
      <c r="C259" s="21" t="s">
        <v>320</v>
      </c>
      <c r="D259" s="22">
        <f>SUM(D257:D258)</f>
        <v>50000</v>
      </c>
      <c r="E259" s="22">
        <f>SUM(E257:E258)</f>
        <v>0</v>
      </c>
      <c r="F259" s="22">
        <f>SUM(F257:F258)</f>
        <v>0</v>
      </c>
      <c r="G259" s="22">
        <f>SUM(G257:G258)</f>
        <v>28720</v>
      </c>
      <c r="H259" s="22">
        <f>SUM(H257:H258)</f>
        <v>21280</v>
      </c>
      <c r="I259" s="22">
        <v>57.44</v>
      </c>
      <c r="J259" s="27">
        <f>+K259-D259</f>
        <v>-21280</v>
      </c>
      <c r="K259" s="22">
        <f>SUM(K257:K258)</f>
        <v>28720</v>
      </c>
      <c r="L259" s="22">
        <f>SUM(L257:L258)</f>
        <v>53000</v>
      </c>
      <c r="M259" s="134">
        <f>SUM(M257:M258)</f>
        <v>53000</v>
      </c>
      <c r="N259" s="134">
        <f>SUM(N257:N258)</f>
        <v>0</v>
      </c>
    </row>
    <row r="260" spans="1:14" s="28" customFormat="1" ht="14.25" x14ac:dyDescent="0.2">
      <c r="A260" s="25"/>
      <c r="B260" s="25"/>
      <c r="C260" s="26"/>
      <c r="D260" s="27"/>
      <c r="E260" s="27"/>
      <c r="F260" s="27"/>
      <c r="G260" s="27"/>
      <c r="H260" s="27"/>
      <c r="I260" s="27"/>
      <c r="J260" s="27"/>
      <c r="K260" s="27"/>
      <c r="L260" s="27"/>
      <c r="M260" s="107"/>
      <c r="N260" s="133"/>
    </row>
    <row r="261" spans="1:14" s="24" customFormat="1" x14ac:dyDescent="0.25">
      <c r="A261" s="20"/>
      <c r="B261" s="20"/>
      <c r="C261" s="21" t="s">
        <v>418</v>
      </c>
      <c r="D261" s="22"/>
      <c r="E261" s="22"/>
      <c r="F261" s="22"/>
      <c r="G261" s="22"/>
      <c r="H261" s="22"/>
      <c r="I261" s="22"/>
      <c r="J261" s="27"/>
      <c r="K261" s="27"/>
      <c r="L261" s="22"/>
      <c r="M261" s="134"/>
      <c r="N261" s="132"/>
    </row>
    <row r="262" spans="1:14" s="24" customFormat="1" x14ac:dyDescent="0.25">
      <c r="A262" s="20"/>
      <c r="B262" s="20"/>
      <c r="C262" s="21"/>
      <c r="D262" s="22"/>
      <c r="E262" s="22"/>
      <c r="F262" s="22"/>
      <c r="G262" s="22"/>
      <c r="H262" s="22"/>
      <c r="I262" s="22"/>
      <c r="J262" s="27"/>
      <c r="K262" s="27"/>
      <c r="L262" s="22"/>
      <c r="M262" s="134"/>
      <c r="N262" s="132"/>
    </row>
    <row r="263" spans="1:14" s="24" customFormat="1" x14ac:dyDescent="0.25">
      <c r="A263" s="20"/>
      <c r="B263" s="20"/>
      <c r="C263" s="21" t="s">
        <v>96</v>
      </c>
      <c r="D263" s="22"/>
      <c r="E263" s="22"/>
      <c r="F263" s="22"/>
      <c r="G263" s="22"/>
      <c r="H263" s="22"/>
      <c r="I263" s="22"/>
      <c r="J263" s="27"/>
      <c r="K263" s="27"/>
      <c r="L263" s="22"/>
      <c r="M263" s="134"/>
      <c r="N263" s="132"/>
    </row>
    <row r="264" spans="1:14" s="24" customFormat="1" x14ac:dyDescent="0.25">
      <c r="A264" s="20"/>
      <c r="B264" s="20"/>
      <c r="C264" s="21" t="s">
        <v>97</v>
      </c>
      <c r="D264" s="22"/>
      <c r="E264" s="22"/>
      <c r="F264" s="22"/>
      <c r="G264" s="22"/>
      <c r="H264" s="22"/>
      <c r="I264" s="22"/>
      <c r="J264" s="27"/>
      <c r="K264" s="27"/>
      <c r="L264" s="22"/>
      <c r="M264" s="134"/>
      <c r="N264" s="132"/>
    </row>
    <row r="265" spans="1:14" s="24" customFormat="1" x14ac:dyDescent="0.25">
      <c r="A265" s="20"/>
      <c r="B265" s="20"/>
      <c r="C265" s="21" t="s">
        <v>148</v>
      </c>
      <c r="D265" s="22"/>
      <c r="E265" s="22"/>
      <c r="F265" s="22"/>
      <c r="G265" s="22"/>
      <c r="H265" s="22"/>
      <c r="I265" s="22"/>
      <c r="J265" s="27"/>
      <c r="K265" s="27"/>
      <c r="L265" s="22"/>
      <c r="M265" s="134"/>
      <c r="N265" s="132"/>
    </row>
    <row r="266" spans="1:14" s="24" customFormat="1" x14ac:dyDescent="0.25">
      <c r="A266" s="20"/>
      <c r="B266" s="20"/>
      <c r="C266" s="21" t="s">
        <v>149</v>
      </c>
      <c r="D266" s="22"/>
      <c r="E266" s="22"/>
      <c r="F266" s="22"/>
      <c r="G266" s="22"/>
      <c r="H266" s="22"/>
      <c r="I266" s="22"/>
      <c r="J266" s="27"/>
      <c r="K266" s="27"/>
      <c r="L266" s="22"/>
      <c r="M266" s="134"/>
      <c r="N266" s="132"/>
    </row>
    <row r="267" spans="1:14" s="28" customFormat="1" ht="14.25" x14ac:dyDescent="0.2">
      <c r="A267" s="25"/>
      <c r="B267" s="25"/>
      <c r="C267" s="26"/>
      <c r="D267" s="27"/>
      <c r="E267" s="27"/>
      <c r="F267" s="27"/>
      <c r="G267" s="27"/>
      <c r="H267" s="27"/>
      <c r="I267" s="27"/>
      <c r="J267" s="27"/>
      <c r="K267" s="27"/>
      <c r="L267" s="27"/>
      <c r="M267" s="107"/>
      <c r="N267" s="133"/>
    </row>
    <row r="268" spans="1:14" s="28" customFormat="1" ht="14.25" x14ac:dyDescent="0.2">
      <c r="A268" s="25" t="s">
        <v>419</v>
      </c>
      <c r="B268" s="25"/>
      <c r="C268" s="26" t="s">
        <v>150</v>
      </c>
      <c r="D268" s="27">
        <f t="shared" ref="D268:D276" si="110">VLOOKUP(A268,fin,3,FALSE)</f>
        <v>921699</v>
      </c>
      <c r="E268" s="27">
        <v>85296.76</v>
      </c>
      <c r="F268" s="27">
        <v>0</v>
      </c>
      <c r="G268" s="27">
        <v>503290.41</v>
      </c>
      <c r="H268" s="27">
        <v>418408.59</v>
      </c>
      <c r="I268" s="27">
        <v>54.6</v>
      </c>
      <c r="J268" s="27">
        <f t="shared" ref="J268:J276" si="111">+K268-D268</f>
        <v>0</v>
      </c>
      <c r="K268" s="27">
        <f t="shared" ref="K268:K276" si="112">VLOOKUP(A268,fin,4,FALSE)</f>
        <v>921699</v>
      </c>
      <c r="L268" s="27">
        <f t="shared" ref="L268:L276" si="113">K268*6.25/100+K268</f>
        <v>979305.1875</v>
      </c>
      <c r="M268" s="107">
        <f t="shared" ref="M268:M276" si="114">L268*7/100+L268</f>
        <v>1047856.550625</v>
      </c>
      <c r="N268" s="133">
        <f t="shared" ref="N268:N276" si="115">M268*7/100+M268</f>
        <v>1121206.5091687501</v>
      </c>
    </row>
    <row r="269" spans="1:14" s="28" customFormat="1" ht="14.25" x14ac:dyDescent="0.2">
      <c r="A269" s="25" t="s">
        <v>420</v>
      </c>
      <c r="B269" s="25"/>
      <c r="C269" s="26" t="s">
        <v>151</v>
      </c>
      <c r="D269" s="27">
        <f t="shared" si="110"/>
        <v>41388</v>
      </c>
      <c r="E269" s="27">
        <v>21167.72</v>
      </c>
      <c r="F269" s="27">
        <v>0</v>
      </c>
      <c r="G269" s="27">
        <v>103575.6</v>
      </c>
      <c r="H269" s="27">
        <v>-62187.6</v>
      </c>
      <c r="I269" s="27">
        <v>250.25</v>
      </c>
      <c r="J269" s="27">
        <f t="shared" si="111"/>
        <v>-20220.28</v>
      </c>
      <c r="K269" s="27">
        <f t="shared" si="112"/>
        <v>21167.72</v>
      </c>
      <c r="L269" s="27">
        <f t="shared" si="113"/>
        <v>22490.702499999999</v>
      </c>
      <c r="M269" s="107">
        <f t="shared" si="114"/>
        <v>24065.051674999999</v>
      </c>
      <c r="N269" s="133">
        <f t="shared" si="115"/>
        <v>25749.605292249998</v>
      </c>
    </row>
    <row r="270" spans="1:14" s="28" customFormat="1" ht="14.25" x14ac:dyDescent="0.2">
      <c r="A270" s="25" t="s">
        <v>421</v>
      </c>
      <c r="B270" s="25"/>
      <c r="C270" s="26" t="s">
        <v>152</v>
      </c>
      <c r="D270" s="27">
        <f t="shared" si="110"/>
        <v>38100</v>
      </c>
      <c r="E270" s="27">
        <v>3172.75</v>
      </c>
      <c r="F270" s="27">
        <v>0</v>
      </c>
      <c r="G270" s="27">
        <v>19036.5</v>
      </c>
      <c r="H270" s="27">
        <v>19063.5</v>
      </c>
      <c r="I270" s="27">
        <v>49.96</v>
      </c>
      <c r="J270" s="27">
        <f t="shared" si="111"/>
        <v>0</v>
      </c>
      <c r="K270" s="27">
        <f t="shared" si="112"/>
        <v>38100</v>
      </c>
      <c r="L270" s="27">
        <f t="shared" si="113"/>
        <v>40481.25</v>
      </c>
      <c r="M270" s="107">
        <f t="shared" si="114"/>
        <v>43314.9375</v>
      </c>
      <c r="N270" s="133">
        <f t="shared" si="115"/>
        <v>46346.983124999999</v>
      </c>
    </row>
    <row r="271" spans="1:14" s="28" customFormat="1" ht="14.25" x14ac:dyDescent="0.2">
      <c r="A271" s="25" t="s">
        <v>422</v>
      </c>
      <c r="B271" s="25"/>
      <c r="C271" s="26" t="s">
        <v>153</v>
      </c>
      <c r="D271" s="27">
        <f t="shared" si="110"/>
        <v>10893</v>
      </c>
      <c r="E271" s="27">
        <v>907.77</v>
      </c>
      <c r="F271" s="27">
        <v>0</v>
      </c>
      <c r="G271" s="27">
        <v>5446.62</v>
      </c>
      <c r="H271" s="27">
        <v>5446.38</v>
      </c>
      <c r="I271" s="27">
        <v>50</v>
      </c>
      <c r="J271" s="27">
        <f t="shared" si="111"/>
        <v>0</v>
      </c>
      <c r="K271" s="27">
        <f t="shared" si="112"/>
        <v>10893</v>
      </c>
      <c r="L271" s="27">
        <f t="shared" si="113"/>
        <v>11573.8125</v>
      </c>
      <c r="M271" s="107">
        <f t="shared" si="114"/>
        <v>12383.979375000001</v>
      </c>
      <c r="N271" s="133">
        <f t="shared" si="115"/>
        <v>13250.857931250001</v>
      </c>
    </row>
    <row r="272" spans="1:14" s="28" customFormat="1" ht="14.25" x14ac:dyDescent="0.2">
      <c r="A272" s="25" t="s">
        <v>423</v>
      </c>
      <c r="B272" s="25"/>
      <c r="C272" s="26" t="s">
        <v>155</v>
      </c>
      <c r="D272" s="27">
        <f t="shared" si="110"/>
        <v>29391</v>
      </c>
      <c r="E272" s="27">
        <v>0</v>
      </c>
      <c r="F272" s="27">
        <v>0</v>
      </c>
      <c r="G272" s="27">
        <v>0</v>
      </c>
      <c r="H272" s="27">
        <v>29391</v>
      </c>
      <c r="I272" s="27">
        <v>0</v>
      </c>
      <c r="J272" s="27">
        <f t="shared" si="111"/>
        <v>0</v>
      </c>
      <c r="K272" s="27">
        <f t="shared" si="112"/>
        <v>29391</v>
      </c>
      <c r="L272" s="27">
        <f t="shared" si="113"/>
        <v>31227.9375</v>
      </c>
      <c r="M272" s="107">
        <f t="shared" si="114"/>
        <v>33413.893125000002</v>
      </c>
      <c r="N272" s="133">
        <f t="shared" si="115"/>
        <v>35752.865643750003</v>
      </c>
    </row>
    <row r="273" spans="1:14" s="28" customFormat="1" ht="14.25" x14ac:dyDescent="0.2">
      <c r="A273" s="25" t="s">
        <v>424</v>
      </c>
      <c r="B273" s="25"/>
      <c r="C273" s="26" t="s">
        <v>156</v>
      </c>
      <c r="D273" s="27">
        <f t="shared" si="110"/>
        <v>153077</v>
      </c>
      <c r="E273" s="27">
        <v>13001.46</v>
      </c>
      <c r="F273" s="27">
        <v>0</v>
      </c>
      <c r="G273" s="27">
        <v>77094.720000000001</v>
      </c>
      <c r="H273" s="27">
        <v>75982.28</v>
      </c>
      <c r="I273" s="27">
        <v>50.36</v>
      </c>
      <c r="J273" s="27">
        <f t="shared" si="111"/>
        <v>0</v>
      </c>
      <c r="K273" s="27">
        <f t="shared" si="112"/>
        <v>153077</v>
      </c>
      <c r="L273" s="27">
        <f t="shared" si="113"/>
        <v>162644.3125</v>
      </c>
      <c r="M273" s="107">
        <f t="shared" si="114"/>
        <v>174029.41437499999</v>
      </c>
      <c r="N273" s="133">
        <f t="shared" si="115"/>
        <v>186211.47338124999</v>
      </c>
    </row>
    <row r="274" spans="1:14" s="28" customFormat="1" ht="14.25" x14ac:dyDescent="0.2">
      <c r="A274" s="25" t="s">
        <v>425</v>
      </c>
      <c r="B274" s="25"/>
      <c r="C274" s="26" t="s">
        <v>158</v>
      </c>
      <c r="D274" s="27">
        <f t="shared" si="110"/>
        <v>12246</v>
      </c>
      <c r="E274" s="27">
        <v>0</v>
      </c>
      <c r="F274" s="27">
        <v>0</v>
      </c>
      <c r="G274" s="27">
        <v>0</v>
      </c>
      <c r="H274" s="27">
        <v>12246</v>
      </c>
      <c r="I274" s="27">
        <v>0</v>
      </c>
      <c r="J274" s="27">
        <f t="shared" si="111"/>
        <v>-12246</v>
      </c>
      <c r="K274" s="27">
        <f t="shared" si="112"/>
        <v>0</v>
      </c>
      <c r="L274" s="27">
        <f t="shared" si="113"/>
        <v>0</v>
      </c>
      <c r="M274" s="107">
        <f t="shared" si="114"/>
        <v>0</v>
      </c>
      <c r="N274" s="133">
        <f t="shared" si="115"/>
        <v>0</v>
      </c>
    </row>
    <row r="275" spans="1:14" s="28" customFormat="1" ht="14.25" x14ac:dyDescent="0.2">
      <c r="A275" s="25" t="s">
        <v>426</v>
      </c>
      <c r="B275" s="25"/>
      <c r="C275" s="26" t="s">
        <v>159</v>
      </c>
      <c r="D275" s="27">
        <f t="shared" si="110"/>
        <v>73808</v>
      </c>
      <c r="E275" s="27">
        <v>0</v>
      </c>
      <c r="F275" s="27">
        <v>0</v>
      </c>
      <c r="G275" s="27">
        <v>0</v>
      </c>
      <c r="H275" s="27">
        <v>73808</v>
      </c>
      <c r="I275" s="27">
        <v>0</v>
      </c>
      <c r="J275" s="27">
        <f t="shared" si="111"/>
        <v>17447</v>
      </c>
      <c r="K275" s="27">
        <f t="shared" si="112"/>
        <v>91255</v>
      </c>
      <c r="L275" s="27">
        <f t="shared" si="113"/>
        <v>96958.4375</v>
      </c>
      <c r="M275" s="107">
        <f t="shared" si="114"/>
        <v>103745.528125</v>
      </c>
      <c r="N275" s="133">
        <f t="shared" si="115"/>
        <v>111007.71509375</v>
      </c>
    </row>
    <row r="276" spans="1:14" s="28" customFormat="1" ht="14.25" x14ac:dyDescent="0.2">
      <c r="A276" s="25" t="s">
        <v>427</v>
      </c>
      <c r="B276" s="25"/>
      <c r="C276" s="26" t="s">
        <v>164</v>
      </c>
      <c r="D276" s="27">
        <f t="shared" si="110"/>
        <v>15692</v>
      </c>
      <c r="E276" s="27">
        <v>1307.7</v>
      </c>
      <c r="F276" s="27">
        <v>0</v>
      </c>
      <c r="G276" s="27">
        <v>7846.2</v>
      </c>
      <c r="H276" s="27">
        <v>7845.8</v>
      </c>
      <c r="I276" s="27">
        <v>50</v>
      </c>
      <c r="J276" s="27">
        <f t="shared" si="111"/>
        <v>0</v>
      </c>
      <c r="K276" s="27">
        <f t="shared" si="112"/>
        <v>15692</v>
      </c>
      <c r="L276" s="27">
        <f t="shared" si="113"/>
        <v>16672.75</v>
      </c>
      <c r="M276" s="107">
        <f t="shared" si="114"/>
        <v>17839.842499999999</v>
      </c>
      <c r="N276" s="133">
        <f t="shared" si="115"/>
        <v>19088.631474999998</v>
      </c>
    </row>
    <row r="277" spans="1:14" s="28" customFormat="1" ht="14.25" x14ac:dyDescent="0.2">
      <c r="A277" s="25"/>
      <c r="B277" s="25"/>
      <c r="C277" s="26"/>
      <c r="D277" s="27"/>
      <c r="E277" s="27"/>
      <c r="F277" s="27"/>
      <c r="G277" s="27"/>
      <c r="H277" s="27"/>
      <c r="I277" s="27"/>
      <c r="J277" s="27"/>
      <c r="K277" s="27"/>
      <c r="L277" s="27"/>
      <c r="M277" s="107"/>
      <c r="N277" s="133"/>
    </row>
    <row r="278" spans="1:14" s="24" customFormat="1" x14ac:dyDescent="0.25">
      <c r="A278" s="20"/>
      <c r="B278" s="20"/>
      <c r="C278" s="21" t="s">
        <v>165</v>
      </c>
      <c r="D278" s="22">
        <f>SUM(D268:D277)</f>
        <v>1296294</v>
      </c>
      <c r="E278" s="22">
        <f>SUM(E268:E277)</f>
        <v>124854.15999999999</v>
      </c>
      <c r="F278" s="22">
        <f>SUM(F268:F277)</f>
        <v>0</v>
      </c>
      <c r="G278" s="22">
        <f>SUM(G268:G277)</f>
        <v>716290.04999999993</v>
      </c>
      <c r="H278" s="22">
        <f>SUM(H268:H277)</f>
        <v>580003.95000000007</v>
      </c>
      <c r="I278" s="22">
        <v>55.25</v>
      </c>
      <c r="J278" s="27">
        <f>+K278-D278</f>
        <v>-15019.280000000028</v>
      </c>
      <c r="K278" s="22">
        <f>SUM(K268:K277)</f>
        <v>1281274.72</v>
      </c>
      <c r="L278" s="22">
        <f>SUM(L268:L277)</f>
        <v>1361354.3900000001</v>
      </c>
      <c r="M278" s="134">
        <f>SUM(M268:M277)</f>
        <v>1456649.1973000001</v>
      </c>
      <c r="N278" s="132">
        <f>SUM(N268:N277)</f>
        <v>1558614.641111</v>
      </c>
    </row>
    <row r="279" spans="1:14" s="24" customFormat="1" x14ac:dyDescent="0.25">
      <c r="A279" s="20"/>
      <c r="B279" s="20"/>
      <c r="C279" s="21"/>
      <c r="D279" s="22"/>
      <c r="E279" s="22"/>
      <c r="F279" s="22"/>
      <c r="G279" s="22"/>
      <c r="H279" s="22"/>
      <c r="I279" s="22"/>
      <c r="J279" s="27"/>
      <c r="K279" s="27"/>
      <c r="L279" s="22"/>
      <c r="M279" s="134"/>
      <c r="N279" s="132"/>
    </row>
    <row r="280" spans="1:14" s="24" customFormat="1" x14ac:dyDescent="0.25">
      <c r="A280" s="20"/>
      <c r="B280" s="20"/>
      <c r="C280" s="21" t="s">
        <v>166</v>
      </c>
      <c r="D280" s="22"/>
      <c r="E280" s="22"/>
      <c r="F280" s="22"/>
      <c r="G280" s="22"/>
      <c r="H280" s="22"/>
      <c r="I280" s="22"/>
      <c r="J280" s="27"/>
      <c r="K280" s="27"/>
      <c r="L280" s="22"/>
      <c r="M280" s="134"/>
      <c r="N280" s="132"/>
    </row>
    <row r="281" spans="1:14" s="24" customFormat="1" x14ac:dyDescent="0.25">
      <c r="A281" s="20"/>
      <c r="B281" s="20"/>
      <c r="C281" s="21"/>
      <c r="D281" s="22"/>
      <c r="E281" s="22"/>
      <c r="F281" s="22"/>
      <c r="G281" s="22"/>
      <c r="H281" s="22"/>
      <c r="I281" s="22"/>
      <c r="J281" s="27"/>
      <c r="K281" s="27"/>
      <c r="L281" s="22"/>
      <c r="M281" s="134"/>
      <c r="N281" s="132"/>
    </row>
    <row r="282" spans="1:14" s="28" customFormat="1" ht="14.25" x14ac:dyDescent="0.2">
      <c r="A282" s="25" t="s">
        <v>428</v>
      </c>
      <c r="B282" s="25"/>
      <c r="C282" s="26" t="s">
        <v>167</v>
      </c>
      <c r="D282" s="27">
        <f>VLOOKUP(A282,fin,3,FALSE)</f>
        <v>225</v>
      </c>
      <c r="E282" s="27">
        <v>23.3</v>
      </c>
      <c r="F282" s="27">
        <v>0</v>
      </c>
      <c r="G282" s="27">
        <v>139.80000000000001</v>
      </c>
      <c r="H282" s="27">
        <v>85.2</v>
      </c>
      <c r="I282" s="27">
        <v>62.13</v>
      </c>
      <c r="J282" s="27">
        <f>+K282-D282</f>
        <v>0</v>
      </c>
      <c r="K282" s="27">
        <f>VLOOKUP(A282,fin,4,FALSE)</f>
        <v>225</v>
      </c>
      <c r="L282" s="27">
        <f t="shared" ref="L282:L285" si="116">K282*6.25/100+K282</f>
        <v>239.0625</v>
      </c>
      <c r="M282" s="107">
        <f t="shared" ref="M282:M285" si="117">L282*7/100+L282</f>
        <v>255.796875</v>
      </c>
      <c r="N282" s="133">
        <f t="shared" ref="N282:N285" si="118">M282*7/100+M282</f>
        <v>273.70265625000002</v>
      </c>
    </row>
    <row r="283" spans="1:14" s="28" customFormat="1" ht="14.25" x14ac:dyDescent="0.2">
      <c r="A283" s="25" t="s">
        <v>429</v>
      </c>
      <c r="B283" s="25"/>
      <c r="C283" s="26" t="s">
        <v>168</v>
      </c>
      <c r="D283" s="27">
        <f>VLOOKUP(A283,fin,3,FALSE)</f>
        <v>107816</v>
      </c>
      <c r="E283" s="27">
        <v>8948.4</v>
      </c>
      <c r="F283" s="27">
        <v>0</v>
      </c>
      <c r="G283" s="27">
        <v>53690.400000000001</v>
      </c>
      <c r="H283" s="27">
        <v>54125.599999999999</v>
      </c>
      <c r="I283" s="27">
        <v>49.79</v>
      </c>
      <c r="J283" s="27">
        <f>+K283-D283</f>
        <v>0</v>
      </c>
      <c r="K283" s="27">
        <f>VLOOKUP(A283,fin,4,FALSE)</f>
        <v>107816</v>
      </c>
      <c r="L283" s="27">
        <f t="shared" si="116"/>
        <v>114554.5</v>
      </c>
      <c r="M283" s="107">
        <f t="shared" si="117"/>
        <v>122573.315</v>
      </c>
      <c r="N283" s="133">
        <f t="shared" si="118"/>
        <v>131153.44705000002</v>
      </c>
    </row>
    <row r="284" spans="1:14" s="28" customFormat="1" ht="14.25" x14ac:dyDescent="0.2">
      <c r="A284" s="25" t="s">
        <v>430</v>
      </c>
      <c r="B284" s="25"/>
      <c r="C284" s="26" t="s">
        <v>169</v>
      </c>
      <c r="D284" s="27">
        <f>VLOOKUP(A284,fin,3,FALSE)</f>
        <v>194854</v>
      </c>
      <c r="E284" s="27">
        <v>16282.23</v>
      </c>
      <c r="F284" s="27">
        <v>0</v>
      </c>
      <c r="G284" s="27">
        <v>96143.39</v>
      </c>
      <c r="H284" s="27">
        <v>98710.61</v>
      </c>
      <c r="I284" s="27">
        <v>49.34</v>
      </c>
      <c r="J284" s="27">
        <f>+K284-D284</f>
        <v>0</v>
      </c>
      <c r="K284" s="27">
        <f>VLOOKUP(A284,fin,4,FALSE)</f>
        <v>194854</v>
      </c>
      <c r="L284" s="27">
        <f t="shared" si="116"/>
        <v>207032.375</v>
      </c>
      <c r="M284" s="107">
        <f t="shared" si="117"/>
        <v>221524.64124999999</v>
      </c>
      <c r="N284" s="133">
        <f t="shared" si="118"/>
        <v>237031.36613749998</v>
      </c>
    </row>
    <row r="285" spans="1:14" s="28" customFormat="1" ht="14.25" x14ac:dyDescent="0.2">
      <c r="A285" s="25" t="s">
        <v>431</v>
      </c>
      <c r="B285" s="25"/>
      <c r="C285" s="26" t="s">
        <v>170</v>
      </c>
      <c r="D285" s="27">
        <f>VLOOKUP(A285,fin,3,FALSE)</f>
        <v>3570</v>
      </c>
      <c r="E285" s="27">
        <v>371.8</v>
      </c>
      <c r="F285" s="27">
        <v>0</v>
      </c>
      <c r="G285" s="27">
        <v>2230.8000000000002</v>
      </c>
      <c r="H285" s="27">
        <v>1339.2</v>
      </c>
      <c r="I285" s="27">
        <v>62.48</v>
      </c>
      <c r="J285" s="27">
        <f>+K285-D285</f>
        <v>0</v>
      </c>
      <c r="K285" s="27">
        <f>VLOOKUP(A285,fin,4,FALSE)</f>
        <v>3570</v>
      </c>
      <c r="L285" s="27">
        <f t="shared" si="116"/>
        <v>3793.125</v>
      </c>
      <c r="M285" s="107">
        <f t="shared" si="117"/>
        <v>4058.6437500000002</v>
      </c>
      <c r="N285" s="133">
        <f t="shared" si="118"/>
        <v>4342.7488125</v>
      </c>
    </row>
    <row r="286" spans="1:14" s="28" customFormat="1" ht="14.25" x14ac:dyDescent="0.2">
      <c r="A286" s="25"/>
      <c r="B286" s="25"/>
      <c r="C286" s="26"/>
      <c r="D286" s="27"/>
      <c r="E286" s="27"/>
      <c r="F286" s="27"/>
      <c r="G286" s="27"/>
      <c r="H286" s="27"/>
      <c r="I286" s="27"/>
      <c r="J286" s="27"/>
      <c r="K286" s="27"/>
      <c r="L286" s="27"/>
      <c r="M286" s="107"/>
      <c r="N286" s="133"/>
    </row>
    <row r="287" spans="1:14" s="24" customFormat="1" x14ac:dyDescent="0.25">
      <c r="A287" s="20"/>
      <c r="B287" s="20"/>
      <c r="C287" s="21" t="s">
        <v>171</v>
      </c>
      <c r="D287" s="22">
        <f>SUM(D282:D286)</f>
        <v>306465</v>
      </c>
      <c r="E287" s="22">
        <f>SUM(E282:E286)</f>
        <v>25625.73</v>
      </c>
      <c r="F287" s="22">
        <f>SUM(F282:F286)</f>
        <v>0</v>
      </c>
      <c r="G287" s="22">
        <f>SUM(G282:G286)</f>
        <v>152204.38999999998</v>
      </c>
      <c r="H287" s="22">
        <f>SUM(H282:H286)</f>
        <v>154260.61000000002</v>
      </c>
      <c r="I287" s="22">
        <v>49.66</v>
      </c>
      <c r="J287" s="27">
        <f>+K287-D287</f>
        <v>0</v>
      </c>
      <c r="K287" s="22">
        <f>SUM(K282:K286)</f>
        <v>306465</v>
      </c>
      <c r="L287" s="22">
        <f>SUM(L282:L286)</f>
        <v>325619.0625</v>
      </c>
      <c r="M287" s="134">
        <f>SUM(M282:M286)</f>
        <v>348412.39687499998</v>
      </c>
      <c r="N287" s="134">
        <f>SUM(N282:N286)</f>
        <v>372801.26465624996</v>
      </c>
    </row>
    <row r="288" spans="1:14" s="24" customFormat="1" x14ac:dyDescent="0.25">
      <c r="A288" s="20"/>
      <c r="B288" s="20"/>
      <c r="C288" s="21"/>
      <c r="D288" s="22"/>
      <c r="E288" s="22"/>
      <c r="F288" s="22"/>
      <c r="G288" s="22"/>
      <c r="H288" s="22"/>
      <c r="I288" s="22"/>
      <c r="J288" s="27"/>
      <c r="K288" s="27"/>
      <c r="L288" s="22"/>
      <c r="M288" s="134"/>
      <c r="N288" s="132"/>
    </row>
    <row r="289" spans="1:14" s="24" customFormat="1" x14ac:dyDescent="0.25">
      <c r="A289" s="20"/>
      <c r="B289" s="20"/>
      <c r="C289" s="21" t="s">
        <v>172</v>
      </c>
      <c r="D289" s="22"/>
      <c r="E289" s="22"/>
      <c r="F289" s="22"/>
      <c r="G289" s="22"/>
      <c r="H289" s="22"/>
      <c r="I289" s="22"/>
      <c r="J289" s="27"/>
      <c r="K289" s="27"/>
      <c r="L289" s="22"/>
      <c r="M289" s="134"/>
      <c r="N289" s="132"/>
    </row>
    <row r="290" spans="1:14" s="28" customFormat="1" ht="14.25" x14ac:dyDescent="0.2">
      <c r="A290" s="25"/>
      <c r="B290" s="25"/>
      <c r="C290" s="26"/>
      <c r="D290" s="27"/>
      <c r="E290" s="27"/>
      <c r="F290" s="27"/>
      <c r="G290" s="27"/>
      <c r="H290" s="27"/>
      <c r="I290" s="27"/>
      <c r="J290" s="27"/>
      <c r="K290" s="27"/>
      <c r="L290" s="27"/>
      <c r="M290" s="107"/>
      <c r="N290" s="133"/>
    </row>
    <row r="291" spans="1:14" s="28" customFormat="1" ht="14.25" x14ac:dyDescent="0.2">
      <c r="A291" s="25" t="s">
        <v>432</v>
      </c>
      <c r="B291" s="25"/>
      <c r="C291" s="26" t="s">
        <v>173</v>
      </c>
      <c r="D291" s="27">
        <f>VLOOKUP(A291,fin,3,FALSE)</f>
        <v>3453</v>
      </c>
      <c r="E291" s="27">
        <v>0</v>
      </c>
      <c r="F291" s="27">
        <v>0</v>
      </c>
      <c r="G291" s="27">
        <v>0</v>
      </c>
      <c r="H291" s="27">
        <v>3453</v>
      </c>
      <c r="I291" s="27">
        <v>0</v>
      </c>
      <c r="J291" s="27">
        <f>+K291-D291</f>
        <v>0</v>
      </c>
      <c r="K291" s="27">
        <f>VLOOKUP(A291,fin,4,FALSE)</f>
        <v>3453</v>
      </c>
      <c r="L291" s="27">
        <f t="shared" ref="L291:L293" si="119">K291*6.25/100+K291</f>
        <v>3668.8125</v>
      </c>
      <c r="M291" s="107">
        <f t="shared" ref="M291:M293" si="120">L291*7/100+L291</f>
        <v>3925.629375</v>
      </c>
      <c r="N291" s="133">
        <f t="shared" ref="N291:N293" si="121">M291*7/100+M291</f>
        <v>4200.4234312500002</v>
      </c>
    </row>
    <row r="292" spans="1:14" s="28" customFormat="1" ht="14.25" x14ac:dyDescent="0.2">
      <c r="A292" s="25" t="s">
        <v>433</v>
      </c>
      <c r="B292" s="25"/>
      <c r="C292" s="26" t="s">
        <v>174</v>
      </c>
      <c r="D292" s="27">
        <f>VLOOKUP(A292,fin,3,FALSE)</f>
        <v>1415</v>
      </c>
      <c r="E292" s="27">
        <v>0</v>
      </c>
      <c r="F292" s="27">
        <v>0</v>
      </c>
      <c r="G292" s="27">
        <v>0</v>
      </c>
      <c r="H292" s="27">
        <v>1415</v>
      </c>
      <c r="I292" s="27">
        <v>0</v>
      </c>
      <c r="J292" s="27">
        <f>+K292-D292</f>
        <v>0</v>
      </c>
      <c r="K292" s="27">
        <f>VLOOKUP(A292,fin,4,FALSE)</f>
        <v>1415</v>
      </c>
      <c r="L292" s="27">
        <f t="shared" si="119"/>
        <v>1503.4375</v>
      </c>
      <c r="M292" s="107">
        <f t="shared" si="120"/>
        <v>1608.6781249999999</v>
      </c>
      <c r="N292" s="133">
        <f t="shared" si="121"/>
        <v>1721.2855937499999</v>
      </c>
    </row>
    <row r="293" spans="1:14" s="28" customFormat="1" ht="14.25" x14ac:dyDescent="0.2">
      <c r="A293" s="25" t="s">
        <v>434</v>
      </c>
      <c r="B293" s="25"/>
      <c r="C293" s="26" t="s">
        <v>175</v>
      </c>
      <c r="D293" s="27">
        <f>VLOOKUP(A293,fin,3,FALSE)</f>
        <v>9596</v>
      </c>
      <c r="E293" s="27">
        <v>0</v>
      </c>
      <c r="F293" s="27">
        <v>0</v>
      </c>
      <c r="G293" s="27">
        <v>0</v>
      </c>
      <c r="H293" s="27">
        <v>9596</v>
      </c>
      <c r="I293" s="27">
        <v>0</v>
      </c>
      <c r="J293" s="27">
        <f>+K293-D293</f>
        <v>0</v>
      </c>
      <c r="K293" s="27">
        <f>VLOOKUP(A293,fin,4,FALSE)</f>
        <v>9596</v>
      </c>
      <c r="L293" s="27">
        <f t="shared" si="119"/>
        <v>10195.75</v>
      </c>
      <c r="M293" s="107">
        <f t="shared" si="120"/>
        <v>10909.452499999999</v>
      </c>
      <c r="N293" s="133">
        <f t="shared" si="121"/>
        <v>11673.114174999999</v>
      </c>
    </row>
    <row r="294" spans="1:14" s="28" customFormat="1" ht="14.25" x14ac:dyDescent="0.2">
      <c r="A294" s="25"/>
      <c r="B294" s="25"/>
      <c r="C294" s="26"/>
      <c r="D294" s="27"/>
      <c r="E294" s="27"/>
      <c r="F294" s="27"/>
      <c r="G294" s="27"/>
      <c r="H294" s="27"/>
      <c r="I294" s="27"/>
      <c r="J294" s="27"/>
      <c r="K294" s="27"/>
      <c r="L294" s="27"/>
      <c r="M294" s="107"/>
      <c r="N294" s="133"/>
    </row>
    <row r="295" spans="1:14" s="24" customFormat="1" x14ac:dyDescent="0.25">
      <c r="A295" s="20"/>
      <c r="B295" s="20"/>
      <c r="C295" s="21" t="s">
        <v>176</v>
      </c>
      <c r="D295" s="22">
        <f>SUM(D291:D294)</f>
        <v>14464</v>
      </c>
      <c r="E295" s="22">
        <f>SUM(E291:E294)</f>
        <v>0</v>
      </c>
      <c r="F295" s="22">
        <f>SUM(F291:F294)</f>
        <v>0</v>
      </c>
      <c r="G295" s="22">
        <f>SUM(G291:G294)</f>
        <v>0</v>
      </c>
      <c r="H295" s="22">
        <f>SUM(H291:H294)</f>
        <v>14464</v>
      </c>
      <c r="I295" s="22">
        <v>0</v>
      </c>
      <c r="J295" s="27">
        <f>+K295-D295</f>
        <v>0</v>
      </c>
      <c r="K295" s="22">
        <f>SUM(K291:K294)</f>
        <v>14464</v>
      </c>
      <c r="L295" s="22">
        <f>SUM(L291:L294)</f>
        <v>15368</v>
      </c>
      <c r="M295" s="134">
        <f>SUM(M291:M294)</f>
        <v>16443.759999999998</v>
      </c>
      <c r="N295" s="134">
        <f>SUM(N291:N294)</f>
        <v>17594.823199999999</v>
      </c>
    </row>
    <row r="296" spans="1:14" s="24" customFormat="1" x14ac:dyDescent="0.25">
      <c r="A296" s="20"/>
      <c r="B296" s="20"/>
      <c r="C296" s="21"/>
      <c r="D296" s="22"/>
      <c r="E296" s="22"/>
      <c r="F296" s="22"/>
      <c r="G296" s="22"/>
      <c r="H296" s="22"/>
      <c r="I296" s="22"/>
      <c r="J296" s="27"/>
      <c r="K296" s="22"/>
      <c r="L296" s="22"/>
      <c r="M296" s="134"/>
      <c r="N296" s="132"/>
    </row>
    <row r="297" spans="1:14" s="24" customFormat="1" x14ac:dyDescent="0.25">
      <c r="A297" s="20"/>
      <c r="B297" s="20"/>
      <c r="C297" s="21" t="s">
        <v>177</v>
      </c>
      <c r="D297" s="22">
        <f>D278+D287+D295</f>
        <v>1617223</v>
      </c>
      <c r="E297" s="22">
        <f t="shared" ref="E297:N297" si="122">E278+E287+E295</f>
        <v>150479.88999999998</v>
      </c>
      <c r="F297" s="22">
        <f t="shared" si="122"/>
        <v>0</v>
      </c>
      <c r="G297" s="22">
        <f t="shared" si="122"/>
        <v>868494.44</v>
      </c>
      <c r="H297" s="22">
        <f t="shared" si="122"/>
        <v>748728.56</v>
      </c>
      <c r="I297" s="22">
        <v>53.7</v>
      </c>
      <c r="J297" s="27">
        <f>+K297-D297</f>
        <v>-15019.280000000028</v>
      </c>
      <c r="K297" s="22">
        <f t="shared" si="122"/>
        <v>1602203.72</v>
      </c>
      <c r="L297" s="22">
        <f t="shared" si="122"/>
        <v>1702341.4525000001</v>
      </c>
      <c r="M297" s="134">
        <f t="shared" si="122"/>
        <v>1821505.3541750002</v>
      </c>
      <c r="N297" s="134">
        <f t="shared" si="122"/>
        <v>1949010.7289672499</v>
      </c>
    </row>
    <row r="298" spans="1:14" s="24" customFormat="1" x14ac:dyDescent="0.25">
      <c r="A298" s="20"/>
      <c r="B298" s="20"/>
      <c r="C298" s="21"/>
      <c r="D298" s="22"/>
      <c r="E298" s="22"/>
      <c r="F298" s="22"/>
      <c r="G298" s="22"/>
      <c r="H298" s="22"/>
      <c r="I298" s="22"/>
      <c r="J298" s="27"/>
      <c r="K298" s="22"/>
      <c r="L298" s="22"/>
      <c r="M298" s="134"/>
      <c r="N298" s="132"/>
    </row>
    <row r="299" spans="1:14" s="24" customFormat="1" x14ac:dyDescent="0.25">
      <c r="A299" s="20"/>
      <c r="B299" s="20"/>
      <c r="C299" s="21" t="s">
        <v>178</v>
      </c>
      <c r="D299" s="22">
        <f>D297</f>
        <v>1617223</v>
      </c>
      <c r="E299" s="22">
        <f t="shared" ref="E299:N299" si="123">E297</f>
        <v>150479.88999999998</v>
      </c>
      <c r="F299" s="22">
        <f t="shared" si="123"/>
        <v>0</v>
      </c>
      <c r="G299" s="22">
        <f t="shared" si="123"/>
        <v>868494.44</v>
      </c>
      <c r="H299" s="22">
        <f t="shared" si="123"/>
        <v>748728.56</v>
      </c>
      <c r="I299" s="22">
        <v>53.7</v>
      </c>
      <c r="J299" s="27">
        <f>+K299-D299</f>
        <v>-15019.280000000028</v>
      </c>
      <c r="K299" s="22">
        <f t="shared" si="123"/>
        <v>1602203.72</v>
      </c>
      <c r="L299" s="22">
        <f t="shared" si="123"/>
        <v>1702341.4525000001</v>
      </c>
      <c r="M299" s="134">
        <f t="shared" si="123"/>
        <v>1821505.3541750002</v>
      </c>
      <c r="N299" s="134">
        <f t="shared" si="123"/>
        <v>1949010.7289672499</v>
      </c>
    </row>
    <row r="300" spans="1:14" s="24" customFormat="1" x14ac:dyDescent="0.25">
      <c r="A300" s="20"/>
      <c r="B300" s="20"/>
      <c r="C300" s="21"/>
      <c r="D300" s="22"/>
      <c r="E300" s="22"/>
      <c r="F300" s="22"/>
      <c r="G300" s="22"/>
      <c r="H300" s="22"/>
      <c r="I300" s="22"/>
      <c r="J300" s="27"/>
      <c r="K300" s="27"/>
      <c r="L300" s="22"/>
      <c r="M300" s="134"/>
      <c r="N300" s="132"/>
    </row>
    <row r="301" spans="1:14" s="24" customFormat="1" x14ac:dyDescent="0.25">
      <c r="A301" s="20"/>
      <c r="B301" s="20"/>
      <c r="C301" s="21" t="s">
        <v>208</v>
      </c>
      <c r="D301" s="22"/>
      <c r="E301" s="22"/>
      <c r="F301" s="22"/>
      <c r="G301" s="22"/>
      <c r="H301" s="22"/>
      <c r="I301" s="22"/>
      <c r="J301" s="27"/>
      <c r="K301" s="27"/>
      <c r="L301" s="22"/>
      <c r="M301" s="134"/>
      <c r="N301" s="132"/>
    </row>
    <row r="302" spans="1:14" s="24" customFormat="1" x14ac:dyDescent="0.25">
      <c r="A302" s="20"/>
      <c r="B302" s="20"/>
      <c r="C302" s="21" t="s">
        <v>209</v>
      </c>
      <c r="D302" s="22"/>
      <c r="E302" s="22"/>
      <c r="F302" s="22"/>
      <c r="G302" s="22"/>
      <c r="H302" s="22"/>
      <c r="I302" s="22"/>
      <c r="J302" s="27"/>
      <c r="K302" s="27"/>
      <c r="L302" s="22"/>
      <c r="M302" s="134"/>
      <c r="N302" s="132"/>
    </row>
    <row r="303" spans="1:14" s="24" customFormat="1" x14ac:dyDescent="0.25">
      <c r="A303" s="20"/>
      <c r="B303" s="20"/>
      <c r="C303" s="21" t="s">
        <v>228</v>
      </c>
      <c r="D303" s="22"/>
      <c r="E303" s="22"/>
      <c r="F303" s="22"/>
      <c r="G303" s="22"/>
      <c r="H303" s="22"/>
      <c r="I303" s="22"/>
      <c r="J303" s="27"/>
      <c r="K303" s="27"/>
      <c r="L303" s="22"/>
      <c r="M303" s="134"/>
      <c r="N303" s="132"/>
    </row>
    <row r="304" spans="1:14" s="28" customFormat="1" ht="14.25" x14ac:dyDescent="0.2">
      <c r="A304" s="25"/>
      <c r="B304" s="25"/>
      <c r="C304" s="26"/>
      <c r="D304" s="27"/>
      <c r="E304" s="27"/>
      <c r="F304" s="27"/>
      <c r="G304" s="27"/>
      <c r="H304" s="27"/>
      <c r="I304" s="27"/>
      <c r="J304" s="27"/>
      <c r="K304" s="27"/>
      <c r="L304" s="27"/>
      <c r="M304" s="107"/>
      <c r="N304" s="133"/>
    </row>
    <row r="305" spans="1:14" s="28" customFormat="1" ht="14.25" x14ac:dyDescent="0.2">
      <c r="A305" s="25" t="s">
        <v>435</v>
      </c>
      <c r="B305" s="25" t="s">
        <v>1364</v>
      </c>
      <c r="C305" s="26" t="s">
        <v>233</v>
      </c>
      <c r="D305" s="27">
        <f>VLOOKUP(A305,fin,3,FALSE)</f>
        <v>84047</v>
      </c>
      <c r="E305" s="27">
        <v>0</v>
      </c>
      <c r="F305" s="27">
        <v>0</v>
      </c>
      <c r="G305" s="27">
        <v>28976.22</v>
      </c>
      <c r="H305" s="27">
        <v>55070.78</v>
      </c>
      <c r="I305" s="27">
        <v>34.47</v>
      </c>
      <c r="J305" s="27">
        <f>+K305-D305</f>
        <v>0</v>
      </c>
      <c r="K305" s="27">
        <f>VLOOKUP(A305,fin,4,FALSE)</f>
        <v>84047</v>
      </c>
      <c r="L305" s="27">
        <f t="shared" ref="L305" si="124">K305*4.5/100+K305</f>
        <v>87829.115000000005</v>
      </c>
      <c r="M305" s="107">
        <f t="shared" ref="M305:M307" si="125">L305*4.6/100+L305</f>
        <v>91869.254290000012</v>
      </c>
      <c r="N305" s="133">
        <f t="shared" ref="N305:N307" si="126">M305*4.6/100+M305</f>
        <v>96095.239987340014</v>
      </c>
    </row>
    <row r="306" spans="1:14" s="28" customFormat="1" ht="14.25" x14ac:dyDescent="0.2">
      <c r="A306" s="25" t="s">
        <v>436</v>
      </c>
      <c r="B306" s="25" t="s">
        <v>1365</v>
      </c>
      <c r="C306" s="26" t="s">
        <v>235</v>
      </c>
      <c r="D306" s="27">
        <f>VLOOKUP(A306,fin,3,FALSE)</f>
        <v>400000</v>
      </c>
      <c r="E306" s="27">
        <v>195500</v>
      </c>
      <c r="F306" s="27">
        <v>0</v>
      </c>
      <c r="G306" s="27">
        <v>446611.24</v>
      </c>
      <c r="H306" s="27">
        <v>13388.76</v>
      </c>
      <c r="I306" s="27">
        <v>97.08</v>
      </c>
      <c r="J306" s="27">
        <f>+K306-D306</f>
        <v>60000.000000000116</v>
      </c>
      <c r="K306" s="27">
        <f>VLOOKUP(A306,fin,4,FALSE)</f>
        <v>460000.00000000012</v>
      </c>
      <c r="L306" s="27">
        <v>800000</v>
      </c>
      <c r="M306" s="107">
        <f t="shared" si="125"/>
        <v>836800</v>
      </c>
      <c r="N306" s="133">
        <f t="shared" si="126"/>
        <v>875292.8</v>
      </c>
    </row>
    <row r="307" spans="1:14" s="28" customFormat="1" ht="14.25" x14ac:dyDescent="0.2">
      <c r="A307" s="25" t="s">
        <v>437</v>
      </c>
      <c r="B307" s="25" t="s">
        <v>1366</v>
      </c>
      <c r="C307" s="26" t="s">
        <v>235</v>
      </c>
      <c r="D307" s="27">
        <f>VLOOKUP(A307,fin,3,FALSE)</f>
        <v>600000</v>
      </c>
      <c r="E307" s="27">
        <v>52764</v>
      </c>
      <c r="F307" s="27">
        <v>0</v>
      </c>
      <c r="G307" s="27">
        <v>347609.27</v>
      </c>
      <c r="H307" s="27">
        <v>192390.73</v>
      </c>
      <c r="I307" s="27">
        <v>64.37</v>
      </c>
      <c r="J307" s="27">
        <f>+K307-D307</f>
        <v>-60000.000000000116</v>
      </c>
      <c r="K307" s="27">
        <f>VLOOKUP(A307,fin,4,FALSE)</f>
        <v>539999.99999999988</v>
      </c>
      <c r="L307" s="27">
        <v>700000</v>
      </c>
      <c r="M307" s="107">
        <f t="shared" si="125"/>
        <v>732200</v>
      </c>
      <c r="N307" s="133">
        <f t="shared" si="126"/>
        <v>765881.2</v>
      </c>
    </row>
    <row r="308" spans="1:14" s="28" customFormat="1" ht="14.25" x14ac:dyDescent="0.2">
      <c r="A308" s="25"/>
      <c r="B308" s="25"/>
      <c r="C308" s="26"/>
      <c r="D308" s="27"/>
      <c r="E308" s="27"/>
      <c r="F308" s="27"/>
      <c r="G308" s="27"/>
      <c r="H308" s="27"/>
      <c r="I308" s="27"/>
      <c r="J308" s="27"/>
      <c r="K308" s="27"/>
      <c r="L308" s="27"/>
      <c r="M308" s="107"/>
      <c r="N308" s="133"/>
    </row>
    <row r="309" spans="1:14" s="24" customFormat="1" x14ac:dyDescent="0.25">
      <c r="A309" s="20"/>
      <c r="B309" s="20"/>
      <c r="C309" s="21" t="s">
        <v>239</v>
      </c>
      <c r="D309" s="22">
        <f>SUM(D305:D308)</f>
        <v>1084047</v>
      </c>
      <c r="E309" s="22">
        <f>SUM(E305:E308)</f>
        <v>248264</v>
      </c>
      <c r="F309" s="22">
        <f>SUM(F305:F308)</f>
        <v>0</v>
      </c>
      <c r="G309" s="22">
        <f>SUM(G305:G308)</f>
        <v>823196.73</v>
      </c>
      <c r="H309" s="22">
        <f>SUM(H305:H308)</f>
        <v>260850.27000000002</v>
      </c>
      <c r="I309" s="22">
        <v>75.930000000000007</v>
      </c>
      <c r="J309" s="27">
        <f>+K309-D309</f>
        <v>0</v>
      </c>
      <c r="K309" s="22">
        <f>SUM(K305:K308)</f>
        <v>1084047</v>
      </c>
      <c r="L309" s="22">
        <f>SUM(L305:L308)</f>
        <v>1587829.115</v>
      </c>
      <c r="M309" s="134">
        <f>SUM(M305:M308)</f>
        <v>1660869.2542900001</v>
      </c>
      <c r="N309" s="134">
        <f>SUM(N305:N308)</f>
        <v>1737269.2399873401</v>
      </c>
    </row>
    <row r="310" spans="1:14" s="24" customFormat="1" x14ac:dyDescent="0.25">
      <c r="A310" s="20"/>
      <c r="B310" s="20"/>
      <c r="C310" s="21"/>
      <c r="D310" s="22"/>
      <c r="E310" s="22"/>
      <c r="F310" s="22"/>
      <c r="G310" s="22"/>
      <c r="H310" s="22"/>
      <c r="I310" s="22"/>
      <c r="J310" s="27"/>
      <c r="K310" s="22"/>
      <c r="L310" s="22"/>
      <c r="M310" s="134"/>
      <c r="N310" s="132"/>
    </row>
    <row r="311" spans="1:14" s="24" customFormat="1" x14ac:dyDescent="0.25">
      <c r="A311" s="20"/>
      <c r="B311" s="20"/>
      <c r="C311" s="21" t="s">
        <v>240</v>
      </c>
      <c r="D311" s="22">
        <f>D309</f>
        <v>1084047</v>
      </c>
      <c r="E311" s="22">
        <f t="shared" ref="E311:N311" si="127">E309</f>
        <v>248264</v>
      </c>
      <c r="F311" s="22">
        <f t="shared" si="127"/>
        <v>0</v>
      </c>
      <c r="G311" s="22">
        <f t="shared" si="127"/>
        <v>823196.73</v>
      </c>
      <c r="H311" s="22">
        <f t="shared" si="127"/>
        <v>260850.27000000002</v>
      </c>
      <c r="I311" s="22">
        <v>75.930000000000007</v>
      </c>
      <c r="J311" s="27">
        <f>+K311-D311</f>
        <v>0</v>
      </c>
      <c r="K311" s="22">
        <f t="shared" si="127"/>
        <v>1084047</v>
      </c>
      <c r="L311" s="22">
        <f t="shared" si="127"/>
        <v>1587829.115</v>
      </c>
      <c r="M311" s="134">
        <f t="shared" si="127"/>
        <v>1660869.2542900001</v>
      </c>
      <c r="N311" s="134">
        <f t="shared" si="127"/>
        <v>1737269.2399873401</v>
      </c>
    </row>
    <row r="312" spans="1:14" s="24" customFormat="1" x14ac:dyDescent="0.25">
      <c r="A312" s="20"/>
      <c r="B312" s="20"/>
      <c r="C312" s="21"/>
      <c r="D312" s="22"/>
      <c r="E312" s="22"/>
      <c r="F312" s="22"/>
      <c r="G312" s="22"/>
      <c r="H312" s="22"/>
      <c r="I312" s="22"/>
      <c r="J312" s="27"/>
      <c r="K312" s="27"/>
      <c r="L312" s="22"/>
      <c r="M312" s="134"/>
      <c r="N312" s="132"/>
    </row>
    <row r="313" spans="1:14" s="24" customFormat="1" x14ac:dyDescent="0.25">
      <c r="A313" s="20"/>
      <c r="B313" s="20"/>
      <c r="C313" s="21" t="s">
        <v>241</v>
      </c>
      <c r="D313" s="22"/>
      <c r="E313" s="22"/>
      <c r="F313" s="22"/>
      <c r="G313" s="22"/>
      <c r="H313" s="22"/>
      <c r="I313" s="22"/>
      <c r="J313" s="27"/>
      <c r="K313" s="27"/>
      <c r="L313" s="22"/>
      <c r="M313" s="134"/>
      <c r="N313" s="132"/>
    </row>
    <row r="314" spans="1:14" s="28" customFormat="1" ht="14.25" x14ac:dyDescent="0.2">
      <c r="A314" s="25"/>
      <c r="B314" s="25"/>
      <c r="C314" s="26"/>
      <c r="D314" s="27"/>
      <c r="E314" s="27"/>
      <c r="F314" s="27"/>
      <c r="G314" s="27"/>
      <c r="H314" s="27"/>
      <c r="I314" s="27"/>
      <c r="J314" s="27"/>
      <c r="K314" s="27"/>
      <c r="L314" s="27"/>
      <c r="M314" s="107"/>
      <c r="N314" s="133"/>
    </row>
    <row r="315" spans="1:14" s="28" customFormat="1" ht="14.25" x14ac:dyDescent="0.2">
      <c r="A315" s="25" t="s">
        <v>438</v>
      </c>
      <c r="B315" s="25"/>
      <c r="C315" s="26" t="s">
        <v>249</v>
      </c>
      <c r="D315" s="27">
        <f>VLOOKUP(A315,fin,3,FALSE)</f>
        <v>1497385</v>
      </c>
      <c r="E315" s="27">
        <v>1877.85</v>
      </c>
      <c r="F315" s="27">
        <v>0</v>
      </c>
      <c r="G315" s="27">
        <v>747953.79</v>
      </c>
      <c r="H315" s="27">
        <v>749431.21</v>
      </c>
      <c r="I315" s="27">
        <v>49.95</v>
      </c>
      <c r="J315" s="27">
        <f>+K315-D315</f>
        <v>200000</v>
      </c>
      <c r="K315" s="27">
        <f>VLOOKUP(A315,fin,4,FALSE)</f>
        <v>1697385</v>
      </c>
      <c r="L315" s="27">
        <v>1700000</v>
      </c>
      <c r="M315" s="107">
        <f t="shared" ref="M315:M317" si="128">L315*4.6/100+L315</f>
        <v>1778200</v>
      </c>
      <c r="N315" s="133">
        <f t="shared" ref="N315:N317" si="129">M315*4.6/100+M315</f>
        <v>1859997.2</v>
      </c>
    </row>
    <row r="316" spans="1:14" s="28" customFormat="1" ht="14.25" x14ac:dyDescent="0.2">
      <c r="A316" s="25" t="s">
        <v>439</v>
      </c>
      <c r="B316" s="25"/>
      <c r="C316" s="26" t="s">
        <v>265</v>
      </c>
      <c r="D316" s="27">
        <f>VLOOKUP(A316,fin,3,FALSE)</f>
        <v>0</v>
      </c>
      <c r="E316" s="27">
        <v>1248.05</v>
      </c>
      <c r="F316" s="27">
        <v>0</v>
      </c>
      <c r="G316" s="27">
        <v>7193.06</v>
      </c>
      <c r="H316" s="27">
        <v>-7193.06</v>
      </c>
      <c r="I316" s="27">
        <v>0</v>
      </c>
      <c r="J316" s="27">
        <f>+K316-D316</f>
        <v>15000</v>
      </c>
      <c r="K316" s="27">
        <f>VLOOKUP(A316,fin,4,FALSE)</f>
        <v>15000</v>
      </c>
      <c r="L316" s="27">
        <f t="shared" ref="L316:L317" si="130">K316*4.5/100+K316</f>
        <v>15675</v>
      </c>
      <c r="M316" s="107">
        <f t="shared" si="128"/>
        <v>16396.05</v>
      </c>
      <c r="N316" s="133">
        <f t="shared" si="129"/>
        <v>17150.2683</v>
      </c>
    </row>
    <row r="317" spans="1:14" s="28" customFormat="1" ht="14.25" x14ac:dyDescent="0.2">
      <c r="A317" s="25" t="s">
        <v>440</v>
      </c>
      <c r="B317" s="25"/>
      <c r="C317" s="26" t="s">
        <v>268</v>
      </c>
      <c r="D317" s="27">
        <f>VLOOKUP(A317,fin,3,FALSE)</f>
        <v>0</v>
      </c>
      <c r="E317" s="27">
        <v>0</v>
      </c>
      <c r="F317" s="27">
        <v>0</v>
      </c>
      <c r="G317" s="27">
        <v>14967.14</v>
      </c>
      <c r="H317" s="27">
        <v>-14967.14</v>
      </c>
      <c r="I317" s="27">
        <v>0</v>
      </c>
      <c r="J317" s="27">
        <f>+K317-D317</f>
        <v>35000</v>
      </c>
      <c r="K317" s="27">
        <f>VLOOKUP(A317,fin,4,FALSE)</f>
        <v>35000</v>
      </c>
      <c r="L317" s="27">
        <f t="shared" si="130"/>
        <v>36575</v>
      </c>
      <c r="M317" s="107">
        <f t="shared" si="128"/>
        <v>38257.449999999997</v>
      </c>
      <c r="N317" s="133">
        <f t="shared" si="129"/>
        <v>40017.292699999998</v>
      </c>
    </row>
    <row r="318" spans="1:14" s="28" customFormat="1" ht="14.25" x14ac:dyDescent="0.2">
      <c r="A318" s="25"/>
      <c r="B318" s="25"/>
      <c r="C318" s="26"/>
      <c r="D318" s="27"/>
      <c r="E318" s="27"/>
      <c r="F318" s="27"/>
      <c r="G318" s="27"/>
      <c r="H318" s="27"/>
      <c r="I318" s="27"/>
      <c r="J318" s="27"/>
      <c r="K318" s="27"/>
      <c r="L318" s="27"/>
      <c r="M318" s="107"/>
      <c r="N318" s="27"/>
    </row>
    <row r="319" spans="1:14" s="24" customFormat="1" x14ac:dyDescent="0.25">
      <c r="A319" s="20"/>
      <c r="B319" s="20"/>
      <c r="C319" s="21" t="s">
        <v>274</v>
      </c>
      <c r="D319" s="22">
        <f>SUM(D315:D318)</f>
        <v>1497385</v>
      </c>
      <c r="E319" s="22">
        <f>SUM(E315:E318)</f>
        <v>3125.8999999999996</v>
      </c>
      <c r="F319" s="22">
        <f>SUM(F315:F318)</f>
        <v>0</v>
      </c>
      <c r="G319" s="22">
        <f>SUM(G315:G318)</f>
        <v>770113.99000000011</v>
      </c>
      <c r="H319" s="22">
        <f>SUM(H315:H318)</f>
        <v>727271.00999999989</v>
      </c>
      <c r="I319" s="22">
        <v>51.43</v>
      </c>
      <c r="J319" s="27">
        <f>+K319-D319</f>
        <v>250000</v>
      </c>
      <c r="K319" s="22">
        <f>SUM(K315:K318)</f>
        <v>1747385</v>
      </c>
      <c r="L319" s="22">
        <f>SUM(L315:L318)</f>
        <v>1752250</v>
      </c>
      <c r="M319" s="134">
        <f>SUM(M315:M318)</f>
        <v>1832853.5</v>
      </c>
      <c r="N319" s="134">
        <f>SUM(N315:N318)</f>
        <v>1917164.7610000002</v>
      </c>
    </row>
    <row r="320" spans="1:14" s="24" customFormat="1" x14ac:dyDescent="0.25">
      <c r="A320" s="20"/>
      <c r="B320" s="20"/>
      <c r="C320" s="21"/>
      <c r="D320" s="22"/>
      <c r="E320" s="22"/>
      <c r="F320" s="22"/>
      <c r="G320" s="22"/>
      <c r="H320" s="22"/>
      <c r="I320" s="22"/>
      <c r="J320" s="27"/>
      <c r="K320" s="27"/>
      <c r="L320" s="22"/>
      <c r="M320" s="134"/>
      <c r="N320" s="22"/>
    </row>
    <row r="321" spans="1:14" s="24" customFormat="1" x14ac:dyDescent="0.25">
      <c r="A321" s="20"/>
      <c r="B321" s="20"/>
      <c r="C321" s="21" t="s">
        <v>290</v>
      </c>
      <c r="D321" s="22"/>
      <c r="E321" s="22"/>
      <c r="F321" s="22"/>
      <c r="G321" s="22"/>
      <c r="H321" s="22"/>
      <c r="I321" s="22"/>
      <c r="J321" s="27"/>
      <c r="K321" s="27"/>
      <c r="L321" s="22"/>
      <c r="M321" s="134"/>
      <c r="N321" s="22"/>
    </row>
    <row r="322" spans="1:14" s="28" customFormat="1" ht="14.25" x14ac:dyDescent="0.2">
      <c r="A322" s="25"/>
      <c r="B322" s="25"/>
      <c r="C322" s="26"/>
      <c r="D322" s="27"/>
      <c r="E322" s="27"/>
      <c r="F322" s="27"/>
      <c r="G322" s="27"/>
      <c r="H322" s="27"/>
      <c r="I322" s="27"/>
      <c r="J322" s="27"/>
      <c r="K322" s="27"/>
      <c r="L322" s="27"/>
      <c r="M322" s="107"/>
      <c r="N322" s="27"/>
    </row>
    <row r="323" spans="1:14" s="28" customFormat="1" ht="14.25" x14ac:dyDescent="0.2">
      <c r="A323" s="25" t="s">
        <v>441</v>
      </c>
      <c r="B323" s="25"/>
      <c r="C323" s="26" t="s">
        <v>291</v>
      </c>
      <c r="D323" s="27">
        <f>VLOOKUP(A323,fin,3,FALSE)</f>
        <v>3371</v>
      </c>
      <c r="E323" s="27">
        <v>9285.52</v>
      </c>
      <c r="F323" s="27">
        <v>0</v>
      </c>
      <c r="G323" s="27">
        <v>25943.09</v>
      </c>
      <c r="H323" s="27">
        <v>-22572.09</v>
      </c>
      <c r="I323" s="27">
        <v>769.59</v>
      </c>
      <c r="J323" s="27">
        <f>+K323-D323</f>
        <v>0</v>
      </c>
      <c r="K323" s="27">
        <f>VLOOKUP(A323,fin,4,FALSE)</f>
        <v>3371</v>
      </c>
      <c r="L323" s="27">
        <f t="shared" ref="L323:L325" si="131">K323*4.5/100+K323</f>
        <v>3522.6950000000002</v>
      </c>
      <c r="M323" s="107">
        <f t="shared" ref="M323:M325" si="132">L323*4.6/100+L323</f>
        <v>3684.7389700000003</v>
      </c>
      <c r="N323" s="133">
        <f t="shared" ref="N323:N325" si="133">M323*4.6/100+M323</f>
        <v>3854.2369626200002</v>
      </c>
    </row>
    <row r="324" spans="1:14" s="28" customFormat="1" ht="14.25" x14ac:dyDescent="0.2">
      <c r="A324" s="25" t="s">
        <v>442</v>
      </c>
      <c r="B324" s="25"/>
      <c r="C324" s="26" t="s">
        <v>292</v>
      </c>
      <c r="D324" s="27">
        <f>VLOOKUP(A324,fin,3,FALSE)</f>
        <v>92300</v>
      </c>
      <c r="E324" s="27">
        <v>50623.56</v>
      </c>
      <c r="F324" s="27">
        <v>0</v>
      </c>
      <c r="G324" s="27">
        <v>134807.10999999999</v>
      </c>
      <c r="H324" s="27">
        <v>-42507.11</v>
      </c>
      <c r="I324" s="27">
        <v>146.05000000000001</v>
      </c>
      <c r="J324" s="27">
        <f>+K324-D324</f>
        <v>0</v>
      </c>
      <c r="K324" s="27">
        <f>VLOOKUP(A324,fin,4,FALSE)</f>
        <v>92300</v>
      </c>
      <c r="L324" s="27">
        <f t="shared" si="131"/>
        <v>96453.5</v>
      </c>
      <c r="M324" s="107">
        <f t="shared" si="132"/>
        <v>100890.361</v>
      </c>
      <c r="N324" s="133">
        <f t="shared" si="133"/>
        <v>105531.317606</v>
      </c>
    </row>
    <row r="325" spans="1:14" s="28" customFormat="1" ht="14.25" x14ac:dyDescent="0.2">
      <c r="A325" s="25" t="s">
        <v>443</v>
      </c>
      <c r="B325" s="25"/>
      <c r="C325" s="26" t="s">
        <v>293</v>
      </c>
      <c r="D325" s="27">
        <f>VLOOKUP(A325,fin,3,FALSE)</f>
        <v>438975</v>
      </c>
      <c r="E325" s="27">
        <v>131600.20000000001</v>
      </c>
      <c r="F325" s="27">
        <v>0</v>
      </c>
      <c r="G325" s="27">
        <v>263250.40000000002</v>
      </c>
      <c r="H325" s="27">
        <v>175724.6</v>
      </c>
      <c r="I325" s="27">
        <v>59.96</v>
      </c>
      <c r="J325" s="27">
        <f>+K325-D325</f>
        <v>0</v>
      </c>
      <c r="K325" s="27">
        <f>VLOOKUP(A325,fin,4,FALSE)</f>
        <v>438975</v>
      </c>
      <c r="L325" s="27">
        <f t="shared" si="131"/>
        <v>458728.875</v>
      </c>
      <c r="M325" s="107">
        <f t="shared" si="132"/>
        <v>479830.40324999997</v>
      </c>
      <c r="N325" s="133">
        <f t="shared" si="133"/>
        <v>501902.60179949994</v>
      </c>
    </row>
    <row r="326" spans="1:14" s="28" customFormat="1" ht="14.25" x14ac:dyDescent="0.2">
      <c r="A326" s="25"/>
      <c r="B326" s="25"/>
      <c r="C326" s="26"/>
      <c r="D326" s="27"/>
      <c r="E326" s="27"/>
      <c r="F326" s="27"/>
      <c r="G326" s="27"/>
      <c r="H326" s="27"/>
      <c r="I326" s="27"/>
      <c r="J326" s="27"/>
      <c r="K326" s="27"/>
      <c r="L326" s="27"/>
      <c r="M326" s="107"/>
      <c r="N326" s="133"/>
    </row>
    <row r="327" spans="1:14" s="24" customFormat="1" x14ac:dyDescent="0.25">
      <c r="A327" s="20"/>
      <c r="B327" s="20"/>
      <c r="C327" s="21" t="s">
        <v>304</v>
      </c>
      <c r="D327" s="22">
        <f>SUM(D323:D326)</f>
        <v>534646</v>
      </c>
      <c r="E327" s="22">
        <f>SUM(E323:E326)</f>
        <v>191509.28000000003</v>
      </c>
      <c r="F327" s="22">
        <f>SUM(F323:F326)</f>
        <v>0</v>
      </c>
      <c r="G327" s="22">
        <f>SUM(G323:G326)</f>
        <v>424000.6</v>
      </c>
      <c r="H327" s="22">
        <f>SUM(H323:H326)</f>
        <v>110645.40000000001</v>
      </c>
      <c r="I327" s="22">
        <v>79.3</v>
      </c>
      <c r="J327" s="27">
        <f>+K327-D327</f>
        <v>0</v>
      </c>
      <c r="K327" s="22">
        <f>SUM(K323:K326)</f>
        <v>534646</v>
      </c>
      <c r="L327" s="22">
        <f>SUM(L323:L326)</f>
        <v>558705.07000000007</v>
      </c>
      <c r="M327" s="134">
        <f>SUM(M323:M326)</f>
        <v>584405.50321999996</v>
      </c>
      <c r="N327" s="134">
        <f>SUM(N323:N326)</f>
        <v>611288.15636811987</v>
      </c>
    </row>
    <row r="328" spans="1:14" s="24" customFormat="1" x14ac:dyDescent="0.25">
      <c r="A328" s="20"/>
      <c r="B328" s="20"/>
      <c r="C328" s="21"/>
      <c r="D328" s="22"/>
      <c r="E328" s="22"/>
      <c r="F328" s="22"/>
      <c r="G328" s="22"/>
      <c r="H328" s="22"/>
      <c r="I328" s="22"/>
      <c r="J328" s="27"/>
      <c r="K328" s="22"/>
      <c r="L328" s="22"/>
      <c r="M328" s="134"/>
      <c r="N328" s="132"/>
    </row>
    <row r="329" spans="1:14" s="24" customFormat="1" x14ac:dyDescent="0.25">
      <c r="A329" s="20"/>
      <c r="B329" s="20"/>
      <c r="C329" s="21" t="s">
        <v>305</v>
      </c>
      <c r="D329" s="22">
        <f>D299+D311+D319+D327</f>
        <v>4733301</v>
      </c>
      <c r="E329" s="22">
        <f>E299+E311+E319+E327</f>
        <v>593379.07000000007</v>
      </c>
      <c r="F329" s="22">
        <f>F299+F311+F319+F327</f>
        <v>0</v>
      </c>
      <c r="G329" s="22">
        <f>G299+G311+G319+G327</f>
        <v>2885805.7600000002</v>
      </c>
      <c r="H329" s="22">
        <f>H299+H311+H319+H327</f>
        <v>1847495.2399999998</v>
      </c>
      <c r="I329" s="22">
        <v>60.96</v>
      </c>
      <c r="J329" s="27">
        <f>+K329-D329</f>
        <v>234980.71999999974</v>
      </c>
      <c r="K329" s="22">
        <f>K299+K311+K319+K327</f>
        <v>4968281.72</v>
      </c>
      <c r="L329" s="22">
        <f>L299+L311+L319+L327</f>
        <v>5601125.6375000002</v>
      </c>
      <c r="M329" s="134">
        <f>M299+M311+M319+M327</f>
        <v>5899633.6116850004</v>
      </c>
      <c r="N329" s="134">
        <f>N299+N311+N319+N327</f>
        <v>6214732.8863227097</v>
      </c>
    </row>
    <row r="330" spans="1:14" s="24" customFormat="1" x14ac:dyDescent="0.25">
      <c r="A330" s="20"/>
      <c r="B330" s="20"/>
      <c r="C330" s="21"/>
      <c r="D330" s="22"/>
      <c r="E330" s="22"/>
      <c r="F330" s="22"/>
      <c r="G330" s="22"/>
      <c r="H330" s="22"/>
      <c r="I330" s="22"/>
      <c r="J330" s="27"/>
      <c r="K330" s="22"/>
      <c r="L330" s="22"/>
      <c r="M330" s="134"/>
      <c r="N330" s="132"/>
    </row>
    <row r="331" spans="1:14" s="24" customFormat="1" x14ac:dyDescent="0.25">
      <c r="A331" s="20"/>
      <c r="B331" s="20"/>
      <c r="C331" s="21" t="s">
        <v>306</v>
      </c>
      <c r="D331" s="22">
        <f>D329</f>
        <v>4733301</v>
      </c>
      <c r="E331" s="22">
        <f t="shared" ref="E331:N331" si="134">E329</f>
        <v>593379.07000000007</v>
      </c>
      <c r="F331" s="22">
        <f t="shared" si="134"/>
        <v>0</v>
      </c>
      <c r="G331" s="22">
        <f t="shared" si="134"/>
        <v>2885805.7600000002</v>
      </c>
      <c r="H331" s="22">
        <f t="shared" si="134"/>
        <v>1847495.2399999998</v>
      </c>
      <c r="I331" s="22">
        <v>60.96</v>
      </c>
      <c r="J331" s="27">
        <f>+K331-D331</f>
        <v>234980.71999999974</v>
      </c>
      <c r="K331" s="22">
        <f t="shared" si="134"/>
        <v>4968281.72</v>
      </c>
      <c r="L331" s="22">
        <f t="shared" si="134"/>
        <v>5601125.6375000002</v>
      </c>
      <c r="M331" s="134">
        <f t="shared" si="134"/>
        <v>5899633.6116850004</v>
      </c>
      <c r="N331" s="134">
        <f t="shared" si="134"/>
        <v>6214732.8863227097</v>
      </c>
    </row>
    <row r="332" spans="1:14" s="28" customFormat="1" ht="14.25" x14ac:dyDescent="0.2">
      <c r="A332" s="25"/>
      <c r="B332" s="25"/>
      <c r="C332" s="26"/>
      <c r="D332" s="27"/>
      <c r="E332" s="27"/>
      <c r="F332" s="27"/>
      <c r="G332" s="27"/>
      <c r="H332" s="27"/>
      <c r="I332" s="27"/>
      <c r="J332" s="27"/>
      <c r="K332" s="27"/>
      <c r="L332" s="27"/>
      <c r="M332" s="107"/>
      <c r="N332" s="133"/>
    </row>
    <row r="333" spans="1:14" s="24" customFormat="1" x14ac:dyDescent="0.25">
      <c r="A333" s="20"/>
      <c r="B333" s="20"/>
      <c r="C333" s="21" t="s">
        <v>308</v>
      </c>
      <c r="D333" s="22"/>
      <c r="E333" s="22"/>
      <c r="F333" s="22"/>
      <c r="G333" s="22"/>
      <c r="H333" s="22"/>
      <c r="I333" s="22"/>
      <c r="J333" s="27"/>
      <c r="K333" s="27"/>
      <c r="L333" s="22"/>
      <c r="M333" s="134"/>
      <c r="N333" s="132"/>
    </row>
    <row r="334" spans="1:14" s="28" customFormat="1" ht="14.25" x14ac:dyDescent="0.2">
      <c r="A334" s="25"/>
      <c r="B334" s="25"/>
      <c r="C334" s="26"/>
      <c r="D334" s="27"/>
      <c r="E334" s="27"/>
      <c r="F334" s="27"/>
      <c r="G334" s="27"/>
      <c r="H334" s="27"/>
      <c r="I334" s="27"/>
      <c r="J334" s="27"/>
      <c r="K334" s="27"/>
      <c r="L334" s="27"/>
      <c r="M334" s="107"/>
      <c r="N334" s="133"/>
    </row>
    <row r="335" spans="1:14" s="28" customFormat="1" ht="14.25" x14ac:dyDescent="0.2">
      <c r="A335" s="25" t="s">
        <v>444</v>
      </c>
      <c r="B335" s="25"/>
      <c r="C335" s="26" t="s">
        <v>445</v>
      </c>
      <c r="D335" s="27">
        <f>VLOOKUP(A335,fin,3,FALSE)</f>
        <v>600000</v>
      </c>
      <c r="E335" s="27">
        <v>0</v>
      </c>
      <c r="F335" s="27">
        <v>0</v>
      </c>
      <c r="G335" s="27">
        <v>79951.679999999993</v>
      </c>
      <c r="H335" s="27">
        <v>520048.32</v>
      </c>
      <c r="I335" s="27">
        <v>13.32</v>
      </c>
      <c r="J335" s="27">
        <f>+K335-D335</f>
        <v>0</v>
      </c>
      <c r="K335" s="27">
        <f>VLOOKUP(A335,fin,4,FALSE)</f>
        <v>600000</v>
      </c>
      <c r="L335" s="27">
        <f>VLOOKUP(A335,fin,5,FALSE)</f>
        <v>0</v>
      </c>
      <c r="M335" s="107">
        <f>VLOOKUP(A335,fin,6,FALSE)</f>
        <v>0</v>
      </c>
      <c r="N335" s="133">
        <v>0</v>
      </c>
    </row>
    <row r="336" spans="1:14" s="28" customFormat="1" ht="14.25" x14ac:dyDescent="0.2">
      <c r="A336" s="25"/>
      <c r="B336" s="25"/>
      <c r="C336" s="26" t="s">
        <v>1367</v>
      </c>
      <c r="D336" s="27">
        <v>0</v>
      </c>
      <c r="E336" s="27">
        <v>0</v>
      </c>
      <c r="F336" s="27">
        <v>0</v>
      </c>
      <c r="G336" s="27">
        <v>0</v>
      </c>
      <c r="H336" s="27">
        <v>0</v>
      </c>
      <c r="I336" s="27"/>
      <c r="J336" s="27"/>
      <c r="K336" s="27">
        <v>0</v>
      </c>
      <c r="L336" s="27">
        <v>2000000</v>
      </c>
      <c r="M336" s="107">
        <v>500000</v>
      </c>
      <c r="N336" s="133">
        <v>500000</v>
      </c>
    </row>
    <row r="337" spans="1:14" s="28" customFormat="1" ht="14.25" x14ac:dyDescent="0.2">
      <c r="A337" s="25" t="s">
        <v>446</v>
      </c>
      <c r="B337" s="25"/>
      <c r="C337" s="26" t="s">
        <v>3033</v>
      </c>
      <c r="D337" s="27">
        <f>VLOOKUP(A337,fin,3,FALSE)</f>
        <v>1100000</v>
      </c>
      <c r="E337" s="27">
        <v>196880</v>
      </c>
      <c r="F337" s="27">
        <v>0</v>
      </c>
      <c r="G337" s="27">
        <v>567480</v>
      </c>
      <c r="H337" s="27">
        <v>532520</v>
      </c>
      <c r="I337" s="27">
        <v>51.58</v>
      </c>
      <c r="J337" s="27">
        <f>+K337-D337</f>
        <v>0</v>
      </c>
      <c r="K337" s="27">
        <f>VLOOKUP(A337,fin,4,FALSE)</f>
        <v>1100000</v>
      </c>
      <c r="L337" s="27">
        <v>600000</v>
      </c>
      <c r="M337" s="107">
        <f>L337*6/100+L337</f>
        <v>636000</v>
      </c>
      <c r="N337" s="133">
        <f>M337*6/100+M337</f>
        <v>674160</v>
      </c>
    </row>
    <row r="338" spans="1:14" s="28" customFormat="1" ht="14.25" x14ac:dyDescent="0.2">
      <c r="A338" s="25"/>
      <c r="B338" s="25"/>
      <c r="C338" s="26"/>
      <c r="D338" s="27"/>
      <c r="E338" s="27"/>
      <c r="F338" s="27"/>
      <c r="G338" s="27"/>
      <c r="H338" s="27"/>
      <c r="I338" s="27"/>
      <c r="J338" s="27"/>
      <c r="K338" s="27"/>
      <c r="L338" s="27"/>
      <c r="M338" s="107"/>
      <c r="N338" s="133"/>
    </row>
    <row r="339" spans="1:14" s="24" customFormat="1" x14ac:dyDescent="0.25">
      <c r="A339" s="20"/>
      <c r="B339" s="20"/>
      <c r="C339" s="21" t="s">
        <v>320</v>
      </c>
      <c r="D339" s="22">
        <f>SUM(D335:D338)</f>
        <v>1700000</v>
      </c>
      <c r="E339" s="22">
        <f>SUM(E335:E338)</f>
        <v>196880</v>
      </c>
      <c r="F339" s="22">
        <f>SUM(F335:F338)</f>
        <v>0</v>
      </c>
      <c r="G339" s="22">
        <f>SUM(G335:G338)</f>
        <v>647431.67999999993</v>
      </c>
      <c r="H339" s="22">
        <f>SUM(H335:H338)</f>
        <v>1052568.32</v>
      </c>
      <c r="I339" s="22">
        <f>G339/D339*100</f>
        <v>38.084216470588231</v>
      </c>
      <c r="J339" s="27">
        <f>+K339-D339</f>
        <v>0</v>
      </c>
      <c r="K339" s="22">
        <f>SUM(K335:K338)</f>
        <v>1700000</v>
      </c>
      <c r="L339" s="22">
        <f>SUM(L335:L338)</f>
        <v>2600000</v>
      </c>
      <c r="M339" s="22">
        <f>SUM(M335:M338)</f>
        <v>1136000</v>
      </c>
      <c r="N339" s="22">
        <f>SUM(N335:N338)</f>
        <v>1174160</v>
      </c>
    </row>
    <row r="340" spans="1:14" s="28" customFormat="1" ht="14.25" x14ac:dyDescent="0.2">
      <c r="A340" s="25"/>
      <c r="B340" s="25"/>
      <c r="C340" s="26"/>
      <c r="D340" s="27"/>
      <c r="E340" s="27"/>
      <c r="F340" s="27"/>
      <c r="G340" s="27"/>
      <c r="H340" s="27"/>
      <c r="I340" s="27"/>
      <c r="J340" s="27"/>
      <c r="K340" s="27"/>
      <c r="L340" s="27"/>
      <c r="M340" s="107"/>
      <c r="N340" s="133"/>
    </row>
    <row r="341" spans="1:14" s="24" customFormat="1" x14ac:dyDescent="0.25">
      <c r="A341" s="20"/>
      <c r="B341" s="20"/>
      <c r="C341" s="21" t="s">
        <v>448</v>
      </c>
      <c r="D341" s="22"/>
      <c r="E341" s="22"/>
      <c r="F341" s="22"/>
      <c r="G341" s="22"/>
      <c r="H341" s="22"/>
      <c r="I341" s="22"/>
      <c r="J341" s="27"/>
      <c r="K341" s="27"/>
      <c r="L341" s="22"/>
      <c r="M341" s="134"/>
      <c r="N341" s="132"/>
    </row>
    <row r="342" spans="1:14" s="24" customFormat="1" x14ac:dyDescent="0.25">
      <c r="A342" s="20"/>
      <c r="B342" s="20"/>
      <c r="C342" s="21" t="s">
        <v>96</v>
      </c>
      <c r="D342" s="22"/>
      <c r="E342" s="22"/>
      <c r="F342" s="22"/>
      <c r="G342" s="22"/>
      <c r="H342" s="22"/>
      <c r="I342" s="22"/>
      <c r="J342" s="27"/>
      <c r="K342" s="27"/>
      <c r="L342" s="22"/>
      <c r="M342" s="134"/>
      <c r="N342" s="132"/>
    </row>
    <row r="343" spans="1:14" s="24" customFormat="1" x14ac:dyDescent="0.25">
      <c r="A343" s="20"/>
      <c r="B343" s="20"/>
      <c r="C343" s="21" t="s">
        <v>97</v>
      </c>
      <c r="D343" s="22"/>
      <c r="E343" s="22"/>
      <c r="F343" s="22"/>
      <c r="G343" s="22"/>
      <c r="H343" s="22"/>
      <c r="I343" s="22"/>
      <c r="J343" s="27"/>
      <c r="K343" s="27"/>
      <c r="L343" s="22"/>
      <c r="M343" s="134"/>
      <c r="N343" s="132"/>
    </row>
    <row r="344" spans="1:14" s="24" customFormat="1" x14ac:dyDescent="0.25">
      <c r="A344" s="20"/>
      <c r="B344" s="20"/>
      <c r="C344" s="21" t="s">
        <v>148</v>
      </c>
      <c r="D344" s="22"/>
      <c r="E344" s="22"/>
      <c r="F344" s="22"/>
      <c r="G344" s="22"/>
      <c r="H344" s="22"/>
      <c r="I344" s="22"/>
      <c r="J344" s="27"/>
      <c r="K344" s="27"/>
      <c r="L344" s="22"/>
      <c r="M344" s="134"/>
      <c r="N344" s="132"/>
    </row>
    <row r="345" spans="1:14" s="24" customFormat="1" x14ac:dyDescent="0.25">
      <c r="A345" s="20"/>
      <c r="B345" s="20"/>
      <c r="C345" s="21" t="s">
        <v>149</v>
      </c>
      <c r="D345" s="22"/>
      <c r="E345" s="22"/>
      <c r="F345" s="22"/>
      <c r="G345" s="22"/>
      <c r="H345" s="22"/>
      <c r="I345" s="22"/>
      <c r="J345" s="27"/>
      <c r="K345" s="27"/>
      <c r="L345" s="22"/>
      <c r="M345" s="134"/>
      <c r="N345" s="132"/>
    </row>
    <row r="346" spans="1:14" s="28" customFormat="1" ht="14.25" x14ac:dyDescent="0.2">
      <c r="A346" s="25"/>
      <c r="B346" s="25"/>
      <c r="C346" s="26"/>
      <c r="D346" s="27"/>
      <c r="E346" s="27"/>
      <c r="F346" s="27"/>
      <c r="G346" s="27"/>
      <c r="H346" s="27"/>
      <c r="I346" s="27"/>
      <c r="J346" s="27"/>
      <c r="K346" s="27"/>
      <c r="L346" s="27"/>
      <c r="M346" s="107"/>
      <c r="N346" s="133"/>
    </row>
    <row r="347" spans="1:14" s="28" customFormat="1" ht="14.25" x14ac:dyDescent="0.2">
      <c r="A347" s="25" t="s">
        <v>449</v>
      </c>
      <c r="B347" s="25"/>
      <c r="C347" s="26" t="s">
        <v>150</v>
      </c>
      <c r="D347" s="27">
        <f t="shared" ref="D347:D356" si="135">VLOOKUP(A347,fin,3,FALSE)</f>
        <v>1238187</v>
      </c>
      <c r="E347" s="27">
        <v>102521.85</v>
      </c>
      <c r="F347" s="27">
        <v>0</v>
      </c>
      <c r="G347" s="27">
        <v>626003.01</v>
      </c>
      <c r="H347" s="27">
        <v>612183.99</v>
      </c>
      <c r="I347" s="27">
        <v>50.55</v>
      </c>
      <c r="J347" s="27">
        <f t="shared" ref="J347:J356" si="136">+K347-D347</f>
        <v>0</v>
      </c>
      <c r="K347" s="27">
        <f t="shared" ref="K347:K356" si="137">VLOOKUP(A347,fin,4,FALSE)</f>
        <v>1238187</v>
      </c>
      <c r="L347" s="27">
        <f t="shared" ref="L347:L356" si="138">K347*6.25/100+K347</f>
        <v>1315573.6875</v>
      </c>
      <c r="M347" s="107">
        <f t="shared" ref="M347:M356" si="139">L347*7/100+L347</f>
        <v>1407663.8456250001</v>
      </c>
      <c r="N347" s="133">
        <f t="shared" ref="N347:N356" si="140">M347*7/100+M347</f>
        <v>1506200.3148187501</v>
      </c>
    </row>
    <row r="348" spans="1:14" s="28" customFormat="1" ht="14.25" x14ac:dyDescent="0.2">
      <c r="A348" s="25" t="s">
        <v>450</v>
      </c>
      <c r="B348" s="25"/>
      <c r="C348" s="26" t="s">
        <v>151</v>
      </c>
      <c r="D348" s="27">
        <f t="shared" si="135"/>
        <v>56405</v>
      </c>
      <c r="E348" s="27">
        <v>25401.27</v>
      </c>
      <c r="F348" s="27">
        <v>0</v>
      </c>
      <c r="G348" s="27">
        <v>102844.51</v>
      </c>
      <c r="H348" s="27">
        <v>-46439.51</v>
      </c>
      <c r="I348" s="27">
        <v>182.33</v>
      </c>
      <c r="J348" s="27">
        <f t="shared" si="136"/>
        <v>-31003.73000000001</v>
      </c>
      <c r="K348" s="27">
        <f t="shared" si="137"/>
        <v>25401.26999999999</v>
      </c>
      <c r="L348" s="27">
        <f t="shared" si="138"/>
        <v>26988.849374999991</v>
      </c>
      <c r="M348" s="107">
        <f t="shared" si="139"/>
        <v>28878.068831249991</v>
      </c>
      <c r="N348" s="133">
        <f t="shared" si="140"/>
        <v>30899.53364943749</v>
      </c>
    </row>
    <row r="349" spans="1:14" s="28" customFormat="1" ht="14.25" x14ac:dyDescent="0.2">
      <c r="A349" s="25" t="s">
        <v>451</v>
      </c>
      <c r="B349" s="25"/>
      <c r="C349" s="26" t="s">
        <v>152</v>
      </c>
      <c r="D349" s="27">
        <f t="shared" si="135"/>
        <v>52200</v>
      </c>
      <c r="E349" s="27">
        <v>4346.09</v>
      </c>
      <c r="F349" s="27">
        <v>0</v>
      </c>
      <c r="G349" s="27">
        <v>26076.54</v>
      </c>
      <c r="H349" s="27">
        <v>26123.46</v>
      </c>
      <c r="I349" s="27">
        <v>49.95</v>
      </c>
      <c r="J349" s="27">
        <f t="shared" si="136"/>
        <v>0</v>
      </c>
      <c r="K349" s="27">
        <f t="shared" si="137"/>
        <v>52200</v>
      </c>
      <c r="L349" s="27">
        <f t="shared" si="138"/>
        <v>55462.5</v>
      </c>
      <c r="M349" s="107">
        <f t="shared" si="139"/>
        <v>59344.875</v>
      </c>
      <c r="N349" s="133">
        <f t="shared" si="140"/>
        <v>63499.016250000001</v>
      </c>
    </row>
    <row r="350" spans="1:14" s="28" customFormat="1" ht="14.25" x14ac:dyDescent="0.2">
      <c r="A350" s="25" t="s">
        <v>452</v>
      </c>
      <c r="B350" s="25"/>
      <c r="C350" s="26" t="s">
        <v>153</v>
      </c>
      <c r="D350" s="27">
        <f t="shared" si="135"/>
        <v>10893</v>
      </c>
      <c r="E350" s="27">
        <v>0</v>
      </c>
      <c r="F350" s="27">
        <v>0</v>
      </c>
      <c r="G350" s="27">
        <v>0</v>
      </c>
      <c r="H350" s="27">
        <v>10893</v>
      </c>
      <c r="I350" s="27">
        <v>0</v>
      </c>
      <c r="J350" s="27">
        <f t="shared" si="136"/>
        <v>0</v>
      </c>
      <c r="K350" s="27">
        <f t="shared" si="137"/>
        <v>10893</v>
      </c>
      <c r="L350" s="27">
        <f t="shared" si="138"/>
        <v>11573.8125</v>
      </c>
      <c r="M350" s="107">
        <f t="shared" si="139"/>
        <v>12383.979375000001</v>
      </c>
      <c r="N350" s="133">
        <f t="shared" si="140"/>
        <v>13250.857931250001</v>
      </c>
    </row>
    <row r="351" spans="1:14" s="28" customFormat="1" ht="14.25" x14ac:dyDescent="0.2">
      <c r="A351" s="25" t="s">
        <v>453</v>
      </c>
      <c r="B351" s="25"/>
      <c r="C351" s="26" t="s">
        <v>155</v>
      </c>
      <c r="D351" s="27">
        <f t="shared" si="135"/>
        <v>40056</v>
      </c>
      <c r="E351" s="27">
        <v>0</v>
      </c>
      <c r="F351" s="27">
        <v>0</v>
      </c>
      <c r="G351" s="27">
        <v>0</v>
      </c>
      <c r="H351" s="27">
        <v>40056</v>
      </c>
      <c r="I351" s="27">
        <v>0</v>
      </c>
      <c r="J351" s="27">
        <f t="shared" si="136"/>
        <v>0</v>
      </c>
      <c r="K351" s="27">
        <f t="shared" si="137"/>
        <v>40056</v>
      </c>
      <c r="L351" s="27">
        <f t="shared" si="138"/>
        <v>42559.5</v>
      </c>
      <c r="M351" s="107">
        <f t="shared" si="139"/>
        <v>45538.665000000001</v>
      </c>
      <c r="N351" s="133">
        <f t="shared" si="140"/>
        <v>48726.371550000003</v>
      </c>
    </row>
    <row r="352" spans="1:14" s="28" customFormat="1" ht="14.25" x14ac:dyDescent="0.2">
      <c r="A352" s="25" t="s">
        <v>454</v>
      </c>
      <c r="B352" s="25"/>
      <c r="C352" s="26" t="s">
        <v>156</v>
      </c>
      <c r="D352" s="27">
        <f t="shared" si="135"/>
        <v>300547</v>
      </c>
      <c r="E352" s="27">
        <v>25276.16</v>
      </c>
      <c r="F352" s="27">
        <v>0</v>
      </c>
      <c r="G352" s="27">
        <v>150624.94</v>
      </c>
      <c r="H352" s="27">
        <v>149922.06</v>
      </c>
      <c r="I352" s="27">
        <v>50.11</v>
      </c>
      <c r="J352" s="27">
        <f t="shared" si="136"/>
        <v>0</v>
      </c>
      <c r="K352" s="27">
        <f t="shared" si="137"/>
        <v>300547</v>
      </c>
      <c r="L352" s="27">
        <f t="shared" si="138"/>
        <v>319331.1875</v>
      </c>
      <c r="M352" s="107">
        <f t="shared" si="139"/>
        <v>341684.37062499998</v>
      </c>
      <c r="N352" s="133">
        <f t="shared" si="140"/>
        <v>365602.27656874998</v>
      </c>
    </row>
    <row r="353" spans="1:14" s="28" customFormat="1" ht="14.25" x14ac:dyDescent="0.2">
      <c r="A353" s="25" t="s">
        <v>455</v>
      </c>
      <c r="B353" s="25"/>
      <c r="C353" s="26" t="s">
        <v>158</v>
      </c>
      <c r="D353" s="27">
        <f t="shared" si="135"/>
        <v>11405</v>
      </c>
      <c r="E353" s="27">
        <v>0</v>
      </c>
      <c r="F353" s="27">
        <v>0</v>
      </c>
      <c r="G353" s="27">
        <v>0</v>
      </c>
      <c r="H353" s="27">
        <v>11405</v>
      </c>
      <c r="I353" s="27">
        <v>0</v>
      </c>
      <c r="J353" s="27">
        <f t="shared" si="136"/>
        <v>0</v>
      </c>
      <c r="K353" s="27">
        <f t="shared" si="137"/>
        <v>11405</v>
      </c>
      <c r="L353" s="27">
        <f t="shared" si="138"/>
        <v>12117.8125</v>
      </c>
      <c r="M353" s="107">
        <f t="shared" si="139"/>
        <v>12966.059375000001</v>
      </c>
      <c r="N353" s="133">
        <f t="shared" si="140"/>
        <v>13873.683531250001</v>
      </c>
    </row>
    <row r="354" spans="1:14" s="28" customFormat="1" ht="14.25" x14ac:dyDescent="0.2">
      <c r="A354" s="25" t="s">
        <v>456</v>
      </c>
      <c r="B354" s="25"/>
      <c r="C354" s="26" t="s">
        <v>159</v>
      </c>
      <c r="D354" s="27">
        <f t="shared" si="135"/>
        <v>100182</v>
      </c>
      <c r="E354" s="27">
        <v>0</v>
      </c>
      <c r="F354" s="27">
        <v>0</v>
      </c>
      <c r="G354" s="27">
        <v>0</v>
      </c>
      <c r="H354" s="27">
        <v>100182</v>
      </c>
      <c r="I354" s="27">
        <v>0</v>
      </c>
      <c r="J354" s="27">
        <f t="shared" si="136"/>
        <v>0</v>
      </c>
      <c r="K354" s="27">
        <f t="shared" si="137"/>
        <v>100182</v>
      </c>
      <c r="L354" s="27">
        <f t="shared" si="138"/>
        <v>106443.375</v>
      </c>
      <c r="M354" s="107">
        <f t="shared" si="139"/>
        <v>113894.41125</v>
      </c>
      <c r="N354" s="133">
        <f t="shared" si="140"/>
        <v>121867.0200375</v>
      </c>
    </row>
    <row r="355" spans="1:14" s="28" customFormat="1" ht="14.25" x14ac:dyDescent="0.2">
      <c r="A355" s="25" t="s">
        <v>457</v>
      </c>
      <c r="B355" s="25"/>
      <c r="C355" s="26" t="s">
        <v>161</v>
      </c>
      <c r="D355" s="27">
        <f t="shared" si="135"/>
        <v>24284</v>
      </c>
      <c r="E355" s="27">
        <v>0</v>
      </c>
      <c r="F355" s="27">
        <v>0</v>
      </c>
      <c r="G355" s="27">
        <v>0</v>
      </c>
      <c r="H355" s="27">
        <v>24284</v>
      </c>
      <c r="I355" s="27">
        <v>0</v>
      </c>
      <c r="J355" s="27">
        <f t="shared" si="136"/>
        <v>0</v>
      </c>
      <c r="K355" s="27">
        <f t="shared" si="137"/>
        <v>24284</v>
      </c>
      <c r="L355" s="27">
        <f t="shared" si="138"/>
        <v>25801.75</v>
      </c>
      <c r="M355" s="107">
        <f t="shared" si="139"/>
        <v>27607.872500000001</v>
      </c>
      <c r="N355" s="133">
        <f t="shared" si="140"/>
        <v>29540.423575000001</v>
      </c>
    </row>
    <row r="356" spans="1:14" s="28" customFormat="1" ht="14.25" x14ac:dyDescent="0.2">
      <c r="A356" s="25" t="s">
        <v>458</v>
      </c>
      <c r="B356" s="25"/>
      <c r="C356" s="26" t="s">
        <v>164</v>
      </c>
      <c r="D356" s="27">
        <f t="shared" si="135"/>
        <v>15692</v>
      </c>
      <c r="E356" s="27">
        <v>1307.7</v>
      </c>
      <c r="F356" s="27">
        <v>0</v>
      </c>
      <c r="G356" s="27">
        <v>7846.2</v>
      </c>
      <c r="H356" s="27">
        <v>7845.8</v>
      </c>
      <c r="I356" s="27">
        <v>50</v>
      </c>
      <c r="J356" s="27">
        <f t="shared" si="136"/>
        <v>0</v>
      </c>
      <c r="K356" s="27">
        <f t="shared" si="137"/>
        <v>15692</v>
      </c>
      <c r="L356" s="27">
        <f t="shared" si="138"/>
        <v>16672.75</v>
      </c>
      <c r="M356" s="107">
        <f t="shared" si="139"/>
        <v>17839.842499999999</v>
      </c>
      <c r="N356" s="133">
        <f t="shared" si="140"/>
        <v>19088.631474999998</v>
      </c>
    </row>
    <row r="357" spans="1:14" s="28" customFormat="1" ht="14.25" x14ac:dyDescent="0.2">
      <c r="A357" s="25"/>
      <c r="B357" s="25"/>
      <c r="C357" s="26"/>
      <c r="D357" s="27"/>
      <c r="E357" s="27"/>
      <c r="F357" s="27"/>
      <c r="G357" s="27"/>
      <c r="H357" s="27"/>
      <c r="I357" s="27"/>
      <c r="J357" s="27"/>
      <c r="K357" s="27"/>
      <c r="L357" s="27"/>
      <c r="M357" s="107"/>
      <c r="N357" s="133"/>
    </row>
    <row r="358" spans="1:14" s="24" customFormat="1" x14ac:dyDescent="0.25">
      <c r="A358" s="20"/>
      <c r="B358" s="20"/>
      <c r="C358" s="21" t="s">
        <v>165</v>
      </c>
      <c r="D358" s="22">
        <f>SUM(D347:D357)</f>
        <v>1849851</v>
      </c>
      <c r="E358" s="22">
        <f>SUM(E347:E357)</f>
        <v>158853.07000000004</v>
      </c>
      <c r="F358" s="22">
        <f>SUM(F347:F357)</f>
        <v>0</v>
      </c>
      <c r="G358" s="22">
        <f>SUM(G347:G357)</f>
        <v>913395.19999999995</v>
      </c>
      <c r="H358" s="22">
        <f>SUM(H347:H357)</f>
        <v>936455.8</v>
      </c>
      <c r="I358" s="22">
        <v>49.37</v>
      </c>
      <c r="J358" s="27">
        <f>+K358-D358</f>
        <v>-31003.729999999981</v>
      </c>
      <c r="K358" s="22">
        <f>SUM(K347:K357)</f>
        <v>1818847.27</v>
      </c>
      <c r="L358" s="22">
        <f>SUM(L347:L357)</f>
        <v>1932525.224375</v>
      </c>
      <c r="M358" s="134">
        <f>SUM(M347:M357)</f>
        <v>2067801.9900812504</v>
      </c>
      <c r="N358" s="134">
        <f>SUM(N347:N357)</f>
        <v>2212548.1293869382</v>
      </c>
    </row>
    <row r="359" spans="1:14" s="24" customFormat="1" x14ac:dyDescent="0.25">
      <c r="A359" s="20"/>
      <c r="B359" s="20"/>
      <c r="C359" s="21"/>
      <c r="D359" s="22"/>
      <c r="E359" s="22"/>
      <c r="F359" s="22"/>
      <c r="G359" s="22"/>
      <c r="H359" s="22"/>
      <c r="I359" s="22"/>
      <c r="J359" s="27"/>
      <c r="K359" s="27"/>
      <c r="L359" s="22"/>
      <c r="M359" s="134"/>
      <c r="N359" s="132"/>
    </row>
    <row r="360" spans="1:14" s="24" customFormat="1" x14ac:dyDescent="0.25">
      <c r="A360" s="20"/>
      <c r="B360" s="20"/>
      <c r="C360" s="21" t="s">
        <v>166</v>
      </c>
      <c r="D360" s="22"/>
      <c r="E360" s="22"/>
      <c r="F360" s="22"/>
      <c r="G360" s="22"/>
      <c r="H360" s="22"/>
      <c r="I360" s="22"/>
      <c r="J360" s="27"/>
      <c r="K360" s="27"/>
      <c r="L360" s="22"/>
      <c r="M360" s="134"/>
      <c r="N360" s="132"/>
    </row>
    <row r="361" spans="1:14" s="28" customFormat="1" ht="14.25" x14ac:dyDescent="0.2">
      <c r="A361" s="25"/>
      <c r="B361" s="25"/>
      <c r="C361" s="26"/>
      <c r="D361" s="27"/>
      <c r="E361" s="27"/>
      <c r="F361" s="27"/>
      <c r="G361" s="27"/>
      <c r="H361" s="27"/>
      <c r="I361" s="27"/>
      <c r="J361" s="27"/>
      <c r="K361" s="27"/>
      <c r="L361" s="27"/>
      <c r="M361" s="107"/>
      <c r="N361" s="133"/>
    </row>
    <row r="362" spans="1:14" s="28" customFormat="1" ht="14.25" x14ac:dyDescent="0.2">
      <c r="A362" s="25" t="s">
        <v>459</v>
      </c>
      <c r="B362" s="25"/>
      <c r="C362" s="26" t="s">
        <v>167</v>
      </c>
      <c r="D362" s="27">
        <f>VLOOKUP(A362,fin,3,FALSE)</f>
        <v>337</v>
      </c>
      <c r="E362" s="27">
        <v>27.96</v>
      </c>
      <c r="F362" s="27">
        <v>0</v>
      </c>
      <c r="G362" s="27">
        <v>167.76</v>
      </c>
      <c r="H362" s="27">
        <v>169.24</v>
      </c>
      <c r="I362" s="27">
        <v>49.78</v>
      </c>
      <c r="J362" s="27">
        <f>+K362-D362</f>
        <v>0</v>
      </c>
      <c r="K362" s="27">
        <f>VLOOKUP(A362,fin,4,FALSE)</f>
        <v>337</v>
      </c>
      <c r="L362" s="27">
        <f t="shared" ref="L362:L365" si="141">K362*6.25/100+K362</f>
        <v>358.0625</v>
      </c>
      <c r="M362" s="107">
        <f t="shared" ref="M362:M365" si="142">L362*7/100+L362</f>
        <v>383.12687499999998</v>
      </c>
      <c r="N362" s="133">
        <f t="shared" ref="N362:N365" si="143">M362*7/100+M362</f>
        <v>409.94575624999999</v>
      </c>
    </row>
    <row r="363" spans="1:14" s="28" customFormat="1" ht="14.25" x14ac:dyDescent="0.2">
      <c r="A363" s="25" t="s">
        <v>460</v>
      </c>
      <c r="B363" s="25"/>
      <c r="C363" s="26" t="s">
        <v>168</v>
      </c>
      <c r="D363" s="27">
        <f>VLOOKUP(A363,fin,3,FALSE)</f>
        <v>161725</v>
      </c>
      <c r="E363" s="27">
        <v>7625.4</v>
      </c>
      <c r="F363" s="27">
        <v>0</v>
      </c>
      <c r="G363" s="27">
        <v>45752.4</v>
      </c>
      <c r="H363" s="27">
        <v>115972.6</v>
      </c>
      <c r="I363" s="27">
        <v>28.29</v>
      </c>
      <c r="J363" s="27">
        <f>+K363-D363</f>
        <v>0</v>
      </c>
      <c r="K363" s="27">
        <f>VLOOKUP(A363,fin,4,FALSE)</f>
        <v>161725</v>
      </c>
      <c r="L363" s="27">
        <f t="shared" si="141"/>
        <v>171832.8125</v>
      </c>
      <c r="M363" s="107">
        <f t="shared" si="142"/>
        <v>183861.109375</v>
      </c>
      <c r="N363" s="133">
        <f t="shared" si="143"/>
        <v>196731.38703124999</v>
      </c>
    </row>
    <row r="364" spans="1:14" s="28" customFormat="1" ht="14.25" x14ac:dyDescent="0.2">
      <c r="A364" s="25" t="s">
        <v>461</v>
      </c>
      <c r="B364" s="25"/>
      <c r="C364" s="26" t="s">
        <v>169</v>
      </c>
      <c r="D364" s="27">
        <f>VLOOKUP(A364,fin,3,FALSE)</f>
        <v>264481</v>
      </c>
      <c r="E364" s="27">
        <v>20617.39</v>
      </c>
      <c r="F364" s="27">
        <v>0</v>
      </c>
      <c r="G364" s="27">
        <v>122932.35</v>
      </c>
      <c r="H364" s="27">
        <v>141548.65</v>
      </c>
      <c r="I364" s="27">
        <v>46.48</v>
      </c>
      <c r="J364" s="27">
        <f>+K364-D364</f>
        <v>0</v>
      </c>
      <c r="K364" s="27">
        <f>VLOOKUP(A364,fin,4,FALSE)</f>
        <v>264481</v>
      </c>
      <c r="L364" s="27">
        <f t="shared" si="141"/>
        <v>281011.0625</v>
      </c>
      <c r="M364" s="107">
        <f t="shared" si="142"/>
        <v>300681.83687499998</v>
      </c>
      <c r="N364" s="133">
        <f t="shared" si="143"/>
        <v>321729.56545624998</v>
      </c>
    </row>
    <row r="365" spans="1:14" s="28" customFormat="1" ht="14.25" x14ac:dyDescent="0.2">
      <c r="A365" s="25" t="s">
        <v>462</v>
      </c>
      <c r="B365" s="25"/>
      <c r="C365" s="26" t="s">
        <v>170</v>
      </c>
      <c r="D365" s="27">
        <f>VLOOKUP(A365,fin,3,FALSE)</f>
        <v>5355</v>
      </c>
      <c r="E365" s="27">
        <v>446.16</v>
      </c>
      <c r="F365" s="27">
        <v>0</v>
      </c>
      <c r="G365" s="27">
        <v>2826.96</v>
      </c>
      <c r="H365" s="27">
        <v>2528.04</v>
      </c>
      <c r="I365" s="27">
        <v>52.79</v>
      </c>
      <c r="J365" s="27">
        <f>+K365-D365</f>
        <v>0</v>
      </c>
      <c r="K365" s="27">
        <f>VLOOKUP(A365,fin,4,FALSE)</f>
        <v>5355</v>
      </c>
      <c r="L365" s="27">
        <f t="shared" si="141"/>
        <v>5689.6875</v>
      </c>
      <c r="M365" s="107">
        <f t="shared" si="142"/>
        <v>6087.9656249999998</v>
      </c>
      <c r="N365" s="133">
        <f t="shared" si="143"/>
        <v>6514.12321875</v>
      </c>
    </row>
    <row r="366" spans="1:14" s="28" customFormat="1" ht="14.25" x14ac:dyDescent="0.2">
      <c r="A366" s="25"/>
      <c r="B366" s="25"/>
      <c r="C366" s="26"/>
      <c r="D366" s="27"/>
      <c r="E366" s="27"/>
      <c r="F366" s="27"/>
      <c r="G366" s="27"/>
      <c r="H366" s="27"/>
      <c r="I366" s="27"/>
      <c r="J366" s="27"/>
      <c r="K366" s="27"/>
      <c r="L366" s="27"/>
      <c r="M366" s="107"/>
      <c r="N366" s="133"/>
    </row>
    <row r="367" spans="1:14" s="24" customFormat="1" x14ac:dyDescent="0.25">
      <c r="A367" s="20"/>
      <c r="B367" s="20"/>
      <c r="C367" s="21" t="s">
        <v>171</v>
      </c>
      <c r="D367" s="22">
        <f>SUM(D362:D366)</f>
        <v>431898</v>
      </c>
      <c r="E367" s="22">
        <f>SUM(E362:E366)</f>
        <v>28716.91</v>
      </c>
      <c r="F367" s="22">
        <f>SUM(F362:F366)</f>
        <v>0</v>
      </c>
      <c r="G367" s="22">
        <f>SUM(G362:G366)</f>
        <v>171679.47</v>
      </c>
      <c r="H367" s="22">
        <f>SUM(H362:H366)</f>
        <v>260218.53</v>
      </c>
      <c r="I367" s="22">
        <v>39.75</v>
      </c>
      <c r="J367" s="27">
        <f>+K367-D367</f>
        <v>0</v>
      </c>
      <c r="K367" s="22">
        <f>SUM(K362:K366)</f>
        <v>431898</v>
      </c>
      <c r="L367" s="22">
        <f>SUM(L362:L366)</f>
        <v>458891.625</v>
      </c>
      <c r="M367" s="134">
        <f>SUM(M362:M366)</f>
        <v>491014.03875000001</v>
      </c>
      <c r="N367" s="134">
        <f>SUM(N362:N366)</f>
        <v>525385.02146249998</v>
      </c>
    </row>
    <row r="368" spans="1:14" s="24" customFormat="1" x14ac:dyDescent="0.25">
      <c r="A368" s="20"/>
      <c r="B368" s="20"/>
      <c r="C368" s="21"/>
      <c r="D368" s="22"/>
      <c r="E368" s="22"/>
      <c r="F368" s="22"/>
      <c r="G368" s="22"/>
      <c r="H368" s="22"/>
      <c r="I368" s="22"/>
      <c r="J368" s="27"/>
      <c r="K368" s="27"/>
      <c r="L368" s="22"/>
      <c r="M368" s="134"/>
      <c r="N368" s="132"/>
    </row>
    <row r="369" spans="1:14" s="24" customFormat="1" x14ac:dyDescent="0.25">
      <c r="A369" s="20"/>
      <c r="B369" s="20"/>
      <c r="C369" s="21" t="s">
        <v>172</v>
      </c>
      <c r="D369" s="22"/>
      <c r="E369" s="22"/>
      <c r="F369" s="22"/>
      <c r="G369" s="22"/>
      <c r="H369" s="22"/>
      <c r="I369" s="22"/>
      <c r="J369" s="27"/>
      <c r="K369" s="27"/>
      <c r="L369" s="22"/>
      <c r="M369" s="134"/>
      <c r="N369" s="132"/>
    </row>
    <row r="370" spans="1:14" s="28" customFormat="1" ht="14.25" x14ac:dyDescent="0.2">
      <c r="A370" s="25"/>
      <c r="B370" s="25"/>
      <c r="C370" s="26"/>
      <c r="D370" s="27"/>
      <c r="E370" s="27"/>
      <c r="F370" s="27"/>
      <c r="G370" s="27"/>
      <c r="H370" s="27"/>
      <c r="I370" s="27"/>
      <c r="J370" s="27"/>
      <c r="K370" s="27"/>
      <c r="L370" s="27"/>
      <c r="M370" s="107"/>
      <c r="N370" s="133"/>
    </row>
    <row r="371" spans="1:14" s="28" customFormat="1" ht="14.25" x14ac:dyDescent="0.2">
      <c r="A371" s="25" t="s">
        <v>463</v>
      </c>
      <c r="B371" s="25"/>
      <c r="C371" s="26" t="s">
        <v>173</v>
      </c>
      <c r="D371" s="27">
        <f>VLOOKUP(A371,fin,3,FALSE)</f>
        <v>16993</v>
      </c>
      <c r="E371" s="27">
        <v>0</v>
      </c>
      <c r="F371" s="27">
        <v>0</v>
      </c>
      <c r="G371" s="27">
        <v>0</v>
      </c>
      <c r="H371" s="27">
        <v>16993</v>
      </c>
      <c r="I371" s="27">
        <v>0</v>
      </c>
      <c r="J371" s="27">
        <f>+K371-D371</f>
        <v>0</v>
      </c>
      <c r="K371" s="27">
        <f>VLOOKUP(A371,fin,4,FALSE)</f>
        <v>16993</v>
      </c>
      <c r="L371" s="27">
        <f t="shared" ref="L371:L373" si="144">K371*6.25/100+K371</f>
        <v>18055.0625</v>
      </c>
      <c r="M371" s="107">
        <f t="shared" ref="M371:M373" si="145">L371*7/100+L371</f>
        <v>19318.916874999999</v>
      </c>
      <c r="N371" s="133">
        <f t="shared" ref="N371:N373" si="146">M371*7/100+M371</f>
        <v>20671.241056250001</v>
      </c>
    </row>
    <row r="372" spans="1:14" s="28" customFormat="1" ht="14.25" x14ac:dyDescent="0.2">
      <c r="A372" s="25" t="s">
        <v>464</v>
      </c>
      <c r="B372" s="25"/>
      <c r="C372" s="26" t="s">
        <v>174</v>
      </c>
      <c r="D372" s="27">
        <f>VLOOKUP(A372,fin,3,FALSE)</f>
        <v>17974</v>
      </c>
      <c r="E372" s="27">
        <v>0</v>
      </c>
      <c r="F372" s="27">
        <v>0</v>
      </c>
      <c r="G372" s="27">
        <v>0</v>
      </c>
      <c r="H372" s="27">
        <v>17974</v>
      </c>
      <c r="I372" s="27">
        <v>0</v>
      </c>
      <c r="J372" s="27">
        <f>+K372-D372</f>
        <v>0</v>
      </c>
      <c r="K372" s="27">
        <f>VLOOKUP(A372,fin,4,FALSE)</f>
        <v>17974</v>
      </c>
      <c r="L372" s="27">
        <f t="shared" si="144"/>
        <v>19097.375</v>
      </c>
      <c r="M372" s="107">
        <f t="shared" si="145"/>
        <v>20434.19125</v>
      </c>
      <c r="N372" s="133">
        <f t="shared" si="146"/>
        <v>21864.5846375</v>
      </c>
    </row>
    <row r="373" spans="1:14" s="28" customFormat="1" ht="14.25" x14ac:dyDescent="0.2">
      <c r="A373" s="25" t="s">
        <v>465</v>
      </c>
      <c r="B373" s="25"/>
      <c r="C373" s="26" t="s">
        <v>175</v>
      </c>
      <c r="D373" s="27">
        <f>VLOOKUP(A373,fin,3,FALSE)</f>
        <v>13156</v>
      </c>
      <c r="E373" s="27">
        <v>0</v>
      </c>
      <c r="F373" s="27">
        <v>0</v>
      </c>
      <c r="G373" s="27">
        <v>0</v>
      </c>
      <c r="H373" s="27">
        <v>13156</v>
      </c>
      <c r="I373" s="27">
        <v>0</v>
      </c>
      <c r="J373" s="27">
        <f>+K373-D373</f>
        <v>0</v>
      </c>
      <c r="K373" s="27">
        <f>VLOOKUP(A373,fin,4,FALSE)</f>
        <v>13156</v>
      </c>
      <c r="L373" s="27">
        <f t="shared" si="144"/>
        <v>13978.25</v>
      </c>
      <c r="M373" s="107">
        <f t="shared" si="145"/>
        <v>14956.727500000001</v>
      </c>
      <c r="N373" s="133">
        <f t="shared" si="146"/>
        <v>16003.698425</v>
      </c>
    </row>
    <row r="374" spans="1:14" s="28" customFormat="1" ht="14.25" x14ac:dyDescent="0.2">
      <c r="A374" s="25"/>
      <c r="B374" s="25"/>
      <c r="C374" s="26"/>
      <c r="D374" s="27"/>
      <c r="E374" s="27"/>
      <c r="F374" s="27"/>
      <c r="G374" s="27"/>
      <c r="H374" s="27"/>
      <c r="I374" s="27"/>
      <c r="J374" s="27"/>
      <c r="K374" s="27"/>
      <c r="L374" s="27"/>
      <c r="M374" s="107"/>
      <c r="N374" s="133"/>
    </row>
    <row r="375" spans="1:14" s="24" customFormat="1" x14ac:dyDescent="0.25">
      <c r="A375" s="20"/>
      <c r="B375" s="20"/>
      <c r="C375" s="21" t="s">
        <v>176</v>
      </c>
      <c r="D375" s="22">
        <f>SUM(D371:D374)</f>
        <v>48123</v>
      </c>
      <c r="E375" s="22">
        <f>SUM(E371:E374)</f>
        <v>0</v>
      </c>
      <c r="F375" s="22">
        <f>SUM(F371:F374)</f>
        <v>0</v>
      </c>
      <c r="G375" s="22">
        <f>SUM(G371:G374)</f>
        <v>0</v>
      </c>
      <c r="H375" s="22">
        <f>SUM(H371:H374)</f>
        <v>48123</v>
      </c>
      <c r="I375" s="22">
        <v>0</v>
      </c>
      <c r="J375" s="27">
        <f>+K375-D375</f>
        <v>0</v>
      </c>
      <c r="K375" s="22">
        <f>SUM(K371:K374)</f>
        <v>48123</v>
      </c>
      <c r="L375" s="22">
        <f>SUM(L371:L374)</f>
        <v>51130.6875</v>
      </c>
      <c r="M375" s="134">
        <f>SUM(M371:M374)</f>
        <v>54709.835625</v>
      </c>
      <c r="N375" s="134">
        <f>SUM(N371:N374)</f>
        <v>58539.52411875</v>
      </c>
    </row>
    <row r="376" spans="1:14" s="24" customFormat="1" x14ac:dyDescent="0.25">
      <c r="A376" s="20"/>
      <c r="B376" s="20"/>
      <c r="C376" s="21"/>
      <c r="D376" s="22"/>
      <c r="E376" s="22"/>
      <c r="F376" s="22"/>
      <c r="G376" s="22"/>
      <c r="H376" s="22"/>
      <c r="I376" s="22"/>
      <c r="J376" s="27"/>
      <c r="K376" s="22"/>
      <c r="L376" s="22"/>
      <c r="M376" s="134"/>
      <c r="N376" s="132"/>
    </row>
    <row r="377" spans="1:14" s="24" customFormat="1" x14ac:dyDescent="0.25">
      <c r="A377" s="20"/>
      <c r="B377" s="20"/>
      <c r="C377" s="21" t="s">
        <v>177</v>
      </c>
      <c r="D377" s="22">
        <f>D358+D367+D375</f>
        <v>2329872</v>
      </c>
      <c r="E377" s="22">
        <f t="shared" ref="E377:N377" si="147">E358+E367+E375</f>
        <v>187569.98000000004</v>
      </c>
      <c r="F377" s="22">
        <f t="shared" si="147"/>
        <v>0</v>
      </c>
      <c r="G377" s="22">
        <f t="shared" si="147"/>
        <v>1085074.67</v>
      </c>
      <c r="H377" s="22">
        <f t="shared" si="147"/>
        <v>1244797.33</v>
      </c>
      <c r="I377" s="22">
        <v>46.57</v>
      </c>
      <c r="J377" s="27">
        <f>+K377-D377</f>
        <v>-31003.729999999981</v>
      </c>
      <c r="K377" s="22">
        <f t="shared" si="147"/>
        <v>2298868.27</v>
      </c>
      <c r="L377" s="22">
        <f t="shared" si="147"/>
        <v>2442547.5368750002</v>
      </c>
      <c r="M377" s="134">
        <f t="shared" si="147"/>
        <v>2613525.8644562503</v>
      </c>
      <c r="N377" s="134">
        <f t="shared" si="147"/>
        <v>2796472.6749681882</v>
      </c>
    </row>
    <row r="378" spans="1:14" s="24" customFormat="1" x14ac:dyDescent="0.25">
      <c r="A378" s="20"/>
      <c r="B378" s="20"/>
      <c r="C378" s="21"/>
      <c r="D378" s="22"/>
      <c r="E378" s="22"/>
      <c r="F378" s="22"/>
      <c r="G378" s="22"/>
      <c r="H378" s="22"/>
      <c r="I378" s="22"/>
      <c r="J378" s="27"/>
      <c r="K378" s="22"/>
      <c r="L378" s="22"/>
      <c r="M378" s="134"/>
      <c r="N378" s="132"/>
    </row>
    <row r="379" spans="1:14" s="24" customFormat="1" x14ac:dyDescent="0.25">
      <c r="A379" s="20"/>
      <c r="B379" s="20"/>
      <c r="C379" s="21" t="s">
        <v>178</v>
      </c>
      <c r="D379" s="22">
        <f>D377</f>
        <v>2329872</v>
      </c>
      <c r="E379" s="22">
        <f t="shared" ref="E379:N379" si="148">E377</f>
        <v>187569.98000000004</v>
      </c>
      <c r="F379" s="22">
        <f t="shared" si="148"/>
        <v>0</v>
      </c>
      <c r="G379" s="22">
        <f t="shared" si="148"/>
        <v>1085074.67</v>
      </c>
      <c r="H379" s="22">
        <f t="shared" si="148"/>
        <v>1244797.33</v>
      </c>
      <c r="I379" s="22">
        <v>46.57</v>
      </c>
      <c r="J379" s="27">
        <f>+K379-D379</f>
        <v>-31003.729999999981</v>
      </c>
      <c r="K379" s="22">
        <f t="shared" si="148"/>
        <v>2298868.27</v>
      </c>
      <c r="L379" s="22">
        <f t="shared" si="148"/>
        <v>2442547.5368750002</v>
      </c>
      <c r="M379" s="134">
        <f t="shared" si="148"/>
        <v>2613525.8644562503</v>
      </c>
      <c r="N379" s="134">
        <f t="shared" si="148"/>
        <v>2796472.6749681882</v>
      </c>
    </row>
    <row r="380" spans="1:14" s="24" customFormat="1" x14ac:dyDescent="0.25">
      <c r="A380" s="20"/>
      <c r="B380" s="20"/>
      <c r="C380" s="21"/>
      <c r="D380" s="22"/>
      <c r="E380" s="22"/>
      <c r="F380" s="22"/>
      <c r="G380" s="22"/>
      <c r="H380" s="22"/>
      <c r="I380" s="22"/>
      <c r="J380" s="27"/>
      <c r="K380" s="27"/>
      <c r="L380" s="22"/>
      <c r="M380" s="134"/>
      <c r="N380" s="132"/>
    </row>
    <row r="381" spans="1:14" s="24" customFormat="1" x14ac:dyDescent="0.25">
      <c r="A381" s="20"/>
      <c r="B381" s="20"/>
      <c r="C381" s="21" t="s">
        <v>241</v>
      </c>
      <c r="D381" s="22"/>
      <c r="E381" s="22"/>
      <c r="F381" s="22"/>
      <c r="G381" s="22"/>
      <c r="H381" s="22"/>
      <c r="I381" s="22"/>
      <c r="J381" s="27"/>
      <c r="K381" s="27"/>
      <c r="L381" s="22"/>
      <c r="M381" s="134"/>
      <c r="N381" s="132"/>
    </row>
    <row r="382" spans="1:14" s="28" customFormat="1" ht="14.25" x14ac:dyDescent="0.2">
      <c r="A382" s="25"/>
      <c r="B382" s="25"/>
      <c r="C382" s="26"/>
      <c r="D382" s="27"/>
      <c r="E382" s="27"/>
      <c r="F382" s="27"/>
      <c r="G382" s="27"/>
      <c r="H382" s="27"/>
      <c r="I382" s="27"/>
      <c r="J382" s="27"/>
      <c r="K382" s="27"/>
      <c r="L382" s="27"/>
      <c r="M382" s="107"/>
      <c r="N382" s="133"/>
    </row>
    <row r="383" spans="1:14" s="28" customFormat="1" ht="14.25" x14ac:dyDescent="0.2">
      <c r="A383" s="25" t="s">
        <v>466</v>
      </c>
      <c r="B383" s="25"/>
      <c r="C383" s="26" t="s">
        <v>263</v>
      </c>
      <c r="D383" s="27">
        <f t="shared" ref="D383:D388" si="149">VLOOKUP(A383,fin,3,FALSE)</f>
        <v>424000</v>
      </c>
      <c r="E383" s="27">
        <v>0</v>
      </c>
      <c r="F383" s="27">
        <v>0</v>
      </c>
      <c r="G383" s="27">
        <v>143900</v>
      </c>
      <c r="H383" s="27">
        <f t="shared" ref="H383:H388" si="150">D383-G383</f>
        <v>280100</v>
      </c>
      <c r="I383" s="27">
        <f>G383/D383*100</f>
        <v>33.938679245283019</v>
      </c>
      <c r="J383" s="27">
        <f t="shared" ref="J383:J388" si="151">+K383-D383</f>
        <v>200000</v>
      </c>
      <c r="K383" s="27">
        <f t="shared" ref="K383:K388" si="152">VLOOKUP(A383,fin,4,FALSE)</f>
        <v>624000</v>
      </c>
      <c r="L383" s="27">
        <f t="shared" ref="L383:L388" si="153">K383*4.5/100+K383</f>
        <v>652080</v>
      </c>
      <c r="M383" s="107">
        <f t="shared" ref="M383:M388" si="154">L383*4.6/100+L383</f>
        <v>682075.68</v>
      </c>
      <c r="N383" s="133">
        <f t="shared" ref="N383:N388" si="155">M383*4.6/100+M383</f>
        <v>713451.16128</v>
      </c>
    </row>
    <row r="384" spans="1:14" s="28" customFormat="1" ht="14.25" x14ac:dyDescent="0.2">
      <c r="A384" s="25" t="s">
        <v>467</v>
      </c>
      <c r="B384" s="25"/>
      <c r="C384" s="26" t="s">
        <v>263</v>
      </c>
      <c r="D384" s="27">
        <f t="shared" si="149"/>
        <v>1219000</v>
      </c>
      <c r="E384" s="27">
        <v>93150</v>
      </c>
      <c r="F384" s="27">
        <v>45152.17</v>
      </c>
      <c r="G384" s="27">
        <v>989056.15</v>
      </c>
      <c r="H384" s="27">
        <f t="shared" si="150"/>
        <v>229943.84999999998</v>
      </c>
      <c r="I384" s="27">
        <f>G384/D384*100</f>
        <v>81.136681706316665</v>
      </c>
      <c r="J384" s="27">
        <f t="shared" si="151"/>
        <v>-200000</v>
      </c>
      <c r="K384" s="27">
        <f t="shared" si="152"/>
        <v>1019000</v>
      </c>
      <c r="L384" s="27">
        <f t="shared" si="153"/>
        <v>1064855</v>
      </c>
      <c r="M384" s="107">
        <f t="shared" si="154"/>
        <v>1113838.33</v>
      </c>
      <c r="N384" s="133">
        <f t="shared" si="155"/>
        <v>1165074.8931800001</v>
      </c>
    </row>
    <row r="385" spans="1:14" s="28" customFormat="1" ht="14.25" x14ac:dyDescent="0.2">
      <c r="A385" s="25" t="s">
        <v>468</v>
      </c>
      <c r="B385" s="25"/>
      <c r="C385" s="26" t="s">
        <v>264</v>
      </c>
      <c r="D385" s="27">
        <f t="shared" si="149"/>
        <v>2304000</v>
      </c>
      <c r="E385" s="27">
        <v>0</v>
      </c>
      <c r="F385" s="27">
        <v>0</v>
      </c>
      <c r="G385" s="27">
        <v>943200</v>
      </c>
      <c r="H385" s="27">
        <f t="shared" si="150"/>
        <v>1360800</v>
      </c>
      <c r="I385" s="27">
        <f>G385/D385*100</f>
        <v>40.9375</v>
      </c>
      <c r="J385" s="27">
        <f t="shared" si="151"/>
        <v>0</v>
      </c>
      <c r="K385" s="27">
        <f t="shared" si="152"/>
        <v>2304000</v>
      </c>
      <c r="L385" s="27">
        <v>2304000</v>
      </c>
      <c r="M385" s="107">
        <f t="shared" si="154"/>
        <v>2409984</v>
      </c>
      <c r="N385" s="133">
        <f t="shared" si="155"/>
        <v>2520843.264</v>
      </c>
    </row>
    <row r="386" spans="1:14" s="28" customFormat="1" ht="14.25" x14ac:dyDescent="0.2">
      <c r="A386" s="25" t="s">
        <v>469</v>
      </c>
      <c r="B386" s="25"/>
      <c r="C386" s="26" t="s">
        <v>265</v>
      </c>
      <c r="D386" s="27">
        <f t="shared" si="149"/>
        <v>0</v>
      </c>
      <c r="E386" s="27">
        <v>1596.75</v>
      </c>
      <c r="F386" s="27">
        <v>0</v>
      </c>
      <c r="G386" s="27">
        <v>9006.24</v>
      </c>
      <c r="H386" s="27">
        <f t="shared" si="150"/>
        <v>-9006.24</v>
      </c>
      <c r="I386" s="27">
        <v>0</v>
      </c>
      <c r="J386" s="27">
        <f t="shared" si="151"/>
        <v>20000</v>
      </c>
      <c r="K386" s="27">
        <f t="shared" si="152"/>
        <v>20000</v>
      </c>
      <c r="L386" s="27">
        <f t="shared" si="153"/>
        <v>20900</v>
      </c>
      <c r="M386" s="107">
        <f t="shared" si="154"/>
        <v>21861.4</v>
      </c>
      <c r="N386" s="133">
        <f t="shared" si="155"/>
        <v>22867.024400000002</v>
      </c>
    </row>
    <row r="387" spans="1:14" s="28" customFormat="1" ht="14.25" x14ac:dyDescent="0.2">
      <c r="A387" s="25" t="s">
        <v>470</v>
      </c>
      <c r="B387" s="25"/>
      <c r="C387" s="26" t="s">
        <v>267</v>
      </c>
      <c r="D387" s="27">
        <f t="shared" si="149"/>
        <v>700000</v>
      </c>
      <c r="E387" s="27">
        <v>0</v>
      </c>
      <c r="F387" s="27">
        <v>0</v>
      </c>
      <c r="G387" s="27">
        <v>220620</v>
      </c>
      <c r="H387" s="27">
        <f t="shared" si="150"/>
        <v>479380</v>
      </c>
      <c r="I387" s="27">
        <f>G387/D387*100</f>
        <v>31.517142857142854</v>
      </c>
      <c r="J387" s="27">
        <f t="shared" si="151"/>
        <v>0</v>
      </c>
      <c r="K387" s="27">
        <f t="shared" si="152"/>
        <v>700000</v>
      </c>
      <c r="L387" s="27">
        <f t="shared" si="153"/>
        <v>731500</v>
      </c>
      <c r="M387" s="107">
        <f t="shared" si="154"/>
        <v>765149</v>
      </c>
      <c r="N387" s="133">
        <f t="shared" si="155"/>
        <v>800345.85400000005</v>
      </c>
    </row>
    <row r="388" spans="1:14" s="28" customFormat="1" ht="14.25" x14ac:dyDescent="0.2">
      <c r="A388" s="25" t="s">
        <v>471</v>
      </c>
      <c r="B388" s="25"/>
      <c r="C388" s="26" t="s">
        <v>268</v>
      </c>
      <c r="D388" s="27">
        <f t="shared" si="149"/>
        <v>0</v>
      </c>
      <c r="E388" s="27">
        <v>18839.46</v>
      </c>
      <c r="F388" s="27">
        <v>0</v>
      </c>
      <c r="G388" s="27">
        <v>70159.350000000006</v>
      </c>
      <c r="H388" s="27">
        <f t="shared" si="150"/>
        <v>-70159.350000000006</v>
      </c>
      <c r="I388" s="27">
        <v>0</v>
      </c>
      <c r="J388" s="27">
        <f t="shared" si="151"/>
        <v>140000</v>
      </c>
      <c r="K388" s="27">
        <f t="shared" si="152"/>
        <v>140000</v>
      </c>
      <c r="L388" s="27">
        <f t="shared" si="153"/>
        <v>146300</v>
      </c>
      <c r="M388" s="107">
        <f t="shared" si="154"/>
        <v>153029.79999999999</v>
      </c>
      <c r="N388" s="133">
        <f t="shared" si="155"/>
        <v>160069.17079999999</v>
      </c>
    </row>
    <row r="389" spans="1:14" s="28" customFormat="1" ht="14.25" x14ac:dyDescent="0.2">
      <c r="A389" s="25"/>
      <c r="B389" s="25"/>
      <c r="C389" s="26"/>
      <c r="D389" s="27"/>
      <c r="E389" s="27"/>
      <c r="F389" s="27"/>
      <c r="G389" s="27"/>
      <c r="H389" s="27"/>
      <c r="I389" s="27"/>
      <c r="J389" s="27"/>
      <c r="K389" s="27"/>
      <c r="L389" s="27"/>
      <c r="M389" s="107"/>
      <c r="N389" s="133"/>
    </row>
    <row r="390" spans="1:14" s="24" customFormat="1" x14ac:dyDescent="0.25">
      <c r="A390" s="20"/>
      <c r="B390" s="20"/>
      <c r="C390" s="21" t="s">
        <v>274</v>
      </c>
      <c r="D390" s="22">
        <f>SUM(D383:D389)</f>
        <v>4647000</v>
      </c>
      <c r="E390" s="22">
        <f>SUM(E383:E389)</f>
        <v>113586.20999999999</v>
      </c>
      <c r="F390" s="22">
        <f>SUM(F383:F389)</f>
        <v>45152.17</v>
      </c>
      <c r="G390" s="22">
        <f>SUM(G383:G389)</f>
        <v>2375941.7399999998</v>
      </c>
      <c r="H390" s="22">
        <f>SUM(H383:H389)</f>
        <v>2271058.2600000002</v>
      </c>
      <c r="I390" s="22">
        <v>50.15</v>
      </c>
      <c r="J390" s="27">
        <f>+K390-D390</f>
        <v>160000</v>
      </c>
      <c r="K390" s="22">
        <f>SUM(K383:K389)</f>
        <v>4807000</v>
      </c>
      <c r="L390" s="22">
        <f>SUM(L383:L389)</f>
        <v>4919635</v>
      </c>
      <c r="M390" s="134">
        <f>SUM(M383:M389)</f>
        <v>5145938.21</v>
      </c>
      <c r="N390" s="134">
        <f>SUM(N383:N389)</f>
        <v>5382651.3676600019</v>
      </c>
    </row>
    <row r="391" spans="1:14" s="28" customFormat="1" ht="14.25" x14ac:dyDescent="0.2">
      <c r="A391" s="25"/>
      <c r="B391" s="25"/>
      <c r="C391" s="26"/>
      <c r="D391" s="27"/>
      <c r="E391" s="27"/>
      <c r="F391" s="27"/>
      <c r="G391" s="27"/>
      <c r="H391" s="27"/>
      <c r="I391" s="27"/>
      <c r="J391" s="27"/>
      <c r="K391" s="27"/>
      <c r="L391" s="27"/>
      <c r="M391" s="107"/>
      <c r="N391" s="133"/>
    </row>
    <row r="392" spans="1:14" s="24" customFormat="1" x14ac:dyDescent="0.25">
      <c r="A392" s="20"/>
      <c r="B392" s="20"/>
      <c r="C392" s="21" t="s">
        <v>290</v>
      </c>
      <c r="D392" s="22"/>
      <c r="E392" s="22"/>
      <c r="F392" s="22"/>
      <c r="G392" s="22"/>
      <c r="H392" s="22"/>
      <c r="I392" s="22"/>
      <c r="J392" s="27"/>
      <c r="K392" s="27"/>
      <c r="L392" s="22"/>
      <c r="M392" s="134"/>
      <c r="N392" s="132"/>
    </row>
    <row r="393" spans="1:14" s="28" customFormat="1" ht="14.25" x14ac:dyDescent="0.2">
      <c r="A393" s="25"/>
      <c r="B393" s="25"/>
      <c r="C393" s="26"/>
      <c r="D393" s="27"/>
      <c r="E393" s="27"/>
      <c r="F393" s="27"/>
      <c r="G393" s="27"/>
      <c r="H393" s="27"/>
      <c r="I393" s="27"/>
      <c r="J393" s="27"/>
      <c r="K393" s="27"/>
      <c r="L393" s="27"/>
      <c r="M393" s="107"/>
      <c r="N393" s="133"/>
    </row>
    <row r="394" spans="1:14" s="28" customFormat="1" ht="14.25" x14ac:dyDescent="0.2">
      <c r="A394" s="25" t="s">
        <v>472</v>
      </c>
      <c r="B394" s="25"/>
      <c r="C394" s="26" t="s">
        <v>292</v>
      </c>
      <c r="D394" s="27">
        <f>VLOOKUP(A394,fin,3,FALSE)</f>
        <v>620</v>
      </c>
      <c r="E394" s="27">
        <v>1286.54</v>
      </c>
      <c r="F394" s="27">
        <v>0</v>
      </c>
      <c r="G394" s="27">
        <v>3404.15</v>
      </c>
      <c r="H394" s="27">
        <v>-2784.15</v>
      </c>
      <c r="I394" s="27">
        <v>549.04999999999995</v>
      </c>
      <c r="J394" s="27">
        <f>+K394-D394</f>
        <v>0</v>
      </c>
      <c r="K394" s="27">
        <f>VLOOKUP(A394,fin,4,FALSE)</f>
        <v>620</v>
      </c>
      <c r="L394" s="27">
        <f t="shared" ref="L394:L396" si="156">K394*4.5/100+K394</f>
        <v>647.9</v>
      </c>
      <c r="M394" s="107">
        <f t="shared" ref="M394:M396" si="157">L394*4.6/100+L394</f>
        <v>677.70339999999999</v>
      </c>
      <c r="N394" s="133">
        <f t="shared" ref="N394:N396" si="158">M394*4.6/100+M394</f>
        <v>708.87775639999995</v>
      </c>
    </row>
    <row r="395" spans="1:14" s="28" customFormat="1" ht="14.25" x14ac:dyDescent="0.2">
      <c r="A395" s="25" t="s">
        <v>473</v>
      </c>
      <c r="B395" s="25"/>
      <c r="C395" s="26" t="s">
        <v>293</v>
      </c>
      <c r="D395" s="27">
        <f>VLOOKUP(A395,fin,3,FALSE)</f>
        <v>39428</v>
      </c>
      <c r="E395" s="27">
        <v>6492.48</v>
      </c>
      <c r="F395" s="27">
        <v>0</v>
      </c>
      <c r="G395" s="27">
        <v>14376.42</v>
      </c>
      <c r="H395" s="27">
        <v>25051.58</v>
      </c>
      <c r="I395" s="27">
        <v>36.46</v>
      </c>
      <c r="J395" s="27">
        <f>+K395-D395</f>
        <v>0</v>
      </c>
      <c r="K395" s="27">
        <f>VLOOKUP(A395,fin,4,FALSE)</f>
        <v>39428</v>
      </c>
      <c r="L395" s="27">
        <f t="shared" si="156"/>
        <v>41202.26</v>
      </c>
      <c r="M395" s="107">
        <f t="shared" si="157"/>
        <v>43097.563959999999</v>
      </c>
      <c r="N395" s="133">
        <f t="shared" si="158"/>
        <v>45080.051902159998</v>
      </c>
    </row>
    <row r="396" spans="1:14" s="28" customFormat="1" ht="14.25" x14ac:dyDescent="0.2">
      <c r="A396" s="25" t="s">
        <v>474</v>
      </c>
      <c r="B396" s="25"/>
      <c r="C396" s="26" t="s">
        <v>297</v>
      </c>
      <c r="D396" s="27">
        <f>VLOOKUP(A396,fin,3,FALSE)</f>
        <v>184915</v>
      </c>
      <c r="E396" s="27">
        <v>0</v>
      </c>
      <c r="F396" s="27">
        <v>0</v>
      </c>
      <c r="G396" s="27">
        <v>16884.22</v>
      </c>
      <c r="H396" s="27">
        <v>168030.78</v>
      </c>
      <c r="I396" s="27">
        <v>9.1300000000000008</v>
      </c>
      <c r="J396" s="27">
        <f>+K396-D396</f>
        <v>0</v>
      </c>
      <c r="K396" s="27">
        <f>VLOOKUP(A396,fin,4,FALSE)</f>
        <v>184915</v>
      </c>
      <c r="L396" s="27">
        <f t="shared" si="156"/>
        <v>193236.17499999999</v>
      </c>
      <c r="M396" s="107">
        <f t="shared" si="157"/>
        <v>202125.03904999999</v>
      </c>
      <c r="N396" s="133">
        <f t="shared" si="158"/>
        <v>211422.79084629999</v>
      </c>
    </row>
    <row r="397" spans="1:14" s="28" customFormat="1" ht="14.25" x14ac:dyDescent="0.2">
      <c r="A397" s="25" t="s">
        <v>475</v>
      </c>
      <c r="B397" s="25"/>
      <c r="C397" s="26" t="s">
        <v>298</v>
      </c>
      <c r="D397" s="27">
        <f>VLOOKUP(A397,fin,3,FALSE)</f>
        <v>0</v>
      </c>
      <c r="E397" s="27">
        <v>26288.98</v>
      </c>
      <c r="F397" s="27">
        <v>0</v>
      </c>
      <c r="G397" s="27">
        <v>52577.96</v>
      </c>
      <c r="H397" s="27">
        <v>-52577.96</v>
      </c>
      <c r="I397" s="27">
        <v>0</v>
      </c>
      <c r="J397" s="27">
        <f>+K397-D397</f>
        <v>0</v>
      </c>
      <c r="K397" s="27">
        <f>VLOOKUP(A397,fin,4,FALSE)</f>
        <v>0</v>
      </c>
      <c r="L397" s="27">
        <f>VLOOKUP(A397,fin,5,FALSE)</f>
        <v>0</v>
      </c>
      <c r="M397" s="107">
        <f>VLOOKUP(A397,fin,6,FALSE)</f>
        <v>0</v>
      </c>
      <c r="N397" s="133"/>
    </row>
    <row r="398" spans="1:14" s="28" customFormat="1" ht="14.25" x14ac:dyDescent="0.2">
      <c r="A398" s="25"/>
      <c r="B398" s="25"/>
      <c r="C398" s="26"/>
      <c r="D398" s="27"/>
      <c r="E398" s="27"/>
      <c r="F398" s="27"/>
      <c r="G398" s="27"/>
      <c r="H398" s="27"/>
      <c r="I398" s="27"/>
      <c r="J398" s="27"/>
      <c r="K398" s="27"/>
      <c r="L398" s="78"/>
      <c r="M398" s="78"/>
      <c r="N398" s="133"/>
    </row>
    <row r="399" spans="1:14" s="24" customFormat="1" x14ac:dyDescent="0.25">
      <c r="A399" s="20"/>
      <c r="B399" s="20"/>
      <c r="C399" s="21" t="s">
        <v>304</v>
      </c>
      <c r="D399" s="22">
        <f>SUM(D394:D398)</f>
        <v>224963</v>
      </c>
      <c r="E399" s="22">
        <f t="shared" ref="E399:M399" si="159">SUM(E394:E398)</f>
        <v>34068</v>
      </c>
      <c r="F399" s="22">
        <f t="shared" si="159"/>
        <v>0</v>
      </c>
      <c r="G399" s="22">
        <f t="shared" si="159"/>
        <v>87242.75</v>
      </c>
      <c r="H399" s="22">
        <f t="shared" si="159"/>
        <v>137720.25</v>
      </c>
      <c r="I399" s="22">
        <f t="shared" si="159"/>
        <v>594.64</v>
      </c>
      <c r="J399" s="22">
        <f t="shared" si="159"/>
        <v>0</v>
      </c>
      <c r="K399" s="22">
        <f t="shared" si="159"/>
        <v>224963</v>
      </c>
      <c r="L399" s="22">
        <f t="shared" si="159"/>
        <v>235086.33499999999</v>
      </c>
      <c r="M399" s="22">
        <f t="shared" si="159"/>
        <v>245900.30640999999</v>
      </c>
      <c r="N399" s="22">
        <f>SUM(N394:N398)</f>
        <v>257211.72050485999</v>
      </c>
    </row>
    <row r="400" spans="1:14" s="24" customFormat="1" x14ac:dyDescent="0.25">
      <c r="A400" s="20"/>
      <c r="B400" s="20"/>
      <c r="C400" s="21"/>
      <c r="D400" s="22"/>
      <c r="E400" s="22"/>
      <c r="F400" s="22"/>
      <c r="G400" s="22"/>
      <c r="H400" s="22"/>
      <c r="I400" s="22"/>
      <c r="J400" s="22"/>
      <c r="K400" s="22"/>
      <c r="L400" s="22"/>
      <c r="M400" s="134"/>
      <c r="N400" s="22"/>
    </row>
    <row r="401" spans="1:15" s="24" customFormat="1" x14ac:dyDescent="0.25">
      <c r="A401" s="20"/>
      <c r="B401" s="20"/>
      <c r="C401" s="21" t="s">
        <v>3004</v>
      </c>
      <c r="D401" s="22"/>
      <c r="E401" s="22"/>
      <c r="F401" s="22"/>
      <c r="G401" s="22"/>
      <c r="H401" s="22"/>
      <c r="I401" s="22"/>
      <c r="J401" s="22"/>
      <c r="K401" s="22"/>
      <c r="L401" s="22"/>
      <c r="M401" s="134"/>
      <c r="N401" s="22"/>
    </row>
    <row r="402" spans="1:15" s="24" customFormat="1" x14ac:dyDescent="0.25">
      <c r="A402" s="20"/>
      <c r="B402" s="20"/>
      <c r="C402" s="21"/>
      <c r="D402" s="22"/>
      <c r="E402" s="22"/>
      <c r="F402" s="22"/>
      <c r="G402" s="22"/>
      <c r="H402" s="22"/>
      <c r="I402" s="22"/>
      <c r="J402" s="22"/>
      <c r="K402" s="22"/>
      <c r="L402" s="22"/>
      <c r="M402" s="134"/>
      <c r="N402" s="22"/>
    </row>
    <row r="403" spans="1:15" s="28" customFormat="1" ht="14.25" x14ac:dyDescent="0.2">
      <c r="A403" s="25" t="s">
        <v>2335</v>
      </c>
      <c r="B403" s="25"/>
      <c r="C403" s="26"/>
      <c r="D403" s="27">
        <v>0</v>
      </c>
      <c r="E403" s="27"/>
      <c r="F403" s="27"/>
      <c r="G403" s="27"/>
      <c r="H403" s="27"/>
      <c r="I403" s="27"/>
      <c r="J403" s="27"/>
      <c r="K403" s="27"/>
      <c r="L403" s="27">
        <v>250000</v>
      </c>
      <c r="M403" s="107">
        <f>L403*4.6/100+L403</f>
        <v>261500</v>
      </c>
      <c r="N403" s="133">
        <f>M403*4.6/100+M403</f>
        <v>273529</v>
      </c>
    </row>
    <row r="404" spans="1:15" s="28" customFormat="1" ht="14.25" x14ac:dyDescent="0.2">
      <c r="A404" s="25"/>
      <c r="B404" s="25"/>
      <c r="C404" s="26"/>
      <c r="D404" s="27"/>
      <c r="E404" s="27"/>
      <c r="F404" s="27"/>
      <c r="G404" s="27"/>
      <c r="H404" s="27"/>
      <c r="I404" s="27"/>
      <c r="J404" s="27"/>
      <c r="K404" s="27"/>
      <c r="L404" s="27"/>
      <c r="M404" s="107"/>
      <c r="N404" s="133"/>
    </row>
    <row r="405" spans="1:15" s="24" customFormat="1" x14ac:dyDescent="0.25">
      <c r="A405" s="25"/>
      <c r="B405" s="20"/>
      <c r="C405" s="21" t="s">
        <v>3005</v>
      </c>
      <c r="D405" s="22">
        <f>SUM(D403)</f>
        <v>0</v>
      </c>
      <c r="E405" s="22">
        <f t="shared" ref="E405:N405" si="160">SUM(E403)</f>
        <v>0</v>
      </c>
      <c r="F405" s="22">
        <f t="shared" si="160"/>
        <v>0</v>
      </c>
      <c r="G405" s="22">
        <f t="shared" si="160"/>
        <v>0</v>
      </c>
      <c r="H405" s="22">
        <f t="shared" si="160"/>
        <v>0</v>
      </c>
      <c r="I405" s="22">
        <f t="shared" si="160"/>
        <v>0</v>
      </c>
      <c r="J405" s="22">
        <f t="shared" si="160"/>
        <v>0</v>
      </c>
      <c r="K405" s="22">
        <f t="shared" si="160"/>
        <v>0</v>
      </c>
      <c r="L405" s="22">
        <f t="shared" si="160"/>
        <v>250000</v>
      </c>
      <c r="M405" s="22">
        <f t="shared" si="160"/>
        <v>261500</v>
      </c>
      <c r="N405" s="22">
        <f t="shared" si="160"/>
        <v>273529</v>
      </c>
    </row>
    <row r="406" spans="1:15" s="24" customFormat="1" x14ac:dyDescent="0.25">
      <c r="A406" s="25"/>
      <c r="B406" s="20"/>
      <c r="C406" s="21"/>
      <c r="D406" s="22"/>
      <c r="E406" s="22"/>
      <c r="F406" s="22"/>
      <c r="G406" s="22"/>
      <c r="H406" s="22"/>
      <c r="I406" s="22"/>
      <c r="J406" s="27"/>
      <c r="K406" s="22"/>
      <c r="L406" s="22"/>
      <c r="M406" s="134"/>
      <c r="N406" s="132"/>
    </row>
    <row r="407" spans="1:15" s="24" customFormat="1" x14ac:dyDescent="0.25">
      <c r="A407" s="20"/>
      <c r="B407" s="20"/>
      <c r="C407" s="21" t="s">
        <v>305</v>
      </c>
      <c r="D407" s="22">
        <f>D379+D390+D399+D405</f>
        <v>7201835</v>
      </c>
      <c r="E407" s="22">
        <f t="shared" ref="E407:N407" si="161">E379+E390+E399+E405</f>
        <v>335224.19000000006</v>
      </c>
      <c r="F407" s="22">
        <f t="shared" si="161"/>
        <v>45152.17</v>
      </c>
      <c r="G407" s="22">
        <f t="shared" si="161"/>
        <v>3548259.1599999997</v>
      </c>
      <c r="H407" s="22">
        <f t="shared" si="161"/>
        <v>3653575.8400000003</v>
      </c>
      <c r="I407" s="22">
        <f t="shared" si="161"/>
        <v>691.36</v>
      </c>
      <c r="J407" s="22">
        <f t="shared" si="161"/>
        <v>128996.27000000002</v>
      </c>
      <c r="K407" s="22">
        <f t="shared" si="161"/>
        <v>7330831.2699999996</v>
      </c>
      <c r="L407" s="22">
        <f t="shared" si="161"/>
        <v>7847268.8718750002</v>
      </c>
      <c r="M407" s="22">
        <f t="shared" si="161"/>
        <v>8266864.38086625</v>
      </c>
      <c r="N407" s="22">
        <f t="shared" si="161"/>
        <v>8709864.763133049</v>
      </c>
    </row>
    <row r="408" spans="1:15" s="24" customFormat="1" x14ac:dyDescent="0.25">
      <c r="A408" s="20"/>
      <c r="B408" s="20"/>
      <c r="C408" s="21"/>
      <c r="D408" s="22"/>
      <c r="E408" s="22"/>
      <c r="F408" s="22"/>
      <c r="G408" s="22"/>
      <c r="H408" s="22"/>
      <c r="I408" s="22"/>
      <c r="J408" s="22"/>
      <c r="K408" s="22"/>
      <c r="L408" s="22"/>
      <c r="M408" s="134"/>
      <c r="N408" s="132"/>
    </row>
    <row r="409" spans="1:15" s="24" customFormat="1" x14ac:dyDescent="0.25">
      <c r="A409" s="20"/>
      <c r="B409" s="20"/>
      <c r="C409" s="21" t="s">
        <v>306</v>
      </c>
      <c r="D409" s="22">
        <f>D407</f>
        <v>7201835</v>
      </c>
      <c r="E409" s="22">
        <f t="shared" ref="E409:N409" si="162">E407</f>
        <v>335224.19000000006</v>
      </c>
      <c r="F409" s="22">
        <f t="shared" si="162"/>
        <v>45152.17</v>
      </c>
      <c r="G409" s="22">
        <f t="shared" si="162"/>
        <v>3548259.1599999997</v>
      </c>
      <c r="H409" s="22">
        <f t="shared" si="162"/>
        <v>3653575.8400000003</v>
      </c>
      <c r="I409" s="22">
        <f t="shared" si="162"/>
        <v>691.36</v>
      </c>
      <c r="J409" s="22">
        <f t="shared" si="162"/>
        <v>128996.27000000002</v>
      </c>
      <c r="K409" s="22">
        <f t="shared" si="162"/>
        <v>7330831.2699999996</v>
      </c>
      <c r="L409" s="22">
        <f t="shared" si="162"/>
        <v>7847268.8718750002</v>
      </c>
      <c r="M409" s="22">
        <f t="shared" si="162"/>
        <v>8266864.38086625</v>
      </c>
      <c r="N409" s="22">
        <f t="shared" si="162"/>
        <v>8709864.763133049</v>
      </c>
    </row>
    <row r="410" spans="1:15" s="24" customFormat="1" x14ac:dyDescent="0.25">
      <c r="A410" s="20"/>
      <c r="B410" s="20"/>
      <c r="C410" s="21"/>
      <c r="D410" s="22"/>
      <c r="E410" s="22"/>
      <c r="F410" s="22"/>
      <c r="G410" s="22"/>
      <c r="H410" s="22"/>
      <c r="I410" s="22"/>
      <c r="J410" s="22"/>
      <c r="K410" s="22"/>
      <c r="L410" s="22"/>
      <c r="M410" s="134"/>
      <c r="N410" s="132"/>
      <c r="O410" s="85"/>
    </row>
    <row r="411" spans="1:15" s="28" customFormat="1" ht="14.25" x14ac:dyDescent="0.2">
      <c r="A411" s="86"/>
      <c r="B411" s="86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139"/>
    </row>
    <row r="412" spans="1:15" x14ac:dyDescent="0.25">
      <c r="C412" s="24" t="s">
        <v>3038</v>
      </c>
      <c r="D412" s="152">
        <f t="shared" ref="D412:N412" si="163">D13+D166</f>
        <v>-480741</v>
      </c>
      <c r="E412" s="152">
        <f t="shared" si="163"/>
        <v>0</v>
      </c>
      <c r="F412" s="152">
        <f t="shared" si="163"/>
        <v>0</v>
      </c>
      <c r="G412" s="152">
        <f t="shared" si="163"/>
        <v>-782811.02</v>
      </c>
      <c r="H412" s="152">
        <f t="shared" si="163"/>
        <v>302070.02</v>
      </c>
      <c r="I412" s="152">
        <f t="shared" si="163"/>
        <v>292.18</v>
      </c>
      <c r="J412" s="152">
        <f t="shared" si="163"/>
        <v>276424</v>
      </c>
      <c r="K412" s="152">
        <f t="shared" si="163"/>
        <v>-204317</v>
      </c>
      <c r="L412" s="152">
        <f t="shared" si="163"/>
        <v>-1213511.2650000001</v>
      </c>
      <c r="M412" s="152">
        <f t="shared" si="163"/>
        <v>-1269332.7831900001</v>
      </c>
      <c r="N412" s="152">
        <f t="shared" si="163"/>
        <v>-1327722.09121674</v>
      </c>
    </row>
    <row r="413" spans="1:15" x14ac:dyDescent="0.25">
      <c r="C413" s="24" t="s">
        <v>3052</v>
      </c>
      <c r="D413" s="152">
        <f t="shared" ref="D413:N413" si="164">D143+D251+D329+D407</f>
        <v>44607534</v>
      </c>
      <c r="E413" s="152">
        <f t="shared" si="164"/>
        <v>3818952.47</v>
      </c>
      <c r="F413" s="152">
        <f t="shared" si="164"/>
        <v>369509.10000000003</v>
      </c>
      <c r="G413" s="152">
        <f t="shared" si="164"/>
        <v>23006766.77</v>
      </c>
      <c r="H413" s="152">
        <f t="shared" si="164"/>
        <v>21600767.229999997</v>
      </c>
      <c r="I413" s="152">
        <f t="shared" si="164"/>
        <v>854.69</v>
      </c>
      <c r="J413" s="152">
        <f t="shared" si="164"/>
        <v>2051093.9700000002</v>
      </c>
      <c r="K413" s="152">
        <f t="shared" si="164"/>
        <v>46658627.969999999</v>
      </c>
      <c r="L413" s="152">
        <f t="shared" si="164"/>
        <v>49683354.110625006</v>
      </c>
      <c r="M413" s="152">
        <f t="shared" si="164"/>
        <v>52401893.429448754</v>
      </c>
      <c r="N413" s="152">
        <f t="shared" si="164"/>
        <v>55275802.909019843</v>
      </c>
    </row>
    <row r="414" spans="1:15" x14ac:dyDescent="0.25">
      <c r="C414" s="24" t="s">
        <v>3053</v>
      </c>
      <c r="D414" s="152">
        <f t="shared" ref="D414:N414" si="165">D152+D259+D339</f>
        <v>2000000</v>
      </c>
      <c r="E414" s="152">
        <f t="shared" si="165"/>
        <v>196880</v>
      </c>
      <c r="F414" s="152">
        <f t="shared" si="165"/>
        <v>0</v>
      </c>
      <c r="G414" s="152">
        <f t="shared" si="165"/>
        <v>676151.67999999993</v>
      </c>
      <c r="H414" s="152">
        <f t="shared" si="165"/>
        <v>1323848.32</v>
      </c>
      <c r="I414" s="152">
        <f t="shared" si="165"/>
        <v>95.524216470588229</v>
      </c>
      <c r="J414" s="152">
        <f t="shared" si="165"/>
        <v>-21280</v>
      </c>
      <c r="K414" s="152">
        <f t="shared" si="165"/>
        <v>1978720</v>
      </c>
      <c r="L414" s="152">
        <f t="shared" si="165"/>
        <v>2953000</v>
      </c>
      <c r="M414" s="152">
        <f t="shared" si="165"/>
        <v>3189000</v>
      </c>
      <c r="N414" s="152">
        <f t="shared" si="165"/>
        <v>2189160</v>
      </c>
    </row>
  </sheetData>
  <autoFilter ref="A1:M411"/>
  <pageMargins left="0.7" right="0.7" top="0.75" bottom="0.75" header="0.3" footer="0.3"/>
  <pageSetup paperSize="9" scale="70" orientation="landscape" horizontalDpi="4294967293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</vt:i4>
      </vt:variant>
    </vt:vector>
  </HeadingPairs>
  <TitlesOfParts>
    <vt:vector size="24" baseType="lpstr">
      <vt:lpstr>Cover Page</vt:lpstr>
      <vt:lpstr>Executive Summary</vt:lpstr>
      <vt:lpstr>Summary</vt:lpstr>
      <vt:lpstr>Opex per dept</vt:lpstr>
      <vt:lpstr>Revenue per source</vt:lpstr>
      <vt:lpstr>All Dept</vt:lpstr>
      <vt:lpstr>Sheet3</vt:lpstr>
      <vt:lpstr>Sheet4</vt:lpstr>
      <vt:lpstr>Corporate Services</vt:lpstr>
      <vt:lpstr>LEDP</vt:lpstr>
      <vt:lpstr>MM</vt:lpstr>
      <vt:lpstr>mayors</vt:lpstr>
      <vt:lpstr>B&amp;T</vt:lpstr>
      <vt:lpstr>Community</vt:lpstr>
      <vt:lpstr>Technical</vt:lpstr>
      <vt:lpstr>Sheet1</vt:lpstr>
      <vt:lpstr>Sheet2</vt:lpstr>
      <vt:lpstr>Sheet8</vt:lpstr>
      <vt:lpstr>Reconcilliation</vt:lpstr>
      <vt:lpstr>filtered Danielle </vt:lpstr>
      <vt:lpstr>Unfilterd</vt:lpstr>
      <vt:lpstr>bud_321</vt:lpstr>
      <vt:lpstr>fin</vt:lpstr>
      <vt:lpstr>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mamabolomp</dc:creator>
  <cp:lastModifiedBy>Nkoto Modisha</cp:lastModifiedBy>
  <cp:lastPrinted>2020-03-24T16:59:06Z</cp:lastPrinted>
  <dcterms:created xsi:type="dcterms:W3CDTF">2020-01-15T08:08:56Z</dcterms:created>
  <dcterms:modified xsi:type="dcterms:W3CDTF">2020-05-23T18:58:20Z</dcterms:modified>
</cp:coreProperties>
</file>